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Geraldus Wilsen\Documents\ProjectRekomendasiObat\data\data_with_prepro\"/>
    </mc:Choice>
  </mc:AlternateContent>
  <xr:revisionPtr revIDLastSave="0" documentId="8_{1687E037-4EBE-4FC3-B83A-B334E92CBFD1}" xr6:coauthVersionLast="47" xr6:coauthVersionMax="47" xr10:uidLastSave="{00000000-0000-0000-0000-000000000000}"/>
  <bookViews>
    <workbookView xWindow="3220" yWindow="3220" windowWidth="19200" windowHeight="9970"/>
  </bookViews>
  <sheets>
    <sheet name="data_obat_fix_ordered" sheetId="1" r:id="rId1"/>
  </sheets>
  <calcPr calcId="0"/>
</workbook>
</file>

<file path=xl/calcChain.xml><?xml version="1.0" encoding="utf-8"?>
<calcChain xmlns="http://schemas.openxmlformats.org/spreadsheetml/2006/main">
  <c r="E6" i="1" l="1" a="1"/>
  <c r="E6" i="1" s="1"/>
  <c r="E46" i="1" a="1"/>
  <c r="E46" i="1" s="1"/>
  <c r="E57" i="1" a="1"/>
  <c r="E57" i="1" s="1"/>
  <c r="E58" i="1" a="1"/>
  <c r="E58" i="1" s="1"/>
  <c r="E59" i="1" a="1"/>
  <c r="E59" i="1" s="1"/>
  <c r="E60" i="1" a="1"/>
  <c r="E60" i="1" s="1"/>
  <c r="E61" i="1" a="1"/>
  <c r="E61" i="1" s="1"/>
  <c r="E62" i="1" a="1"/>
  <c r="E62" i="1" s="1"/>
  <c r="E64" i="1" a="1"/>
  <c r="E64" i="1"/>
  <c r="E65" i="1" a="1"/>
  <c r="E65" i="1"/>
  <c r="E66" i="1" a="1"/>
  <c r="E66" i="1"/>
  <c r="E67" i="1" a="1"/>
  <c r="E67" i="1"/>
  <c r="E68" i="1" a="1"/>
  <c r="E68" i="1"/>
  <c r="E69" i="1" a="1"/>
  <c r="E69" i="1" s="1"/>
  <c r="E70" i="1" a="1"/>
  <c r="E70" i="1"/>
  <c r="E71" i="1" a="1"/>
  <c r="E71" i="1" s="1"/>
  <c r="E72" i="1" a="1"/>
  <c r="E72" i="1"/>
  <c r="E73" i="1" a="1"/>
  <c r="E73" i="1" s="1"/>
  <c r="E74" i="1" a="1"/>
  <c r="E74" i="1"/>
  <c r="E75" i="1" a="1"/>
  <c r="E75" i="1"/>
  <c r="E76" i="1" a="1"/>
  <c r="E76" i="1" s="1"/>
  <c r="E77" i="1" a="1"/>
  <c r="E77" i="1" s="1"/>
  <c r="E78" i="1" a="1"/>
  <c r="E78" i="1"/>
  <c r="E79" i="1" a="1"/>
  <c r="E79" i="1" s="1"/>
  <c r="E80" i="1" a="1"/>
  <c r="E80" i="1"/>
  <c r="E81" i="1" a="1"/>
  <c r="E81" i="1"/>
  <c r="E82" i="1" a="1"/>
  <c r="E82" i="1"/>
  <c r="E84" i="1" a="1"/>
  <c r="E84" i="1"/>
  <c r="E85" i="1" a="1"/>
  <c r="E85" i="1"/>
  <c r="E86" i="1" a="1"/>
  <c r="E86" i="1"/>
  <c r="E87" i="1" a="1"/>
  <c r="E87" i="1" s="1"/>
  <c r="E88" i="1" a="1"/>
  <c r="E88" i="1" s="1"/>
  <c r="E89" i="1" a="1"/>
  <c r="E89" i="1"/>
  <c r="E90" i="1" a="1"/>
  <c r="E90" i="1"/>
  <c r="E91" i="1" a="1"/>
  <c r="E91" i="1" s="1"/>
  <c r="E92" i="1" a="1"/>
  <c r="E92" i="1"/>
  <c r="E93" i="1" a="1"/>
  <c r="E93" i="1"/>
  <c r="E94" i="1" a="1"/>
  <c r="E94" i="1" s="1"/>
  <c r="E95" i="1" a="1"/>
  <c r="E95" i="1" s="1"/>
  <c r="E96" i="1" a="1"/>
  <c r="E96" i="1" s="1"/>
  <c r="E97" i="1" a="1"/>
  <c r="E97" i="1"/>
  <c r="E98" i="1" a="1"/>
  <c r="E98" i="1"/>
  <c r="E99" i="1" a="1"/>
  <c r="E99" i="1"/>
  <c r="E100" i="1" a="1"/>
  <c r="E100" i="1"/>
  <c r="E101" i="1" a="1"/>
  <c r="E101" i="1"/>
  <c r="E102" i="1" a="1"/>
  <c r="E102" i="1"/>
  <c r="E103" i="1" a="1"/>
  <c r="E103" i="1"/>
  <c r="E104" i="1" a="1"/>
  <c r="E104" i="1" s="1"/>
  <c r="E105" i="1" a="1"/>
  <c r="E105" i="1"/>
  <c r="E106" i="1" a="1"/>
  <c r="E106" i="1"/>
  <c r="E107" i="1" a="1"/>
  <c r="E107" i="1"/>
  <c r="E108" i="1" a="1"/>
  <c r="E108" i="1" s="1"/>
  <c r="E109" i="1" a="1"/>
  <c r="E109" i="1"/>
  <c r="E110" i="1" a="1"/>
  <c r="E110" i="1"/>
  <c r="E111" i="1" a="1"/>
  <c r="E111" i="1" s="1"/>
  <c r="E112" i="1" a="1"/>
  <c r="E112" i="1" s="1"/>
  <c r="E113" i="1" a="1"/>
  <c r="E113" i="1" s="1"/>
  <c r="E114" i="1" a="1"/>
  <c r="E114" i="1"/>
  <c r="E115" i="1" a="1"/>
  <c r="E115" i="1"/>
  <c r="E116" i="1" a="1"/>
  <c r="E116" i="1"/>
  <c r="E117" i="1" a="1"/>
  <c r="E117" i="1"/>
  <c r="E118" i="1" a="1"/>
  <c r="E118" i="1"/>
  <c r="E119" i="1" a="1"/>
  <c r="E119" i="1"/>
  <c r="E120" i="1" a="1"/>
  <c r="E120" i="1" s="1"/>
  <c r="E121" i="1" a="1"/>
  <c r="E121" i="1" s="1"/>
  <c r="E122" i="1" a="1"/>
  <c r="E122" i="1"/>
  <c r="E123" i="1" a="1"/>
  <c r="E123" i="1"/>
  <c r="E124" i="1" a="1"/>
  <c r="E124" i="1"/>
  <c r="E125" i="1" a="1"/>
  <c r="E125" i="1" s="1"/>
  <c r="E126" i="1" a="1"/>
  <c r="E126" i="1"/>
  <c r="E127" i="1" a="1"/>
  <c r="E127" i="1"/>
  <c r="E128" i="1" a="1"/>
  <c r="E128" i="1" s="1"/>
  <c r="E129" i="1" a="1"/>
  <c r="E129" i="1"/>
  <c r="E130" i="1" a="1"/>
  <c r="E130" i="1" s="1"/>
  <c r="E131" i="1" a="1"/>
  <c r="E131" i="1"/>
  <c r="E132" i="1" a="1"/>
  <c r="E132" i="1"/>
  <c r="E138" i="1" a="1"/>
  <c r="E138" i="1"/>
  <c r="E140" i="1" a="1"/>
  <c r="E140" i="1"/>
  <c r="E141" i="1" a="1"/>
  <c r="E141" i="1"/>
  <c r="E142" i="1" a="1"/>
  <c r="E142" i="1" s="1"/>
  <c r="E143" i="1" a="1"/>
  <c r="E143" i="1" s="1"/>
  <c r="E144" i="1" a="1"/>
  <c r="E144" i="1" s="1"/>
  <c r="E145" i="1" a="1"/>
  <c r="E145" i="1"/>
  <c r="E146" i="1" a="1"/>
  <c r="E146" i="1"/>
  <c r="E149" i="1" a="1"/>
  <c r="E149" i="1"/>
  <c r="E150" i="1" a="1"/>
  <c r="E150" i="1" s="1"/>
  <c r="E151" i="1" a="1"/>
  <c r="E151" i="1"/>
  <c r="E152" i="1" a="1"/>
  <c r="E152" i="1" s="1"/>
  <c r="E153" i="1" a="1"/>
  <c r="E153" i="1"/>
  <c r="E155" i="1" a="1"/>
  <c r="E155" i="1"/>
  <c r="E156" i="1" a="1"/>
  <c r="E156" i="1" s="1"/>
  <c r="E157" i="1" a="1"/>
  <c r="E157" i="1"/>
  <c r="E158" i="1" a="1"/>
  <c r="E158" i="1"/>
  <c r="E159" i="1" a="1"/>
  <c r="E159" i="1"/>
  <c r="E160" i="1" a="1"/>
  <c r="E160" i="1"/>
  <c r="E161" i="1" a="1"/>
  <c r="E161" i="1" s="1"/>
  <c r="E162" i="1" a="1"/>
  <c r="E162" i="1"/>
  <c r="E163" i="1" a="1"/>
  <c r="E163" i="1" s="1"/>
  <c r="E166" i="1" a="1"/>
  <c r="E166" i="1" s="1"/>
  <c r="E167" i="1" a="1"/>
  <c r="E167" i="1"/>
  <c r="E168" i="1" a="1"/>
  <c r="E168" i="1"/>
  <c r="E169" i="1" a="1"/>
  <c r="E169" i="1"/>
  <c r="E171" i="1" a="1"/>
  <c r="E171" i="1" s="1"/>
  <c r="E172" i="1" a="1"/>
  <c r="E172" i="1" s="1"/>
  <c r="E173" i="1" a="1"/>
  <c r="E173" i="1"/>
  <c r="E174" i="1" a="1"/>
  <c r="E174" i="1"/>
  <c r="E176" i="1" a="1"/>
  <c r="E176" i="1"/>
  <c r="E177" i="1" a="1"/>
  <c r="E177" i="1" s="1"/>
  <c r="E178" i="1" a="1"/>
  <c r="E178" i="1"/>
  <c r="E179" i="1" a="1"/>
  <c r="E179" i="1"/>
  <c r="E180" i="1" a="1"/>
  <c r="E180" i="1"/>
  <c r="E181" i="1" a="1"/>
  <c r="E181" i="1" s="1"/>
  <c r="E182" i="1" a="1"/>
  <c r="E182" i="1"/>
  <c r="E183" i="1" a="1"/>
  <c r="E183" i="1"/>
  <c r="E184" i="1" a="1"/>
  <c r="E184" i="1" s="1"/>
  <c r="E185" i="1" a="1"/>
  <c r="E185" i="1" s="1"/>
  <c r="E186" i="1" a="1"/>
  <c r="E186" i="1"/>
  <c r="E187" i="1" a="1"/>
  <c r="E187" i="1"/>
  <c r="E188" i="1" a="1"/>
  <c r="E188" i="1"/>
  <c r="E189" i="1" a="1"/>
  <c r="E189" i="1" s="1"/>
  <c r="E190" i="1" a="1"/>
  <c r="E190" i="1"/>
  <c r="E192" i="1" a="1"/>
  <c r="E192" i="1"/>
  <c r="E195" i="1" a="1"/>
  <c r="E195" i="1"/>
  <c r="E196" i="1" a="1"/>
  <c r="E196" i="1"/>
  <c r="E197" i="1" a="1"/>
  <c r="E197" i="1" s="1"/>
  <c r="E200" i="1" a="1"/>
  <c r="E200" i="1"/>
  <c r="E201" i="1" a="1"/>
  <c r="E201" i="1"/>
  <c r="E202" i="1" a="1"/>
  <c r="E202" i="1" s="1"/>
  <c r="E203" i="1" a="1"/>
  <c r="E203" i="1" s="1"/>
  <c r="E205" i="1" a="1"/>
  <c r="E205" i="1"/>
  <c r="E206" i="1" a="1"/>
  <c r="E206" i="1"/>
  <c r="E207" i="1" a="1"/>
  <c r="E207" i="1" s="1"/>
  <c r="E208" i="1" a="1"/>
  <c r="E208" i="1" s="1"/>
  <c r="E209" i="1" a="1"/>
  <c r="E209" i="1"/>
  <c r="E210" i="1" a="1"/>
  <c r="E210" i="1"/>
  <c r="E211" i="1" a="1"/>
  <c r="E211" i="1" s="1"/>
  <c r="E212" i="1" a="1"/>
  <c r="E212" i="1"/>
  <c r="E213" i="1" a="1"/>
  <c r="E213" i="1"/>
  <c r="E214" i="1" a="1"/>
  <c r="E214" i="1"/>
  <c r="E215" i="1" a="1"/>
  <c r="E215" i="1"/>
  <c r="E216" i="1" a="1"/>
  <c r="E216" i="1"/>
  <c r="E217" i="1" a="1"/>
  <c r="E217" i="1" s="1"/>
  <c r="E218" i="1" a="1"/>
  <c r="E218" i="1"/>
  <c r="E219" i="1" a="1"/>
  <c r="E219" i="1" s="1"/>
  <c r="E220" i="1" a="1"/>
  <c r="E220" i="1"/>
  <c r="E221" i="1" a="1"/>
  <c r="E221" i="1" s="1"/>
  <c r="E222" i="1" a="1"/>
  <c r="E222" i="1"/>
  <c r="E223" i="1" a="1"/>
  <c r="E223" i="1"/>
  <c r="E224" i="1" a="1"/>
  <c r="E224" i="1" s="1"/>
  <c r="E225" i="1" a="1"/>
  <c r="E225" i="1" s="1"/>
  <c r="E226" i="1" a="1"/>
  <c r="E226" i="1"/>
  <c r="E227" i="1" a="1"/>
  <c r="E227" i="1" s="1"/>
  <c r="E228" i="1" a="1"/>
  <c r="E228" i="1" s="1"/>
  <c r="E229" i="1" a="1"/>
  <c r="E229" i="1"/>
  <c r="E230" i="1" a="1"/>
  <c r="E230" i="1"/>
  <c r="E231" i="1" a="1"/>
  <c r="E231" i="1"/>
  <c r="E232" i="1" a="1"/>
  <c r="E232" i="1"/>
  <c r="E233" i="1" a="1"/>
  <c r="E233" i="1"/>
  <c r="E234" i="1" a="1"/>
  <c r="E234" i="1" s="1"/>
  <c r="E235" i="1" a="1"/>
  <c r="E235" i="1" s="1"/>
  <c r="E236" i="1" a="1"/>
  <c r="E236" i="1"/>
  <c r="E237" i="1" a="1"/>
  <c r="E237" i="1"/>
  <c r="E238" i="1" a="1"/>
  <c r="E238" i="1" s="1"/>
  <c r="E239" i="1" a="1"/>
  <c r="E239" i="1"/>
  <c r="E240" i="1" a="1"/>
  <c r="E240" i="1"/>
  <c r="E242" i="1" a="1"/>
  <c r="E242" i="1" s="1"/>
  <c r="E243" i="1" a="1"/>
  <c r="E243" i="1" s="1"/>
  <c r="E244" i="1" a="1"/>
  <c r="E244" i="1" s="1"/>
  <c r="E246" i="1" a="1"/>
  <c r="E246" i="1"/>
  <c r="E247" i="1" a="1"/>
  <c r="E247" i="1" s="1"/>
  <c r="E248" i="1" a="1"/>
  <c r="E248" i="1"/>
  <c r="E249" i="1" a="1"/>
  <c r="E249" i="1"/>
  <c r="E250" i="1" a="1"/>
  <c r="E250" i="1"/>
  <c r="E251" i="1" a="1"/>
  <c r="E251" i="1"/>
  <c r="E252" i="1" a="1"/>
  <c r="E252" i="1"/>
  <c r="E254" i="1" a="1"/>
  <c r="E254" i="1" s="1"/>
  <c r="E255" i="1" a="1"/>
  <c r="E255" i="1"/>
  <c r="E258" i="1" a="1"/>
  <c r="E258" i="1"/>
  <c r="E259" i="1" a="1"/>
  <c r="E259" i="1"/>
  <c r="E262" i="1" a="1"/>
  <c r="E262" i="1" s="1"/>
  <c r="E263" i="1" a="1"/>
  <c r="E263" i="1"/>
  <c r="E264" i="1" a="1"/>
  <c r="E264" i="1"/>
  <c r="E265" i="1" a="1"/>
  <c r="E265" i="1" s="1"/>
  <c r="E266" i="1" a="1"/>
  <c r="E266" i="1" s="1"/>
  <c r="E267" i="1" a="1"/>
  <c r="E267" i="1" s="1"/>
  <c r="E269" i="1" a="1"/>
  <c r="E269" i="1"/>
  <c r="E270" i="1" a="1"/>
  <c r="E270" i="1" s="1"/>
  <c r="E271" i="1" a="1"/>
  <c r="E271" i="1"/>
  <c r="E272" i="1" a="1"/>
  <c r="E272" i="1"/>
  <c r="E273" i="1" a="1"/>
  <c r="E273" i="1"/>
  <c r="E274" i="1" a="1"/>
  <c r="E274" i="1"/>
  <c r="E275" i="1" a="1"/>
  <c r="E275" i="1" s="1"/>
  <c r="E276" i="1" a="1"/>
  <c r="E276" i="1" s="1"/>
  <c r="E277" i="1" a="1"/>
  <c r="E277" i="1"/>
  <c r="E278" i="1" a="1"/>
  <c r="E278" i="1"/>
  <c r="E279" i="1" a="1"/>
  <c r="E279" i="1"/>
  <c r="E280" i="1" a="1"/>
  <c r="E280" i="1" s="1"/>
  <c r="E281" i="1" a="1"/>
  <c r="E281" i="1"/>
  <c r="E282" i="1" a="1"/>
  <c r="E282" i="1"/>
  <c r="E283" i="1" a="1"/>
  <c r="E283" i="1" s="1"/>
  <c r="E284" i="1" a="1"/>
  <c r="E284" i="1"/>
  <c r="E285" i="1" a="1"/>
  <c r="E285" i="1" s="1"/>
  <c r="E286" i="1" a="1"/>
  <c r="E286" i="1"/>
  <c r="E287" i="1" a="1"/>
  <c r="E287" i="1" s="1"/>
  <c r="E288" i="1" a="1"/>
  <c r="E288" i="1" s="1"/>
  <c r="E289" i="1" a="1"/>
  <c r="E289" i="1"/>
  <c r="E290" i="1" a="1"/>
  <c r="E290" i="1"/>
  <c r="E291" i="1" a="1"/>
  <c r="E291" i="1" s="1"/>
  <c r="E292" i="1" a="1"/>
  <c r="E292" i="1" s="1"/>
  <c r="E293" i="1" a="1"/>
  <c r="E293" i="1" s="1"/>
  <c r="E294" i="1" a="1"/>
  <c r="E294" i="1"/>
  <c r="E295" i="1" a="1"/>
  <c r="E295" i="1" s="1"/>
  <c r="E296" i="1" a="1"/>
  <c r="E296" i="1"/>
  <c r="E297" i="1" a="1"/>
  <c r="E297" i="1" s="1"/>
  <c r="E298" i="1" a="1"/>
  <c r="E298" i="1" s="1"/>
  <c r="E299" i="1" a="1"/>
  <c r="E299" i="1" s="1"/>
  <c r="E300" i="1" a="1"/>
  <c r="E300" i="1" s="1"/>
  <c r="E301" i="1" a="1"/>
  <c r="E301" i="1" s="1"/>
  <c r="E302" i="1" a="1"/>
  <c r="E302" i="1" s="1"/>
  <c r="E303" i="1" a="1"/>
  <c r="E303" i="1"/>
  <c r="E304" i="1" a="1"/>
  <c r="E304" i="1"/>
  <c r="E305" i="1" a="1"/>
  <c r="E305" i="1" s="1"/>
  <c r="E306" i="1" a="1"/>
  <c r="E306" i="1"/>
  <c r="E307" i="1" a="1"/>
  <c r="E307" i="1" s="1"/>
  <c r="E308" i="1" a="1"/>
  <c r="E308" i="1"/>
  <c r="E309" i="1" a="1"/>
  <c r="E309" i="1"/>
  <c r="E310" i="1" a="1"/>
  <c r="E310" i="1" s="1"/>
  <c r="E311" i="1" a="1"/>
  <c r="E311" i="1"/>
  <c r="E312" i="1" a="1"/>
  <c r="E312" i="1" s="1"/>
  <c r="E313" i="1" a="1"/>
  <c r="E313" i="1"/>
  <c r="E314" i="1" a="1"/>
  <c r="E314" i="1"/>
  <c r="E315" i="1" a="1"/>
  <c r="E315" i="1" s="1"/>
  <c r="E316" i="1" a="1"/>
  <c r="E316" i="1" s="1"/>
  <c r="E317" i="1" a="1"/>
  <c r="E317" i="1"/>
  <c r="E318" i="1" a="1"/>
  <c r="E318" i="1"/>
  <c r="E320" i="1" a="1"/>
  <c r="E320" i="1" s="1"/>
  <c r="E321" i="1" a="1"/>
  <c r="E321" i="1"/>
  <c r="E322" i="1" a="1"/>
  <c r="E322" i="1"/>
  <c r="E323" i="1" a="1"/>
  <c r="E323" i="1" s="1"/>
  <c r="E324" i="1" a="1"/>
  <c r="E324" i="1" s="1"/>
  <c r="E325" i="1" a="1"/>
  <c r="E325" i="1" s="1"/>
  <c r="E326" i="1" a="1"/>
  <c r="E326" i="1" s="1"/>
  <c r="E327" i="1" a="1"/>
  <c r="E327" i="1"/>
  <c r="E328" i="1" a="1"/>
  <c r="E328" i="1" s="1"/>
  <c r="E329" i="1" a="1"/>
  <c r="E329" i="1"/>
  <c r="E330" i="1" a="1"/>
  <c r="E330" i="1" s="1"/>
  <c r="E331" i="1" a="1"/>
  <c r="E331" i="1"/>
  <c r="E332" i="1" a="1"/>
  <c r="E332" i="1" s="1"/>
  <c r="E333" i="1" a="1"/>
  <c r="E333" i="1"/>
  <c r="E334" i="1" a="1"/>
  <c r="E334" i="1"/>
  <c r="E335" i="1" a="1"/>
  <c r="E335" i="1"/>
  <c r="E336" i="1" a="1"/>
  <c r="E336" i="1" s="1"/>
  <c r="E337" i="1" a="1"/>
  <c r="E337" i="1" s="1"/>
  <c r="E338" i="1" a="1"/>
  <c r="E338" i="1"/>
  <c r="E339" i="1" a="1"/>
  <c r="E339" i="1"/>
  <c r="E340" i="1" a="1"/>
  <c r="E340" i="1" s="1"/>
  <c r="E341" i="1" a="1"/>
  <c r="E341" i="1"/>
  <c r="E342" i="1" a="1"/>
  <c r="E342" i="1"/>
  <c r="E343" i="1" a="1"/>
  <c r="E343" i="1"/>
  <c r="E344" i="1" a="1"/>
  <c r="E344" i="1"/>
  <c r="E345" i="1" a="1"/>
  <c r="E345" i="1" s="1"/>
  <c r="E346" i="1" a="1"/>
  <c r="E346" i="1" s="1"/>
  <c r="E347" i="1" a="1"/>
  <c r="E347" i="1" s="1"/>
  <c r="E349" i="1" a="1"/>
  <c r="E349" i="1" s="1"/>
  <c r="E351" i="1" a="1"/>
  <c r="E351" i="1" s="1"/>
  <c r="E352" i="1" a="1"/>
  <c r="E352" i="1"/>
  <c r="E353" i="1" a="1"/>
  <c r="E353" i="1"/>
  <c r="E354" i="1" a="1"/>
  <c r="E354" i="1"/>
  <c r="E355" i="1" a="1"/>
  <c r="E355" i="1"/>
  <c r="E356" i="1" a="1"/>
  <c r="E356" i="1"/>
  <c r="E357" i="1" a="1"/>
  <c r="E357" i="1" s="1"/>
  <c r="E358" i="1" a="1"/>
  <c r="E358" i="1" s="1"/>
  <c r="E359" i="1" a="1"/>
  <c r="E359" i="1"/>
  <c r="E362" i="1" a="1"/>
  <c r="E362" i="1" s="1"/>
  <c r="E363" i="1" a="1"/>
  <c r="E363" i="1" s="1"/>
  <c r="E364" i="1" a="1"/>
  <c r="E364" i="1"/>
  <c r="E365" i="1" a="1"/>
  <c r="E365" i="1"/>
  <c r="E366" i="1" a="1"/>
  <c r="E366" i="1" s="1"/>
  <c r="E367" i="1" a="1"/>
  <c r="E367" i="1" s="1"/>
  <c r="E368" i="1" a="1"/>
  <c r="E368" i="1" s="1"/>
  <c r="E369" i="1" a="1"/>
  <c r="E369" i="1"/>
  <c r="E370" i="1" a="1"/>
  <c r="E370" i="1"/>
  <c r="E371" i="1" a="1"/>
  <c r="E371" i="1"/>
  <c r="E372" i="1" a="1"/>
  <c r="E372" i="1"/>
  <c r="E373" i="1" a="1"/>
  <c r="E373" i="1"/>
  <c r="E374" i="1" a="1"/>
  <c r="E374" i="1"/>
  <c r="E375" i="1" a="1"/>
  <c r="E375" i="1"/>
  <c r="E376" i="1" a="1"/>
  <c r="E376" i="1" s="1"/>
  <c r="E377" i="1" a="1"/>
  <c r="E377" i="1" s="1"/>
  <c r="E378" i="1" a="1"/>
  <c r="E378" i="1" s="1"/>
  <c r="E379" i="1" a="1"/>
  <c r="E379" i="1"/>
  <c r="E380" i="1" a="1"/>
  <c r="E380" i="1"/>
  <c r="E381" i="1" a="1"/>
  <c r="E381" i="1" s="1"/>
  <c r="E382" i="1" a="1"/>
  <c r="E382" i="1"/>
  <c r="E383" i="1" a="1"/>
  <c r="E383" i="1" s="1"/>
  <c r="E385" i="1" a="1"/>
  <c r="E385" i="1" s="1"/>
  <c r="E386" i="1" a="1"/>
  <c r="E386" i="1" s="1"/>
  <c r="E387" i="1" a="1"/>
  <c r="E387" i="1"/>
  <c r="E388" i="1" a="1"/>
  <c r="E388" i="1"/>
  <c r="E389" i="1" a="1"/>
  <c r="E389" i="1" s="1"/>
  <c r="E390" i="1" a="1"/>
  <c r="E390" i="1"/>
  <c r="E391" i="1" a="1"/>
  <c r="E391" i="1"/>
  <c r="E392" i="1" a="1"/>
  <c r="E392" i="1" s="1"/>
  <c r="E393" i="1" a="1"/>
  <c r="E393" i="1" s="1"/>
  <c r="E394" i="1" a="1"/>
  <c r="E394" i="1" s="1"/>
  <c r="E395" i="1" a="1"/>
  <c r="E395" i="1" s="1"/>
  <c r="E396" i="1" a="1"/>
  <c r="E396" i="1"/>
  <c r="E397" i="1" a="1"/>
  <c r="E397" i="1" s="1"/>
  <c r="E398" i="1" a="1"/>
  <c r="E398" i="1" s="1"/>
  <c r="E399" i="1" a="1"/>
  <c r="E399" i="1"/>
  <c r="E400" i="1" a="1"/>
  <c r="E400" i="1"/>
  <c r="E401" i="1" a="1"/>
  <c r="E401" i="1" s="1"/>
  <c r="E402" i="1" a="1"/>
  <c r="E402" i="1"/>
  <c r="E403" i="1" a="1"/>
  <c r="E403" i="1" s="1"/>
  <c r="E404" i="1" a="1"/>
  <c r="E404" i="1"/>
  <c r="E405" i="1" a="1"/>
  <c r="E405" i="1"/>
  <c r="E406" i="1" a="1"/>
  <c r="E406" i="1" s="1"/>
  <c r="E407" i="1" a="1"/>
  <c r="E407" i="1" s="1"/>
  <c r="E408" i="1" a="1"/>
  <c r="E408" i="1"/>
  <c r="E409" i="1" a="1"/>
  <c r="E409" i="1" s="1"/>
  <c r="E410" i="1" a="1"/>
  <c r="E410" i="1" s="1"/>
  <c r="E411" i="1" a="1"/>
  <c r="E411" i="1" s="1"/>
  <c r="E412" i="1" a="1"/>
  <c r="E412" i="1" s="1"/>
  <c r="E413" i="1" a="1"/>
  <c r="E413" i="1" s="1"/>
  <c r="E414" i="1" a="1"/>
  <c r="E414" i="1"/>
  <c r="E415" i="1" a="1"/>
  <c r="E415" i="1"/>
  <c r="E416" i="1" a="1"/>
  <c r="E416" i="1" s="1"/>
  <c r="E417" i="1" a="1"/>
  <c r="E417" i="1" s="1"/>
  <c r="E418" i="1" a="1"/>
  <c r="E418" i="1" s="1"/>
  <c r="E419" i="1" a="1"/>
  <c r="E419" i="1"/>
  <c r="E420" i="1" a="1"/>
  <c r="E420" i="1" s="1"/>
  <c r="E421" i="1" a="1"/>
  <c r="E421" i="1"/>
  <c r="E422" i="1" a="1"/>
  <c r="E422" i="1"/>
  <c r="E423" i="1" a="1"/>
  <c r="E423" i="1" s="1"/>
  <c r="E424" i="1" a="1"/>
  <c r="E424" i="1"/>
  <c r="E425" i="1" a="1"/>
  <c r="E425" i="1" s="1"/>
  <c r="E426" i="1" a="1"/>
  <c r="E426" i="1"/>
  <c r="E427" i="1" a="1"/>
  <c r="E427" i="1" s="1"/>
  <c r="E428" i="1" a="1"/>
  <c r="E428" i="1" s="1"/>
  <c r="E429" i="1" a="1"/>
  <c r="E429" i="1" s="1"/>
  <c r="E430" i="1" a="1"/>
  <c r="E430" i="1"/>
  <c r="E431" i="1" a="1"/>
  <c r="E431" i="1"/>
  <c r="E432" i="1" a="1"/>
  <c r="E432" i="1"/>
  <c r="E433" i="1" a="1"/>
  <c r="E433" i="1" s="1"/>
  <c r="E434" i="1" a="1"/>
  <c r="E434" i="1"/>
  <c r="E435" i="1" a="1"/>
  <c r="E435" i="1" s="1"/>
  <c r="E436" i="1" a="1"/>
  <c r="E436" i="1"/>
  <c r="E437" i="1" a="1"/>
  <c r="E437" i="1" s="1"/>
  <c r="E438" i="1" a="1"/>
  <c r="E438" i="1"/>
  <c r="E439" i="1" a="1"/>
  <c r="E439" i="1" s="1"/>
  <c r="E440" i="1" a="1"/>
  <c r="E440" i="1"/>
  <c r="E441" i="1" a="1"/>
  <c r="E441" i="1" s="1"/>
  <c r="E442" i="1" a="1"/>
  <c r="E442" i="1"/>
  <c r="E443" i="1" a="1"/>
  <c r="E443" i="1"/>
  <c r="E444" i="1" a="1"/>
  <c r="E444" i="1" s="1"/>
  <c r="E445" i="1" a="1"/>
  <c r="E445" i="1" s="1"/>
  <c r="E446" i="1" a="1"/>
  <c r="E446" i="1" s="1"/>
  <c r="E447" i="1" a="1"/>
  <c r="E447" i="1" s="1"/>
  <c r="E448" i="1" a="1"/>
  <c r="E448" i="1"/>
  <c r="E449" i="1" a="1"/>
  <c r="E449" i="1" s="1"/>
  <c r="E450" i="1" a="1"/>
  <c r="E450" i="1" s="1"/>
  <c r="E451" i="1" a="1"/>
  <c r="E451" i="1" s="1"/>
  <c r="E452" i="1" a="1"/>
  <c r="E452" i="1"/>
  <c r="E453" i="1" a="1"/>
  <c r="E453" i="1"/>
  <c r="E454" i="1" a="1"/>
  <c r="E454" i="1" s="1"/>
  <c r="E456" i="1" a="1"/>
  <c r="E456" i="1"/>
  <c r="E457" i="1" a="1"/>
  <c r="E457" i="1" s="1"/>
  <c r="E458" i="1" a="1"/>
  <c r="E458" i="1" s="1"/>
  <c r="E459" i="1" a="1"/>
  <c r="E459" i="1" s="1"/>
  <c r="E460" i="1" a="1"/>
  <c r="E460" i="1"/>
  <c r="E461" i="1" a="1"/>
  <c r="E461" i="1"/>
  <c r="E462" i="1" a="1"/>
  <c r="E462" i="1" s="1"/>
  <c r="E463" i="1" a="1"/>
  <c r="E463" i="1" s="1"/>
  <c r="E464" i="1" a="1"/>
  <c r="E464" i="1" s="1"/>
  <c r="E466" i="1" a="1"/>
  <c r="E466" i="1" s="1"/>
  <c r="E467" i="1" a="1"/>
  <c r="E467" i="1" s="1"/>
  <c r="E468" i="1" a="1"/>
  <c r="E468" i="1"/>
  <c r="E469" i="1" a="1"/>
  <c r="E469" i="1" s="1"/>
  <c r="E470" i="1" a="1"/>
  <c r="E470" i="1"/>
  <c r="E471" i="1" a="1"/>
  <c r="E471" i="1" s="1"/>
  <c r="E472" i="1" a="1"/>
  <c r="E472" i="1"/>
  <c r="E473" i="1" a="1"/>
  <c r="E473" i="1" s="1"/>
  <c r="E474" i="1" a="1"/>
  <c r="E474" i="1"/>
  <c r="E475" i="1" a="1"/>
  <c r="E475" i="1" s="1"/>
  <c r="E476" i="1" a="1"/>
  <c r="E476" i="1" s="1"/>
  <c r="E477" i="1" a="1"/>
  <c r="E477" i="1"/>
  <c r="E478" i="1" a="1"/>
  <c r="E478" i="1" s="1"/>
  <c r="E479" i="1" a="1"/>
  <c r="E479" i="1"/>
  <c r="E480" i="1" a="1"/>
  <c r="E480" i="1" s="1"/>
  <c r="E481" i="1" a="1"/>
  <c r="E481" i="1" s="1"/>
  <c r="E482" i="1" a="1"/>
  <c r="E482" i="1" s="1"/>
  <c r="E483" i="1" a="1"/>
  <c r="E483" i="1" s="1"/>
  <c r="E484" i="1" a="1"/>
  <c r="E484" i="1"/>
  <c r="E486" i="1" a="1"/>
  <c r="E486" i="1"/>
  <c r="E487" i="1" a="1"/>
  <c r="E487" i="1" s="1"/>
  <c r="E488" i="1" a="1"/>
  <c r="E488" i="1"/>
  <c r="E489" i="1" a="1"/>
  <c r="E489" i="1" s="1"/>
  <c r="E490" i="1" a="1"/>
  <c r="E490" i="1"/>
  <c r="E491" i="1" a="1"/>
  <c r="E491" i="1"/>
  <c r="E492" i="1" a="1"/>
  <c r="E492" i="1" s="1"/>
  <c r="E493" i="1" a="1"/>
  <c r="E493" i="1" s="1"/>
  <c r="E494" i="1" a="1"/>
  <c r="E494" i="1"/>
  <c r="E495" i="1" a="1"/>
  <c r="E495" i="1"/>
  <c r="E496" i="1" a="1"/>
  <c r="E496" i="1" s="1"/>
  <c r="E497" i="1" a="1"/>
  <c r="E497" i="1"/>
  <c r="E499" i="1" a="1"/>
  <c r="E499" i="1" s="1"/>
  <c r="E500" i="1" a="1"/>
  <c r="E500" i="1" s="1"/>
  <c r="E501" i="1" a="1"/>
  <c r="E501" i="1" s="1"/>
  <c r="E502" i="1" a="1"/>
  <c r="E502" i="1"/>
  <c r="E503" i="1" a="1"/>
  <c r="E503" i="1"/>
  <c r="E504" i="1" a="1"/>
  <c r="E504" i="1" s="1"/>
  <c r="E505" i="1" a="1"/>
  <c r="E505" i="1"/>
  <c r="E506" i="1" a="1"/>
  <c r="E506" i="1"/>
  <c r="E507" i="1" a="1"/>
  <c r="E507" i="1"/>
  <c r="E508" i="1" a="1"/>
  <c r="E508" i="1"/>
  <c r="E509" i="1" a="1"/>
  <c r="E509" i="1" s="1"/>
  <c r="E510" i="1" a="1"/>
  <c r="E510" i="1" s="1"/>
  <c r="E511" i="1" a="1"/>
  <c r="E511" i="1"/>
  <c r="E512" i="1" a="1"/>
  <c r="E512" i="1"/>
  <c r="E513" i="1" a="1"/>
  <c r="E513" i="1" s="1"/>
  <c r="E514" i="1" a="1"/>
  <c r="E514" i="1" s="1"/>
  <c r="E515" i="1" a="1"/>
  <c r="E515" i="1"/>
  <c r="E517" i="1" a="1"/>
  <c r="E517" i="1" s="1"/>
  <c r="E518" i="1" a="1"/>
  <c r="E518" i="1" s="1"/>
  <c r="E519" i="1" a="1"/>
  <c r="E519" i="1" s="1"/>
  <c r="E520" i="1" a="1"/>
  <c r="E520" i="1"/>
  <c r="E521" i="1" a="1"/>
  <c r="E521" i="1"/>
  <c r="E522" i="1" a="1"/>
  <c r="E522" i="1"/>
  <c r="E523" i="1" a="1"/>
  <c r="E523" i="1"/>
  <c r="E525" i="1" a="1"/>
  <c r="E525" i="1"/>
  <c r="E528" i="1" a="1"/>
  <c r="E528" i="1" s="1"/>
  <c r="E529" i="1" a="1"/>
  <c r="E529" i="1" s="1"/>
  <c r="E531" i="1" a="1"/>
  <c r="E531" i="1" s="1"/>
  <c r="E532" i="1" a="1"/>
  <c r="E532" i="1" s="1"/>
  <c r="E533" i="1" a="1"/>
  <c r="E533" i="1" s="1"/>
  <c r="E534" i="1" a="1"/>
  <c r="E534" i="1"/>
  <c r="E535" i="1" a="1"/>
  <c r="E535" i="1"/>
  <c r="E536" i="1" a="1"/>
  <c r="E536" i="1"/>
  <c r="E537" i="1" a="1"/>
  <c r="E537" i="1"/>
  <c r="E539" i="1" a="1"/>
  <c r="E539" i="1" s="1"/>
  <c r="E540" i="1" a="1"/>
  <c r="E540" i="1"/>
  <c r="E541" i="1" a="1"/>
  <c r="E541" i="1" s="1"/>
  <c r="E542" i="1" a="1"/>
  <c r="E542" i="1"/>
  <c r="E543" i="1" a="1"/>
  <c r="E543" i="1" s="1"/>
  <c r="E544" i="1" a="1"/>
  <c r="E544" i="1"/>
  <c r="E545" i="1" a="1"/>
  <c r="E545" i="1" s="1"/>
  <c r="E546" i="1" a="1"/>
  <c r="E546" i="1" s="1"/>
  <c r="E547" i="1" a="1"/>
  <c r="E547" i="1" s="1"/>
  <c r="E548" i="1" a="1"/>
  <c r="E548" i="1" s="1"/>
  <c r="E550" i="1" a="1"/>
  <c r="E550" i="1" s="1"/>
  <c r="E551" i="1" a="1"/>
  <c r="E551" i="1" s="1"/>
  <c r="E552" i="1" a="1"/>
  <c r="E552" i="1"/>
  <c r="E554" i="1" a="1"/>
  <c r="E554" i="1"/>
  <c r="E555" i="1" a="1"/>
  <c r="E555" i="1" s="1"/>
  <c r="E556" i="1" a="1"/>
  <c r="E556" i="1" s="1"/>
  <c r="E557" i="1" a="1"/>
  <c r="E557" i="1" s="1"/>
  <c r="E558" i="1" a="1"/>
  <c r="E558" i="1" s="1"/>
  <c r="E559" i="1" a="1"/>
  <c r="E559" i="1"/>
  <c r="E560" i="1" a="1"/>
  <c r="E560" i="1" s="1"/>
  <c r="E561" i="1" a="1"/>
  <c r="E561" i="1"/>
  <c r="E562" i="1" a="1"/>
  <c r="E562" i="1"/>
  <c r="E563" i="1" a="1"/>
  <c r="E563" i="1"/>
  <c r="E564" i="1" a="1"/>
  <c r="E564" i="1" s="1"/>
  <c r="E565" i="1" a="1"/>
  <c r="E565" i="1" s="1"/>
  <c r="E566" i="1" a="1"/>
  <c r="E566" i="1" s="1"/>
  <c r="E567" i="1" a="1"/>
  <c r="E567" i="1" s="1"/>
  <c r="E568" i="1" a="1"/>
  <c r="E568" i="1" s="1"/>
  <c r="E569" i="1" a="1"/>
  <c r="E569" i="1" s="1"/>
  <c r="E570" i="1" a="1"/>
  <c r="E570" i="1"/>
  <c r="E571" i="1" a="1"/>
  <c r="E571" i="1" s="1"/>
  <c r="E572" i="1" a="1"/>
  <c r="E572" i="1"/>
  <c r="E573" i="1" a="1"/>
  <c r="E573" i="1" s="1"/>
  <c r="E574" i="1" a="1"/>
  <c r="E574" i="1"/>
  <c r="E575" i="1" a="1"/>
  <c r="E575" i="1"/>
  <c r="E576" i="1" a="1"/>
  <c r="E576" i="1"/>
  <c r="E578" i="1" a="1"/>
  <c r="E578" i="1" s="1"/>
  <c r="E579" i="1" a="1"/>
  <c r="E579" i="1"/>
  <c r="E580" i="1" a="1"/>
  <c r="E580" i="1"/>
  <c r="E581" i="1" a="1"/>
  <c r="E581" i="1" s="1"/>
  <c r="E582" i="1" a="1"/>
  <c r="E582" i="1" s="1"/>
  <c r="E583" i="1" a="1"/>
  <c r="E583" i="1" s="1"/>
  <c r="E584" i="1" a="1"/>
  <c r="E584" i="1"/>
  <c r="E585" i="1" a="1"/>
  <c r="E585" i="1" s="1"/>
  <c r="E587" i="1" a="1"/>
  <c r="E587" i="1" s="1"/>
  <c r="E588" i="1" a="1"/>
  <c r="E588" i="1" s="1"/>
  <c r="E590" i="1" a="1"/>
  <c r="E590" i="1" s="1"/>
  <c r="E591" i="1" a="1"/>
  <c r="E591" i="1"/>
  <c r="E592" i="1" a="1"/>
  <c r="E592" i="1" s="1"/>
  <c r="E593" i="1" a="1"/>
  <c r="E593" i="1"/>
  <c r="E594" i="1" a="1"/>
  <c r="E594" i="1"/>
  <c r="E595" i="1" a="1"/>
  <c r="E595" i="1" s="1"/>
  <c r="E596" i="1" a="1"/>
  <c r="E596" i="1"/>
  <c r="E597" i="1" a="1"/>
  <c r="E597" i="1"/>
  <c r="E598" i="1" a="1"/>
  <c r="E598" i="1"/>
  <c r="E599" i="1" a="1"/>
  <c r="E599" i="1" s="1"/>
  <c r="E600" i="1" a="1"/>
  <c r="E600" i="1" s="1"/>
  <c r="E601" i="1" a="1"/>
  <c r="E601" i="1" s="1"/>
  <c r="E602" i="1" a="1"/>
  <c r="E602" i="1"/>
  <c r="E603" i="1" a="1"/>
  <c r="E603" i="1"/>
  <c r="E604" i="1" a="1"/>
  <c r="E604" i="1" s="1"/>
  <c r="E605" i="1" a="1"/>
  <c r="E605" i="1" s="1"/>
  <c r="E606" i="1" a="1"/>
  <c r="E606" i="1" s="1"/>
  <c r="E607" i="1" a="1"/>
  <c r="E607" i="1"/>
  <c r="E608" i="1" a="1"/>
  <c r="E608" i="1" s="1"/>
  <c r="E609" i="1" a="1"/>
  <c r="E609" i="1" s="1"/>
  <c r="E610" i="1" a="1"/>
  <c r="E610" i="1"/>
  <c r="E611" i="1" a="1"/>
  <c r="E611" i="1" s="1"/>
  <c r="E612" i="1" a="1"/>
  <c r="E612" i="1"/>
  <c r="E613" i="1" a="1"/>
  <c r="E613" i="1"/>
  <c r="E615" i="1" a="1"/>
  <c r="E615" i="1" s="1"/>
  <c r="E616" i="1" a="1"/>
  <c r="E616" i="1"/>
  <c r="E617" i="1" a="1"/>
  <c r="E617" i="1" s="1"/>
  <c r="E619" i="1" a="1"/>
  <c r="E619" i="1"/>
  <c r="E620" i="1" a="1"/>
  <c r="E620" i="1"/>
  <c r="E621" i="1" a="1"/>
  <c r="E621" i="1"/>
  <c r="E622" i="1" a="1"/>
  <c r="E622" i="1" s="1"/>
  <c r="E623" i="1" a="1"/>
  <c r="E623" i="1" s="1"/>
  <c r="E624" i="1" a="1"/>
  <c r="E624" i="1" s="1"/>
  <c r="E625" i="1" a="1"/>
  <c r="E625" i="1" s="1"/>
  <c r="E626" i="1" a="1"/>
  <c r="E626" i="1" s="1"/>
  <c r="E627" i="1" a="1"/>
  <c r="E627" i="1"/>
  <c r="E628" i="1" a="1"/>
  <c r="E628" i="1" s="1"/>
  <c r="E629" i="1" a="1"/>
  <c r="E629" i="1" s="1"/>
  <c r="E630" i="1" a="1"/>
  <c r="E630" i="1" s="1"/>
  <c r="E631" i="1" a="1"/>
  <c r="E631" i="1" s="1"/>
  <c r="E632" i="1" a="1"/>
  <c r="E632" i="1"/>
  <c r="E633" i="1" a="1"/>
  <c r="E633" i="1" s="1"/>
  <c r="E634" i="1" a="1"/>
  <c r="E634" i="1" s="1"/>
  <c r="E636" i="1" a="1"/>
  <c r="E636" i="1" s="1"/>
  <c r="E637" i="1" a="1"/>
  <c r="E637" i="1"/>
  <c r="E638" i="1" a="1"/>
  <c r="E638" i="1" s="1"/>
  <c r="E639" i="1" a="1"/>
  <c r="E639" i="1"/>
  <c r="E641" i="1" a="1"/>
  <c r="E641" i="1"/>
  <c r="E642" i="1" a="1"/>
  <c r="E642" i="1" s="1"/>
  <c r="E643" i="1" a="1"/>
  <c r="E643" i="1" s="1"/>
  <c r="E644" i="1" a="1"/>
  <c r="E644" i="1" s="1"/>
  <c r="E645" i="1" a="1"/>
  <c r="E645" i="1"/>
  <c r="E646" i="1" a="1"/>
  <c r="E646" i="1"/>
  <c r="E647" i="1" a="1"/>
  <c r="E647" i="1" s="1"/>
  <c r="E648" i="1" a="1"/>
  <c r="E648" i="1"/>
  <c r="E649" i="1" a="1"/>
  <c r="E649" i="1"/>
  <c r="E650" i="1" a="1"/>
  <c r="E650" i="1"/>
  <c r="E651" i="1" a="1"/>
  <c r="E651" i="1"/>
  <c r="E652" i="1" a="1"/>
  <c r="E652" i="1" s="1"/>
  <c r="E653" i="1" a="1"/>
  <c r="E653" i="1" s="1"/>
  <c r="E655" i="1" a="1"/>
  <c r="E655" i="1"/>
  <c r="E656" i="1" a="1"/>
  <c r="E656" i="1" s="1"/>
  <c r="E658" i="1" a="1"/>
  <c r="E658" i="1" s="1"/>
  <c r="E659" i="1" a="1"/>
  <c r="E659" i="1" s="1"/>
  <c r="E660" i="1" a="1"/>
  <c r="E660" i="1"/>
  <c r="E661" i="1" a="1"/>
  <c r="E661" i="1" s="1"/>
  <c r="E662" i="1" a="1"/>
  <c r="E662" i="1" s="1"/>
  <c r="E663" i="1" a="1"/>
  <c r="E663" i="1" s="1"/>
  <c r="E664" i="1" a="1"/>
  <c r="E664" i="1"/>
  <c r="E665" i="1" a="1"/>
  <c r="E665" i="1"/>
  <c r="E666" i="1" a="1"/>
  <c r="E666" i="1" s="1"/>
  <c r="E667" i="1" a="1"/>
  <c r="E667" i="1"/>
  <c r="E668" i="1" a="1"/>
  <c r="E668" i="1"/>
  <c r="E669" i="1" a="1"/>
  <c r="E669" i="1" s="1"/>
  <c r="E670" i="1" a="1"/>
  <c r="E670" i="1" s="1"/>
  <c r="E671" i="1" a="1"/>
  <c r="E671" i="1" s="1"/>
  <c r="E672" i="1" a="1"/>
  <c r="E672" i="1" s="1"/>
  <c r="E673" i="1" a="1"/>
  <c r="E673" i="1"/>
  <c r="E674" i="1" a="1"/>
  <c r="E674" i="1"/>
  <c r="E675" i="1" a="1"/>
  <c r="E675" i="1"/>
  <c r="E676" i="1" a="1"/>
  <c r="E676" i="1" s="1"/>
  <c r="E677" i="1" a="1"/>
  <c r="E677" i="1" s="1"/>
  <c r="E678" i="1" a="1"/>
  <c r="E678" i="1" s="1"/>
  <c r="E679" i="1" a="1"/>
  <c r="E679" i="1"/>
  <c r="E680" i="1" a="1"/>
  <c r="E680" i="1" s="1"/>
  <c r="E681" i="1" a="1"/>
  <c r="E681" i="1"/>
  <c r="E682" i="1" a="1"/>
  <c r="E682" i="1" s="1"/>
  <c r="E683" i="1" a="1"/>
  <c r="E683" i="1"/>
  <c r="E684" i="1" a="1"/>
  <c r="E684" i="1"/>
  <c r="E685" i="1" a="1"/>
  <c r="E685" i="1"/>
  <c r="E686" i="1" a="1"/>
  <c r="E686" i="1" s="1"/>
  <c r="E687" i="1" a="1"/>
  <c r="E687" i="1" s="1"/>
  <c r="E688" i="1" a="1"/>
  <c r="E688" i="1" s="1"/>
  <c r="E689" i="1" a="1"/>
  <c r="E689" i="1"/>
  <c r="E690" i="1" a="1"/>
  <c r="E690" i="1" s="1"/>
  <c r="E691" i="1" a="1"/>
  <c r="E691" i="1"/>
  <c r="E692" i="1" a="1"/>
  <c r="E692" i="1"/>
  <c r="E693" i="1" a="1"/>
  <c r="E693" i="1"/>
  <c r="E694" i="1" a="1"/>
  <c r="E694" i="1" s="1"/>
  <c r="E695" i="1" a="1"/>
  <c r="E695" i="1"/>
  <c r="E696" i="1" a="1"/>
  <c r="E696" i="1"/>
  <c r="E697" i="1" a="1"/>
  <c r="E697" i="1" s="1"/>
  <c r="E698" i="1" a="1"/>
  <c r="E698" i="1"/>
  <c r="E699" i="1" a="1"/>
  <c r="E699" i="1" s="1"/>
  <c r="E700" i="1" a="1"/>
  <c r="E700" i="1"/>
  <c r="E701" i="1" a="1"/>
  <c r="E701" i="1"/>
  <c r="E702" i="1" a="1"/>
  <c r="E702" i="1" s="1"/>
  <c r="E703" i="1" a="1"/>
  <c r="E703" i="1"/>
  <c r="E704" i="1" a="1"/>
  <c r="E704" i="1" s="1"/>
  <c r="E705" i="1" a="1"/>
  <c r="E705" i="1" s="1"/>
  <c r="E706" i="1" a="1"/>
  <c r="E706" i="1"/>
  <c r="E707" i="1" a="1"/>
  <c r="E707" i="1" s="1"/>
  <c r="E708" i="1" a="1"/>
  <c r="E708" i="1"/>
  <c r="E709" i="1" a="1"/>
  <c r="E709" i="1" s="1"/>
  <c r="E710" i="1" a="1"/>
  <c r="E710" i="1" s="1"/>
  <c r="E711" i="1" a="1"/>
  <c r="E711" i="1" s="1"/>
  <c r="E712" i="1" a="1"/>
  <c r="E712" i="1"/>
  <c r="E713" i="1" a="1"/>
  <c r="E713" i="1"/>
  <c r="E714" i="1" a="1"/>
  <c r="E714" i="1" s="1"/>
  <c r="E715" i="1" a="1"/>
  <c r="E715" i="1"/>
  <c r="E716" i="1" a="1"/>
  <c r="E716" i="1" s="1"/>
  <c r="E717" i="1" a="1"/>
  <c r="E717" i="1"/>
  <c r="E718" i="1" a="1"/>
  <c r="E718" i="1" s="1"/>
  <c r="E719" i="1" a="1"/>
  <c r="E719" i="1" s="1"/>
  <c r="E720" i="1" a="1"/>
  <c r="E720" i="1"/>
  <c r="E721" i="1" a="1"/>
  <c r="E721" i="1" s="1"/>
  <c r="E722" i="1" a="1"/>
  <c r="E722" i="1" s="1"/>
  <c r="E723" i="1" a="1"/>
  <c r="E723" i="1"/>
  <c r="E724" i="1" a="1"/>
  <c r="E724" i="1" s="1"/>
  <c r="E725" i="1" a="1"/>
  <c r="E725" i="1"/>
  <c r="E726" i="1" a="1"/>
  <c r="E726" i="1" s="1"/>
  <c r="E727" i="1" a="1"/>
  <c r="E727" i="1"/>
  <c r="E728" i="1" a="1"/>
  <c r="E728" i="1"/>
  <c r="E729" i="1" a="1"/>
  <c r="E729" i="1"/>
  <c r="E730" i="1" a="1"/>
  <c r="E730" i="1"/>
  <c r="E731" i="1" a="1"/>
  <c r="E731" i="1" s="1"/>
  <c r="E732" i="1" a="1"/>
  <c r="E732" i="1"/>
  <c r="E733" i="1" a="1"/>
  <c r="E733" i="1" s="1"/>
  <c r="E734" i="1" a="1"/>
  <c r="E734" i="1" s="1"/>
  <c r="E735" i="1" a="1"/>
  <c r="E735" i="1" s="1"/>
  <c r="E736" i="1" a="1"/>
  <c r="E736" i="1"/>
  <c r="E737" i="1" a="1"/>
  <c r="E737" i="1"/>
  <c r="E738" i="1" a="1"/>
  <c r="E738" i="1" s="1"/>
  <c r="E739" i="1" a="1"/>
  <c r="E739" i="1" s="1"/>
  <c r="E740" i="1" a="1"/>
  <c r="E740" i="1" s="1"/>
  <c r="E743" i="1" a="1"/>
  <c r="E743" i="1" s="1"/>
  <c r="E745" i="1" a="1"/>
  <c r="E745" i="1" s="1"/>
  <c r="E746" i="1" a="1"/>
  <c r="E746" i="1"/>
  <c r="E754" i="1" a="1"/>
  <c r="E754" i="1" s="1"/>
  <c r="E755" i="1" a="1"/>
  <c r="E755" i="1" s="1"/>
  <c r="E756" i="1" a="1"/>
  <c r="E756" i="1"/>
  <c r="E757" i="1" a="1"/>
  <c r="E757" i="1"/>
  <c r="E758" i="1" a="1"/>
  <c r="E758" i="1" s="1"/>
  <c r="E759" i="1" a="1"/>
  <c r="E759" i="1"/>
  <c r="E760" i="1" a="1"/>
  <c r="E760" i="1" s="1"/>
  <c r="E761" i="1" a="1"/>
  <c r="E761" i="1" s="1"/>
  <c r="E762" i="1" a="1"/>
  <c r="E762" i="1"/>
  <c r="E763" i="1" a="1"/>
  <c r="E763" i="1" s="1"/>
  <c r="E764" i="1" a="1"/>
  <c r="E764" i="1" s="1"/>
  <c r="E765" i="1" a="1"/>
  <c r="E765" i="1" s="1"/>
  <c r="E766" i="1" a="1"/>
  <c r="E766" i="1" s="1"/>
  <c r="E767" i="1" a="1"/>
  <c r="E767" i="1" s="1"/>
  <c r="E768" i="1" a="1"/>
  <c r="E768" i="1" s="1"/>
  <c r="E770" i="1" a="1"/>
  <c r="E770" i="1"/>
  <c r="E771" i="1" a="1"/>
  <c r="E771" i="1"/>
  <c r="E774" i="1" a="1"/>
  <c r="E774" i="1" s="1"/>
  <c r="E775" i="1" a="1"/>
  <c r="E775" i="1" s="1"/>
  <c r="E777" i="1" a="1"/>
  <c r="E777" i="1" s="1"/>
  <c r="E780" i="1" a="1"/>
  <c r="E780" i="1"/>
  <c r="E783" i="1" a="1"/>
  <c r="E783" i="1" s="1"/>
  <c r="E784" i="1" a="1"/>
  <c r="E784" i="1" s="1"/>
  <c r="E785" i="1" a="1"/>
  <c r="E785" i="1"/>
  <c r="E786" i="1" a="1"/>
  <c r="E786" i="1"/>
  <c r="E787" i="1" a="1"/>
  <c r="E787" i="1" s="1"/>
  <c r="E788" i="1" a="1"/>
  <c r="E788" i="1"/>
  <c r="E790" i="1" a="1"/>
  <c r="E790" i="1" s="1"/>
  <c r="E792" i="1" a="1"/>
  <c r="E792" i="1" s="1"/>
  <c r="E793" i="1" a="1"/>
  <c r="E793" i="1" s="1"/>
  <c r="E794" i="1" a="1"/>
  <c r="E794" i="1" s="1"/>
  <c r="E795" i="1" a="1"/>
  <c r="E795" i="1"/>
  <c r="E798" i="1" a="1"/>
  <c r="E798" i="1" s="1"/>
  <c r="E799" i="1" a="1"/>
  <c r="E799" i="1" s="1"/>
  <c r="E801" i="1" a="1"/>
  <c r="E801" i="1"/>
  <c r="E802" i="1" a="1"/>
  <c r="E802" i="1"/>
  <c r="E803" i="1" a="1"/>
  <c r="E803" i="1" s="1"/>
  <c r="E804" i="1" a="1"/>
  <c r="E804" i="1"/>
  <c r="E805" i="1" a="1"/>
  <c r="E805" i="1" s="1"/>
  <c r="E806" i="1" a="1"/>
  <c r="E806" i="1" s="1"/>
  <c r="E807" i="1" a="1"/>
  <c r="E807" i="1" s="1"/>
  <c r="E808" i="1" a="1"/>
  <c r="E808" i="1" s="1"/>
  <c r="E809" i="1" a="1"/>
  <c r="E809" i="1" s="1"/>
  <c r="E810" i="1" a="1"/>
  <c r="E810" i="1"/>
  <c r="E811" i="1" a="1"/>
  <c r="E811" i="1" s="1"/>
  <c r="E812" i="1" a="1"/>
  <c r="E812" i="1" s="1"/>
  <c r="E813" i="1" a="1"/>
  <c r="E813" i="1" s="1"/>
  <c r="E814" i="1" a="1"/>
  <c r="E814" i="1" s="1"/>
  <c r="E815" i="1" a="1"/>
  <c r="E815" i="1"/>
  <c r="E816" i="1" a="1"/>
  <c r="E816" i="1" s="1"/>
  <c r="E817" i="1" a="1"/>
  <c r="E817" i="1"/>
  <c r="E818" i="1" a="1"/>
  <c r="E818" i="1"/>
  <c r="E819" i="1" a="1"/>
  <c r="E819" i="1" s="1"/>
  <c r="E820" i="1" a="1"/>
  <c r="E820" i="1"/>
  <c r="E821" i="1" a="1"/>
  <c r="E821" i="1"/>
  <c r="E822" i="1" a="1"/>
  <c r="E822" i="1" s="1"/>
  <c r="E823" i="1" a="1"/>
  <c r="E823" i="1"/>
  <c r="E824" i="1" a="1"/>
  <c r="E824" i="1"/>
  <c r="E825" i="1" a="1"/>
  <c r="E825" i="1" s="1"/>
  <c r="E826" i="1" a="1"/>
  <c r="E826" i="1" s="1"/>
  <c r="E827" i="1" a="1"/>
  <c r="E827" i="1"/>
  <c r="E828" i="1" a="1"/>
  <c r="E828" i="1" s="1"/>
  <c r="E829" i="1" a="1"/>
  <c r="E829" i="1"/>
  <c r="E830" i="1" a="1"/>
  <c r="E830" i="1" s="1"/>
  <c r="E831" i="1" a="1"/>
  <c r="E831" i="1"/>
  <c r="E832" i="1" a="1"/>
  <c r="E832" i="1" s="1"/>
  <c r="E833" i="1" a="1"/>
  <c r="E833" i="1" s="1"/>
  <c r="E834" i="1" a="1"/>
  <c r="E834" i="1"/>
  <c r="E835" i="1" a="1"/>
  <c r="E835" i="1"/>
  <c r="E836" i="1" a="1"/>
  <c r="E836" i="1" s="1"/>
  <c r="E837" i="1" a="1"/>
  <c r="E837" i="1"/>
  <c r="E838" i="1" a="1"/>
  <c r="E838" i="1" s="1"/>
  <c r="E839" i="1" a="1"/>
  <c r="E839" i="1"/>
  <c r="E840" i="1" a="1"/>
  <c r="E840" i="1" s="1"/>
  <c r="E841" i="1" a="1"/>
  <c r="E841" i="1"/>
  <c r="E843" i="1" a="1"/>
  <c r="E843" i="1" s="1"/>
  <c r="E844" i="1" a="1"/>
  <c r="E844" i="1"/>
  <c r="E845" i="1" a="1"/>
  <c r="E845" i="1" s="1"/>
  <c r="E847" i="1" a="1"/>
  <c r="E847" i="1"/>
  <c r="E849" i="1" a="1"/>
  <c r="E849" i="1" s="1"/>
  <c r="E850" i="1" a="1"/>
  <c r="E850" i="1"/>
  <c r="E851" i="1" a="1"/>
  <c r="E851" i="1"/>
  <c r="E852" i="1" a="1"/>
  <c r="E852" i="1" s="1"/>
  <c r="E853" i="1" a="1"/>
  <c r="E853" i="1" s="1"/>
  <c r="E854" i="1" a="1"/>
  <c r="E854" i="1"/>
  <c r="E855" i="1" a="1"/>
  <c r="E855" i="1"/>
  <c r="E856" i="1" a="1"/>
  <c r="E856" i="1"/>
  <c r="E859" i="1" a="1"/>
  <c r="E859" i="1" s="1"/>
  <c r="E860" i="1" a="1"/>
  <c r="E860" i="1"/>
  <c r="E861" i="1" a="1"/>
  <c r="E861" i="1"/>
  <c r="E862" i="1" a="1"/>
  <c r="E862" i="1" s="1"/>
  <c r="E863" i="1" a="1"/>
  <c r="E863" i="1"/>
  <c r="E864" i="1" a="1"/>
  <c r="E864" i="1" s="1"/>
  <c r="E866" i="1" a="1"/>
  <c r="E866" i="1" s="1"/>
  <c r="E867" i="1" a="1"/>
  <c r="E867" i="1"/>
  <c r="E868" i="1" a="1"/>
  <c r="E868" i="1" s="1"/>
  <c r="E869" i="1" a="1"/>
  <c r="E869" i="1"/>
  <c r="E870" i="1" a="1"/>
  <c r="E870" i="1"/>
  <c r="E871" i="1" a="1"/>
  <c r="E871" i="1" s="1"/>
  <c r="E872" i="1" a="1"/>
  <c r="E872" i="1" s="1"/>
  <c r="E873" i="1" a="1"/>
  <c r="E873" i="1" s="1"/>
  <c r="E874" i="1" a="1"/>
  <c r="E874" i="1"/>
  <c r="E876" i="1" a="1"/>
  <c r="E876" i="1"/>
  <c r="E878" i="1" a="1"/>
  <c r="E878" i="1" s="1"/>
  <c r="E879" i="1" a="1"/>
  <c r="E879" i="1"/>
  <c r="E880" i="1" a="1"/>
  <c r="E880" i="1"/>
  <c r="E881" i="1" a="1"/>
  <c r="E881" i="1" s="1"/>
  <c r="E882" i="1" a="1"/>
  <c r="E882" i="1"/>
  <c r="E883" i="1" a="1"/>
  <c r="E883" i="1"/>
  <c r="E884" i="1" a="1"/>
  <c r="E884" i="1" s="1"/>
  <c r="E885" i="1" a="1"/>
  <c r="E885" i="1"/>
  <c r="E886" i="1" a="1"/>
  <c r="E886" i="1" s="1"/>
  <c r="E887" i="1" a="1"/>
  <c r="E887" i="1"/>
  <c r="E888" i="1" a="1"/>
  <c r="E888" i="1" s="1"/>
  <c r="E889" i="1" a="1"/>
  <c r="E889" i="1"/>
  <c r="E893" i="1" a="1"/>
  <c r="E893" i="1" s="1"/>
  <c r="E894" i="1" a="1"/>
  <c r="E894" i="1" s="1"/>
  <c r="E895" i="1" a="1"/>
  <c r="E895" i="1" s="1"/>
  <c r="E896" i="1" a="1"/>
  <c r="E896" i="1"/>
  <c r="E900" i="1" a="1"/>
  <c r="E900" i="1" s="1"/>
  <c r="E901" i="1" a="1"/>
  <c r="E901" i="1"/>
  <c r="E902" i="1" a="1"/>
  <c r="E902" i="1"/>
  <c r="E905" i="1" a="1"/>
  <c r="E905" i="1"/>
  <c r="E906" i="1" a="1"/>
  <c r="E906" i="1" s="1"/>
  <c r="E907" i="1" a="1"/>
  <c r="E907" i="1"/>
  <c r="E908" i="1" a="1"/>
  <c r="E908" i="1"/>
  <c r="E909" i="1" a="1"/>
  <c r="E909" i="1"/>
  <c r="E912" i="1" a="1"/>
  <c r="E912" i="1" s="1"/>
  <c r="E913" i="1" a="1"/>
  <c r="E913" i="1"/>
  <c r="E914" i="1" a="1"/>
  <c r="E914" i="1" s="1"/>
  <c r="E915" i="1" a="1"/>
  <c r="E915" i="1" s="1"/>
  <c r="E916" i="1" a="1"/>
  <c r="E916" i="1"/>
  <c r="E918" i="1" a="1"/>
  <c r="E918" i="1" s="1"/>
  <c r="E920" i="1" a="1"/>
  <c r="E920" i="1" s="1"/>
  <c r="E921" i="1" a="1"/>
  <c r="E921" i="1"/>
  <c r="E922" i="1" a="1"/>
  <c r="E922" i="1" s="1"/>
  <c r="E923" i="1" a="1"/>
  <c r="E923" i="1"/>
  <c r="E924" i="1" a="1"/>
  <c r="E924" i="1"/>
  <c r="E925" i="1" a="1"/>
  <c r="E925" i="1" s="1"/>
  <c r="E926" i="1" a="1"/>
  <c r="E926" i="1"/>
  <c r="E927" i="1" a="1"/>
  <c r="E927" i="1" s="1"/>
  <c r="E928" i="1" a="1"/>
  <c r="E928" i="1" s="1"/>
  <c r="E929" i="1" a="1"/>
  <c r="E929" i="1"/>
  <c r="E930" i="1" a="1"/>
  <c r="E930" i="1" s="1"/>
  <c r="E935" i="1" a="1"/>
  <c r="E935" i="1"/>
  <c r="E937" i="1" a="1"/>
  <c r="E937" i="1" s="1"/>
  <c r="E938" i="1" a="1"/>
  <c r="E938" i="1"/>
  <c r="E939" i="1" a="1"/>
  <c r="E939" i="1"/>
  <c r="E943" i="1" a="1"/>
  <c r="E943" i="1"/>
  <c r="E944" i="1" a="1"/>
  <c r="E944" i="1"/>
  <c r="E945" i="1" a="1"/>
  <c r="E945" i="1"/>
  <c r="E946" i="1" a="1"/>
  <c r="E946" i="1" s="1"/>
  <c r="E947" i="1" a="1"/>
  <c r="E947" i="1"/>
  <c r="E949" i="1" a="1"/>
  <c r="E949" i="1"/>
  <c r="E950" i="1" a="1"/>
  <c r="E950" i="1"/>
  <c r="E951" i="1" a="1"/>
  <c r="E951" i="1" s="1"/>
  <c r="E955" i="1" a="1"/>
  <c r="E955" i="1" s="1"/>
  <c r="E956" i="1" a="1"/>
  <c r="E956" i="1"/>
  <c r="E959" i="1" a="1"/>
  <c r="E959" i="1"/>
  <c r="E960" i="1" a="1"/>
  <c r="E960" i="1" s="1"/>
  <c r="E961" i="1" a="1"/>
  <c r="E961" i="1"/>
  <c r="E962" i="1" a="1"/>
  <c r="E962" i="1"/>
  <c r="E963" i="1" a="1"/>
  <c r="E963" i="1" s="1"/>
  <c r="E964" i="1" a="1"/>
  <c r="E964" i="1"/>
  <c r="E965" i="1" a="1"/>
  <c r="E965" i="1"/>
  <c r="E966" i="1" a="1"/>
  <c r="E966" i="1" s="1"/>
  <c r="E967" i="1" a="1"/>
  <c r="E967" i="1"/>
  <c r="E968" i="1" a="1"/>
  <c r="E968" i="1" s="1"/>
  <c r="E969" i="1" a="1"/>
  <c r="E969" i="1"/>
  <c r="E970" i="1" a="1"/>
  <c r="E970" i="1" s="1"/>
  <c r="E971" i="1" a="1"/>
  <c r="E971" i="1"/>
  <c r="E972" i="1" a="1"/>
  <c r="E972" i="1" s="1"/>
  <c r="E973" i="1" a="1"/>
  <c r="E973" i="1"/>
  <c r="E974" i="1" a="1"/>
  <c r="E974" i="1"/>
  <c r="E975" i="1" a="1"/>
  <c r="E975" i="1"/>
  <c r="E976" i="1" a="1"/>
  <c r="E976" i="1" s="1"/>
  <c r="E977" i="1" a="1"/>
  <c r="E977" i="1"/>
  <c r="E979" i="1" a="1"/>
  <c r="E979" i="1" s="1"/>
  <c r="E980" i="1" a="1"/>
  <c r="E980" i="1"/>
  <c r="E981" i="1" a="1"/>
  <c r="E981" i="1" s="1"/>
  <c r="E982" i="1" a="1"/>
  <c r="E982" i="1" s="1"/>
  <c r="E983" i="1" a="1"/>
  <c r="E983" i="1"/>
  <c r="E984" i="1" a="1"/>
  <c r="E984" i="1"/>
  <c r="E985" i="1" a="1"/>
  <c r="E985" i="1" s="1"/>
  <c r="E987" i="1" a="1"/>
  <c r="E987" i="1"/>
  <c r="E996" i="1" a="1"/>
  <c r="E996" i="1"/>
  <c r="E998" i="1" a="1"/>
  <c r="E998" i="1" s="1"/>
  <c r="E999" i="1" a="1"/>
  <c r="E999" i="1"/>
  <c r="E1002" i="1" a="1"/>
  <c r="E1002" i="1" s="1"/>
  <c r="E1003" i="1" a="1"/>
  <c r="E1003" i="1" s="1"/>
  <c r="E1005" i="1" a="1"/>
  <c r="E1005" i="1"/>
  <c r="E1007" i="1" a="1"/>
  <c r="E1007" i="1" s="1"/>
  <c r="E1010" i="1" a="1"/>
  <c r="E1010" i="1"/>
  <c r="E1011" i="1" a="1"/>
  <c r="E1011" i="1" s="1"/>
  <c r="E1018" i="1" a="1"/>
  <c r="E1018" i="1"/>
  <c r="E1019" i="1" a="1"/>
  <c r="E1019" i="1"/>
  <c r="E1020" i="1" a="1"/>
  <c r="E1020" i="1"/>
  <c r="E1021" i="1" a="1"/>
  <c r="E1021" i="1"/>
  <c r="E1022" i="1" a="1"/>
  <c r="E1022" i="1"/>
  <c r="E1024" i="1" a="1"/>
  <c r="E1024" i="1" s="1"/>
  <c r="E1030" i="1" a="1"/>
  <c r="E1030" i="1"/>
  <c r="E1032" i="1" a="1"/>
  <c r="E1032" i="1" s="1"/>
  <c r="E1033" i="1" a="1"/>
  <c r="E1033" i="1"/>
  <c r="E1036" i="1" a="1"/>
  <c r="E1036" i="1" s="1"/>
  <c r="E1037" i="1" a="1"/>
  <c r="E1037" i="1" s="1"/>
  <c r="E1038" i="1" a="1"/>
  <c r="E1038" i="1" s="1"/>
  <c r="E1039" i="1" a="1"/>
  <c r="E1039" i="1"/>
  <c r="E1040" i="1" a="1"/>
  <c r="E1040" i="1" s="1"/>
  <c r="E1041" i="1" a="1"/>
  <c r="E1041" i="1"/>
  <c r="E1042" i="1" a="1"/>
  <c r="E1042" i="1" s="1"/>
  <c r="E1043" i="1" a="1"/>
  <c r="E1043" i="1" s="1"/>
  <c r="E1044" i="1" a="1"/>
  <c r="E1044" i="1"/>
  <c r="E1045" i="1" a="1"/>
  <c r="E1045" i="1"/>
  <c r="E1046" i="1" a="1"/>
  <c r="E1046" i="1"/>
  <c r="E1047" i="1" a="1"/>
  <c r="E1047" i="1"/>
  <c r="E1048" i="1" a="1"/>
  <c r="E1048" i="1" s="1"/>
  <c r="E1049" i="1" a="1"/>
  <c r="E1049" i="1"/>
  <c r="E1050" i="1" a="1"/>
  <c r="E1050" i="1"/>
  <c r="E1051" i="1" a="1"/>
  <c r="E1051" i="1" s="1"/>
  <c r="E1052" i="1" a="1"/>
  <c r="E1052" i="1"/>
  <c r="E1053" i="1" a="1"/>
  <c r="E1053" i="1" s="1"/>
  <c r="E1054" i="1" a="1"/>
  <c r="E1054" i="1" s="1"/>
  <c r="E1055" i="1" a="1"/>
  <c r="E1055" i="1"/>
  <c r="E1056" i="1" a="1"/>
  <c r="E1056" i="1" s="1"/>
  <c r="E1057" i="1" a="1"/>
  <c r="E1057" i="1"/>
  <c r="E1058" i="1" a="1"/>
  <c r="E1058" i="1" s="1"/>
  <c r="E1059" i="1" a="1"/>
  <c r="E1059" i="1"/>
  <c r="E1060" i="1" a="1"/>
  <c r="E1060" i="1" s="1"/>
  <c r="E1062" i="1" a="1"/>
  <c r="E1062" i="1" s="1"/>
  <c r="E1063" i="1" a="1"/>
  <c r="E1063" i="1"/>
  <c r="E1064" i="1" a="1"/>
  <c r="E1064" i="1"/>
  <c r="E1066" i="1" a="1"/>
  <c r="E1066" i="1" s="1"/>
  <c r="E1067" i="1" a="1"/>
  <c r="E1067" i="1"/>
  <c r="E1068" i="1" a="1"/>
  <c r="E1068" i="1"/>
  <c r="E1069" i="1" a="1"/>
  <c r="E1069" i="1"/>
  <c r="E1070" i="1" a="1"/>
  <c r="E1070" i="1" s="1"/>
  <c r="E1071" i="1" a="1"/>
  <c r="E1071" i="1"/>
  <c r="E1073" i="1" a="1"/>
  <c r="E1073" i="1" s="1"/>
  <c r="E1074" i="1" a="1"/>
  <c r="E1074" i="1"/>
  <c r="E1075" i="1" a="1"/>
  <c r="E1075" i="1" s="1"/>
  <c r="E1076" i="1" a="1"/>
  <c r="E1076" i="1"/>
  <c r="E1077" i="1" a="1"/>
  <c r="E1077" i="1"/>
  <c r="E1078" i="1" a="1"/>
  <c r="E1078" i="1"/>
  <c r="E1079" i="1" a="1"/>
  <c r="E1079" i="1" s="1"/>
  <c r="E1080" i="1" a="1"/>
  <c r="E1080" i="1" s="1"/>
  <c r="E1081" i="1" a="1"/>
  <c r="E1081" i="1" s="1"/>
  <c r="E1082" i="1" a="1"/>
  <c r="E1082" i="1"/>
  <c r="E1083" i="1" a="1"/>
  <c r="E1083" i="1" s="1"/>
  <c r="E1084" i="1" a="1"/>
  <c r="E1084" i="1"/>
  <c r="E1085" i="1" a="1"/>
  <c r="E1085" i="1"/>
  <c r="E1086" i="1" a="1"/>
  <c r="E1086" i="1" s="1"/>
  <c r="E1087" i="1" a="1"/>
  <c r="E1087" i="1"/>
  <c r="E1088" i="1" a="1"/>
  <c r="E1088" i="1" s="1"/>
  <c r="E1089" i="1" a="1"/>
  <c r="E1089" i="1"/>
  <c r="E1090" i="1" a="1"/>
  <c r="E1090" i="1"/>
  <c r="E1091" i="1" a="1"/>
  <c r="E1091" i="1" s="1"/>
  <c r="E1092" i="1" a="1"/>
  <c r="E1092" i="1"/>
  <c r="E1093" i="1" a="1"/>
  <c r="E1093" i="1" s="1"/>
  <c r="E1094" i="1" a="1"/>
  <c r="E1094" i="1" s="1"/>
  <c r="E1095" i="1" a="1"/>
  <c r="E1095" i="1"/>
  <c r="E1096" i="1" a="1"/>
  <c r="E1096" i="1"/>
  <c r="E1097" i="1" a="1"/>
  <c r="E1097" i="1" s="1"/>
  <c r="E1098" i="1" a="1"/>
  <c r="E1098" i="1"/>
  <c r="E1099" i="1" a="1"/>
  <c r="E1099" i="1" s="1"/>
  <c r="E1100" i="1" a="1"/>
  <c r="E1100" i="1"/>
  <c r="E1101" i="1" a="1"/>
  <c r="E1101" i="1"/>
  <c r="E1102" i="1" a="1"/>
  <c r="E1102" i="1" s="1"/>
  <c r="E1103" i="1" a="1"/>
  <c r="E1103" i="1" s="1"/>
  <c r="E1104" i="1" a="1"/>
  <c r="E1104" i="1"/>
  <c r="E1105" i="1" a="1"/>
  <c r="E1105" i="1"/>
  <c r="E1106" i="1" a="1"/>
  <c r="E1106" i="1"/>
  <c r="E1107" i="1" a="1"/>
  <c r="E1107" i="1" s="1"/>
  <c r="E1108" i="1" a="1"/>
  <c r="E1108" i="1"/>
  <c r="E1109" i="1" a="1"/>
  <c r="E1109" i="1" s="1"/>
  <c r="E1111" i="1" a="1"/>
  <c r="E1111" i="1"/>
  <c r="E1112" i="1" a="1"/>
  <c r="E1112" i="1" s="1"/>
  <c r="E1113" i="1" a="1"/>
  <c r="E1113" i="1" s="1"/>
  <c r="E1114" i="1" a="1"/>
  <c r="E1114" i="1"/>
  <c r="E1115" i="1" a="1"/>
  <c r="E1115" i="1"/>
  <c r="E1116" i="1" a="1"/>
  <c r="E1116" i="1" s="1"/>
  <c r="E1117" i="1" a="1"/>
  <c r="E1117" i="1"/>
  <c r="E1118" i="1" a="1"/>
  <c r="E1118" i="1"/>
  <c r="E1120" i="1" a="1"/>
  <c r="E1120" i="1"/>
  <c r="E1121" i="1" a="1"/>
  <c r="E1121" i="1" s="1"/>
  <c r="E1122" i="1" a="1"/>
  <c r="E1122" i="1"/>
  <c r="E1123" i="1" a="1"/>
  <c r="E1123" i="1" s="1"/>
  <c r="E1124" i="1" a="1"/>
  <c r="E1124" i="1"/>
  <c r="E1125" i="1" a="1"/>
  <c r="E1125" i="1" s="1"/>
  <c r="E1126" i="1" a="1"/>
  <c r="E1126" i="1"/>
  <c r="E1129" i="1" a="1"/>
  <c r="E1129" i="1"/>
  <c r="E1130" i="1" a="1"/>
  <c r="E1130" i="1" s="1"/>
  <c r="E1131" i="1" a="1"/>
  <c r="E1131" i="1" s="1"/>
  <c r="E1132" i="1" a="1"/>
  <c r="E1132" i="1"/>
  <c r="E1133" i="1" a="1"/>
  <c r="E1133" i="1"/>
  <c r="E1134" i="1" a="1"/>
  <c r="E1134" i="1"/>
  <c r="E1135" i="1" a="1"/>
  <c r="E1135" i="1" s="1"/>
  <c r="E1136" i="1" a="1"/>
  <c r="E1136" i="1"/>
  <c r="E1138" i="1" a="1"/>
  <c r="E1138" i="1" s="1"/>
  <c r="E1140" i="1" a="1"/>
  <c r="E1140" i="1"/>
  <c r="E1141" i="1" a="1"/>
  <c r="E1141" i="1" s="1"/>
  <c r="E1142" i="1" a="1"/>
  <c r="E1142" i="1"/>
  <c r="E1144" i="1" a="1"/>
  <c r="E1144" i="1" s="1"/>
  <c r="E1145" i="1" a="1"/>
  <c r="E1145" i="1"/>
  <c r="E1146" i="1" a="1"/>
  <c r="E1146" i="1" s="1"/>
  <c r="E1148" i="1" a="1"/>
  <c r="E1148" i="1"/>
  <c r="E1149" i="1" a="1"/>
  <c r="E1149" i="1"/>
  <c r="E1150" i="1" a="1"/>
  <c r="E1150" i="1"/>
  <c r="E1151" i="1" a="1"/>
  <c r="E1151" i="1"/>
  <c r="E1152" i="1" a="1"/>
  <c r="E1152" i="1"/>
  <c r="E1157" i="1" a="1"/>
  <c r="E1157" i="1" s="1"/>
  <c r="E1160" i="1" a="1"/>
  <c r="E1160" i="1"/>
  <c r="E1165" i="1" a="1"/>
  <c r="E1165" i="1" s="1"/>
  <c r="E1166" i="1" a="1"/>
  <c r="E1166" i="1" s="1"/>
  <c r="E1167" i="1" a="1"/>
  <c r="E1167" i="1"/>
  <c r="E1168" i="1" a="1"/>
  <c r="E1168" i="1" s="1"/>
  <c r="E1169" i="1" a="1"/>
  <c r="E1169" i="1" s="1"/>
  <c r="E1170" i="1" a="1"/>
  <c r="E1170" i="1"/>
  <c r="E1171" i="1" a="1"/>
  <c r="E1171" i="1"/>
  <c r="E1173" i="1" a="1"/>
  <c r="E1173" i="1"/>
  <c r="E1174" i="1" a="1"/>
  <c r="E1174" i="1" s="1"/>
  <c r="E1175" i="1" a="1"/>
  <c r="E1175" i="1" s="1"/>
  <c r="E1176" i="1" a="1"/>
  <c r="E1176" i="1" s="1"/>
  <c r="E1177" i="1" a="1"/>
  <c r="E1177" i="1" s="1"/>
  <c r="E1178" i="1" a="1"/>
  <c r="E1178" i="1"/>
  <c r="E1179" i="1" a="1"/>
  <c r="E1179" i="1"/>
  <c r="E1180" i="1" a="1"/>
  <c r="E1180" i="1"/>
  <c r="E1181" i="1" a="1"/>
  <c r="E1181" i="1" s="1"/>
  <c r="E1182" i="1" a="1"/>
  <c r="E1182" i="1" s="1"/>
  <c r="E1183" i="1" a="1"/>
  <c r="E1183" i="1"/>
  <c r="E1184" i="1" a="1"/>
  <c r="E1184" i="1" s="1"/>
  <c r="E1185" i="1" a="1"/>
  <c r="E1185" i="1"/>
  <c r="E1186" i="1" a="1"/>
  <c r="E1186" i="1" s="1"/>
  <c r="E1187" i="1" a="1"/>
  <c r="E1187" i="1" s="1"/>
  <c r="E1188" i="1" a="1"/>
  <c r="E1188" i="1"/>
  <c r="E1189" i="1" a="1"/>
  <c r="E1189" i="1"/>
  <c r="E1190" i="1" a="1"/>
  <c r="E1190" i="1" s="1"/>
  <c r="E1191" i="1" a="1"/>
  <c r="E1191" i="1"/>
  <c r="E1192" i="1" a="1"/>
  <c r="E1192" i="1"/>
  <c r="E1193" i="1" a="1"/>
  <c r="E1193" i="1" s="1"/>
  <c r="E1194" i="1" a="1"/>
  <c r="E1194" i="1"/>
  <c r="E1195" i="1" a="1"/>
  <c r="E1195" i="1"/>
  <c r="E1197" i="1" a="1"/>
  <c r="E1197" i="1" s="1"/>
  <c r="E1198" i="1" a="1"/>
  <c r="E1198" i="1"/>
  <c r="E1199" i="1" a="1"/>
  <c r="E1199" i="1" s="1"/>
  <c r="E1202" i="1" a="1"/>
  <c r="E1202" i="1"/>
  <c r="E1203" i="1" a="1"/>
  <c r="E1203" i="1"/>
  <c r="E1204" i="1" a="1"/>
  <c r="E1204" i="1"/>
  <c r="E1205" i="1" a="1"/>
  <c r="E1205" i="1"/>
  <c r="E1206" i="1" a="1"/>
  <c r="E1206" i="1" s="1"/>
  <c r="E1207" i="1" a="1"/>
  <c r="E1207" i="1" s="1"/>
  <c r="E1208" i="1" a="1"/>
  <c r="E1208" i="1" s="1"/>
  <c r="E1209" i="1" a="1"/>
  <c r="E1209" i="1" s="1"/>
  <c r="E1210" i="1" a="1"/>
  <c r="E1210" i="1" s="1"/>
  <c r="E1211" i="1" a="1"/>
  <c r="E1211" i="1"/>
  <c r="E1212" i="1" a="1"/>
  <c r="E1212" i="1"/>
  <c r="E1213" i="1" a="1"/>
  <c r="E1213" i="1" s="1"/>
  <c r="E1214" i="1" a="1"/>
  <c r="E1214" i="1" s="1"/>
  <c r="E1215" i="1" a="1"/>
  <c r="E1215" i="1"/>
  <c r="E1219" i="1" a="1"/>
  <c r="E1219" i="1"/>
  <c r="E1220" i="1" a="1"/>
  <c r="E1220" i="1" s="1"/>
  <c r="E1221" i="1" a="1"/>
  <c r="E1221" i="1"/>
  <c r="E1222" i="1" a="1"/>
  <c r="E1222" i="1" s="1"/>
  <c r="E1223" i="1" a="1"/>
  <c r="E1223" i="1"/>
  <c r="E1224" i="1" a="1"/>
  <c r="E1224" i="1" s="1"/>
  <c r="E1225" i="1" a="1"/>
  <c r="E1225" i="1"/>
  <c r="E1226" i="1" a="1"/>
  <c r="E1226" i="1" s="1"/>
  <c r="E1227" i="1" a="1"/>
  <c r="E1227" i="1"/>
  <c r="E1228" i="1" a="1"/>
  <c r="E1228" i="1" s="1"/>
  <c r="E1229" i="1" a="1"/>
  <c r="E1229" i="1"/>
  <c r="E1230" i="1" a="1"/>
  <c r="E1230" i="1" s="1"/>
  <c r="E1231" i="1" a="1"/>
  <c r="E1231" i="1" s="1"/>
  <c r="E1232" i="1" a="1"/>
  <c r="E1232" i="1"/>
  <c r="E1234" i="1" a="1"/>
  <c r="E1234" i="1" s="1"/>
  <c r="E1235" i="1" a="1"/>
  <c r="E1235" i="1" s="1"/>
  <c r="E1236" i="1" a="1"/>
  <c r="E1236" i="1"/>
  <c r="E1238" i="1" a="1"/>
  <c r="E1238" i="1" s="1"/>
  <c r="E1239" i="1" a="1"/>
  <c r="E1239" i="1"/>
  <c r="E1240" i="1" a="1"/>
  <c r="E1240" i="1"/>
  <c r="E1241" i="1" a="1"/>
  <c r="E1241" i="1" s="1"/>
  <c r="E1242" i="1" a="1"/>
  <c r="E1242" i="1"/>
  <c r="E1243" i="1" a="1"/>
  <c r="E1243" i="1" s="1"/>
  <c r="E1244" i="1" a="1"/>
  <c r="E1244" i="1"/>
  <c r="E1245" i="1" a="1"/>
  <c r="E1245" i="1" s="1"/>
  <c r="E1246" i="1" a="1"/>
  <c r="E1246" i="1" s="1"/>
  <c r="E1247" i="1" a="1"/>
  <c r="E1247" i="1"/>
  <c r="E1248" i="1" a="1"/>
  <c r="E1248" i="1"/>
  <c r="E1251" i="1" a="1"/>
  <c r="E1251" i="1"/>
  <c r="E1253" i="1" a="1"/>
  <c r="E1253" i="1" s="1"/>
  <c r="E1254" i="1" a="1"/>
  <c r="E1254" i="1" s="1"/>
  <c r="E1256" i="1" a="1"/>
  <c r="E1256" i="1" s="1"/>
  <c r="E1260" i="1" a="1"/>
  <c r="E1260" i="1" s="1"/>
  <c r="E1262" i="1" a="1"/>
  <c r="E1262" i="1" s="1"/>
  <c r="E1263" i="1" a="1"/>
  <c r="E1263" i="1" s="1"/>
  <c r="E1269" i="1" a="1"/>
  <c r="E1269" i="1"/>
  <c r="E1270" i="1" a="1"/>
  <c r="E1270" i="1" s="1"/>
  <c r="E1271" i="1" a="1"/>
  <c r="E1271" i="1"/>
  <c r="E1272" i="1" a="1"/>
  <c r="E1272" i="1"/>
  <c r="E1273" i="1" a="1"/>
  <c r="E1273" i="1"/>
  <c r="E1274" i="1" a="1"/>
  <c r="E1274" i="1"/>
  <c r="E1275" i="1" a="1"/>
  <c r="E1275" i="1" s="1"/>
  <c r="E1278" i="1" a="1"/>
  <c r="E1278" i="1"/>
  <c r="E1286" i="1" a="1"/>
  <c r="E1286" i="1"/>
  <c r="E1290" i="1" a="1"/>
  <c r="E1290" i="1"/>
  <c r="E1293" i="1" a="1"/>
  <c r="E1293" i="1" s="1"/>
  <c r="E1294" i="1" a="1"/>
  <c r="E1294" i="1"/>
  <c r="E1296" i="1" a="1"/>
  <c r="E1296" i="1"/>
  <c r="E1301" i="1" a="1"/>
  <c r="E1301" i="1" s="1"/>
  <c r="E1302" i="1" a="1"/>
  <c r="E1302" i="1" s="1"/>
  <c r="E1304" i="1" a="1"/>
  <c r="E1304" i="1" s="1"/>
  <c r="E1306" i="1" a="1"/>
  <c r="E1306" i="1"/>
  <c r="E1307" i="1" a="1"/>
  <c r="E1307" i="1" s="1"/>
  <c r="E1308" i="1" a="1"/>
  <c r="E1308" i="1"/>
  <c r="E1309" i="1" a="1"/>
  <c r="E1309" i="1" s="1"/>
  <c r="E1310" i="1" a="1"/>
  <c r="E1310" i="1" s="1"/>
  <c r="E1311" i="1" a="1"/>
  <c r="E1311" i="1" s="1"/>
  <c r="E1313" i="1" a="1"/>
  <c r="E1313" i="1" s="1"/>
  <c r="E1315" i="1" a="1"/>
  <c r="E1315" i="1" s="1"/>
  <c r="E1316" i="1" a="1"/>
  <c r="E1316" i="1"/>
  <c r="E1317" i="1" a="1"/>
  <c r="E1317" i="1"/>
  <c r="E1318" i="1" a="1"/>
  <c r="E1318" i="1" s="1"/>
  <c r="E1319" i="1" a="1"/>
  <c r="E1319" i="1"/>
  <c r="E1323" i="1" a="1"/>
  <c r="E1323" i="1"/>
  <c r="E1324" i="1" a="1"/>
  <c r="E1324" i="1" s="1"/>
  <c r="E1325" i="1" a="1"/>
  <c r="E1325" i="1" s="1"/>
  <c r="E1326" i="1" a="1"/>
  <c r="E1326" i="1"/>
  <c r="E1327" i="1" a="1"/>
  <c r="E1327" i="1" s="1"/>
  <c r="E1328" i="1" a="1"/>
  <c r="E1328" i="1" s="1"/>
  <c r="E1329" i="1" a="1"/>
  <c r="E1329" i="1"/>
  <c r="E1330" i="1" a="1"/>
  <c r="E1330" i="1" s="1"/>
  <c r="E1331" i="1" a="1"/>
  <c r="E1331" i="1" s="1"/>
  <c r="E1332" i="1" a="1"/>
  <c r="E1332" i="1"/>
  <c r="E1333" i="1" a="1"/>
  <c r="E1333" i="1" s="1"/>
  <c r="E1334" i="1" a="1"/>
  <c r="E1334" i="1" s="1"/>
  <c r="E1335" i="1" a="1"/>
  <c r="E1335" i="1" s="1"/>
  <c r="E1336" i="1" a="1"/>
  <c r="E1336" i="1"/>
  <c r="E1337" i="1" a="1"/>
  <c r="E1337" i="1" s="1"/>
  <c r="E1338" i="1" a="1"/>
  <c r="E1338" i="1" s="1"/>
  <c r="E1339" i="1" a="1"/>
  <c r="E1339" i="1"/>
  <c r="E1340" i="1" a="1"/>
  <c r="E1340" i="1"/>
  <c r="E1341" i="1" a="1"/>
  <c r="E1341" i="1" s="1"/>
  <c r="E1342" i="1" a="1"/>
  <c r="E1342" i="1"/>
  <c r="E1343" i="1" a="1"/>
  <c r="E1343" i="1"/>
  <c r="E1344" i="1" a="1"/>
  <c r="E1344" i="1" s="1"/>
  <c r="E1345" i="1" a="1"/>
  <c r="E1345" i="1" s="1"/>
  <c r="E1346" i="1" a="1"/>
  <c r="E1346" i="1"/>
  <c r="E1347" i="1" a="1"/>
  <c r="E1347" i="1" s="1"/>
  <c r="E1348" i="1" a="1"/>
  <c r="E1348" i="1"/>
  <c r="E1349" i="1" a="1"/>
  <c r="E1349" i="1" s="1"/>
  <c r="E1350" i="1" a="1"/>
  <c r="E1350" i="1"/>
  <c r="E1351" i="1" a="1"/>
  <c r="E1351" i="1" s="1"/>
  <c r="E1352" i="1" a="1"/>
  <c r="E1352" i="1" s="1"/>
  <c r="E1353" i="1" a="1"/>
  <c r="E1353" i="1"/>
  <c r="E1354" i="1" a="1"/>
  <c r="E1354" i="1"/>
  <c r="E1355" i="1" a="1"/>
  <c r="E1355" i="1" s="1"/>
  <c r="E1356" i="1" a="1"/>
  <c r="E1356" i="1"/>
  <c r="E1357" i="1" a="1"/>
  <c r="E1357" i="1" s="1"/>
  <c r="E1358" i="1" a="1"/>
  <c r="E1358" i="1"/>
  <c r="E1359" i="1" a="1"/>
  <c r="E1359" i="1"/>
  <c r="E1361" i="1" a="1"/>
  <c r="E1361" i="1"/>
  <c r="E1362" i="1" a="1"/>
  <c r="E1362" i="1" s="1"/>
  <c r="E1363" i="1" a="1"/>
  <c r="E1363" i="1"/>
  <c r="E1364" i="1" a="1"/>
  <c r="E1364" i="1"/>
  <c r="E1365" i="1" a="1"/>
  <c r="E1365" i="1" s="1"/>
  <c r="E1366" i="1" a="1"/>
  <c r="E1366" i="1" s="1"/>
  <c r="E1367" i="1" a="1"/>
  <c r="E1367" i="1" s="1"/>
  <c r="E1368" i="1" a="1"/>
  <c r="E1368" i="1"/>
  <c r="E1369" i="1" a="1"/>
  <c r="E1369" i="1" s="1"/>
  <c r="E1370" i="1" a="1"/>
  <c r="E1370" i="1"/>
  <c r="E1371" i="1" a="1"/>
  <c r="E1371" i="1"/>
  <c r="E1372" i="1" a="1"/>
  <c r="E1372" i="1"/>
  <c r="E1373" i="1" a="1"/>
  <c r="E1373" i="1"/>
  <c r="E1375" i="1" a="1"/>
  <c r="E1375" i="1" s="1"/>
  <c r="E1376" i="1" a="1"/>
  <c r="E1376" i="1" s="1"/>
  <c r="E1377" i="1" a="1"/>
  <c r="E1377" i="1" s="1"/>
  <c r="E1378" i="1" a="1"/>
  <c r="E1378" i="1" s="1"/>
  <c r="E1379" i="1" a="1"/>
  <c r="E1379" i="1"/>
  <c r="E1380" i="1" a="1"/>
  <c r="E1380" i="1" s="1"/>
  <c r="E1381" i="1" a="1"/>
  <c r="E1381" i="1" s="1"/>
  <c r="E1382" i="1" a="1"/>
  <c r="E1382" i="1" s="1"/>
  <c r="E1383" i="1" a="1"/>
  <c r="E1383" i="1" s="1"/>
  <c r="E1384" i="1" a="1"/>
  <c r="E1384" i="1"/>
  <c r="E1385" i="1" a="1"/>
  <c r="E1385" i="1"/>
  <c r="E1386" i="1" a="1"/>
  <c r="E1386" i="1" s="1"/>
  <c r="E1387" i="1" a="1"/>
  <c r="E1387" i="1" s="1"/>
  <c r="E1388" i="1" a="1"/>
  <c r="E1388" i="1" s="1"/>
  <c r="E1389" i="1" a="1"/>
  <c r="E1389" i="1"/>
  <c r="E1390" i="1" a="1"/>
  <c r="E1390" i="1" s="1"/>
  <c r="E1392" i="1" a="1"/>
  <c r="E1392" i="1" s="1"/>
  <c r="E1393" i="1" a="1"/>
  <c r="E1393" i="1"/>
  <c r="E1394" i="1" a="1"/>
  <c r="E1394" i="1" s="1"/>
  <c r="E1395" i="1" a="1"/>
  <c r="E1395" i="1"/>
  <c r="E1398" i="1" a="1"/>
  <c r="E1398" i="1"/>
  <c r="E1399" i="1" a="1"/>
  <c r="E1399" i="1"/>
  <c r="E1400" i="1" a="1"/>
  <c r="E1400" i="1" s="1"/>
  <c r="E1401" i="1" a="1"/>
  <c r="E1401" i="1"/>
  <c r="E1402" i="1" a="1"/>
  <c r="E1402" i="1" s="1"/>
  <c r="E1403" i="1" a="1"/>
  <c r="E1403" i="1" s="1"/>
  <c r="E1404" i="1" a="1"/>
  <c r="E1404" i="1"/>
  <c r="E1406" i="1" a="1"/>
  <c r="E1406" i="1" s="1"/>
  <c r="E1407" i="1" a="1"/>
  <c r="E1407" i="1" s="1"/>
  <c r="E1408" i="1" a="1"/>
  <c r="E1408" i="1" s="1"/>
  <c r="E1410" i="1" a="1"/>
  <c r="E1410" i="1"/>
  <c r="E1411" i="1" a="1"/>
  <c r="E1411" i="1"/>
  <c r="E1415" i="1" a="1"/>
  <c r="E1415" i="1" s="1"/>
  <c r="E1418" i="1" a="1"/>
  <c r="E1418" i="1"/>
  <c r="E1419" i="1" a="1"/>
  <c r="E1419" i="1"/>
  <c r="E1422" i="1" a="1"/>
  <c r="E1422" i="1"/>
  <c r="E1424" i="1" a="1"/>
  <c r="E1424" i="1" s="1"/>
  <c r="E1425" i="1" a="1"/>
  <c r="E1425" i="1" s="1"/>
  <c r="E1426" i="1" a="1"/>
  <c r="E1426" i="1"/>
  <c r="E1427" i="1" a="1"/>
  <c r="E1427" i="1" s="1"/>
  <c r="E1428" i="1" a="1"/>
  <c r="E1428" i="1" s="1"/>
  <c r="E1429" i="1" a="1"/>
  <c r="E1429" i="1" s="1"/>
  <c r="E1430" i="1" a="1"/>
  <c r="E1430" i="1"/>
  <c r="E1431" i="1" a="1"/>
  <c r="E1431" i="1"/>
  <c r="E1432" i="1" a="1"/>
  <c r="E1432" i="1" s="1"/>
  <c r="E1435" i="1" a="1"/>
  <c r="E1435" i="1"/>
  <c r="E1436" i="1" a="1"/>
  <c r="E1436" i="1" s="1"/>
  <c r="E1437" i="1" a="1"/>
  <c r="E1437" i="1"/>
  <c r="E1438" i="1" a="1"/>
  <c r="E1438" i="1" s="1"/>
  <c r="E1439" i="1" a="1"/>
  <c r="E1439" i="1"/>
  <c r="E1440" i="1" a="1"/>
  <c r="E1440" i="1" s="1"/>
  <c r="E1442" i="1" a="1"/>
  <c r="E1442" i="1" s="1"/>
  <c r="E1443" i="1" a="1"/>
  <c r="E1443" i="1"/>
  <c r="E1444" i="1" a="1"/>
  <c r="E1444" i="1"/>
  <c r="E1445" i="1" a="1"/>
  <c r="E1445" i="1"/>
  <c r="E1446" i="1" a="1"/>
  <c r="E1446" i="1"/>
  <c r="E1451" i="1" a="1"/>
  <c r="E1451" i="1" s="1"/>
  <c r="E1452" i="1" a="1"/>
  <c r="E1452" i="1"/>
  <c r="E1453" i="1" a="1"/>
  <c r="E1453" i="1" s="1"/>
  <c r="E1454" i="1" a="1"/>
  <c r="E1454" i="1"/>
  <c r="E1455" i="1" a="1"/>
  <c r="E1455" i="1" s="1"/>
  <c r="E1456" i="1" a="1"/>
  <c r="E1456" i="1"/>
  <c r="E1457" i="1" a="1"/>
  <c r="E1457" i="1"/>
  <c r="E1458" i="1" a="1"/>
  <c r="E1458" i="1" s="1"/>
  <c r="E1459" i="1" a="1"/>
  <c r="E1459" i="1" s="1"/>
  <c r="E1460" i="1" a="1"/>
  <c r="E1460" i="1" s="1"/>
  <c r="E1461" i="1" a="1"/>
  <c r="E1461" i="1"/>
  <c r="E1462" i="1" a="1"/>
  <c r="E1462" i="1"/>
  <c r="E1463" i="1" a="1"/>
  <c r="E1463" i="1" s="1"/>
  <c r="E1464" i="1" a="1"/>
  <c r="E1464" i="1"/>
  <c r="E1465" i="1" a="1"/>
  <c r="E1465" i="1" s="1"/>
  <c r="E1466" i="1" a="1"/>
  <c r="E1466" i="1"/>
  <c r="E1467" i="1" a="1"/>
  <c r="E1467" i="1" s="1"/>
  <c r="E1468" i="1" a="1"/>
  <c r="E1468" i="1" s="1"/>
  <c r="E1469" i="1" a="1"/>
  <c r="E1469" i="1"/>
  <c r="E1470" i="1" a="1"/>
  <c r="E1470" i="1" s="1"/>
  <c r="E1471" i="1" a="1"/>
  <c r="E1471" i="1"/>
  <c r="E1472" i="1" a="1"/>
  <c r="E1472" i="1" s="1"/>
  <c r="E1473" i="1" a="1"/>
  <c r="E1473" i="1" s="1"/>
  <c r="E1474" i="1" a="1"/>
  <c r="E1474" i="1"/>
  <c r="E1476" i="1" a="1"/>
  <c r="E1476" i="1" s="1"/>
  <c r="E1477" i="1" a="1"/>
  <c r="E1477" i="1"/>
  <c r="E1478" i="1" a="1"/>
  <c r="E1478" i="1" s="1"/>
  <c r="E1479" i="1" a="1"/>
  <c r="E1479" i="1" s="1"/>
  <c r="E1480" i="1" a="1"/>
  <c r="E1480" i="1"/>
  <c r="E1481" i="1" a="1"/>
  <c r="E1481" i="1"/>
  <c r="E1482" i="1" a="1"/>
  <c r="E1482" i="1" s="1"/>
  <c r="E1483" i="1" a="1"/>
  <c r="E1483" i="1" s="1"/>
  <c r="E1484" i="1" a="1"/>
  <c r="E1484" i="1" s="1"/>
  <c r="E1485" i="1" a="1"/>
  <c r="E1485" i="1" s="1"/>
  <c r="E1486" i="1" a="1"/>
  <c r="E1486" i="1" s="1"/>
  <c r="E1487" i="1" a="1"/>
  <c r="E1487" i="1"/>
  <c r="E1490" i="1" a="1"/>
  <c r="E1490" i="1" s="1"/>
  <c r="E1491" i="1" a="1"/>
  <c r="E1491" i="1" s="1"/>
  <c r="E1492" i="1" a="1"/>
  <c r="E1492" i="1" s="1"/>
  <c r="E1493" i="1" a="1"/>
  <c r="E1493" i="1"/>
  <c r="E1494" i="1" a="1"/>
  <c r="E1494" i="1"/>
  <c r="E1495" i="1" a="1"/>
  <c r="E1495" i="1" s="1"/>
  <c r="E1498" i="1" a="1"/>
  <c r="E1498" i="1" s="1"/>
  <c r="E1500" i="1" a="1"/>
  <c r="E1500" i="1"/>
  <c r="E1502" i="1" a="1"/>
  <c r="E1502" i="1"/>
  <c r="E1503" i="1" a="1"/>
  <c r="E1503" i="1"/>
  <c r="E1505" i="1" a="1"/>
  <c r="E1505" i="1" s="1"/>
  <c r="E1510" i="1" a="1"/>
  <c r="E1510" i="1" s="1"/>
  <c r="E1511" i="1" a="1"/>
  <c r="E1511" i="1" s="1"/>
  <c r="E1512" i="1" a="1"/>
  <c r="E1512" i="1" s="1"/>
  <c r="E1513" i="1" a="1"/>
  <c r="E1513" i="1" s="1"/>
  <c r="E1514" i="1" a="1"/>
  <c r="E1514" i="1"/>
  <c r="E1515" i="1" a="1"/>
  <c r="E1515" i="1"/>
  <c r="E1518" i="1" a="1"/>
  <c r="E1518" i="1" s="1"/>
  <c r="E1519" i="1" a="1"/>
  <c r="E1519" i="1"/>
  <c r="E1520" i="1" a="1"/>
  <c r="E1520" i="1"/>
  <c r="E1521" i="1" a="1"/>
  <c r="E1521" i="1" s="1"/>
  <c r="E1522" i="1" a="1"/>
  <c r="E1522" i="1" s="1"/>
  <c r="E1523" i="1" a="1"/>
  <c r="E1523" i="1" s="1"/>
  <c r="E1526" i="1" a="1"/>
  <c r="E1526" i="1"/>
  <c r="E1529" i="1" a="1"/>
  <c r="E1529" i="1"/>
  <c r="E1531" i="1" a="1"/>
  <c r="E1531" i="1"/>
  <c r="E1532" i="1" a="1"/>
  <c r="E1532" i="1"/>
  <c r="E1533" i="1" a="1"/>
  <c r="E1533" i="1" s="1"/>
  <c r="E1534" i="1" a="1"/>
  <c r="E1534" i="1"/>
  <c r="E1535" i="1" a="1"/>
  <c r="E1535" i="1" s="1"/>
  <c r="E1536" i="1" a="1"/>
  <c r="E1536" i="1" s="1"/>
  <c r="E1537" i="1" a="1"/>
  <c r="E1537" i="1"/>
  <c r="E1538" i="1" a="1"/>
  <c r="E1538" i="1"/>
  <c r="E1539" i="1" a="1"/>
  <c r="E1539" i="1"/>
  <c r="E1540" i="1" a="1"/>
  <c r="E1540" i="1" s="1"/>
  <c r="E1541" i="1" a="1"/>
  <c r="E1541" i="1"/>
  <c r="E1542" i="1" a="1"/>
  <c r="E1542" i="1" s="1"/>
  <c r="E1543" i="1" a="1"/>
  <c r="E1543" i="1" s="1"/>
  <c r="E1544" i="1" a="1"/>
  <c r="E1544" i="1" s="1"/>
  <c r="E1545" i="1" a="1"/>
  <c r="E1545" i="1"/>
  <c r="E1546" i="1" a="1"/>
  <c r="E1546" i="1" s="1"/>
  <c r="E1547" i="1" a="1"/>
  <c r="E1547" i="1"/>
  <c r="E1548" i="1" a="1"/>
  <c r="E1548" i="1" s="1"/>
  <c r="E1549" i="1" a="1"/>
  <c r="E1549" i="1"/>
  <c r="E1550" i="1" a="1"/>
  <c r="E1550" i="1"/>
  <c r="E1551" i="1" a="1"/>
  <c r="E1551" i="1" s="1"/>
  <c r="E1552" i="1" a="1"/>
  <c r="E1552" i="1" s="1"/>
  <c r="E1553" i="1" a="1"/>
  <c r="E1553" i="1"/>
  <c r="E1554" i="1" a="1"/>
  <c r="E1554" i="1" s="1"/>
  <c r="E1555" i="1" a="1"/>
  <c r="E1555" i="1" s="1"/>
  <c r="E1556" i="1" a="1"/>
  <c r="E1556" i="1"/>
  <c r="E1557" i="1" a="1"/>
  <c r="E1557" i="1"/>
  <c r="E1558" i="1" a="1"/>
  <c r="E1558" i="1" s="1"/>
  <c r="E1559" i="1" a="1"/>
  <c r="E1559" i="1" s="1"/>
  <c r="E1560" i="1" a="1"/>
  <c r="E1560" i="1" s="1"/>
  <c r="E1561" i="1" a="1"/>
  <c r="E1561" i="1"/>
  <c r="E1562" i="1" a="1"/>
  <c r="E1562" i="1" s="1"/>
  <c r="E1563" i="1" a="1"/>
  <c r="E1563" i="1" s="1"/>
  <c r="E1566" i="1" a="1"/>
  <c r="E1566" i="1" s="1"/>
  <c r="E1567" i="1" a="1"/>
  <c r="E1567" i="1"/>
  <c r="E1568" i="1" a="1"/>
  <c r="E1568" i="1"/>
  <c r="E1569" i="1" a="1"/>
  <c r="E1569" i="1" s="1"/>
  <c r="E1570" i="1" a="1"/>
  <c r="E1570" i="1" s="1"/>
  <c r="E1572" i="1" a="1"/>
  <c r="E1572" i="1"/>
  <c r="E1573" i="1" a="1"/>
  <c r="E1573" i="1"/>
  <c r="E1574" i="1" a="1"/>
  <c r="E1574" i="1"/>
  <c r="E1575" i="1" a="1"/>
  <c r="E1575" i="1" s="1"/>
  <c r="E1576" i="1" a="1"/>
  <c r="E1576" i="1" s="1"/>
  <c r="E1577" i="1" a="1"/>
  <c r="E1577" i="1"/>
  <c r="E1578" i="1" a="1"/>
  <c r="E1578" i="1" s="1"/>
  <c r="E1579" i="1" a="1"/>
  <c r="E1579" i="1" s="1"/>
  <c r="E1580" i="1" a="1"/>
  <c r="E1580" i="1"/>
  <c r="E1581" i="1" a="1"/>
  <c r="E1581" i="1"/>
  <c r="E1582" i="1" a="1"/>
  <c r="E1582" i="1" s="1"/>
  <c r="E1583" i="1" a="1"/>
  <c r="E1583" i="1" s="1"/>
  <c r="E1584" i="1" a="1"/>
  <c r="E1584" i="1" s="1"/>
  <c r="E1585" i="1" a="1"/>
  <c r="E1585" i="1" s="1"/>
  <c r="I1585" i="1" a="1"/>
  <c r="I1585" i="1" s="1"/>
  <c r="O1585" i="1" a="1"/>
  <c r="O1585" i="1" s="1"/>
  <c r="E1586" i="1" a="1"/>
  <c r="E1586" i="1"/>
  <c r="I1586" i="1" a="1"/>
  <c r="I1586" i="1" s="1"/>
  <c r="O1586" i="1" a="1"/>
  <c r="O1586" i="1"/>
  <c r="E1587" i="1" a="1"/>
  <c r="E1587" i="1"/>
  <c r="E1588" i="1" a="1"/>
  <c r="E1588" i="1" s="1"/>
  <c r="E1589" i="1" a="1"/>
  <c r="E1589" i="1" s="1"/>
  <c r="E1590" i="1" a="1"/>
  <c r="E1590" i="1" s="1"/>
  <c r="E1591" i="1" a="1"/>
  <c r="E1591" i="1" s="1"/>
  <c r="E1592" i="1" a="1"/>
  <c r="E1592" i="1"/>
  <c r="E1594" i="1" a="1"/>
  <c r="E1594" i="1"/>
  <c r="E1595" i="1" a="1"/>
  <c r="E1595" i="1"/>
  <c r="E1596" i="1" a="1"/>
  <c r="E1596" i="1" s="1"/>
  <c r="E1597" i="1" a="1"/>
  <c r="E1597" i="1" s="1"/>
  <c r="E1598" i="1" a="1"/>
  <c r="E1598" i="1"/>
  <c r="E1599" i="1" a="1"/>
  <c r="E1599" i="1" s="1"/>
  <c r="E1600" i="1" a="1"/>
  <c r="E1600" i="1" s="1"/>
  <c r="E1601" i="1" a="1"/>
  <c r="E1601" i="1"/>
  <c r="E1602" i="1" a="1"/>
  <c r="E1602" i="1"/>
  <c r="E1603" i="1" a="1"/>
  <c r="E1603" i="1"/>
  <c r="E1604" i="1" a="1"/>
  <c r="E1604" i="1"/>
  <c r="E1605" i="1" a="1"/>
  <c r="E1605" i="1" s="1"/>
  <c r="E1606" i="1" a="1"/>
  <c r="E1606" i="1" s="1"/>
  <c r="E1607" i="1" a="1"/>
  <c r="E1607" i="1" s="1"/>
  <c r="E1608" i="1" a="1"/>
  <c r="E1608" i="1" s="1"/>
  <c r="E1609" i="1" a="1"/>
  <c r="E1609" i="1"/>
  <c r="E1610" i="1" a="1"/>
  <c r="E1610" i="1" s="1"/>
  <c r="E1611" i="1" a="1"/>
  <c r="E1611" i="1"/>
  <c r="E1612" i="1" a="1"/>
  <c r="E1612" i="1"/>
  <c r="E1613" i="1" a="1"/>
  <c r="E1613" i="1" s="1"/>
  <c r="E1614" i="1" a="1"/>
  <c r="E1614" i="1"/>
  <c r="E1615" i="1" a="1"/>
  <c r="E1615" i="1" s="1"/>
  <c r="E1616" i="1" a="1"/>
  <c r="E1616" i="1" s="1"/>
  <c r="E1617" i="1" a="1"/>
  <c r="E1617" i="1"/>
  <c r="E1618" i="1" a="1"/>
  <c r="E1618" i="1" s="1"/>
  <c r="E1619" i="1" a="1"/>
  <c r="E1619" i="1" s="1"/>
  <c r="E1620" i="1" a="1"/>
  <c r="E1620" i="1"/>
  <c r="E1621" i="1" a="1"/>
  <c r="E1621" i="1" s="1"/>
  <c r="E1622" i="1" a="1"/>
  <c r="E1622" i="1"/>
  <c r="E1623" i="1" a="1"/>
  <c r="E1623" i="1" s="1"/>
  <c r="E1624" i="1" a="1"/>
  <c r="E1624" i="1" s="1"/>
  <c r="E1625" i="1" a="1"/>
  <c r="E1625" i="1"/>
  <c r="E1626" i="1" a="1"/>
  <c r="E1626" i="1" s="1"/>
  <c r="E1627" i="1" a="1"/>
  <c r="E1627" i="1" s="1"/>
  <c r="E1628" i="1" a="1"/>
  <c r="E1628" i="1" s="1"/>
  <c r="E1629" i="1" a="1"/>
  <c r="E1629" i="1"/>
  <c r="E1630" i="1" a="1"/>
  <c r="E1630" i="1"/>
  <c r="E1631" i="1" a="1"/>
  <c r="E1631" i="1" s="1"/>
  <c r="E1632" i="1" a="1"/>
  <c r="E1632" i="1" s="1"/>
  <c r="E1633" i="1" a="1"/>
  <c r="E1633" i="1"/>
  <c r="E1634" i="1" a="1"/>
  <c r="E1634" i="1"/>
  <c r="E1635" i="1" a="1"/>
  <c r="E1635" i="1"/>
  <c r="E1640" i="1" a="1"/>
  <c r="E1640" i="1" s="1"/>
  <c r="E1641" i="1" a="1"/>
  <c r="E1641" i="1" s="1"/>
  <c r="E1642" i="1" a="1"/>
  <c r="E1642" i="1"/>
  <c r="E1643" i="1" a="1"/>
  <c r="E1643" i="1" s="1"/>
  <c r="E1644" i="1" a="1"/>
  <c r="E1644" i="1" s="1"/>
  <c r="E1646" i="1" a="1"/>
  <c r="E1646" i="1"/>
  <c r="E1650" i="1" a="1"/>
  <c r="E1650" i="1" s="1"/>
  <c r="E1656" i="1" a="1"/>
  <c r="E1656" i="1" s="1"/>
  <c r="E1657" i="1" a="1"/>
  <c r="E1657" i="1"/>
  <c r="E1658" i="1" a="1"/>
  <c r="E1658" i="1" s="1"/>
  <c r="E1674" i="1" a="1"/>
  <c r="E1674" i="1" s="1"/>
  <c r="E1684" i="1" a="1"/>
  <c r="E1684" i="1" s="1"/>
  <c r="E1685" i="1" a="1"/>
  <c r="E1685" i="1" s="1"/>
  <c r="E1686" i="1" a="1"/>
  <c r="E1686" i="1"/>
  <c r="E1687" i="1" a="1"/>
  <c r="E1687" i="1" s="1"/>
  <c r="E1688" i="1" a="1"/>
  <c r="E1688" i="1" s="1"/>
  <c r="E1689" i="1" a="1"/>
  <c r="E1689" i="1"/>
  <c r="E1690" i="1" a="1"/>
  <c r="E1690" i="1"/>
  <c r="E1691" i="1" a="1"/>
  <c r="E1691" i="1" s="1"/>
  <c r="E1692" i="1" a="1"/>
  <c r="E1692" i="1" s="1"/>
  <c r="E1693" i="1" a="1"/>
  <c r="E1693" i="1" s="1"/>
  <c r="E1694" i="1" a="1"/>
  <c r="E1694" i="1"/>
  <c r="E1695" i="1" a="1"/>
  <c r="E1695" i="1" s="1"/>
  <c r="E1696" i="1" a="1"/>
  <c r="E1696" i="1"/>
  <c r="E1697" i="1" a="1"/>
  <c r="E1697" i="1"/>
  <c r="E1698" i="1" a="1"/>
  <c r="E1698" i="1" s="1"/>
  <c r="E1699" i="1" a="1"/>
  <c r="E1699" i="1"/>
  <c r="E1700" i="1" a="1"/>
  <c r="E1700" i="1" s="1"/>
  <c r="E1701" i="1" a="1"/>
  <c r="E1701" i="1" s="1"/>
  <c r="E1702" i="1" a="1"/>
  <c r="E1702" i="1"/>
  <c r="E1703" i="1" a="1"/>
  <c r="E1703" i="1"/>
  <c r="E1704" i="1" a="1"/>
  <c r="E1704" i="1" s="1"/>
  <c r="E1705" i="1" a="1"/>
  <c r="E1705" i="1"/>
  <c r="E1706" i="1" a="1"/>
  <c r="E1706" i="1"/>
  <c r="E1707" i="1" a="1"/>
  <c r="E1707" i="1"/>
  <c r="E1708" i="1" a="1"/>
  <c r="E1708" i="1" s="1"/>
  <c r="E1709" i="1" a="1"/>
  <c r="E1709" i="1" s="1"/>
  <c r="E1710" i="1" a="1"/>
  <c r="E1710" i="1"/>
  <c r="E1711" i="1" a="1"/>
  <c r="E1711" i="1" s="1"/>
  <c r="E1712" i="1" a="1"/>
  <c r="E1712" i="1"/>
  <c r="E1713" i="1" a="1"/>
  <c r="E1713" i="1" s="1"/>
  <c r="E1714" i="1" a="1"/>
  <c r="E1714" i="1"/>
  <c r="E1715" i="1" a="1"/>
  <c r="E1715" i="1" s="1"/>
  <c r="E1716" i="1" a="1"/>
  <c r="E1716" i="1" s="1"/>
  <c r="E1717" i="1" a="1"/>
  <c r="E1717" i="1" s="1"/>
  <c r="E1718" i="1" a="1"/>
  <c r="E1718" i="1"/>
  <c r="E1719" i="1" a="1"/>
  <c r="E1719" i="1" s="1"/>
  <c r="E1720" i="1" a="1"/>
  <c r="E1720" i="1" s="1"/>
  <c r="E1721" i="1" a="1"/>
  <c r="E1721" i="1"/>
  <c r="E1722" i="1" a="1"/>
  <c r="E1722" i="1"/>
  <c r="E1723" i="1" a="1"/>
  <c r="E1723" i="1"/>
  <c r="E1724" i="1" a="1"/>
  <c r="E1724" i="1" s="1"/>
  <c r="E1725" i="1" a="1"/>
  <c r="E1725" i="1" s="1"/>
  <c r="E1726" i="1" a="1"/>
  <c r="E1726" i="1"/>
  <c r="E1727" i="1" a="1"/>
  <c r="E1727" i="1"/>
  <c r="E1728" i="1" a="1"/>
  <c r="E1728" i="1" s="1"/>
  <c r="E1729" i="1" a="1"/>
  <c r="E1729" i="1" s="1"/>
  <c r="E1730" i="1" a="1"/>
  <c r="E1730" i="1"/>
  <c r="E1731" i="1" a="1"/>
  <c r="E1731" i="1"/>
  <c r="E1732" i="1" a="1"/>
  <c r="E1732" i="1" s="1"/>
  <c r="E1733" i="1" a="1"/>
  <c r="E1733" i="1" s="1"/>
  <c r="E1734" i="1" a="1"/>
  <c r="E1734" i="1"/>
  <c r="E1735" i="1" a="1"/>
  <c r="E1735" i="1"/>
  <c r="E1736" i="1" a="1"/>
  <c r="E1736" i="1" s="1"/>
  <c r="E1738" i="1" a="1"/>
  <c r="E1738" i="1" s="1"/>
  <c r="E1739" i="1" a="1"/>
  <c r="E1739" i="1" s="1"/>
  <c r="E1743" i="1" a="1"/>
  <c r="E1743" i="1"/>
  <c r="E1744" i="1" a="1"/>
  <c r="E1744" i="1" s="1"/>
  <c r="E1745" i="1" a="1"/>
  <c r="E1745" i="1" s="1"/>
  <c r="E1746" i="1" a="1"/>
  <c r="E1746" i="1"/>
  <c r="E1748" i="1" a="1"/>
  <c r="E1748" i="1"/>
  <c r="E1750" i="1" a="1"/>
  <c r="E1750" i="1" s="1"/>
  <c r="E1751" i="1" a="1"/>
  <c r="E1751" i="1"/>
  <c r="E1752" i="1" a="1"/>
  <c r="E1752" i="1" s="1"/>
  <c r="E1755" i="1" a="1"/>
  <c r="E1755" i="1" s="1"/>
  <c r="E1756" i="1" a="1"/>
  <c r="E1756" i="1" s="1"/>
  <c r="E1757" i="1" a="1"/>
  <c r="E1757" i="1" s="1"/>
  <c r="E1758" i="1" a="1"/>
  <c r="E1758" i="1"/>
  <c r="E1759" i="1" a="1"/>
  <c r="E1759" i="1"/>
  <c r="E1760" i="1" a="1"/>
  <c r="E1760" i="1" s="1"/>
  <c r="E1761" i="1" a="1"/>
  <c r="E1761" i="1"/>
  <c r="E1762" i="1" a="1"/>
  <c r="E1762" i="1" s="1"/>
  <c r="E1763" i="1" a="1"/>
  <c r="E1763" i="1" s="1"/>
  <c r="E1764" i="1" a="1"/>
  <c r="E1764" i="1" s="1"/>
  <c r="E1765" i="1" a="1"/>
  <c r="E1765" i="1" s="1"/>
  <c r="E1766" i="1" a="1"/>
  <c r="E1766" i="1"/>
  <c r="E1767" i="1" a="1"/>
  <c r="E1767" i="1"/>
  <c r="E1768" i="1" a="1"/>
  <c r="E1768" i="1"/>
  <c r="E1769" i="1" a="1"/>
  <c r="E1769" i="1"/>
  <c r="E1771" i="1" a="1"/>
  <c r="E1771" i="1" s="1"/>
  <c r="E1772" i="1" a="1"/>
  <c r="E1772" i="1"/>
  <c r="E1773" i="1" a="1"/>
  <c r="E1773" i="1" s="1"/>
  <c r="E1774" i="1" a="1"/>
  <c r="E1774" i="1" s="1"/>
  <c r="E1775" i="1" a="1"/>
  <c r="E1775" i="1" s="1"/>
  <c r="E1776" i="1" a="1"/>
  <c r="E1776" i="1"/>
  <c r="E1779" i="1" a="1"/>
  <c r="E1779" i="1" s="1"/>
  <c r="E1780" i="1" a="1"/>
  <c r="E1780" i="1"/>
  <c r="E1781" i="1" a="1"/>
  <c r="E1781" i="1"/>
  <c r="E1782" i="1" a="1"/>
  <c r="E1782" i="1"/>
  <c r="E1784" i="1" a="1"/>
  <c r="E1784" i="1" s="1"/>
  <c r="E1785" i="1" a="1"/>
  <c r="E1785" i="1" s="1"/>
  <c r="E1786" i="1" a="1"/>
  <c r="E1786" i="1" s="1"/>
  <c r="E1787" i="1" a="1"/>
  <c r="E1787" i="1" s="1"/>
  <c r="E1788" i="1" a="1"/>
  <c r="E1788" i="1"/>
  <c r="E1789" i="1" a="1"/>
  <c r="E1789" i="1" s="1"/>
  <c r="E1790" i="1" a="1"/>
  <c r="E1790" i="1" s="1"/>
  <c r="E1791" i="1" a="1"/>
  <c r="E1791" i="1"/>
  <c r="E1792" i="1" a="1"/>
  <c r="E1792" i="1" s="1"/>
  <c r="E1793" i="1" a="1"/>
  <c r="E1793" i="1" s="1"/>
  <c r="E1796" i="1" a="1"/>
  <c r="E1796" i="1"/>
  <c r="E1797" i="1" a="1"/>
  <c r="E1797" i="1" s="1"/>
  <c r="E1798" i="1" a="1"/>
  <c r="E1798" i="1" s="1"/>
  <c r="E1799" i="1" a="1"/>
  <c r="E1799" i="1"/>
  <c r="E1800" i="1" a="1"/>
  <c r="E1800" i="1"/>
  <c r="E1801" i="1" a="1"/>
  <c r="E1801" i="1" s="1"/>
  <c r="E1803" i="1" a="1"/>
  <c r="E1803" i="1" s="1"/>
  <c r="E1804" i="1" a="1"/>
  <c r="E1804" i="1" s="1"/>
  <c r="E1805" i="1" a="1"/>
  <c r="E1805" i="1" s="1"/>
  <c r="E1806" i="1" a="1"/>
  <c r="E1806" i="1" s="1"/>
  <c r="E1807" i="1" a="1"/>
  <c r="E1807" i="1" s="1"/>
  <c r="E1808" i="1" a="1"/>
  <c r="E1808" i="1" s="1"/>
  <c r="E1809" i="1" a="1"/>
  <c r="E1809" i="1"/>
  <c r="E1810" i="1" a="1"/>
  <c r="E1810" i="1" s="1"/>
  <c r="E1811" i="1" a="1"/>
  <c r="E1811" i="1" s="1"/>
  <c r="E1812" i="1" a="1"/>
  <c r="E1812" i="1" s="1"/>
  <c r="E1813" i="1" a="1"/>
  <c r="E1813" i="1" s="1"/>
  <c r="E1814" i="1" a="1"/>
  <c r="E1814" i="1"/>
  <c r="E1815" i="1" a="1"/>
  <c r="E1815" i="1" s="1"/>
  <c r="E1817" i="1" a="1"/>
  <c r="E1817" i="1" s="1"/>
  <c r="E1818" i="1" a="1"/>
  <c r="E1818" i="1" s="1"/>
  <c r="E1819" i="1" a="1"/>
  <c r="E1819" i="1"/>
  <c r="E1820" i="1" a="1"/>
  <c r="E1820" i="1" s="1"/>
  <c r="E1821" i="1" a="1"/>
  <c r="E1821" i="1" s="1"/>
  <c r="E1822" i="1" a="1"/>
  <c r="E1822" i="1" s="1"/>
  <c r="E1824" i="1" a="1"/>
  <c r="E1824" i="1"/>
  <c r="E1826" i="1" a="1"/>
  <c r="E1826" i="1" s="1"/>
  <c r="E1827" i="1" a="1"/>
  <c r="E1827" i="1" s="1"/>
  <c r="E1828" i="1" a="1"/>
  <c r="E1828" i="1" s="1"/>
  <c r="E1829" i="1" a="1"/>
  <c r="E1829" i="1" s="1"/>
  <c r="E1830" i="1" a="1"/>
  <c r="E1830" i="1" s="1"/>
  <c r="E1831" i="1" a="1"/>
  <c r="E1831" i="1" s="1"/>
  <c r="E1832" i="1" a="1"/>
  <c r="E1832" i="1" s="1"/>
  <c r="E1833" i="1" a="1"/>
  <c r="E1833" i="1"/>
  <c r="E1835" i="1" a="1"/>
  <c r="E1835" i="1"/>
  <c r="E1836" i="1" a="1"/>
  <c r="E1836" i="1"/>
  <c r="E1837" i="1" a="1"/>
  <c r="E1837" i="1" s="1"/>
  <c r="E1838" i="1" a="1"/>
  <c r="E1838" i="1" s="1"/>
  <c r="E1839" i="1" a="1"/>
  <c r="E1839" i="1" s="1"/>
  <c r="E1840" i="1" a="1"/>
  <c r="E1840" i="1" s="1"/>
  <c r="E1841" i="1" a="1"/>
  <c r="E1841" i="1"/>
  <c r="E1842" i="1" a="1"/>
  <c r="E1842" i="1" s="1"/>
  <c r="E1843" i="1" a="1"/>
  <c r="E1843" i="1" s="1"/>
  <c r="E1844" i="1" a="1"/>
  <c r="E1844" i="1" s="1"/>
  <c r="E1845" i="1" a="1"/>
  <c r="E1845" i="1" s="1"/>
  <c r="E1846" i="1" a="1"/>
  <c r="E1846" i="1"/>
  <c r="E1847" i="1" a="1"/>
  <c r="E1847" i="1" s="1"/>
  <c r="E1848" i="1" a="1"/>
  <c r="E1848" i="1" s="1"/>
  <c r="E1849" i="1" a="1"/>
  <c r="E1849" i="1" s="1"/>
  <c r="E1850" i="1" a="1"/>
  <c r="E1850" i="1"/>
  <c r="E1851" i="1" a="1"/>
  <c r="E1851" i="1"/>
  <c r="E1852" i="1" a="1"/>
  <c r="E1852" i="1" s="1"/>
  <c r="E1853" i="1" a="1"/>
  <c r="E1853" i="1" s="1"/>
  <c r="E1854" i="1" a="1"/>
  <c r="E1854" i="1" s="1"/>
  <c r="E1855" i="1" a="1"/>
  <c r="E1855" i="1" s="1"/>
  <c r="E1857" i="1" a="1"/>
  <c r="E1857" i="1" s="1"/>
  <c r="E1858" i="1" a="1"/>
  <c r="E1858" i="1" s="1"/>
  <c r="E1860" i="1" a="1"/>
  <c r="E1860" i="1" s="1"/>
  <c r="E1861" i="1" a="1"/>
  <c r="E1861" i="1"/>
  <c r="E1863" i="1" a="1"/>
  <c r="E1863" i="1" s="1"/>
  <c r="E1864" i="1" a="1"/>
  <c r="E1864" i="1" s="1"/>
  <c r="E1865" i="1" a="1"/>
  <c r="E1865" i="1" s="1"/>
  <c r="E1866" i="1" a="1"/>
  <c r="E1866" i="1" s="1"/>
  <c r="E1867" i="1" a="1"/>
  <c r="E1867" i="1" s="1"/>
  <c r="E1869" i="1" a="1"/>
  <c r="E1869" i="1"/>
  <c r="E1870" i="1" a="1"/>
  <c r="E1870" i="1" s="1"/>
  <c r="E1871" i="1" a="1"/>
  <c r="E1871" i="1" s="1"/>
  <c r="E1872" i="1" a="1"/>
  <c r="E1872" i="1"/>
  <c r="E1873" i="1" a="1"/>
  <c r="E1873" i="1"/>
  <c r="E1874" i="1" a="1"/>
  <c r="E1874" i="1"/>
  <c r="E1875" i="1" a="1"/>
  <c r="E1875" i="1" s="1"/>
  <c r="E1876" i="1" a="1"/>
  <c r="E1876" i="1" s="1"/>
  <c r="E1877" i="1" a="1"/>
  <c r="E1877" i="1" s="1"/>
  <c r="E1878" i="1" a="1"/>
  <c r="E1878" i="1" s="1"/>
  <c r="E1879" i="1" a="1"/>
  <c r="E1879" i="1" s="1"/>
  <c r="E1880" i="1" a="1"/>
  <c r="E1880" i="1" s="1"/>
  <c r="E1881" i="1" a="1"/>
  <c r="E1881" i="1"/>
  <c r="E1882" i="1" a="1"/>
  <c r="E1882" i="1" s="1"/>
  <c r="E1885" i="1" a="1"/>
  <c r="E1885" i="1" s="1"/>
  <c r="E1886" i="1" a="1"/>
  <c r="E1886" i="1" s="1"/>
  <c r="E1887" i="1" a="1"/>
  <c r="E1887" i="1"/>
  <c r="E1888" i="1" a="1"/>
  <c r="E1888" i="1"/>
  <c r="E1890" i="1" a="1"/>
  <c r="E1890" i="1" s="1"/>
  <c r="E1892" i="1" a="1"/>
  <c r="E1892" i="1" s="1"/>
  <c r="E1893" i="1" a="1"/>
  <c r="E1893" i="1" s="1"/>
  <c r="E1894" i="1" a="1"/>
  <c r="E1894" i="1"/>
  <c r="E1895" i="1" a="1"/>
  <c r="E1895" i="1" s="1"/>
  <c r="E1896" i="1" a="1"/>
  <c r="E1896" i="1" s="1"/>
  <c r="E1897" i="1" a="1"/>
  <c r="E1897" i="1" s="1"/>
  <c r="E1898" i="1" a="1"/>
  <c r="E1898" i="1" s="1"/>
  <c r="E1900" i="1" a="1"/>
  <c r="E1900" i="1" s="1"/>
  <c r="E1901" i="1" a="1"/>
  <c r="E1901" i="1"/>
  <c r="E1902" i="1" a="1"/>
  <c r="E1902" i="1" s="1"/>
  <c r="E1903" i="1" a="1"/>
  <c r="E1903" i="1" s="1"/>
  <c r="E1904" i="1" a="1"/>
  <c r="E1904" i="1" s="1"/>
  <c r="E1905" i="1" a="1"/>
  <c r="E1905" i="1" s="1"/>
  <c r="E1906" i="1" a="1"/>
  <c r="E1906" i="1" s="1"/>
  <c r="E1907" i="1" a="1"/>
  <c r="E1907" i="1"/>
  <c r="E1908" i="1" a="1"/>
  <c r="E1908" i="1" s="1"/>
  <c r="E1909" i="1" a="1"/>
  <c r="E1909" i="1" s="1"/>
  <c r="E1910" i="1" a="1"/>
  <c r="E1910" i="1"/>
  <c r="E1911" i="1" a="1"/>
  <c r="E1911" i="1" s="1"/>
  <c r="E1912" i="1" a="1"/>
  <c r="E1912" i="1" s="1"/>
  <c r="E1913" i="1" a="1"/>
  <c r="E1913" i="1" s="1"/>
  <c r="E1915" i="1" a="1"/>
  <c r="E1915" i="1"/>
  <c r="E1916" i="1" a="1"/>
  <c r="E1916" i="1" s="1"/>
  <c r="E1917" i="1" a="1"/>
  <c r="E1917" i="1" s="1"/>
  <c r="E1918" i="1" a="1"/>
  <c r="E1918" i="1"/>
  <c r="E1919" i="1" a="1"/>
  <c r="E1919" i="1"/>
  <c r="E1920" i="1" a="1"/>
  <c r="E1920" i="1"/>
  <c r="E1921" i="1" a="1"/>
  <c r="E1921" i="1" s="1"/>
  <c r="E1922" i="1" a="1"/>
  <c r="E1922" i="1" s="1"/>
  <c r="E1923" i="1" a="1"/>
  <c r="E1923" i="1" s="1"/>
  <c r="E1924" i="1" a="1"/>
  <c r="E1924" i="1"/>
  <c r="E1925" i="1" a="1"/>
  <c r="E1925" i="1"/>
  <c r="E1926" i="1" a="1"/>
  <c r="E1926" i="1" s="1"/>
  <c r="E1927" i="1" a="1"/>
  <c r="E1927" i="1"/>
  <c r="E1928" i="1" a="1"/>
  <c r="E1928" i="1" s="1"/>
  <c r="E1929" i="1" a="1"/>
  <c r="E1929" i="1" s="1"/>
  <c r="E1930" i="1" a="1"/>
  <c r="E1930" i="1" s="1"/>
  <c r="E1931" i="1" a="1"/>
  <c r="E1931" i="1" s="1"/>
  <c r="E1933" i="1" a="1"/>
  <c r="E1933" i="1" s="1"/>
  <c r="E1934" i="1" a="1"/>
  <c r="E1934" i="1"/>
  <c r="E1935" i="1" a="1"/>
  <c r="E1935" i="1"/>
  <c r="E1936" i="1" a="1"/>
  <c r="E1936" i="1" s="1"/>
  <c r="E1937" i="1" a="1"/>
  <c r="E1937" i="1" s="1"/>
  <c r="E1938" i="1" a="1"/>
  <c r="E1938" i="1" s="1"/>
  <c r="E1939" i="1" a="1"/>
  <c r="E1939" i="1" s="1"/>
  <c r="E1940" i="1" a="1"/>
  <c r="E1940" i="1" s="1"/>
  <c r="E1943" i="1" a="1"/>
  <c r="E1943" i="1" s="1"/>
  <c r="E1944" i="1" a="1"/>
  <c r="E1944" i="1" s="1"/>
  <c r="E1946" i="1" a="1"/>
  <c r="E1946" i="1"/>
  <c r="E1947" i="1" a="1"/>
  <c r="E1947" i="1" s="1"/>
  <c r="E1948" i="1" a="1"/>
  <c r="E1948" i="1"/>
  <c r="E1949" i="1" a="1"/>
  <c r="E1949" i="1" s="1"/>
  <c r="E1950" i="1" a="1"/>
  <c r="E1950" i="1" s="1"/>
  <c r="E1951" i="1" a="1"/>
  <c r="E1951" i="1" s="1"/>
  <c r="E1952" i="1" a="1"/>
  <c r="E1952" i="1"/>
  <c r="E1954" i="1" a="1"/>
  <c r="E1954" i="1" s="1"/>
  <c r="E1955" i="1" a="1"/>
  <c r="E1955" i="1" s="1"/>
  <c r="E1956" i="1" a="1"/>
  <c r="E1956" i="1"/>
  <c r="E1957" i="1" a="1"/>
  <c r="E1957" i="1"/>
  <c r="E1959" i="1" a="1"/>
  <c r="E1959" i="1" s="1"/>
  <c r="E1960" i="1" a="1"/>
  <c r="E1960" i="1" s="1"/>
  <c r="E1963" i="1" a="1"/>
  <c r="E1963" i="1" s="1"/>
  <c r="E1964" i="1" a="1"/>
  <c r="E1964" i="1"/>
  <c r="E1965" i="1" a="1"/>
  <c r="E1965" i="1" s="1"/>
  <c r="E1966" i="1" a="1"/>
  <c r="E1966" i="1" s="1"/>
  <c r="E1967" i="1" a="1"/>
  <c r="E1967" i="1" s="1"/>
  <c r="E1968" i="1" a="1"/>
  <c r="E1968" i="1"/>
  <c r="E1969" i="1" a="1"/>
  <c r="E1969" i="1" s="1"/>
  <c r="E1970" i="1" a="1"/>
  <c r="E1970" i="1" s="1"/>
  <c r="E1972" i="1" a="1"/>
  <c r="E1972" i="1"/>
  <c r="E1973" i="1" a="1"/>
  <c r="E1973" i="1"/>
  <c r="E1974" i="1" a="1"/>
  <c r="E1974" i="1" s="1"/>
  <c r="E1975" i="1" a="1"/>
  <c r="E1975" i="1"/>
  <c r="E1976" i="1" a="1"/>
  <c r="E1976" i="1"/>
  <c r="E1977" i="1" a="1"/>
  <c r="E1977" i="1"/>
  <c r="E1978" i="1" a="1"/>
  <c r="E1978" i="1"/>
  <c r="E1979" i="1" a="1"/>
  <c r="E1979" i="1"/>
  <c r="E1982" i="1" a="1"/>
  <c r="E1982" i="1" s="1"/>
  <c r="E1983" i="1" a="1"/>
  <c r="E1983" i="1"/>
  <c r="E1984" i="1" a="1"/>
  <c r="E1984" i="1" s="1"/>
  <c r="E1985" i="1" a="1"/>
  <c r="E1985" i="1"/>
  <c r="E1986" i="1" a="1"/>
  <c r="E1986" i="1"/>
  <c r="E1987" i="1" a="1"/>
  <c r="E1987" i="1"/>
  <c r="E1988" i="1" a="1"/>
  <c r="E1988" i="1"/>
  <c r="E1989" i="1" a="1"/>
  <c r="E1989" i="1"/>
  <c r="E1990" i="1" a="1"/>
  <c r="E1990" i="1" s="1"/>
  <c r="E1991" i="1" a="1"/>
  <c r="E1991" i="1"/>
  <c r="E1992" i="1" a="1"/>
  <c r="E1992" i="1" s="1"/>
  <c r="E1993" i="1" a="1"/>
  <c r="E1993" i="1"/>
  <c r="E1994" i="1" a="1"/>
  <c r="E1994" i="1"/>
  <c r="E1995" i="1" a="1"/>
  <c r="E1995" i="1"/>
  <c r="E1996" i="1" a="1"/>
  <c r="E1996" i="1"/>
  <c r="E1997" i="1" a="1"/>
  <c r="E1997" i="1"/>
  <c r="E1998" i="1" a="1"/>
  <c r="E1998" i="1" s="1"/>
  <c r="E1999" i="1" a="1"/>
  <c r="E1999" i="1" s="1"/>
  <c r="E2000" i="1" a="1"/>
  <c r="E2000" i="1" s="1"/>
  <c r="E2001" i="1" a="1"/>
  <c r="E2001" i="1"/>
  <c r="E2002" i="1" a="1"/>
  <c r="E2002" i="1"/>
  <c r="E2004" i="1" a="1"/>
  <c r="E2004" i="1"/>
  <c r="E2005" i="1" a="1"/>
  <c r="E2005" i="1"/>
  <c r="E2006" i="1" a="1"/>
  <c r="E2006" i="1"/>
  <c r="E2007" i="1" a="1"/>
  <c r="E2007" i="1" s="1"/>
  <c r="E2008" i="1" a="1"/>
  <c r="E2008" i="1" s="1"/>
  <c r="E2009" i="1" a="1"/>
  <c r="E2009" i="1" s="1"/>
  <c r="E2010" i="1" a="1"/>
  <c r="E2010" i="1"/>
  <c r="E2011" i="1" a="1"/>
  <c r="E2011" i="1"/>
  <c r="E2012" i="1" a="1"/>
  <c r="E2012" i="1"/>
  <c r="E2013" i="1" a="1"/>
  <c r="E2013" i="1"/>
  <c r="E2015" i="1" a="1"/>
  <c r="E2015" i="1"/>
  <c r="E2016" i="1" a="1"/>
  <c r="E2016" i="1"/>
  <c r="E2017" i="1" a="1"/>
  <c r="E2017" i="1" s="1"/>
  <c r="E2018" i="1" a="1"/>
  <c r="E2018" i="1" s="1"/>
  <c r="E2019" i="1" a="1"/>
  <c r="E2019" i="1"/>
  <c r="E2020" i="1" a="1"/>
  <c r="E2020" i="1"/>
  <c r="E2021" i="1" a="1"/>
  <c r="E2021" i="1"/>
  <c r="E2022" i="1" a="1"/>
  <c r="E2022" i="1"/>
  <c r="E2023" i="1" a="1"/>
  <c r="E2023" i="1"/>
  <c r="E2024" i="1" a="1"/>
  <c r="E2024" i="1"/>
  <c r="E2026" i="1" a="1"/>
  <c r="E2026" i="1" s="1"/>
  <c r="E2027" i="1" a="1"/>
  <c r="E2027" i="1" s="1"/>
  <c r="E2029" i="1" a="1"/>
  <c r="E2029" i="1"/>
  <c r="E2030" i="1" a="1"/>
  <c r="E2030" i="1"/>
  <c r="E2031" i="1" a="1"/>
  <c r="E2031" i="1"/>
  <c r="E2032" i="1" a="1"/>
  <c r="E2032" i="1"/>
  <c r="E2033" i="1" a="1"/>
  <c r="E2033" i="1"/>
  <c r="E2034" i="1" a="1"/>
  <c r="E2034" i="1"/>
  <c r="E2035" i="1" a="1"/>
  <c r="E2035" i="1"/>
  <c r="E2036" i="1" a="1"/>
  <c r="E2036" i="1" s="1"/>
  <c r="E2037" i="1" a="1"/>
  <c r="E2037" i="1"/>
  <c r="E2038" i="1" a="1"/>
  <c r="E2038" i="1"/>
  <c r="E2039" i="1" a="1"/>
  <c r="E2039" i="1"/>
  <c r="E2040" i="1" a="1"/>
  <c r="E2040" i="1"/>
  <c r="E2041" i="1" a="1"/>
  <c r="E2041" i="1"/>
  <c r="E2042" i="1" a="1"/>
  <c r="E2042" i="1"/>
  <c r="E2043" i="1" a="1"/>
  <c r="E2043" i="1"/>
  <c r="E2044" i="1" a="1"/>
  <c r="E2044" i="1" s="1"/>
  <c r="E2045" i="1" a="1"/>
  <c r="E2045" i="1"/>
  <c r="E2046" i="1" a="1"/>
  <c r="E2046" i="1"/>
  <c r="E2047" i="1" a="1"/>
  <c r="E2047" i="1"/>
  <c r="E2048" i="1" a="1"/>
  <c r="E2048" i="1"/>
  <c r="E2049" i="1" a="1"/>
  <c r="E2049" i="1"/>
  <c r="E2050" i="1" a="1"/>
  <c r="E2050" i="1"/>
  <c r="E2051" i="1" a="1"/>
  <c r="E2051" i="1"/>
  <c r="E2052" i="1" a="1"/>
  <c r="E2052" i="1" s="1"/>
  <c r="E2053" i="1" a="1"/>
  <c r="E2053" i="1"/>
  <c r="E2054" i="1" a="1"/>
  <c r="E2054" i="1"/>
  <c r="E2055" i="1" a="1"/>
  <c r="E2055" i="1"/>
  <c r="E2056" i="1" a="1"/>
  <c r="E2056" i="1"/>
  <c r="E2057" i="1" a="1"/>
  <c r="E2057" i="1"/>
  <c r="E2058" i="1" a="1"/>
  <c r="E2058" i="1" s="1"/>
  <c r="E2059" i="1" a="1"/>
  <c r="E2059" i="1"/>
  <c r="E2060" i="1" a="1"/>
  <c r="E2060" i="1" s="1"/>
  <c r="E2061" i="1" a="1"/>
  <c r="E2061" i="1"/>
  <c r="E2062" i="1" a="1"/>
  <c r="E2062" i="1"/>
  <c r="E2063" i="1" a="1"/>
  <c r="E2063" i="1"/>
  <c r="E2064" i="1" a="1"/>
  <c r="E2064" i="1"/>
  <c r="E2065" i="1" a="1"/>
  <c r="E2065" i="1"/>
  <c r="E2066" i="1" a="1"/>
  <c r="E2066" i="1"/>
  <c r="E2067" i="1" a="1"/>
  <c r="E2067" i="1"/>
  <c r="E2068" i="1" a="1"/>
  <c r="E2068" i="1" s="1"/>
  <c r="E2069" i="1" a="1"/>
  <c r="E2069" i="1"/>
  <c r="E2071" i="1" a="1"/>
  <c r="E2071" i="1"/>
  <c r="E2074" i="1" a="1"/>
  <c r="E2074" i="1"/>
  <c r="E2075" i="1" a="1"/>
  <c r="E2075" i="1"/>
  <c r="E2076" i="1" a="1"/>
  <c r="E2076" i="1"/>
  <c r="E2077" i="1" a="1"/>
  <c r="E2077" i="1"/>
  <c r="E2079" i="1" a="1"/>
  <c r="E2079" i="1" s="1"/>
  <c r="E2080" i="1" a="1"/>
  <c r="E2080" i="1" s="1"/>
  <c r="E2081" i="1" a="1"/>
  <c r="E2081" i="1"/>
  <c r="E2082" i="1" a="1"/>
  <c r="E2082" i="1"/>
  <c r="E2083" i="1" a="1"/>
  <c r="E2083" i="1"/>
  <c r="E2084" i="1" a="1"/>
  <c r="E2084" i="1"/>
  <c r="E2085" i="1" a="1"/>
  <c r="E2085" i="1"/>
  <c r="E2086" i="1" a="1"/>
  <c r="E2086" i="1"/>
  <c r="E2087" i="1" a="1"/>
  <c r="E2087" i="1"/>
  <c r="E2089" i="1" a="1"/>
  <c r="E2089" i="1" s="1"/>
  <c r="E2090" i="1" a="1"/>
  <c r="E2090" i="1" s="1"/>
  <c r="E2091" i="1" a="1"/>
  <c r="E2091" i="1"/>
  <c r="E2092" i="1" a="1"/>
  <c r="E2092" i="1"/>
  <c r="E2093" i="1" a="1"/>
  <c r="E2093" i="1"/>
  <c r="E2094" i="1" a="1"/>
  <c r="E2094" i="1"/>
  <c r="E2095" i="1" a="1"/>
  <c r="E2095" i="1"/>
  <c r="E2096" i="1" a="1"/>
  <c r="E2096" i="1"/>
  <c r="E2097" i="1" a="1"/>
  <c r="E2097" i="1"/>
  <c r="E2098" i="1" a="1"/>
  <c r="E2098" i="1" s="1"/>
  <c r="E2099" i="1" a="1"/>
  <c r="E2099" i="1"/>
  <c r="E2100" i="1" a="1"/>
  <c r="E2100" i="1"/>
  <c r="E2102" i="1" a="1"/>
  <c r="E2102" i="1"/>
  <c r="E2103" i="1" a="1"/>
  <c r="E2103" i="1"/>
  <c r="E2104" i="1" a="1"/>
  <c r="E2104" i="1"/>
  <c r="E2105" i="1" a="1"/>
  <c r="E2105" i="1"/>
  <c r="E2107" i="1" a="1"/>
  <c r="E2107" i="1"/>
  <c r="E2108" i="1" a="1"/>
  <c r="E2108" i="1" s="1"/>
  <c r="E2109" i="1" a="1"/>
  <c r="E2109" i="1"/>
  <c r="E2110" i="1" a="1"/>
  <c r="E2110" i="1"/>
  <c r="E2111" i="1" a="1"/>
  <c r="E2111" i="1"/>
  <c r="E2112" i="1" a="1"/>
  <c r="E2112" i="1"/>
  <c r="E2113" i="1" a="1"/>
  <c r="E2113" i="1" s="1"/>
  <c r="E2114" i="1" a="1"/>
  <c r="E2114" i="1"/>
  <c r="E2116" i="1" a="1"/>
  <c r="E2116" i="1"/>
  <c r="E2117" i="1" a="1"/>
  <c r="E2117" i="1" s="1"/>
  <c r="E2118" i="1" a="1"/>
  <c r="E2118" i="1"/>
  <c r="E2119" i="1" a="1"/>
  <c r="E2119" i="1"/>
  <c r="E2120" i="1" a="1"/>
  <c r="E2120" i="1"/>
  <c r="E2121" i="1" a="1"/>
  <c r="E2121" i="1"/>
  <c r="E2122" i="1" a="1"/>
  <c r="E2122" i="1" s="1"/>
  <c r="E2123" i="1" a="1"/>
  <c r="E2123" i="1"/>
  <c r="E2124" i="1" a="1"/>
  <c r="E2124" i="1"/>
  <c r="E2125" i="1" a="1"/>
  <c r="E2125" i="1" s="1"/>
  <c r="E2131" i="1" a="1"/>
  <c r="E2131" i="1"/>
  <c r="E2132" i="1" a="1"/>
  <c r="E2132" i="1"/>
  <c r="E2133" i="1" a="1"/>
  <c r="E2133" i="1"/>
  <c r="E2134" i="1" a="1"/>
  <c r="E2134" i="1"/>
  <c r="E2135" i="1" a="1"/>
  <c r="E2135" i="1" s="1"/>
  <c r="E2138" i="1" a="1"/>
  <c r="E2138" i="1" s="1"/>
  <c r="E2139" i="1" a="1"/>
  <c r="E2139" i="1"/>
  <c r="E2141" i="1" a="1"/>
  <c r="E2141" i="1" s="1"/>
  <c r="E2142" i="1" a="1"/>
  <c r="E2142" i="1"/>
  <c r="E2143" i="1" a="1"/>
  <c r="E2143" i="1" s="1"/>
  <c r="E2144" i="1" a="1"/>
  <c r="E2144" i="1"/>
  <c r="E2145" i="1" a="1"/>
  <c r="E2145" i="1"/>
  <c r="E2146" i="1" a="1"/>
  <c r="E2146" i="1" s="1"/>
  <c r="E2148" i="1" a="1"/>
  <c r="E2148" i="1" s="1"/>
  <c r="E2149" i="1" a="1"/>
  <c r="E2149" i="1" s="1"/>
  <c r="E2150" i="1" a="1"/>
  <c r="E2150" i="1" s="1"/>
  <c r="E2151" i="1" a="1"/>
  <c r="E2151" i="1"/>
  <c r="E2153" i="1" a="1"/>
  <c r="E2153" i="1" s="1"/>
  <c r="E2154" i="1" a="1"/>
  <c r="E2154" i="1"/>
  <c r="E2157" i="1" a="1"/>
  <c r="E2157" i="1"/>
  <c r="E2159" i="1" a="1"/>
  <c r="E2159" i="1"/>
  <c r="E2160" i="1" a="1"/>
  <c r="E2160" i="1"/>
  <c r="E2161" i="1" a="1"/>
  <c r="E2161" i="1" s="1"/>
  <c r="E2162" i="1" a="1"/>
  <c r="E2162" i="1" s="1"/>
  <c r="E2163" i="1" a="1"/>
  <c r="E2163" i="1"/>
  <c r="E2164" i="1" a="1"/>
  <c r="E2164" i="1" s="1"/>
  <c r="E2165" i="1" a="1"/>
  <c r="E2165" i="1"/>
  <c r="E2166" i="1" a="1"/>
  <c r="E2166" i="1"/>
  <c r="E2169" i="1" a="1"/>
  <c r="E2169" i="1"/>
  <c r="E2170" i="1" a="1"/>
  <c r="E2170" i="1"/>
  <c r="E2171" i="1" a="1"/>
  <c r="E2171" i="1" s="1"/>
  <c r="E2172" i="1" a="1"/>
  <c r="E2172" i="1"/>
  <c r="E2174" i="1" a="1"/>
  <c r="E2174" i="1"/>
  <c r="E2175" i="1" a="1"/>
  <c r="E2175" i="1" s="1"/>
  <c r="E2176" i="1" a="1"/>
  <c r="E2176" i="1" s="1"/>
  <c r="E2177" i="1" a="1"/>
  <c r="E2177" i="1"/>
  <c r="E2178" i="1" a="1"/>
  <c r="E2178" i="1"/>
  <c r="E2179" i="1" a="1"/>
  <c r="E2179" i="1"/>
  <c r="E2180" i="1" a="1"/>
  <c r="E2180" i="1"/>
  <c r="E2181" i="1" a="1"/>
  <c r="E2181" i="1" s="1"/>
  <c r="E2182" i="1" a="1"/>
  <c r="E2182" i="1"/>
  <c r="E2183" i="1" a="1"/>
  <c r="E2183" i="1" s="1"/>
  <c r="E2184" i="1" a="1"/>
  <c r="E2184" i="1" s="1"/>
  <c r="E2185" i="1" a="1"/>
  <c r="E2185" i="1"/>
  <c r="E2186" i="1" a="1"/>
  <c r="E2186" i="1"/>
  <c r="E2187" i="1" a="1"/>
  <c r="E2187" i="1"/>
  <c r="E2188" i="1" a="1"/>
  <c r="E2188" i="1"/>
  <c r="E2190" i="1" a="1"/>
  <c r="E2190" i="1"/>
  <c r="E2191" i="1" a="1"/>
  <c r="E2191" i="1"/>
  <c r="E2192" i="1" a="1"/>
  <c r="E2192" i="1" s="1"/>
  <c r="E2193" i="1" a="1"/>
  <c r="E2193" i="1" s="1"/>
  <c r="E2194" i="1" a="1"/>
  <c r="E2194" i="1" s="1"/>
  <c r="E2195" i="1" a="1"/>
  <c r="E2195" i="1" s="1"/>
  <c r="E2196" i="1" a="1"/>
  <c r="E2196" i="1"/>
  <c r="E2197" i="1" a="1"/>
  <c r="E2197" i="1" s="1"/>
  <c r="E2198" i="1" a="1"/>
  <c r="E2198" i="1"/>
  <c r="E2199" i="1" a="1"/>
  <c r="E2199" i="1"/>
  <c r="E2200" i="1" a="1"/>
  <c r="E2200" i="1" s="1"/>
  <c r="E2202" i="1" a="1"/>
  <c r="E2202" i="1"/>
  <c r="E2203" i="1" a="1"/>
  <c r="E2203" i="1" s="1"/>
  <c r="E2205" i="1" a="1"/>
  <c r="E2205" i="1"/>
  <c r="E2206" i="1" a="1"/>
  <c r="E2206" i="1"/>
  <c r="E2207" i="1" a="1"/>
  <c r="E2207" i="1"/>
  <c r="E2208" i="1" a="1"/>
  <c r="E2208" i="1"/>
  <c r="E2209" i="1" a="1"/>
  <c r="E2209" i="1"/>
  <c r="E2210" i="1" a="1"/>
  <c r="E2210" i="1" s="1"/>
  <c r="E2211" i="1" a="1"/>
  <c r="E2211" i="1" s="1"/>
  <c r="E2212" i="1" a="1"/>
  <c r="E2212" i="1"/>
  <c r="E2213" i="1" a="1"/>
  <c r="E2213" i="1" s="1"/>
  <c r="E2214" i="1" a="1"/>
  <c r="E2214" i="1" s="1"/>
  <c r="E2215" i="1" a="1"/>
  <c r="E2215" i="1"/>
  <c r="E2216" i="1" a="1"/>
  <c r="E2216" i="1" s="1"/>
  <c r="E2217" i="1" a="1"/>
  <c r="E2217" i="1"/>
  <c r="E2219" i="1" a="1"/>
  <c r="E2219" i="1" s="1"/>
  <c r="E2222" i="1" a="1"/>
  <c r="E2222" i="1"/>
  <c r="E2223" i="1" a="1"/>
  <c r="E2223" i="1"/>
  <c r="E2224" i="1" a="1"/>
  <c r="E2224" i="1" s="1"/>
  <c r="E2225" i="1" a="1"/>
  <c r="E2225" i="1"/>
  <c r="E2227" i="1" a="1"/>
  <c r="E2227" i="1"/>
  <c r="E2231" i="1" a="1"/>
  <c r="E2231" i="1" s="1"/>
  <c r="E2232" i="1" a="1"/>
  <c r="E2232" i="1"/>
  <c r="E2233" i="1" a="1"/>
  <c r="E2233" i="1" s="1"/>
  <c r="E2234" i="1" a="1"/>
  <c r="E2234" i="1"/>
  <c r="E2235" i="1" a="1"/>
  <c r="E2235" i="1"/>
  <c r="E2236" i="1" a="1"/>
  <c r="E2236" i="1"/>
  <c r="E2237" i="1" a="1"/>
  <c r="E2237" i="1" s="1"/>
  <c r="E2238" i="1" a="1"/>
  <c r="E2238" i="1" s="1"/>
  <c r="E2239" i="1" a="1"/>
  <c r="E2239" i="1"/>
  <c r="E2240" i="1" a="1"/>
  <c r="E2240" i="1"/>
  <c r="E2241" i="1" a="1"/>
  <c r="E2241" i="1" s="1"/>
  <c r="E2242" i="1" a="1"/>
  <c r="E2242" i="1"/>
  <c r="E2243" i="1" a="1"/>
  <c r="E2243" i="1"/>
  <c r="E2244" i="1" a="1"/>
  <c r="E2244" i="1"/>
  <c r="E2245" i="1" a="1"/>
  <c r="E2245" i="1"/>
  <c r="E2247" i="1" a="1"/>
  <c r="E2247" i="1"/>
  <c r="E2248" i="1" a="1"/>
  <c r="E2248" i="1"/>
  <c r="E2249" i="1" a="1"/>
  <c r="E2249" i="1"/>
  <c r="E2250" i="1" a="1"/>
  <c r="E2250" i="1" s="1"/>
  <c r="E2251" i="1" a="1"/>
  <c r="E2251" i="1" s="1"/>
  <c r="E2252" i="1" a="1"/>
  <c r="E2252" i="1" s="1"/>
  <c r="E2253" i="1" a="1"/>
  <c r="E2253" i="1"/>
  <c r="E2254" i="1" a="1"/>
  <c r="E2254" i="1"/>
  <c r="E2255" i="1" a="1"/>
  <c r="E2255" i="1" s="1"/>
  <c r="E2256" i="1" a="1"/>
  <c r="E2256" i="1" s="1"/>
  <c r="E2257" i="1" a="1"/>
  <c r="E2257" i="1"/>
  <c r="E2260" i="1" a="1"/>
  <c r="E2260" i="1" s="1"/>
  <c r="E2261" i="1" a="1"/>
  <c r="E2261" i="1"/>
  <c r="E2263" i="1" a="1"/>
  <c r="E2263" i="1" s="1"/>
  <c r="E2268" i="1" a="1"/>
  <c r="E2268" i="1"/>
  <c r="E2269" i="1" a="1"/>
  <c r="E2269" i="1"/>
  <c r="E2270" i="1" a="1"/>
  <c r="E2270" i="1" s="1"/>
  <c r="E2271" i="1" a="1"/>
  <c r="E2271" i="1"/>
  <c r="E2273" i="1" a="1"/>
  <c r="E2273" i="1"/>
  <c r="E2274" i="1" a="1"/>
  <c r="E2274" i="1" s="1"/>
  <c r="E2275" i="1" a="1"/>
  <c r="E2275" i="1"/>
  <c r="E2276" i="1" a="1"/>
  <c r="E2276" i="1" s="1"/>
  <c r="E2277" i="1" a="1"/>
  <c r="E2277" i="1" s="1"/>
  <c r="E2279" i="1" a="1"/>
  <c r="E2279" i="1" s="1"/>
  <c r="E2280" i="1" a="1"/>
  <c r="E2280" i="1"/>
  <c r="E2281" i="1" a="1"/>
  <c r="E2281" i="1" s="1"/>
  <c r="E2282" i="1" a="1"/>
  <c r="E2282" i="1"/>
  <c r="E2283" i="1" a="1"/>
  <c r="E2283" i="1" s="1"/>
  <c r="E2284" i="1" a="1"/>
  <c r="E2284" i="1"/>
  <c r="E2285" i="1" a="1"/>
  <c r="E2285" i="1"/>
  <c r="E2286" i="1" a="1"/>
  <c r="E2286" i="1"/>
  <c r="E2288" i="1" a="1"/>
  <c r="E2288" i="1" s="1"/>
  <c r="E2289" i="1" a="1"/>
  <c r="E2289" i="1" s="1"/>
  <c r="E2290" i="1" a="1"/>
  <c r="E2290" i="1"/>
  <c r="E2291" i="1" a="1"/>
  <c r="E2291" i="1"/>
  <c r="E2292" i="1" a="1"/>
  <c r="E2292" i="1" s="1"/>
  <c r="E2293" i="1" a="1"/>
  <c r="E2293" i="1"/>
  <c r="E2296" i="1" a="1"/>
  <c r="E2296" i="1"/>
  <c r="E2297" i="1" a="1"/>
  <c r="E2297" i="1"/>
  <c r="E2298" i="1" a="1"/>
  <c r="E2298" i="1" s="1"/>
  <c r="E2299" i="1" a="1"/>
  <c r="E2299" i="1"/>
  <c r="E2301" i="1" a="1"/>
  <c r="E2301" i="1"/>
  <c r="E2302" i="1" a="1"/>
  <c r="E2302" i="1"/>
  <c r="E2303" i="1" a="1"/>
  <c r="E2303" i="1" s="1"/>
  <c r="E2304" i="1" a="1"/>
  <c r="E2304" i="1"/>
  <c r="E2305" i="1" a="1"/>
  <c r="E2305" i="1" s="1"/>
  <c r="E2306" i="1" a="1"/>
  <c r="E2306" i="1"/>
  <c r="E2308" i="1" a="1"/>
  <c r="E2308" i="1" s="1"/>
  <c r="E2309" i="1" a="1"/>
  <c r="E2309" i="1" s="1"/>
  <c r="E2311" i="1" a="1"/>
  <c r="E2311" i="1" s="1"/>
  <c r="E2312" i="1" a="1"/>
  <c r="E2312" i="1"/>
  <c r="E2313" i="1" a="1"/>
  <c r="E2313" i="1" s="1"/>
  <c r="E2314" i="1" a="1"/>
  <c r="E2314" i="1" s="1"/>
  <c r="E2315" i="1" a="1"/>
  <c r="E2315" i="1"/>
  <c r="E2316" i="1" a="1"/>
  <c r="E2316" i="1"/>
  <c r="E2317" i="1" a="1"/>
  <c r="E2317" i="1" s="1"/>
  <c r="E2318" i="1" a="1"/>
  <c r="E2318" i="1"/>
  <c r="E2319" i="1" a="1"/>
  <c r="E2319" i="1" s="1"/>
  <c r="E2320" i="1" a="1"/>
  <c r="E2320" i="1"/>
  <c r="E2321" i="1" a="1"/>
  <c r="E2321" i="1" s="1"/>
  <c r="E2322" i="1" a="1"/>
  <c r="E2322" i="1" s="1"/>
  <c r="E2323" i="1" a="1"/>
  <c r="E2323" i="1"/>
  <c r="E2324" i="1" a="1"/>
  <c r="E2324" i="1"/>
  <c r="E2325" i="1" a="1"/>
  <c r="E2325" i="1"/>
  <c r="E2326" i="1" a="1"/>
  <c r="E2326" i="1" s="1"/>
  <c r="E2327" i="1" a="1"/>
  <c r="E2327" i="1"/>
  <c r="E2328" i="1" a="1"/>
  <c r="E2328" i="1"/>
  <c r="E2329" i="1" a="1"/>
  <c r="E2329" i="1" s="1"/>
  <c r="E2330" i="1" a="1"/>
  <c r="E2330" i="1" s="1"/>
  <c r="E2331" i="1" a="1"/>
  <c r="E2331" i="1" s="1"/>
  <c r="E2332" i="1" a="1"/>
  <c r="E2332" i="1"/>
  <c r="E2333" i="1" a="1"/>
  <c r="E2333" i="1"/>
  <c r="E2335" i="1" a="1"/>
  <c r="E2335" i="1"/>
  <c r="E2336" i="1" a="1"/>
  <c r="E2336" i="1"/>
  <c r="E2337" i="1" a="1"/>
  <c r="E2337" i="1"/>
  <c r="E2338" i="1" a="1"/>
  <c r="E2338" i="1" s="1"/>
  <c r="E2339" i="1" a="1"/>
  <c r="E2339" i="1" s="1"/>
  <c r="E2340" i="1" a="1"/>
  <c r="E2340" i="1" s="1"/>
  <c r="E2341" i="1" a="1"/>
  <c r="E2341" i="1"/>
  <c r="E2342" i="1" a="1"/>
  <c r="E2342" i="1"/>
  <c r="E2343" i="1" a="1"/>
  <c r="E2343" i="1"/>
  <c r="E2344" i="1" a="1"/>
  <c r="E2344" i="1" s="1"/>
  <c r="E2345" i="1" a="1"/>
  <c r="E2345" i="1"/>
  <c r="E2346" i="1" a="1"/>
  <c r="E2346" i="1" s="1"/>
  <c r="E2347" i="1" a="1"/>
  <c r="E2347" i="1" s="1"/>
  <c r="E2348" i="1" a="1"/>
  <c r="E2348" i="1" s="1"/>
  <c r="E2349" i="1" a="1"/>
  <c r="E2349" i="1"/>
  <c r="E2350" i="1" a="1"/>
  <c r="E2350" i="1"/>
  <c r="E2351" i="1" a="1"/>
  <c r="E2351" i="1" s="1"/>
  <c r="E2352" i="1" a="1"/>
  <c r="E2352" i="1"/>
  <c r="E2353" i="1" a="1"/>
  <c r="E2353" i="1" s="1"/>
  <c r="E2354" i="1" a="1"/>
  <c r="E2354" i="1" s="1"/>
  <c r="E2355" i="1" a="1"/>
  <c r="E2355" i="1" s="1"/>
  <c r="E2356" i="1" a="1"/>
  <c r="E2356" i="1" s="1"/>
  <c r="E2357" i="1" a="1"/>
  <c r="E2357" i="1" s="1"/>
  <c r="E2358" i="1" a="1"/>
  <c r="E2358" i="1" s="1"/>
  <c r="E2360" i="1" a="1"/>
  <c r="E2360" i="1"/>
  <c r="E2361" i="1" a="1"/>
  <c r="E2361" i="1"/>
  <c r="E2362" i="1" a="1"/>
  <c r="E2362" i="1" s="1"/>
  <c r="E2364" i="1" a="1"/>
  <c r="E2364" i="1" s="1"/>
  <c r="E2365" i="1" a="1"/>
  <c r="E2365" i="1"/>
  <c r="E2366" i="1" a="1"/>
  <c r="E2366" i="1"/>
  <c r="E2369" i="1" a="1"/>
  <c r="E2369" i="1" s="1"/>
  <c r="E2370" i="1" a="1"/>
  <c r="E2370" i="1" s="1"/>
  <c r="E2371" i="1" a="1"/>
  <c r="E2371" i="1" s="1"/>
  <c r="E2372" i="1" a="1"/>
  <c r="E2372" i="1"/>
  <c r="E2373" i="1" a="1"/>
  <c r="E2373" i="1" s="1"/>
  <c r="E2376" i="1" a="1"/>
  <c r="E2376" i="1" s="1"/>
  <c r="E2377" i="1" a="1"/>
  <c r="E2377" i="1"/>
  <c r="E2378" i="1" a="1"/>
  <c r="E2378" i="1" s="1"/>
  <c r="E2379" i="1" a="1"/>
  <c r="E2379" i="1" s="1"/>
  <c r="E2380" i="1" a="1"/>
  <c r="E2380" i="1"/>
  <c r="E2382" i="1" a="1"/>
  <c r="E2382" i="1" s="1"/>
  <c r="E2383" i="1" a="1"/>
  <c r="E2383" i="1" s="1"/>
  <c r="E2384" i="1" a="1"/>
  <c r="E2384" i="1" s="1"/>
  <c r="E2385" i="1" a="1"/>
  <c r="E2385" i="1" s="1"/>
  <c r="E2386" i="1" a="1"/>
  <c r="E2386" i="1" s="1"/>
  <c r="E2387" i="1" a="1"/>
  <c r="E2387" i="1"/>
  <c r="E2388" i="1" a="1"/>
  <c r="E2388" i="1"/>
  <c r="E2389" i="1" a="1"/>
  <c r="E2389" i="1" s="1"/>
  <c r="E2390" i="1" a="1"/>
  <c r="E2390" i="1" s="1"/>
  <c r="E2392" i="1" a="1"/>
  <c r="E2392" i="1" s="1"/>
  <c r="E2394" i="1" a="1"/>
  <c r="E2394" i="1" s="1"/>
  <c r="E2395" i="1" a="1"/>
  <c r="E2395" i="1" s="1"/>
  <c r="E2396" i="1" a="1"/>
  <c r="E2396" i="1"/>
  <c r="E2398" i="1" a="1"/>
  <c r="E2398" i="1" s="1"/>
  <c r="E2399" i="1" a="1"/>
  <c r="E2399" i="1" s="1"/>
  <c r="E2400" i="1" a="1"/>
  <c r="E2400" i="1" s="1"/>
  <c r="E2401" i="1" a="1"/>
  <c r="E2401" i="1"/>
  <c r="E2402" i="1" a="1"/>
  <c r="E2402" i="1" s="1"/>
  <c r="E2403" i="1" a="1"/>
  <c r="E2403" i="1" s="1"/>
  <c r="E2404" i="1" a="1"/>
  <c r="E2404" i="1" s="1"/>
  <c r="E2405" i="1" a="1"/>
  <c r="E2405" i="1" s="1"/>
  <c r="E2406" i="1" a="1"/>
  <c r="E2406" i="1"/>
  <c r="E2407" i="1" a="1"/>
  <c r="E2407" i="1"/>
  <c r="E2408" i="1" a="1"/>
  <c r="E2408" i="1" s="1"/>
  <c r="E2409" i="1" a="1"/>
  <c r="E2409" i="1"/>
  <c r="E2410" i="1" a="1"/>
  <c r="E2410" i="1"/>
  <c r="E2411" i="1" a="1"/>
  <c r="E2411" i="1" s="1"/>
  <c r="E2412" i="1" a="1"/>
  <c r="E2412" i="1" s="1"/>
  <c r="E2413" i="1" a="1"/>
  <c r="E2413" i="1" s="1"/>
  <c r="E2414" i="1" a="1"/>
  <c r="E2414" i="1" s="1"/>
  <c r="E2416" i="1" a="1"/>
  <c r="E2416" i="1"/>
  <c r="E2417" i="1" a="1"/>
  <c r="E2417" i="1" s="1"/>
  <c r="E2418" i="1" a="1"/>
  <c r="E2418" i="1"/>
  <c r="E2420" i="1" a="1"/>
  <c r="E2420" i="1" s="1"/>
  <c r="E2421" i="1" a="1"/>
  <c r="E2421" i="1" s="1"/>
  <c r="E2422" i="1" a="1"/>
  <c r="E2422" i="1" s="1"/>
  <c r="E2423" i="1" a="1"/>
  <c r="E2423" i="1"/>
  <c r="E2424" i="1" a="1"/>
  <c r="E2424" i="1" s="1"/>
  <c r="E2425" i="1" a="1"/>
  <c r="E2425" i="1" s="1"/>
  <c r="E2426" i="1" a="1"/>
  <c r="E2426" i="1"/>
  <c r="E2429" i="1" a="1"/>
  <c r="E2429" i="1" s="1"/>
  <c r="E2430" i="1" a="1"/>
  <c r="E2430" i="1"/>
  <c r="E2431" i="1" a="1"/>
  <c r="E2431" i="1" s="1"/>
  <c r="E2432" i="1" a="1"/>
  <c r="E2432" i="1" s="1"/>
  <c r="E2433" i="1" a="1"/>
  <c r="E2433" i="1" s="1"/>
  <c r="E2434" i="1" a="1"/>
  <c r="E2434" i="1"/>
  <c r="E2435" i="1" a="1"/>
  <c r="E2435" i="1" s="1"/>
  <c r="E2436" i="1" a="1"/>
  <c r="E2436" i="1" s="1"/>
  <c r="E2437" i="1" a="1"/>
  <c r="E2437" i="1"/>
  <c r="E2438" i="1" a="1"/>
  <c r="E2438" i="1"/>
  <c r="E2439" i="1" a="1"/>
  <c r="E2439" i="1" s="1"/>
  <c r="E2440" i="1" a="1"/>
  <c r="E2440" i="1" s="1"/>
  <c r="E2441" i="1" a="1"/>
  <c r="E2441" i="1"/>
  <c r="E2442" i="1" a="1"/>
  <c r="E2442" i="1" s="1"/>
  <c r="E2443" i="1" a="1"/>
  <c r="E2443" i="1" s="1"/>
  <c r="E2445" i="1" a="1"/>
  <c r="E2445" i="1" s="1"/>
  <c r="E2446" i="1" a="1"/>
  <c r="E2446" i="1" s="1"/>
  <c r="E2448" i="1" a="1"/>
  <c r="E2448" i="1"/>
  <c r="E2449" i="1" a="1"/>
  <c r="E2449" i="1" s="1"/>
  <c r="E2450" i="1" a="1"/>
  <c r="E2450" i="1" s="1"/>
  <c r="E2451" i="1" a="1"/>
  <c r="E2451" i="1"/>
  <c r="E2452" i="1" a="1"/>
  <c r="E2452" i="1" s="1"/>
  <c r="E2453" i="1" a="1"/>
  <c r="E2453" i="1"/>
  <c r="E2454" i="1" a="1"/>
  <c r="E2454" i="1"/>
  <c r="E2455" i="1" a="1"/>
  <c r="E2455" i="1"/>
  <c r="E2456" i="1" a="1"/>
  <c r="E2456" i="1"/>
  <c r="E2458" i="1" a="1"/>
  <c r="E2458" i="1" s="1"/>
  <c r="E2459" i="1" a="1"/>
  <c r="E2459" i="1" s="1"/>
  <c r="E2460" i="1" a="1"/>
  <c r="E2460" i="1"/>
  <c r="E2461" i="1" a="1"/>
  <c r="E2461" i="1"/>
  <c r="E2462" i="1" a="1"/>
  <c r="E2462" i="1" s="1"/>
  <c r="E2463" i="1" a="1"/>
  <c r="E2463" i="1"/>
  <c r="E2464" i="1" a="1"/>
  <c r="E2464" i="1" s="1"/>
  <c r="E2465" i="1" a="1"/>
  <c r="E2465" i="1" s="1"/>
  <c r="E2466" i="1" a="1"/>
  <c r="E2466" i="1"/>
  <c r="E2467" i="1" a="1"/>
  <c r="E2467" i="1" s="1"/>
  <c r="E2468" i="1" a="1"/>
  <c r="E2468" i="1" s="1"/>
  <c r="E2469" i="1" a="1"/>
  <c r="E2469" i="1"/>
  <c r="E2470" i="1" a="1"/>
  <c r="E2470" i="1"/>
  <c r="E2471" i="1" a="1"/>
  <c r="E2471" i="1"/>
  <c r="E2472" i="1" a="1"/>
  <c r="E2472" i="1" s="1"/>
  <c r="E2473" i="1" a="1"/>
  <c r="E2473" i="1"/>
  <c r="E2474" i="1" a="1"/>
  <c r="E2474" i="1"/>
  <c r="E2475" i="1" a="1"/>
  <c r="E2475" i="1" s="1"/>
  <c r="E2476" i="1" a="1"/>
  <c r="E2476" i="1"/>
  <c r="E2477" i="1" a="1"/>
  <c r="E2477" i="1"/>
  <c r="E2478" i="1" a="1"/>
  <c r="E2478" i="1"/>
  <c r="E2479" i="1" a="1"/>
  <c r="E2479" i="1"/>
  <c r="E2480" i="1" a="1"/>
  <c r="E2480" i="1"/>
  <c r="E2481" i="1" a="1"/>
  <c r="E2481" i="1" s="1"/>
  <c r="E2482" i="1" a="1"/>
  <c r="E2482" i="1" s="1"/>
  <c r="E2485" i="1" a="1"/>
  <c r="E2485" i="1" s="1"/>
  <c r="E2486" i="1" a="1"/>
  <c r="E2486" i="1" s="1"/>
  <c r="E2487" i="1" a="1"/>
  <c r="E2487" i="1" s="1"/>
  <c r="E2488" i="1" a="1"/>
  <c r="E2488" i="1"/>
  <c r="E2489" i="1" a="1"/>
  <c r="E2489" i="1" s="1"/>
  <c r="E2491" i="1" a="1"/>
  <c r="E2491" i="1"/>
  <c r="E2492" i="1" a="1"/>
  <c r="E2492" i="1"/>
  <c r="E2493" i="1" a="1"/>
  <c r="E2493" i="1"/>
  <c r="E2494" i="1" a="1"/>
  <c r="E2494" i="1" s="1"/>
  <c r="E2495" i="1" a="1"/>
  <c r="E2495" i="1"/>
  <c r="E2496" i="1" a="1"/>
  <c r="E2496" i="1"/>
  <c r="E2497" i="1" a="1"/>
  <c r="E2497" i="1"/>
  <c r="E2498" i="1" a="1"/>
  <c r="E2498" i="1" s="1"/>
  <c r="E2499" i="1" a="1"/>
  <c r="E2499" i="1"/>
  <c r="E2500" i="1" a="1"/>
  <c r="E2500" i="1"/>
  <c r="E2501" i="1" a="1"/>
  <c r="E2501" i="1" s="1"/>
  <c r="E2502" i="1" a="1"/>
  <c r="E2502" i="1" s="1"/>
  <c r="E2503" i="1" a="1"/>
  <c r="E2503" i="1"/>
  <c r="E2504" i="1" a="1"/>
  <c r="E2504" i="1" s="1"/>
  <c r="E2505" i="1" a="1"/>
  <c r="E2505" i="1"/>
  <c r="E2506" i="1" a="1"/>
  <c r="E2506" i="1"/>
  <c r="E2507" i="1" a="1"/>
  <c r="E2507" i="1" s="1"/>
  <c r="E2508" i="1" a="1"/>
  <c r="E2508" i="1" s="1"/>
  <c r="E2509" i="1" a="1"/>
  <c r="E2509" i="1"/>
  <c r="E2510" i="1" a="1"/>
  <c r="E2510" i="1" s="1"/>
  <c r="E2511" i="1" a="1"/>
  <c r="E2511" i="1" s="1"/>
  <c r="E2512" i="1" a="1"/>
  <c r="E2512" i="1"/>
  <c r="E2513" i="1" a="1"/>
  <c r="E2513" i="1" s="1"/>
  <c r="E2514" i="1" a="1"/>
  <c r="E2514" i="1"/>
  <c r="E2515" i="1" a="1"/>
  <c r="E2515" i="1"/>
  <c r="E2516" i="1" a="1"/>
  <c r="E2516" i="1" s="1"/>
  <c r="E2517" i="1" a="1"/>
  <c r="E2517" i="1" s="1"/>
  <c r="E2518" i="1" a="1"/>
  <c r="E2518" i="1" s="1"/>
  <c r="E2519" i="1" a="1"/>
  <c r="E2519" i="1"/>
  <c r="E2520" i="1" a="1"/>
  <c r="E2520" i="1"/>
  <c r="E2521" i="1" a="1"/>
  <c r="E2521" i="1" s="1"/>
  <c r="E2522" i="1" a="1"/>
  <c r="E2522" i="1" s="1"/>
  <c r="E2523" i="1" a="1"/>
  <c r="E2523" i="1" s="1"/>
  <c r="E2524" i="1" a="1"/>
  <c r="E2524" i="1"/>
  <c r="E2525" i="1" a="1"/>
  <c r="E2525" i="1"/>
  <c r="E2526" i="1" a="1"/>
  <c r="E2526" i="1" s="1"/>
  <c r="E2527" i="1" a="1"/>
  <c r="E2527" i="1" s="1"/>
  <c r="E2528" i="1" a="1"/>
  <c r="E2528" i="1" s="1"/>
  <c r="E2529" i="1" a="1"/>
  <c r="E2529" i="1"/>
  <c r="E2530" i="1" a="1"/>
  <c r="E2530" i="1"/>
  <c r="E2531" i="1" a="1"/>
  <c r="E2531" i="1" s="1"/>
  <c r="E2532" i="1" a="1"/>
  <c r="E2532" i="1"/>
  <c r="E2533" i="1" a="1"/>
  <c r="E2533" i="1"/>
  <c r="E2534" i="1" a="1"/>
  <c r="E2534" i="1" s="1"/>
  <c r="E2535" i="1" a="1"/>
  <c r="E2535" i="1"/>
  <c r="E2536" i="1" a="1"/>
  <c r="E2536" i="1"/>
  <c r="E2537" i="1" a="1"/>
  <c r="E2537" i="1"/>
  <c r="E2538" i="1" a="1"/>
  <c r="E2538" i="1" s="1"/>
  <c r="E2539" i="1" a="1"/>
  <c r="E2539" i="1"/>
  <c r="E2540" i="1" a="1"/>
  <c r="E2540" i="1" s="1"/>
  <c r="E2541" i="1" a="1"/>
  <c r="E2541" i="1" s="1"/>
  <c r="E2542" i="1" a="1"/>
  <c r="E2542" i="1" s="1"/>
  <c r="E2543" i="1" a="1"/>
  <c r="E2543" i="1"/>
  <c r="E2544" i="1" a="1"/>
  <c r="E2544" i="1" s="1"/>
  <c r="E2545" i="1" a="1"/>
  <c r="E2545" i="1" s="1"/>
  <c r="E2546" i="1" a="1"/>
  <c r="E2546" i="1"/>
  <c r="E2547" i="1" a="1"/>
  <c r="E2547" i="1"/>
  <c r="E2548" i="1" a="1"/>
  <c r="E2548" i="1" s="1"/>
  <c r="E2550" i="1" a="1"/>
  <c r="E2550" i="1" s="1"/>
  <c r="E2551" i="1" a="1"/>
  <c r="E2551" i="1" s="1"/>
  <c r="E2552" i="1" a="1"/>
  <c r="E2552" i="1" s="1"/>
  <c r="E2553" i="1" a="1"/>
  <c r="E2553" i="1"/>
  <c r="E2554" i="1" a="1"/>
  <c r="E2554" i="1"/>
  <c r="E2555" i="1" a="1"/>
  <c r="E2555" i="1"/>
  <c r="E2556" i="1" a="1"/>
  <c r="E2556" i="1"/>
  <c r="E2557" i="1" a="1"/>
  <c r="E2557" i="1"/>
  <c r="E2558" i="1" a="1"/>
  <c r="E2558" i="1"/>
  <c r="E2559" i="1" a="1"/>
  <c r="E2559" i="1" s="1"/>
  <c r="E2561" i="1" a="1"/>
  <c r="E2561" i="1"/>
  <c r="E2562" i="1" a="1"/>
  <c r="E2562" i="1"/>
  <c r="E2563" i="1" a="1"/>
  <c r="E2563" i="1" s="1"/>
  <c r="E2564" i="1" a="1"/>
  <c r="E2564" i="1" s="1"/>
  <c r="E2565" i="1" a="1"/>
  <c r="E2565" i="1"/>
  <c r="E2566" i="1" a="1"/>
  <c r="E2566" i="1"/>
  <c r="E2567" i="1" a="1"/>
  <c r="E2567" i="1"/>
  <c r="E2568" i="1" a="1"/>
  <c r="E2568" i="1" s="1"/>
  <c r="E2569" i="1" a="1"/>
  <c r="E2569" i="1"/>
  <c r="E2570" i="1" a="1"/>
  <c r="E2570" i="1" s="1"/>
  <c r="E2571" i="1" a="1"/>
  <c r="E2571" i="1" s="1"/>
  <c r="E2572" i="1" a="1"/>
  <c r="E2572" i="1"/>
  <c r="E2573" i="1" a="1"/>
  <c r="E2573" i="1"/>
  <c r="E2574" i="1" a="1"/>
  <c r="E2574" i="1" s="1"/>
  <c r="E2575" i="1" a="1"/>
  <c r="E2575" i="1"/>
  <c r="E2576" i="1" a="1"/>
  <c r="E2576" i="1" s="1"/>
  <c r="E2577" i="1" a="1"/>
  <c r="E2577" i="1"/>
  <c r="E2578" i="1" a="1"/>
  <c r="E2578" i="1" s="1"/>
  <c r="E2579" i="1" a="1"/>
  <c r="E2579" i="1"/>
  <c r="E2580" i="1" a="1"/>
  <c r="E2580" i="1" s="1"/>
  <c r="E2581" i="1" a="1"/>
  <c r="E2581" i="1" s="1"/>
  <c r="E2582" i="1" a="1"/>
  <c r="E2582" i="1"/>
  <c r="E2583" i="1" a="1"/>
  <c r="E2583" i="1"/>
  <c r="E2584" i="1" a="1"/>
  <c r="E2584" i="1" s="1"/>
  <c r="E2585" i="1" a="1"/>
  <c r="E2585" i="1" s="1"/>
  <c r="E2586" i="1" a="1"/>
  <c r="E2586" i="1" s="1"/>
  <c r="E2587" i="1" a="1"/>
  <c r="E2587" i="1" s="1"/>
  <c r="E2588" i="1" a="1"/>
  <c r="E2588" i="1" s="1"/>
  <c r="E2589" i="1" a="1"/>
  <c r="E2589" i="1" s="1"/>
  <c r="E2590" i="1" a="1"/>
  <c r="E2590" i="1"/>
  <c r="E2591" i="1" a="1"/>
  <c r="E2591" i="1"/>
  <c r="E2592" i="1" a="1"/>
  <c r="E2592" i="1" s="1"/>
  <c r="E2593" i="1" a="1"/>
  <c r="E2593" i="1"/>
  <c r="E2594" i="1" a="1"/>
  <c r="E2594" i="1" s="1"/>
  <c r="E2595" i="1" a="1"/>
  <c r="E2595" i="1"/>
  <c r="E2598" i="1" a="1"/>
  <c r="E2598" i="1" s="1"/>
  <c r="E2599" i="1" a="1"/>
  <c r="E2599" i="1" s="1"/>
  <c r="E2600" i="1" a="1"/>
  <c r="E2600" i="1" s="1"/>
  <c r="E2601" i="1" a="1"/>
  <c r="E2601" i="1"/>
  <c r="E2602" i="1" a="1"/>
  <c r="E2602" i="1" s="1"/>
  <c r="E2603" i="1" a="1"/>
  <c r="E2603" i="1"/>
  <c r="E2604" i="1" a="1"/>
  <c r="E2604" i="1"/>
  <c r="E2605" i="1" a="1"/>
  <c r="E2605" i="1" s="1"/>
  <c r="E2607" i="1" a="1"/>
  <c r="E2607" i="1" s="1"/>
  <c r="E2608" i="1" a="1"/>
  <c r="E2608" i="1" s="1"/>
  <c r="E2610" i="1" a="1"/>
  <c r="E2610" i="1"/>
  <c r="E2611" i="1" a="1"/>
  <c r="E2611" i="1"/>
  <c r="E2612" i="1" a="1"/>
  <c r="E2612" i="1" s="1"/>
  <c r="E2613" i="1" a="1"/>
  <c r="E2613" i="1"/>
  <c r="E2614" i="1" a="1"/>
  <c r="E2614" i="1"/>
  <c r="E2615" i="1" a="1"/>
  <c r="E2615" i="1"/>
  <c r="E2617" i="1" a="1"/>
  <c r="E2617" i="1" s="1"/>
  <c r="E2618" i="1" a="1"/>
  <c r="E2618" i="1"/>
  <c r="E2619" i="1" a="1"/>
  <c r="E2619" i="1" s="1"/>
  <c r="E2620" i="1" a="1"/>
  <c r="E2620" i="1" s="1"/>
  <c r="E2621" i="1" a="1"/>
  <c r="E2621" i="1"/>
  <c r="E2622" i="1" a="1"/>
  <c r="E2622" i="1" s="1"/>
  <c r="E2623" i="1" a="1"/>
  <c r="E2623" i="1" s="1"/>
  <c r="E2624" i="1" a="1"/>
  <c r="E2624" i="1"/>
  <c r="E2625" i="1" a="1"/>
  <c r="E2625" i="1"/>
  <c r="E2626" i="1" a="1"/>
  <c r="E2626" i="1"/>
  <c r="E2627" i="1" a="1"/>
  <c r="E2627" i="1" s="1"/>
  <c r="E2628" i="1" a="1"/>
  <c r="E2628" i="1" s="1"/>
  <c r="E2629" i="1" a="1"/>
  <c r="E2629" i="1"/>
  <c r="E2630" i="1" a="1"/>
  <c r="E2630" i="1" s="1"/>
  <c r="E2631" i="1" a="1"/>
  <c r="E2631" i="1" s="1"/>
  <c r="E2632" i="1" a="1"/>
  <c r="E2632" i="1"/>
  <c r="E2633" i="1" a="1"/>
  <c r="E2633" i="1" s="1"/>
  <c r="E2634" i="1" a="1"/>
  <c r="E2634" i="1"/>
  <c r="E2635" i="1" a="1"/>
  <c r="E2635" i="1" s="1"/>
  <c r="E2637" i="1" a="1"/>
  <c r="E2637" i="1" s="1"/>
  <c r="E2639" i="1" a="1"/>
  <c r="E2639" i="1"/>
  <c r="E2641" i="1" a="1"/>
  <c r="E2641" i="1" s="1"/>
  <c r="E2642" i="1" a="1"/>
  <c r="E2642" i="1" s="1"/>
  <c r="E2643" i="1" a="1"/>
  <c r="E2643" i="1" s="1"/>
  <c r="E2644" i="1" a="1"/>
  <c r="E2644" i="1" s="1"/>
  <c r="E2645" i="1" a="1"/>
  <c r="E2645" i="1"/>
  <c r="E2646" i="1" a="1"/>
  <c r="E2646" i="1" s="1"/>
  <c r="E2647" i="1" a="1"/>
  <c r="E2647" i="1" s="1"/>
  <c r="E2648" i="1" a="1"/>
  <c r="E2648" i="1"/>
  <c r="E2649" i="1" a="1"/>
  <c r="E2649" i="1"/>
  <c r="E2650" i="1" a="1"/>
  <c r="E2650" i="1"/>
  <c r="E2651" i="1" a="1"/>
  <c r="E2651" i="1" s="1"/>
  <c r="E2652" i="1" a="1"/>
  <c r="E2652" i="1" s="1"/>
  <c r="E2653" i="1" a="1"/>
  <c r="E2653" i="1" s="1"/>
  <c r="E2654" i="1" a="1"/>
  <c r="E2654" i="1" s="1"/>
  <c r="E2655" i="1" a="1"/>
  <c r="E2655" i="1" s="1"/>
  <c r="E2656" i="1" a="1"/>
  <c r="E2656" i="1"/>
  <c r="E2657" i="1" a="1"/>
  <c r="E2657" i="1" s="1"/>
  <c r="E2658" i="1" a="1"/>
  <c r="E2658" i="1"/>
  <c r="E2659" i="1" a="1"/>
  <c r="E2659" i="1"/>
  <c r="E2660" i="1" a="1"/>
  <c r="E2660" i="1" s="1"/>
  <c r="E2661" i="1" a="1"/>
  <c r="E2661" i="1" s="1"/>
  <c r="E2662" i="1" a="1"/>
  <c r="E2662" i="1" s="1"/>
  <c r="E2664" i="1" a="1"/>
  <c r="E2664" i="1" s="1"/>
  <c r="E2665" i="1" a="1"/>
  <c r="E2665" i="1"/>
  <c r="E2666" i="1" a="1"/>
  <c r="E2666" i="1"/>
  <c r="E2667" i="1" a="1"/>
  <c r="E2667" i="1" s="1"/>
  <c r="E2668" i="1" a="1"/>
  <c r="E2668" i="1" s="1"/>
  <c r="E2669" i="1" a="1"/>
  <c r="E2669" i="1"/>
  <c r="E2670" i="1" a="1"/>
  <c r="E2670" i="1" s="1"/>
  <c r="E2671" i="1" a="1"/>
  <c r="E2671" i="1" s="1"/>
  <c r="E2672" i="1" a="1"/>
  <c r="E2672" i="1" s="1"/>
  <c r="E2673" i="1" a="1"/>
  <c r="E2673" i="1"/>
  <c r="E2674" i="1" a="1"/>
  <c r="E2674" i="1"/>
  <c r="E2675" i="1" a="1"/>
  <c r="E2675" i="1" s="1"/>
  <c r="E2676" i="1" a="1"/>
  <c r="E2676" i="1"/>
  <c r="E2677" i="1" a="1"/>
  <c r="E2677" i="1"/>
  <c r="E2678" i="1" a="1"/>
  <c r="E2678" i="1"/>
  <c r="E2679" i="1" a="1"/>
  <c r="E2679" i="1" s="1"/>
  <c r="E2680" i="1" a="1"/>
  <c r="E2680" i="1" s="1"/>
  <c r="E2681" i="1" a="1"/>
  <c r="E2681" i="1"/>
  <c r="E2682" i="1" a="1"/>
  <c r="E2682" i="1"/>
  <c r="E2683" i="1" a="1"/>
  <c r="E2683" i="1"/>
  <c r="E2685" i="1" a="1"/>
  <c r="E2685" i="1" s="1"/>
  <c r="E2686" i="1" a="1"/>
  <c r="E2686" i="1"/>
  <c r="E2687" i="1" a="1"/>
  <c r="E2687" i="1" s="1"/>
  <c r="E2688" i="1" a="1"/>
  <c r="E2688" i="1" s="1"/>
  <c r="E2689" i="1" a="1"/>
  <c r="E2689" i="1" s="1"/>
  <c r="E2690" i="1" a="1"/>
  <c r="E2690" i="1"/>
  <c r="E2691" i="1" a="1"/>
  <c r="E2691" i="1" s="1"/>
  <c r="E2692" i="1" a="1"/>
  <c r="E2692" i="1"/>
  <c r="E2693" i="1" a="1"/>
  <c r="E2693" i="1"/>
  <c r="E2694" i="1" a="1"/>
  <c r="E2694" i="1" s="1"/>
  <c r="E2695" i="1" a="1"/>
  <c r="E2695" i="1" s="1"/>
  <c r="E2696" i="1" a="1"/>
  <c r="E2696" i="1" s="1"/>
  <c r="E2697" i="1" a="1"/>
  <c r="E2697" i="1" s="1"/>
  <c r="E2698" i="1" a="1"/>
  <c r="E2698" i="1"/>
  <c r="E2699" i="1" a="1"/>
  <c r="E2699" i="1" s="1"/>
  <c r="E2700" i="1" a="1"/>
  <c r="E2700" i="1" s="1"/>
  <c r="E2702" i="1" a="1"/>
  <c r="E2702" i="1"/>
  <c r="E2703" i="1" a="1"/>
  <c r="E2703" i="1" s="1"/>
  <c r="E2705" i="1" a="1"/>
  <c r="E2705" i="1"/>
  <c r="E2706" i="1" a="1"/>
  <c r="E2706" i="1" s="1"/>
  <c r="E2707" i="1" a="1"/>
  <c r="E2707" i="1" s="1"/>
  <c r="E2708" i="1" a="1"/>
  <c r="E2708" i="1"/>
  <c r="E2709" i="1" a="1"/>
  <c r="E2709" i="1"/>
  <c r="E2710" i="1" a="1"/>
  <c r="E2710" i="1" s="1"/>
  <c r="E2711" i="1" a="1"/>
  <c r="E2711" i="1" s="1"/>
  <c r="E2712" i="1" a="1"/>
  <c r="E2712" i="1"/>
  <c r="E2714" i="1" a="1"/>
  <c r="E2714" i="1"/>
  <c r="E2716" i="1" a="1"/>
  <c r="E2716" i="1" s="1"/>
  <c r="E2717" i="1" a="1"/>
  <c r="E2717" i="1" s="1"/>
  <c r="E2718" i="1" a="1"/>
  <c r="E2718" i="1"/>
  <c r="E2719" i="1" a="1"/>
  <c r="E2719" i="1" s="1"/>
  <c r="E2720" i="1" a="1"/>
  <c r="E2720" i="1" s="1"/>
  <c r="E2721" i="1" a="1"/>
  <c r="E2721" i="1" s="1"/>
  <c r="E2722" i="1" a="1"/>
  <c r="E2722" i="1" s="1"/>
  <c r="E2723" i="1" a="1"/>
  <c r="E2723" i="1" s="1"/>
  <c r="E2724" i="1" a="1"/>
  <c r="E2724" i="1" s="1"/>
  <c r="E2725" i="1" a="1"/>
  <c r="E2725" i="1" s="1"/>
  <c r="E2726" i="1" a="1"/>
  <c r="E2726" i="1"/>
  <c r="E2728" i="1" a="1"/>
  <c r="E2728" i="1" s="1"/>
  <c r="E2729" i="1" a="1"/>
  <c r="E2729" i="1"/>
  <c r="E2730" i="1" a="1"/>
  <c r="E2730" i="1"/>
  <c r="E2731" i="1" a="1"/>
  <c r="E2731" i="1" s="1"/>
  <c r="E2732" i="1" a="1"/>
  <c r="E2732" i="1" s="1"/>
  <c r="E2733" i="1" a="1"/>
  <c r="E2733" i="1" s="1"/>
  <c r="E2734" i="1" a="1"/>
  <c r="E2734" i="1" s="1"/>
  <c r="E2735" i="1" a="1"/>
  <c r="E2735" i="1"/>
  <c r="E2736" i="1" a="1"/>
  <c r="E2736" i="1"/>
  <c r="E2744" i="1" a="1"/>
  <c r="E2744" i="1"/>
  <c r="E2745" i="1" a="1"/>
  <c r="E2745" i="1" s="1"/>
  <c r="E2746" i="1" a="1"/>
  <c r="E2746" i="1"/>
  <c r="E2747" i="1" a="1"/>
  <c r="E2747" i="1" s="1"/>
  <c r="E2748" i="1" a="1"/>
  <c r="E2748" i="1" s="1"/>
  <c r="E2749" i="1" a="1"/>
  <c r="E2749" i="1" s="1"/>
  <c r="E2750" i="1" a="1"/>
  <c r="E2750" i="1"/>
  <c r="E2751" i="1" a="1"/>
  <c r="E2751" i="1" s="1"/>
  <c r="E2752" i="1" a="1"/>
  <c r="E2752" i="1"/>
  <c r="E2753" i="1" a="1"/>
  <c r="E2753" i="1"/>
  <c r="E2754" i="1" a="1"/>
  <c r="E2754" i="1" s="1"/>
  <c r="E2755" i="1" a="1"/>
  <c r="E2755" i="1" s="1"/>
  <c r="E2756" i="1" a="1"/>
  <c r="E2756" i="1" s="1"/>
  <c r="E2757" i="1" a="1"/>
  <c r="E2757" i="1" s="1"/>
  <c r="E2758" i="1" a="1"/>
  <c r="E2758" i="1" s="1"/>
  <c r="E2759" i="1" a="1"/>
  <c r="E2759" i="1"/>
  <c r="E2760" i="1" a="1"/>
  <c r="E2760" i="1" s="1"/>
  <c r="E2761" i="1" a="1"/>
  <c r="E2761" i="1" s="1"/>
  <c r="E2762" i="1" a="1"/>
  <c r="E2762" i="1"/>
  <c r="E2763" i="1" a="1"/>
  <c r="E2763" i="1"/>
  <c r="E2764" i="1" a="1"/>
  <c r="E2764" i="1" s="1"/>
  <c r="E2765" i="1" a="1"/>
  <c r="E2765" i="1" s="1"/>
  <c r="E2766" i="1" a="1"/>
  <c r="E2766" i="1" s="1"/>
  <c r="E2767" i="1" a="1"/>
  <c r="E2767" i="1" s="1"/>
  <c r="E2768" i="1" a="1"/>
  <c r="E2768" i="1"/>
  <c r="E2769" i="1" a="1"/>
  <c r="E2769" i="1"/>
  <c r="E2770" i="1" a="1"/>
  <c r="E2770" i="1"/>
  <c r="E2771" i="1" a="1"/>
  <c r="E2771" i="1" s="1"/>
  <c r="E2772" i="1" a="1"/>
  <c r="E2772" i="1" s="1"/>
  <c r="E2773" i="1" a="1"/>
  <c r="E2773" i="1" s="1"/>
  <c r="E2774" i="1" a="1"/>
  <c r="E2774" i="1"/>
  <c r="E2775" i="1" a="1"/>
  <c r="E2775" i="1" s="1"/>
  <c r="E2776" i="1" a="1"/>
  <c r="E2776" i="1" s="1"/>
  <c r="E2777" i="1" a="1"/>
  <c r="E2777" i="1" s="1"/>
  <c r="E2778" i="1" a="1"/>
  <c r="E2778" i="1"/>
  <c r="E2779" i="1" a="1"/>
  <c r="E2779" i="1"/>
  <c r="E2780" i="1" a="1"/>
  <c r="E2780" i="1" s="1"/>
  <c r="E2781" i="1" a="1"/>
  <c r="E2781" i="1" s="1"/>
  <c r="E2782" i="1" a="1"/>
  <c r="E2782" i="1" s="1"/>
  <c r="E2783" i="1" a="1"/>
  <c r="E2783" i="1"/>
  <c r="E2784" i="1" a="1"/>
  <c r="E2784" i="1" s="1"/>
  <c r="E2785" i="1" a="1"/>
  <c r="E2785" i="1" s="1"/>
  <c r="E2786" i="1" a="1"/>
  <c r="E2786" i="1"/>
  <c r="E2787" i="1" a="1"/>
  <c r="E2787" i="1" s="1"/>
  <c r="E2788" i="1" a="1"/>
  <c r="E2788" i="1" s="1"/>
  <c r="E2789" i="1" a="1"/>
  <c r="E2789" i="1" s="1"/>
  <c r="E2790" i="1" a="1"/>
  <c r="E2790" i="1"/>
  <c r="E2791" i="1" a="1"/>
  <c r="E2791" i="1" s="1"/>
  <c r="E2792" i="1" a="1"/>
  <c r="E2792" i="1" s="1"/>
  <c r="E2793" i="1" a="1"/>
  <c r="E2793" i="1" s="1"/>
  <c r="E2794" i="1" a="1"/>
  <c r="E2794" i="1" s="1"/>
  <c r="E2795" i="1" a="1"/>
  <c r="E2795" i="1"/>
  <c r="E2796" i="1" a="1"/>
  <c r="E2796" i="1" s="1"/>
  <c r="E2797" i="1" a="1"/>
  <c r="E2797" i="1" s="1"/>
  <c r="E2798" i="1" a="1"/>
  <c r="E2798" i="1"/>
  <c r="E2800" i="1" a="1"/>
  <c r="E2800" i="1" s="1"/>
  <c r="E2801" i="1" a="1"/>
  <c r="E2801" i="1"/>
  <c r="E2803" i="1" a="1"/>
  <c r="E2803" i="1"/>
  <c r="E2804" i="1" a="1"/>
  <c r="E2804" i="1" s="1"/>
  <c r="E2805" i="1" a="1"/>
  <c r="E2805" i="1" s="1"/>
  <c r="E2806" i="1" a="1"/>
  <c r="E2806" i="1" s="1"/>
  <c r="E2807" i="1" a="1"/>
  <c r="E2807" i="1" s="1"/>
  <c r="E2808" i="1" a="1"/>
  <c r="E2808" i="1"/>
  <c r="E2809" i="1" a="1"/>
  <c r="E2809" i="1" s="1"/>
  <c r="E2810" i="1" a="1"/>
  <c r="E2810" i="1"/>
  <c r="E2811" i="1" a="1"/>
  <c r="E2811" i="1" s="1"/>
  <c r="E2815" i="1" a="1"/>
  <c r="E2815" i="1"/>
  <c r="E2817" i="1" a="1"/>
  <c r="E2817" i="1" s="1"/>
  <c r="E2818" i="1" a="1"/>
  <c r="E2818" i="1" s="1"/>
  <c r="E2820" i="1" a="1"/>
  <c r="E2820" i="1" s="1"/>
  <c r="E2822" i="1" a="1"/>
  <c r="E2822" i="1"/>
  <c r="E2823" i="1" a="1"/>
  <c r="E2823" i="1"/>
  <c r="E2824" i="1" a="1"/>
  <c r="E2824" i="1" s="1"/>
  <c r="E2825" i="1" a="1"/>
  <c r="E2825" i="1" s="1"/>
  <c r="E2827" i="1" a="1"/>
  <c r="E2827" i="1"/>
  <c r="E2828" i="1" a="1"/>
  <c r="E2828" i="1"/>
  <c r="E2829" i="1" a="1"/>
  <c r="E2829" i="1" s="1"/>
  <c r="E2830" i="1" a="1"/>
  <c r="E2830" i="1" s="1"/>
  <c r="E2831" i="1" a="1"/>
  <c r="E2831" i="1" s="1"/>
  <c r="E2832" i="1" a="1"/>
  <c r="E2832" i="1" s="1"/>
  <c r="E2834" i="1" a="1"/>
  <c r="E2834" i="1"/>
  <c r="E2835" i="1" a="1"/>
  <c r="E2835" i="1"/>
  <c r="E2836" i="1" a="1"/>
  <c r="E2836" i="1" s="1"/>
  <c r="E2837" i="1" a="1"/>
  <c r="E2837" i="1" s="1"/>
  <c r="E2838" i="1" a="1"/>
  <c r="E2838" i="1" s="1"/>
  <c r="E2839" i="1" a="1"/>
  <c r="E2839" i="1" s="1"/>
  <c r="E2840" i="1" a="1"/>
  <c r="E2840" i="1" s="1"/>
  <c r="E2841" i="1" a="1"/>
  <c r="E2841" i="1" s="1"/>
  <c r="E2842" i="1" a="1"/>
  <c r="E2842" i="1"/>
  <c r="E2843" i="1" a="1"/>
  <c r="E2843" i="1" s="1"/>
  <c r="E2844" i="1" a="1"/>
  <c r="E2844" i="1"/>
  <c r="E2845" i="1" a="1"/>
  <c r="E2845" i="1"/>
  <c r="E2846" i="1" a="1"/>
  <c r="E2846" i="1" s="1"/>
  <c r="E2847" i="1" a="1"/>
  <c r="E2847" i="1" s="1"/>
  <c r="E2848" i="1" a="1"/>
  <c r="E2848" i="1" s="1"/>
  <c r="E2850" i="1" a="1"/>
  <c r="E2850" i="1" s="1"/>
  <c r="E2851" i="1" a="1"/>
  <c r="E2851" i="1" s="1"/>
  <c r="E2853" i="1" a="1"/>
  <c r="E2853" i="1" s="1"/>
  <c r="E2854" i="1" a="1"/>
  <c r="E2854" i="1"/>
  <c r="E2855" i="1" a="1"/>
  <c r="E2855" i="1" s="1"/>
  <c r="E2856" i="1" a="1"/>
  <c r="E2856" i="1" s="1"/>
  <c r="E2859" i="1" a="1"/>
  <c r="E2859" i="1" s="1"/>
  <c r="E2860" i="1" a="1"/>
  <c r="E2860" i="1"/>
  <c r="E2861" i="1" a="1"/>
  <c r="E2861" i="1" s="1"/>
  <c r="E2862" i="1" a="1"/>
  <c r="E2862" i="1" s="1"/>
  <c r="E2863" i="1" a="1"/>
  <c r="E2863" i="1" s="1"/>
  <c r="E2864" i="1" a="1"/>
  <c r="E2864" i="1" s="1"/>
  <c r="E2865" i="1" a="1"/>
  <c r="E2865" i="1" s="1"/>
  <c r="E2866" i="1" a="1"/>
  <c r="E2866" i="1" s="1"/>
  <c r="E2867" i="1" a="1"/>
  <c r="E2867" i="1" s="1"/>
  <c r="E2868" i="1" a="1"/>
  <c r="E2868" i="1" s="1"/>
  <c r="E2869" i="1" a="1"/>
  <c r="E2869" i="1"/>
  <c r="E2870" i="1" a="1"/>
  <c r="E2870" i="1"/>
  <c r="E2871" i="1" a="1"/>
  <c r="E2871" i="1" s="1"/>
  <c r="E2872" i="1" a="1"/>
  <c r="E2872" i="1" s="1"/>
  <c r="E2873" i="1" a="1"/>
  <c r="E2873" i="1"/>
  <c r="E2875" i="1" a="1"/>
  <c r="E2875" i="1" s="1"/>
  <c r="E2876" i="1" a="1"/>
  <c r="E2876" i="1" s="1"/>
  <c r="E2879" i="1" a="1"/>
  <c r="E2879" i="1" s="1"/>
  <c r="E2880" i="1" a="1"/>
  <c r="E2880" i="1" s="1"/>
  <c r="E2881" i="1" a="1"/>
  <c r="E2881" i="1" s="1"/>
  <c r="E2887" i="1" a="1"/>
  <c r="E2887" i="1"/>
  <c r="E2892" i="1" a="1"/>
  <c r="E2892" i="1" s="1"/>
  <c r="E2893" i="1" a="1"/>
  <c r="E2893" i="1" s="1"/>
  <c r="E2896" i="1" a="1"/>
  <c r="E2896" i="1" s="1"/>
  <c r="E2897" i="1" a="1"/>
  <c r="E2897" i="1" s="1"/>
  <c r="E2898" i="1" a="1"/>
  <c r="E2898" i="1" s="1"/>
  <c r="E2899" i="1" a="1"/>
  <c r="E2899" i="1"/>
  <c r="E2900" i="1" a="1"/>
  <c r="E2900" i="1" s="1"/>
  <c r="E2901" i="1" a="1"/>
  <c r="E2901" i="1" s="1"/>
  <c r="E2903" i="1" a="1"/>
  <c r="E2903" i="1" s="1"/>
  <c r="E2904" i="1" a="1"/>
  <c r="E2904" i="1" s="1"/>
  <c r="E2906" i="1" a="1"/>
  <c r="E2906" i="1" s="1"/>
  <c r="E2907" i="1" a="1"/>
  <c r="E2907" i="1" s="1"/>
  <c r="E2908" i="1" a="1"/>
  <c r="E2908" i="1"/>
  <c r="E2909" i="1" a="1"/>
  <c r="E2909" i="1"/>
  <c r="E2910" i="1" a="1"/>
  <c r="E2910" i="1" s="1"/>
  <c r="E2911" i="1" a="1"/>
  <c r="E2911" i="1" s="1"/>
  <c r="E2912" i="1" a="1"/>
  <c r="E2912" i="1" s="1"/>
  <c r="E2913" i="1" a="1"/>
  <c r="E2913" i="1" s="1"/>
  <c r="E2914" i="1" a="1"/>
  <c r="E2914" i="1" s="1"/>
  <c r="E2915" i="1" a="1"/>
  <c r="E2915" i="1" s="1"/>
  <c r="E2916" i="1" a="1"/>
  <c r="E2916" i="1" s="1"/>
  <c r="E2917" i="1" a="1"/>
  <c r="E2917" i="1"/>
  <c r="E2918" i="1" a="1"/>
  <c r="E2918" i="1" s="1"/>
  <c r="E2919" i="1" a="1"/>
  <c r="E2919" i="1" s="1"/>
  <c r="E2921" i="1" a="1"/>
  <c r="E2921" i="1"/>
  <c r="E2922" i="1" a="1"/>
  <c r="E2922" i="1"/>
  <c r="E2923" i="1" a="1"/>
  <c r="E2923" i="1" s="1"/>
  <c r="E2925" i="1" a="1"/>
  <c r="E2925" i="1" s="1"/>
  <c r="E2926" i="1" a="1"/>
  <c r="E2926" i="1" s="1"/>
  <c r="E2927" i="1" a="1"/>
  <c r="E2927" i="1" s="1"/>
  <c r="E2928" i="1" a="1"/>
  <c r="E2928" i="1"/>
  <c r="E2929" i="1" a="1"/>
  <c r="E2929" i="1"/>
  <c r="E2930" i="1" a="1"/>
  <c r="E2930" i="1" s="1"/>
  <c r="E2931" i="1" a="1"/>
  <c r="E2931" i="1" s="1"/>
  <c r="E2932" i="1" a="1"/>
  <c r="E2932" i="1" s="1"/>
  <c r="E2933" i="1" a="1"/>
  <c r="E2933" i="1" s="1"/>
  <c r="E2934" i="1" a="1"/>
  <c r="E2934" i="1"/>
  <c r="E2935" i="1" a="1"/>
  <c r="E2935" i="1" s="1"/>
  <c r="E2936" i="1" a="1"/>
  <c r="E2936" i="1" s="1"/>
  <c r="E2937" i="1" a="1"/>
  <c r="E2937" i="1" s="1"/>
  <c r="E2938" i="1" a="1"/>
  <c r="E2938" i="1"/>
  <c r="E2939" i="1" a="1"/>
  <c r="E2939" i="1"/>
  <c r="E2940" i="1" a="1"/>
  <c r="E2940" i="1" s="1"/>
  <c r="E2941" i="1" a="1"/>
  <c r="E2941" i="1" s="1"/>
  <c r="E2942" i="1" a="1"/>
  <c r="E2942" i="1"/>
  <c r="E2943" i="1" a="1"/>
  <c r="E2943" i="1"/>
  <c r="E2944" i="1" a="1"/>
  <c r="E2944" i="1" s="1"/>
  <c r="E2945" i="1" a="1"/>
  <c r="E2945" i="1" s="1"/>
  <c r="E2946" i="1" a="1"/>
  <c r="E2946" i="1" s="1"/>
  <c r="E2947" i="1" a="1"/>
  <c r="E2947" i="1" s="1"/>
  <c r="E2948" i="1" a="1"/>
  <c r="E2948" i="1" s="1"/>
  <c r="E2949" i="1" a="1"/>
  <c r="E2949" i="1" s="1"/>
  <c r="E2950" i="1" a="1"/>
  <c r="E2950" i="1"/>
  <c r="E2951" i="1" a="1"/>
  <c r="E2951" i="1"/>
  <c r="E2952" i="1" a="1"/>
  <c r="E2952" i="1" s="1"/>
  <c r="E2953" i="1" a="1"/>
  <c r="E2953" i="1" s="1"/>
  <c r="E2954" i="1" a="1"/>
  <c r="E2954" i="1" s="1"/>
  <c r="E2955" i="1" a="1"/>
  <c r="E2955" i="1"/>
  <c r="E2956" i="1" a="1"/>
  <c r="E2956" i="1" s="1"/>
  <c r="E2957" i="1" a="1"/>
  <c r="E2957" i="1" s="1"/>
  <c r="E2958" i="1" a="1"/>
  <c r="E2958" i="1" s="1"/>
  <c r="E2959" i="1" a="1"/>
  <c r="E2959" i="1"/>
  <c r="E2960" i="1" a="1"/>
  <c r="E2960" i="1"/>
  <c r="E2961" i="1" a="1"/>
  <c r="E2961" i="1"/>
  <c r="E2962" i="1" a="1"/>
  <c r="E2962" i="1" s="1"/>
  <c r="E2964" i="1" a="1"/>
  <c r="E2964" i="1" s="1"/>
  <c r="E2965" i="1" a="1"/>
  <c r="E2965" i="1" s="1"/>
  <c r="E2966" i="1" a="1"/>
  <c r="E2966" i="1" s="1"/>
  <c r="E2967" i="1" a="1"/>
  <c r="E2967" i="1" s="1"/>
  <c r="E2968" i="1" a="1"/>
  <c r="E2968" i="1" s="1"/>
  <c r="E2969" i="1" a="1"/>
  <c r="E2969" i="1" s="1"/>
  <c r="E2970" i="1" a="1"/>
  <c r="E2970" i="1"/>
  <c r="E2971" i="1" a="1"/>
  <c r="E2971" i="1"/>
  <c r="E2973" i="1" a="1"/>
  <c r="E2973" i="1" s="1"/>
  <c r="E2974" i="1" a="1"/>
  <c r="E2974" i="1" s="1"/>
  <c r="E2977" i="1" a="1"/>
  <c r="E2977" i="1" s="1"/>
  <c r="E2978" i="1" a="1"/>
  <c r="E2978" i="1" s="1"/>
  <c r="E2980" i="1" a="1"/>
  <c r="E2980" i="1" s="1"/>
  <c r="E2981" i="1" a="1"/>
  <c r="E2981" i="1" s="1"/>
  <c r="E2983" i="1" a="1"/>
  <c r="E2983" i="1"/>
  <c r="E2984" i="1" a="1"/>
  <c r="E2984" i="1"/>
  <c r="E2985" i="1" a="1"/>
  <c r="E2985" i="1"/>
  <c r="E2986" i="1" a="1"/>
  <c r="E2986" i="1" s="1"/>
  <c r="E2987" i="1" a="1"/>
  <c r="E2987" i="1" s="1"/>
  <c r="E2988" i="1" a="1"/>
  <c r="E2988" i="1" s="1"/>
  <c r="E2989" i="1" a="1"/>
  <c r="E2989" i="1"/>
  <c r="E2990" i="1" a="1"/>
  <c r="E2990" i="1" s="1"/>
  <c r="E2991" i="1" a="1"/>
  <c r="E2991" i="1"/>
  <c r="E2992" i="1" a="1"/>
  <c r="E2992" i="1"/>
  <c r="E2993" i="1" a="1"/>
  <c r="E2993" i="1" s="1"/>
  <c r="E2994" i="1" a="1"/>
  <c r="E2994" i="1" s="1"/>
  <c r="E2995" i="1" a="1"/>
  <c r="E2995" i="1" s="1"/>
  <c r="E2996" i="1" a="1"/>
  <c r="E2996" i="1" s="1"/>
  <c r="E2997" i="1" a="1"/>
  <c r="E2997" i="1" s="1"/>
  <c r="E2998" i="1" a="1"/>
  <c r="E2998" i="1" s="1"/>
  <c r="E2999" i="1" a="1"/>
  <c r="E2999" i="1"/>
  <c r="E3000" i="1" a="1"/>
  <c r="E3000" i="1"/>
  <c r="E3001" i="1" a="1"/>
  <c r="E3001" i="1" s="1"/>
  <c r="E3002" i="1" a="1"/>
  <c r="E3002" i="1" s="1"/>
  <c r="E3003" i="1" a="1"/>
  <c r="E3003" i="1" s="1"/>
  <c r="E3004" i="1" a="1"/>
  <c r="E3004" i="1" s="1"/>
  <c r="E3005" i="1" a="1"/>
  <c r="E3005" i="1" s="1"/>
  <c r="E3006" i="1" a="1"/>
  <c r="E3006" i="1" s="1"/>
  <c r="E3007" i="1" a="1"/>
  <c r="E3007" i="1"/>
  <c r="E3008" i="1" a="1"/>
  <c r="E3008" i="1" s="1"/>
  <c r="E3009" i="1" a="1"/>
  <c r="E3009" i="1"/>
  <c r="E3010" i="1" a="1"/>
  <c r="E3010" i="1" s="1"/>
  <c r="E3011" i="1" a="1"/>
  <c r="E3011" i="1" s="1"/>
  <c r="E3012" i="1" a="1"/>
  <c r="E3012" i="1"/>
  <c r="E3013" i="1" a="1"/>
  <c r="E3013" i="1" s="1"/>
  <c r="E3014" i="1" a="1"/>
  <c r="E3014" i="1" s="1"/>
  <c r="E3016" i="1" a="1"/>
  <c r="E3016" i="1" s="1"/>
  <c r="E3017" i="1" a="1"/>
  <c r="E3017" i="1"/>
  <c r="E3018" i="1" a="1"/>
  <c r="E3018" i="1"/>
  <c r="E3020" i="1" a="1"/>
  <c r="E3020" i="1" s="1"/>
  <c r="E3021" i="1" a="1"/>
  <c r="E3021" i="1" s="1"/>
  <c r="E3022" i="1" a="1"/>
  <c r="E3022" i="1"/>
  <c r="E3023" i="1" a="1"/>
  <c r="E3023" i="1"/>
  <c r="E3024" i="1" a="1"/>
  <c r="E3024" i="1" s="1"/>
  <c r="E3025" i="1" a="1"/>
  <c r="E3025" i="1" s="1"/>
  <c r="E3026" i="1" a="1"/>
  <c r="E3026" i="1" s="1"/>
  <c r="E3027" i="1" a="1"/>
  <c r="E3027" i="1" s="1"/>
  <c r="E3028" i="1" a="1"/>
  <c r="E3028" i="1" s="1"/>
  <c r="E3029" i="1" a="1"/>
  <c r="E3029" i="1" s="1"/>
  <c r="E3030" i="1" a="1"/>
  <c r="E3030" i="1"/>
  <c r="E3031" i="1" a="1"/>
  <c r="E3031" i="1" s="1"/>
  <c r="E3032" i="1" a="1"/>
  <c r="E3032" i="1" s="1"/>
  <c r="E3033" i="1" a="1"/>
  <c r="E3033" i="1"/>
  <c r="E3034" i="1" a="1"/>
  <c r="E3034" i="1" s="1"/>
  <c r="E3035" i="1" a="1"/>
  <c r="E3035" i="1" s="1"/>
  <c r="E3036" i="1" a="1"/>
  <c r="E3036" i="1" s="1"/>
  <c r="E3040" i="1" a="1"/>
  <c r="E3040" i="1" s="1"/>
  <c r="E3041" i="1" a="1"/>
  <c r="E3041" i="1" s="1"/>
  <c r="E3042" i="1" a="1"/>
  <c r="E3042" i="1"/>
  <c r="E3043" i="1" a="1"/>
  <c r="E3043" i="1"/>
  <c r="E3044" i="1" a="1"/>
  <c r="E3044" i="1"/>
  <c r="E3045" i="1" a="1"/>
  <c r="E3045" i="1" s="1"/>
  <c r="E3046" i="1" a="1"/>
  <c r="E3046" i="1" s="1"/>
  <c r="E3047" i="1" a="1"/>
  <c r="E3047" i="1" s="1"/>
  <c r="E3048" i="1" a="1"/>
  <c r="E3048" i="1" s="1"/>
  <c r="E3049" i="1" a="1"/>
  <c r="E3049" i="1"/>
  <c r="E3052" i="1" a="1"/>
  <c r="E3052" i="1"/>
  <c r="E3053" i="1" a="1"/>
  <c r="E3053" i="1"/>
  <c r="E3055" i="1" a="1"/>
  <c r="E3055" i="1"/>
  <c r="E3056" i="1" a="1"/>
  <c r="E3056" i="1"/>
  <c r="E3057" i="1" a="1"/>
  <c r="E3057" i="1"/>
  <c r="E3058" i="1" a="1"/>
  <c r="E3058" i="1" s="1"/>
  <c r="E3059" i="1" a="1"/>
  <c r="E3059" i="1" s="1"/>
  <c r="E3060" i="1" a="1"/>
  <c r="E3060" i="1" s="1"/>
  <c r="E3061" i="1" a="1"/>
  <c r="E3061" i="1"/>
  <c r="E3062" i="1" a="1"/>
  <c r="E3062" i="1" s="1"/>
  <c r="E3063" i="1" a="1"/>
  <c r="E3063" i="1" s="1"/>
  <c r="E3064" i="1" a="1"/>
  <c r="E3064" i="1"/>
  <c r="E3065" i="1" a="1"/>
  <c r="E3065" i="1"/>
  <c r="E3066" i="1" a="1"/>
  <c r="E3066" i="1" s="1"/>
  <c r="E3067" i="1" a="1"/>
  <c r="E3067" i="1" s="1"/>
  <c r="E3068" i="1" a="1"/>
  <c r="E3068" i="1" s="1"/>
  <c r="E3069" i="1" a="1"/>
  <c r="E3069" i="1" s="1"/>
  <c r="E3070" i="1" a="1"/>
  <c r="E3070" i="1" s="1"/>
  <c r="E3071" i="1" a="1"/>
  <c r="E3071" i="1"/>
  <c r="E3072" i="1" a="1"/>
  <c r="E3072" i="1" s="1"/>
  <c r="E3073" i="1" a="1"/>
  <c r="E3073" i="1" s="1"/>
  <c r="E3074" i="1" a="1"/>
  <c r="E3074" i="1" s="1"/>
  <c r="E3075" i="1" a="1"/>
  <c r="E3075" i="1"/>
  <c r="E3076" i="1" a="1"/>
  <c r="E3076" i="1" s="1"/>
  <c r="E3079" i="1" a="1"/>
  <c r="E3079" i="1"/>
  <c r="E3080" i="1" a="1"/>
  <c r="E3080" i="1"/>
  <c r="E3081" i="1" a="1"/>
  <c r="E3081" i="1" s="1"/>
  <c r="E3082" i="1" a="1"/>
  <c r="E3082" i="1"/>
  <c r="E3084" i="1" a="1"/>
  <c r="E3084" i="1"/>
  <c r="E3085" i="1" a="1"/>
  <c r="E3085" i="1" s="1"/>
  <c r="E3086" i="1" a="1"/>
  <c r="E3086" i="1"/>
  <c r="E3087" i="1" a="1"/>
  <c r="E3087" i="1" s="1"/>
  <c r="E3088" i="1" a="1"/>
  <c r="E3088" i="1"/>
  <c r="E3089" i="1" a="1"/>
  <c r="E3089" i="1"/>
  <c r="E3090" i="1" a="1"/>
  <c r="E3090" i="1" s="1"/>
  <c r="E3091" i="1" a="1"/>
  <c r="E3091" i="1" s="1"/>
  <c r="E3092" i="1" a="1"/>
  <c r="E3092" i="1"/>
  <c r="E3095" i="1" a="1"/>
  <c r="E3095" i="1"/>
  <c r="E3096" i="1" a="1"/>
  <c r="E3096" i="1"/>
  <c r="E3097" i="1" a="1"/>
  <c r="E3097" i="1" s="1"/>
  <c r="E3098" i="1" a="1"/>
  <c r="E3098" i="1"/>
  <c r="E3099" i="1" a="1"/>
  <c r="E3099" i="1"/>
  <c r="E3101" i="1" a="1"/>
  <c r="E3101" i="1"/>
  <c r="E3102" i="1" a="1"/>
  <c r="E3102" i="1" s="1"/>
  <c r="E3103" i="1" a="1"/>
  <c r="E3103" i="1" s="1"/>
  <c r="E3104" i="1" a="1"/>
  <c r="E3104" i="1"/>
  <c r="E3105" i="1" a="1"/>
  <c r="E3105" i="1" s="1"/>
  <c r="E3106" i="1" a="1"/>
  <c r="E3106" i="1" s="1"/>
  <c r="E3108" i="1" a="1"/>
  <c r="E3108" i="1"/>
  <c r="E3109" i="1" a="1"/>
  <c r="E3109" i="1"/>
  <c r="E3110" i="1" a="1"/>
  <c r="E3110" i="1"/>
  <c r="E3111" i="1" a="1"/>
  <c r="E3111" i="1" s="1"/>
  <c r="E3112" i="1" a="1"/>
  <c r="E3112" i="1"/>
  <c r="E3113" i="1" a="1"/>
  <c r="E3113" i="1" s="1"/>
  <c r="E3114" i="1" a="1"/>
  <c r="E3114" i="1"/>
  <c r="E3115" i="1" a="1"/>
  <c r="E3115" i="1" s="1"/>
  <c r="E3116" i="1" a="1"/>
  <c r="E3116" i="1"/>
  <c r="E3117" i="1" a="1"/>
  <c r="E3117" i="1"/>
  <c r="E3118" i="1" a="1"/>
  <c r="E3118" i="1"/>
  <c r="E3119" i="1" a="1"/>
  <c r="E3119" i="1"/>
  <c r="E3120" i="1" a="1"/>
  <c r="E3120" i="1" s="1"/>
  <c r="E3122" i="1" a="1"/>
  <c r="E3122" i="1" s="1"/>
  <c r="E3123" i="1" a="1"/>
  <c r="E3123" i="1"/>
  <c r="E3124" i="1" a="1"/>
  <c r="E3124" i="1" s="1"/>
  <c r="E3127" i="1" a="1"/>
  <c r="E3127" i="1"/>
  <c r="E3128" i="1" a="1"/>
  <c r="E3128" i="1"/>
  <c r="E3129" i="1" a="1"/>
  <c r="E3129" i="1" s="1"/>
  <c r="E3130" i="1" a="1"/>
  <c r="E3130" i="1"/>
  <c r="E3131" i="1" a="1"/>
  <c r="E3131" i="1"/>
  <c r="E3132" i="1" a="1"/>
  <c r="E3132" i="1"/>
  <c r="E3133" i="1" a="1"/>
  <c r="E3133" i="1" s="1"/>
  <c r="E3134" i="1" a="1"/>
  <c r="E3134" i="1" s="1"/>
  <c r="E3136" i="1" a="1"/>
  <c r="E3136" i="1"/>
  <c r="E3137" i="1" a="1"/>
  <c r="E3137" i="1"/>
  <c r="E3138" i="1" a="1"/>
  <c r="E3138" i="1"/>
  <c r="E3139" i="1" a="1"/>
  <c r="E3139" i="1" s="1"/>
  <c r="E3140" i="1" a="1"/>
  <c r="E3140" i="1"/>
  <c r="E3141" i="1" a="1"/>
  <c r="E3141" i="1"/>
  <c r="E3142" i="1" a="1"/>
  <c r="E3142" i="1" s="1"/>
  <c r="E3143" i="1" a="1"/>
  <c r="E3143" i="1" s="1"/>
  <c r="E3144" i="1" a="1"/>
  <c r="E3144" i="1"/>
  <c r="E3146" i="1" a="1"/>
  <c r="E3146" i="1"/>
  <c r="E3147" i="1" a="1"/>
  <c r="E3147" i="1"/>
  <c r="E3148" i="1" a="1"/>
  <c r="E3148" i="1" s="1"/>
  <c r="E3149" i="1" a="1"/>
  <c r="E3149" i="1" s="1"/>
  <c r="E3150" i="1" a="1"/>
  <c r="E3150" i="1"/>
  <c r="E3151" i="1" a="1"/>
  <c r="E3151" i="1"/>
  <c r="E3152" i="1" a="1"/>
  <c r="E3152" i="1" s="1"/>
  <c r="E3153" i="1" a="1"/>
  <c r="E3153" i="1"/>
  <c r="E3154" i="1" a="1"/>
  <c r="E3154" i="1"/>
  <c r="E3155" i="1" a="1"/>
  <c r="E3155" i="1"/>
  <c r="E3156" i="1" a="1"/>
  <c r="E3156" i="1"/>
  <c r="E3157" i="1" a="1"/>
  <c r="E3157" i="1" s="1"/>
  <c r="E3158" i="1" a="1"/>
  <c r="E3158" i="1" s="1"/>
  <c r="E3160" i="1" a="1"/>
  <c r="E3160" i="1"/>
  <c r="E3161" i="1" a="1"/>
  <c r="E3161" i="1" s="1"/>
  <c r="E3162" i="1" a="1"/>
  <c r="E3162" i="1"/>
  <c r="E3164" i="1" a="1"/>
  <c r="E3164" i="1"/>
  <c r="E3165" i="1" a="1"/>
  <c r="E3165" i="1"/>
  <c r="E3166" i="1" a="1"/>
  <c r="E3166" i="1"/>
  <c r="E3167" i="1" a="1"/>
  <c r="E3167" i="1" s="1"/>
  <c r="E3169" i="1" a="1"/>
  <c r="E3169" i="1" s="1"/>
  <c r="E3171" i="1" a="1"/>
  <c r="E3171" i="1"/>
  <c r="E3172" i="1" a="1"/>
  <c r="E3172" i="1" s="1"/>
  <c r="E3173" i="1" a="1"/>
  <c r="E3173" i="1"/>
  <c r="E3174" i="1" a="1"/>
  <c r="E3174" i="1"/>
  <c r="E3175" i="1" a="1"/>
  <c r="E3175" i="1" s="1"/>
  <c r="E3176" i="1" a="1"/>
  <c r="E3176" i="1"/>
  <c r="E3179" i="1" a="1"/>
  <c r="E3179" i="1"/>
  <c r="E3181" i="1" a="1"/>
  <c r="E3181" i="1" s="1"/>
  <c r="E3182" i="1" a="1"/>
  <c r="E3182" i="1" s="1"/>
  <c r="E3183" i="1" a="1"/>
  <c r="E3183" i="1" s="1"/>
  <c r="E3184" i="1" a="1"/>
  <c r="E3184" i="1"/>
  <c r="E3185" i="1" a="1"/>
  <c r="E3185" i="1"/>
  <c r="E3186" i="1" a="1"/>
  <c r="E3186" i="1"/>
  <c r="E3187" i="1" a="1"/>
  <c r="E3187" i="1"/>
  <c r="E3188" i="1" a="1"/>
  <c r="E3188" i="1"/>
  <c r="E3189" i="1" a="1"/>
  <c r="E3189" i="1"/>
  <c r="E3191" i="1" a="1"/>
  <c r="E3191" i="1" s="1"/>
  <c r="E3194" i="1" a="1"/>
  <c r="E3194" i="1" s="1"/>
  <c r="E3195" i="1" a="1"/>
  <c r="E3195" i="1"/>
  <c r="E3196" i="1" a="1"/>
  <c r="E3196" i="1"/>
  <c r="E3197" i="1" a="1"/>
  <c r="E3197" i="1" s="1"/>
  <c r="E3199" i="1" a="1"/>
  <c r="E3199" i="1" s="1"/>
  <c r="E3200" i="1" a="1"/>
  <c r="E3200" i="1"/>
  <c r="E3201" i="1" a="1"/>
  <c r="E3201" i="1"/>
  <c r="E3203" i="1" a="1"/>
  <c r="E3203" i="1"/>
  <c r="E3204" i="1" a="1"/>
  <c r="E3204" i="1" s="1"/>
  <c r="E3205" i="1" a="1"/>
  <c r="E3205" i="1"/>
  <c r="E3206" i="1" a="1"/>
  <c r="E3206" i="1"/>
  <c r="E3207" i="1" a="1"/>
  <c r="E3207" i="1"/>
  <c r="E3208" i="1" a="1"/>
  <c r="E3208" i="1" s="1"/>
  <c r="E3209" i="1" a="1"/>
  <c r="E3209" i="1"/>
  <c r="E3211" i="1" a="1"/>
  <c r="E3211" i="1"/>
  <c r="E3212" i="1" a="1"/>
  <c r="E3212" i="1" s="1"/>
  <c r="E3213" i="1" a="1"/>
  <c r="E3213" i="1" s="1"/>
  <c r="E3214" i="1" a="1"/>
  <c r="E3214" i="1"/>
  <c r="E3215" i="1" a="1"/>
  <c r="E3215" i="1"/>
  <c r="E3216" i="1" a="1"/>
  <c r="E3216" i="1" s="1"/>
  <c r="E3217" i="1" a="1"/>
  <c r="E3217" i="1" s="1"/>
  <c r="E3218" i="1" a="1"/>
  <c r="E3218" i="1" s="1"/>
  <c r="E3219" i="1" a="1"/>
  <c r="E3219" i="1"/>
  <c r="E3220" i="1" a="1"/>
  <c r="E3220" i="1"/>
  <c r="E3221" i="1" a="1"/>
  <c r="E3221" i="1" s="1"/>
  <c r="E3222" i="1" a="1"/>
  <c r="E3222" i="1"/>
  <c r="E3223" i="1" a="1"/>
  <c r="E3223" i="1"/>
  <c r="E3224" i="1" a="1"/>
  <c r="E3224" i="1" s="1"/>
  <c r="E3226" i="1" a="1"/>
  <c r="E3226" i="1" s="1"/>
  <c r="E3229" i="1" a="1"/>
  <c r="E3229" i="1" s="1"/>
  <c r="E3231" i="1" a="1"/>
  <c r="E3231" i="1"/>
  <c r="E3232" i="1" a="1"/>
  <c r="E3232" i="1"/>
  <c r="E3233" i="1" a="1"/>
  <c r="E3233" i="1" s="1"/>
  <c r="E3234" i="1" a="1"/>
  <c r="E3234" i="1"/>
  <c r="E3235" i="1" a="1"/>
  <c r="E3235" i="1"/>
  <c r="E3236" i="1" a="1"/>
  <c r="E3236" i="1" s="1"/>
  <c r="E3237" i="1" a="1"/>
  <c r="E3237" i="1" s="1"/>
  <c r="E3238" i="1" a="1"/>
  <c r="E3238" i="1" s="1"/>
  <c r="E3239" i="1" a="1"/>
  <c r="E3239" i="1" s="1"/>
  <c r="E3240" i="1" a="1"/>
  <c r="E3240" i="1"/>
  <c r="E3241" i="1" a="1"/>
  <c r="E3241" i="1" s="1"/>
  <c r="E3242" i="1" a="1"/>
  <c r="E3242" i="1"/>
  <c r="E3243" i="1" a="1"/>
  <c r="E3243" i="1"/>
  <c r="E3244" i="1" a="1"/>
  <c r="E3244" i="1"/>
  <c r="E3246" i="1" a="1"/>
  <c r="E3246" i="1" s="1"/>
  <c r="E3247" i="1" a="1"/>
  <c r="E3247" i="1" s="1"/>
  <c r="E3248" i="1" a="1"/>
  <c r="E3248" i="1" s="1"/>
  <c r="E3249" i="1" a="1"/>
  <c r="E3249" i="1"/>
  <c r="E3250" i="1" a="1"/>
  <c r="E3250" i="1" s="1"/>
  <c r="E3252" i="1" a="1"/>
  <c r="E3252" i="1"/>
  <c r="E3253" i="1" a="1"/>
  <c r="E3253" i="1"/>
  <c r="E3254" i="1" a="1"/>
  <c r="E3254" i="1"/>
  <c r="E3255" i="1" a="1"/>
  <c r="E3255" i="1" s="1"/>
  <c r="E3256" i="1" a="1"/>
  <c r="E3256" i="1"/>
  <c r="E3257" i="1" a="1"/>
  <c r="E3257" i="1" s="1"/>
  <c r="E3258" i="1" a="1"/>
  <c r="E3258" i="1" s="1"/>
  <c r="E3259" i="1" a="1"/>
  <c r="E3259" i="1" s="1"/>
  <c r="E3260" i="1" a="1"/>
  <c r="E3260" i="1"/>
  <c r="E3261" i="1" a="1"/>
  <c r="E3261" i="1"/>
  <c r="E3262" i="1" a="1"/>
  <c r="E3262" i="1"/>
  <c r="E3263" i="1" a="1"/>
  <c r="E3263" i="1"/>
  <c r="E3264" i="1" a="1"/>
  <c r="E3264" i="1"/>
  <c r="E3265" i="1" a="1"/>
  <c r="E3265" i="1"/>
  <c r="E3266" i="1" a="1"/>
  <c r="E3266" i="1" s="1"/>
  <c r="E3267" i="1" a="1"/>
  <c r="E3267" i="1" s="1"/>
  <c r="E3268" i="1" a="1"/>
  <c r="E3268" i="1"/>
  <c r="E3269" i="1" a="1"/>
  <c r="E3269" i="1"/>
  <c r="E3270" i="1" a="1"/>
  <c r="E3270" i="1"/>
  <c r="E3271" i="1" a="1"/>
  <c r="E3271" i="1"/>
  <c r="E3272" i="1" a="1"/>
  <c r="E3272" i="1"/>
  <c r="E3273" i="1" a="1"/>
  <c r="E3273" i="1"/>
  <c r="E3274" i="1" a="1"/>
  <c r="E3274" i="1" s="1"/>
  <c r="E3275" i="1" a="1"/>
  <c r="E3275" i="1" s="1"/>
  <c r="E3276" i="1" a="1"/>
  <c r="E3276" i="1"/>
  <c r="E3278" i="1" a="1"/>
  <c r="E3278" i="1"/>
  <c r="E3279" i="1" a="1"/>
  <c r="E3279" i="1"/>
  <c r="E3282" i="1" a="1"/>
  <c r="E3282" i="1"/>
  <c r="E3283" i="1" a="1"/>
  <c r="E3283" i="1"/>
  <c r="E3284" i="1" a="1"/>
  <c r="E3284" i="1"/>
  <c r="E3285" i="1" a="1"/>
  <c r="E3285" i="1"/>
  <c r="E3286" i="1" a="1"/>
  <c r="E3286" i="1" s="1"/>
  <c r="E3287" i="1" a="1"/>
  <c r="E3287" i="1"/>
  <c r="E3288" i="1" a="1"/>
  <c r="E3288" i="1"/>
  <c r="E3289" i="1" a="1"/>
  <c r="E3289" i="1"/>
  <c r="E3290" i="1" a="1"/>
  <c r="E3290" i="1" s="1"/>
  <c r="E3291" i="1" a="1"/>
  <c r="E3291" i="1"/>
  <c r="E3292" i="1" a="1"/>
  <c r="E3292" i="1"/>
  <c r="E3293" i="1" a="1"/>
  <c r="E3293" i="1"/>
  <c r="E3294" i="1" a="1"/>
  <c r="E3294" i="1" s="1"/>
  <c r="E3295" i="1" a="1"/>
  <c r="E3295" i="1"/>
  <c r="E3296" i="1" a="1"/>
  <c r="E3296" i="1"/>
  <c r="E3297" i="1" a="1"/>
  <c r="E3297" i="1"/>
  <c r="E3298" i="1" a="1"/>
  <c r="E3298" i="1"/>
  <c r="E3299" i="1" a="1"/>
  <c r="E3299" i="1"/>
  <c r="E3301" i="1" a="1"/>
  <c r="E3301" i="1"/>
  <c r="E3302" i="1" a="1"/>
  <c r="E3302" i="1"/>
  <c r="E3303" i="1" a="1"/>
  <c r="E3303" i="1" s="1"/>
  <c r="E3304" i="1" a="1"/>
  <c r="E3304" i="1"/>
  <c r="E3305" i="1" a="1"/>
  <c r="E3305" i="1"/>
  <c r="E3306" i="1" a="1"/>
  <c r="E3306" i="1"/>
  <c r="E3307" i="1" a="1"/>
  <c r="E3307" i="1"/>
  <c r="E3308" i="1" a="1"/>
  <c r="E3308" i="1"/>
  <c r="E3309" i="1" a="1"/>
  <c r="E3309" i="1"/>
  <c r="E3310" i="1" a="1"/>
  <c r="E3310" i="1"/>
  <c r="E3311" i="1" a="1"/>
  <c r="E3311" i="1" s="1"/>
  <c r="E3312" i="1" a="1"/>
  <c r="E3312" i="1"/>
  <c r="E3313" i="1" a="1"/>
  <c r="E3313" i="1"/>
  <c r="E3314" i="1" a="1"/>
  <c r="E3314" i="1"/>
  <c r="E3315" i="1" a="1"/>
  <c r="E3315" i="1"/>
  <c r="E3316" i="1" a="1"/>
  <c r="E3316" i="1"/>
  <c r="E3317" i="1" a="1"/>
  <c r="E3317" i="1"/>
  <c r="E3318" i="1" a="1"/>
  <c r="E3318" i="1"/>
  <c r="E3319" i="1" a="1"/>
  <c r="E3319" i="1" s="1"/>
  <c r="E3320" i="1" a="1"/>
  <c r="E3320" i="1"/>
  <c r="E3321" i="1" a="1"/>
  <c r="E3321" i="1"/>
  <c r="E3324" i="1" a="1"/>
  <c r="E3324" i="1" s="1"/>
  <c r="E3327" i="1" a="1"/>
  <c r="E3327" i="1"/>
  <c r="E3328" i="1" a="1"/>
  <c r="E3328" i="1"/>
  <c r="E3329" i="1" a="1"/>
  <c r="E3329" i="1"/>
  <c r="E3330" i="1" a="1"/>
  <c r="E3330" i="1"/>
  <c r="E3331" i="1" a="1"/>
  <c r="E3331" i="1" s="1"/>
  <c r="E3333" i="1" a="1"/>
  <c r="E3333" i="1" s="1"/>
  <c r="E3334" i="1" a="1"/>
  <c r="E3334" i="1"/>
  <c r="E3335" i="1" a="1"/>
  <c r="E3335" i="1"/>
  <c r="E3337" i="1" a="1"/>
  <c r="E3337" i="1" s="1"/>
  <c r="E3338" i="1" a="1"/>
  <c r="E3338" i="1"/>
  <c r="E3339" i="1" a="1"/>
  <c r="E3339" i="1"/>
  <c r="E3341" i="1" a="1"/>
  <c r="E3341" i="1"/>
  <c r="E3342" i="1" a="1"/>
  <c r="E3342" i="1" s="1"/>
  <c r="E3343" i="1" a="1"/>
  <c r="E3343" i="1" s="1"/>
  <c r="E3344" i="1" a="1"/>
  <c r="E3344" i="1"/>
  <c r="E3346" i="1" a="1"/>
  <c r="E3346" i="1"/>
  <c r="E3347" i="1" a="1"/>
  <c r="E3347" i="1"/>
  <c r="E3349" i="1" a="1"/>
  <c r="E3349" i="1" s="1"/>
  <c r="E3352" i="1" a="1"/>
  <c r="E3352" i="1"/>
  <c r="E3353" i="1" a="1"/>
  <c r="E3353" i="1"/>
  <c r="E3355" i="1" a="1"/>
  <c r="E3355" i="1" s="1"/>
  <c r="E3356" i="1" a="1"/>
  <c r="E3356" i="1" s="1"/>
  <c r="E3357" i="1" a="1"/>
  <c r="E3357" i="1"/>
  <c r="E3358" i="1" a="1"/>
  <c r="E3358" i="1"/>
  <c r="E3359" i="1" a="1"/>
  <c r="E3359" i="1"/>
  <c r="E3360" i="1" a="1"/>
  <c r="E3360" i="1"/>
  <c r="E3361" i="1" a="1"/>
  <c r="E3361" i="1" s="1"/>
  <c r="E3363" i="1" a="1"/>
  <c r="E3363" i="1"/>
  <c r="E3364" i="1" a="1"/>
  <c r="E3364" i="1" s="1"/>
  <c r="E3365" i="1" a="1"/>
  <c r="E3365" i="1" s="1"/>
  <c r="E3366" i="1" a="1"/>
  <c r="E3366" i="1"/>
  <c r="E3367" i="1" a="1"/>
  <c r="E3367" i="1"/>
  <c r="E3368" i="1" a="1"/>
  <c r="E3368" i="1"/>
  <c r="E3369" i="1" a="1"/>
  <c r="E3369" i="1"/>
  <c r="E3370" i="1" a="1"/>
  <c r="E3370" i="1"/>
  <c r="E3371" i="1" a="1"/>
  <c r="E3371" i="1" s="1"/>
  <c r="E3372" i="1" a="1"/>
  <c r="E3372" i="1" s="1"/>
  <c r="E3373" i="1" a="1"/>
  <c r="E3373" i="1" s="1"/>
  <c r="E3374" i="1" a="1"/>
  <c r="E3374" i="1"/>
  <c r="E3375" i="1" a="1"/>
  <c r="E3375" i="1" s="1"/>
  <c r="E3376" i="1" a="1"/>
  <c r="E3376" i="1"/>
  <c r="E3377" i="1" a="1"/>
  <c r="E3377" i="1"/>
  <c r="E3378" i="1" a="1"/>
  <c r="E3378" i="1"/>
  <c r="E3379" i="1" a="1"/>
  <c r="E3379" i="1"/>
  <c r="E3380" i="1" a="1"/>
  <c r="E3380" i="1" s="1"/>
  <c r="E3381" i="1" a="1"/>
  <c r="E3381" i="1" s="1"/>
  <c r="E3382" i="1" a="1"/>
  <c r="E3382" i="1"/>
  <c r="E3383" i="1" a="1"/>
  <c r="E3383" i="1"/>
  <c r="E3384" i="1" a="1"/>
  <c r="E3384" i="1" s="1"/>
  <c r="E3385" i="1" a="1"/>
  <c r="E3385" i="1"/>
  <c r="E3386" i="1" a="1"/>
  <c r="E3386" i="1"/>
  <c r="E3387" i="1" a="1"/>
  <c r="E3387" i="1"/>
  <c r="E3388" i="1" a="1"/>
  <c r="E3388" i="1" s="1"/>
  <c r="E3389" i="1" a="1"/>
  <c r="E3389" i="1" s="1"/>
  <c r="E3390" i="1" a="1"/>
  <c r="E3390" i="1"/>
  <c r="E3391" i="1" a="1"/>
  <c r="E3391" i="1"/>
  <c r="E3392" i="1" a="1"/>
  <c r="E3392" i="1"/>
  <c r="E3393" i="1" a="1"/>
  <c r="E3393" i="1" s="1"/>
  <c r="E3394" i="1" a="1"/>
  <c r="E3394" i="1"/>
  <c r="E3395" i="1" a="1"/>
  <c r="E3395" i="1"/>
  <c r="E3396" i="1" a="1"/>
  <c r="E3396" i="1" s="1"/>
  <c r="E3397" i="1" a="1"/>
  <c r="E3397" i="1" s="1"/>
  <c r="E3398" i="1" a="1"/>
  <c r="E3398" i="1"/>
  <c r="E3399" i="1" a="1"/>
  <c r="E3399" i="1" s="1"/>
  <c r="E3400" i="1" a="1"/>
  <c r="E3400" i="1" s="1"/>
  <c r="E3401" i="1" a="1"/>
  <c r="E3401" i="1"/>
  <c r="E3402" i="1" a="1"/>
  <c r="E3402" i="1"/>
  <c r="E3403" i="1" a="1"/>
  <c r="E3403" i="1" s="1"/>
  <c r="E3404" i="1" a="1"/>
  <c r="E3404" i="1" s="1"/>
  <c r="E3405" i="1" a="1"/>
  <c r="E3405" i="1" s="1"/>
  <c r="E3406" i="1" a="1"/>
  <c r="E3406" i="1"/>
  <c r="E3407" i="1" a="1"/>
  <c r="E3407" i="1" s="1"/>
  <c r="E3408" i="1" a="1"/>
  <c r="E3408" i="1" s="1"/>
  <c r="E3409" i="1" a="1"/>
  <c r="E3409" i="1" s="1"/>
  <c r="E3410" i="1" a="1"/>
  <c r="E3410" i="1"/>
  <c r="E3411" i="1" a="1"/>
  <c r="E3411" i="1"/>
  <c r="E3412" i="1" a="1"/>
  <c r="E3412" i="1" s="1"/>
  <c r="E3413" i="1" a="1"/>
  <c r="E3413" i="1" s="1"/>
  <c r="E3414" i="1" a="1"/>
  <c r="E3414" i="1"/>
  <c r="E3415" i="1" a="1"/>
  <c r="E3415" i="1"/>
  <c r="E3416" i="1" a="1"/>
  <c r="E3416" i="1"/>
  <c r="E3417" i="1" a="1"/>
  <c r="E3417" i="1" s="1"/>
  <c r="E3418" i="1" a="1"/>
  <c r="E3418" i="1" s="1"/>
  <c r="E3419" i="1" a="1"/>
  <c r="E3419" i="1"/>
  <c r="E3420" i="1" a="1"/>
  <c r="E3420" i="1" s="1"/>
  <c r="E3421" i="1" a="1"/>
  <c r="E3421" i="1" s="1"/>
  <c r="E3422" i="1" a="1"/>
  <c r="E3422" i="1"/>
  <c r="E3425" i="1" a="1"/>
  <c r="E3425" i="1"/>
  <c r="E3426" i="1" a="1"/>
  <c r="E3426" i="1" s="1"/>
  <c r="E3427" i="1" a="1"/>
  <c r="E3427" i="1"/>
  <c r="E3428" i="1" a="1"/>
  <c r="E3428" i="1" s="1"/>
  <c r="E3429" i="1" a="1"/>
  <c r="E3429" i="1" s="1"/>
  <c r="E3430" i="1" a="1"/>
  <c r="E3430" i="1" s="1"/>
  <c r="E3431" i="1" a="1"/>
  <c r="E3431" i="1" s="1"/>
  <c r="E3433" i="1" a="1"/>
  <c r="E3433" i="1"/>
  <c r="E3435" i="1" a="1"/>
  <c r="E3435" i="1"/>
  <c r="E3436" i="1" a="1"/>
  <c r="E3436" i="1"/>
  <c r="E3437" i="1" a="1"/>
  <c r="E3437" i="1"/>
  <c r="E3438" i="1" a="1"/>
  <c r="E3438" i="1" s="1"/>
  <c r="E3439" i="1" a="1"/>
  <c r="E3439" i="1" s="1"/>
  <c r="E3440" i="1" a="1"/>
  <c r="E3440" i="1" s="1"/>
  <c r="E3441" i="1" a="1"/>
  <c r="E3441" i="1" s="1"/>
  <c r="E3442" i="1" a="1"/>
  <c r="E3442" i="1"/>
  <c r="E3443" i="1" a="1"/>
  <c r="E3443" i="1"/>
  <c r="E3444" i="1" a="1"/>
  <c r="E3444" i="1" s="1"/>
  <c r="E3446" i="1" a="1"/>
  <c r="E3446" i="1"/>
  <c r="E3447" i="1" a="1"/>
  <c r="E3447" i="1"/>
  <c r="E3448" i="1" a="1"/>
  <c r="E3448" i="1"/>
  <c r="E3450" i="1" a="1"/>
  <c r="E3450" i="1" s="1"/>
  <c r="E3451" i="1" a="1"/>
  <c r="E3451" i="1" s="1"/>
  <c r="E3452" i="1" a="1"/>
  <c r="E3452" i="1"/>
  <c r="E3453" i="1" a="1"/>
  <c r="E3453" i="1"/>
  <c r="E3454" i="1" a="1"/>
  <c r="E3454" i="1"/>
  <c r="E3455" i="1" a="1"/>
  <c r="E3455" i="1" s="1"/>
  <c r="E3456" i="1" a="1"/>
  <c r="E3456" i="1"/>
  <c r="E3457" i="1" a="1"/>
  <c r="E3457" i="1"/>
  <c r="E3458" i="1" a="1"/>
  <c r="E3458" i="1" s="1"/>
  <c r="E3459" i="1" a="1"/>
  <c r="E3459" i="1" s="1"/>
  <c r="E3460" i="1" a="1"/>
  <c r="E3460" i="1"/>
  <c r="E3461" i="1" a="1"/>
  <c r="E3461" i="1" s="1"/>
  <c r="E3462" i="1" a="1"/>
  <c r="E3462" i="1"/>
  <c r="E3463" i="1" a="1"/>
  <c r="E3463" i="1" s="1"/>
  <c r="E3464" i="1" a="1"/>
  <c r="E3464" i="1"/>
  <c r="E3465" i="1" a="1"/>
  <c r="E3465" i="1" s="1"/>
  <c r="E3466" i="1" a="1"/>
  <c r="E3466" i="1" s="1"/>
  <c r="E3467" i="1" a="1"/>
  <c r="E3467" i="1" s="1"/>
  <c r="E3468" i="1" a="1"/>
  <c r="E3468" i="1"/>
  <c r="E3469" i="1" a="1"/>
  <c r="E3469" i="1" s="1"/>
  <c r="E3470" i="1" a="1"/>
  <c r="E3470" i="1" s="1"/>
  <c r="E3471" i="1" a="1"/>
  <c r="E3471" i="1"/>
  <c r="E3472" i="1" a="1"/>
  <c r="E3472" i="1"/>
  <c r="E3473" i="1" a="1"/>
  <c r="E3473" i="1" s="1"/>
  <c r="E3474" i="1" a="1"/>
  <c r="E3474" i="1" s="1"/>
  <c r="E3475" i="1" a="1"/>
  <c r="E3475" i="1" s="1"/>
  <c r="E3476" i="1" a="1"/>
  <c r="E3476" i="1"/>
  <c r="E3477" i="1" a="1"/>
  <c r="E3477" i="1"/>
  <c r="E3478" i="1" a="1"/>
  <c r="E3478" i="1" s="1"/>
  <c r="E3479" i="1" a="1"/>
  <c r="E3479" i="1" s="1"/>
  <c r="E3480" i="1" a="1"/>
  <c r="E3480" i="1"/>
  <c r="E3481" i="1" a="1"/>
  <c r="E3481" i="1"/>
  <c r="E3482" i="1" a="1"/>
  <c r="E3482" i="1" s="1"/>
  <c r="E3483" i="1" a="1"/>
  <c r="E3483" i="1" s="1"/>
  <c r="E3484" i="1" a="1"/>
  <c r="E3484" i="1"/>
  <c r="E3485" i="1" a="1"/>
  <c r="E3485" i="1" s="1"/>
  <c r="E3486" i="1" a="1"/>
  <c r="E3486" i="1"/>
  <c r="E3488" i="1" a="1"/>
  <c r="E3488" i="1" s="1"/>
  <c r="E3489" i="1" a="1"/>
  <c r="E3489" i="1" s="1"/>
  <c r="E3493" i="1" a="1"/>
  <c r="E3493" i="1"/>
  <c r="E3494" i="1" a="1"/>
  <c r="E3494" i="1" s="1"/>
  <c r="E3495" i="1" a="1"/>
  <c r="E3495" i="1" s="1"/>
  <c r="E3496" i="1" a="1"/>
  <c r="E3496" i="1"/>
  <c r="E3497" i="1" a="1"/>
  <c r="E3497" i="1"/>
  <c r="E3498" i="1" a="1"/>
  <c r="E3498" i="1" s="1"/>
  <c r="E3502" i="1" a="1"/>
  <c r="E3502" i="1"/>
  <c r="E3503" i="1" a="1"/>
  <c r="E3503" i="1" s="1"/>
  <c r="E3504" i="1" a="1"/>
  <c r="E3504" i="1" s="1"/>
  <c r="E3505" i="1" a="1"/>
  <c r="E3505" i="1" s="1"/>
  <c r="E3506" i="1" a="1"/>
  <c r="E3506" i="1" s="1"/>
  <c r="E3507" i="1" a="1"/>
  <c r="E3507" i="1"/>
  <c r="E3508" i="1" a="1"/>
  <c r="E3508" i="1" s="1"/>
  <c r="E3509" i="1" a="1"/>
  <c r="E3509" i="1"/>
  <c r="E3510" i="1" a="1"/>
  <c r="E3510" i="1"/>
  <c r="E3511" i="1" a="1"/>
  <c r="E3511" i="1"/>
  <c r="E3512" i="1" a="1"/>
  <c r="E3512" i="1" s="1"/>
  <c r="E3513" i="1" a="1"/>
  <c r="E3513" i="1" s="1"/>
  <c r="E3514" i="1" a="1"/>
  <c r="E3514" i="1" s="1"/>
  <c r="E3515" i="1" a="1"/>
  <c r="E3515" i="1"/>
  <c r="E3516" i="1" a="1"/>
  <c r="E3516" i="1" s="1"/>
  <c r="E3517" i="1" a="1"/>
  <c r="E3517" i="1"/>
  <c r="E3518" i="1" a="1"/>
  <c r="E3518" i="1"/>
  <c r="E3520" i="1" a="1"/>
  <c r="E3520" i="1"/>
  <c r="E3521" i="1" a="1"/>
  <c r="E3521" i="1" s="1"/>
  <c r="E3522" i="1" a="1"/>
  <c r="E3522" i="1" s="1"/>
  <c r="E3523" i="1" a="1"/>
  <c r="E3523" i="1" s="1"/>
  <c r="E3524" i="1" a="1"/>
  <c r="E3524" i="1"/>
  <c r="E3525" i="1" a="1"/>
  <c r="E3525" i="1"/>
  <c r="E3526" i="1" a="1"/>
  <c r="E3526" i="1"/>
  <c r="E3527" i="1" a="1"/>
  <c r="E3527" i="1" s="1"/>
  <c r="E3528" i="1" a="1"/>
  <c r="E3528" i="1"/>
  <c r="E3529" i="1" a="1"/>
  <c r="E3529" i="1"/>
  <c r="E3530" i="1" a="1"/>
  <c r="E3530" i="1" s="1"/>
  <c r="E3531" i="1" a="1"/>
  <c r="E3531" i="1" s="1"/>
  <c r="E3532" i="1" a="1"/>
  <c r="E3532" i="1"/>
  <c r="E3533" i="1" a="1"/>
  <c r="E3533" i="1" s="1"/>
  <c r="E3534" i="1" a="1"/>
  <c r="E3534" i="1"/>
  <c r="E3535" i="1" a="1"/>
  <c r="E3535" i="1"/>
  <c r="E3537" i="1" a="1"/>
  <c r="E3537" i="1" s="1"/>
  <c r="E3539" i="1" a="1"/>
  <c r="E3539" i="1" s="1"/>
  <c r="E3541" i="1" a="1"/>
  <c r="E3541" i="1" s="1"/>
  <c r="E3544" i="1" a="1"/>
  <c r="E3544" i="1" s="1"/>
  <c r="E3545" i="1" a="1"/>
  <c r="E3545" i="1"/>
  <c r="E3548" i="1" a="1"/>
  <c r="E3548" i="1" s="1"/>
  <c r="E3549" i="1" a="1"/>
  <c r="E3549" i="1" s="1"/>
  <c r="E3550" i="1" a="1"/>
  <c r="E3550" i="1"/>
  <c r="E3551" i="1" a="1"/>
  <c r="E3551" i="1"/>
  <c r="E3552" i="1" a="1"/>
  <c r="E3552" i="1" s="1"/>
  <c r="E3553" i="1" a="1"/>
  <c r="E3553" i="1" s="1"/>
  <c r="E3554" i="1" a="1"/>
  <c r="E3554" i="1" s="1"/>
  <c r="E3555" i="1" a="1"/>
  <c r="E3555" i="1"/>
  <c r="E3556" i="1" a="1"/>
  <c r="E3556" i="1"/>
  <c r="E3557" i="1" a="1"/>
  <c r="E3557" i="1" s="1"/>
  <c r="E3558" i="1" a="1"/>
  <c r="E3558" i="1" s="1"/>
  <c r="E3560" i="1" a="1"/>
  <c r="E3560" i="1"/>
  <c r="E3561" i="1" a="1"/>
  <c r="E3561" i="1" s="1"/>
  <c r="E3562" i="1" a="1"/>
  <c r="E3562" i="1" s="1"/>
  <c r="E3563" i="1" a="1"/>
  <c r="E3563" i="1" s="1"/>
  <c r="E3564" i="1" a="1"/>
  <c r="E3564" i="1"/>
  <c r="E3566" i="1" a="1"/>
  <c r="E3566" i="1"/>
  <c r="E3567" i="1" a="1"/>
  <c r="E3567" i="1" s="1"/>
  <c r="E3568" i="1" a="1"/>
  <c r="E3568" i="1" s="1"/>
  <c r="E3569" i="1" a="1"/>
  <c r="E3569" i="1" s="1"/>
  <c r="E3570" i="1" a="1"/>
  <c r="E3570" i="1"/>
  <c r="E3572" i="1" a="1"/>
  <c r="E3572" i="1" s="1"/>
  <c r="E3573" i="1" a="1"/>
  <c r="E3573" i="1" s="1"/>
  <c r="E3574" i="1" a="1"/>
  <c r="E3574" i="1"/>
  <c r="E3575" i="1" a="1"/>
  <c r="E3575" i="1"/>
  <c r="E3576" i="1" a="1"/>
  <c r="E3576" i="1"/>
  <c r="E3577" i="1" a="1"/>
  <c r="E3577" i="1" s="1"/>
  <c r="E3578" i="1" a="1"/>
  <c r="E3578" i="1" s="1"/>
  <c r="E3579" i="1" a="1"/>
  <c r="E3579" i="1" s="1"/>
  <c r="E3580" i="1" a="1"/>
  <c r="E3580" i="1" s="1"/>
  <c r="E3582" i="1" a="1"/>
  <c r="E3582" i="1" s="1"/>
  <c r="E3583" i="1" a="1"/>
  <c r="E3583" i="1"/>
  <c r="E3584" i="1" a="1"/>
  <c r="E3584" i="1" s="1"/>
  <c r="E3585" i="1" a="1"/>
  <c r="E3585" i="1"/>
  <c r="E3586" i="1" a="1"/>
  <c r="E3586" i="1"/>
  <c r="E3587" i="1" a="1"/>
  <c r="E3587" i="1" s="1"/>
  <c r="E3588" i="1" a="1"/>
  <c r="E3588" i="1" s="1"/>
  <c r="E3589" i="1" a="1"/>
  <c r="E3589" i="1" s="1"/>
  <c r="E3590" i="1" a="1"/>
  <c r="E3590" i="1" s="1"/>
  <c r="E3591" i="1" a="1"/>
  <c r="E3591" i="1"/>
  <c r="E3592" i="1" a="1"/>
  <c r="E3592" i="1"/>
  <c r="E3595" i="1" a="1"/>
  <c r="E3595" i="1" s="1"/>
  <c r="E3596" i="1" a="1"/>
  <c r="E3596" i="1" s="1"/>
  <c r="E3597" i="1" a="1"/>
  <c r="E3597" i="1" s="1"/>
  <c r="E3598" i="1" a="1"/>
  <c r="E3598" i="1"/>
  <c r="E3599" i="1" a="1"/>
  <c r="E3599" i="1" s="1"/>
  <c r="E3600" i="1" a="1"/>
  <c r="E3600" i="1" s="1"/>
  <c r="E3601" i="1" a="1"/>
  <c r="E3601" i="1"/>
  <c r="E3603" i="1" a="1"/>
  <c r="E3603" i="1"/>
  <c r="E3604" i="1" a="1"/>
  <c r="E3604" i="1"/>
  <c r="E3605" i="1" a="1"/>
  <c r="E3605" i="1"/>
  <c r="E3606" i="1" a="1"/>
  <c r="E3606" i="1" s="1"/>
  <c r="E3607" i="1" a="1"/>
  <c r="E3607" i="1" s="1"/>
  <c r="E3608" i="1" a="1"/>
  <c r="E3608" i="1" s="1"/>
  <c r="E3609" i="1" a="1"/>
  <c r="E3609" i="1" s="1"/>
  <c r="E3610" i="1" a="1"/>
  <c r="E3610" i="1"/>
  <c r="E3611" i="1" a="1"/>
  <c r="E3611" i="1" s="1"/>
  <c r="E3612" i="1" a="1"/>
  <c r="E3612" i="1"/>
  <c r="E3613" i="1" a="1"/>
  <c r="E3613" i="1"/>
  <c r="E3614" i="1" a="1"/>
  <c r="E3614" i="1"/>
  <c r="E3615" i="1" a="1"/>
  <c r="E3615" i="1" s="1"/>
  <c r="E3618" i="1" a="1"/>
  <c r="E3618" i="1" s="1"/>
  <c r="E3619" i="1" a="1"/>
  <c r="E3619" i="1" s="1"/>
  <c r="E3620" i="1" a="1"/>
  <c r="E3620" i="1"/>
  <c r="E3621" i="1" a="1"/>
  <c r="E3621" i="1" s="1"/>
  <c r="E3622" i="1" a="1"/>
  <c r="E3622" i="1" s="1"/>
  <c r="E3623" i="1" a="1"/>
  <c r="E3623" i="1"/>
  <c r="E3624" i="1" a="1"/>
  <c r="E3624" i="1" s="1"/>
  <c r="E3625" i="1" a="1"/>
  <c r="E3625" i="1"/>
  <c r="E3626" i="1" a="1"/>
  <c r="E3626" i="1" s="1"/>
  <c r="E3627" i="1" a="1"/>
  <c r="E3627" i="1" s="1"/>
  <c r="E3628" i="1" a="1"/>
  <c r="E3628" i="1"/>
  <c r="E3629" i="1" a="1"/>
  <c r="E3629" i="1" s="1"/>
  <c r="E3630" i="1" a="1"/>
  <c r="E3630" i="1" s="1"/>
  <c r="E3631" i="1" a="1"/>
  <c r="E3631" i="1" s="1"/>
  <c r="E3632" i="1" a="1"/>
  <c r="E3632" i="1"/>
  <c r="E3633" i="1" a="1"/>
  <c r="E3633" i="1" s="1"/>
  <c r="E3634" i="1" a="1"/>
  <c r="E3634" i="1" s="1"/>
  <c r="E3635" i="1" a="1"/>
  <c r="E3635" i="1" s="1"/>
  <c r="E3636" i="1" a="1"/>
  <c r="E3636" i="1"/>
  <c r="E3637" i="1" a="1"/>
  <c r="E3637" i="1"/>
  <c r="E3639" i="1" a="1"/>
  <c r="E3639" i="1" s="1"/>
  <c r="E3640" i="1" a="1"/>
  <c r="E3640" i="1" s="1"/>
  <c r="E3641" i="1" a="1"/>
  <c r="E3641" i="1" s="1"/>
  <c r="E3642" i="1" a="1"/>
  <c r="E3642" i="1"/>
  <c r="E3643" i="1" a="1"/>
  <c r="E3643" i="1" s="1"/>
  <c r="E3644" i="1" a="1"/>
  <c r="E3644" i="1" s="1"/>
  <c r="E3645" i="1" a="1"/>
  <c r="E3645" i="1"/>
  <c r="E3646" i="1" a="1"/>
  <c r="E3646" i="1" s="1"/>
  <c r="E3647" i="1" a="1"/>
  <c r="E3647" i="1"/>
  <c r="E3648" i="1" a="1"/>
  <c r="E3648" i="1"/>
  <c r="E3649" i="1" a="1"/>
  <c r="E3649" i="1" s="1"/>
  <c r="E3650" i="1" a="1"/>
  <c r="E3650" i="1" s="1"/>
  <c r="E3651" i="1" a="1"/>
  <c r="E3651" i="1" s="1"/>
  <c r="E3652" i="1" a="1"/>
  <c r="E3652" i="1" s="1"/>
  <c r="E3653" i="1" a="1"/>
  <c r="E3653" i="1"/>
  <c r="E3654" i="1" a="1"/>
  <c r="E3654" i="1"/>
  <c r="E3655" i="1" a="1"/>
  <c r="E3655" i="1" s="1"/>
  <c r="E3656" i="1" a="1"/>
  <c r="E3656" i="1" s="1"/>
  <c r="E3657" i="1" a="1"/>
  <c r="E3657" i="1"/>
  <c r="E3658" i="1" a="1"/>
  <c r="E3658" i="1" s="1"/>
  <c r="E3659" i="1" a="1"/>
  <c r="E3659" i="1" s="1"/>
  <c r="E3660" i="1" a="1"/>
  <c r="E3660" i="1" s="1"/>
  <c r="E3661" i="1" a="1"/>
  <c r="E3661" i="1"/>
  <c r="E3662" i="1" a="1"/>
  <c r="E3662" i="1" s="1"/>
  <c r="E3663" i="1" a="1"/>
  <c r="E3663" i="1" s="1"/>
  <c r="E3664" i="1" a="1"/>
  <c r="E3664" i="1"/>
  <c r="E3665" i="1" a="1"/>
  <c r="E3665" i="1"/>
  <c r="E3666" i="1" a="1"/>
  <c r="E3666" i="1"/>
  <c r="E3667" i="1" a="1"/>
  <c r="E3667" i="1" s="1"/>
  <c r="E3668" i="1" a="1"/>
  <c r="E3668" i="1" s="1"/>
  <c r="E3669" i="1" a="1"/>
  <c r="E3669" i="1"/>
  <c r="E3671" i="1" a="1"/>
  <c r="E3671" i="1"/>
  <c r="E3672" i="1" a="1"/>
  <c r="E3672" i="1" s="1"/>
  <c r="E3673" i="1" a="1"/>
  <c r="E3673" i="1" s="1"/>
  <c r="E3676" i="1" a="1"/>
  <c r="E3676" i="1"/>
  <c r="E3677" i="1" a="1"/>
  <c r="E3677" i="1"/>
  <c r="E3678" i="1" a="1"/>
  <c r="E3678" i="1" s="1"/>
  <c r="E3679" i="1" a="1"/>
  <c r="E3679" i="1" s="1"/>
  <c r="E3680" i="1" a="1"/>
  <c r="E3680" i="1"/>
  <c r="E3681" i="1" a="1"/>
  <c r="E3681" i="1" s="1"/>
  <c r="E3682" i="1" a="1"/>
  <c r="E3682" i="1"/>
  <c r="E3683" i="1" a="1"/>
  <c r="E3683" i="1"/>
  <c r="E3684" i="1" a="1"/>
  <c r="E3684" i="1" s="1"/>
  <c r="E3685" i="1" a="1"/>
  <c r="E3685" i="1" s="1"/>
  <c r="E3686" i="1" a="1"/>
  <c r="E3686" i="1" s="1"/>
  <c r="E3687" i="1" a="1"/>
  <c r="E3687" i="1" s="1"/>
  <c r="E3688" i="1" a="1"/>
  <c r="E3688" i="1"/>
  <c r="E3689" i="1" a="1"/>
  <c r="E3689" i="1" s="1"/>
  <c r="E3690" i="1" a="1"/>
  <c r="E3690" i="1" s="1"/>
  <c r="E3691" i="1" a="1"/>
  <c r="E3691" i="1"/>
  <c r="E3692" i="1" a="1"/>
  <c r="E3692" i="1" s="1"/>
  <c r="E3693" i="1" a="1"/>
  <c r="E3693" i="1"/>
  <c r="E3694" i="1" a="1"/>
  <c r="E3694" i="1" s="1"/>
  <c r="E3695" i="1" a="1"/>
  <c r="E3695" i="1" s="1"/>
  <c r="E3696" i="1" a="1"/>
  <c r="E3696" i="1"/>
  <c r="E3697" i="1" a="1"/>
  <c r="E3697" i="1" s="1"/>
  <c r="E3698" i="1" a="1"/>
  <c r="E3698" i="1" s="1"/>
  <c r="E3699" i="1" a="1"/>
  <c r="E3699" i="1" s="1"/>
  <c r="E3700" i="1" a="1"/>
  <c r="E3700" i="1"/>
  <c r="E3701" i="1" a="1"/>
  <c r="E3701" i="1"/>
  <c r="E3702" i="1" a="1"/>
  <c r="E3702" i="1" s="1"/>
  <c r="E3703" i="1" a="1"/>
  <c r="E3703" i="1" s="1"/>
  <c r="E3704" i="1" a="1"/>
  <c r="E3704" i="1"/>
  <c r="E3705" i="1" a="1"/>
  <c r="E3705" i="1" s="1"/>
  <c r="E3706" i="1" a="1"/>
  <c r="E3706" i="1" s="1"/>
  <c r="E3707" i="1" a="1"/>
  <c r="E3707" i="1" s="1"/>
  <c r="E3708" i="1" a="1"/>
  <c r="E3708" i="1" s="1"/>
  <c r="E3709" i="1" a="1"/>
  <c r="E3709" i="1"/>
  <c r="E3710" i="1" a="1"/>
  <c r="E3710" i="1" s="1"/>
  <c r="E3711" i="1" a="1"/>
  <c r="E3711" i="1" s="1"/>
  <c r="E3712" i="1" a="1"/>
  <c r="E3712" i="1"/>
  <c r="E3713" i="1" a="1"/>
  <c r="E3713" i="1"/>
  <c r="E3714" i="1" a="1"/>
  <c r="E3714" i="1" s="1"/>
  <c r="E3715" i="1" a="1"/>
  <c r="E3715" i="1" s="1"/>
  <c r="E3716" i="1" a="1"/>
  <c r="E3716" i="1" s="1"/>
  <c r="E3717" i="1" a="1"/>
  <c r="E3717" i="1" s="1"/>
  <c r="E3718" i="1" a="1"/>
  <c r="E3718" i="1" s="1"/>
  <c r="E3719" i="1" a="1"/>
  <c r="E3719" i="1" s="1"/>
  <c r="E3720" i="1" a="1"/>
  <c r="E3720" i="1"/>
  <c r="E3721" i="1" a="1"/>
  <c r="E3721" i="1"/>
  <c r="E3722" i="1" a="1"/>
  <c r="E3722" i="1"/>
  <c r="E3723" i="1" a="1"/>
  <c r="E3723" i="1"/>
  <c r="E3724" i="1" a="1"/>
  <c r="E3724" i="1"/>
  <c r="E3725" i="1" a="1"/>
  <c r="E3725" i="1" s="1"/>
  <c r="E3726" i="1" a="1"/>
  <c r="E3726" i="1" s="1"/>
  <c r="E3727" i="1" a="1"/>
  <c r="E3727" i="1" s="1"/>
  <c r="E3728" i="1" a="1"/>
  <c r="E3728" i="1"/>
  <c r="E3735" i="1" a="1"/>
  <c r="E3735" i="1"/>
  <c r="E3736" i="1" a="1"/>
  <c r="E3736" i="1"/>
  <c r="E3737" i="1" a="1"/>
  <c r="E3737" i="1"/>
  <c r="E3738" i="1" a="1"/>
  <c r="E3738" i="1" s="1"/>
  <c r="E3739" i="1" a="1"/>
  <c r="E3739" i="1"/>
  <c r="E3740" i="1" a="1"/>
  <c r="E3740" i="1" s="1"/>
  <c r="E3741" i="1" a="1"/>
  <c r="E3741" i="1" s="1"/>
  <c r="E3742" i="1" a="1"/>
  <c r="E3742" i="1"/>
  <c r="E3743" i="1" a="1"/>
  <c r="E3743" i="1"/>
  <c r="E3744" i="1" a="1"/>
  <c r="E3744" i="1"/>
  <c r="E3745" i="1" a="1"/>
  <c r="E3745" i="1"/>
  <c r="E3746" i="1" a="1"/>
  <c r="E3746" i="1"/>
  <c r="E3747" i="1" a="1"/>
  <c r="E3747" i="1" s="1"/>
  <c r="E3748" i="1" a="1"/>
  <c r="E3748" i="1" s="1"/>
  <c r="E3749" i="1" a="1"/>
  <c r="E3749" i="1" s="1"/>
  <c r="E3750" i="1" a="1"/>
  <c r="E3750" i="1"/>
  <c r="E3752" i="1" a="1"/>
  <c r="E3752" i="1" s="1"/>
  <c r="E3753" i="1" a="1"/>
  <c r="E3753" i="1"/>
  <c r="E3754" i="1" a="1"/>
  <c r="E3754" i="1" s="1"/>
  <c r="E3755" i="1" a="1"/>
  <c r="E3755" i="1" s="1"/>
  <c r="E3756" i="1" a="1"/>
  <c r="E3756" i="1"/>
  <c r="E3757" i="1" a="1"/>
  <c r="E3757" i="1" s="1"/>
  <c r="E3758" i="1" a="1"/>
  <c r="E3758" i="1" s="1"/>
  <c r="E3759" i="1" a="1"/>
  <c r="E3759" i="1"/>
  <c r="E3760" i="1" a="1"/>
  <c r="E3760" i="1" s="1"/>
  <c r="E3761" i="1" a="1"/>
  <c r="E3761" i="1" s="1"/>
  <c r="E3762" i="1" a="1"/>
  <c r="E3762" i="1"/>
  <c r="E3763" i="1" a="1"/>
  <c r="E3763" i="1" s="1"/>
  <c r="E3764" i="1" a="1"/>
  <c r="E3764" i="1"/>
  <c r="E3765" i="1" a="1"/>
  <c r="E3765" i="1" s="1"/>
  <c r="E3766" i="1" a="1"/>
  <c r="E3766" i="1" s="1"/>
  <c r="E3767" i="1" a="1"/>
  <c r="E3767" i="1"/>
  <c r="E3768" i="1" a="1"/>
  <c r="E3768" i="1"/>
  <c r="E3769" i="1" a="1"/>
  <c r="E3769" i="1" s="1"/>
  <c r="E3770" i="1" a="1"/>
  <c r="E3770" i="1" s="1"/>
  <c r="E3771" i="1" a="1"/>
  <c r="E3771" i="1"/>
  <c r="E3772" i="1" a="1"/>
  <c r="E3772" i="1" s="1"/>
  <c r="E3773" i="1" a="1"/>
  <c r="E3773" i="1" s="1"/>
  <c r="E3774" i="1" a="1"/>
  <c r="E3774" i="1" s="1"/>
  <c r="E3775" i="1" a="1"/>
  <c r="E3775" i="1"/>
  <c r="E3776" i="1" a="1"/>
  <c r="E3776" i="1" s="1"/>
  <c r="E3777" i="1" a="1"/>
  <c r="E3777" i="1"/>
  <c r="E3778" i="1" a="1"/>
  <c r="E3778" i="1" s="1"/>
  <c r="E3779" i="1" a="1"/>
  <c r="E3779" i="1" s="1"/>
  <c r="E3782" i="1" a="1"/>
  <c r="E3782" i="1"/>
  <c r="E3783" i="1" a="1"/>
  <c r="E3783" i="1" s="1"/>
  <c r="E3784" i="1" a="1"/>
  <c r="E3784" i="1" s="1"/>
  <c r="E3785" i="1" a="1"/>
  <c r="E3785" i="1" s="1"/>
  <c r="E3786" i="1" a="1"/>
  <c r="E3786" i="1" s="1"/>
  <c r="E3787" i="1" a="1"/>
  <c r="E3787" i="1" s="1"/>
  <c r="E3788" i="1" a="1"/>
  <c r="E3788" i="1" s="1"/>
  <c r="E3789" i="1" a="1"/>
  <c r="E3789" i="1" s="1"/>
  <c r="E3790" i="1" a="1"/>
  <c r="E3790" i="1" s="1"/>
  <c r="E3791" i="1" a="1"/>
  <c r="E3791" i="1" s="1"/>
  <c r="E3792" i="1" a="1"/>
  <c r="E3792" i="1" s="1"/>
  <c r="E3793" i="1" a="1"/>
  <c r="E3793" i="1"/>
  <c r="E3794" i="1" a="1"/>
  <c r="E3794" i="1" s="1"/>
  <c r="E3795" i="1" a="1"/>
  <c r="E3795" i="1"/>
  <c r="E3796" i="1" a="1"/>
  <c r="E3796" i="1" s="1"/>
  <c r="E3797" i="1" a="1"/>
  <c r="E3797" i="1" s="1"/>
  <c r="E3798" i="1" a="1"/>
  <c r="E3798" i="1" s="1"/>
  <c r="E3799" i="1" a="1"/>
  <c r="E3799" i="1" s="1"/>
  <c r="E3800" i="1" a="1"/>
  <c r="E3800" i="1" s="1"/>
  <c r="E3801" i="1" a="1"/>
  <c r="E3801" i="1"/>
  <c r="E3802" i="1" a="1"/>
  <c r="E3802" i="1" s="1"/>
  <c r="E3803" i="1" a="1"/>
  <c r="E3803" i="1" s="1"/>
  <c r="E3804" i="1" a="1"/>
  <c r="E3804" i="1" s="1"/>
  <c r="E3805" i="1" a="1"/>
  <c r="E3805" i="1"/>
  <c r="E3806" i="1" a="1"/>
  <c r="E3806" i="1" s="1"/>
  <c r="E3807" i="1" a="1"/>
  <c r="E3807" i="1" s="1"/>
  <c r="E3808" i="1" a="1"/>
  <c r="E3808" i="1" s="1"/>
  <c r="E3809" i="1" a="1"/>
  <c r="E3809" i="1" s="1"/>
  <c r="E3810" i="1" a="1"/>
  <c r="E3810" i="1"/>
  <c r="E3811" i="1" a="1"/>
  <c r="E3811" i="1"/>
  <c r="E3812" i="1" a="1"/>
  <c r="E3812" i="1"/>
  <c r="E3813" i="1" a="1"/>
  <c r="E3813" i="1" s="1"/>
  <c r="E3814" i="1" a="1"/>
  <c r="E3814" i="1" s="1"/>
  <c r="E3815" i="1" a="1"/>
  <c r="E3815" i="1" s="1"/>
  <c r="E3816" i="1" a="1"/>
  <c r="E3816" i="1" s="1"/>
  <c r="E3817" i="1" a="1"/>
  <c r="E3817" i="1" s="1"/>
  <c r="E3818" i="1" a="1"/>
  <c r="E3818" i="1" s="1"/>
  <c r="E3819" i="1" a="1"/>
  <c r="E3819" i="1"/>
  <c r="E3820" i="1" a="1"/>
  <c r="E3820" i="1"/>
  <c r="E3821" i="1" a="1"/>
  <c r="E3821" i="1"/>
  <c r="E3822" i="1" a="1"/>
  <c r="E3822" i="1" s="1"/>
  <c r="E3823" i="1" a="1"/>
  <c r="E3823" i="1" s="1"/>
  <c r="E3824" i="1" a="1"/>
  <c r="E3824" i="1" s="1"/>
  <c r="E3825" i="1" a="1"/>
  <c r="E3825" i="1" s="1"/>
  <c r="E3826" i="1" a="1"/>
  <c r="E3826" i="1" s="1"/>
  <c r="E3827" i="1" a="1"/>
  <c r="E3827" i="1" s="1"/>
  <c r="E3828" i="1" a="1"/>
  <c r="E3828" i="1"/>
  <c r="E3829" i="1" a="1"/>
  <c r="E3829" i="1" s="1"/>
  <c r="E3830" i="1" a="1"/>
  <c r="E3830" i="1"/>
  <c r="E3831" i="1" a="1"/>
  <c r="E3831" i="1" s="1"/>
  <c r="E3832" i="1" a="1"/>
  <c r="E3832" i="1" s="1"/>
  <c r="E3833" i="1" a="1"/>
  <c r="E3833" i="1" s="1"/>
  <c r="E3834" i="1" a="1"/>
  <c r="E3834" i="1" s="1"/>
  <c r="E3835" i="1" a="1"/>
  <c r="E3835" i="1" s="1"/>
  <c r="E3836" i="1" a="1"/>
  <c r="E3836" i="1" s="1"/>
  <c r="E3837" i="1" a="1"/>
  <c r="E3837" i="1"/>
  <c r="E3838" i="1" a="1"/>
  <c r="E3838" i="1" s="1"/>
  <c r="E3839" i="1" a="1"/>
  <c r="E3839" i="1" s="1"/>
  <c r="E3840" i="1" a="1"/>
  <c r="E3840" i="1" s="1"/>
  <c r="E3841" i="1" a="1"/>
  <c r="E3841" i="1"/>
  <c r="E3842" i="1" a="1"/>
  <c r="E3842" i="1"/>
  <c r="E3843" i="1" a="1"/>
  <c r="E3843" i="1" s="1"/>
  <c r="E3844" i="1" a="1"/>
  <c r="E3844" i="1" s="1"/>
  <c r="E3845" i="1" a="1"/>
  <c r="E3845" i="1" s="1"/>
  <c r="E3846" i="1" a="1"/>
  <c r="E3846" i="1"/>
  <c r="E3847" i="1" a="1"/>
  <c r="E3847" i="1" s="1"/>
  <c r="E3848" i="1" a="1"/>
  <c r="E3848" i="1" s="1"/>
  <c r="E3849" i="1" a="1"/>
  <c r="E3849" i="1" s="1"/>
  <c r="E3850" i="1" a="1"/>
  <c r="E3850" i="1" s="1"/>
  <c r="E3851" i="1" a="1"/>
  <c r="E3851" i="1"/>
  <c r="E3852" i="1" a="1"/>
  <c r="E3852" i="1"/>
  <c r="E3853" i="1" a="1"/>
  <c r="E3853" i="1" s="1"/>
  <c r="E3854" i="1" a="1"/>
  <c r="E3854" i="1" s="1"/>
  <c r="E3855" i="1" a="1"/>
  <c r="E3855" i="1" s="1"/>
  <c r="E3857" i="1" a="1"/>
  <c r="E3857" i="1" s="1"/>
  <c r="E3858" i="1" a="1"/>
  <c r="E3858" i="1"/>
  <c r="E3863" i="1" a="1"/>
  <c r="E3863" i="1" s="1"/>
  <c r="E3864" i="1" a="1"/>
  <c r="E3864" i="1" s="1"/>
  <c r="E3865" i="1" a="1"/>
  <c r="E3865" i="1" s="1"/>
  <c r="E3867" i="1" a="1"/>
  <c r="E3867" i="1"/>
  <c r="E3870" i="1" a="1"/>
  <c r="E3870" i="1" s="1"/>
  <c r="E3872" i="1" a="1"/>
  <c r="E3872" i="1" s="1"/>
  <c r="E3873" i="1" a="1"/>
  <c r="E3873" i="1" s="1"/>
  <c r="E3874" i="1" a="1"/>
  <c r="E3874" i="1"/>
  <c r="E3876" i="1" a="1"/>
  <c r="E3876" i="1"/>
  <c r="E3877" i="1" a="1"/>
  <c r="E3877" i="1" s="1"/>
  <c r="E3878" i="1" a="1"/>
  <c r="E3878" i="1"/>
  <c r="E3879" i="1" a="1"/>
  <c r="E3879" i="1" s="1"/>
  <c r="E3880" i="1" a="1"/>
  <c r="E3880" i="1"/>
  <c r="E3881" i="1" a="1"/>
  <c r="E3881" i="1" s="1"/>
  <c r="E3882" i="1" a="1"/>
  <c r="E3882" i="1" s="1"/>
  <c r="E3883" i="1" a="1"/>
  <c r="E3883" i="1" s="1"/>
  <c r="E3884" i="1" a="1"/>
  <c r="E3884" i="1"/>
  <c r="E3887" i="1" a="1"/>
  <c r="E3887" i="1"/>
  <c r="E3888" i="1" a="1"/>
  <c r="E3888" i="1"/>
  <c r="E3890" i="1" a="1"/>
  <c r="E3890" i="1" s="1"/>
  <c r="E3892" i="1" a="1"/>
  <c r="E3892" i="1"/>
  <c r="E3893" i="1" a="1"/>
  <c r="E3893" i="1" s="1"/>
  <c r="E3894" i="1" a="1"/>
  <c r="E3894" i="1" s="1"/>
  <c r="E3897" i="1" a="1"/>
  <c r="E3897" i="1" s="1"/>
  <c r="E3898" i="1" a="1"/>
  <c r="E3898" i="1" s="1"/>
  <c r="E3899" i="1" a="1"/>
  <c r="E3899" i="1"/>
  <c r="E3900" i="1" a="1"/>
  <c r="E3900" i="1"/>
  <c r="E3901" i="1" a="1"/>
  <c r="E3901" i="1"/>
  <c r="E3902" i="1" a="1"/>
  <c r="E3902" i="1"/>
  <c r="E3903" i="1" a="1"/>
  <c r="E3903" i="1" s="1"/>
  <c r="E3904" i="1" a="1"/>
  <c r="E3904" i="1" s="1"/>
  <c r="E3905" i="1" a="1"/>
  <c r="E3905" i="1"/>
  <c r="E3906" i="1" a="1"/>
  <c r="E3906" i="1" s="1"/>
  <c r="E3907" i="1" a="1"/>
  <c r="E3907" i="1" s="1"/>
  <c r="E3908" i="1" a="1"/>
  <c r="E3908" i="1"/>
  <c r="E3909" i="1" a="1"/>
  <c r="E3909" i="1"/>
  <c r="E3910" i="1" a="1"/>
  <c r="E3910" i="1"/>
  <c r="E3911" i="1" a="1"/>
  <c r="E3911" i="1" s="1"/>
  <c r="E3912" i="1" a="1"/>
  <c r="E3912" i="1" s="1"/>
  <c r="E3913" i="1" a="1"/>
  <c r="E3913" i="1"/>
  <c r="E3914" i="1" a="1"/>
  <c r="E3914" i="1" s="1"/>
  <c r="E3915" i="1" a="1"/>
  <c r="E3915" i="1" s="1"/>
  <c r="E3916" i="1" a="1"/>
  <c r="E3916" i="1" s="1"/>
  <c r="E3917" i="1" a="1"/>
  <c r="E3917" i="1"/>
  <c r="E3918" i="1" a="1"/>
  <c r="E3918" i="1"/>
  <c r="E3919" i="1" a="1"/>
  <c r="E3919" i="1" s="1"/>
  <c r="E3921" i="1" a="1"/>
  <c r="E3921" i="1" s="1"/>
  <c r="E3922" i="1" a="1"/>
  <c r="E3922" i="1"/>
  <c r="E3923" i="1" a="1"/>
  <c r="E3923" i="1"/>
  <c r="E3924" i="1" a="1"/>
  <c r="E3924" i="1"/>
  <c r="E3925" i="1" a="1"/>
  <c r="E3925" i="1" s="1"/>
  <c r="E3926" i="1" a="1"/>
  <c r="E3926" i="1" s="1"/>
  <c r="E3927" i="1" a="1"/>
  <c r="E3927" i="1"/>
  <c r="E3928" i="1" a="1"/>
  <c r="E3928" i="1" s="1"/>
  <c r="E3929" i="1" a="1"/>
  <c r="E3929" i="1" s="1"/>
  <c r="E3930" i="1" a="1"/>
  <c r="E3930" i="1"/>
  <c r="E3931" i="1" a="1"/>
  <c r="E3931" i="1"/>
  <c r="E3932" i="1" a="1"/>
  <c r="E3932" i="1"/>
  <c r="E3933" i="1" a="1"/>
  <c r="E3933" i="1"/>
  <c r="E3934" i="1" a="1"/>
  <c r="E3934" i="1" s="1"/>
  <c r="E3935" i="1" a="1"/>
  <c r="E3935" i="1" s="1"/>
  <c r="E3936" i="1" a="1"/>
  <c r="E3936" i="1" s="1"/>
  <c r="E3937" i="1" a="1"/>
  <c r="E3937" i="1" s="1"/>
  <c r="E3938" i="1" a="1"/>
  <c r="E3938" i="1"/>
  <c r="E3940" i="1" a="1"/>
  <c r="E3940" i="1" s="1"/>
  <c r="E3941" i="1" a="1"/>
  <c r="E3941" i="1"/>
  <c r="E3942" i="1" a="1"/>
  <c r="E3942" i="1"/>
  <c r="E3943" i="1" a="1"/>
  <c r="E3943" i="1"/>
  <c r="E3944" i="1" a="1"/>
  <c r="E3944" i="1" s="1"/>
  <c r="E3945" i="1" a="1"/>
  <c r="E3945" i="1" s="1"/>
  <c r="E3948" i="1" a="1"/>
  <c r="E3948" i="1" s="1"/>
  <c r="E3950" i="1" a="1"/>
  <c r="E3950" i="1"/>
  <c r="E3951" i="1" a="1"/>
  <c r="E3951" i="1" s="1"/>
  <c r="E3952" i="1" a="1"/>
  <c r="E3952" i="1"/>
  <c r="E3953" i="1" a="1"/>
  <c r="E3953" i="1"/>
  <c r="E3954" i="1" a="1"/>
  <c r="E3954" i="1"/>
  <c r="E3955" i="1" a="1"/>
  <c r="E3955" i="1"/>
  <c r="E3956" i="1" a="1"/>
  <c r="E3956" i="1" s="1"/>
  <c r="E3957" i="1" a="1"/>
  <c r="E3957" i="1" s="1"/>
  <c r="E3959" i="1" a="1"/>
  <c r="E3959" i="1" s="1"/>
  <c r="E3960" i="1" a="1"/>
  <c r="E3960" i="1"/>
  <c r="E3961" i="1" a="1"/>
  <c r="E3961" i="1"/>
  <c r="E3962" i="1" a="1"/>
  <c r="E3962" i="1" s="1"/>
  <c r="E3963" i="1" a="1"/>
  <c r="E3963" i="1" s="1"/>
  <c r="E3964" i="1" a="1"/>
  <c r="E3964" i="1"/>
  <c r="E3966" i="1" a="1"/>
  <c r="E3966" i="1" s="1"/>
  <c r="E3967" i="1" a="1"/>
  <c r="E3967" i="1" s="1"/>
  <c r="E3968" i="1" a="1"/>
  <c r="E3968" i="1" s="1"/>
  <c r="E3969" i="1" a="1"/>
  <c r="E3969" i="1" s="1"/>
  <c r="E3970" i="1" a="1"/>
  <c r="E3970" i="1"/>
  <c r="E3971" i="1" a="1"/>
  <c r="E3971" i="1"/>
  <c r="E3972" i="1" a="1"/>
  <c r="E3972" i="1"/>
  <c r="E3973" i="1" a="1"/>
  <c r="E3973" i="1" s="1"/>
  <c r="E3974" i="1" a="1"/>
  <c r="E3974" i="1" s="1"/>
  <c r="E3975" i="1" a="1"/>
  <c r="E3975" i="1" s="1"/>
  <c r="E3976" i="1" a="1"/>
  <c r="E3976" i="1"/>
  <c r="E3977" i="1" a="1"/>
  <c r="E3977" i="1" s="1"/>
  <c r="E3978" i="1" a="1"/>
  <c r="E3978" i="1" s="1"/>
  <c r="E3979" i="1" a="1"/>
  <c r="E3979" i="1"/>
  <c r="E3980" i="1" a="1"/>
  <c r="E3980" i="1"/>
  <c r="E3981" i="1" a="1"/>
  <c r="E3981" i="1"/>
  <c r="E3982" i="1" a="1"/>
  <c r="E3982" i="1" s="1"/>
  <c r="E3983" i="1" a="1"/>
  <c r="E3983" i="1" s="1"/>
  <c r="E3984" i="1" a="1"/>
  <c r="E3984" i="1" s="1"/>
  <c r="E3985" i="1" a="1"/>
  <c r="E3985" i="1" s="1"/>
  <c r="E3986" i="1" a="1"/>
  <c r="E3986" i="1" s="1"/>
  <c r="E3987" i="1" a="1"/>
  <c r="E3987" i="1" s="1"/>
  <c r="E3988" i="1" a="1"/>
  <c r="E3988" i="1"/>
  <c r="E3989" i="1" a="1"/>
  <c r="E3989" i="1"/>
  <c r="E3990" i="1" a="1"/>
  <c r="E3990" i="1" s="1"/>
  <c r="E3991" i="1" a="1"/>
  <c r="E3991" i="1" s="1"/>
  <c r="E3992" i="1" a="1"/>
  <c r="E3992" i="1"/>
  <c r="E3993" i="1" a="1"/>
  <c r="E3993" i="1"/>
  <c r="E3994" i="1" a="1"/>
  <c r="E3994" i="1"/>
  <c r="E3995" i="1" a="1"/>
  <c r="E3995" i="1" s="1"/>
  <c r="E3998" i="1" a="1"/>
  <c r="E3998" i="1" s="1"/>
  <c r="E3999" i="1" a="1"/>
  <c r="E3999" i="1"/>
  <c r="E4000" i="1" a="1"/>
  <c r="E4000" i="1" s="1"/>
  <c r="E4001" i="1" a="1"/>
  <c r="E4001" i="1" s="1"/>
  <c r="E4002" i="1" a="1"/>
  <c r="E4002" i="1"/>
  <c r="E4003" i="1" a="1"/>
  <c r="E4003" i="1"/>
  <c r="E4004" i="1" a="1"/>
  <c r="E4004" i="1"/>
  <c r="E4005" i="1" a="1"/>
  <c r="E4005" i="1"/>
  <c r="E4006" i="1" a="1"/>
  <c r="E4006" i="1" s="1"/>
  <c r="E4007" i="1" a="1"/>
  <c r="E4007" i="1" s="1"/>
  <c r="E4008" i="1" a="1"/>
  <c r="E4008" i="1" s="1"/>
  <c r="E4009" i="1" a="1"/>
  <c r="E4009" i="1" s="1"/>
  <c r="E4010" i="1" a="1"/>
  <c r="E4010" i="1"/>
  <c r="E4011" i="1" a="1"/>
  <c r="E4011" i="1"/>
  <c r="E4012" i="1" a="1"/>
  <c r="E4012" i="1"/>
  <c r="E4013" i="1" a="1"/>
  <c r="E4013" i="1"/>
  <c r="E4014" i="1" a="1"/>
  <c r="E4014" i="1"/>
  <c r="E4015" i="1" a="1"/>
  <c r="E4015" i="1" s="1"/>
  <c r="E4016" i="1" a="1"/>
  <c r="E4016" i="1" s="1"/>
  <c r="E4017" i="1" a="1"/>
  <c r="E4017" i="1" s="1"/>
  <c r="E4018" i="1" a="1"/>
  <c r="E4018" i="1"/>
  <c r="E4020" i="1" a="1"/>
  <c r="E4020" i="1"/>
  <c r="E4022" i="1" a="1"/>
  <c r="E4022" i="1"/>
  <c r="E4023" i="1" a="1"/>
  <c r="E4023" i="1" s="1"/>
  <c r="E4024" i="1" a="1"/>
  <c r="E4024" i="1"/>
  <c r="E4025" i="1" a="1"/>
  <c r="E4025" i="1"/>
  <c r="E4026" i="1" a="1"/>
  <c r="E4026" i="1" s="1"/>
  <c r="E4027" i="1" a="1"/>
  <c r="E4027" i="1" s="1"/>
  <c r="E4028" i="1" a="1"/>
  <c r="E4028" i="1" s="1"/>
  <c r="E4029" i="1" a="1"/>
  <c r="E4029" i="1"/>
  <c r="E4030" i="1" a="1"/>
  <c r="E4030" i="1" s="1"/>
  <c r="E4031" i="1" a="1"/>
  <c r="E4031" i="1"/>
  <c r="E4032" i="1" a="1"/>
  <c r="E4032" i="1"/>
  <c r="E4033" i="1" a="1"/>
  <c r="E4033" i="1" s="1"/>
  <c r="E4034" i="1" a="1"/>
  <c r="E4034" i="1" s="1"/>
  <c r="E4035" i="1" a="1"/>
  <c r="E4035" i="1" s="1"/>
  <c r="E4036" i="1" a="1"/>
  <c r="E4036" i="1" s="1"/>
  <c r="E4037" i="1" a="1"/>
  <c r="E4037" i="1" s="1"/>
  <c r="E4038" i="1" a="1"/>
  <c r="E4038" i="1"/>
  <c r="E4039" i="1" a="1"/>
  <c r="E4039" i="1"/>
  <c r="E4040" i="1" a="1"/>
  <c r="E4040" i="1" s="1"/>
  <c r="E4041" i="1" a="1"/>
  <c r="E4041" i="1"/>
  <c r="E4042" i="1" a="1"/>
  <c r="E4042" i="1" s="1"/>
  <c r="E4043" i="1" a="1"/>
  <c r="E4043" i="1" s="1"/>
  <c r="E4044" i="1" a="1"/>
  <c r="E4044" i="1"/>
  <c r="E4045" i="1" a="1"/>
  <c r="E4045" i="1" s="1"/>
  <c r="E4046" i="1" a="1"/>
  <c r="E4046" i="1" s="1"/>
  <c r="E4047" i="1" a="1"/>
  <c r="E4047" i="1"/>
  <c r="E4048" i="1" a="1"/>
  <c r="E4048" i="1"/>
  <c r="E4049" i="1" a="1"/>
  <c r="E4049" i="1"/>
  <c r="E4050" i="1" a="1"/>
  <c r="E4050" i="1" s="1"/>
  <c r="E4051" i="1" a="1"/>
  <c r="E4051" i="1" s="1"/>
  <c r="E4052" i="1" a="1"/>
  <c r="E4052" i="1"/>
  <c r="E4053" i="1" a="1"/>
  <c r="E4053" i="1"/>
  <c r="E4054" i="1" a="1"/>
  <c r="E4054" i="1" s="1"/>
  <c r="E4055" i="1" a="1"/>
  <c r="E4055" i="1" s="1"/>
  <c r="E4056" i="1" a="1"/>
  <c r="E4056" i="1"/>
  <c r="E4057" i="1" a="1"/>
  <c r="E4057" i="1"/>
  <c r="E4058" i="1" a="1"/>
  <c r="E4058" i="1" s="1"/>
  <c r="E4059" i="1" a="1"/>
  <c r="E4059" i="1" s="1"/>
  <c r="E4061" i="1" a="1"/>
  <c r="E4061" i="1"/>
  <c r="E4062" i="1" a="1"/>
  <c r="E4062" i="1" s="1"/>
  <c r="E4063" i="1" a="1"/>
  <c r="E4063" i="1"/>
  <c r="E4064" i="1" a="1"/>
  <c r="E4064" i="1" s="1"/>
  <c r="E4065" i="1" a="1"/>
  <c r="E4065" i="1" s="1"/>
  <c r="E4066" i="1" a="1"/>
  <c r="E4066" i="1"/>
  <c r="E4067" i="1" a="1"/>
  <c r="E4067" i="1" s="1"/>
  <c r="E4068" i="1" a="1"/>
  <c r="E4068" i="1" s="1"/>
  <c r="E4069" i="1" a="1"/>
  <c r="E4069" i="1" s="1"/>
  <c r="E4070" i="1" a="1"/>
  <c r="E4070" i="1" s="1"/>
  <c r="E4071" i="1" a="1"/>
  <c r="E4071" i="1"/>
  <c r="E4072" i="1" a="1"/>
  <c r="E4072" i="1" s="1"/>
  <c r="E4073" i="1" a="1"/>
  <c r="E4073" i="1" s="1"/>
  <c r="E4074" i="1" a="1"/>
  <c r="E4074" i="1" s="1"/>
  <c r="E4075" i="1" a="1"/>
  <c r="E4075" i="1" s="1"/>
  <c r="E4076" i="1" a="1"/>
  <c r="E4076" i="1" s="1"/>
  <c r="E4077" i="1" a="1"/>
  <c r="E4077" i="1" s="1"/>
  <c r="E4078" i="1" a="1"/>
  <c r="E4078" i="1" s="1"/>
  <c r="E4079" i="1" a="1"/>
  <c r="E4079" i="1"/>
  <c r="E4080" i="1" a="1"/>
  <c r="E4080" i="1"/>
  <c r="E4081" i="1" a="1"/>
  <c r="E4081" i="1"/>
  <c r="E4082" i="1" a="1"/>
  <c r="E4082" i="1" s="1"/>
  <c r="E4083" i="1" a="1"/>
  <c r="E4083" i="1" s="1"/>
  <c r="E4085" i="1" a="1"/>
  <c r="E4085" i="1" s="1"/>
  <c r="E4086" i="1" a="1"/>
  <c r="E4086" i="1"/>
  <c r="E4088" i="1" a="1"/>
  <c r="E4088" i="1"/>
  <c r="E4089" i="1" a="1"/>
  <c r="E4089" i="1" s="1"/>
  <c r="E4090" i="1" a="1"/>
  <c r="E4090" i="1" s="1"/>
  <c r="E4091" i="1" a="1"/>
  <c r="E4091" i="1" s="1"/>
  <c r="E4092" i="1" a="1"/>
  <c r="E4092" i="1"/>
  <c r="E4093" i="1" a="1"/>
  <c r="E4093" i="1" s="1"/>
  <c r="E4094" i="1" a="1"/>
  <c r="E4094" i="1" s="1"/>
  <c r="E4095" i="1" a="1"/>
  <c r="E4095" i="1" s="1"/>
  <c r="E4096" i="1" a="1"/>
  <c r="E4096" i="1"/>
  <c r="E4097" i="1" a="1"/>
  <c r="E4097" i="1"/>
  <c r="E4100" i="1" a="1"/>
  <c r="E4100" i="1" s="1"/>
  <c r="E4101" i="1" a="1"/>
  <c r="E4101" i="1" s="1"/>
  <c r="E4102" i="1" a="1"/>
  <c r="E4102" i="1"/>
  <c r="E4103" i="1" a="1"/>
  <c r="E4103" i="1" s="1"/>
  <c r="E4104" i="1" a="1"/>
  <c r="E4104" i="1" s="1"/>
  <c r="E4105" i="1" a="1"/>
  <c r="E4105" i="1" s="1"/>
  <c r="E4106" i="1" a="1"/>
  <c r="E4106" i="1" s="1"/>
  <c r="E4107" i="1" a="1"/>
  <c r="E4107" i="1"/>
  <c r="E4108" i="1" a="1"/>
  <c r="E4108" i="1"/>
  <c r="E4110" i="1" a="1"/>
  <c r="E4110" i="1"/>
  <c r="E4111" i="1" a="1"/>
  <c r="E4111" i="1" s="1"/>
  <c r="E4112" i="1" a="1"/>
  <c r="E4112" i="1" s="1"/>
  <c r="E4118" i="1" a="1"/>
  <c r="E4118" i="1" s="1"/>
  <c r="E4119" i="1" a="1"/>
  <c r="E4119" i="1"/>
  <c r="E4120" i="1" a="1"/>
  <c r="E4120" i="1" s="1"/>
  <c r="E4121" i="1" a="1"/>
  <c r="E4121" i="1" s="1"/>
  <c r="E4122" i="1" a="1"/>
  <c r="E4122" i="1"/>
  <c r="E4124" i="1" a="1"/>
  <c r="E4124" i="1" s="1"/>
  <c r="E4125" i="1" a="1"/>
  <c r="E4125" i="1"/>
  <c r="E4126" i="1" a="1"/>
  <c r="E4126" i="1" s="1"/>
  <c r="E4127" i="1" a="1"/>
  <c r="E4127" i="1" s="1"/>
  <c r="E4128" i="1" a="1"/>
  <c r="E4128" i="1"/>
  <c r="E4129" i="1" a="1"/>
  <c r="E4129" i="1" s="1"/>
  <c r="I4130" i="1" a="1"/>
  <c r="I4130" i="1" s="1"/>
  <c r="O4130" i="1" a="1"/>
  <c r="O4130" i="1" s="1"/>
  <c r="E4131" i="1" a="1"/>
  <c r="E4131" i="1"/>
  <c r="E4132" i="1" a="1"/>
  <c r="E4132" i="1"/>
  <c r="E4133" i="1" a="1"/>
  <c r="E4133" i="1" s="1"/>
  <c r="E4135" i="1" a="1"/>
  <c r="E4135" i="1" s="1"/>
  <c r="E4137" i="1" a="1"/>
  <c r="E4137" i="1" s="1"/>
  <c r="E4138" i="1" a="1"/>
  <c r="E4138" i="1"/>
  <c r="E4139" i="1" a="1"/>
  <c r="E4139" i="1"/>
  <c r="E4140" i="1" a="1"/>
  <c r="E4140" i="1" s="1"/>
  <c r="E4141" i="1" a="1"/>
  <c r="E4141" i="1" s="1"/>
  <c r="E4142" i="1" a="1"/>
  <c r="E4142" i="1"/>
  <c r="E4143" i="1" a="1"/>
  <c r="E4143" i="1" s="1"/>
  <c r="E4144" i="1" a="1"/>
  <c r="E4144" i="1" s="1"/>
  <c r="E4145" i="1" a="1"/>
  <c r="E4145" i="1"/>
  <c r="E4146" i="1" a="1"/>
  <c r="E4146" i="1" s="1"/>
  <c r="E4147" i="1" a="1"/>
  <c r="E4147" i="1" s="1"/>
  <c r="E4148" i="1" a="1"/>
  <c r="E4148" i="1"/>
  <c r="E4149" i="1" a="1"/>
  <c r="E4149" i="1" s="1"/>
  <c r="E4150" i="1" a="1"/>
  <c r="E4150" i="1" s="1"/>
  <c r="E4151" i="1" a="1"/>
  <c r="E4151" i="1" s="1"/>
  <c r="E4152" i="1" a="1"/>
  <c r="E4152" i="1" s="1"/>
  <c r="E4153" i="1" a="1"/>
  <c r="E4153" i="1" s="1"/>
  <c r="E4154" i="1" a="1"/>
  <c r="E4154" i="1"/>
  <c r="E4155" i="1" a="1"/>
  <c r="E4155" i="1"/>
  <c r="E4156" i="1" a="1"/>
  <c r="E4156" i="1" s="1"/>
  <c r="E4157" i="1" a="1"/>
  <c r="E4157" i="1" s="1"/>
  <c r="E4158" i="1" a="1"/>
  <c r="E4158" i="1" s="1"/>
  <c r="E4160" i="1" a="1"/>
  <c r="E4160" i="1" s="1"/>
  <c r="E4161" i="1" a="1"/>
  <c r="E4161" i="1" s="1"/>
  <c r="E4162" i="1" a="1"/>
  <c r="E4162" i="1"/>
  <c r="E4163" i="1" a="1"/>
  <c r="E4163" i="1" s="1"/>
  <c r="E4168" i="1" a="1"/>
  <c r="E4168" i="1"/>
  <c r="E4169" i="1" a="1"/>
  <c r="E4169" i="1" s="1"/>
  <c r="E4170" i="1" a="1"/>
  <c r="E4170" i="1" s="1"/>
  <c r="E4171" i="1" a="1"/>
  <c r="E4171" i="1"/>
  <c r="E4172" i="1" a="1"/>
  <c r="E4172" i="1" s="1"/>
  <c r="E4173" i="1" a="1"/>
  <c r="E4173" i="1" s="1"/>
  <c r="E4174" i="1" a="1"/>
  <c r="E4174" i="1" s="1"/>
  <c r="E4176" i="1" a="1"/>
  <c r="E4176" i="1"/>
  <c r="E4177" i="1" a="1"/>
  <c r="E4177" i="1"/>
  <c r="E4178" i="1" a="1"/>
  <c r="E4178" i="1"/>
  <c r="E4179" i="1" a="1"/>
  <c r="E4179" i="1" s="1"/>
  <c r="E4180" i="1" a="1"/>
  <c r="E4180" i="1"/>
  <c r="E4181" i="1" a="1"/>
  <c r="E4181" i="1" s="1"/>
  <c r="E4182" i="1" a="1"/>
  <c r="E4182" i="1" s="1"/>
  <c r="E4183" i="1" a="1"/>
  <c r="E4183" i="1" s="1"/>
  <c r="E4184" i="1" a="1"/>
  <c r="E4184" i="1" s="1"/>
  <c r="E4185" i="1" a="1"/>
  <c r="E4185" i="1"/>
  <c r="E4186" i="1" a="1"/>
  <c r="E4186" i="1"/>
  <c r="E4187" i="1" a="1"/>
  <c r="E4187" i="1"/>
  <c r="E4188" i="1" a="1"/>
  <c r="E4188" i="1" s="1"/>
  <c r="E4190" i="1" a="1"/>
  <c r="E4190" i="1" s="1"/>
  <c r="E4191" i="1" a="1"/>
  <c r="E4191" i="1" s="1"/>
  <c r="E4192" i="1" a="1"/>
  <c r="E4192" i="1" s="1"/>
  <c r="E4194" i="1" a="1"/>
  <c r="E4194" i="1" s="1"/>
  <c r="E4195" i="1" a="1"/>
  <c r="E4195" i="1" s="1"/>
  <c r="E4196" i="1" a="1"/>
  <c r="E4196" i="1"/>
  <c r="E4197" i="1" a="1"/>
  <c r="E4197" i="1"/>
  <c r="E4200" i="1" a="1"/>
  <c r="E4200" i="1"/>
  <c r="E4201" i="1" a="1"/>
  <c r="E4201" i="1" s="1"/>
  <c r="E4202" i="1" a="1"/>
  <c r="E4202" i="1" s="1"/>
  <c r="E4203" i="1" a="1"/>
  <c r="E4203" i="1"/>
  <c r="E4205" i="1" a="1"/>
  <c r="E4205" i="1" s="1"/>
  <c r="E4206" i="1" a="1"/>
  <c r="E4206" i="1" s="1"/>
  <c r="E4207" i="1" a="1"/>
  <c r="E4207" i="1" s="1"/>
  <c r="E4208" i="1" a="1"/>
  <c r="E4208" i="1"/>
  <c r="E4209" i="1" a="1"/>
  <c r="E4209" i="1" s="1"/>
  <c r="E4210" i="1" a="1"/>
  <c r="E4210" i="1" s="1"/>
  <c r="E4211" i="1" a="1"/>
  <c r="E4211" i="1" s="1"/>
  <c r="E4212" i="1" a="1"/>
  <c r="E4212" i="1"/>
  <c r="E4213" i="1" a="1"/>
  <c r="E4213" i="1"/>
  <c r="E4214" i="1" a="1"/>
  <c r="E4214" i="1"/>
  <c r="E4215" i="1" a="1"/>
  <c r="E4215" i="1" s="1"/>
  <c r="E4216" i="1" a="1"/>
  <c r="E4216" i="1" s="1"/>
  <c r="E4217" i="1" a="1"/>
  <c r="E4217" i="1"/>
  <c r="E4218" i="1" a="1"/>
  <c r="E4218" i="1" s="1"/>
  <c r="E4219" i="1" a="1"/>
  <c r="E4219" i="1" s="1"/>
  <c r="E4220" i="1" a="1"/>
  <c r="E4220" i="1" s="1"/>
  <c r="E4221" i="1" a="1"/>
  <c r="E4221" i="1"/>
  <c r="E4222" i="1" a="1"/>
  <c r="E4222" i="1"/>
  <c r="E4223" i="1" a="1"/>
  <c r="E4223" i="1"/>
  <c r="E4224" i="1" a="1"/>
  <c r="E4224" i="1" s="1"/>
  <c r="E4225" i="1" a="1"/>
  <c r="E4225" i="1" s="1"/>
  <c r="E4226" i="1" a="1"/>
  <c r="E4226" i="1" s="1"/>
  <c r="E4227" i="1" a="1"/>
  <c r="E4227" i="1" s="1"/>
  <c r="E4228" i="1" a="1"/>
  <c r="E4228" i="1" s="1"/>
  <c r="E4229" i="1" a="1"/>
  <c r="E4229" i="1" s="1"/>
  <c r="E4230" i="1" a="1"/>
  <c r="E4230" i="1" s="1"/>
  <c r="E4231" i="1" a="1"/>
  <c r="E4231" i="1"/>
  <c r="E4232" i="1" a="1"/>
  <c r="E4232" i="1"/>
  <c r="E4233" i="1" a="1"/>
  <c r="E4233" i="1" s="1"/>
  <c r="E4234" i="1" a="1"/>
  <c r="E4234" i="1" s="1"/>
  <c r="E4235" i="1" a="1"/>
  <c r="E4235" i="1" s="1"/>
  <c r="E4236" i="1" a="1"/>
  <c r="E4236" i="1"/>
  <c r="E4237" i="1" a="1"/>
  <c r="E4237" i="1"/>
  <c r="E4238" i="1" a="1"/>
  <c r="E4238" i="1"/>
  <c r="E4239" i="1" a="1"/>
  <c r="E4239" i="1"/>
  <c r="E4240" i="1" a="1"/>
  <c r="E4240" i="1"/>
  <c r="E4241" i="1" a="1"/>
  <c r="E4241" i="1"/>
  <c r="E4242" i="1" a="1"/>
  <c r="E4242" i="1" s="1"/>
  <c r="E4243" i="1" a="1"/>
  <c r="E4243" i="1" s="1"/>
  <c r="E4244" i="1" a="1"/>
  <c r="E4244" i="1" s="1"/>
  <c r="E4245" i="1" a="1"/>
  <c r="E4245" i="1"/>
  <c r="E4246" i="1" a="1"/>
  <c r="E4246" i="1"/>
  <c r="E4247" i="1" a="1"/>
  <c r="E4247" i="1"/>
  <c r="E4248" i="1" a="1"/>
  <c r="E4248" i="1" s="1"/>
  <c r="E4249" i="1" a="1"/>
  <c r="E4249" i="1" s="1"/>
  <c r="E4250" i="1" a="1"/>
  <c r="E4250" i="1" s="1"/>
  <c r="E4251" i="1" a="1"/>
  <c r="E4251" i="1" s="1"/>
  <c r="E4252" i="1" a="1"/>
  <c r="E4252" i="1" s="1"/>
  <c r="E4253" i="1" a="1"/>
  <c r="E4253" i="1" s="1"/>
  <c r="E4254" i="1" a="1"/>
  <c r="E4254" i="1"/>
  <c r="E4255" i="1" a="1"/>
  <c r="E4255" i="1" s="1"/>
  <c r="E4256" i="1" a="1"/>
  <c r="E4256" i="1"/>
  <c r="E4257" i="1" a="1"/>
  <c r="E4257" i="1"/>
  <c r="E4258" i="1" a="1"/>
  <c r="E4258" i="1" s="1"/>
  <c r="E4259" i="1" a="1"/>
  <c r="E4259" i="1" s="1"/>
  <c r="E4260" i="1" a="1"/>
  <c r="E4260" i="1" s="1"/>
  <c r="E4261" i="1" a="1"/>
  <c r="E4261" i="1" s="1"/>
  <c r="E4262" i="1" a="1"/>
  <c r="E4262" i="1" s="1"/>
  <c r="E4263" i="1" a="1"/>
  <c r="E4263" i="1"/>
  <c r="E4264" i="1" a="1"/>
  <c r="E4264" i="1"/>
  <c r="E4265" i="1" a="1"/>
  <c r="E4265" i="1" s="1"/>
  <c r="E4266" i="1" a="1"/>
  <c r="E4266" i="1" s="1"/>
  <c r="E4267" i="1" a="1"/>
  <c r="E4267" i="1" s="1"/>
  <c r="E4268" i="1" a="1"/>
  <c r="E4268" i="1"/>
  <c r="E4269" i="1" a="1"/>
  <c r="E4269" i="1" s="1"/>
  <c r="E4270" i="1" a="1"/>
  <c r="E4270" i="1" s="1"/>
  <c r="E4271" i="1" a="1"/>
  <c r="E4271" i="1" s="1"/>
  <c r="E4272" i="1" a="1"/>
  <c r="E4272" i="1"/>
  <c r="E4273" i="1" a="1"/>
  <c r="E4273" i="1" s="1"/>
  <c r="E4275" i="1" a="1"/>
  <c r="E4275" i="1" s="1"/>
  <c r="E4276" i="1" a="1"/>
  <c r="E4276" i="1" s="1"/>
  <c r="E4278" i="1" a="1"/>
  <c r="E4278" i="1"/>
  <c r="E4279" i="1" a="1"/>
  <c r="E4279" i="1" s="1"/>
  <c r="E4280" i="1" a="1"/>
  <c r="E4280" i="1"/>
  <c r="E4281" i="1" a="1"/>
  <c r="E4281" i="1" s="1"/>
  <c r="E4282" i="1" a="1"/>
  <c r="E4282" i="1" s="1"/>
  <c r="E4283" i="1" a="1"/>
  <c r="E4283" i="1"/>
  <c r="E4284" i="1" a="1"/>
  <c r="E4284" i="1" s="1"/>
  <c r="E4285" i="1" a="1"/>
  <c r="E4285" i="1" s="1"/>
  <c r="E4286" i="1" a="1"/>
  <c r="E4286" i="1" s="1"/>
  <c r="E4287" i="1" a="1"/>
  <c r="E4287" i="1"/>
  <c r="E4288" i="1" a="1"/>
  <c r="E4288" i="1" s="1"/>
  <c r="E4289" i="1" a="1"/>
  <c r="E4289" i="1" s="1"/>
  <c r="E4290" i="1" a="1"/>
  <c r="E4290" i="1" s="1"/>
  <c r="E4291" i="1" a="1"/>
  <c r="E4291" i="1" s="1"/>
  <c r="E4292" i="1" a="1"/>
  <c r="E4292" i="1" s="1"/>
  <c r="E4293" i="1" a="1"/>
  <c r="E4293" i="1" s="1"/>
  <c r="E4294" i="1" a="1"/>
  <c r="E4294" i="1" s="1"/>
  <c r="E4295" i="1" a="1"/>
  <c r="E4295" i="1"/>
  <c r="E4296" i="1" a="1"/>
  <c r="E4296" i="1" s="1"/>
  <c r="E4299" i="1" a="1"/>
  <c r="E4299" i="1" s="1"/>
  <c r="E4300" i="1" a="1"/>
  <c r="E4300" i="1" s="1"/>
  <c r="E4301" i="1" a="1"/>
  <c r="E4301" i="1" s="1"/>
  <c r="E4302" i="1" a="1"/>
  <c r="E4302" i="1" s="1"/>
  <c r="E4303" i="1" a="1"/>
  <c r="E4303" i="1" s="1"/>
  <c r="E4304" i="1" a="1"/>
  <c r="E4304" i="1"/>
  <c r="E4305" i="1" a="1"/>
  <c r="E4305" i="1"/>
  <c r="E4306" i="1" a="1"/>
  <c r="E4306" i="1"/>
  <c r="E4307" i="1" a="1"/>
  <c r="E4307" i="1" s="1"/>
  <c r="E4310" i="1" a="1"/>
  <c r="E4310" i="1" s="1"/>
  <c r="E4311" i="1" a="1"/>
  <c r="E4311" i="1"/>
  <c r="E4312" i="1" a="1"/>
  <c r="E4312" i="1" s="1"/>
  <c r="E4313" i="1" a="1"/>
  <c r="E4313" i="1" s="1"/>
  <c r="E4315" i="1" a="1"/>
  <c r="E4315" i="1" s="1"/>
  <c r="E4316" i="1" a="1"/>
  <c r="E4316" i="1"/>
  <c r="E4317" i="1" a="1"/>
  <c r="E4317" i="1" s="1"/>
  <c r="E4318" i="1" a="1"/>
  <c r="E4318" i="1" s="1"/>
  <c r="E4319" i="1" a="1"/>
  <c r="E4319" i="1"/>
  <c r="E4320" i="1" a="1"/>
  <c r="E4320" i="1" s="1"/>
  <c r="E4321" i="1" a="1"/>
  <c r="E4321" i="1" s="1"/>
  <c r="E4322" i="1" a="1"/>
  <c r="E4322" i="1" s="1"/>
  <c r="E4323" i="1" a="1"/>
  <c r="E4323" i="1" s="1"/>
  <c r="E4324" i="1" a="1"/>
  <c r="E4324" i="1" s="1"/>
  <c r="E4325" i="1" a="1"/>
  <c r="E4325" i="1"/>
  <c r="E4326" i="1" a="1"/>
  <c r="E4326" i="1" s="1"/>
  <c r="E4327" i="1" a="1"/>
  <c r="E4327" i="1" s="1"/>
  <c r="E4328" i="1" a="1"/>
  <c r="E4328" i="1" s="1"/>
  <c r="E4329" i="1" a="1"/>
  <c r="E4329" i="1" s="1"/>
  <c r="E4330" i="1" a="1"/>
  <c r="E4330" i="1" s="1"/>
  <c r="E4331" i="1" a="1"/>
  <c r="E4331" i="1"/>
  <c r="E4332" i="1" a="1"/>
  <c r="E4332" i="1" s="1"/>
  <c r="E4334" i="1" a="1"/>
  <c r="E4334" i="1" s="1"/>
  <c r="E4335" i="1" a="1"/>
  <c r="E4335" i="1"/>
  <c r="E4336" i="1" a="1"/>
  <c r="E4336" i="1" s="1"/>
  <c r="E4337" i="1" a="1"/>
  <c r="E4337" i="1"/>
  <c r="E4338" i="1" a="1"/>
  <c r="E4338" i="1" s="1"/>
  <c r="E4339" i="1" a="1"/>
  <c r="E4339" i="1" s="1"/>
  <c r="E4340" i="1" a="1"/>
  <c r="E4340" i="1" s="1"/>
  <c r="E4341" i="1" a="1"/>
  <c r="E4341" i="1"/>
  <c r="E4342" i="1" a="1"/>
  <c r="E4342" i="1" s="1"/>
  <c r="E4343" i="1" a="1"/>
  <c r="E4343" i="1" s="1"/>
  <c r="E4344" i="1" a="1"/>
  <c r="E4344" i="1"/>
  <c r="E4345" i="1" a="1"/>
  <c r="E4345" i="1" s="1"/>
  <c r="E4347" i="1" a="1"/>
  <c r="E4347" i="1" s="1"/>
  <c r="E4348" i="1" a="1"/>
  <c r="E4348" i="1" s="1"/>
  <c r="E4349" i="1" a="1"/>
  <c r="E4349" i="1"/>
  <c r="E4350" i="1" a="1"/>
  <c r="E4350" i="1" s="1"/>
  <c r="E4351" i="1" a="1"/>
  <c r="E4351" i="1" s="1"/>
  <c r="E4352" i="1" a="1"/>
  <c r="E4352" i="1" s="1"/>
  <c r="E4353" i="1" a="1"/>
  <c r="E4353" i="1" s="1"/>
  <c r="E4354" i="1" a="1"/>
  <c r="E4354" i="1"/>
  <c r="E4355" i="1" a="1"/>
  <c r="E4355" i="1" s="1"/>
  <c r="E4357" i="1" a="1"/>
  <c r="E4357" i="1" s="1"/>
  <c r="E4358" i="1" a="1"/>
  <c r="E4358" i="1"/>
  <c r="E4359" i="1" a="1"/>
  <c r="E4359" i="1" s="1"/>
  <c r="E4360" i="1" a="1"/>
  <c r="E4360" i="1" s="1"/>
  <c r="E4361" i="1" a="1"/>
  <c r="E4361" i="1" s="1"/>
  <c r="E4363" i="1" a="1"/>
  <c r="E4363" i="1" s="1"/>
  <c r="E4364" i="1" a="1"/>
  <c r="E4364" i="1" s="1"/>
  <c r="E4365" i="1" a="1"/>
  <c r="E4365" i="1"/>
  <c r="E4366" i="1" a="1"/>
  <c r="E4366" i="1" s="1"/>
  <c r="E4367" i="1" a="1"/>
  <c r="E4367" i="1"/>
  <c r="E4368" i="1" a="1"/>
  <c r="E4368" i="1"/>
  <c r="E4369" i="1" a="1"/>
  <c r="E4369" i="1" s="1"/>
  <c r="E4370" i="1" a="1"/>
  <c r="E4370" i="1" s="1"/>
  <c r="E4371" i="1" a="1"/>
  <c r="E4371" i="1" s="1"/>
  <c r="E4372" i="1" a="1"/>
  <c r="E4372" i="1"/>
  <c r="E4373" i="1" a="1"/>
  <c r="E4373" i="1"/>
  <c r="E4374" i="1" a="1"/>
  <c r="E4374" i="1" s="1"/>
  <c r="E4375" i="1" a="1"/>
  <c r="E4375" i="1"/>
  <c r="E4376" i="1" a="1"/>
  <c r="E4376" i="1"/>
  <c r="E4377" i="1" a="1"/>
  <c r="E4377" i="1"/>
  <c r="E4378" i="1" a="1"/>
  <c r="E4378" i="1" s="1"/>
  <c r="E4379" i="1" a="1"/>
  <c r="E4379" i="1" s="1"/>
  <c r="E4380" i="1" a="1"/>
  <c r="E4380" i="1"/>
  <c r="E4381" i="1" a="1"/>
  <c r="E4381" i="1"/>
  <c r="E4382" i="1" a="1"/>
  <c r="E4382" i="1"/>
  <c r="E4383" i="1" a="1"/>
  <c r="E4383" i="1" s="1"/>
  <c r="E4384" i="1" a="1"/>
  <c r="E4384" i="1"/>
  <c r="E4385" i="1" a="1"/>
  <c r="E4385" i="1"/>
  <c r="E4386" i="1" a="1"/>
  <c r="E4386" i="1" s="1"/>
  <c r="E4387" i="1" a="1"/>
  <c r="E4387" i="1" s="1"/>
  <c r="E4388" i="1" a="1"/>
  <c r="E4388" i="1"/>
  <c r="E4389" i="1" a="1"/>
  <c r="E4389" i="1"/>
  <c r="E4390" i="1" a="1"/>
  <c r="E4390" i="1"/>
  <c r="E4391" i="1" a="1"/>
  <c r="E4391" i="1"/>
  <c r="E4392" i="1" a="1"/>
  <c r="E4392" i="1" s="1"/>
  <c r="E4393" i="1" a="1"/>
  <c r="E4393" i="1"/>
  <c r="E4394" i="1" a="1"/>
  <c r="E4394" i="1" s="1"/>
  <c r="E4395" i="1" a="1"/>
  <c r="E4395" i="1" s="1"/>
  <c r="E4396" i="1" a="1"/>
  <c r="E4396" i="1"/>
  <c r="E4398" i="1" a="1"/>
  <c r="E4398" i="1"/>
  <c r="E4399" i="1" a="1"/>
  <c r="E4399" i="1"/>
  <c r="E4400" i="1" a="1"/>
  <c r="E4400" i="1"/>
  <c r="E4401" i="1" a="1"/>
  <c r="E4401" i="1"/>
  <c r="E4402" i="1" a="1"/>
  <c r="E4402" i="1" s="1"/>
  <c r="E4403" i="1" a="1"/>
  <c r="E4403" i="1" s="1"/>
  <c r="E4404" i="1" a="1"/>
  <c r="E4404" i="1" s="1"/>
  <c r="E4405" i="1" a="1"/>
  <c r="E4405" i="1"/>
  <c r="E4406" i="1" a="1"/>
  <c r="E4406" i="1"/>
  <c r="E4407" i="1" a="1"/>
  <c r="E4407" i="1" s="1"/>
  <c r="E4408" i="1" a="1"/>
  <c r="E4408" i="1"/>
  <c r="E4409" i="1" a="1"/>
  <c r="E4409" i="1"/>
  <c r="E4410" i="1" a="1"/>
  <c r="E4410" i="1"/>
  <c r="E4411" i="1" a="1"/>
  <c r="E4411" i="1" s="1"/>
  <c r="E4412" i="1" a="1"/>
  <c r="E4412" i="1" s="1"/>
  <c r="E4413" i="1" a="1"/>
  <c r="E4413" i="1"/>
  <c r="E4414" i="1" a="1"/>
  <c r="E4414" i="1"/>
  <c r="E4416" i="1" a="1"/>
  <c r="E4416" i="1"/>
  <c r="E4417" i="1" a="1"/>
  <c r="E4417" i="1" s="1"/>
  <c r="E4418" i="1" a="1"/>
  <c r="E4418" i="1"/>
  <c r="E4419" i="1" a="1"/>
  <c r="E4419" i="1"/>
  <c r="E4420" i="1" a="1"/>
  <c r="E4420" i="1" s="1"/>
  <c r="E4421" i="1" a="1"/>
  <c r="E4421" i="1" s="1"/>
  <c r="E4422" i="1" a="1"/>
  <c r="E4422" i="1"/>
  <c r="E4423" i="1" a="1"/>
  <c r="E4423" i="1"/>
  <c r="E4424" i="1" a="1"/>
  <c r="E4424" i="1" s="1"/>
  <c r="E4425" i="1" a="1"/>
  <c r="E4425" i="1"/>
  <c r="E4426" i="1" a="1"/>
  <c r="E4426" i="1" s="1"/>
  <c r="E4428" i="1" a="1"/>
  <c r="E4428" i="1"/>
  <c r="E4430" i="1" a="1"/>
  <c r="E4430" i="1" s="1"/>
  <c r="E4431" i="1" a="1"/>
  <c r="E4431" i="1" s="1"/>
  <c r="E4432" i="1" a="1"/>
  <c r="E4432" i="1"/>
  <c r="E4433" i="1" a="1"/>
  <c r="E4433" i="1"/>
  <c r="E4434" i="1" a="1"/>
  <c r="E4434" i="1" s="1"/>
  <c r="E4435" i="1" a="1"/>
  <c r="E4435" i="1"/>
  <c r="E4437" i="1" a="1"/>
  <c r="E4437" i="1"/>
  <c r="E4438" i="1" a="1"/>
  <c r="E4438" i="1" s="1"/>
  <c r="E4439" i="1" a="1"/>
  <c r="E4439" i="1" s="1"/>
  <c r="E4440" i="1" a="1"/>
  <c r="E4440" i="1" s="1"/>
  <c r="E4441" i="1" a="1"/>
  <c r="E4441" i="1"/>
  <c r="E4442" i="1" a="1"/>
  <c r="E4442" i="1"/>
  <c r="E4443" i="1" a="1"/>
  <c r="E4443" i="1"/>
  <c r="E4444" i="1" a="1"/>
  <c r="E4444" i="1"/>
  <c r="E4445" i="1" a="1"/>
  <c r="E4445" i="1" s="1"/>
  <c r="E4446" i="1" a="1"/>
  <c r="E4446" i="1"/>
  <c r="E4447" i="1" a="1"/>
  <c r="E4447" i="1" s="1"/>
  <c r="E4448" i="1" a="1"/>
  <c r="E4448" i="1" s="1"/>
  <c r="E4449" i="1" a="1"/>
  <c r="E4449" i="1"/>
  <c r="E4450" i="1" a="1"/>
  <c r="E4450" i="1"/>
  <c r="E4451" i="1" a="1"/>
  <c r="E4451" i="1"/>
  <c r="E4455" i="1" a="1"/>
  <c r="E4455" i="1"/>
  <c r="E4456" i="1" a="1"/>
  <c r="E4456" i="1"/>
  <c r="E4457" i="1" a="1"/>
  <c r="E4457" i="1" s="1"/>
  <c r="E4458" i="1" a="1"/>
  <c r="E4458" i="1" s="1"/>
  <c r="E4459" i="1" a="1"/>
  <c r="E4459" i="1" s="1"/>
  <c r="E4460" i="1" a="1"/>
  <c r="E4460" i="1"/>
  <c r="E4461" i="1" a="1"/>
  <c r="E4461" i="1"/>
  <c r="E4462" i="1" a="1"/>
  <c r="E4462" i="1"/>
  <c r="E4463" i="1" a="1"/>
  <c r="E4463" i="1"/>
  <c r="E4464" i="1" a="1"/>
  <c r="E4464" i="1"/>
  <c r="E4466" i="1" a="1"/>
  <c r="E4466" i="1"/>
  <c r="E4467" i="1" a="1"/>
  <c r="E4467" i="1" s="1"/>
  <c r="E4468" i="1" a="1"/>
  <c r="E4468" i="1" s="1"/>
  <c r="E4469" i="1" a="1"/>
  <c r="E4469" i="1"/>
  <c r="E4470" i="1" a="1"/>
  <c r="E4470" i="1"/>
  <c r="E4471" i="1" a="1"/>
  <c r="E4471" i="1" s="1"/>
  <c r="E4472" i="1" a="1"/>
  <c r="E4472" i="1"/>
  <c r="E4473" i="1" a="1"/>
  <c r="E4473" i="1"/>
  <c r="E4474" i="1" a="1"/>
  <c r="E4474" i="1"/>
  <c r="E4475" i="1" a="1"/>
  <c r="E4475" i="1" s="1"/>
  <c r="E4476" i="1" a="1"/>
  <c r="E4476" i="1" s="1"/>
  <c r="E4477" i="1" a="1"/>
  <c r="E4477" i="1"/>
  <c r="E4478" i="1" a="1"/>
  <c r="E4478" i="1"/>
  <c r="E4480" i="1" a="1"/>
  <c r="E4480" i="1" s="1"/>
  <c r="E4481" i="1" a="1"/>
  <c r="E4481" i="1"/>
  <c r="E4482" i="1" a="1"/>
  <c r="E4482" i="1"/>
  <c r="E4483" i="1" a="1"/>
  <c r="E4483" i="1"/>
  <c r="E4484" i="1" a="1"/>
  <c r="E4484" i="1" s="1"/>
  <c r="E4485" i="1" a="1"/>
  <c r="E4485" i="1" s="1"/>
  <c r="E4486" i="1" a="1"/>
  <c r="E4486" i="1"/>
  <c r="E4487" i="1" a="1"/>
  <c r="E4487" i="1"/>
  <c r="E4488" i="1" a="1"/>
  <c r="E4488" i="1"/>
  <c r="E4489" i="1" a="1"/>
  <c r="E4489" i="1" s="1"/>
  <c r="E4490" i="1" a="1"/>
  <c r="E4490" i="1"/>
  <c r="E4491" i="1" a="1"/>
  <c r="E4491" i="1" s="1"/>
  <c r="E4492" i="1" a="1"/>
  <c r="E4492" i="1" s="1"/>
  <c r="E4493" i="1" a="1"/>
  <c r="E4493" i="1" s="1"/>
  <c r="E4494" i="1" a="1"/>
  <c r="E4494" i="1"/>
  <c r="E4495" i="1" a="1"/>
  <c r="E4495" i="1"/>
  <c r="E4496" i="1" a="1"/>
  <c r="E4496" i="1"/>
  <c r="E4497" i="1" a="1"/>
  <c r="E4497" i="1"/>
  <c r="E4498" i="1" a="1"/>
  <c r="E4498" i="1" s="1"/>
  <c r="E4499" i="1" a="1"/>
  <c r="E4499" i="1"/>
  <c r="E4500" i="1" a="1"/>
  <c r="E4500" i="1" s="1"/>
  <c r="E4501" i="1" a="1"/>
  <c r="E4501" i="1" s="1"/>
  <c r="E4502" i="1" a="1"/>
  <c r="E4502" i="1"/>
  <c r="E4503" i="1" a="1"/>
  <c r="E4503" i="1"/>
  <c r="E4504" i="1" a="1"/>
  <c r="E4504" i="1"/>
  <c r="E4505" i="1" a="1"/>
  <c r="E4505" i="1"/>
  <c r="E4506" i="1" a="1"/>
  <c r="E4506" i="1"/>
  <c r="E4507" i="1" a="1"/>
  <c r="E4507" i="1" s="1"/>
  <c r="E4509" i="1" a="1"/>
  <c r="E4509" i="1" s="1"/>
  <c r="E4510" i="1" a="1"/>
  <c r="E4510" i="1" s="1"/>
  <c r="E4511" i="1" a="1"/>
  <c r="E4511" i="1"/>
  <c r="E4512" i="1" a="1"/>
  <c r="E4512" i="1"/>
  <c r="E4513" i="1" a="1"/>
  <c r="E4513" i="1"/>
  <c r="E4514" i="1" a="1"/>
  <c r="E4514" i="1"/>
  <c r="E4515" i="1" a="1"/>
  <c r="E4515" i="1"/>
  <c r="E4516" i="1" a="1"/>
  <c r="E4516" i="1"/>
  <c r="E4517" i="1" a="1"/>
  <c r="E4517" i="1" s="1"/>
  <c r="E4518" i="1" a="1"/>
  <c r="E4518" i="1" s="1"/>
  <c r="E4519" i="1" a="1"/>
  <c r="E4519" i="1"/>
  <c r="E4521" i="1" a="1"/>
  <c r="E4521" i="1"/>
  <c r="E4522" i="1" a="1"/>
  <c r="E4522" i="1" s="1"/>
  <c r="E4523" i="1" a="1"/>
  <c r="E4523" i="1"/>
  <c r="E4524" i="1" a="1"/>
  <c r="E4524" i="1"/>
  <c r="E4525" i="1" a="1"/>
  <c r="E4525" i="1"/>
  <c r="E4526" i="1" a="1"/>
  <c r="E4526" i="1" s="1"/>
  <c r="E4527" i="1" a="1"/>
  <c r="E4527" i="1" s="1"/>
  <c r="E4528" i="1" a="1"/>
  <c r="E4528" i="1"/>
  <c r="E4529" i="1" a="1"/>
  <c r="E4529" i="1"/>
  <c r="E4530" i="1" a="1"/>
  <c r="E4530" i="1"/>
  <c r="E4531" i="1" a="1"/>
  <c r="E4531" i="1" s="1"/>
  <c r="E4532" i="1" a="1"/>
  <c r="E4532" i="1"/>
  <c r="E4533" i="1" a="1"/>
  <c r="E4533" i="1"/>
  <c r="E4534" i="1" a="1"/>
  <c r="E4534" i="1" s="1"/>
  <c r="E4535" i="1" a="1"/>
  <c r="E4535" i="1" s="1"/>
  <c r="E4536" i="1" a="1"/>
  <c r="E4536" i="1"/>
  <c r="E4537" i="1" a="1"/>
  <c r="E4537" i="1"/>
  <c r="E4538" i="1" a="1"/>
  <c r="E4538" i="1" s="1"/>
  <c r="E4539" i="1" a="1"/>
  <c r="E4539" i="1"/>
  <c r="E4540" i="1" a="1"/>
  <c r="E4540" i="1"/>
  <c r="E4541" i="1" a="1"/>
  <c r="E4541" i="1"/>
  <c r="E4542" i="1" a="1"/>
  <c r="E4542" i="1" s="1"/>
  <c r="E4543" i="1" a="1"/>
  <c r="E4543" i="1" s="1"/>
  <c r="E4544" i="1" a="1"/>
  <c r="E4544" i="1"/>
  <c r="E4545" i="1" a="1"/>
  <c r="E4545" i="1"/>
  <c r="E4546" i="1" a="1"/>
  <c r="E4546" i="1" s="1"/>
  <c r="E4547" i="1" a="1"/>
  <c r="E4547" i="1"/>
  <c r="E4548" i="1" a="1"/>
  <c r="E4548" i="1"/>
  <c r="E4549" i="1" a="1"/>
  <c r="E4549" i="1"/>
  <c r="E4550" i="1" a="1"/>
  <c r="E4550" i="1" s="1"/>
  <c r="E4551" i="1" a="1"/>
  <c r="E4551" i="1" s="1"/>
  <c r="E4552" i="1" a="1"/>
  <c r="E4552" i="1"/>
  <c r="E4553" i="1" a="1"/>
  <c r="E4553" i="1"/>
  <c r="E4554" i="1" a="1"/>
  <c r="E4554" i="1"/>
  <c r="E4555" i="1" a="1"/>
  <c r="E4555" i="1" s="1"/>
  <c r="E4556" i="1" a="1"/>
  <c r="E4556" i="1" s="1"/>
  <c r="E4557" i="1" a="1"/>
  <c r="E4557" i="1" s="1"/>
  <c r="E4559" i="1" a="1"/>
  <c r="E4559" i="1" s="1"/>
  <c r="E4560" i="1" a="1"/>
  <c r="E4560" i="1" s="1"/>
  <c r="E4561" i="1" a="1"/>
  <c r="E4561" i="1"/>
  <c r="E4562" i="1" a="1"/>
  <c r="E4562" i="1"/>
  <c r="E4563" i="1" a="1"/>
  <c r="E4563" i="1"/>
  <c r="E4564" i="1" a="1"/>
  <c r="E4564" i="1" s="1"/>
  <c r="E4565" i="1" a="1"/>
  <c r="E4565" i="1" s="1"/>
  <c r="E4566" i="1" a="1"/>
  <c r="E4566" i="1"/>
  <c r="E4567" i="1" a="1"/>
  <c r="E4567" i="1" s="1"/>
  <c r="E4568" i="1" a="1"/>
  <c r="E4568" i="1" s="1"/>
  <c r="E4569" i="1" a="1"/>
  <c r="E4569" i="1"/>
  <c r="E4570" i="1" a="1"/>
  <c r="E4570" i="1"/>
  <c r="E4572" i="1" a="1"/>
  <c r="E4572" i="1"/>
  <c r="E4573" i="1" a="1"/>
  <c r="E4573" i="1"/>
  <c r="E4574" i="1" a="1"/>
  <c r="E4574" i="1" s="1"/>
  <c r="E4575" i="1" a="1"/>
  <c r="E4575" i="1" s="1"/>
  <c r="E4576" i="1" a="1"/>
  <c r="E4576" i="1" s="1"/>
  <c r="E4577" i="1" a="1"/>
  <c r="E4577" i="1" s="1"/>
  <c r="E4578" i="1" a="1"/>
  <c r="E4578" i="1"/>
  <c r="E4579" i="1" a="1"/>
  <c r="E4579" i="1"/>
  <c r="E4580" i="1" a="1"/>
  <c r="E4580" i="1" s="1"/>
  <c r="E4581" i="1" a="1"/>
  <c r="E4581" i="1"/>
  <c r="E4582" i="1" a="1"/>
  <c r="E4582" i="1"/>
  <c r="E4583" i="1" a="1"/>
  <c r="E4583" i="1" s="1"/>
  <c r="E4584" i="1" a="1"/>
  <c r="E4584" i="1" s="1"/>
  <c r="E4585" i="1" a="1"/>
  <c r="E4585" i="1" s="1"/>
  <c r="E4586" i="1" a="1"/>
  <c r="E4586" i="1"/>
  <c r="E4587" i="1" a="1"/>
  <c r="E4587" i="1"/>
  <c r="E4589" i="1" a="1"/>
  <c r="E4589" i="1" s="1"/>
  <c r="E4590" i="1" a="1"/>
  <c r="E4590" i="1"/>
  <c r="E4591" i="1" a="1"/>
  <c r="E4591" i="1"/>
  <c r="E4592" i="1" a="1"/>
  <c r="E4592" i="1"/>
  <c r="E4593" i="1" a="1"/>
  <c r="E4593" i="1" s="1"/>
  <c r="E4594" i="1" a="1"/>
  <c r="E4594" i="1" s="1"/>
  <c r="E4595" i="1" a="1"/>
  <c r="E4595" i="1"/>
  <c r="E4596" i="1" a="1"/>
  <c r="E4596" i="1"/>
  <c r="E4597" i="1" a="1"/>
  <c r="E4597" i="1"/>
  <c r="E4598" i="1" a="1"/>
  <c r="E4598" i="1" s="1"/>
  <c r="E4599" i="1" a="1"/>
  <c r="E4599" i="1"/>
  <c r="E4600" i="1" a="1"/>
  <c r="E4600" i="1"/>
  <c r="E4601" i="1" a="1"/>
  <c r="E4601" i="1" s="1"/>
  <c r="E4602" i="1" a="1"/>
  <c r="E4602" i="1" s="1"/>
  <c r="E4603" i="1" a="1"/>
  <c r="E4603" i="1"/>
  <c r="E4604" i="1" a="1"/>
  <c r="E4604" i="1"/>
  <c r="E4605" i="1" a="1"/>
  <c r="E4605" i="1"/>
  <c r="E4606" i="1" a="1"/>
  <c r="E4606" i="1" s="1"/>
  <c r="E4607" i="1" a="1"/>
  <c r="E4607" i="1" s="1"/>
  <c r="E4609" i="1" a="1"/>
  <c r="E4609" i="1"/>
  <c r="E4610" i="1" a="1"/>
  <c r="E4610" i="1" s="1"/>
  <c r="E4612" i="1" a="1"/>
  <c r="E4612" i="1" s="1"/>
  <c r="E4613" i="1" a="1"/>
  <c r="E4613" i="1"/>
  <c r="E4614" i="1" a="1"/>
  <c r="E4614" i="1"/>
  <c r="E4615" i="1" a="1"/>
  <c r="E4615" i="1" s="1"/>
  <c r="E4616" i="1" a="1"/>
  <c r="E4616" i="1"/>
  <c r="E4617" i="1" a="1"/>
  <c r="E4617" i="1"/>
  <c r="E4618" i="1" a="1"/>
  <c r="E4618" i="1" s="1"/>
  <c r="E4619" i="1" a="1"/>
  <c r="E4619" i="1" s="1"/>
  <c r="E4620" i="1" a="1"/>
  <c r="E4620" i="1" s="1"/>
  <c r="E4621" i="1" a="1"/>
  <c r="E4621" i="1"/>
  <c r="E4622" i="1" a="1"/>
  <c r="E4622" i="1"/>
  <c r="E4624" i="1" a="1"/>
  <c r="E4624" i="1" s="1"/>
  <c r="E4626" i="1" a="1"/>
  <c r="E4626" i="1" s="1"/>
  <c r="E4627" i="1" a="1"/>
  <c r="E4627" i="1"/>
  <c r="E4628" i="1" a="1"/>
  <c r="E4628" i="1"/>
  <c r="E4629" i="1" a="1"/>
  <c r="E4629" i="1" s="1"/>
  <c r="E4630" i="1" a="1"/>
  <c r="E4630" i="1" s="1"/>
  <c r="E4631" i="1" a="1"/>
  <c r="E4631" i="1"/>
  <c r="E4632" i="1" a="1"/>
  <c r="E4632" i="1"/>
  <c r="E4634" i="1" a="1"/>
  <c r="E4634" i="1" s="1"/>
  <c r="E4635" i="1" a="1"/>
  <c r="E4635" i="1" s="1"/>
  <c r="E4637" i="1" a="1"/>
  <c r="E4637" i="1" s="1"/>
  <c r="E4639" i="1" a="1"/>
  <c r="E4639" i="1"/>
  <c r="E4640" i="1" a="1"/>
  <c r="E4640" i="1" s="1"/>
  <c r="E4641" i="1" a="1"/>
  <c r="E4641" i="1" s="1"/>
  <c r="E4642" i="1" a="1"/>
  <c r="E4642" i="1"/>
  <c r="E4643" i="1" a="1"/>
  <c r="E4643" i="1"/>
  <c r="E4644" i="1" a="1"/>
  <c r="E4644" i="1" s="1"/>
  <c r="E4645" i="1" a="1"/>
  <c r="E4645" i="1" s="1"/>
  <c r="E4646" i="1" a="1"/>
  <c r="E4646" i="1" s="1"/>
  <c r="E4647" i="1" a="1"/>
  <c r="E4647" i="1" s="1"/>
  <c r="E4648" i="1" a="1"/>
  <c r="E4648" i="1" s="1"/>
  <c r="E4649" i="1" a="1"/>
  <c r="E4649" i="1" s="1"/>
  <c r="E4650" i="1" a="1"/>
  <c r="E4650" i="1"/>
  <c r="E4651" i="1" a="1"/>
  <c r="E4651" i="1"/>
  <c r="E4652" i="1" a="1"/>
  <c r="E4652" i="1"/>
  <c r="E4653" i="1" a="1"/>
  <c r="E4653" i="1"/>
  <c r="E4654" i="1" a="1"/>
  <c r="E4654" i="1"/>
  <c r="E4655" i="1" a="1"/>
  <c r="E4655" i="1" s="1"/>
  <c r="E4656" i="1" a="1"/>
  <c r="E4656" i="1" s="1"/>
  <c r="E4657" i="1" a="1"/>
  <c r="E4657" i="1" s="1"/>
  <c r="E4658" i="1" a="1"/>
  <c r="E4658" i="1"/>
  <c r="E4659" i="1" a="1"/>
  <c r="E4659" i="1"/>
  <c r="E4661" i="1" a="1"/>
  <c r="E4661" i="1"/>
  <c r="E4662" i="1" a="1"/>
  <c r="E4662" i="1"/>
  <c r="E4663" i="1" a="1"/>
  <c r="E4663" i="1"/>
  <c r="E4664" i="1" a="1"/>
  <c r="E4664" i="1"/>
  <c r="E4665" i="1" a="1"/>
  <c r="E4665" i="1" s="1"/>
  <c r="E4666" i="1" a="1"/>
  <c r="E4666" i="1" s="1"/>
  <c r="E4667" i="1" a="1"/>
  <c r="E4667" i="1"/>
  <c r="E4668" i="1" a="1"/>
  <c r="E4668" i="1"/>
  <c r="E4669" i="1" a="1"/>
  <c r="E4669" i="1"/>
  <c r="E4670" i="1" a="1"/>
  <c r="E4670" i="1"/>
  <c r="E4671" i="1" a="1"/>
  <c r="E4671" i="1"/>
  <c r="E4672" i="1" a="1"/>
  <c r="E4672" i="1"/>
  <c r="E4673" i="1" a="1"/>
  <c r="E4673" i="1" s="1"/>
  <c r="E4674" i="1" a="1"/>
  <c r="E4674" i="1" s="1"/>
  <c r="E4675" i="1" a="1"/>
  <c r="E4675" i="1"/>
  <c r="E4676" i="1" a="1"/>
  <c r="E4676" i="1"/>
  <c r="E4677" i="1" a="1"/>
  <c r="E4677" i="1"/>
  <c r="E4678" i="1" a="1"/>
  <c r="E4678" i="1"/>
  <c r="E4679" i="1" a="1"/>
  <c r="E4679" i="1"/>
  <c r="E4680" i="1" a="1"/>
  <c r="E4680" i="1"/>
  <c r="E4681" i="1" a="1"/>
  <c r="E4681" i="1" s="1"/>
  <c r="E4682" i="1" a="1"/>
  <c r="E4682" i="1" s="1"/>
  <c r="E4683" i="1" a="1"/>
  <c r="E4683" i="1"/>
  <c r="E4684" i="1" a="1"/>
  <c r="E4684" i="1"/>
  <c r="E4685" i="1" a="1"/>
  <c r="E4685" i="1" s="1"/>
  <c r="E4686" i="1" a="1"/>
  <c r="E4686" i="1" s="1"/>
  <c r="E4687" i="1" a="1"/>
  <c r="E4687" i="1"/>
  <c r="E4688" i="1" a="1"/>
  <c r="E4688" i="1"/>
  <c r="E4690" i="1" a="1"/>
  <c r="E4690" i="1" s="1"/>
  <c r="E4691" i="1" a="1"/>
  <c r="E4691" i="1" s="1"/>
  <c r="E4692" i="1" a="1"/>
  <c r="E4692" i="1"/>
  <c r="E4694" i="1" a="1"/>
  <c r="E4694" i="1"/>
  <c r="E4695" i="1" a="1"/>
  <c r="E4695" i="1" s="1"/>
  <c r="E4696" i="1" a="1"/>
  <c r="E4696" i="1" s="1"/>
  <c r="E4697" i="1" a="1"/>
  <c r="E4697" i="1" s="1"/>
  <c r="E4698" i="1" a="1"/>
  <c r="E4698" i="1" s="1"/>
  <c r="E4699" i="1" a="1"/>
  <c r="E4699" i="1" s="1"/>
  <c r="E4701" i="1" a="1"/>
  <c r="E4701" i="1" s="1"/>
  <c r="E4702" i="1" a="1"/>
  <c r="E4702" i="1"/>
  <c r="E4705" i="1" a="1"/>
  <c r="E4705" i="1"/>
  <c r="E4706" i="1" a="1"/>
  <c r="E4706" i="1"/>
  <c r="E4707" i="1" a="1"/>
  <c r="E4707" i="1" s="1"/>
  <c r="E4709" i="1" a="1"/>
  <c r="E4709" i="1" s="1"/>
  <c r="E4710" i="1" a="1"/>
  <c r="E4710" i="1"/>
  <c r="E4711" i="1" a="1"/>
  <c r="E4711" i="1" s="1"/>
  <c r="E4712" i="1" a="1"/>
  <c r="E4712" i="1" s="1"/>
  <c r="E4713" i="1" a="1"/>
  <c r="E4713" i="1"/>
  <c r="E4714" i="1" a="1"/>
  <c r="E4714" i="1"/>
  <c r="E4715" i="1" a="1"/>
  <c r="E4715" i="1"/>
  <c r="E4717" i="1" a="1"/>
  <c r="E4717" i="1"/>
  <c r="E4718" i="1" a="1"/>
  <c r="E4718" i="1" s="1"/>
  <c r="E4720" i="1" a="1"/>
  <c r="E4720" i="1" s="1"/>
  <c r="E4721" i="1" a="1"/>
  <c r="E4721" i="1" s="1"/>
  <c r="E4722" i="1" a="1"/>
  <c r="E4722" i="1" s="1"/>
  <c r="E4724" i="1" a="1"/>
  <c r="E4724" i="1"/>
  <c r="E4725" i="1" a="1"/>
  <c r="E4725" i="1"/>
  <c r="E4726" i="1" a="1"/>
  <c r="E4726" i="1" s="1"/>
  <c r="E4727" i="1" a="1"/>
  <c r="E4727" i="1" s="1"/>
  <c r="E4728" i="1" a="1"/>
  <c r="E4728" i="1" s="1"/>
  <c r="E4730" i="1" a="1"/>
  <c r="E4730" i="1" s="1"/>
  <c r="E4731" i="1" a="1"/>
  <c r="E4731" i="1" s="1"/>
  <c r="E4733" i="1" a="1"/>
  <c r="E4733" i="1" s="1"/>
  <c r="E4734" i="1" a="1"/>
  <c r="E4734" i="1"/>
  <c r="E4735" i="1" a="1"/>
  <c r="E4735" i="1"/>
  <c r="E4736" i="1" a="1"/>
  <c r="E4736" i="1" s="1"/>
  <c r="E4737" i="1" a="1"/>
  <c r="E4737" i="1"/>
  <c r="E4739" i="1" a="1"/>
  <c r="E4739" i="1"/>
  <c r="E4740" i="1" a="1"/>
  <c r="E4740" i="1" s="1"/>
  <c r="E4741" i="1" a="1"/>
  <c r="E4741" i="1" s="1"/>
  <c r="E4742" i="1" a="1"/>
  <c r="E4742" i="1" s="1"/>
  <c r="E4743" i="1" a="1"/>
  <c r="E4743" i="1"/>
  <c r="E4744" i="1" a="1"/>
  <c r="E4744" i="1"/>
  <c r="E4745" i="1" a="1"/>
  <c r="E4745" i="1"/>
  <c r="E4746" i="1" a="1"/>
  <c r="E4746" i="1" s="1"/>
  <c r="E4747" i="1" a="1"/>
  <c r="E4747" i="1"/>
  <c r="E4748" i="1" a="1"/>
  <c r="E4748" i="1"/>
  <c r="E4749" i="1" a="1"/>
  <c r="E4749" i="1" s="1"/>
  <c r="E4750" i="1" a="1"/>
  <c r="E4750" i="1" s="1"/>
  <c r="E4751" i="1" a="1"/>
  <c r="E4751" i="1"/>
  <c r="E4752" i="1" a="1"/>
  <c r="E4752" i="1"/>
  <c r="E4753" i="1" a="1"/>
  <c r="E4753" i="1"/>
  <c r="E4755" i="1" a="1"/>
  <c r="E4755" i="1"/>
  <c r="E4756" i="1" a="1"/>
  <c r="E4756" i="1" s="1"/>
  <c r="E4757" i="1" a="1"/>
  <c r="E4757" i="1"/>
  <c r="E4758" i="1" a="1"/>
  <c r="E4758" i="1" s="1"/>
  <c r="E4759" i="1" a="1"/>
  <c r="E4759" i="1" s="1"/>
  <c r="E4760" i="1" a="1"/>
  <c r="E4760" i="1"/>
  <c r="E4761" i="1" a="1"/>
  <c r="E4761" i="1"/>
  <c r="E4762" i="1" a="1"/>
  <c r="E4762" i="1" s="1"/>
  <c r="E4763" i="1" a="1"/>
  <c r="E4763" i="1"/>
  <c r="E4764" i="1" a="1"/>
  <c r="E4764" i="1"/>
  <c r="E4765" i="1" a="1"/>
  <c r="E4765" i="1"/>
  <c r="E4766" i="1" a="1"/>
  <c r="E4766" i="1" s="1"/>
  <c r="E4767" i="1" a="1"/>
  <c r="E4767" i="1" s="1"/>
  <c r="E4768" i="1" a="1"/>
  <c r="E4768" i="1"/>
  <c r="E4769" i="1" a="1"/>
  <c r="E4769" i="1"/>
  <c r="E4770" i="1" a="1"/>
  <c r="E4770" i="1" s="1"/>
  <c r="E4771" i="1" a="1"/>
  <c r="E4771" i="1" s="1"/>
  <c r="E4772" i="1" a="1"/>
  <c r="E4772" i="1"/>
  <c r="E4774" i="1" a="1"/>
  <c r="E4774" i="1"/>
  <c r="E4775" i="1" a="1"/>
  <c r="E4775" i="1" s="1"/>
  <c r="E4776" i="1" a="1"/>
  <c r="E4776" i="1" s="1"/>
  <c r="E4777" i="1" a="1"/>
  <c r="E4777" i="1"/>
  <c r="E4778" i="1" a="1"/>
  <c r="E4778" i="1"/>
  <c r="E4779" i="1" a="1"/>
  <c r="E4779" i="1" s="1"/>
  <c r="E4780" i="1" a="1"/>
  <c r="E4780" i="1" s="1"/>
  <c r="E4782" i="1" a="1"/>
  <c r="E4782" i="1" s="1"/>
  <c r="E4783" i="1" a="1"/>
  <c r="E4783" i="1"/>
  <c r="E4784" i="1" a="1"/>
  <c r="E4784" i="1" s="1"/>
  <c r="E4785" i="1" a="1"/>
  <c r="E4785" i="1" s="1"/>
  <c r="E4786" i="1" a="1"/>
  <c r="E4786" i="1"/>
  <c r="E4787" i="1" a="1"/>
  <c r="E4787" i="1"/>
  <c r="E4788" i="1" a="1"/>
  <c r="E4788" i="1"/>
  <c r="E4789" i="1" a="1"/>
  <c r="E4789" i="1" s="1"/>
  <c r="E4790" i="1" a="1"/>
  <c r="E4790" i="1" s="1"/>
  <c r="E4791" i="1" a="1"/>
  <c r="E4791" i="1" s="1"/>
  <c r="E4792" i="1" a="1"/>
  <c r="E4792" i="1" s="1"/>
  <c r="E4793" i="1" a="1"/>
  <c r="E4793" i="1" s="1"/>
  <c r="E4794" i="1" a="1"/>
  <c r="E4794" i="1"/>
  <c r="E4795" i="1" a="1"/>
  <c r="E4795" i="1"/>
  <c r="E4796" i="1" a="1"/>
  <c r="E4796" i="1"/>
  <c r="E4797" i="1" a="1"/>
  <c r="E4797" i="1"/>
  <c r="E4798" i="1" a="1"/>
  <c r="E4798" i="1"/>
  <c r="E4799" i="1" a="1"/>
  <c r="E4799" i="1" s="1"/>
  <c r="E4800" i="1" a="1"/>
  <c r="E4800" i="1" s="1"/>
  <c r="E4801" i="1" a="1"/>
  <c r="E4801" i="1" s="1"/>
  <c r="E4802" i="1" a="1"/>
  <c r="E4802" i="1"/>
  <c r="E4803" i="1" a="1"/>
  <c r="E4803" i="1"/>
  <c r="E4804" i="1" a="1"/>
  <c r="E4804" i="1"/>
  <c r="E4805" i="1" a="1"/>
  <c r="E4805" i="1" s="1"/>
  <c r="E4808" i="1" a="1"/>
  <c r="E4808" i="1" s="1"/>
  <c r="E4809" i="1" a="1"/>
  <c r="E4809" i="1"/>
  <c r="E4810" i="1" a="1"/>
  <c r="E4810" i="1" s="1"/>
  <c r="E4811" i="1" a="1"/>
  <c r="E4811" i="1" s="1"/>
  <c r="E4812" i="1" a="1"/>
  <c r="E4812" i="1"/>
  <c r="E4813" i="1" a="1"/>
  <c r="E4813" i="1"/>
  <c r="E4815" i="1" a="1"/>
  <c r="E4815" i="1"/>
  <c r="E4816" i="1" a="1"/>
  <c r="E4816" i="1"/>
  <c r="E4817" i="1" a="1"/>
  <c r="E4817" i="1" s="1"/>
  <c r="E4818" i="1" a="1"/>
  <c r="E4818" i="1" s="1"/>
  <c r="E4819" i="1" a="1"/>
  <c r="E4819" i="1" s="1"/>
  <c r="E4820" i="1" a="1"/>
  <c r="E4820" i="1" s="1"/>
  <c r="E4821" i="1" a="1"/>
  <c r="E4821" i="1"/>
  <c r="K4821" i="1" a="1"/>
  <c r="K4821" i="1"/>
  <c r="E4822" i="1" a="1"/>
  <c r="E4822" i="1"/>
  <c r="E4827" i="1" a="1"/>
  <c r="E4827" i="1"/>
  <c r="E4828" i="1" a="1"/>
  <c r="E4828" i="1"/>
  <c r="E4830" i="1" a="1"/>
  <c r="E4830" i="1" s="1"/>
  <c r="E4831" i="1" a="1"/>
  <c r="E4831" i="1" s="1"/>
  <c r="E4832" i="1" a="1"/>
  <c r="E4832" i="1" s="1"/>
  <c r="E4833" i="1" a="1"/>
  <c r="E4833" i="1"/>
  <c r="E4834" i="1" a="1"/>
  <c r="E4834" i="1"/>
  <c r="E4835" i="1" a="1"/>
  <c r="E4835" i="1" s="1"/>
  <c r="E4836" i="1" a="1"/>
  <c r="E4836" i="1" s="1"/>
  <c r="E4837" i="1" a="1"/>
  <c r="E4837" i="1"/>
  <c r="E4838" i="1" a="1"/>
  <c r="E4838" i="1"/>
  <c r="E4839" i="1" a="1"/>
  <c r="E4839" i="1" s="1"/>
  <c r="E4842" i="1" a="1"/>
  <c r="E4842" i="1" s="1"/>
  <c r="E4843" i="1" a="1"/>
  <c r="E4843" i="1"/>
  <c r="E4844" i="1" a="1"/>
  <c r="E4844" i="1"/>
  <c r="E4845" i="1" a="1"/>
  <c r="E4845" i="1" s="1"/>
  <c r="E4846" i="1" a="1"/>
  <c r="E4846" i="1" s="1"/>
  <c r="E4847" i="1" a="1"/>
  <c r="E4847" i="1" s="1"/>
  <c r="E4848" i="1" a="1"/>
  <c r="E4848" i="1" s="1"/>
  <c r="E4850" i="1" a="1"/>
  <c r="E4850" i="1" s="1"/>
  <c r="E4851" i="1" a="1"/>
  <c r="E4851" i="1" s="1"/>
  <c r="E4852" i="1" a="1"/>
  <c r="E4852" i="1"/>
  <c r="E4853" i="1" a="1"/>
  <c r="E4853" i="1"/>
  <c r="E4854" i="1" a="1"/>
  <c r="E4854" i="1"/>
  <c r="E4855" i="1" a="1"/>
  <c r="E4855" i="1" s="1"/>
  <c r="E4856" i="1" a="1"/>
  <c r="E4856" i="1" s="1"/>
  <c r="E4857" i="1" a="1"/>
  <c r="E4857" i="1" s="1"/>
  <c r="E4858" i="1" a="1"/>
  <c r="E4858" i="1" s="1"/>
  <c r="E4859" i="1" a="1"/>
  <c r="E4859" i="1" s="1"/>
  <c r="E4860" i="1" a="1"/>
  <c r="E4860" i="1"/>
  <c r="E4861" i="1" a="1"/>
  <c r="E4861" i="1"/>
  <c r="E4862" i="1" a="1"/>
  <c r="E4862" i="1"/>
  <c r="E4863" i="1" a="1"/>
  <c r="E4863" i="1"/>
  <c r="E4864" i="1" a="1"/>
  <c r="E4864" i="1" s="1"/>
  <c r="E4865" i="1" a="1"/>
  <c r="E4865" i="1" s="1"/>
  <c r="E4866" i="1" a="1"/>
  <c r="E4866" i="1" s="1"/>
  <c r="E4868" i="1" a="1"/>
  <c r="E4868" i="1" s="1"/>
  <c r="E4869" i="1" a="1"/>
  <c r="E4869" i="1"/>
  <c r="E4870" i="1" a="1"/>
  <c r="E4870" i="1"/>
  <c r="E4871" i="1" a="1"/>
  <c r="E4871" i="1" s="1"/>
  <c r="E4872" i="1" a="1"/>
  <c r="E4872" i="1"/>
  <c r="E4873" i="1" a="1"/>
  <c r="E4873" i="1"/>
  <c r="E4874" i="1" a="1"/>
  <c r="E4874" i="1" s="1"/>
  <c r="E4875" i="1" a="1"/>
  <c r="E4875" i="1" s="1"/>
  <c r="E4876" i="1" a="1"/>
  <c r="E4876" i="1" s="1"/>
  <c r="E4877" i="1" a="1"/>
  <c r="E4877" i="1"/>
  <c r="E4878" i="1" a="1"/>
  <c r="E4878" i="1"/>
  <c r="E4879" i="1" a="1"/>
  <c r="E4879" i="1" s="1"/>
  <c r="E4880" i="1" a="1"/>
  <c r="E4880" i="1"/>
  <c r="E4881" i="1" a="1"/>
  <c r="E4881" i="1"/>
  <c r="E4882" i="1" a="1"/>
  <c r="E4882" i="1"/>
  <c r="E4883" i="1" a="1"/>
  <c r="E4883" i="1" s="1"/>
  <c r="E4884" i="1" a="1"/>
  <c r="E4884" i="1" s="1"/>
  <c r="E4885" i="1" a="1"/>
  <c r="E4885" i="1"/>
  <c r="E4886" i="1" a="1"/>
  <c r="E4886" i="1"/>
  <c r="E4887" i="1" a="1"/>
  <c r="E4887" i="1" s="1"/>
  <c r="E4888" i="1" a="1"/>
  <c r="E4888" i="1" s="1"/>
  <c r="E4889" i="1" a="1"/>
  <c r="E4889" i="1"/>
  <c r="E4890" i="1" a="1"/>
  <c r="E4890" i="1"/>
  <c r="E4891" i="1" a="1"/>
  <c r="E4891" i="1" s="1"/>
  <c r="E4892" i="1" a="1"/>
  <c r="E4892" i="1" s="1"/>
  <c r="E4893" i="1" a="1"/>
  <c r="E4893" i="1"/>
  <c r="E4894" i="1" a="1"/>
  <c r="E4894" i="1"/>
  <c r="E4895" i="1" a="1"/>
  <c r="E4895" i="1"/>
  <c r="E4896" i="1" a="1"/>
  <c r="E4896" i="1"/>
  <c r="E4897" i="1" a="1"/>
  <c r="E4897" i="1" s="1"/>
  <c r="E4898" i="1" a="1"/>
  <c r="E4898" i="1"/>
  <c r="E4899" i="1" a="1"/>
  <c r="E4899" i="1" s="1"/>
  <c r="E4900" i="1" a="1"/>
  <c r="E4900" i="1" s="1"/>
  <c r="E4901" i="1" a="1"/>
  <c r="E4901" i="1"/>
  <c r="E4902" i="1" a="1"/>
  <c r="E4902" i="1"/>
  <c r="E4903" i="1" a="1"/>
  <c r="E4903" i="1" s="1"/>
  <c r="E4904" i="1" a="1"/>
  <c r="E4904" i="1"/>
  <c r="E4905" i="1" a="1"/>
  <c r="E4905" i="1"/>
  <c r="E4906" i="1" a="1"/>
  <c r="E4906" i="1"/>
  <c r="E4907" i="1" a="1"/>
  <c r="E4907" i="1" s="1"/>
  <c r="E4909" i="1" a="1"/>
  <c r="E4909" i="1" s="1"/>
  <c r="E4910" i="1" a="1"/>
  <c r="E4910" i="1"/>
  <c r="E4911" i="1" a="1"/>
  <c r="E4911" i="1"/>
  <c r="E4912" i="1" a="1"/>
  <c r="E4912" i="1" s="1"/>
  <c r="E4913" i="1" a="1"/>
  <c r="E4913" i="1" s="1"/>
  <c r="E4914" i="1" a="1"/>
  <c r="E4914" i="1"/>
  <c r="E4915" i="1" a="1"/>
  <c r="E4915" i="1"/>
  <c r="E4916" i="1" a="1"/>
  <c r="E4916" i="1" s="1"/>
  <c r="E4917" i="1" a="1"/>
  <c r="E4917" i="1" s="1"/>
  <c r="E4918" i="1" a="1"/>
  <c r="E4918" i="1"/>
  <c r="E4919" i="1" a="1"/>
  <c r="E4919" i="1"/>
  <c r="E4920" i="1" a="1"/>
  <c r="E4920" i="1" s="1"/>
  <c r="E4921" i="1" a="1"/>
  <c r="E4921" i="1" s="1"/>
  <c r="E4922" i="1" a="1"/>
  <c r="E4922" i="1" s="1"/>
  <c r="E4923" i="1" a="1"/>
  <c r="E4923" i="1"/>
  <c r="E4924" i="1" a="1"/>
  <c r="E4924" i="1" s="1"/>
  <c r="E4925" i="1" a="1"/>
  <c r="E4925" i="1" s="1"/>
  <c r="E4926" i="1" a="1"/>
  <c r="E4926" i="1"/>
  <c r="E4927" i="1" a="1"/>
  <c r="E4927" i="1"/>
  <c r="E4929" i="1" a="1"/>
  <c r="E4929" i="1"/>
  <c r="E4930" i="1" a="1"/>
  <c r="E4930" i="1" s="1"/>
  <c r="E4931" i="1" a="1"/>
  <c r="E4931" i="1" s="1"/>
  <c r="E4932" i="1" a="1"/>
  <c r="E4932" i="1" s="1"/>
  <c r="E4933" i="1" a="1"/>
  <c r="E4933" i="1" s="1"/>
  <c r="E4934" i="1" a="1"/>
  <c r="E4934" i="1" s="1"/>
  <c r="E4935" i="1" a="1"/>
  <c r="E4935" i="1"/>
  <c r="E4936" i="1" a="1"/>
  <c r="E4936" i="1"/>
  <c r="E4937" i="1" a="1"/>
  <c r="E4937" i="1"/>
  <c r="E4938" i="1" a="1"/>
  <c r="E4938" i="1"/>
  <c r="E4940" i="1" a="1"/>
  <c r="E4940" i="1"/>
  <c r="E4941" i="1" a="1"/>
  <c r="E4941" i="1" s="1"/>
  <c r="E4942" i="1" a="1"/>
  <c r="E4942" i="1" s="1"/>
  <c r="E4943" i="1" a="1"/>
  <c r="E4943" i="1" s="1"/>
  <c r="E4944" i="1" a="1"/>
  <c r="E4944" i="1"/>
  <c r="E4945" i="1" a="1"/>
  <c r="E4945" i="1"/>
  <c r="E4946" i="1" a="1"/>
  <c r="E4946" i="1"/>
  <c r="E4947" i="1" a="1"/>
  <c r="E4947" i="1"/>
  <c r="E4948" i="1" a="1"/>
  <c r="E4948" i="1"/>
  <c r="E4949" i="1" a="1"/>
  <c r="E4949" i="1"/>
  <c r="E4951" i="1" a="1"/>
  <c r="E4951" i="1" s="1"/>
  <c r="E4952" i="1" a="1"/>
  <c r="E4952" i="1" s="1"/>
  <c r="E4953" i="1" a="1"/>
  <c r="E4953" i="1"/>
  <c r="E4954" i="1" a="1"/>
  <c r="E4954" i="1"/>
  <c r="E4955" i="1" a="1"/>
  <c r="E4955" i="1"/>
  <c r="E4956" i="1" a="1"/>
  <c r="E4956" i="1"/>
  <c r="E4957" i="1" a="1"/>
  <c r="E4957" i="1"/>
  <c r="E4958" i="1" a="1"/>
  <c r="E4958" i="1"/>
  <c r="E4959" i="1" a="1"/>
  <c r="E4959" i="1" s="1"/>
  <c r="E4960" i="1" a="1"/>
  <c r="E4960" i="1" s="1"/>
  <c r="E4961" i="1" a="1"/>
  <c r="E4961" i="1"/>
  <c r="E4962" i="1" a="1"/>
  <c r="E4962" i="1" s="1"/>
  <c r="E4963" i="1" a="1"/>
  <c r="E4963" i="1"/>
  <c r="E4964" i="1" a="1"/>
  <c r="E4964" i="1" s="1"/>
  <c r="E4965" i="1" a="1"/>
  <c r="E4965" i="1"/>
  <c r="E4966" i="1" a="1"/>
  <c r="E4966" i="1"/>
  <c r="E4967" i="1" a="1"/>
  <c r="E4967" i="1"/>
  <c r="E4968" i="1" a="1"/>
  <c r="E4968" i="1"/>
  <c r="E4969" i="1" a="1"/>
  <c r="E4969" i="1"/>
  <c r="E4970" i="1" a="1"/>
  <c r="E4970" i="1" s="1"/>
  <c r="E4971" i="1" a="1"/>
  <c r="E4971" i="1"/>
  <c r="E4972" i="1" a="1"/>
  <c r="E4972" i="1"/>
  <c r="E4973" i="1" a="1"/>
  <c r="E4973" i="1"/>
  <c r="E4974" i="1" a="1"/>
  <c r="E4974" i="1"/>
  <c r="E4975" i="1" a="1"/>
  <c r="E4975" i="1"/>
  <c r="E4976" i="1" a="1"/>
  <c r="E4976" i="1" s="1"/>
  <c r="E4977" i="1" a="1"/>
  <c r="E4977" i="1"/>
  <c r="E4978" i="1" a="1"/>
  <c r="E4978" i="1" s="1"/>
  <c r="E4979" i="1" a="1"/>
  <c r="E4979" i="1" s="1"/>
  <c r="E4980" i="1" a="1"/>
  <c r="E4980" i="1"/>
  <c r="E4981" i="1" a="1"/>
  <c r="E4981" i="1"/>
  <c r="E4982" i="1" a="1"/>
  <c r="E4982" i="1" s="1"/>
  <c r="E4983" i="1" a="1"/>
  <c r="E4983" i="1"/>
  <c r="E4984" i="1" a="1"/>
  <c r="E4984" i="1"/>
  <c r="E4985" i="1" a="1"/>
  <c r="E4985" i="1"/>
  <c r="E4986" i="1" a="1"/>
  <c r="E4986" i="1" s="1"/>
  <c r="E4987" i="1" a="1"/>
  <c r="E4987" i="1"/>
  <c r="E4988" i="1" a="1"/>
  <c r="E4988" i="1"/>
  <c r="E4989" i="1" a="1"/>
  <c r="E4989" i="1" s="1"/>
  <c r="E4990" i="1" a="1"/>
  <c r="E4990" i="1" s="1"/>
  <c r="E4991" i="1" a="1"/>
  <c r="E4991" i="1"/>
  <c r="E4992" i="1" a="1"/>
  <c r="E4992" i="1"/>
  <c r="E4993" i="1" a="1"/>
  <c r="E4993" i="1"/>
  <c r="E4994" i="1" a="1"/>
  <c r="E4994" i="1" s="1"/>
  <c r="E4995" i="1" a="1"/>
  <c r="E4995" i="1" s="1"/>
  <c r="E4996" i="1" a="1"/>
  <c r="E4996" i="1" s="1"/>
  <c r="E4997" i="1" a="1"/>
  <c r="E4997" i="1"/>
  <c r="E4998" i="1" a="1"/>
  <c r="E4998" i="1"/>
  <c r="E4999" i="1" a="1"/>
  <c r="E4999" i="1"/>
  <c r="E5000" i="1" a="1"/>
  <c r="E5000" i="1"/>
  <c r="E5001" i="1" a="1"/>
  <c r="E5001" i="1"/>
  <c r="E5002" i="1" a="1"/>
  <c r="E5002" i="1" s="1"/>
  <c r="E5003" i="1" a="1"/>
  <c r="E5003" i="1"/>
  <c r="E5004" i="1" a="1"/>
  <c r="E5004" i="1"/>
  <c r="E5005" i="1" a="1"/>
  <c r="E5005" i="1"/>
  <c r="E5006" i="1" a="1"/>
  <c r="E5006" i="1" s="1"/>
  <c r="E5007" i="1" a="1"/>
  <c r="E5007" i="1" s="1"/>
  <c r="E5008" i="1" a="1"/>
  <c r="E5008" i="1" s="1"/>
  <c r="E5009" i="1" a="1"/>
  <c r="E5009" i="1"/>
  <c r="E5010" i="1" a="1"/>
  <c r="E5010" i="1" s="1"/>
  <c r="E5011" i="1" a="1"/>
  <c r="E5011" i="1"/>
  <c r="E5012" i="1" a="1"/>
  <c r="E5012" i="1" s="1"/>
  <c r="E5013" i="1" a="1"/>
  <c r="E5013" i="1" s="1"/>
  <c r="E5014" i="1" a="1"/>
  <c r="E5014" i="1"/>
  <c r="E5015" i="1" a="1"/>
  <c r="E5015" i="1"/>
  <c r="E5016" i="1" a="1"/>
  <c r="E5016" i="1"/>
  <c r="E5017" i="1" a="1"/>
  <c r="E5017" i="1" s="1"/>
  <c r="E5018" i="1" a="1"/>
  <c r="E5018" i="1" s="1"/>
  <c r="E5019" i="1" a="1"/>
  <c r="E5019" i="1"/>
  <c r="E5020" i="1" a="1"/>
  <c r="E5020" i="1"/>
  <c r="E5021" i="1" a="1"/>
  <c r="E5021" i="1" s="1"/>
  <c r="E5022" i="1" a="1"/>
  <c r="E5022" i="1" s="1"/>
  <c r="E5023" i="1" a="1"/>
  <c r="E5023" i="1"/>
  <c r="E5024" i="1" a="1"/>
  <c r="E5024" i="1" s="1"/>
  <c r="E5025" i="1" a="1"/>
  <c r="E5025" i="1" s="1"/>
  <c r="E5026" i="1" a="1"/>
  <c r="E5026" i="1" s="1"/>
  <c r="E5027" i="1" a="1"/>
  <c r="E5027" i="1" s="1"/>
  <c r="O5027" i="1" a="1"/>
  <c r="O5027" i="1" s="1"/>
  <c r="E5028" i="1" a="1"/>
  <c r="E5028" i="1"/>
  <c r="E5029" i="1" a="1"/>
  <c r="E5029" i="1" s="1"/>
  <c r="E5030" i="1" a="1"/>
  <c r="E5030" i="1" s="1"/>
  <c r="E5031" i="1" a="1"/>
  <c r="E5031" i="1"/>
  <c r="E5032" i="1" a="1"/>
  <c r="E5032" i="1" s="1"/>
  <c r="E5033" i="1" a="1"/>
  <c r="E5033" i="1" s="1"/>
  <c r="E5034" i="1" a="1"/>
  <c r="E5034" i="1" s="1"/>
  <c r="E5035" i="1" a="1"/>
  <c r="E5035" i="1"/>
  <c r="E5036" i="1" a="1"/>
  <c r="E5036" i="1" s="1"/>
  <c r="E5037" i="1" a="1"/>
  <c r="E5037" i="1"/>
  <c r="E5038" i="1" a="1"/>
  <c r="E5038" i="1" s="1"/>
  <c r="E5039" i="1" a="1"/>
  <c r="E5039" i="1" s="1"/>
  <c r="E5040" i="1" a="1"/>
  <c r="E5040" i="1" s="1"/>
  <c r="E5041" i="1" a="1"/>
  <c r="E5041" i="1" s="1"/>
  <c r="E5042" i="1" a="1"/>
  <c r="E5042" i="1" s="1"/>
  <c r="E5043" i="1" a="1"/>
  <c r="E5043" i="1" s="1"/>
  <c r="E5044" i="1" a="1"/>
  <c r="E5044" i="1" s="1"/>
  <c r="E5045" i="1" a="1"/>
  <c r="E5045" i="1"/>
  <c r="E5046" i="1" a="1"/>
  <c r="E5046" i="1"/>
  <c r="E5047" i="1" a="1"/>
  <c r="E5047" i="1" s="1"/>
  <c r="E5048" i="1" a="1"/>
  <c r="E5048" i="1" s="1"/>
  <c r="E5049" i="1" a="1"/>
  <c r="E5049" i="1" s="1"/>
  <c r="E5050" i="1" a="1"/>
  <c r="E5050" i="1"/>
  <c r="E5051" i="1" a="1"/>
  <c r="E5051" i="1"/>
  <c r="E5052" i="1" a="1"/>
  <c r="E5052" i="1" s="1"/>
  <c r="E5053" i="1" a="1"/>
  <c r="E5053" i="1"/>
  <c r="E5054" i="1" a="1"/>
  <c r="E5054" i="1" s="1"/>
  <c r="E5055" i="1" a="1"/>
  <c r="E5055" i="1"/>
  <c r="E5056" i="1" a="1"/>
  <c r="E5056" i="1" s="1"/>
  <c r="E5057" i="1" a="1"/>
  <c r="E5057" i="1" s="1"/>
  <c r="E5058" i="1" a="1"/>
  <c r="E5058" i="1" s="1"/>
  <c r="E5059" i="1" a="1"/>
  <c r="E5059" i="1"/>
  <c r="E5060" i="1" a="1"/>
  <c r="E5060" i="1" s="1"/>
  <c r="E5061" i="1" a="1"/>
  <c r="E5061" i="1"/>
  <c r="E5062" i="1" a="1"/>
  <c r="E5062" i="1" s="1"/>
  <c r="E5063" i="1" a="1"/>
  <c r="E5063" i="1" s="1"/>
  <c r="E5064" i="1" a="1"/>
  <c r="E5064" i="1" s="1"/>
  <c r="E5065" i="1" a="1"/>
  <c r="E5065" i="1" s="1"/>
  <c r="E5066" i="1" a="1"/>
  <c r="E5066" i="1" s="1"/>
  <c r="E5067" i="1" a="1"/>
  <c r="E5067" i="1" s="1"/>
  <c r="E5068" i="1" a="1"/>
  <c r="E5068" i="1"/>
  <c r="E5069" i="1" a="1"/>
  <c r="E5069" i="1"/>
  <c r="E5070" i="1" a="1"/>
  <c r="E5070" i="1" s="1"/>
  <c r="E5071" i="1" a="1"/>
  <c r="E5071" i="1" s="1"/>
  <c r="E5072" i="1" a="1"/>
  <c r="E5072" i="1" s="1"/>
  <c r="E5073" i="1" a="1"/>
  <c r="E5073" i="1" s="1"/>
  <c r="E5074" i="1" a="1"/>
  <c r="E5074" i="1" s="1"/>
  <c r="E5075" i="1" a="1"/>
  <c r="E5075" i="1" s="1"/>
  <c r="E5076" i="1" a="1"/>
  <c r="E5076" i="1" s="1"/>
  <c r="E5077" i="1" a="1"/>
  <c r="E5077" i="1"/>
  <c r="E5078" i="1" a="1"/>
  <c r="E5078" i="1"/>
  <c r="E5079" i="1" a="1"/>
  <c r="E5079" i="1"/>
  <c r="E5080" i="1" a="1"/>
  <c r="E5080" i="1" s="1"/>
  <c r="E5081" i="1" a="1"/>
  <c r="E5081" i="1" s="1"/>
  <c r="E5082" i="1" a="1"/>
  <c r="E5082" i="1"/>
  <c r="E5083" i="1" a="1"/>
  <c r="E5083" i="1" s="1"/>
  <c r="E5084" i="1" a="1"/>
  <c r="E5084" i="1" s="1"/>
  <c r="E5085" i="1" a="1"/>
  <c r="E5085" i="1" s="1"/>
  <c r="E5086" i="1" a="1"/>
  <c r="E5086" i="1"/>
  <c r="E5087" i="1" a="1"/>
  <c r="E5087" i="1"/>
  <c r="E5088" i="1" a="1"/>
  <c r="E5088" i="1" s="1"/>
  <c r="E5089" i="1" a="1"/>
  <c r="E5089" i="1" s="1"/>
  <c r="E5090" i="1" a="1"/>
  <c r="E5090" i="1"/>
  <c r="E5091" i="1" a="1"/>
  <c r="E5091" i="1"/>
  <c r="E5092" i="1" a="1"/>
  <c r="E5092" i="1" s="1"/>
  <c r="E5093" i="1" a="1"/>
  <c r="E5093" i="1" s="1"/>
  <c r="E5094" i="1" a="1"/>
  <c r="E5094" i="1" s="1"/>
  <c r="E5095" i="1" a="1"/>
  <c r="E5095" i="1"/>
  <c r="E5096" i="1" a="1"/>
  <c r="E5096" i="1" s="1"/>
  <c r="E5097" i="1" a="1"/>
  <c r="E5097" i="1" s="1"/>
  <c r="E5098" i="1" a="1"/>
  <c r="E5098" i="1"/>
  <c r="E5099" i="1" a="1"/>
  <c r="E5099" i="1" s="1"/>
  <c r="E5100" i="1" a="1"/>
  <c r="E5100" i="1"/>
  <c r="E5101" i="1" a="1"/>
  <c r="E5101" i="1"/>
  <c r="E5102" i="1" a="1"/>
  <c r="E5102" i="1" s="1"/>
  <c r="E5103" i="1" a="1"/>
  <c r="E5103" i="1" s="1"/>
  <c r="E5104" i="1" a="1"/>
  <c r="E5104" i="1" s="1"/>
  <c r="E5105" i="1" a="1"/>
  <c r="E5105" i="1" s="1"/>
  <c r="E5106" i="1" a="1"/>
  <c r="E5106" i="1" s="1"/>
  <c r="E5107" i="1" a="1"/>
  <c r="E5107" i="1"/>
  <c r="E5108" i="1" a="1"/>
  <c r="E5108" i="1"/>
  <c r="E5110" i="1" a="1"/>
  <c r="E5110" i="1"/>
  <c r="E5111" i="1" a="1"/>
  <c r="E5111" i="1" s="1"/>
  <c r="E5117" i="1" a="1"/>
  <c r="E5117" i="1" s="1"/>
  <c r="E5120" i="1" a="1"/>
  <c r="E5120" i="1" s="1"/>
  <c r="E5121" i="1" a="1"/>
  <c r="E5121" i="1" s="1"/>
  <c r="E5122" i="1" a="1"/>
  <c r="E5122" i="1"/>
  <c r="E5123" i="1" a="1"/>
  <c r="E5123" i="1"/>
  <c r="E5124" i="1" a="1"/>
  <c r="E5124" i="1" s="1"/>
  <c r="E5125" i="1" a="1"/>
  <c r="E5125" i="1" s="1"/>
  <c r="E5126" i="1" a="1"/>
  <c r="E5126" i="1"/>
  <c r="E5127" i="1" a="1"/>
  <c r="E5127" i="1"/>
  <c r="E5128" i="1" a="1"/>
  <c r="E5128" i="1" s="1"/>
  <c r="E5129" i="1" a="1"/>
  <c r="E5129" i="1" s="1"/>
  <c r="E5130" i="1" a="1"/>
  <c r="E5130" i="1" s="1"/>
  <c r="E5131" i="1" a="1"/>
  <c r="E5131" i="1"/>
  <c r="E5133" i="1" a="1"/>
  <c r="E5133" i="1" s="1"/>
  <c r="E5134" i="1" a="1"/>
  <c r="E5134" i="1" s="1"/>
  <c r="E5135" i="1" a="1"/>
  <c r="E5135" i="1"/>
  <c r="E5136" i="1" a="1"/>
  <c r="E5136" i="1"/>
  <c r="E5137" i="1" a="1"/>
  <c r="E5137" i="1" s="1"/>
  <c r="E5138" i="1" a="1"/>
  <c r="E5138" i="1" s="1"/>
  <c r="E5139" i="1" a="1"/>
  <c r="E5139" i="1" s="1"/>
  <c r="E5140" i="1" a="1"/>
  <c r="E5140" i="1" s="1"/>
  <c r="E5141" i="1" a="1"/>
  <c r="E5141" i="1"/>
  <c r="E5142" i="1" a="1"/>
  <c r="E5142" i="1"/>
  <c r="E5143" i="1" a="1"/>
  <c r="E5143" i="1" s="1"/>
  <c r="E5144" i="1" a="1"/>
  <c r="E5144" i="1" s="1"/>
  <c r="E5145" i="1" a="1"/>
  <c r="E5145" i="1" s="1"/>
  <c r="E5148" i="1" a="1"/>
  <c r="E5148" i="1" s="1"/>
  <c r="E5151" i="1" a="1"/>
  <c r="E5151" i="1" s="1"/>
  <c r="E5152" i="1" a="1"/>
  <c r="E5152" i="1" s="1"/>
  <c r="E5153" i="1" a="1"/>
  <c r="E5153" i="1" s="1"/>
  <c r="E5156" i="1" a="1"/>
  <c r="E5156" i="1"/>
  <c r="E5157" i="1" a="1"/>
  <c r="E5157" i="1"/>
  <c r="E5158" i="1" a="1"/>
  <c r="E5158" i="1"/>
  <c r="E5159" i="1" a="1"/>
  <c r="E5159" i="1" s="1"/>
  <c r="E5160" i="1" a="1"/>
  <c r="E5160" i="1" s="1"/>
  <c r="E5161" i="1" a="1"/>
  <c r="E5161" i="1" s="1"/>
  <c r="E5162" i="1" a="1"/>
  <c r="E5162" i="1"/>
  <c r="E5163" i="1" a="1"/>
  <c r="E5163" i="1" s="1"/>
  <c r="E5164" i="1" a="1"/>
  <c r="E5164" i="1" s="1"/>
  <c r="E5165" i="1" a="1"/>
  <c r="E5165" i="1"/>
  <c r="E5166" i="1" a="1"/>
  <c r="E5166" i="1"/>
  <c r="E5167" i="1" a="1"/>
  <c r="E5167" i="1" s="1"/>
  <c r="E5169" i="1" a="1"/>
  <c r="E5169" i="1" s="1"/>
  <c r="E5170" i="1" a="1"/>
  <c r="E5170" i="1"/>
  <c r="E5171" i="1" a="1"/>
  <c r="E5171" i="1" s="1"/>
  <c r="E5172" i="1" a="1"/>
  <c r="E5172" i="1" s="1"/>
  <c r="E5173" i="1" a="1"/>
  <c r="E5173" i="1" s="1"/>
  <c r="E5174" i="1" a="1"/>
  <c r="E5174" i="1" s="1"/>
  <c r="E5175" i="1" a="1"/>
  <c r="E5175" i="1"/>
  <c r="E5176" i="1" a="1"/>
  <c r="E5176" i="1" s="1"/>
  <c r="E5177" i="1" a="1"/>
  <c r="E5177" i="1" s="1"/>
  <c r="E5178" i="1" a="1"/>
  <c r="E5178" i="1"/>
  <c r="E5181" i="1" a="1"/>
  <c r="E5181" i="1"/>
  <c r="E5182" i="1" a="1"/>
  <c r="E5182" i="1"/>
  <c r="E5183" i="1" a="1"/>
  <c r="E5183" i="1" s="1"/>
  <c r="E5184" i="1" a="1"/>
  <c r="E5184" i="1" s="1"/>
  <c r="E5186" i="1" a="1"/>
  <c r="E5186" i="1" s="1"/>
  <c r="E5187" i="1" a="1"/>
  <c r="E5187" i="1" s="1"/>
  <c r="E5188" i="1" a="1"/>
  <c r="E5188" i="1" s="1"/>
  <c r="E5189" i="1" a="1"/>
  <c r="E5189" i="1"/>
  <c r="E5190" i="1" a="1"/>
  <c r="E5190" i="1" s="1"/>
  <c r="E5191" i="1" a="1"/>
  <c r="E5191" i="1" s="1"/>
  <c r="E5192" i="1" a="1"/>
  <c r="E5192" i="1"/>
  <c r="E5194" i="1" a="1"/>
  <c r="E5194" i="1"/>
  <c r="E5196" i="1" a="1"/>
  <c r="E5196" i="1" s="1"/>
  <c r="E5197" i="1" a="1"/>
  <c r="E5197" i="1" s="1"/>
  <c r="E5198" i="1" a="1"/>
  <c r="E5198" i="1" s="1"/>
  <c r="E5199" i="1" a="1"/>
  <c r="E5199" i="1"/>
  <c r="E5200" i="1" a="1"/>
  <c r="E5200" i="1" s="1"/>
  <c r="E5201" i="1" a="1"/>
  <c r="E5201" i="1" s="1"/>
  <c r="E5202" i="1" a="1"/>
  <c r="E5202" i="1"/>
  <c r="E5203" i="1" a="1"/>
  <c r="E5203" i="1"/>
  <c r="E5204" i="1" a="1"/>
  <c r="E5204" i="1"/>
  <c r="E5205" i="1" a="1"/>
  <c r="E5205" i="1" s="1"/>
  <c r="E5206" i="1" a="1"/>
  <c r="E5206" i="1" s="1"/>
  <c r="E5207" i="1" a="1"/>
  <c r="E5207" i="1" s="1"/>
  <c r="E5208" i="1" a="1"/>
  <c r="E5208" i="1"/>
  <c r="E5209" i="1" a="1"/>
  <c r="E5209" i="1"/>
  <c r="E5210" i="1" a="1"/>
  <c r="E5210" i="1" s="1"/>
  <c r="E5211" i="1" a="1"/>
  <c r="E5211" i="1" s="1"/>
  <c r="E5212" i="1" a="1"/>
  <c r="E5212" i="1" s="1"/>
  <c r="E5213" i="1" a="1"/>
  <c r="E5213" i="1" s="1"/>
  <c r="E5214" i="1" a="1"/>
  <c r="E5214" i="1" s="1"/>
  <c r="E5215" i="1" a="1"/>
  <c r="E5215" i="1" s="1"/>
  <c r="E5216" i="1" a="1"/>
  <c r="E5216" i="1" s="1"/>
  <c r="E5217" i="1" a="1"/>
  <c r="E5217" i="1"/>
  <c r="E5218" i="1" a="1"/>
  <c r="E5218" i="1" s="1"/>
  <c r="E5219" i="1" a="1"/>
  <c r="E5219" i="1"/>
  <c r="E5220" i="1" a="1"/>
  <c r="E5220" i="1" s="1"/>
  <c r="E5221" i="1" a="1"/>
  <c r="E5221" i="1" s="1"/>
  <c r="E5222" i="1" a="1"/>
  <c r="E5222" i="1" s="1"/>
  <c r="E5223" i="1" a="1"/>
  <c r="E5223" i="1"/>
  <c r="E5224" i="1" a="1"/>
  <c r="E5224" i="1" s="1"/>
  <c r="E5225" i="1" a="1"/>
  <c r="E5225" i="1" s="1"/>
  <c r="E5226" i="1" a="1"/>
  <c r="E5226" i="1"/>
  <c r="E5227" i="1" a="1"/>
  <c r="E5227" i="1" s="1"/>
  <c r="E5228" i="1" a="1"/>
  <c r="E5228" i="1" s="1"/>
  <c r="E5229" i="1" a="1"/>
  <c r="E5229" i="1" s="1"/>
  <c r="E5230" i="1" a="1"/>
  <c r="E5230" i="1" s="1"/>
  <c r="E5231" i="1" a="1"/>
  <c r="E5231" i="1" s="1"/>
  <c r="E5232" i="1" a="1"/>
  <c r="E5232" i="1" s="1"/>
  <c r="E5233" i="1" a="1"/>
  <c r="E5233" i="1" s="1"/>
  <c r="E5234" i="1" a="1"/>
  <c r="E5234" i="1" s="1"/>
  <c r="E5235" i="1" a="1"/>
  <c r="E5235" i="1"/>
  <c r="E5236" i="1" a="1"/>
  <c r="E5236" i="1"/>
  <c r="E5237" i="1" a="1"/>
  <c r="E5237" i="1" s="1"/>
  <c r="E5238" i="1" a="1"/>
  <c r="E5238" i="1" s="1"/>
  <c r="E5239" i="1" a="1"/>
  <c r="E5239" i="1" s="1"/>
  <c r="E5240" i="1" a="1"/>
  <c r="E5240" i="1"/>
  <c r="E5241" i="1" a="1"/>
  <c r="E5241" i="1" s="1"/>
  <c r="E5242" i="1" a="1"/>
  <c r="E5242" i="1" s="1"/>
  <c r="E5243" i="1" a="1"/>
  <c r="E5243" i="1" s="1"/>
  <c r="E5244" i="1" a="1"/>
  <c r="E5244" i="1"/>
  <c r="E5245" i="1" a="1"/>
  <c r="E5245" i="1" s="1"/>
  <c r="E5246" i="1" a="1"/>
  <c r="E5246" i="1" s="1"/>
  <c r="E5247" i="1" a="1"/>
  <c r="E5247" i="1" s="1"/>
  <c r="E5248" i="1" a="1"/>
  <c r="E5248" i="1" s="1"/>
  <c r="E5249" i="1" a="1"/>
  <c r="E5249" i="1" s="1"/>
  <c r="E5250" i="1" a="1"/>
  <c r="E5250" i="1"/>
  <c r="E5251" i="1" a="1"/>
  <c r="E5251" i="1" s="1"/>
  <c r="E5252" i="1" a="1"/>
  <c r="E5252" i="1" s="1"/>
  <c r="E5253" i="1" a="1"/>
  <c r="E5253" i="1" s="1"/>
  <c r="E5254" i="1" a="1"/>
  <c r="E5254" i="1" s="1"/>
  <c r="E5255" i="1" a="1"/>
  <c r="E5255" i="1" s="1"/>
  <c r="E5256" i="1" a="1"/>
  <c r="E5256" i="1" s="1"/>
  <c r="E5257" i="1" a="1"/>
  <c r="E5257" i="1" s="1"/>
  <c r="E5258" i="1" a="1"/>
  <c r="E5258" i="1" s="1"/>
  <c r="E5259" i="1" a="1"/>
  <c r="E5259" i="1" s="1"/>
  <c r="E5260" i="1" a="1"/>
  <c r="E5260" i="1" s="1"/>
  <c r="E5261" i="1" a="1"/>
  <c r="E5261" i="1" s="1"/>
  <c r="E5262" i="1" a="1"/>
  <c r="E5262" i="1" s="1"/>
  <c r="E5263" i="1" a="1"/>
  <c r="E5263" i="1"/>
  <c r="E5264" i="1" a="1"/>
  <c r="E5264" i="1"/>
  <c r="E5265" i="1" a="1"/>
  <c r="E5265" i="1"/>
  <c r="E5266" i="1" a="1"/>
  <c r="E5266" i="1" s="1"/>
  <c r="E5267" i="1" a="1"/>
  <c r="E5267" i="1" s="1"/>
  <c r="E5268" i="1" a="1"/>
  <c r="E5268" i="1"/>
  <c r="E5269" i="1" a="1"/>
  <c r="E5269" i="1" s="1"/>
  <c r="E5270" i="1" a="1"/>
  <c r="E5270" i="1" s="1"/>
  <c r="E5271" i="1" a="1"/>
  <c r="E5271" i="1" s="1"/>
  <c r="E5272" i="1" a="1"/>
  <c r="E5272" i="1"/>
  <c r="E5273" i="1" a="1"/>
  <c r="E5273" i="1"/>
  <c r="E5274" i="1" a="1"/>
  <c r="E5274" i="1"/>
  <c r="E5275" i="1" a="1"/>
  <c r="E5275" i="1"/>
  <c r="E5276" i="1" a="1"/>
  <c r="E5276" i="1" s="1"/>
  <c r="E5277" i="1" a="1"/>
  <c r="E5277" i="1" s="1"/>
  <c r="E5278" i="1" a="1"/>
  <c r="E5278" i="1" s="1"/>
  <c r="E5279" i="1" a="1"/>
  <c r="E5279" i="1" s="1"/>
  <c r="E5280" i="1" a="1"/>
  <c r="E5280" i="1" s="1"/>
  <c r="E5281" i="1" a="1"/>
  <c r="E5281" i="1"/>
  <c r="E5282" i="1" a="1"/>
  <c r="E5282" i="1"/>
  <c r="E5283" i="1" a="1"/>
  <c r="E5283" i="1"/>
  <c r="E5284" i="1" a="1"/>
  <c r="E5284" i="1"/>
  <c r="E5285" i="1" a="1"/>
  <c r="E5285" i="1" s="1"/>
  <c r="E5286" i="1" a="1"/>
  <c r="E5286" i="1" s="1"/>
  <c r="E5287" i="1" a="1"/>
  <c r="E5287" i="1" s="1"/>
  <c r="E5288" i="1" a="1"/>
  <c r="E5288" i="1" s="1"/>
  <c r="E5289" i="1" a="1"/>
  <c r="E5289" i="1" s="1"/>
  <c r="E5291" i="1" a="1"/>
  <c r="E5291" i="1"/>
  <c r="E5292" i="1" a="1"/>
  <c r="E5292" i="1"/>
  <c r="E5294" i="1" a="1"/>
  <c r="E5294" i="1"/>
  <c r="E5295" i="1" a="1"/>
  <c r="E5295" i="1" s="1"/>
  <c r="E5296" i="1" a="1"/>
  <c r="E5296" i="1" s="1"/>
  <c r="E5297" i="1" a="1"/>
  <c r="E5297" i="1"/>
  <c r="E5298" i="1" a="1"/>
  <c r="E5298" i="1"/>
  <c r="E5299" i="1" a="1"/>
  <c r="E5299" i="1" s="1"/>
  <c r="E5300" i="1" a="1"/>
  <c r="E5300" i="1" s="1"/>
  <c r="E5301" i="1" a="1"/>
  <c r="E5301" i="1"/>
  <c r="E5302" i="1" a="1"/>
  <c r="E5302" i="1" s="1"/>
  <c r="E5303" i="1" a="1"/>
  <c r="E5303" i="1" s="1"/>
  <c r="E5304" i="1" a="1"/>
  <c r="E5304" i="1" s="1"/>
  <c r="E5305" i="1" a="1"/>
  <c r="E5305" i="1"/>
  <c r="E5306" i="1" a="1"/>
  <c r="E5306" i="1"/>
  <c r="E5307" i="1" a="1"/>
  <c r="E5307" i="1"/>
  <c r="E5309" i="1" a="1"/>
  <c r="E5309" i="1" s="1"/>
  <c r="E5310" i="1" a="1"/>
  <c r="E5310" i="1" s="1"/>
  <c r="E5311" i="1" a="1"/>
  <c r="E5311" i="1"/>
  <c r="E5312" i="1" a="1"/>
  <c r="E5312" i="1" s="1"/>
  <c r="E5313" i="1" a="1"/>
  <c r="E5313" i="1" s="1"/>
  <c r="E5315" i="1" a="1"/>
  <c r="E5315" i="1" s="1"/>
  <c r="E5316" i="1" a="1"/>
  <c r="E5316" i="1"/>
  <c r="E5317" i="1" a="1"/>
  <c r="E5317" i="1" s="1"/>
  <c r="E5318" i="1" a="1"/>
  <c r="E5318" i="1" s="1"/>
  <c r="E5319" i="1" a="1"/>
  <c r="E5319" i="1" s="1"/>
  <c r="E5320" i="1" a="1"/>
  <c r="E5320" i="1" s="1"/>
  <c r="E5321" i="1" a="1"/>
  <c r="E5321" i="1" s="1"/>
  <c r="E5322" i="1" a="1"/>
  <c r="E5322" i="1" s="1"/>
  <c r="E5323" i="1" a="1"/>
  <c r="E5323" i="1"/>
  <c r="E5324" i="1" a="1"/>
  <c r="E5324" i="1" s="1"/>
  <c r="E5325" i="1" a="1"/>
  <c r="E5325" i="1" s="1"/>
  <c r="E5326" i="1" a="1"/>
  <c r="E5326" i="1"/>
  <c r="E5327" i="1" a="1"/>
  <c r="E5327" i="1" s="1"/>
  <c r="E5328" i="1" a="1"/>
  <c r="E5328" i="1" s="1"/>
  <c r="E5329" i="1" a="1"/>
  <c r="E5329" i="1" s="1"/>
  <c r="E5330" i="1" a="1"/>
  <c r="E5330" i="1" s="1"/>
  <c r="E5331" i="1" a="1"/>
  <c r="E5331" i="1"/>
  <c r="E5332" i="1" a="1"/>
  <c r="E5332" i="1"/>
  <c r="E5333" i="1" a="1"/>
  <c r="E5333" i="1"/>
  <c r="E5334" i="1" a="1"/>
  <c r="E5334" i="1"/>
  <c r="E5335" i="1" a="1"/>
  <c r="E5335" i="1" s="1"/>
  <c r="E5336" i="1" a="1"/>
  <c r="E5336" i="1" s="1"/>
  <c r="E5337" i="1" a="1"/>
  <c r="E5337" i="1" s="1"/>
  <c r="E5338" i="1" a="1"/>
  <c r="E5338" i="1" s="1"/>
  <c r="E5339" i="1" a="1"/>
  <c r="E5339" i="1" s="1"/>
  <c r="E5341" i="1" a="1"/>
  <c r="E5341" i="1"/>
  <c r="E5342" i="1" a="1"/>
  <c r="E5342" i="1"/>
  <c r="E5343" i="1" a="1"/>
  <c r="E5343" i="1"/>
  <c r="E5344" i="1" a="1"/>
  <c r="E5344" i="1" s="1"/>
  <c r="E5345" i="1" a="1"/>
  <c r="E5345" i="1" s="1"/>
  <c r="E5346" i="1" a="1"/>
  <c r="E5346" i="1" s="1"/>
  <c r="E5347" i="1" a="1"/>
  <c r="E5347" i="1" s="1"/>
  <c r="E5348" i="1" a="1"/>
  <c r="E5348" i="1" s="1"/>
  <c r="E5349" i="1" a="1"/>
  <c r="E5349" i="1" s="1"/>
  <c r="E5350" i="1" a="1"/>
  <c r="E5350" i="1"/>
  <c r="E5351" i="1" a="1"/>
  <c r="E5351" i="1"/>
  <c r="E5352" i="1" a="1"/>
  <c r="E5352" i="1" s="1"/>
  <c r="E5353" i="1" a="1"/>
  <c r="E5353" i="1"/>
  <c r="E5354" i="1" a="1"/>
  <c r="E5354" i="1" s="1"/>
  <c r="E5355" i="1" a="1"/>
  <c r="E5355" i="1" s="1"/>
  <c r="E5356" i="1" a="1"/>
  <c r="E5356" i="1" s="1"/>
  <c r="E5357" i="1" a="1"/>
  <c r="E5357" i="1" s="1"/>
  <c r="E5358" i="1" a="1"/>
  <c r="E5358" i="1" s="1"/>
  <c r="E5359" i="1" a="1"/>
  <c r="E5359" i="1"/>
  <c r="E5360" i="1" a="1"/>
  <c r="E5360" i="1" s="1"/>
  <c r="E5361" i="1" a="1"/>
  <c r="E5361" i="1" s="1"/>
  <c r="E5362" i="1" a="1"/>
  <c r="E5362" i="1" s="1"/>
  <c r="E5363" i="1" a="1"/>
  <c r="E5363" i="1" s="1"/>
  <c r="E5364" i="1" a="1"/>
  <c r="E5364" i="1"/>
  <c r="E5365" i="1" a="1"/>
  <c r="E5365" i="1" s="1"/>
  <c r="E5366" i="1" a="1"/>
  <c r="E5366" i="1" s="1"/>
  <c r="E5367" i="1" a="1"/>
  <c r="E5367" i="1" s="1"/>
  <c r="E5368" i="1" a="1"/>
  <c r="E5368" i="1"/>
  <c r="E5369" i="1" a="1"/>
  <c r="E5369" i="1"/>
  <c r="E5372" i="1" a="1"/>
  <c r="E5372" i="1" s="1"/>
  <c r="E5373" i="1" a="1"/>
  <c r="E5373" i="1" s="1"/>
  <c r="E5374" i="1" a="1"/>
  <c r="E5374" i="1"/>
  <c r="E5376" i="1" a="1"/>
  <c r="E5376" i="1"/>
  <c r="E5377" i="1" a="1"/>
  <c r="E5377" i="1" s="1"/>
  <c r="E5379" i="1" a="1"/>
  <c r="E5379" i="1" s="1"/>
  <c r="E5381" i="1" a="1"/>
  <c r="E5381" i="1" s="1"/>
  <c r="E5382" i="1" a="1"/>
  <c r="E5382" i="1"/>
  <c r="E5383" i="1" a="1"/>
  <c r="E5383" i="1" s="1"/>
  <c r="E5384" i="1" a="1"/>
  <c r="E5384" i="1" s="1"/>
  <c r="E5385" i="1" a="1"/>
  <c r="E5385" i="1"/>
  <c r="E5386" i="1" a="1"/>
  <c r="E5386" i="1" s="1"/>
  <c r="E5387" i="1" a="1"/>
  <c r="E5387" i="1"/>
  <c r="E5388" i="1" a="1"/>
  <c r="E5388" i="1"/>
  <c r="E5389" i="1" a="1"/>
  <c r="E5389" i="1" s="1"/>
  <c r="E5390" i="1" a="1"/>
  <c r="E5390" i="1" s="1"/>
  <c r="E5391" i="1" a="1"/>
  <c r="E5391" i="1" s="1"/>
  <c r="E5392" i="1" a="1"/>
  <c r="E5392" i="1" s="1"/>
  <c r="E5393" i="1" a="1"/>
  <c r="E5393" i="1" s="1"/>
  <c r="E5394" i="1" a="1"/>
  <c r="E5394" i="1"/>
  <c r="E5395" i="1" a="1"/>
  <c r="E5395" i="1"/>
  <c r="E5396" i="1" a="1"/>
  <c r="E5396" i="1"/>
  <c r="E5397" i="1" a="1"/>
  <c r="E5397" i="1" s="1"/>
  <c r="E5398" i="1" a="1"/>
  <c r="E5398" i="1" s="1"/>
  <c r="E5399" i="1" a="1"/>
  <c r="E5399" i="1" s="1"/>
  <c r="E5400" i="1" a="1"/>
  <c r="E5400" i="1" s="1"/>
  <c r="E5401" i="1" a="1"/>
  <c r="E5401" i="1"/>
  <c r="E5402" i="1" a="1"/>
  <c r="E5402" i="1"/>
  <c r="E5403" i="1" a="1"/>
  <c r="E5403" i="1"/>
  <c r="E5404" i="1" a="1"/>
  <c r="E5404" i="1"/>
  <c r="E5405" i="1" a="1"/>
  <c r="E5405" i="1"/>
  <c r="E5406" i="1" a="1"/>
  <c r="E5406" i="1" s="1"/>
  <c r="E5407" i="1" a="1"/>
  <c r="E5407" i="1" s="1"/>
  <c r="E5408" i="1" a="1"/>
  <c r="E5408" i="1" s="1"/>
  <c r="E5409" i="1" a="1"/>
  <c r="E5409" i="1" s="1"/>
  <c r="E5410" i="1" a="1"/>
  <c r="E5410" i="1"/>
  <c r="E5411" i="1" a="1"/>
  <c r="E5411" i="1" s="1"/>
  <c r="E5412" i="1" a="1"/>
  <c r="E5412" i="1" s="1"/>
  <c r="E5414" i="1" a="1"/>
  <c r="E5414" i="1"/>
  <c r="E5415" i="1" a="1"/>
  <c r="E5415" i="1" s="1"/>
  <c r="E5416" i="1" a="1"/>
  <c r="E5416" i="1" s="1"/>
  <c r="E5417" i="1" a="1"/>
  <c r="E5417" i="1" s="1"/>
  <c r="E5418" i="1" a="1"/>
  <c r="E5418" i="1" s="1"/>
  <c r="E5419" i="1" a="1"/>
  <c r="E5419" i="1" s="1"/>
  <c r="E5420" i="1" a="1"/>
  <c r="E5420" i="1"/>
  <c r="E5422" i="1" a="1"/>
  <c r="E5422" i="1" s="1"/>
  <c r="E5423" i="1" a="1"/>
  <c r="E5423" i="1" s="1"/>
  <c r="E5424" i="1" a="1"/>
  <c r="E5424" i="1" s="1"/>
  <c r="E5425" i="1" a="1"/>
  <c r="E5425" i="1" s="1"/>
  <c r="E5426" i="1" a="1"/>
  <c r="E5426" i="1" s="1"/>
  <c r="E5427" i="1" a="1"/>
  <c r="E5427" i="1"/>
  <c r="E5428" i="1" a="1"/>
  <c r="E5428" i="1" s="1"/>
  <c r="E5429" i="1" a="1"/>
  <c r="E5429" i="1" s="1"/>
  <c r="E5430" i="1" a="1"/>
  <c r="E5430" i="1"/>
  <c r="E5431" i="1" a="1"/>
  <c r="E5431" i="1"/>
  <c r="E5433" i="1" a="1"/>
  <c r="E5433" i="1" s="1"/>
  <c r="E5434" i="1" a="1"/>
  <c r="E5434" i="1" s="1"/>
  <c r="E5436" i="1" a="1"/>
  <c r="E5436" i="1" s="1"/>
  <c r="E5440" i="1" a="1"/>
  <c r="E5440" i="1" s="1"/>
  <c r="E5441" i="1" a="1"/>
  <c r="E5441" i="1"/>
  <c r="E5442" i="1" a="1"/>
  <c r="E5442" i="1" s="1"/>
  <c r="E5443" i="1" a="1"/>
  <c r="E5443" i="1" s="1"/>
  <c r="E5444" i="1" a="1"/>
  <c r="E5444" i="1"/>
  <c r="E5445" i="1" a="1"/>
  <c r="E5445" i="1" s="1"/>
  <c r="E5448" i="1" a="1"/>
  <c r="E5448" i="1" s="1"/>
  <c r="E5449" i="1" a="1"/>
  <c r="E5449" i="1" s="1"/>
  <c r="E5450" i="1" a="1"/>
  <c r="E5450" i="1" s="1"/>
  <c r="E5451" i="1" a="1"/>
  <c r="E5451" i="1" s="1"/>
  <c r="E5452" i="1" a="1"/>
  <c r="E5452" i="1" s="1"/>
  <c r="E5453" i="1" a="1"/>
  <c r="E5453" i="1" s="1"/>
  <c r="E5454" i="1" a="1"/>
  <c r="E5454" i="1" s="1"/>
  <c r="E5455" i="1" a="1"/>
  <c r="E5455" i="1"/>
  <c r="E5456" i="1" a="1"/>
  <c r="E5456" i="1" s="1"/>
  <c r="E5457" i="1" a="1"/>
  <c r="E5457" i="1" s="1"/>
  <c r="E5458" i="1" a="1"/>
  <c r="E5458" i="1"/>
  <c r="E5459" i="1" a="1"/>
  <c r="E5459" i="1" s="1"/>
  <c r="E5460" i="1" a="1"/>
  <c r="E5460" i="1" s="1"/>
  <c r="E5461" i="1" a="1"/>
  <c r="E5461" i="1" s="1"/>
  <c r="E5462" i="1" a="1"/>
  <c r="E5462" i="1" s="1"/>
  <c r="E5463" i="1" a="1"/>
  <c r="E5463" i="1" s="1"/>
  <c r="E5464" i="1" a="1"/>
  <c r="E5464" i="1" s="1"/>
  <c r="E5465" i="1" a="1"/>
  <c r="E5465" i="1" s="1"/>
  <c r="E5466" i="1" a="1"/>
  <c r="E5466" i="1"/>
  <c r="E5467" i="1" a="1"/>
  <c r="E5467" i="1"/>
  <c r="E5468" i="1" a="1"/>
  <c r="E5468" i="1"/>
  <c r="E5470" i="1" a="1"/>
  <c r="E5470" i="1"/>
  <c r="E5471" i="1" a="1"/>
  <c r="E5471" i="1" s="1"/>
  <c r="E5472" i="1" a="1"/>
  <c r="E5472" i="1" s="1"/>
  <c r="E5476" i="1" a="1"/>
  <c r="E5476" i="1" s="1"/>
  <c r="E5477" i="1" a="1"/>
  <c r="E5477" i="1" s="1"/>
  <c r="E5478" i="1" a="1"/>
  <c r="E5478" i="1"/>
  <c r="E5479" i="1" a="1"/>
  <c r="E5479" i="1"/>
  <c r="E5480" i="1" a="1"/>
  <c r="E5480" i="1"/>
  <c r="E5481" i="1" a="1"/>
  <c r="E5481" i="1"/>
  <c r="E5482" i="1" a="1"/>
  <c r="E5482" i="1"/>
  <c r="E5483" i="1" a="1"/>
  <c r="E5483" i="1"/>
  <c r="E5484" i="1" a="1"/>
  <c r="E5484" i="1" s="1"/>
  <c r="E5485" i="1" a="1"/>
  <c r="E5485" i="1" s="1"/>
  <c r="E5486" i="1" a="1"/>
  <c r="E5486" i="1" s="1"/>
  <c r="E5487" i="1" a="1"/>
  <c r="E5487" i="1"/>
  <c r="E5488" i="1" a="1"/>
  <c r="E5488" i="1"/>
  <c r="E5489" i="1" a="1"/>
  <c r="E5489" i="1"/>
  <c r="E5490" i="1" a="1"/>
  <c r="E5490" i="1"/>
  <c r="E5491" i="1" a="1"/>
  <c r="E5491" i="1"/>
  <c r="I5492" i="1" a="1"/>
  <c r="I5492" i="1" s="1"/>
  <c r="O5492" i="1" a="1"/>
  <c r="O5492" i="1" s="1"/>
  <c r="E5493" i="1" a="1"/>
  <c r="E5493" i="1" s="1"/>
  <c r="E5494" i="1" a="1"/>
  <c r="E5494" i="1" s="1"/>
  <c r="E5495" i="1" a="1"/>
  <c r="E5495" i="1"/>
  <c r="E5496" i="1" a="1"/>
  <c r="E5496" i="1" s="1"/>
  <c r="E5497" i="1" a="1"/>
  <c r="E5497" i="1"/>
  <c r="E5498" i="1" a="1"/>
  <c r="E5498" i="1"/>
  <c r="E5500" i="1" a="1"/>
  <c r="E5500" i="1" s="1"/>
  <c r="E5501" i="1" a="1"/>
  <c r="E5501" i="1" s="1"/>
  <c r="E5502" i="1" a="1"/>
  <c r="E5502" i="1"/>
  <c r="E5503" i="1" a="1"/>
  <c r="E5503" i="1" s="1"/>
  <c r="E5505" i="1" a="1"/>
  <c r="E5505" i="1" s="1"/>
  <c r="E5506" i="1" a="1"/>
  <c r="E5506" i="1"/>
  <c r="E5507" i="1" a="1"/>
  <c r="E5507" i="1" s="1"/>
  <c r="E5508" i="1" a="1"/>
  <c r="E5508" i="1" s="1"/>
  <c r="E5509" i="1" a="1"/>
  <c r="E5509" i="1" s="1"/>
  <c r="E5510" i="1" a="1"/>
  <c r="E5510" i="1" s="1"/>
  <c r="E5511" i="1" a="1"/>
  <c r="E5511" i="1"/>
  <c r="E5513" i="1" a="1"/>
  <c r="E5513" i="1"/>
  <c r="E5514" i="1" a="1"/>
  <c r="E5514" i="1" s="1"/>
  <c r="E5515" i="1" a="1"/>
  <c r="E5515" i="1" s="1"/>
  <c r="E5516" i="1" a="1"/>
  <c r="E5516" i="1"/>
  <c r="E5517" i="1" a="1"/>
  <c r="E5517" i="1"/>
  <c r="E5518" i="1" a="1"/>
  <c r="E5518" i="1" s="1"/>
  <c r="E5519" i="1" a="1"/>
  <c r="E5519" i="1" s="1"/>
  <c r="E5520" i="1" a="1"/>
  <c r="E5520" i="1" s="1"/>
  <c r="E5521" i="1" a="1"/>
  <c r="E5521" i="1"/>
  <c r="E5522" i="1" a="1"/>
  <c r="E5522" i="1" s="1"/>
  <c r="E5523" i="1" a="1"/>
  <c r="E5523" i="1" s="1"/>
  <c r="E5524" i="1" a="1"/>
  <c r="E5524" i="1" s="1"/>
  <c r="E5525" i="1" a="1"/>
  <c r="E5525" i="1"/>
  <c r="E5526" i="1" a="1"/>
  <c r="E5526" i="1" s="1"/>
  <c r="E5527" i="1" a="1"/>
  <c r="E5527" i="1" s="1"/>
  <c r="E5528" i="1" a="1"/>
  <c r="E5528" i="1"/>
  <c r="E5529" i="1" a="1"/>
  <c r="E5529" i="1" s="1"/>
  <c r="E5530" i="1" a="1"/>
  <c r="E5530" i="1" s="1"/>
  <c r="E5531" i="1" a="1"/>
  <c r="E5531" i="1"/>
  <c r="E5532" i="1" a="1"/>
  <c r="E5532" i="1" s="1"/>
  <c r="E5533" i="1" a="1"/>
  <c r="E5533" i="1" s="1"/>
  <c r="E5534" i="1" a="1"/>
  <c r="E5534" i="1" s="1"/>
  <c r="E5535" i="1" a="1"/>
  <c r="E5535" i="1" s="1"/>
  <c r="E5536" i="1" a="1"/>
  <c r="E5536" i="1" s="1"/>
  <c r="E5537" i="1" a="1"/>
  <c r="E5537" i="1"/>
  <c r="E5538" i="1" a="1"/>
  <c r="E5538" i="1"/>
  <c r="E5539" i="1" a="1"/>
  <c r="E5539" i="1" s="1"/>
  <c r="E5540" i="1" a="1"/>
  <c r="E5540" i="1" s="1"/>
  <c r="E5542" i="1" a="1"/>
  <c r="E5542" i="1" s="1"/>
  <c r="E5543" i="1" a="1"/>
  <c r="E5543" i="1" s="1"/>
  <c r="E5544" i="1" a="1"/>
  <c r="E5544" i="1" s="1"/>
  <c r="E5545" i="1" a="1"/>
  <c r="E5545" i="1"/>
  <c r="E5546" i="1" a="1"/>
  <c r="E5546" i="1" s="1"/>
  <c r="E5547" i="1" a="1"/>
  <c r="E5547" i="1"/>
  <c r="E5548" i="1" a="1"/>
  <c r="E5548" i="1"/>
  <c r="E5549" i="1" a="1"/>
  <c r="E5549" i="1"/>
  <c r="E5550" i="1" a="1"/>
  <c r="E5550" i="1"/>
  <c r="E5551" i="1" a="1"/>
  <c r="E5551" i="1" s="1"/>
  <c r="E5552" i="1" a="1"/>
  <c r="E5552" i="1" s="1"/>
  <c r="E5553" i="1" a="1"/>
  <c r="E5553" i="1" s="1"/>
  <c r="E5554" i="1" a="1"/>
  <c r="E5554" i="1"/>
  <c r="E5555" i="1" a="1"/>
  <c r="E5555" i="1"/>
  <c r="E5558" i="1" a="1"/>
  <c r="E5558" i="1" s="1"/>
  <c r="E5559" i="1" a="1"/>
  <c r="E5559" i="1" s="1"/>
  <c r="E5560" i="1" a="1"/>
  <c r="E5560" i="1"/>
  <c r="E5561" i="1" a="1"/>
  <c r="E5561" i="1" s="1"/>
  <c r="E5562" i="1" a="1"/>
  <c r="E5562" i="1" s="1"/>
  <c r="E5563" i="1" a="1"/>
  <c r="E5563" i="1" s="1"/>
  <c r="E5564" i="1" a="1"/>
  <c r="E5564" i="1" s="1"/>
  <c r="E5565" i="1" a="1"/>
  <c r="E5565" i="1"/>
  <c r="E5566" i="1" a="1"/>
  <c r="E5566" i="1"/>
  <c r="E5567" i="1" a="1"/>
  <c r="E5567" i="1"/>
  <c r="E5568" i="1" a="1"/>
  <c r="E5568" i="1" s="1"/>
  <c r="E5569" i="1" a="1"/>
  <c r="E5569" i="1" s="1"/>
  <c r="E5570" i="1" a="1"/>
  <c r="E5570" i="1" s="1"/>
  <c r="E5571" i="1" a="1"/>
  <c r="E5571" i="1" s="1"/>
  <c r="E5572" i="1" a="1"/>
  <c r="E5572" i="1" s="1"/>
  <c r="E5573" i="1" a="1"/>
  <c r="E5573" i="1" s="1"/>
  <c r="E5574" i="1" a="1"/>
  <c r="E5574" i="1"/>
  <c r="E5575" i="1" a="1"/>
  <c r="E5575" i="1"/>
  <c r="E5576" i="1" a="1"/>
  <c r="E5576" i="1"/>
  <c r="E5579" i="1" a="1"/>
  <c r="E5579" i="1" s="1"/>
  <c r="E5580" i="1" a="1"/>
  <c r="E5580" i="1" s="1"/>
  <c r="E5581" i="1" a="1"/>
  <c r="E5581" i="1" s="1"/>
  <c r="E5582" i="1" a="1"/>
  <c r="E5582" i="1" s="1"/>
  <c r="E5583" i="1" a="1"/>
  <c r="E5583" i="1" s="1"/>
  <c r="E5584" i="1" a="1"/>
  <c r="E5584" i="1" s="1"/>
  <c r="E5585" i="1" a="1"/>
  <c r="E5585" i="1"/>
  <c r="E5586" i="1" a="1"/>
  <c r="E5586" i="1" s="1"/>
  <c r="E5587" i="1" a="1"/>
  <c r="E5587" i="1" s="1"/>
  <c r="E5588" i="1" a="1"/>
  <c r="E5588" i="1" s="1"/>
  <c r="E5589" i="1" a="1"/>
  <c r="E5589" i="1"/>
  <c r="E5590" i="1" a="1"/>
  <c r="E5590" i="1"/>
  <c r="E5591" i="1" a="1"/>
  <c r="E5591" i="1" s="1"/>
  <c r="E5592" i="1" a="1"/>
  <c r="E5592" i="1" s="1"/>
  <c r="E5594" i="1" a="1"/>
  <c r="E5594" i="1" s="1"/>
  <c r="E5595" i="1" a="1"/>
  <c r="E5595" i="1"/>
  <c r="E5596" i="1" a="1"/>
  <c r="E5596" i="1" s="1"/>
  <c r="E5597" i="1" a="1"/>
  <c r="E5597" i="1" s="1"/>
  <c r="E5598" i="1" a="1"/>
  <c r="E5598" i="1" s="1"/>
  <c r="E5599" i="1" a="1"/>
  <c r="E5599" i="1"/>
  <c r="E5600" i="1" a="1"/>
  <c r="E5600" i="1"/>
  <c r="E5601" i="1" a="1"/>
  <c r="E5601" i="1"/>
  <c r="E5602" i="1" a="1"/>
  <c r="E5602" i="1" s="1"/>
  <c r="E5603" i="1" a="1"/>
  <c r="E5603" i="1" s="1"/>
  <c r="E5604" i="1" a="1"/>
  <c r="E5604" i="1" s="1"/>
  <c r="E5605" i="1" a="1"/>
  <c r="E5605" i="1" s="1"/>
  <c r="E5606" i="1" a="1"/>
  <c r="E5606" i="1" s="1"/>
  <c r="E5607" i="1" a="1"/>
  <c r="E5607" i="1" s="1"/>
  <c r="E5608" i="1" a="1"/>
  <c r="E5608" i="1" s="1"/>
  <c r="E5609" i="1" a="1"/>
  <c r="E5609" i="1"/>
  <c r="E5615" i="1" a="1"/>
  <c r="E5615" i="1" s="1"/>
  <c r="E5616" i="1" a="1"/>
  <c r="E5616" i="1" s="1"/>
  <c r="E5617" i="1" a="1"/>
  <c r="E5617" i="1" s="1"/>
  <c r="E5620" i="1" a="1"/>
  <c r="E5620" i="1" s="1"/>
  <c r="E5621" i="1" a="1"/>
  <c r="E5621" i="1"/>
  <c r="E5622" i="1" a="1"/>
  <c r="E5622" i="1" s="1"/>
  <c r="E5625" i="1" a="1"/>
  <c r="E5625" i="1"/>
  <c r="E5626" i="1" a="1"/>
  <c r="E5626" i="1"/>
  <c r="E5629" i="1" a="1"/>
  <c r="E5629" i="1"/>
  <c r="E5632" i="1" a="1"/>
  <c r="E5632" i="1"/>
  <c r="E5633" i="1" a="1"/>
  <c r="E5633" i="1" s="1"/>
  <c r="E5634" i="1" a="1"/>
  <c r="E5634" i="1" s="1"/>
  <c r="E5635" i="1" a="1"/>
  <c r="E5635" i="1" s="1"/>
  <c r="E5636" i="1" a="1"/>
  <c r="E5636" i="1"/>
  <c r="E5637" i="1" a="1"/>
  <c r="E5637" i="1"/>
  <c r="E5638" i="1" a="1"/>
  <c r="E5638" i="1" s="1"/>
  <c r="E5639" i="1" a="1"/>
  <c r="E5639" i="1" s="1"/>
  <c r="E5640" i="1" a="1"/>
  <c r="E5640" i="1" s="1"/>
  <c r="E5641" i="1" a="1"/>
  <c r="E5641" i="1" s="1"/>
  <c r="E5642" i="1" a="1"/>
  <c r="E5642" i="1" s="1"/>
  <c r="E5643" i="1" a="1"/>
  <c r="E5643" i="1" s="1"/>
  <c r="E5644" i="1" a="1"/>
  <c r="E5644" i="1" s="1"/>
  <c r="E5645" i="1" a="1"/>
  <c r="E5645" i="1"/>
  <c r="E5647" i="1" a="1"/>
  <c r="E5647" i="1" s="1"/>
  <c r="E5648" i="1" a="1"/>
  <c r="E5648" i="1" s="1"/>
  <c r="E5649" i="1" a="1"/>
  <c r="E5649" i="1"/>
  <c r="E5650" i="1" a="1"/>
  <c r="E5650" i="1" s="1"/>
  <c r="E5651" i="1" a="1"/>
  <c r="E5651" i="1" s="1"/>
  <c r="E5652" i="1" a="1"/>
  <c r="E5652" i="1" s="1"/>
  <c r="E5653" i="1" a="1"/>
  <c r="E5653" i="1" s="1"/>
  <c r="E5654" i="1" a="1"/>
  <c r="E5654" i="1" s="1"/>
  <c r="E5655" i="1" a="1"/>
  <c r="E5655" i="1"/>
  <c r="E5656" i="1" a="1"/>
  <c r="E5656" i="1"/>
  <c r="E5657" i="1" a="1"/>
  <c r="E5657" i="1" s="1"/>
  <c r="E5658" i="1" a="1"/>
  <c r="E5658" i="1" s="1"/>
  <c r="E5659" i="1" a="1"/>
  <c r="E5659" i="1" s="1"/>
  <c r="E5660" i="1" a="1"/>
  <c r="E5660" i="1"/>
  <c r="E5661" i="1" a="1"/>
  <c r="E5661" i="1" s="1"/>
  <c r="E5662" i="1" a="1"/>
  <c r="E5662" i="1" s="1"/>
  <c r="E5663" i="1" a="1"/>
  <c r="E5663" i="1" s="1"/>
  <c r="E5664" i="1" a="1"/>
  <c r="E5664" i="1"/>
  <c r="E5665" i="1" a="1"/>
  <c r="E5665" i="1"/>
  <c r="E5666" i="1" a="1"/>
  <c r="E5666" i="1" s="1"/>
  <c r="E5667" i="1" a="1"/>
  <c r="E5667" i="1" s="1"/>
  <c r="E5668" i="1" a="1"/>
  <c r="E5668" i="1"/>
  <c r="E5669" i="1" a="1"/>
  <c r="E5669" i="1" s="1"/>
  <c r="E5670" i="1" a="1"/>
  <c r="E5670" i="1" s="1"/>
  <c r="E5671" i="1" a="1"/>
  <c r="E5671" i="1" s="1"/>
  <c r="E5672" i="1" a="1"/>
  <c r="E5672" i="1" s="1"/>
  <c r="E5673" i="1" a="1"/>
  <c r="E5673" i="1"/>
  <c r="E5674" i="1" a="1"/>
  <c r="E5674" i="1" s="1"/>
  <c r="E5675" i="1" a="1"/>
  <c r="E5675" i="1" s="1"/>
  <c r="E5676" i="1" a="1"/>
  <c r="E5676" i="1"/>
  <c r="E5677" i="1" a="1"/>
  <c r="E5677" i="1"/>
  <c r="E5678" i="1" a="1"/>
  <c r="E5678" i="1"/>
  <c r="E5679" i="1" a="1"/>
  <c r="E5679" i="1" s="1"/>
  <c r="E5680" i="1" a="1"/>
  <c r="E5680" i="1" s="1"/>
  <c r="E5681" i="1" a="1"/>
  <c r="E5681" i="1" s="1"/>
  <c r="E5682" i="1" a="1"/>
  <c r="E5682" i="1" s="1"/>
  <c r="E5683" i="1" a="1"/>
  <c r="E5683" i="1" s="1"/>
  <c r="E5684" i="1" a="1"/>
  <c r="E5684" i="1" s="1"/>
  <c r="E5685" i="1" a="1"/>
  <c r="E5685" i="1"/>
  <c r="E5686" i="1" a="1"/>
  <c r="E5686" i="1"/>
  <c r="E5687" i="1" a="1"/>
  <c r="E5687" i="1"/>
  <c r="E5688" i="1" a="1"/>
  <c r="E5688" i="1"/>
  <c r="E5689" i="1" a="1"/>
  <c r="E5689" i="1" s="1"/>
  <c r="E5690" i="1" a="1"/>
  <c r="E5690" i="1" s="1"/>
  <c r="E5691" i="1" a="1"/>
  <c r="E5691" i="1" s="1"/>
  <c r="E5692" i="1" a="1"/>
  <c r="E5692" i="1"/>
  <c r="E5695" i="1" a="1"/>
  <c r="E5695" i="1"/>
  <c r="E5696" i="1" a="1"/>
  <c r="E5696" i="1"/>
  <c r="E5697" i="1" a="1"/>
  <c r="E5697" i="1" s="1"/>
  <c r="E5698" i="1" a="1"/>
  <c r="E5698" i="1" s="1"/>
  <c r="E5700" i="1" a="1"/>
  <c r="E5700" i="1"/>
  <c r="E5701" i="1" a="1"/>
  <c r="E5701" i="1" s="1"/>
  <c r="E5702" i="1" a="1"/>
  <c r="E5702" i="1" s="1"/>
  <c r="E5703" i="1" a="1"/>
  <c r="E5703" i="1" s="1"/>
  <c r="E5704" i="1" a="1"/>
  <c r="E5704" i="1"/>
  <c r="E5705" i="1" a="1"/>
  <c r="E5705" i="1" s="1"/>
  <c r="E5706" i="1" a="1"/>
  <c r="E5706" i="1" s="1"/>
  <c r="E5707" i="1" a="1"/>
  <c r="E5707" i="1"/>
  <c r="E5708" i="1" a="1"/>
  <c r="E5708" i="1"/>
  <c r="E5710" i="1" a="1"/>
  <c r="E5710" i="1" s="1"/>
  <c r="E5711" i="1" a="1"/>
  <c r="E5711" i="1" s="1"/>
  <c r="E5712" i="1" a="1"/>
  <c r="E5712" i="1" s="1"/>
  <c r="E5713" i="1" a="1"/>
  <c r="E5713" i="1" s="1"/>
  <c r="E5715" i="1" a="1"/>
  <c r="E5715" i="1"/>
  <c r="E5716" i="1" a="1"/>
  <c r="E5716" i="1"/>
  <c r="E5719" i="1" a="1"/>
  <c r="E5719" i="1" s="1"/>
  <c r="E5720" i="1" a="1"/>
  <c r="E5720" i="1" s="1"/>
  <c r="E5721" i="1" a="1"/>
  <c r="E5721" i="1"/>
  <c r="E5722" i="1" a="1"/>
  <c r="E5722" i="1" s="1"/>
  <c r="E5723" i="1" a="1"/>
  <c r="E5723" i="1" s="1"/>
  <c r="E5724" i="1" a="1"/>
  <c r="E5724" i="1"/>
  <c r="E5725" i="1" a="1"/>
  <c r="E5725" i="1"/>
  <c r="E5726" i="1" a="1"/>
  <c r="E5726" i="1"/>
  <c r="E5727" i="1" a="1"/>
  <c r="E5727" i="1"/>
  <c r="E5728" i="1" a="1"/>
  <c r="E5728" i="1"/>
  <c r="E5729" i="1" a="1"/>
  <c r="E5729" i="1"/>
  <c r="E5731" i="1" a="1"/>
  <c r="E5731" i="1" s="1"/>
  <c r="E5732" i="1" a="1"/>
  <c r="E5732" i="1" s="1"/>
  <c r="E5734" i="1" a="1"/>
  <c r="E5734" i="1"/>
  <c r="E5735" i="1" a="1"/>
  <c r="E5735" i="1"/>
  <c r="E5736" i="1" a="1"/>
  <c r="E5736" i="1"/>
  <c r="E5737" i="1" a="1"/>
  <c r="E5737" i="1"/>
  <c r="E5738" i="1" a="1"/>
  <c r="E5738" i="1"/>
  <c r="E5739" i="1" a="1"/>
  <c r="E5739" i="1"/>
  <c r="E5741" i="1" a="1"/>
  <c r="E5741" i="1"/>
  <c r="E5743" i="1" a="1"/>
  <c r="E5743" i="1" s="1"/>
  <c r="E5744" i="1" a="1"/>
  <c r="E5744" i="1"/>
  <c r="E5745" i="1" a="1"/>
  <c r="E5745" i="1"/>
  <c r="E5746" i="1" a="1"/>
  <c r="E5746" i="1" s="1"/>
  <c r="E5747" i="1" a="1"/>
  <c r="E5747" i="1" s="1"/>
  <c r="E5748" i="1" a="1"/>
  <c r="E5748" i="1"/>
  <c r="E5749" i="1" a="1"/>
  <c r="E5749" i="1"/>
  <c r="E5750" i="1" a="1"/>
  <c r="E5750" i="1" s="1"/>
  <c r="E5751" i="1" a="1"/>
  <c r="E5751" i="1" s="1"/>
  <c r="E5752" i="1" a="1"/>
  <c r="E5752" i="1"/>
  <c r="E5753" i="1" a="1"/>
  <c r="E5753" i="1"/>
  <c r="E5754" i="1" a="1"/>
  <c r="E5754" i="1"/>
  <c r="E5755" i="1" a="1"/>
  <c r="E5755" i="1" s="1"/>
  <c r="E5756" i="1" a="1"/>
  <c r="E5756" i="1"/>
  <c r="E5757" i="1" a="1"/>
  <c r="E5757" i="1"/>
  <c r="E5758" i="1" a="1"/>
  <c r="E5758" i="1" s="1"/>
  <c r="E5759" i="1" a="1"/>
  <c r="E5759" i="1" s="1"/>
  <c r="E5760" i="1" a="1"/>
  <c r="E5760" i="1"/>
  <c r="E5761" i="1" a="1"/>
  <c r="E5761" i="1"/>
  <c r="E5763" i="1" a="1"/>
  <c r="E5763" i="1"/>
  <c r="E5764" i="1" a="1"/>
  <c r="E5764" i="1"/>
  <c r="E5765" i="1" a="1"/>
  <c r="E5765" i="1"/>
  <c r="E5766" i="1" a="1"/>
  <c r="E5766" i="1"/>
  <c r="E5767" i="1" a="1"/>
  <c r="E5767" i="1"/>
  <c r="E5768" i="1" a="1"/>
  <c r="E5768" i="1" s="1"/>
  <c r="E5769" i="1" a="1"/>
  <c r="E5769" i="1"/>
  <c r="E5770" i="1" a="1"/>
  <c r="E5770" i="1"/>
  <c r="E5771" i="1" a="1"/>
  <c r="E5771" i="1"/>
  <c r="E5772" i="1" a="1"/>
  <c r="E5772" i="1"/>
  <c r="E5773" i="1" a="1"/>
  <c r="E5773" i="1"/>
  <c r="E5774" i="1" a="1"/>
  <c r="E5774" i="1"/>
  <c r="E5775" i="1" a="1"/>
  <c r="E5775" i="1"/>
  <c r="E5776" i="1" a="1"/>
  <c r="E5776" i="1" s="1"/>
  <c r="E5777" i="1" a="1"/>
  <c r="E5777" i="1"/>
  <c r="E5778" i="1" a="1"/>
  <c r="E5778" i="1"/>
  <c r="E5779" i="1" a="1"/>
  <c r="E5779" i="1"/>
  <c r="E5780" i="1" a="1"/>
  <c r="E5780" i="1"/>
  <c r="E5781" i="1" a="1"/>
  <c r="E5781" i="1"/>
  <c r="E5782" i="1" a="1"/>
  <c r="E5782" i="1"/>
  <c r="E5783" i="1" a="1"/>
  <c r="E5783" i="1" s="1"/>
  <c r="E5784" i="1" a="1"/>
  <c r="E5784" i="1" s="1"/>
  <c r="E5785" i="1" a="1"/>
  <c r="E5785" i="1"/>
  <c r="E5786" i="1" a="1"/>
  <c r="E5786" i="1"/>
  <c r="E5787" i="1" a="1"/>
  <c r="E5787" i="1"/>
  <c r="E5788" i="1" a="1"/>
  <c r="E5788" i="1"/>
  <c r="E5789" i="1" a="1"/>
  <c r="E5789" i="1"/>
  <c r="E5790" i="1" a="1"/>
  <c r="E5790" i="1"/>
  <c r="E5791" i="1" a="1"/>
  <c r="E5791" i="1"/>
  <c r="E5792" i="1" a="1"/>
  <c r="E5792" i="1" s="1"/>
  <c r="E5793" i="1" a="1"/>
  <c r="E5793" i="1"/>
  <c r="E5794" i="1" a="1"/>
  <c r="E5794" i="1"/>
  <c r="E5795" i="1" a="1"/>
  <c r="E5795" i="1" s="1"/>
  <c r="E5796" i="1" a="1"/>
  <c r="E5796" i="1"/>
  <c r="E5797" i="1" a="1"/>
  <c r="E5797" i="1"/>
  <c r="E5798" i="1" a="1"/>
  <c r="E5798" i="1"/>
  <c r="E5799" i="1" a="1"/>
  <c r="E5799" i="1" s="1"/>
  <c r="E5800" i="1" a="1"/>
  <c r="E5800" i="1" s="1"/>
  <c r="E5801" i="1" a="1"/>
  <c r="E5801" i="1"/>
  <c r="E5802" i="1" a="1"/>
  <c r="E5802" i="1"/>
  <c r="E5803" i="1" a="1"/>
  <c r="E5803" i="1"/>
  <c r="E5804" i="1" a="1"/>
  <c r="E5804" i="1"/>
  <c r="E5805" i="1" a="1"/>
  <c r="E5805" i="1"/>
  <c r="E5806" i="1" a="1"/>
  <c r="E5806" i="1"/>
  <c r="E5807" i="1" a="1"/>
  <c r="E5807" i="1"/>
  <c r="E5808" i="1" a="1"/>
  <c r="E5808" i="1" s="1"/>
  <c r="E5809" i="1" a="1"/>
  <c r="E5809" i="1"/>
  <c r="E5811" i="1" a="1"/>
  <c r="E5811" i="1"/>
  <c r="E5812" i="1" a="1"/>
  <c r="E5812" i="1" s="1"/>
  <c r="E5813" i="1" a="1"/>
  <c r="E5813" i="1" s="1"/>
  <c r="E5814" i="1" a="1"/>
  <c r="E5814" i="1"/>
  <c r="E5815" i="1" a="1"/>
  <c r="E5815" i="1"/>
  <c r="E5816" i="1" a="1"/>
  <c r="E5816" i="1"/>
  <c r="E5817" i="1" a="1"/>
  <c r="E5817" i="1" s="1"/>
  <c r="E5818" i="1" a="1"/>
  <c r="E5818" i="1"/>
  <c r="E5819" i="1" a="1"/>
  <c r="E5819" i="1"/>
  <c r="E5820" i="1" a="1"/>
  <c r="E5820" i="1" s="1"/>
  <c r="E5821" i="1" a="1"/>
  <c r="E5821" i="1"/>
  <c r="E5822" i="1" a="1"/>
  <c r="E5822" i="1"/>
  <c r="E5823" i="1" a="1"/>
  <c r="E5823" i="1"/>
  <c r="E5824" i="1" a="1"/>
  <c r="E5824" i="1"/>
  <c r="E5825" i="1" a="1"/>
  <c r="E5825" i="1" s="1"/>
  <c r="E5826" i="1" a="1"/>
  <c r="E5826" i="1"/>
  <c r="E5827" i="1" a="1"/>
  <c r="E5827" i="1"/>
  <c r="E5828" i="1" a="1"/>
  <c r="E5828" i="1" s="1"/>
  <c r="E5829" i="1" a="1"/>
  <c r="E5829" i="1" s="1"/>
  <c r="E5830" i="1" a="1"/>
  <c r="E5830" i="1"/>
  <c r="E5831" i="1" a="1"/>
  <c r="E5831" i="1"/>
  <c r="E5832" i="1" a="1"/>
  <c r="E5832" i="1"/>
  <c r="E5833" i="1" a="1"/>
  <c r="E5833" i="1" s="1"/>
  <c r="E5834" i="1" a="1"/>
  <c r="E5834" i="1"/>
  <c r="E5835" i="1" a="1"/>
  <c r="E5835" i="1"/>
  <c r="E5836" i="1" a="1"/>
  <c r="E5836" i="1"/>
  <c r="E5837" i="1" a="1"/>
  <c r="E5837" i="1" s="1"/>
  <c r="E5838" i="1" a="1"/>
  <c r="E5838" i="1"/>
  <c r="E5839" i="1" a="1"/>
  <c r="E5839" i="1"/>
  <c r="E5840" i="1" a="1"/>
  <c r="E5840" i="1"/>
  <c r="E5841" i="1" a="1"/>
  <c r="E5841" i="1" s="1"/>
  <c r="E5842" i="1" a="1"/>
  <c r="E5842" i="1"/>
  <c r="E5843" i="1" a="1"/>
  <c r="E5843" i="1"/>
  <c r="E5844" i="1" a="1"/>
  <c r="E5844" i="1"/>
  <c r="E5845" i="1" a="1"/>
  <c r="E5845" i="1"/>
  <c r="E5846" i="1" a="1"/>
  <c r="E5846" i="1"/>
  <c r="E5847" i="1" a="1"/>
  <c r="E5847" i="1"/>
  <c r="E5848" i="1" a="1"/>
  <c r="E5848" i="1"/>
  <c r="E5849" i="1" a="1"/>
  <c r="E5849" i="1" s="1"/>
  <c r="E5850" i="1" a="1"/>
  <c r="E5850" i="1"/>
  <c r="E5851" i="1" a="1"/>
  <c r="E5851" i="1"/>
  <c r="E5852" i="1" a="1"/>
  <c r="E5852" i="1"/>
  <c r="E5853" i="1" a="1"/>
  <c r="E5853" i="1"/>
  <c r="E5854" i="1" a="1"/>
  <c r="E5854" i="1"/>
  <c r="E5855" i="1" a="1"/>
  <c r="E5855" i="1"/>
  <c r="E5856" i="1" a="1"/>
  <c r="E5856" i="1"/>
  <c r="E5857" i="1" a="1"/>
  <c r="E5857" i="1" s="1"/>
  <c r="E5858" i="1" a="1"/>
  <c r="E5858" i="1"/>
  <c r="E5859" i="1" a="1"/>
  <c r="E5859" i="1"/>
  <c r="E5862" i="1" a="1"/>
  <c r="E5862" i="1"/>
  <c r="E5863" i="1" a="1"/>
  <c r="E5863" i="1"/>
  <c r="E5864" i="1" a="1"/>
  <c r="E5864" i="1"/>
  <c r="E5865" i="1" a="1"/>
  <c r="E5865" i="1"/>
  <c r="E5866" i="1" a="1"/>
  <c r="E5866" i="1" s="1"/>
  <c r="E5867" i="1" a="1"/>
  <c r="E5867" i="1" s="1"/>
  <c r="E5868" i="1" a="1"/>
  <c r="E5868" i="1"/>
  <c r="E5869" i="1" a="1"/>
  <c r="E5869" i="1"/>
  <c r="E5870" i="1" a="1"/>
  <c r="E5870" i="1"/>
  <c r="E5871" i="1" a="1"/>
  <c r="E5871" i="1"/>
  <c r="E5872" i="1" a="1"/>
  <c r="E5872" i="1"/>
  <c r="E5873" i="1" a="1"/>
  <c r="E5873" i="1"/>
  <c r="E5874" i="1" a="1"/>
  <c r="E5874" i="1"/>
  <c r="E5875" i="1" a="1"/>
  <c r="E5875" i="1" s="1"/>
  <c r="E5876" i="1" a="1"/>
  <c r="E5876" i="1"/>
  <c r="E5877" i="1" a="1"/>
  <c r="E5877" i="1"/>
  <c r="E5878" i="1" a="1"/>
  <c r="E5878" i="1"/>
  <c r="E5879" i="1" a="1"/>
  <c r="E5879" i="1"/>
  <c r="E5880" i="1" a="1"/>
  <c r="E5880" i="1"/>
  <c r="E5881" i="1" a="1"/>
  <c r="E5881" i="1"/>
  <c r="E5882" i="1" a="1"/>
  <c r="E5882" i="1" s="1"/>
  <c r="E5883" i="1" a="1"/>
  <c r="E5883" i="1" s="1"/>
  <c r="E5884" i="1" a="1"/>
  <c r="E5884" i="1"/>
  <c r="E5885" i="1" a="1"/>
  <c r="E5885" i="1"/>
  <c r="E5886" i="1" a="1"/>
  <c r="E5886" i="1"/>
  <c r="E5888" i="1" a="1"/>
  <c r="E5888" i="1"/>
  <c r="E5889" i="1" a="1"/>
  <c r="E5889" i="1"/>
  <c r="E5890" i="1" a="1"/>
  <c r="E5890" i="1"/>
  <c r="E5891" i="1" a="1"/>
  <c r="E5891" i="1" s="1"/>
  <c r="E5892" i="1" a="1"/>
  <c r="E5892" i="1" s="1"/>
  <c r="E5893" i="1" a="1"/>
  <c r="E5893" i="1"/>
  <c r="E5894" i="1" a="1"/>
  <c r="E5894" i="1"/>
  <c r="E5895" i="1" a="1"/>
  <c r="E5895" i="1"/>
  <c r="E5896" i="1" a="1"/>
  <c r="E5896" i="1"/>
  <c r="E5897" i="1" a="1"/>
  <c r="E5897" i="1"/>
  <c r="E5898" i="1" a="1"/>
  <c r="E5898" i="1"/>
  <c r="E5899" i="1" a="1"/>
  <c r="E5899" i="1"/>
  <c r="E5900" i="1" a="1"/>
  <c r="E5900" i="1" s="1"/>
  <c r="E5901" i="1" a="1"/>
  <c r="E5901" i="1"/>
  <c r="E5902" i="1" a="1"/>
  <c r="E5902" i="1"/>
  <c r="E5904" i="1" a="1"/>
  <c r="E5904" i="1" s="1"/>
  <c r="E5905" i="1" a="1"/>
  <c r="E5905" i="1"/>
  <c r="E5906" i="1" a="1"/>
  <c r="E5906" i="1"/>
  <c r="E5908" i="1" a="1"/>
  <c r="E5908" i="1" s="1"/>
  <c r="E5912" i="1" a="1"/>
  <c r="E5912" i="1"/>
  <c r="E5913" i="1" a="1"/>
  <c r="E5913" i="1" s="1"/>
  <c r="E5914" i="1" a="1"/>
  <c r="E5914" i="1"/>
  <c r="E5915" i="1" a="1"/>
  <c r="E5915" i="1"/>
  <c r="E5916" i="1" a="1"/>
  <c r="E5916" i="1"/>
  <c r="E5917" i="1" a="1"/>
  <c r="E5917" i="1" s="1"/>
  <c r="E5918" i="1" a="1"/>
  <c r="E5918" i="1"/>
  <c r="E5919" i="1" a="1"/>
  <c r="E5919" i="1" s="1"/>
  <c r="E5920" i="1" a="1"/>
  <c r="E5920" i="1"/>
  <c r="E5921" i="1" a="1"/>
  <c r="E5921" i="1"/>
  <c r="E5922" i="1" a="1"/>
  <c r="E5922" i="1"/>
  <c r="E5923" i="1" a="1"/>
  <c r="E5923" i="1"/>
  <c r="E5924" i="1" a="1"/>
  <c r="E5924" i="1" s="1"/>
  <c r="E5925" i="1" a="1"/>
  <c r="E5925" i="1" s="1"/>
  <c r="E5926" i="1" a="1"/>
  <c r="E5926" i="1"/>
  <c r="E5927" i="1" a="1"/>
  <c r="E5927" i="1" s="1"/>
  <c r="E5928" i="1" a="1"/>
  <c r="E5928" i="1"/>
  <c r="E5929" i="1" a="1"/>
  <c r="E5929" i="1"/>
  <c r="E5930" i="1" a="1"/>
  <c r="E5930" i="1"/>
  <c r="E5931" i="1" a="1"/>
  <c r="E5931" i="1"/>
  <c r="E5932" i="1" a="1"/>
  <c r="E5932" i="1"/>
  <c r="E5933" i="1" a="1"/>
  <c r="E5933" i="1"/>
  <c r="E5934" i="1" a="1"/>
  <c r="E5934" i="1"/>
  <c r="E5935" i="1" a="1"/>
  <c r="E5935" i="1" s="1"/>
  <c r="E5936" i="1" a="1"/>
  <c r="E5936" i="1"/>
  <c r="E5937" i="1" a="1"/>
  <c r="E5937" i="1"/>
  <c r="E5938" i="1" a="1"/>
  <c r="E5938" i="1"/>
  <c r="E5940" i="1" a="1"/>
  <c r="E5940" i="1"/>
  <c r="E5941" i="1" a="1"/>
  <c r="E5941" i="1" s="1"/>
  <c r="E5942" i="1" a="1"/>
  <c r="E5942" i="1"/>
  <c r="E5944" i="1" a="1"/>
  <c r="E5944" i="1"/>
  <c r="E5945" i="1" a="1"/>
  <c r="E5945" i="1" s="1"/>
  <c r="E5946" i="1" a="1"/>
  <c r="E5946" i="1" s="1"/>
  <c r="E5947" i="1" a="1"/>
  <c r="E5947" i="1"/>
  <c r="E5948" i="1" a="1"/>
  <c r="E5948" i="1"/>
  <c r="E5949" i="1" a="1"/>
  <c r="E5949" i="1"/>
  <c r="E5950" i="1" a="1"/>
  <c r="E5950" i="1"/>
  <c r="E5951" i="1" a="1"/>
  <c r="E5951" i="1"/>
  <c r="E5952" i="1" a="1"/>
  <c r="E5952" i="1"/>
  <c r="E5956" i="1" a="1"/>
  <c r="E5956" i="1" s="1"/>
  <c r="E5958" i="1" a="1"/>
  <c r="E5958" i="1"/>
  <c r="E5959" i="1" a="1"/>
  <c r="E5959" i="1"/>
  <c r="E5960" i="1" a="1"/>
  <c r="E5960" i="1"/>
  <c r="E5961" i="1" a="1"/>
  <c r="E5961" i="1"/>
  <c r="E5962" i="1" a="1"/>
  <c r="E5962" i="1" s="1"/>
  <c r="E5963" i="1" a="1"/>
  <c r="E5963" i="1" s="1"/>
  <c r="E5964" i="1" a="1"/>
  <c r="E5964" i="1"/>
  <c r="E5965" i="1" a="1"/>
  <c r="E5965" i="1" s="1"/>
  <c r="E5966" i="1" a="1"/>
  <c r="E5966" i="1" s="1"/>
  <c r="E5967" i="1" a="1"/>
  <c r="E5967" i="1" s="1"/>
  <c r="E5968" i="1" a="1"/>
  <c r="E5968" i="1"/>
  <c r="E5969" i="1" a="1"/>
  <c r="E5969" i="1"/>
  <c r="E5970" i="1" a="1"/>
  <c r="E5970" i="1" s="1"/>
  <c r="E5971" i="1" a="1"/>
  <c r="E5971" i="1"/>
  <c r="E5972" i="1" a="1"/>
  <c r="E5972" i="1"/>
  <c r="E5974" i="1" a="1"/>
  <c r="E5974" i="1" s="1"/>
  <c r="E5975" i="1" a="1"/>
  <c r="E5975" i="1" s="1"/>
  <c r="E5976" i="1" a="1"/>
  <c r="E5976" i="1" s="1"/>
  <c r="E5978" i="1" a="1"/>
  <c r="E5978" i="1"/>
  <c r="E5979" i="1" a="1"/>
  <c r="E5979" i="1"/>
  <c r="E5980" i="1" a="1"/>
  <c r="E5980" i="1"/>
  <c r="E5981" i="1" a="1"/>
  <c r="E5981" i="1" s="1"/>
  <c r="E5982" i="1" a="1"/>
  <c r="E5982" i="1"/>
  <c r="E5983" i="1" a="1"/>
  <c r="E5983" i="1" s="1"/>
  <c r="E5984" i="1" a="1"/>
  <c r="E5984" i="1"/>
  <c r="E5985" i="1" a="1"/>
  <c r="E5985" i="1" s="1"/>
  <c r="E5986" i="1" a="1"/>
  <c r="E5986" i="1"/>
  <c r="E5987" i="1" a="1"/>
  <c r="E5987" i="1"/>
  <c r="E5988" i="1" a="1"/>
  <c r="E5988" i="1"/>
  <c r="E5991" i="1" a="1"/>
  <c r="E5991" i="1" s="1"/>
  <c r="E5992" i="1" a="1"/>
  <c r="E5992" i="1"/>
  <c r="E5993" i="1" a="1"/>
  <c r="E5993" i="1" s="1"/>
  <c r="E5994" i="1" a="1"/>
  <c r="E5994" i="1"/>
  <c r="E5995" i="1" a="1"/>
  <c r="E5995" i="1"/>
  <c r="E5996" i="1" a="1"/>
  <c r="E5996" i="1"/>
  <c r="E5997" i="1" a="1"/>
  <c r="E5997" i="1"/>
  <c r="E5998" i="1" a="1"/>
  <c r="E5998" i="1"/>
  <c r="E5999" i="1" a="1"/>
  <c r="E5999" i="1"/>
  <c r="E6000" i="1" a="1"/>
  <c r="E6000" i="1"/>
  <c r="E6001" i="1" a="1"/>
  <c r="E6001" i="1" s="1"/>
  <c r="E6002" i="1" a="1"/>
  <c r="E6002" i="1"/>
  <c r="E6003" i="1" a="1"/>
  <c r="E6003" i="1"/>
  <c r="E6004" i="1" a="1"/>
  <c r="E6004" i="1"/>
  <c r="E6005" i="1" a="1"/>
  <c r="E6005" i="1"/>
  <c r="E6006" i="1" a="1"/>
  <c r="E6006" i="1"/>
  <c r="E6007" i="1" a="1"/>
  <c r="E6007" i="1"/>
  <c r="E6008" i="1" a="1"/>
  <c r="E6008" i="1"/>
  <c r="E6009" i="1" a="1"/>
  <c r="E6009" i="1" s="1"/>
  <c r="E6010" i="1" a="1"/>
  <c r="E6010" i="1" s="1"/>
  <c r="E6011" i="1" a="1"/>
  <c r="E6011" i="1"/>
  <c r="E6012" i="1" a="1"/>
  <c r="E6012" i="1"/>
  <c r="E6013" i="1" a="1"/>
  <c r="E6013" i="1"/>
  <c r="E6015" i="1" a="1"/>
  <c r="E6015" i="1"/>
  <c r="E6016" i="1" a="1"/>
  <c r="E6016" i="1"/>
  <c r="E6018" i="1" a="1"/>
  <c r="E6018" i="1"/>
  <c r="E6019" i="1" a="1"/>
  <c r="E6019" i="1" s="1"/>
  <c r="E6020" i="1" a="1"/>
  <c r="E6020" i="1"/>
  <c r="E6022" i="1" a="1"/>
  <c r="E6022" i="1"/>
  <c r="E6023" i="1" a="1"/>
  <c r="E6023" i="1"/>
  <c r="E6024" i="1" a="1"/>
  <c r="E6024" i="1"/>
  <c r="E6026" i="1" a="1"/>
  <c r="E6026" i="1" s="1"/>
  <c r="E6027" i="1" a="1"/>
  <c r="E6027" i="1" s="1"/>
  <c r="E6028" i="1" a="1"/>
  <c r="E6028" i="1"/>
  <c r="E6029" i="1" a="1"/>
  <c r="E6029" i="1" s="1"/>
  <c r="E6030" i="1" a="1"/>
  <c r="E6030" i="1" s="1"/>
  <c r="E6031" i="1" a="1"/>
  <c r="E6031" i="1" s="1"/>
  <c r="E6032" i="1" a="1"/>
  <c r="E6032" i="1"/>
  <c r="E6033" i="1" a="1"/>
  <c r="E6033" i="1"/>
  <c r="E6034" i="1" a="1"/>
  <c r="E6034" i="1"/>
  <c r="E6035" i="1" a="1"/>
  <c r="E6035" i="1" s="1"/>
  <c r="E6036" i="1" a="1"/>
  <c r="E6036" i="1"/>
  <c r="E6037" i="1" a="1"/>
  <c r="E6037" i="1" s="1"/>
  <c r="E6038" i="1" a="1"/>
  <c r="E6038" i="1"/>
  <c r="E6039" i="1" a="1"/>
  <c r="E6039" i="1"/>
  <c r="E6040" i="1" a="1"/>
  <c r="E6040" i="1"/>
  <c r="E6041" i="1" a="1"/>
  <c r="E6041" i="1"/>
  <c r="E6043" i="1" a="1"/>
  <c r="E6043" i="1"/>
  <c r="E6044" i="1" a="1"/>
  <c r="E6044" i="1"/>
  <c r="E6045" i="1" a="1"/>
  <c r="E6045" i="1"/>
  <c r="E6046" i="1" a="1"/>
  <c r="E6046" i="1" s="1"/>
  <c r="E6047" i="1" a="1"/>
  <c r="E6047" i="1"/>
  <c r="E6048" i="1" a="1"/>
  <c r="E6048" i="1" s="1"/>
  <c r="E6049" i="1" a="1"/>
  <c r="E6049" i="1"/>
  <c r="E6050" i="1" a="1"/>
  <c r="E6050" i="1"/>
  <c r="E6051" i="1" a="1"/>
  <c r="E6051" i="1" s="1"/>
  <c r="E6052" i="1" a="1"/>
  <c r="E6052" i="1"/>
  <c r="E6053" i="1" a="1"/>
  <c r="E6053" i="1"/>
  <c r="E6054" i="1" a="1"/>
  <c r="E6054" i="1" s="1"/>
  <c r="E6055" i="1" a="1"/>
  <c r="E6055" i="1"/>
  <c r="E6056" i="1" a="1"/>
  <c r="E6056" i="1"/>
  <c r="E6058" i="1" a="1"/>
  <c r="E6058" i="1"/>
  <c r="E6060" i="1" a="1"/>
  <c r="E6060" i="1"/>
  <c r="E6061" i="1" a="1"/>
  <c r="E6061" i="1"/>
  <c r="E6063" i="1" a="1"/>
  <c r="E6063" i="1" s="1"/>
  <c r="E6064" i="1" a="1"/>
  <c r="E6064" i="1"/>
  <c r="E6065" i="1" a="1"/>
  <c r="E6065" i="1" s="1"/>
  <c r="E6066" i="1" a="1"/>
  <c r="E6066" i="1" s="1"/>
  <c r="E6067" i="1" a="1"/>
  <c r="E6067" i="1" s="1"/>
  <c r="E6068" i="1" a="1"/>
  <c r="E6068" i="1"/>
  <c r="E6069" i="1" a="1"/>
  <c r="E6069" i="1"/>
  <c r="E6070" i="1" a="1"/>
  <c r="E6070" i="1"/>
  <c r="E6071" i="1" a="1"/>
  <c r="E6071" i="1"/>
  <c r="E6072" i="1" a="1"/>
  <c r="E6072" i="1"/>
  <c r="E6073" i="1" a="1"/>
  <c r="E6073" i="1" s="1"/>
  <c r="E6075" i="1" a="1"/>
  <c r="E6075" i="1" s="1"/>
  <c r="E6076" i="1" a="1"/>
  <c r="E6076" i="1"/>
  <c r="E6077" i="1" a="1"/>
  <c r="E6077" i="1"/>
  <c r="E6078" i="1" a="1"/>
  <c r="E6078" i="1"/>
  <c r="E6079" i="1" a="1"/>
  <c r="E6079" i="1"/>
  <c r="E6080" i="1" a="1"/>
  <c r="E6080" i="1"/>
  <c r="E6081" i="1" a="1"/>
  <c r="E6081" i="1"/>
  <c r="E6082" i="1" a="1"/>
  <c r="E6082" i="1" s="1"/>
  <c r="E6083" i="1" a="1"/>
  <c r="E6083" i="1" s="1"/>
  <c r="E6085" i="1" a="1"/>
  <c r="E6085" i="1" s="1"/>
  <c r="E6086" i="1" a="1"/>
  <c r="E6086" i="1"/>
  <c r="E6087" i="1" a="1"/>
  <c r="E6087" i="1"/>
  <c r="E6089" i="1" a="1"/>
  <c r="E6089" i="1" s="1"/>
  <c r="E6090" i="1" a="1"/>
  <c r="E6090" i="1"/>
  <c r="E6091" i="1" a="1"/>
  <c r="E6091" i="1"/>
  <c r="E6092" i="1" a="1"/>
  <c r="E6092" i="1" s="1"/>
  <c r="E6093" i="1" a="1"/>
  <c r="E6093" i="1"/>
  <c r="E6094" i="1" a="1"/>
  <c r="E6094" i="1" s="1"/>
  <c r="E6095" i="1" a="1"/>
  <c r="E6095" i="1" s="1"/>
  <c r="E6096" i="1" a="1"/>
  <c r="E6096" i="1"/>
  <c r="E6097" i="1" a="1"/>
  <c r="E6097" i="1" s="1"/>
  <c r="E6098" i="1" a="1"/>
  <c r="E6098" i="1" s="1"/>
  <c r="E6100" i="1" a="1"/>
  <c r="E6100" i="1"/>
  <c r="E6102" i="1" a="1"/>
  <c r="E6102" i="1" s="1"/>
  <c r="E6103" i="1" a="1"/>
  <c r="E6103" i="1"/>
  <c r="E6104" i="1" a="1"/>
  <c r="E6104" i="1"/>
  <c r="E6105" i="1" a="1"/>
  <c r="E6105" i="1" s="1"/>
  <c r="E6106" i="1" a="1"/>
  <c r="E6106" i="1"/>
  <c r="E6107" i="1" a="1"/>
  <c r="E6107" i="1" s="1"/>
  <c r="E6108" i="1" a="1"/>
  <c r="E6108" i="1" s="1"/>
  <c r="E6109" i="1" a="1"/>
  <c r="E6109" i="1" s="1"/>
  <c r="E6110" i="1" a="1"/>
  <c r="E6110" i="1"/>
  <c r="E6111" i="1" a="1"/>
  <c r="E6111" i="1" s="1"/>
  <c r="E6112" i="1" a="1"/>
  <c r="E6112" i="1"/>
  <c r="E6113" i="1" a="1"/>
  <c r="E6113" i="1" s="1"/>
  <c r="E6114" i="1" a="1"/>
  <c r="E6114" i="1"/>
  <c r="E6115" i="1" a="1"/>
  <c r="E6115" i="1"/>
  <c r="E6116" i="1" a="1"/>
  <c r="E6116" i="1"/>
  <c r="E6117" i="1" a="1"/>
  <c r="E6117" i="1" s="1"/>
  <c r="E6118" i="1" a="1"/>
  <c r="E6118" i="1" s="1"/>
  <c r="E6119" i="1" a="1"/>
  <c r="E6119" i="1" s="1"/>
  <c r="E6120" i="1" a="1"/>
  <c r="E6120" i="1"/>
  <c r="E6121" i="1" a="1"/>
  <c r="E6121" i="1" s="1"/>
  <c r="E6122" i="1" a="1"/>
  <c r="E6122" i="1"/>
  <c r="E6123" i="1" a="1"/>
  <c r="E6123" i="1"/>
  <c r="E6124" i="1" a="1"/>
  <c r="E6124" i="1"/>
  <c r="E6125" i="1" a="1"/>
  <c r="E6125" i="1"/>
  <c r="E6126" i="1" a="1"/>
  <c r="E6126" i="1" s="1"/>
  <c r="E6128" i="1" a="1"/>
  <c r="E6128" i="1" s="1"/>
  <c r="E6129" i="1" a="1"/>
  <c r="E6129" i="1" s="1"/>
  <c r="E6130" i="1" a="1"/>
  <c r="E6130" i="1" s="1"/>
  <c r="E6131" i="1" a="1"/>
  <c r="E6131" i="1"/>
  <c r="E6132" i="1" a="1"/>
  <c r="E6132" i="1"/>
  <c r="E6133" i="1" a="1"/>
  <c r="E6133" i="1"/>
  <c r="E6134" i="1" a="1"/>
  <c r="E6134" i="1"/>
  <c r="E6135" i="1" a="1"/>
  <c r="E6135" i="1"/>
  <c r="E6136" i="1" a="1"/>
  <c r="E6136" i="1" s="1"/>
  <c r="E6137" i="1" a="1"/>
  <c r="E6137" i="1" s="1"/>
  <c r="E6138" i="1" a="1"/>
  <c r="E6138" i="1" s="1"/>
  <c r="E6139" i="1" a="1"/>
  <c r="E6139" i="1"/>
  <c r="E6140" i="1" a="1"/>
  <c r="E6140" i="1" s="1"/>
  <c r="E6141" i="1" a="1"/>
  <c r="E6141" i="1" s="1"/>
  <c r="E6144" i="1" a="1"/>
  <c r="E6144" i="1" s="1"/>
  <c r="E6145" i="1" a="1"/>
  <c r="E6145" i="1"/>
  <c r="E6146" i="1" a="1"/>
  <c r="E6146" i="1"/>
  <c r="E6147" i="1" a="1"/>
  <c r="E6147" i="1" s="1"/>
  <c r="E6148" i="1" a="1"/>
  <c r="E6148" i="1" s="1"/>
  <c r="E6149" i="1" a="1"/>
  <c r="E6149" i="1"/>
  <c r="E6150" i="1" a="1"/>
  <c r="E6150" i="1"/>
  <c r="E6151" i="1" a="1"/>
  <c r="E6151" i="1" s="1"/>
  <c r="E6152" i="1" a="1"/>
  <c r="E6152" i="1" s="1"/>
  <c r="E6153" i="1" a="1"/>
  <c r="E6153" i="1" s="1"/>
  <c r="E6154" i="1" a="1"/>
  <c r="E6154" i="1" s="1"/>
  <c r="E6155" i="1" a="1"/>
  <c r="E6155" i="1"/>
  <c r="E6156" i="1" a="1"/>
  <c r="E6156" i="1" s="1"/>
  <c r="E6157" i="1" a="1"/>
  <c r="E6157" i="1" s="1"/>
  <c r="E6158" i="1" a="1"/>
  <c r="E6158" i="1"/>
  <c r="E6159" i="1" a="1"/>
  <c r="E6159" i="1"/>
  <c r="E6160" i="1" a="1"/>
  <c r="E6160" i="1" s="1"/>
  <c r="E6161" i="1" a="1"/>
  <c r="E6161" i="1" s="1"/>
  <c r="E6162" i="1" a="1"/>
  <c r="E6162" i="1"/>
  <c r="E6163" i="1" a="1"/>
  <c r="E6163" i="1" s="1"/>
  <c r="E6164" i="1" a="1"/>
  <c r="E6164" i="1" s="1"/>
  <c r="E6165" i="1" a="1"/>
  <c r="E6165" i="1" s="1"/>
  <c r="E6166" i="1" a="1"/>
  <c r="E6166" i="1" s="1"/>
  <c r="E6167" i="1" a="1"/>
  <c r="E6167" i="1"/>
  <c r="E6168" i="1" a="1"/>
  <c r="E6168" i="1"/>
  <c r="E6169" i="1" a="1"/>
  <c r="E6169" i="1" s="1"/>
  <c r="E6170" i="1" a="1"/>
  <c r="E6170" i="1"/>
  <c r="E6171" i="1" a="1"/>
  <c r="E6171" i="1"/>
  <c r="E6172" i="1" a="1"/>
  <c r="E6172" i="1" s="1"/>
  <c r="E6173" i="1" a="1"/>
  <c r="E6173" i="1" s="1"/>
  <c r="E6175" i="1" a="1"/>
  <c r="E6175" i="1" s="1"/>
  <c r="E6178" i="1" a="1"/>
  <c r="E6178" i="1" s="1"/>
  <c r="E6179" i="1" a="1"/>
  <c r="E6179" i="1"/>
  <c r="E6180" i="1" a="1"/>
  <c r="E6180" i="1"/>
  <c r="E6182" i="1" a="1"/>
  <c r="E6182" i="1"/>
  <c r="E6183" i="1" a="1"/>
  <c r="E6183" i="1" s="1"/>
  <c r="E6184" i="1" a="1"/>
  <c r="E6184" i="1" s="1"/>
  <c r="E6185" i="1" a="1"/>
  <c r="E6185" i="1" s="1"/>
  <c r="E6186" i="1" a="1"/>
  <c r="E6186" i="1"/>
  <c r="E6187" i="1" a="1"/>
  <c r="E6187" i="1"/>
  <c r="E6189" i="1" a="1"/>
  <c r="E6189" i="1" s="1"/>
  <c r="E6191" i="1" a="1"/>
  <c r="E6191" i="1"/>
  <c r="E6192" i="1" a="1"/>
  <c r="E6192" i="1" s="1"/>
  <c r="E6193" i="1" a="1"/>
  <c r="E6193" i="1"/>
  <c r="E6194" i="1" a="1"/>
  <c r="E6194" i="1" s="1"/>
  <c r="E6195" i="1" a="1"/>
  <c r="E6195" i="1" s="1"/>
  <c r="E6196" i="1" a="1"/>
  <c r="E6196" i="1" s="1"/>
  <c r="E6197" i="1" a="1"/>
  <c r="E6197" i="1" s="1"/>
  <c r="E6198" i="1" a="1"/>
  <c r="E6198" i="1"/>
  <c r="E6200" i="1" a="1"/>
  <c r="E6200" i="1" s="1"/>
  <c r="E6201" i="1" a="1"/>
  <c r="E6201" i="1"/>
  <c r="E6202" i="1" a="1"/>
  <c r="E6202" i="1"/>
  <c r="E6203" i="1" a="1"/>
  <c r="E6203" i="1" s="1"/>
  <c r="E6204" i="1" a="1"/>
  <c r="E6204" i="1" s="1"/>
  <c r="E6205" i="1" a="1"/>
  <c r="E6205" i="1"/>
  <c r="E6206" i="1" a="1"/>
  <c r="E6206" i="1" s="1"/>
  <c r="E6207" i="1" a="1"/>
  <c r="E6207" i="1"/>
  <c r="E6208" i="1" a="1"/>
  <c r="E6208" i="1"/>
  <c r="E6209" i="1" a="1"/>
  <c r="E6209" i="1" s="1"/>
  <c r="E6210" i="1" a="1"/>
  <c r="E6210" i="1"/>
  <c r="E6211" i="1" a="1"/>
  <c r="E6211" i="1" s="1"/>
  <c r="E6212" i="1" a="1"/>
  <c r="E6212" i="1" s="1"/>
  <c r="E6213" i="1" a="1"/>
  <c r="E6213" i="1" s="1"/>
  <c r="E6214" i="1" a="1"/>
  <c r="E6214" i="1" s="1"/>
  <c r="E6215" i="1" a="1"/>
  <c r="E6215" i="1" s="1"/>
  <c r="E6216" i="1" a="1"/>
  <c r="E6216" i="1" s="1"/>
  <c r="E6217" i="1" a="1"/>
  <c r="E6217" i="1"/>
  <c r="E6218" i="1" a="1"/>
  <c r="E6218" i="1" s="1"/>
  <c r="E6219" i="1" a="1"/>
  <c r="E6219" i="1" s="1"/>
  <c r="E6220" i="1" a="1"/>
  <c r="E6220" i="1" s="1"/>
  <c r="E6221" i="1" a="1"/>
  <c r="E6221" i="1"/>
  <c r="E6222" i="1" a="1"/>
  <c r="E6222" i="1"/>
  <c r="E6223" i="1" a="1"/>
  <c r="E6223" i="1"/>
  <c r="E6224" i="1" a="1"/>
  <c r="E6224" i="1" s="1"/>
  <c r="E6225" i="1" a="1"/>
  <c r="E6225" i="1" s="1"/>
  <c r="E6227" i="1" a="1"/>
  <c r="E6227" i="1" s="1"/>
  <c r="E6228" i="1" a="1"/>
  <c r="E6228" i="1" s="1"/>
  <c r="E6229" i="1" a="1"/>
  <c r="E6229" i="1" s="1"/>
  <c r="E6230" i="1" a="1"/>
  <c r="E6230" i="1"/>
  <c r="E6231" i="1" a="1"/>
  <c r="E6231" i="1"/>
  <c r="E6232" i="1" a="1"/>
  <c r="E6232" i="1"/>
  <c r="E6233" i="1" a="1"/>
  <c r="E6233" i="1"/>
  <c r="E6234" i="1" a="1"/>
  <c r="E6234" i="1" s="1"/>
  <c r="E6235" i="1" a="1"/>
  <c r="E6235" i="1"/>
  <c r="E6236" i="1" a="1"/>
  <c r="E6236" i="1" s="1"/>
  <c r="E6237" i="1" a="1"/>
  <c r="E6237" i="1" s="1"/>
  <c r="E6238" i="1" a="1"/>
  <c r="E6238" i="1" s="1"/>
  <c r="E6239" i="1" a="1"/>
  <c r="E6239" i="1"/>
  <c r="E6240" i="1" a="1"/>
  <c r="E6240" i="1"/>
  <c r="E6241" i="1" a="1"/>
  <c r="E6241" i="1" s="1"/>
  <c r="E6242" i="1" a="1"/>
  <c r="E6242" i="1" s="1"/>
  <c r="E6243" i="1" a="1"/>
  <c r="E6243" i="1"/>
  <c r="E6244" i="1" a="1"/>
  <c r="E6244" i="1" s="1"/>
  <c r="E6247" i="1" a="1"/>
  <c r="E6247" i="1" s="1"/>
  <c r="E6248" i="1" a="1"/>
  <c r="E6248" i="1" s="1"/>
  <c r="E6249" i="1" a="1"/>
  <c r="E6249" i="1" s="1"/>
  <c r="E6250" i="1" a="1"/>
  <c r="E6250" i="1"/>
  <c r="E6251" i="1" a="1"/>
  <c r="E6251" i="1" s="1"/>
  <c r="E6252" i="1" a="1"/>
  <c r="E6252" i="1"/>
  <c r="E6254" i="1" a="1"/>
  <c r="E6254" i="1"/>
  <c r="E6255" i="1" a="1"/>
  <c r="E6255" i="1" s="1"/>
  <c r="E6256" i="1" a="1"/>
  <c r="E6256" i="1" s="1"/>
  <c r="E6257" i="1" a="1"/>
  <c r="E6257" i="1"/>
  <c r="E6258" i="1" a="1"/>
  <c r="E6258" i="1"/>
  <c r="E6259" i="1" a="1"/>
  <c r="E6259" i="1" s="1"/>
  <c r="E6260" i="1" a="1"/>
  <c r="E6260" i="1"/>
  <c r="E6261" i="1" a="1"/>
  <c r="E6261" i="1"/>
  <c r="E6262" i="1" a="1"/>
  <c r="E6262" i="1"/>
  <c r="E6263" i="1" a="1"/>
  <c r="E6263" i="1" s="1"/>
  <c r="E6264" i="1" a="1"/>
  <c r="E6264" i="1" s="1"/>
  <c r="E6266" i="1" a="1"/>
  <c r="E6266" i="1" s="1"/>
  <c r="E6267" i="1" a="1"/>
  <c r="E6267" i="1"/>
  <c r="E6268" i="1" a="1"/>
  <c r="E6268" i="1"/>
  <c r="E6270" i="1" a="1"/>
  <c r="E6270" i="1" s="1"/>
  <c r="E6271" i="1" a="1"/>
  <c r="E6271" i="1"/>
  <c r="E6274" i="1" a="1"/>
  <c r="E6274" i="1" s="1"/>
  <c r="E6275" i="1" a="1"/>
  <c r="E6275" i="1" s="1"/>
  <c r="E6276" i="1" a="1"/>
  <c r="E6276" i="1" s="1"/>
  <c r="E6278" i="1" a="1"/>
  <c r="E6278" i="1"/>
  <c r="E6279" i="1" a="1"/>
  <c r="E6279" i="1"/>
  <c r="E6280" i="1" a="1"/>
  <c r="E6280" i="1"/>
  <c r="E6281" i="1" a="1"/>
  <c r="E6281" i="1"/>
  <c r="E6282" i="1" a="1"/>
  <c r="E6282" i="1" s="1"/>
  <c r="E6284" i="1" a="1"/>
  <c r="E6284" i="1"/>
  <c r="E6285" i="1" a="1"/>
  <c r="E6285" i="1" s="1"/>
  <c r="E6286" i="1" a="1"/>
  <c r="E6286" i="1" s="1"/>
  <c r="E6287" i="1" a="1"/>
  <c r="E6287" i="1" s="1"/>
  <c r="E6288" i="1" a="1"/>
  <c r="E6288" i="1" s="1"/>
  <c r="E6289" i="1" a="1"/>
  <c r="E6289" i="1" s="1"/>
  <c r="E6290" i="1" a="1"/>
  <c r="E6290" i="1" s="1"/>
  <c r="E6291" i="1" a="1"/>
  <c r="E6291" i="1"/>
  <c r="E6292" i="1" a="1"/>
  <c r="E6292" i="1" s="1"/>
  <c r="E6293" i="1" a="1"/>
  <c r="E6293" i="1" s="1"/>
  <c r="E6294" i="1" a="1"/>
  <c r="E6294" i="1" s="1"/>
  <c r="E6295" i="1" a="1"/>
  <c r="E6295" i="1"/>
  <c r="O6295" i="1" a="1"/>
  <c r="O6295" i="1"/>
  <c r="E6296" i="1" a="1"/>
  <c r="E6296" i="1" s="1"/>
  <c r="E6297" i="1" a="1"/>
  <c r="E6297" i="1"/>
  <c r="O6297" i="1" a="1"/>
  <c r="O6297" i="1"/>
  <c r="E6298" i="1" a="1"/>
  <c r="E6298" i="1"/>
  <c r="E6299" i="1" a="1"/>
  <c r="E6299" i="1" s="1"/>
  <c r="E6301" i="1" a="1"/>
  <c r="E6301" i="1" s="1"/>
  <c r="O6301" i="1" a="1"/>
  <c r="O6301" i="1"/>
  <c r="E6302" i="1" a="1"/>
  <c r="E6302" i="1"/>
  <c r="E6306" i="1" a="1"/>
  <c r="E6306" i="1"/>
  <c r="E6307" i="1" a="1"/>
  <c r="E6307" i="1" s="1"/>
  <c r="E6308" i="1" a="1"/>
  <c r="E6308" i="1"/>
  <c r="E6309" i="1" a="1"/>
  <c r="E6309" i="1"/>
  <c r="E6310" i="1" a="1"/>
  <c r="E6310" i="1" s="1"/>
  <c r="E6311" i="1" a="1"/>
  <c r="E6311" i="1" s="1"/>
  <c r="E6312" i="1" a="1"/>
  <c r="E6312" i="1" s="1"/>
  <c r="E6314" i="1" a="1"/>
  <c r="E6314" i="1"/>
  <c r="E6315" i="1" a="1"/>
  <c r="E6315" i="1"/>
  <c r="E6316" i="1" a="1"/>
  <c r="E6316" i="1"/>
  <c r="E6317" i="1" a="1"/>
  <c r="E6317" i="1"/>
  <c r="E6318" i="1" a="1"/>
  <c r="E6318" i="1" s="1"/>
  <c r="E6319" i="1" a="1"/>
  <c r="E6319" i="1" s="1"/>
  <c r="E6320" i="1" a="1"/>
  <c r="E6320" i="1" s="1"/>
  <c r="E6324" i="1" a="1"/>
  <c r="E6324" i="1" s="1"/>
  <c r="E6325" i="1" a="1"/>
  <c r="E6325" i="1" s="1"/>
  <c r="E6326" i="1" a="1"/>
  <c r="E6326" i="1"/>
  <c r="E6327" i="1" a="1"/>
  <c r="E6327" i="1"/>
  <c r="E6328" i="1" a="1"/>
  <c r="E6328" i="1"/>
  <c r="E6329" i="1" a="1"/>
  <c r="E6329" i="1"/>
  <c r="E6330" i="1" a="1"/>
  <c r="E6330" i="1" s="1"/>
  <c r="E6331" i="1" a="1"/>
  <c r="E6331" i="1" s="1"/>
  <c r="E6332" i="1" a="1"/>
  <c r="E6332" i="1" s="1"/>
  <c r="E6333" i="1" a="1"/>
  <c r="E6333" i="1"/>
  <c r="E6334" i="1" a="1"/>
  <c r="E6334" i="1" s="1"/>
  <c r="E6335" i="1" a="1"/>
  <c r="E6335" i="1"/>
  <c r="E6336" i="1" a="1"/>
  <c r="E6336" i="1" s="1"/>
  <c r="E6337" i="1" a="1"/>
  <c r="E6337" i="1"/>
  <c r="E6339" i="1" a="1"/>
  <c r="E6339" i="1" s="1"/>
  <c r="E6341" i="1" a="1"/>
  <c r="E6341" i="1" s="1"/>
  <c r="E6344" i="1" a="1"/>
  <c r="E6344" i="1"/>
  <c r="E6347" i="1" a="1"/>
  <c r="E6347" i="1" s="1"/>
  <c r="E6348" i="1" a="1"/>
  <c r="E6348" i="1" s="1"/>
  <c r="E6351" i="1" a="1"/>
  <c r="E6351" i="1" s="1"/>
  <c r="E6352" i="1" a="1"/>
  <c r="E6352" i="1"/>
  <c r="E6354" i="1" a="1"/>
  <c r="E6354" i="1" s="1"/>
  <c r="E6355" i="1" a="1"/>
  <c r="E6355" i="1" s="1"/>
  <c r="E6356" i="1" a="1"/>
  <c r="E6356" i="1" s="1"/>
  <c r="E6357" i="1" a="1"/>
  <c r="E6357" i="1"/>
  <c r="E6358" i="1" a="1"/>
  <c r="E6358" i="1"/>
  <c r="E6359" i="1" a="1"/>
  <c r="E6359" i="1"/>
  <c r="E6360" i="1" a="1"/>
  <c r="E6360" i="1" s="1"/>
  <c r="E6361" i="1" a="1"/>
  <c r="E6361" i="1" s="1"/>
  <c r="E6362" i="1" a="1"/>
  <c r="E6362" i="1"/>
  <c r="E6364" i="1" a="1"/>
  <c r="E6364" i="1" s="1"/>
  <c r="E6367" i="1" a="1"/>
  <c r="E6367" i="1" s="1"/>
  <c r="E6368" i="1" a="1"/>
  <c r="E6368" i="1" s="1"/>
  <c r="E6369" i="1" a="1"/>
  <c r="E6369" i="1"/>
  <c r="E6370" i="1" a="1"/>
  <c r="E6370" i="1"/>
  <c r="E6371" i="1" a="1"/>
  <c r="E6371" i="1"/>
  <c r="E6372" i="1" a="1"/>
  <c r="E6372" i="1"/>
  <c r="E6374" i="1" a="1"/>
  <c r="E6374" i="1" s="1"/>
  <c r="E6375" i="1" a="1"/>
  <c r="E6375" i="1" s="1"/>
  <c r="E6376" i="1" a="1"/>
  <c r="E6376" i="1" s="1"/>
  <c r="E6377" i="1" a="1"/>
  <c r="E6377" i="1"/>
  <c r="E6378" i="1" a="1"/>
  <c r="E6378" i="1"/>
  <c r="E6379" i="1" a="1"/>
  <c r="E6379" i="1" s="1"/>
  <c r="E6380" i="1" a="1"/>
  <c r="E6380" i="1" s="1"/>
  <c r="E6381" i="1" a="1"/>
  <c r="E6381" i="1"/>
  <c r="E6382" i="1" a="1"/>
  <c r="E6382" i="1"/>
  <c r="E6383" i="1" a="1"/>
  <c r="E6383" i="1" s="1"/>
  <c r="E6384" i="1" a="1"/>
  <c r="E6384" i="1" s="1"/>
  <c r="E6385" i="1" a="1"/>
  <c r="E6385" i="1"/>
  <c r="E6386" i="1" a="1"/>
  <c r="E6386" i="1"/>
  <c r="E6387" i="1" a="1"/>
  <c r="E6387" i="1"/>
  <c r="E6388" i="1" a="1"/>
  <c r="E6388" i="1" s="1"/>
  <c r="E6389" i="1" a="1"/>
  <c r="E6389" i="1" s="1"/>
  <c r="E6390" i="1" a="1"/>
  <c r="E6390" i="1"/>
  <c r="E6391" i="1" a="1"/>
  <c r="E6391" i="1" s="1"/>
  <c r="E6392" i="1" a="1"/>
  <c r="E6392" i="1" s="1"/>
  <c r="E6393" i="1" a="1"/>
  <c r="E6393" i="1" s="1"/>
  <c r="E6394" i="1" a="1"/>
  <c r="E6394" i="1"/>
  <c r="E6395" i="1" a="1"/>
  <c r="E6395" i="1" s="1"/>
  <c r="E6396" i="1" a="1"/>
  <c r="E6396" i="1"/>
  <c r="E6397" i="1" a="1"/>
  <c r="E6397" i="1"/>
  <c r="E6399" i="1" a="1"/>
  <c r="E6399" i="1" s="1"/>
  <c r="E6400" i="1" a="1"/>
  <c r="E6400" i="1" s="1"/>
  <c r="E6401" i="1" a="1"/>
  <c r="E6401" i="1" s="1"/>
  <c r="E6402" i="1" a="1"/>
  <c r="E6402" i="1"/>
  <c r="E6403" i="1" a="1"/>
  <c r="E6403" i="1" s="1"/>
  <c r="E6404" i="1" a="1"/>
  <c r="E6404" i="1"/>
  <c r="E6406" i="1" a="1"/>
  <c r="E6406" i="1"/>
  <c r="E6408" i="1" a="1"/>
  <c r="E6408" i="1"/>
  <c r="E6409" i="1" a="1"/>
  <c r="E6409" i="1"/>
  <c r="E6410" i="1" a="1"/>
  <c r="E6410" i="1" s="1"/>
  <c r="E6411" i="1" a="1"/>
  <c r="E6411" i="1" s="1"/>
  <c r="E6412" i="1" a="1"/>
  <c r="E6412" i="1"/>
  <c r="E6413" i="1" a="1"/>
  <c r="E6413" i="1"/>
  <c r="E6414" i="1" a="1"/>
  <c r="E6414" i="1" s="1"/>
  <c r="E6415" i="1" a="1"/>
  <c r="E6415" i="1"/>
  <c r="E6416" i="1" a="1"/>
  <c r="E6416" i="1" s="1"/>
  <c r="E6417" i="1" a="1"/>
  <c r="E6417" i="1" s="1"/>
  <c r="E6418" i="1" a="1"/>
  <c r="E6418" i="1" s="1"/>
  <c r="E6419" i="1" a="1"/>
  <c r="E6419" i="1" s="1"/>
  <c r="E6420" i="1" a="1"/>
  <c r="E6420" i="1"/>
  <c r="E6421" i="1" a="1"/>
  <c r="E6421" i="1"/>
  <c r="E6422" i="1" a="1"/>
  <c r="E6422" i="1" s="1"/>
  <c r="E6423" i="1" a="1"/>
  <c r="E6423" i="1" s="1"/>
  <c r="E6424" i="1" a="1"/>
  <c r="E6424" i="1"/>
  <c r="E6425" i="1" a="1"/>
  <c r="E6425" i="1"/>
  <c r="E6426" i="1" a="1"/>
  <c r="E6426" i="1" s="1"/>
  <c r="E6427" i="1" a="1"/>
  <c r="E6427" i="1" s="1"/>
  <c r="E6428" i="1" a="1"/>
  <c r="E6428" i="1"/>
  <c r="E6429" i="1" a="1"/>
  <c r="E6429" i="1" s="1"/>
  <c r="E6430" i="1" a="1"/>
  <c r="E6430" i="1"/>
  <c r="E6431" i="1" a="1"/>
  <c r="E6431" i="1"/>
  <c r="E6432" i="1" a="1"/>
  <c r="E6432" i="1" s="1"/>
  <c r="E6433" i="1" a="1"/>
  <c r="E6433" i="1"/>
  <c r="E6434" i="1" a="1"/>
  <c r="E6434" i="1" s="1"/>
  <c r="E6435" i="1" a="1"/>
  <c r="E6435" i="1" s="1"/>
  <c r="E6436" i="1" a="1"/>
  <c r="E6436" i="1" s="1"/>
  <c r="E6437" i="1" a="1"/>
  <c r="E6437" i="1" s="1"/>
  <c r="E6439" i="1" a="1"/>
  <c r="E6439" i="1" s="1"/>
  <c r="E6440" i="1" a="1"/>
  <c r="E6440" i="1"/>
  <c r="E6441" i="1" a="1"/>
  <c r="E6441" i="1"/>
  <c r="E6442" i="1" a="1"/>
  <c r="E6442" i="1" s="1"/>
  <c r="E6443" i="1" a="1"/>
  <c r="E6443" i="1" s="1"/>
  <c r="E6444" i="1" a="1"/>
  <c r="E6444" i="1" s="1"/>
  <c r="E6445" i="1" a="1"/>
  <c r="E6445" i="1" s="1"/>
  <c r="E6446" i="1" a="1"/>
  <c r="E6446" i="1"/>
  <c r="E6447" i="1" a="1"/>
  <c r="E6447" i="1"/>
  <c r="E6448" i="1" a="1"/>
  <c r="E6448" i="1"/>
  <c r="E6449" i="1" a="1"/>
  <c r="E6449" i="1" s="1"/>
  <c r="E6450" i="1" a="1"/>
  <c r="E6450" i="1" s="1"/>
  <c r="E6451" i="1" a="1"/>
  <c r="E6451" i="1" s="1"/>
  <c r="E6452" i="1" a="1"/>
  <c r="E6452" i="1" s="1"/>
  <c r="E6453" i="1" a="1"/>
  <c r="E6453" i="1"/>
  <c r="E6454" i="1" a="1"/>
  <c r="E6454" i="1"/>
  <c r="E6455" i="1" a="1"/>
  <c r="E6455" i="1" s="1"/>
  <c r="E6456" i="1" a="1"/>
  <c r="E6456" i="1"/>
  <c r="E6457" i="1" a="1"/>
  <c r="E6457" i="1"/>
  <c r="E6458" i="1" a="1"/>
  <c r="E6458" i="1" s="1"/>
  <c r="E6459" i="1" a="1"/>
  <c r="E6459" i="1" s="1"/>
  <c r="E6460" i="1" a="1"/>
  <c r="E6460" i="1" s="1"/>
  <c r="E6461" i="1" a="1"/>
  <c r="E6461" i="1" s="1"/>
  <c r="E6462" i="1" a="1"/>
  <c r="E6462" i="1"/>
  <c r="E6463" i="1" a="1"/>
  <c r="E6463" i="1"/>
  <c r="E6464" i="1" a="1"/>
  <c r="E6464" i="1"/>
  <c r="E6465" i="1" a="1"/>
  <c r="E6465" i="1" s="1"/>
  <c r="E6466" i="1" a="1"/>
  <c r="E6466" i="1" s="1"/>
  <c r="E6467" i="1" a="1"/>
  <c r="E6467" i="1" s="1"/>
  <c r="E6468" i="1" a="1"/>
  <c r="E6468" i="1" s="1"/>
  <c r="E6469" i="1" a="1"/>
  <c r="E6469" i="1" s="1"/>
  <c r="E6470" i="1" a="1"/>
  <c r="E6470" i="1"/>
  <c r="E6471" i="1" a="1"/>
  <c r="E6471" i="1"/>
  <c r="E6472" i="1" a="1"/>
  <c r="E6472" i="1"/>
  <c r="E6473" i="1" a="1"/>
  <c r="E6473" i="1"/>
  <c r="E6474" i="1" a="1"/>
  <c r="E6474" i="1" s="1"/>
  <c r="E6475" i="1" a="1"/>
  <c r="E6475" i="1" s="1"/>
  <c r="E6476" i="1" a="1"/>
  <c r="E6476" i="1" s="1"/>
  <c r="E6477" i="1" a="1"/>
  <c r="E6477" i="1" s="1"/>
  <c r="E6478" i="1" a="1"/>
  <c r="E6478" i="1"/>
  <c r="E6479" i="1" a="1"/>
  <c r="E6479" i="1" s="1"/>
  <c r="E6480" i="1" a="1"/>
  <c r="E6480" i="1" s="1"/>
  <c r="E6481" i="1" a="1"/>
  <c r="E6481" i="1"/>
  <c r="E6482" i="1" a="1"/>
  <c r="E6482" i="1"/>
  <c r="E6483" i="1" a="1"/>
  <c r="E6483" i="1" s="1"/>
  <c r="E6484" i="1" a="1"/>
  <c r="E6484" i="1" s="1"/>
  <c r="E6486" i="1" a="1"/>
  <c r="E6486" i="1" s="1"/>
  <c r="E6487" i="1" a="1"/>
  <c r="E6487" i="1"/>
  <c r="E6488" i="1" a="1"/>
  <c r="E6488" i="1"/>
  <c r="E6489" i="1" a="1"/>
  <c r="E6489" i="1" s="1"/>
  <c r="E6490" i="1" a="1"/>
  <c r="E6490" i="1"/>
  <c r="E6491" i="1" a="1"/>
  <c r="E6491" i="1"/>
  <c r="E6492" i="1" a="1"/>
  <c r="E6492" i="1" s="1"/>
  <c r="E6493" i="1" a="1"/>
  <c r="E6493" i="1" s="1"/>
  <c r="E6496" i="1" a="1"/>
  <c r="E6496" i="1" s="1"/>
  <c r="E6497" i="1" a="1"/>
  <c r="E6497" i="1" s="1"/>
  <c r="E6498" i="1" a="1"/>
  <c r="E6498" i="1"/>
  <c r="E6499" i="1" a="1"/>
  <c r="E6499" i="1"/>
  <c r="E6500" i="1" a="1"/>
  <c r="E6500" i="1"/>
  <c r="E6501" i="1" a="1"/>
  <c r="E6501" i="1" s="1"/>
  <c r="E6502" i="1" a="1"/>
  <c r="E6502" i="1" s="1"/>
  <c r="E6503" i="1" a="1"/>
  <c r="E6503" i="1" s="1"/>
  <c r="E6504" i="1" a="1"/>
  <c r="E6504" i="1"/>
  <c r="E6505" i="1" a="1"/>
  <c r="E6505" i="1" s="1"/>
  <c r="E6506" i="1" a="1"/>
  <c r="E6506" i="1" s="1"/>
  <c r="E6507" i="1" a="1"/>
  <c r="E6507" i="1"/>
  <c r="E6508" i="1" a="1"/>
  <c r="E6508" i="1"/>
  <c r="E6509" i="1" a="1"/>
  <c r="E6509" i="1"/>
  <c r="E6510" i="1" a="1"/>
  <c r="E6510" i="1" s="1"/>
  <c r="E6511" i="1" a="1"/>
  <c r="E6511" i="1" s="1"/>
  <c r="E6512" i="1" a="1"/>
  <c r="E6512" i="1" s="1"/>
  <c r="E6513" i="1" a="1"/>
  <c r="E6513" i="1"/>
  <c r="E6514" i="1" a="1"/>
  <c r="E6514" i="1" s="1"/>
  <c r="E6515" i="1" a="1"/>
  <c r="E6515" i="1" s="1"/>
  <c r="E6516" i="1" a="1"/>
  <c r="E6516" i="1"/>
  <c r="E6517" i="1" a="1"/>
  <c r="E6517" i="1"/>
  <c r="E6519" i="1" a="1"/>
  <c r="E6519" i="1" s="1"/>
  <c r="E6520" i="1" a="1"/>
  <c r="E6520" i="1" s="1"/>
  <c r="E6521" i="1" a="1"/>
  <c r="E6521" i="1"/>
  <c r="E6522" i="1" a="1"/>
  <c r="E6522" i="1"/>
  <c r="E6523" i="1" a="1"/>
  <c r="E6523" i="1" s="1"/>
  <c r="E6524" i="1" a="1"/>
  <c r="E6524" i="1" s="1"/>
  <c r="E6525" i="1" a="1"/>
  <c r="E6525" i="1" s="1"/>
  <c r="E6526" i="1" a="1"/>
  <c r="E6526" i="1"/>
  <c r="E6527" i="1" a="1"/>
  <c r="E6527" i="1" s="1"/>
  <c r="E6528" i="1" a="1"/>
  <c r="E6528" i="1" s="1"/>
  <c r="E6529" i="1" a="1"/>
  <c r="E6529" i="1"/>
  <c r="E6530" i="1" a="1"/>
  <c r="E6530" i="1"/>
  <c r="E6531" i="1" a="1"/>
  <c r="E6531" i="1"/>
  <c r="E6532" i="1" a="1"/>
  <c r="E6532" i="1"/>
  <c r="E6533" i="1" a="1"/>
  <c r="E6533" i="1" s="1"/>
  <c r="E6534" i="1" a="1"/>
  <c r="E6534" i="1" s="1"/>
  <c r="E6535" i="1" a="1"/>
  <c r="E6535" i="1" s="1"/>
  <c r="E6536" i="1" a="1"/>
  <c r="E6536" i="1" s="1"/>
  <c r="E6537" i="1" a="1"/>
  <c r="E6537" i="1"/>
  <c r="E6538" i="1" a="1"/>
  <c r="E6538" i="1" s="1"/>
  <c r="E6539" i="1" a="1"/>
  <c r="E6539" i="1"/>
  <c r="E6540" i="1" a="1"/>
  <c r="E6540" i="1"/>
  <c r="E6541" i="1" a="1"/>
  <c r="E6541" i="1"/>
  <c r="E6542" i="1" a="1"/>
  <c r="E6542" i="1" s="1"/>
  <c r="E6543" i="1" a="1"/>
  <c r="E6543" i="1" s="1"/>
  <c r="E6544" i="1" a="1"/>
  <c r="E6544" i="1" s="1"/>
  <c r="E6545" i="1" a="1"/>
  <c r="E6545" i="1" s="1"/>
  <c r="E6546" i="1" a="1"/>
  <c r="E6546" i="1" s="1"/>
  <c r="E6547" i="1" a="1"/>
  <c r="E6547" i="1" s="1"/>
  <c r="E6548" i="1" a="1"/>
  <c r="E6548" i="1"/>
  <c r="E6549" i="1" a="1"/>
  <c r="E6549" i="1"/>
  <c r="E6550" i="1" a="1"/>
  <c r="E6550" i="1"/>
  <c r="E6551" i="1" a="1"/>
  <c r="E6551" i="1" s="1"/>
  <c r="E6552" i="1" a="1"/>
  <c r="E6552" i="1" s="1"/>
  <c r="E6553" i="1" a="1"/>
  <c r="E6553" i="1" s="1"/>
  <c r="E6554" i="1" a="1"/>
  <c r="E6554" i="1" s="1"/>
  <c r="E6555" i="1" a="1"/>
  <c r="E6555" i="1"/>
  <c r="E6556" i="1" a="1"/>
  <c r="E6556" i="1"/>
  <c r="E6557" i="1" a="1"/>
  <c r="E6557" i="1" s="1"/>
  <c r="E6558" i="1" a="1"/>
  <c r="E6558" i="1"/>
  <c r="E6561" i="1" a="1"/>
  <c r="E6561" i="1" s="1"/>
  <c r="E6562" i="1" a="1"/>
  <c r="E6562" i="1" s="1"/>
  <c r="E6563" i="1" a="1"/>
  <c r="E6563" i="1" s="1"/>
  <c r="E6564" i="1" a="1"/>
  <c r="E6564" i="1" s="1"/>
  <c r="E6565" i="1" a="1"/>
  <c r="E6565" i="1"/>
  <c r="E6566" i="1" a="1"/>
  <c r="E6566" i="1" s="1"/>
  <c r="E6567" i="1" a="1"/>
  <c r="E6567" i="1"/>
  <c r="E6568" i="1" a="1"/>
  <c r="E6568" i="1"/>
  <c r="E6569" i="1" a="1"/>
  <c r="E6569" i="1" s="1"/>
  <c r="E6570" i="1" a="1"/>
  <c r="E6570" i="1" s="1"/>
  <c r="E6571" i="1" a="1"/>
  <c r="E6571" i="1" s="1"/>
  <c r="E6572" i="1" a="1"/>
  <c r="E6572" i="1" s="1"/>
  <c r="E6573" i="1" a="1"/>
  <c r="E6573" i="1" s="1"/>
  <c r="E6574" i="1" a="1"/>
  <c r="E6574" i="1"/>
  <c r="E6575" i="1" a="1"/>
  <c r="E6575" i="1"/>
  <c r="E6576" i="1" a="1"/>
  <c r="E6576" i="1" s="1"/>
  <c r="E6577" i="1" a="1"/>
  <c r="E6577" i="1" s="1"/>
  <c r="E6578" i="1" a="1"/>
  <c r="E6578" i="1" s="1"/>
  <c r="E6579" i="1" a="1"/>
  <c r="E6579" i="1"/>
  <c r="E6580" i="1" a="1"/>
  <c r="E6580" i="1"/>
  <c r="E6581" i="1" a="1"/>
  <c r="E6581" i="1" s="1"/>
  <c r="E6582" i="1" a="1"/>
  <c r="E6582" i="1" s="1"/>
  <c r="E6583" i="1" a="1"/>
  <c r="E6583" i="1"/>
  <c r="E6584" i="1" a="1"/>
  <c r="E6584" i="1"/>
  <c r="E6585" i="1" a="1"/>
  <c r="E6585" i="1" s="1"/>
  <c r="E6586" i="1" a="1"/>
  <c r="E6586" i="1" s="1"/>
  <c r="E6587" i="1" a="1"/>
  <c r="E6587" i="1" s="1"/>
  <c r="E6588" i="1" a="1"/>
  <c r="E6588" i="1"/>
  <c r="E6589" i="1" a="1"/>
  <c r="E6589" i="1"/>
  <c r="E6590" i="1" a="1"/>
  <c r="E6590" i="1" s="1"/>
  <c r="E6591" i="1" a="1"/>
  <c r="E6591" i="1" s="1"/>
  <c r="E6592" i="1" a="1"/>
  <c r="E6592" i="1"/>
  <c r="E6593" i="1" a="1"/>
  <c r="E6593" i="1" s="1"/>
  <c r="E6594" i="1" a="1"/>
  <c r="E6594" i="1" s="1"/>
  <c r="E6595" i="1" a="1"/>
  <c r="E6595" i="1" s="1"/>
  <c r="E6596" i="1" a="1"/>
  <c r="E6596" i="1"/>
  <c r="E6597" i="1" a="1"/>
  <c r="E6597" i="1" s="1"/>
  <c r="E6598" i="1" a="1"/>
  <c r="E6598" i="1"/>
  <c r="E6600" i="1" a="1"/>
  <c r="E6600" i="1" s="1"/>
  <c r="E6601" i="1" a="1"/>
  <c r="E6601" i="1" s="1"/>
  <c r="E6602" i="1" a="1"/>
  <c r="E6602" i="1" s="1"/>
  <c r="E6603" i="1" a="1"/>
  <c r="E6603" i="1" s="1"/>
  <c r="E6604" i="1" a="1"/>
  <c r="E6604" i="1"/>
  <c r="E6606" i="1" a="1"/>
  <c r="E6606" i="1" s="1"/>
  <c r="E6608" i="1" a="1"/>
  <c r="E6608" i="1"/>
  <c r="E6609" i="1" a="1"/>
  <c r="E6609" i="1"/>
  <c r="E6611" i="1" a="1"/>
  <c r="E6611" i="1" s="1"/>
  <c r="E6612" i="1" a="1"/>
  <c r="E6612" i="1" s="1"/>
  <c r="K6612" i="1" a="1"/>
  <c r="K6612" i="1" s="1"/>
  <c r="E6613" i="1" a="1"/>
  <c r="E6613" i="1" s="1"/>
  <c r="E6614" i="1" a="1"/>
  <c r="E6614" i="1"/>
  <c r="E6615" i="1" a="1"/>
  <c r="E6615" i="1"/>
  <c r="E6617" i="1" a="1"/>
  <c r="E6617" i="1"/>
  <c r="E6618" i="1" a="1"/>
  <c r="E6618" i="1" s="1"/>
  <c r="E6619" i="1" a="1"/>
  <c r="E6619" i="1"/>
  <c r="E6620" i="1" a="1"/>
  <c r="E6620" i="1"/>
  <c r="E6621" i="1" a="1"/>
  <c r="E6621" i="1" s="1"/>
  <c r="E6622" i="1" a="1"/>
  <c r="E6622" i="1" s="1"/>
  <c r="E6623" i="1" a="1"/>
  <c r="E6623" i="1" s="1"/>
  <c r="E6624" i="1" a="1"/>
  <c r="E6624" i="1"/>
  <c r="E6625" i="1" a="1"/>
  <c r="E6625" i="1"/>
  <c r="E6626" i="1" a="1"/>
  <c r="E6626" i="1"/>
  <c r="E6627" i="1" a="1"/>
  <c r="E6627" i="1"/>
  <c r="E6628" i="1" a="1"/>
  <c r="E6628" i="1" s="1"/>
  <c r="E6629" i="1" a="1"/>
  <c r="E6629" i="1" s="1"/>
  <c r="E6630" i="1" a="1"/>
  <c r="E6630" i="1" s="1"/>
  <c r="E6632" i="1" a="1"/>
  <c r="E6632" i="1" s="1"/>
  <c r="E6633" i="1" a="1"/>
  <c r="E6633" i="1" s="1"/>
  <c r="E6635" i="1" a="1"/>
  <c r="E6635" i="1" s="1"/>
  <c r="E6636" i="1" a="1"/>
  <c r="E6636" i="1"/>
  <c r="E6637" i="1" a="1"/>
  <c r="E6637" i="1"/>
  <c r="E6640" i="1" a="1"/>
  <c r="E6640" i="1"/>
  <c r="E6641" i="1" a="1"/>
  <c r="E6641" i="1" s="1"/>
  <c r="E6642" i="1" a="1"/>
  <c r="E6642" i="1" s="1"/>
  <c r="E6643" i="1" a="1"/>
  <c r="E6643" i="1" s="1"/>
  <c r="E6644" i="1" a="1"/>
  <c r="E6644" i="1"/>
  <c r="E6645" i="1" a="1"/>
  <c r="E6645" i="1" s="1"/>
  <c r="E6646" i="1" a="1"/>
  <c r="E6646" i="1"/>
  <c r="E6648" i="1" a="1"/>
  <c r="E6648" i="1"/>
  <c r="E6649" i="1" a="1"/>
  <c r="E6649" i="1"/>
  <c r="E6650" i="1" a="1"/>
  <c r="E6650" i="1" s="1"/>
  <c r="E6651" i="1" a="1"/>
  <c r="E6651" i="1" s="1"/>
  <c r="E6652" i="1" a="1"/>
  <c r="E6652" i="1"/>
  <c r="E6653" i="1" a="1"/>
  <c r="E6653" i="1"/>
  <c r="E6654" i="1" a="1"/>
  <c r="E6654" i="1" s="1"/>
  <c r="E6656" i="1" a="1"/>
  <c r="E6656" i="1" s="1"/>
  <c r="E6657" i="1" a="1"/>
  <c r="E6657" i="1" s="1"/>
  <c r="E6658" i="1" a="1"/>
  <c r="E6658" i="1" s="1"/>
  <c r="E6659" i="1" a="1"/>
  <c r="E6659" i="1" s="1"/>
  <c r="E6660" i="1" a="1"/>
  <c r="E6660" i="1" s="1"/>
  <c r="E6661" i="1" a="1"/>
  <c r="E6661" i="1"/>
  <c r="E6662" i="1" a="1"/>
  <c r="E6662" i="1"/>
  <c r="E6663" i="1" a="1"/>
  <c r="E6663" i="1"/>
  <c r="E6664" i="1" a="1"/>
  <c r="E6664" i="1"/>
  <c r="E6665" i="1" a="1"/>
  <c r="E6665" i="1" s="1"/>
  <c r="E6666" i="1" a="1"/>
  <c r="E6666" i="1" s="1"/>
  <c r="E6667" i="1" a="1"/>
  <c r="E6667" i="1" s="1"/>
  <c r="E6668" i="1" a="1"/>
  <c r="E6668" i="1" s="1"/>
  <c r="E6669" i="1" a="1"/>
  <c r="E6669" i="1"/>
  <c r="E6670" i="1" a="1"/>
  <c r="E6670" i="1"/>
  <c r="E6671" i="1" a="1"/>
  <c r="E6671" i="1"/>
  <c r="E6672" i="1" a="1"/>
  <c r="E6672" i="1"/>
  <c r="E6673" i="1" a="1"/>
  <c r="E6673" i="1"/>
  <c r="E6674" i="1" a="1"/>
  <c r="E6674" i="1" s="1"/>
  <c r="E6675" i="1" a="1"/>
  <c r="E6675" i="1" s="1"/>
  <c r="E6676" i="1" a="1"/>
  <c r="E6676" i="1" s="1"/>
  <c r="K6676" i="1" a="1"/>
  <c r="K6676" i="1" s="1"/>
  <c r="E6677" i="1" a="1"/>
  <c r="E6677" i="1" s="1"/>
  <c r="E6678" i="1" a="1"/>
  <c r="E6678" i="1" s="1"/>
  <c r="E6679" i="1" a="1"/>
  <c r="E6679" i="1"/>
  <c r="E6680" i="1" a="1"/>
  <c r="E6680" i="1"/>
  <c r="E6681" i="1" a="1"/>
  <c r="E6681" i="1"/>
  <c r="E6682" i="1" a="1"/>
  <c r="E6682" i="1" s="1"/>
  <c r="E6685" i="1" a="1"/>
  <c r="E6685" i="1" s="1"/>
  <c r="E6686" i="1" a="1"/>
  <c r="E6686" i="1"/>
  <c r="E6687" i="1" a="1"/>
  <c r="E6687" i="1" s="1"/>
  <c r="E6688" i="1" a="1"/>
  <c r="E6688" i="1" s="1"/>
  <c r="E6689" i="1" a="1"/>
  <c r="E6689" i="1" s="1"/>
  <c r="E6690" i="1" a="1"/>
  <c r="E6690" i="1" s="1"/>
  <c r="E6691" i="1" a="1"/>
  <c r="E6691" i="1"/>
  <c r="E6692" i="1" a="1"/>
  <c r="E6692" i="1" s="1"/>
  <c r="E6693" i="1" a="1"/>
  <c r="E6693" i="1" s="1"/>
  <c r="E6694" i="1" a="1"/>
  <c r="E6694" i="1" s="1"/>
  <c r="E6695" i="1" a="1"/>
  <c r="E6695" i="1"/>
  <c r="E6696" i="1" a="1"/>
  <c r="E6696" i="1" s="1"/>
  <c r="E6697" i="1" a="1"/>
  <c r="E6697" i="1"/>
  <c r="E6698" i="1" a="1"/>
  <c r="E6698" i="1"/>
  <c r="E6699" i="1" a="1"/>
  <c r="E6699" i="1" s="1"/>
  <c r="E6700" i="1" a="1"/>
  <c r="E6700" i="1" s="1"/>
  <c r="E6701" i="1" a="1"/>
  <c r="E6701" i="1" s="1"/>
  <c r="E6702" i="1" a="1"/>
  <c r="E6702" i="1"/>
  <c r="E6703" i="1" a="1"/>
  <c r="E6703" i="1" s="1"/>
  <c r="E6704" i="1" a="1"/>
  <c r="E6704" i="1"/>
  <c r="E6705" i="1" a="1"/>
  <c r="E6705" i="1"/>
  <c r="E6706" i="1" a="1"/>
  <c r="E6706" i="1" s="1"/>
  <c r="E6707" i="1" a="1"/>
  <c r="E6707" i="1" s="1"/>
  <c r="E6708" i="1" a="1"/>
  <c r="E6708" i="1" s="1"/>
  <c r="E6709" i="1" a="1"/>
  <c r="E6709" i="1" s="1"/>
  <c r="E6710" i="1" a="1"/>
  <c r="E6710" i="1" s="1"/>
  <c r="E6711" i="1" a="1"/>
  <c r="E6711" i="1"/>
  <c r="E6712" i="1" a="1"/>
  <c r="E6712" i="1" s="1"/>
  <c r="E6713" i="1" a="1"/>
  <c r="E6713" i="1"/>
  <c r="E6714" i="1" a="1"/>
  <c r="E6714" i="1"/>
  <c r="E6715" i="1" a="1"/>
  <c r="E6715" i="1" s="1"/>
  <c r="E6716" i="1" a="1"/>
  <c r="E6716" i="1" s="1"/>
  <c r="E6717" i="1" a="1"/>
  <c r="E6717" i="1" s="1"/>
  <c r="E6718" i="1" a="1"/>
  <c r="E6718" i="1"/>
  <c r="E6719" i="1" a="1"/>
  <c r="E6719" i="1"/>
  <c r="E6720" i="1" a="1"/>
  <c r="E6720" i="1" s="1"/>
  <c r="E6721" i="1" a="1"/>
  <c r="E6721" i="1" s="1"/>
  <c r="E6722" i="1" a="1"/>
  <c r="E6722" i="1" s="1"/>
  <c r="E6723" i="1" a="1"/>
  <c r="E6723" i="1"/>
  <c r="E6724" i="1" a="1"/>
  <c r="E6724" i="1" s="1"/>
  <c r="E6725" i="1" a="1"/>
  <c r="E6725" i="1" s="1"/>
  <c r="E6726" i="1" a="1"/>
  <c r="E6726" i="1" s="1"/>
  <c r="E6727" i="1" a="1"/>
  <c r="E6727" i="1" s="1"/>
  <c r="E6728" i="1" a="1"/>
  <c r="E6728" i="1"/>
  <c r="E6729" i="1" a="1"/>
  <c r="E6729" i="1"/>
  <c r="E6730" i="1" a="1"/>
  <c r="E6730" i="1" s="1"/>
  <c r="K6730" i="1" a="1"/>
  <c r="K6730" i="1" s="1"/>
  <c r="E6731" i="1" a="1"/>
  <c r="E6731" i="1" s="1"/>
  <c r="E6732" i="1" a="1"/>
  <c r="E6732" i="1" s="1"/>
  <c r="E6733" i="1" a="1"/>
  <c r="E6733" i="1"/>
  <c r="E6734" i="1" a="1"/>
  <c r="E6734" i="1" s="1"/>
  <c r="E6735" i="1" a="1"/>
  <c r="E6735" i="1"/>
  <c r="E6736" i="1" a="1"/>
  <c r="E6736" i="1"/>
  <c r="E6737" i="1" a="1"/>
  <c r="E6737" i="1"/>
  <c r="E6738" i="1" a="1"/>
  <c r="E6738" i="1" s="1"/>
  <c r="E6739" i="1" a="1"/>
  <c r="E6739" i="1" s="1"/>
  <c r="E6740" i="1" a="1"/>
  <c r="E6740" i="1" s="1"/>
  <c r="E6741" i="1" a="1"/>
  <c r="E6741" i="1" s="1"/>
  <c r="E6742" i="1" a="1"/>
  <c r="E6742" i="1"/>
  <c r="E6743" i="1" a="1"/>
  <c r="E6743" i="1"/>
  <c r="E6744" i="1" a="1"/>
  <c r="E6744" i="1" s="1"/>
  <c r="O6744" i="1" a="1"/>
  <c r="O6744" i="1" s="1"/>
  <c r="E6745" i="1" a="1"/>
  <c r="E6745" i="1"/>
  <c r="O6745" i="1" a="1"/>
  <c r="O6745" i="1" s="1"/>
  <c r="E6746" i="1" a="1"/>
  <c r="E6746" i="1" s="1"/>
  <c r="O6746" i="1" a="1"/>
  <c r="O6746" i="1"/>
  <c r="E6747" i="1" a="1"/>
  <c r="E6747" i="1"/>
  <c r="E6748" i="1" a="1"/>
  <c r="E6748" i="1" s="1"/>
  <c r="E6749" i="1" a="1"/>
  <c r="E6749" i="1"/>
  <c r="E6750" i="1" a="1"/>
  <c r="E6750" i="1" s="1"/>
  <c r="E6751" i="1" a="1"/>
  <c r="E6751" i="1" s="1"/>
  <c r="E6752" i="1" a="1"/>
  <c r="E6752" i="1" s="1"/>
  <c r="O6752" i="1" a="1"/>
  <c r="O6752" i="1" s="1"/>
  <c r="E6753" i="1" a="1"/>
  <c r="E6753" i="1" s="1"/>
  <c r="E6754" i="1" a="1"/>
  <c r="E6754" i="1"/>
  <c r="E6755" i="1" a="1"/>
  <c r="E6755" i="1"/>
  <c r="O6755" i="1" a="1"/>
  <c r="O6755" i="1"/>
  <c r="E6756" i="1" a="1"/>
  <c r="E6756" i="1"/>
  <c r="O6756" i="1" a="1"/>
  <c r="O6756" i="1" s="1"/>
  <c r="E6757" i="1" a="1"/>
  <c r="E6757" i="1" s="1"/>
  <c r="E6758" i="1" a="1"/>
  <c r="E6758" i="1" s="1"/>
  <c r="E6759" i="1" a="1"/>
  <c r="E6759" i="1"/>
  <c r="O6759" i="1" a="1"/>
  <c r="O6759" i="1" s="1"/>
  <c r="E6760" i="1" a="1"/>
  <c r="E6760" i="1"/>
  <c r="O6760" i="1" a="1"/>
  <c r="O6760" i="1"/>
  <c r="E6761" i="1" a="1"/>
  <c r="E6761" i="1"/>
  <c r="E6762" i="1" a="1"/>
  <c r="E6762" i="1"/>
  <c r="E6763" i="1" a="1"/>
  <c r="E6763" i="1" s="1"/>
  <c r="E6764" i="1" a="1"/>
  <c r="E6764" i="1" s="1"/>
  <c r="E6765" i="1" a="1"/>
  <c r="E6765" i="1" s="1"/>
  <c r="O6765" i="1" a="1"/>
  <c r="O6765" i="1" s="1"/>
  <c r="E6766" i="1" a="1"/>
  <c r="E6766" i="1" s="1"/>
  <c r="O6766" i="1" a="1"/>
  <c r="O6766" i="1"/>
  <c r="E6767" i="1" a="1"/>
  <c r="E6767" i="1"/>
  <c r="O6767" i="1" a="1"/>
  <c r="O6767" i="1"/>
  <c r="E6768" i="1" a="1"/>
  <c r="E6768" i="1" s="1"/>
  <c r="E6769" i="1" a="1"/>
  <c r="E6769" i="1" s="1"/>
  <c r="E6770" i="1" a="1"/>
  <c r="E6770" i="1"/>
  <c r="O6770" i="1" a="1"/>
  <c r="O6770" i="1" s="1"/>
  <c r="E6771" i="1" a="1"/>
  <c r="E6771" i="1"/>
  <c r="E6772" i="1" a="1"/>
  <c r="E6772" i="1" s="1"/>
  <c r="E6773" i="1" a="1"/>
  <c r="E6773" i="1"/>
  <c r="E6774" i="1" a="1"/>
  <c r="E6774" i="1"/>
  <c r="O6774" i="1" a="1"/>
  <c r="O6774" i="1" s="1"/>
  <c r="E6775" i="1" a="1"/>
  <c r="E6775" i="1" s="1"/>
  <c r="E6776" i="1" a="1"/>
  <c r="E6776" i="1"/>
  <c r="E6777" i="1" a="1"/>
  <c r="E6777" i="1"/>
  <c r="E6778" i="1" a="1"/>
  <c r="E6778" i="1"/>
  <c r="E6779" i="1" a="1"/>
  <c r="E6779" i="1" s="1"/>
  <c r="E6780" i="1" a="1"/>
  <c r="E6780" i="1" s="1"/>
  <c r="E6781" i="1" a="1"/>
  <c r="E6781" i="1"/>
  <c r="O6781" i="1" a="1"/>
  <c r="O6781" i="1" s="1"/>
  <c r="E6783" i="1" a="1"/>
  <c r="E6783" i="1" s="1"/>
  <c r="O6783" i="1" a="1"/>
  <c r="O6783" i="1"/>
  <c r="E6784" i="1" a="1"/>
  <c r="E6784" i="1"/>
  <c r="O6784" i="1" a="1"/>
  <c r="O6784" i="1"/>
  <c r="E6785" i="1" a="1"/>
  <c r="E6785" i="1"/>
  <c r="E6786" i="1" a="1"/>
  <c r="E6786" i="1" s="1"/>
  <c r="E6787" i="1" a="1"/>
  <c r="E6787" i="1" s="1"/>
  <c r="E6788" i="1" a="1"/>
  <c r="E6788" i="1" s="1"/>
  <c r="E6789" i="1" a="1"/>
  <c r="E6789" i="1" s="1"/>
  <c r="E6790" i="1" a="1"/>
  <c r="E6790" i="1" s="1"/>
  <c r="E6791" i="1" a="1"/>
  <c r="E6791" i="1"/>
  <c r="E6793" i="1" a="1"/>
  <c r="E6793" i="1"/>
  <c r="E6794" i="1" a="1"/>
  <c r="E6794" i="1"/>
  <c r="E6795" i="1" a="1"/>
  <c r="E6795" i="1"/>
  <c r="E6796" i="1" a="1"/>
  <c r="E6796" i="1"/>
  <c r="E6797" i="1" a="1"/>
  <c r="E6797" i="1" s="1"/>
  <c r="E6798" i="1" a="1"/>
  <c r="E6798" i="1" s="1"/>
  <c r="E6801" i="1" a="1"/>
  <c r="E6801" i="1" s="1"/>
  <c r="E6802" i="1" a="1"/>
  <c r="E6802" i="1"/>
  <c r="E6803" i="1" a="1"/>
  <c r="E6803" i="1"/>
  <c r="E6804" i="1" a="1"/>
  <c r="E6804" i="1"/>
  <c r="E6805" i="1" a="1"/>
  <c r="E6805" i="1"/>
  <c r="E6806" i="1" a="1"/>
  <c r="E6806" i="1"/>
  <c r="E6807" i="1" a="1"/>
  <c r="E6807" i="1" s="1"/>
  <c r="E6808" i="1" a="1"/>
  <c r="E6808" i="1" s="1"/>
  <c r="E6809" i="1" a="1"/>
  <c r="E6809" i="1" s="1"/>
  <c r="E6810" i="1" a="1"/>
  <c r="E6810" i="1"/>
  <c r="E6811" i="1" a="1"/>
  <c r="E6811" i="1"/>
  <c r="E6812" i="1" a="1"/>
  <c r="E6812" i="1" s="1"/>
  <c r="E6814" i="1" a="1"/>
  <c r="E6814" i="1"/>
  <c r="E6815" i="1" a="1"/>
  <c r="E6815" i="1"/>
  <c r="E6816" i="1" a="1"/>
  <c r="E6816" i="1" s="1"/>
  <c r="E6817" i="1" a="1"/>
  <c r="E6817" i="1" s="1"/>
  <c r="E6818" i="1" a="1"/>
  <c r="E6818" i="1"/>
  <c r="E6819" i="1" a="1"/>
  <c r="E6819" i="1" s="1"/>
  <c r="E6820" i="1" a="1"/>
  <c r="E6820" i="1" s="1"/>
  <c r="E6821" i="1" a="1"/>
  <c r="E6821" i="1" s="1"/>
  <c r="E6822" i="1" a="1"/>
  <c r="E6822" i="1"/>
  <c r="E6823" i="1" a="1"/>
  <c r="E6823" i="1"/>
  <c r="E6824" i="1" a="1"/>
  <c r="E6824" i="1" s="1"/>
  <c r="E6825" i="1" a="1"/>
  <c r="E6825" i="1" s="1"/>
  <c r="E6826" i="1" a="1"/>
  <c r="E6826" i="1"/>
  <c r="E6827" i="1" a="1"/>
  <c r="E6827" i="1"/>
  <c r="K6827" i="1" a="1"/>
  <c r="K6827" i="1" s="1"/>
  <c r="E6829" i="1" a="1"/>
  <c r="E6829" i="1" s="1"/>
  <c r="E6830" i="1" a="1"/>
  <c r="E6830" i="1"/>
  <c r="E6831" i="1" a="1"/>
  <c r="E6831" i="1"/>
  <c r="E6832" i="1" a="1"/>
  <c r="E6832" i="1" s="1"/>
  <c r="E6833" i="1" a="1"/>
  <c r="E6833" i="1" s="1"/>
  <c r="E6834" i="1" a="1"/>
  <c r="E6834" i="1"/>
  <c r="E6835" i="1" a="1"/>
  <c r="E6835" i="1"/>
  <c r="E6836" i="1" a="1"/>
  <c r="E6836" i="1"/>
  <c r="E6837" i="1" a="1"/>
  <c r="E6837" i="1" s="1"/>
  <c r="E6838" i="1" a="1"/>
  <c r="E6838" i="1"/>
  <c r="E6839" i="1" a="1"/>
  <c r="E6839" i="1" s="1"/>
  <c r="E6840" i="1" a="1"/>
  <c r="E6840" i="1" s="1"/>
  <c r="E6841" i="1" a="1"/>
  <c r="E6841" i="1" s="1"/>
  <c r="E6842" i="1" a="1"/>
  <c r="E6842" i="1"/>
  <c r="E6843" i="1" a="1"/>
  <c r="E6843" i="1"/>
  <c r="E6844" i="1" a="1"/>
  <c r="E6844" i="1"/>
  <c r="E6845" i="1" a="1"/>
  <c r="E6845" i="1"/>
  <c r="E6846" i="1" a="1"/>
  <c r="E6846" i="1" s="1"/>
  <c r="O6846" i="1" a="1"/>
  <c r="O6846" i="1"/>
  <c r="E6847" i="1" a="1"/>
  <c r="E6847" i="1" s="1"/>
  <c r="E6848" i="1" a="1"/>
  <c r="E6848" i="1" s="1"/>
  <c r="E6849" i="1" a="1"/>
  <c r="E6849" i="1"/>
  <c r="E6850" i="1" a="1"/>
  <c r="E6850" i="1"/>
  <c r="E6851" i="1" a="1"/>
  <c r="E6851" i="1"/>
  <c r="E6852" i="1" a="1"/>
  <c r="E6852" i="1"/>
  <c r="E6853" i="1" a="1"/>
  <c r="E6853" i="1" s="1"/>
  <c r="E6854" i="1" a="1"/>
  <c r="E6854" i="1" s="1"/>
  <c r="E6855" i="1" a="1"/>
  <c r="E6855" i="1" s="1"/>
  <c r="E6856" i="1" a="1"/>
  <c r="E6856" i="1" s="1"/>
  <c r="E6857" i="1" a="1"/>
  <c r="E6857" i="1"/>
  <c r="E6858" i="1" a="1"/>
  <c r="E6858" i="1" s="1"/>
  <c r="E6859" i="1" a="1"/>
  <c r="E6859" i="1" s="1"/>
  <c r="E6860" i="1" a="1"/>
  <c r="E6860" i="1"/>
  <c r="E6861" i="1" a="1"/>
  <c r="E6861" i="1"/>
  <c r="E6862" i="1" a="1"/>
  <c r="E6862" i="1"/>
  <c r="E6863" i="1" a="1"/>
  <c r="E6863" i="1" s="1"/>
  <c r="E6864" i="1" a="1"/>
  <c r="E6864" i="1" s="1"/>
  <c r="E6865" i="1" a="1"/>
  <c r="E6865" i="1" s="1"/>
  <c r="E6866" i="1" a="1"/>
  <c r="E6866" i="1"/>
  <c r="E6867" i="1" a="1"/>
  <c r="E6867" i="1" s="1"/>
  <c r="E6868" i="1" a="1"/>
  <c r="E6868" i="1" s="1"/>
  <c r="E6869" i="1" a="1"/>
  <c r="E6869" i="1"/>
  <c r="E6870" i="1" a="1"/>
  <c r="E6870" i="1"/>
  <c r="E6871" i="1" a="1"/>
  <c r="E6871" i="1" s="1"/>
  <c r="E6872" i="1" a="1"/>
  <c r="E6872" i="1" s="1"/>
  <c r="E6873" i="1" a="1"/>
  <c r="E6873" i="1" s="1"/>
  <c r="E6874" i="1" a="1"/>
  <c r="E6874" i="1"/>
  <c r="E6875" i="1" a="1"/>
  <c r="E6875" i="1" s="1"/>
  <c r="E6876" i="1" a="1"/>
  <c r="E6876" i="1" s="1"/>
  <c r="E6877" i="1" a="1"/>
  <c r="E6877" i="1"/>
  <c r="E6878" i="1" a="1"/>
  <c r="E6878" i="1"/>
  <c r="E6879" i="1" a="1"/>
  <c r="E6879" i="1" s="1"/>
  <c r="E6880" i="1" a="1"/>
  <c r="E6880" i="1" s="1"/>
  <c r="E6881" i="1" a="1"/>
  <c r="E6881" i="1"/>
  <c r="E6882" i="1" a="1"/>
  <c r="E6882" i="1" s="1"/>
  <c r="E6883" i="1" a="1"/>
  <c r="E6883" i="1"/>
  <c r="E6884" i="1" a="1"/>
  <c r="E6884" i="1"/>
  <c r="E6885" i="1" a="1"/>
  <c r="E6885" i="1" s="1"/>
  <c r="E6886" i="1" a="1"/>
  <c r="E6886" i="1" s="1"/>
  <c r="E6887" i="1" a="1"/>
  <c r="E6887" i="1" s="1"/>
  <c r="E6888" i="1" a="1"/>
  <c r="E6888" i="1" s="1"/>
  <c r="E6889" i="1" a="1"/>
  <c r="E6889" i="1"/>
  <c r="E6890" i="1" a="1"/>
  <c r="E6890" i="1"/>
  <c r="E6891" i="1" a="1"/>
  <c r="E6891" i="1" s="1"/>
  <c r="E6892" i="1" a="1"/>
  <c r="E6892" i="1"/>
  <c r="E6893" i="1" a="1"/>
  <c r="E6893" i="1"/>
  <c r="E6894" i="1" a="1"/>
  <c r="E6894" i="1"/>
  <c r="E6895" i="1" a="1"/>
  <c r="E6895" i="1" s="1"/>
  <c r="E6896" i="1" a="1"/>
  <c r="E6896" i="1" s="1"/>
  <c r="E6897" i="1" a="1"/>
  <c r="E6897" i="1"/>
  <c r="E6898" i="1" a="1"/>
  <c r="E6898" i="1"/>
  <c r="E6899" i="1" a="1"/>
  <c r="E6899" i="1"/>
  <c r="E6900" i="1" a="1"/>
  <c r="E6900" i="1" s="1"/>
  <c r="E6901" i="1" a="1"/>
  <c r="E6901" i="1"/>
  <c r="E6902" i="1" a="1"/>
  <c r="E6902" i="1"/>
  <c r="E6903" i="1" a="1"/>
  <c r="E6903" i="1" s="1"/>
  <c r="E6904" i="1" a="1"/>
  <c r="E6904" i="1" s="1"/>
  <c r="E6905" i="1" a="1"/>
  <c r="E6905" i="1"/>
  <c r="E6906" i="1" a="1"/>
  <c r="E6906" i="1" s="1"/>
  <c r="E6907" i="1" a="1"/>
  <c r="E6907" i="1" s="1"/>
  <c r="E6908" i="1" a="1"/>
  <c r="E6908" i="1" s="1"/>
  <c r="E6909" i="1" a="1"/>
  <c r="E6909" i="1" s="1"/>
  <c r="E6910" i="1" a="1"/>
  <c r="E6910" i="1"/>
  <c r="E6911" i="1" a="1"/>
  <c r="E6911" i="1" s="1"/>
  <c r="E6912" i="1" a="1"/>
  <c r="E6912" i="1" s="1"/>
  <c r="E6913" i="1" a="1"/>
  <c r="E6913" i="1"/>
  <c r="E6914" i="1" a="1"/>
  <c r="E6914" i="1"/>
  <c r="E6915" i="1" a="1"/>
  <c r="E6915" i="1" s="1"/>
  <c r="E6916" i="1" a="1"/>
  <c r="E6916" i="1"/>
  <c r="E6917" i="1" a="1"/>
  <c r="E6917" i="1"/>
  <c r="E6918" i="1" a="1"/>
  <c r="E6918" i="1" s="1"/>
  <c r="E6919" i="1" a="1"/>
  <c r="E6919" i="1" s="1"/>
  <c r="E6920" i="1" a="1"/>
  <c r="E6920" i="1" s="1"/>
  <c r="E6921" i="1" a="1"/>
  <c r="E6921" i="1"/>
  <c r="E6922" i="1" a="1"/>
  <c r="E6922" i="1"/>
  <c r="E6923" i="1" a="1"/>
  <c r="E6923" i="1"/>
  <c r="E6924" i="1" a="1"/>
  <c r="E6924" i="1"/>
  <c r="E6925" i="1" a="1"/>
  <c r="E6925" i="1" s="1"/>
  <c r="E6926" i="1" a="1"/>
  <c r="E6926" i="1" s="1"/>
  <c r="E6927" i="1" a="1"/>
  <c r="E6927" i="1" s="1"/>
  <c r="E6928" i="1" a="1"/>
  <c r="E6928" i="1" s="1"/>
  <c r="E6929" i="1" a="1"/>
  <c r="E6929" i="1"/>
  <c r="E6930" i="1" a="1"/>
  <c r="E6930" i="1"/>
  <c r="E6931" i="1" a="1"/>
  <c r="E6931" i="1"/>
  <c r="E6932" i="1" a="1"/>
  <c r="E6932" i="1"/>
  <c r="E6933" i="1" a="1"/>
  <c r="E6933" i="1"/>
  <c r="E6934" i="1" a="1"/>
  <c r="E6934" i="1" s="1"/>
  <c r="E6935" i="1" a="1"/>
  <c r="E6935" i="1" s="1"/>
  <c r="E6936" i="1" a="1"/>
  <c r="E6936" i="1" s="1"/>
  <c r="E6937" i="1" a="1"/>
  <c r="E6937" i="1" s="1"/>
  <c r="E6938" i="1" a="1"/>
  <c r="E6938" i="1" s="1"/>
  <c r="E6939" i="1" a="1"/>
  <c r="E6939" i="1"/>
  <c r="E6940" i="1" a="1"/>
  <c r="E6940" i="1"/>
  <c r="E6941" i="1" a="1"/>
  <c r="E6941" i="1"/>
  <c r="E6942" i="1" a="1"/>
  <c r="E6942" i="1"/>
  <c r="E6943" i="1" a="1"/>
  <c r="E6943" i="1" s="1"/>
  <c r="E6944" i="1" a="1"/>
  <c r="E6944" i="1" s="1"/>
  <c r="E6945" i="1" a="1"/>
  <c r="E6945" i="1"/>
  <c r="E6946" i="1" a="1"/>
  <c r="E6946" i="1" s="1"/>
  <c r="E6947" i="1" a="1"/>
  <c r="E6947" i="1"/>
  <c r="E6949" i="1" a="1"/>
  <c r="E6949" i="1"/>
  <c r="E6950" i="1" a="1"/>
  <c r="E6950" i="1"/>
  <c r="E6951" i="1" a="1"/>
  <c r="E6951" i="1"/>
  <c r="E6952" i="1" a="1"/>
  <c r="E6952" i="1" s="1"/>
  <c r="E6953" i="1" a="1"/>
  <c r="E6953" i="1" s="1"/>
  <c r="E6954" i="1" a="1"/>
  <c r="E6954" i="1"/>
  <c r="E6955" i="1" a="1"/>
  <c r="E6955" i="1" s="1"/>
  <c r="E6956" i="1" a="1"/>
  <c r="E6956" i="1" s="1"/>
  <c r="E6957" i="1" a="1"/>
  <c r="E6957" i="1"/>
  <c r="E6958" i="1" a="1"/>
  <c r="E6958" i="1"/>
  <c r="E6959" i="1" a="1"/>
  <c r="E6959" i="1" s="1"/>
  <c r="E6960" i="1" a="1"/>
  <c r="E6960" i="1" s="1"/>
  <c r="E6961" i="1" a="1"/>
  <c r="E6961" i="1" s="1"/>
  <c r="E6962" i="1" a="1"/>
  <c r="E6962" i="1"/>
  <c r="E6963" i="1" a="1"/>
  <c r="E6963" i="1"/>
  <c r="E6964" i="1" a="1"/>
  <c r="E6964" i="1" s="1"/>
  <c r="E6965" i="1" a="1"/>
  <c r="E6965" i="1" s="1"/>
  <c r="E6966" i="1" a="1"/>
  <c r="E6966" i="1" s="1"/>
  <c r="E6967" i="1" a="1"/>
  <c r="E6967" i="1"/>
  <c r="E6969" i="1" a="1"/>
  <c r="E6969" i="1" s="1"/>
  <c r="E6970" i="1" a="1"/>
  <c r="E6970" i="1" s="1"/>
  <c r="E6971" i="1" a="1"/>
  <c r="E6971" i="1" s="1"/>
  <c r="E6972" i="1" a="1"/>
  <c r="E6972" i="1"/>
  <c r="E6973" i="1" a="1"/>
  <c r="E6973" i="1"/>
  <c r="E6974" i="1" a="1"/>
  <c r="E6974" i="1"/>
  <c r="E6975" i="1" a="1"/>
  <c r="E6975" i="1" s="1"/>
  <c r="E6976" i="1" a="1"/>
  <c r="E6976" i="1"/>
  <c r="E6978" i="1" a="1"/>
  <c r="E6978" i="1" s="1"/>
  <c r="E6979" i="1" a="1"/>
  <c r="E6979" i="1" s="1"/>
  <c r="E6980" i="1" a="1"/>
  <c r="E6980" i="1"/>
  <c r="E6981" i="1" a="1"/>
  <c r="E6981" i="1"/>
  <c r="E6982" i="1" a="1"/>
  <c r="E6982" i="1" s="1"/>
  <c r="E6983" i="1" a="1"/>
  <c r="E6983" i="1" s="1"/>
  <c r="E6984" i="1" a="1"/>
  <c r="E6984" i="1"/>
  <c r="E6985" i="1" a="1"/>
  <c r="E6985" i="1" s="1"/>
  <c r="E6986" i="1" a="1"/>
  <c r="E6986" i="1" s="1"/>
  <c r="E6987" i="1" a="1"/>
  <c r="E6987" i="1" s="1"/>
  <c r="E6988" i="1" a="1"/>
  <c r="E6988" i="1" s="1"/>
  <c r="E6989" i="1" a="1"/>
  <c r="E6989" i="1"/>
  <c r="E6993" i="1" a="1"/>
  <c r="E6993" i="1"/>
  <c r="E6994" i="1" a="1"/>
  <c r="E6994" i="1"/>
  <c r="E6996" i="1" a="1"/>
  <c r="E6996" i="1" s="1"/>
  <c r="E6997" i="1" a="1"/>
  <c r="E6997" i="1" s="1"/>
  <c r="E6998" i="1" a="1"/>
  <c r="E6998" i="1" s="1"/>
  <c r="E6999" i="1" a="1"/>
  <c r="E6999" i="1" s="1"/>
  <c r="E7000" i="1" a="1"/>
  <c r="E7000" i="1" s="1"/>
  <c r="E7002" i="1" a="1"/>
  <c r="E7002" i="1" s="1"/>
  <c r="E7003" i="1" a="1"/>
  <c r="E7003" i="1"/>
  <c r="E7004" i="1" a="1"/>
  <c r="E7004" i="1"/>
  <c r="E7005" i="1" a="1"/>
  <c r="E7005" i="1"/>
  <c r="E7006" i="1" a="1"/>
  <c r="E7006" i="1"/>
  <c r="E7007" i="1" a="1"/>
  <c r="E7007" i="1" s="1"/>
  <c r="E7008" i="1" a="1"/>
  <c r="E7008" i="1" s="1"/>
  <c r="E7009" i="1" a="1"/>
  <c r="E7009" i="1" s="1"/>
  <c r="E7010" i="1" a="1"/>
  <c r="E7010" i="1" s="1"/>
  <c r="E7011" i="1" a="1"/>
  <c r="E7011" i="1"/>
  <c r="E7012" i="1" a="1"/>
  <c r="E7012" i="1"/>
  <c r="E7013" i="1" a="1"/>
  <c r="E7013" i="1"/>
  <c r="E7014" i="1" a="1"/>
  <c r="E7014" i="1"/>
  <c r="E7015" i="1" a="1"/>
  <c r="E7015" i="1" s="1"/>
  <c r="E7016" i="1" a="1"/>
  <c r="E7016" i="1" s="1"/>
  <c r="E7018" i="1" a="1"/>
  <c r="E7018" i="1"/>
  <c r="E7019" i="1" a="1"/>
  <c r="E7019" i="1" s="1"/>
  <c r="E7021" i="1" a="1"/>
  <c r="E7021" i="1"/>
  <c r="E7023" i="1" a="1"/>
  <c r="E7023" i="1" s="1"/>
  <c r="E7024" i="1" a="1"/>
  <c r="E7024" i="1" s="1"/>
  <c r="E7025" i="1" a="1"/>
  <c r="E7025" i="1"/>
  <c r="E7026" i="1" a="1"/>
  <c r="E7026" i="1" s="1"/>
  <c r="E7027" i="1" a="1"/>
  <c r="E7027" i="1" s="1"/>
  <c r="E7028" i="1" a="1"/>
  <c r="E7028" i="1"/>
  <c r="E7030" i="1" a="1"/>
  <c r="E7030" i="1"/>
  <c r="E7031" i="1" a="1"/>
  <c r="E7031" i="1" s="1"/>
  <c r="E7032" i="1" a="1"/>
  <c r="E7032" i="1"/>
  <c r="E7033" i="1" a="1"/>
  <c r="E7033" i="1" s="1"/>
  <c r="E7034" i="1" a="1"/>
  <c r="E7034" i="1"/>
  <c r="E7036" i="1" a="1"/>
  <c r="E7036" i="1" s="1"/>
  <c r="E7037" i="1" a="1"/>
  <c r="E7037" i="1" s="1"/>
  <c r="E7038" i="1" a="1"/>
  <c r="E7038" i="1"/>
  <c r="E7043" i="1" a="1"/>
  <c r="E7043" i="1"/>
  <c r="E7044" i="1" a="1"/>
  <c r="E7044" i="1"/>
  <c r="E7045" i="1" a="1"/>
  <c r="E7045" i="1" s="1"/>
  <c r="E7046" i="1" a="1"/>
  <c r="E7046" i="1"/>
  <c r="E7047" i="1" a="1"/>
  <c r="E7047" i="1"/>
  <c r="E7048" i="1" a="1"/>
  <c r="E7048" i="1" s="1"/>
  <c r="E7049" i="1" a="1"/>
  <c r="E7049" i="1" s="1"/>
  <c r="E7050" i="1" a="1"/>
  <c r="E7050" i="1" s="1"/>
  <c r="E7051" i="1" a="1"/>
  <c r="E7051" i="1"/>
  <c r="E7052" i="1" a="1"/>
  <c r="E7052" i="1"/>
  <c r="E7053" i="1" a="1"/>
  <c r="E7053" i="1"/>
  <c r="E7054" i="1" a="1"/>
  <c r="E7054" i="1" s="1"/>
  <c r="E7055" i="1" a="1"/>
  <c r="E7055" i="1"/>
  <c r="E7056" i="1" a="1"/>
  <c r="E7056" i="1" s="1"/>
  <c r="E7057" i="1" a="1"/>
  <c r="E7057" i="1" s="1"/>
  <c r="E7058" i="1" a="1"/>
  <c r="E7058" i="1" s="1"/>
  <c r="E7059" i="1" a="1"/>
  <c r="E7059" i="1"/>
  <c r="E7060" i="1" a="1"/>
  <c r="E7060" i="1"/>
  <c r="E7061" i="1" a="1"/>
  <c r="E7061" i="1"/>
  <c r="E7063" i="1" a="1"/>
  <c r="E7063" i="1"/>
  <c r="E7064" i="1" a="1"/>
  <c r="E7064" i="1" s="1"/>
  <c r="E7065" i="1" a="1"/>
  <c r="E7065" i="1" s="1"/>
  <c r="E7066" i="1" a="1"/>
  <c r="E7066" i="1" s="1"/>
  <c r="E7067" i="1" a="1"/>
  <c r="E7067" i="1"/>
  <c r="E7068" i="1" a="1"/>
  <c r="E7068" i="1"/>
  <c r="E7070" i="1" a="1"/>
  <c r="E7070" i="1" s="1"/>
  <c r="E7071" i="1" a="1"/>
  <c r="E7071" i="1" s="1"/>
  <c r="E7072" i="1" a="1"/>
  <c r="E7072" i="1" s="1"/>
  <c r="E7073" i="1" a="1"/>
  <c r="E7073" i="1" s="1"/>
  <c r="E7074" i="1" a="1"/>
  <c r="E7074" i="1" s="1"/>
  <c r="E7075" i="1" a="1"/>
  <c r="E7075" i="1" s="1"/>
  <c r="E7076" i="1" a="1"/>
  <c r="E7076" i="1"/>
  <c r="E7077" i="1" a="1"/>
  <c r="E7077" i="1"/>
  <c r="E7078" i="1" a="1"/>
  <c r="E7078" i="1"/>
  <c r="E7079" i="1" a="1"/>
  <c r="E7079" i="1" s="1"/>
  <c r="E7080" i="1" a="1"/>
  <c r="E7080" i="1" s="1"/>
  <c r="E7081" i="1" a="1"/>
  <c r="E7081" i="1"/>
  <c r="E7082" i="1" a="1"/>
  <c r="E7082" i="1" s="1"/>
  <c r="E7083" i="1" a="1"/>
  <c r="E7083" i="1" s="1"/>
  <c r="E7084" i="1" a="1"/>
  <c r="E7084" i="1" s="1"/>
  <c r="E7085" i="1" a="1"/>
  <c r="E7085" i="1"/>
  <c r="E7086" i="1" a="1"/>
  <c r="E7086" i="1"/>
  <c r="E7088" i="1" a="1"/>
  <c r="E7088" i="1"/>
  <c r="E7089" i="1" a="1"/>
  <c r="E7089" i="1" s="1"/>
  <c r="E7090" i="1" a="1"/>
  <c r="E7090" i="1"/>
  <c r="E7091" i="1" a="1"/>
  <c r="E7091" i="1" s="1"/>
  <c r="E7092" i="1" a="1"/>
  <c r="E7092" i="1" s="1"/>
  <c r="E7093" i="1" a="1"/>
  <c r="E7093" i="1"/>
  <c r="E7094" i="1" a="1"/>
  <c r="E7094" i="1" s="1"/>
  <c r="E7095" i="1" a="1"/>
  <c r="E7095" i="1"/>
  <c r="E7096" i="1" a="1"/>
  <c r="E7096" i="1"/>
  <c r="E7097" i="1" a="1"/>
  <c r="E7097" i="1"/>
  <c r="E7098" i="1" a="1"/>
  <c r="E7098" i="1"/>
  <c r="E7099" i="1" a="1"/>
  <c r="E7099" i="1" s="1"/>
  <c r="E7100" i="1" a="1"/>
  <c r="E7100" i="1" s="1"/>
  <c r="E7101" i="1" a="1"/>
  <c r="E7101" i="1" s="1"/>
  <c r="E7102" i="1" a="1"/>
  <c r="E7102" i="1"/>
  <c r="E7103" i="1" a="1"/>
  <c r="E7103" i="1" s="1"/>
  <c r="E7104" i="1" a="1"/>
  <c r="E7104" i="1" s="1"/>
  <c r="E7105" i="1" a="1"/>
  <c r="E7105" i="1"/>
  <c r="E7106" i="1" a="1"/>
  <c r="E7106" i="1"/>
  <c r="E7107" i="1" a="1"/>
  <c r="E7107" i="1" s="1"/>
  <c r="E7108" i="1" a="1"/>
  <c r="E7108" i="1" s="1"/>
  <c r="E7109" i="1" a="1"/>
  <c r="E7109" i="1" s="1"/>
  <c r="E7110" i="1" a="1"/>
  <c r="E7110" i="1"/>
  <c r="E7111" i="1" a="1"/>
  <c r="E7111" i="1"/>
  <c r="E7112" i="1" a="1"/>
  <c r="E7112" i="1" s="1"/>
  <c r="E7113" i="1" a="1"/>
  <c r="E7113" i="1"/>
  <c r="E7114" i="1" a="1"/>
  <c r="E7114" i="1" s="1"/>
  <c r="E7115" i="1" a="1"/>
  <c r="E7115" i="1" s="1"/>
  <c r="E7116" i="1" a="1"/>
  <c r="E7116" i="1" s="1"/>
  <c r="E7117" i="1" a="1"/>
  <c r="E7117" i="1"/>
  <c r="E7118" i="1" a="1"/>
  <c r="E7118" i="1"/>
  <c r="E7119" i="1" a="1"/>
  <c r="E7119" i="1" s="1"/>
  <c r="E7120" i="1" a="1"/>
  <c r="E7120" i="1" s="1"/>
  <c r="E7121" i="1" a="1"/>
  <c r="E7121" i="1" s="1"/>
  <c r="E7122" i="1" a="1"/>
  <c r="E7122" i="1"/>
  <c r="E7123" i="1" a="1"/>
  <c r="E7123" i="1" s="1"/>
  <c r="E7124" i="1" a="1"/>
  <c r="E7124" i="1" s="1"/>
  <c r="E7125" i="1" a="1"/>
  <c r="E7125" i="1"/>
  <c r="E7126" i="1" a="1"/>
  <c r="E7126" i="1"/>
  <c r="E7127" i="1" a="1"/>
  <c r="E7127" i="1"/>
  <c r="E7128" i="1" a="1"/>
  <c r="E7128" i="1" s="1"/>
  <c r="E7129" i="1" a="1"/>
  <c r="E7129" i="1"/>
  <c r="E7130" i="1" a="1"/>
  <c r="E7130" i="1" s="1"/>
  <c r="E7131" i="1" a="1"/>
  <c r="E7131" i="1" s="1"/>
  <c r="E7132" i="1" a="1"/>
  <c r="E7132" i="1" s="1"/>
  <c r="E7133" i="1" a="1"/>
  <c r="E7133" i="1"/>
  <c r="E7134" i="1" a="1"/>
  <c r="E7134" i="1"/>
  <c r="E7135" i="1" a="1"/>
  <c r="E7135" i="1"/>
  <c r="E7136" i="1" a="1"/>
  <c r="E7136" i="1" s="1"/>
  <c r="E7137" i="1" a="1"/>
  <c r="E7137" i="1" s="1"/>
  <c r="E7138" i="1" a="1"/>
  <c r="E7138" i="1" s="1"/>
  <c r="E7139" i="1" a="1"/>
  <c r="E7139" i="1" s="1"/>
  <c r="E7140" i="1" a="1"/>
  <c r="E7140" i="1" s="1"/>
  <c r="E7141" i="1" a="1"/>
  <c r="E7141" i="1"/>
  <c r="E7142" i="1" a="1"/>
  <c r="E7142" i="1"/>
  <c r="E7144" i="1" a="1"/>
  <c r="E7144" i="1"/>
  <c r="E7145" i="1" a="1"/>
  <c r="E7145" i="1"/>
  <c r="E7146" i="1" a="1"/>
  <c r="E7146" i="1" s="1"/>
  <c r="E7147" i="1" a="1"/>
  <c r="E7147" i="1"/>
  <c r="E7148" i="1" a="1"/>
  <c r="E7148" i="1" s="1"/>
  <c r="E7149" i="1" a="1"/>
  <c r="E7149" i="1" s="1"/>
  <c r="E7150" i="1" a="1"/>
  <c r="E7150" i="1" s="1"/>
  <c r="E7151" i="1" a="1"/>
  <c r="E7151" i="1"/>
  <c r="E7152" i="1" a="1"/>
  <c r="E7152" i="1"/>
  <c r="E7153" i="1" a="1"/>
  <c r="E7153" i="1"/>
  <c r="E7154" i="1" a="1"/>
  <c r="E7154" i="1"/>
  <c r="E7155" i="1" a="1"/>
  <c r="E7155" i="1"/>
  <c r="E7156" i="1" a="1"/>
  <c r="E7156" i="1" s="1"/>
  <c r="E7157" i="1" a="1"/>
  <c r="E7157" i="1" s="1"/>
  <c r="E7158" i="1" a="1"/>
  <c r="E7158" i="1" s="1"/>
  <c r="E7159" i="1" a="1"/>
  <c r="E7159" i="1" s="1"/>
  <c r="E7160" i="1" a="1"/>
  <c r="E7160" i="1" s="1"/>
  <c r="E7162" i="1" a="1"/>
  <c r="E7162" i="1"/>
  <c r="E7163" i="1" a="1"/>
  <c r="E7163" i="1"/>
  <c r="E7164" i="1" a="1"/>
  <c r="E7164" i="1"/>
  <c r="E7165" i="1" a="1"/>
  <c r="E7165" i="1" s="1"/>
  <c r="E7166" i="1" a="1"/>
  <c r="E7166" i="1" s="1"/>
  <c r="E7167" i="1" a="1"/>
  <c r="E7167" i="1"/>
  <c r="E7168" i="1" a="1"/>
  <c r="E7168" i="1" s="1"/>
  <c r="E7169" i="1" a="1"/>
  <c r="E7169" i="1" s="1"/>
  <c r="E7170" i="1" a="1"/>
  <c r="E7170" i="1"/>
  <c r="E7171" i="1" a="1"/>
  <c r="E7171" i="1"/>
  <c r="E7172" i="1" a="1"/>
  <c r="E7172" i="1"/>
  <c r="E7173" i="1" a="1"/>
  <c r="E7173" i="1" s="1"/>
  <c r="E7174" i="1" a="1"/>
  <c r="E7174" i="1" s="1"/>
  <c r="E7175" i="1" a="1"/>
  <c r="E7175" i="1"/>
  <c r="E7176" i="1" a="1"/>
  <c r="E7176" i="1"/>
  <c r="E7178" i="1" a="1"/>
  <c r="E7178" i="1"/>
  <c r="E7179" i="1" a="1"/>
  <c r="E7179" i="1" s="1"/>
  <c r="E7181" i="1" a="1"/>
  <c r="E7181" i="1" s="1"/>
  <c r="E7182" i="1" a="1"/>
  <c r="E7182" i="1" s="1"/>
  <c r="E7183" i="1" a="1"/>
  <c r="E7183" i="1" s="1"/>
  <c r="E7184" i="1" a="1"/>
  <c r="E7184" i="1" s="1"/>
  <c r="E7185" i="1" a="1"/>
  <c r="E7185" i="1"/>
  <c r="E7186" i="1" a="1"/>
  <c r="E7186" i="1"/>
  <c r="E7188" i="1" a="1"/>
  <c r="E7188" i="1"/>
  <c r="E7189" i="1" a="1"/>
  <c r="E7189" i="1"/>
  <c r="E7190" i="1" a="1"/>
  <c r="E7190" i="1" s="1"/>
  <c r="E7191" i="1" a="1"/>
  <c r="E7191" i="1" s="1"/>
  <c r="E7192" i="1" a="1"/>
  <c r="E7192" i="1" s="1"/>
  <c r="E7193" i="1" a="1"/>
  <c r="E7193" i="1" s="1"/>
  <c r="E7194" i="1" a="1"/>
  <c r="E7194" i="1"/>
  <c r="E7195" i="1" a="1"/>
  <c r="E7195" i="1"/>
  <c r="E7196" i="1" a="1"/>
  <c r="E7196" i="1"/>
  <c r="E7197" i="1" a="1"/>
  <c r="E7197" i="1"/>
  <c r="E7198" i="1" a="1"/>
  <c r="E7198" i="1"/>
  <c r="E7199" i="1" a="1"/>
  <c r="E7199" i="1" s="1"/>
  <c r="E7200" i="1" a="1"/>
  <c r="E7200" i="1" s="1"/>
  <c r="E7201" i="1" a="1"/>
  <c r="E7201" i="1" s="1"/>
  <c r="E7202" i="1" a="1"/>
  <c r="E7202" i="1" s="1"/>
  <c r="E7203" i="1" a="1"/>
  <c r="E7203" i="1" s="1"/>
  <c r="E7204" i="1" a="1"/>
  <c r="E7204" i="1" s="1"/>
  <c r="E7205" i="1" a="1"/>
  <c r="E7205" i="1" s="1"/>
  <c r="E7206" i="1" a="1"/>
  <c r="E7206" i="1"/>
  <c r="E7207" i="1" a="1"/>
  <c r="E7207" i="1"/>
  <c r="E7208" i="1" a="1"/>
  <c r="E7208" i="1" s="1"/>
  <c r="E7209" i="1" a="1"/>
  <c r="E7209" i="1" s="1"/>
  <c r="E7210" i="1" a="1"/>
  <c r="E7210" i="1"/>
  <c r="E7211" i="1" a="1"/>
  <c r="E7211" i="1" s="1"/>
  <c r="E7212" i="1" a="1"/>
  <c r="E7212" i="1" s="1"/>
  <c r="E7213" i="1" a="1"/>
  <c r="E7213" i="1"/>
  <c r="E7214" i="1" a="1"/>
  <c r="E7214" i="1" s="1"/>
  <c r="E7215" i="1" a="1"/>
  <c r="E7215" i="1" s="1"/>
  <c r="E7216" i="1" a="1"/>
  <c r="E7216" i="1" s="1"/>
  <c r="E7217" i="1" a="1"/>
  <c r="E7217" i="1" s="1"/>
  <c r="E7218" i="1" a="1"/>
  <c r="E7218" i="1" s="1"/>
  <c r="E7219" i="1" a="1"/>
  <c r="E7219" i="1"/>
  <c r="E7220" i="1" a="1"/>
  <c r="E7220" i="1" s="1"/>
  <c r="E7221" i="1" a="1"/>
  <c r="E7221" i="1"/>
  <c r="E7222" i="1" a="1"/>
  <c r="E7222" i="1"/>
  <c r="E7224" i="1" a="1"/>
  <c r="E7224" i="1"/>
  <c r="E7225" i="1" a="1"/>
  <c r="E7225" i="1" s="1"/>
  <c r="E7226" i="1" a="1"/>
  <c r="E7226" i="1" s="1"/>
  <c r="E7227" i="1" a="1"/>
  <c r="E7227" i="1" s="1"/>
  <c r="E7228" i="1" a="1"/>
  <c r="E7228" i="1" s="1"/>
  <c r="E7229" i="1" a="1"/>
  <c r="E7229" i="1"/>
  <c r="E7230" i="1" a="1"/>
  <c r="E7230" i="1"/>
  <c r="E7231" i="1" a="1"/>
  <c r="E7231" i="1" s="1"/>
  <c r="E7232" i="1" a="1"/>
  <c r="E7232" i="1" s="1"/>
  <c r="E7233" i="1" a="1"/>
  <c r="E7233" i="1" s="1"/>
  <c r="E7234" i="1" a="1"/>
  <c r="E7234" i="1" s="1"/>
  <c r="E7235" i="1" a="1"/>
  <c r="E7235" i="1"/>
  <c r="E7236" i="1" a="1"/>
  <c r="E7236" i="1" s="1"/>
  <c r="E7237" i="1" a="1"/>
  <c r="E7237" i="1" s="1"/>
  <c r="E7238" i="1" a="1"/>
  <c r="E7238" i="1" s="1"/>
  <c r="E7240" i="1" a="1"/>
  <c r="E7240" i="1"/>
  <c r="E7241" i="1" a="1"/>
  <c r="E7241" i="1" s="1"/>
  <c r="E7243" i="1" a="1"/>
  <c r="E7243" i="1" s="1"/>
  <c r="E7245" i="1" a="1"/>
  <c r="E7245" i="1" s="1"/>
  <c r="E7246" i="1" a="1"/>
  <c r="E7246" i="1"/>
  <c r="E7247" i="1" a="1"/>
  <c r="E7247" i="1"/>
  <c r="E7249" i="1" a="1"/>
  <c r="E7249" i="1"/>
  <c r="E7250" i="1" a="1"/>
  <c r="E7250" i="1" s="1"/>
  <c r="E7251" i="1" a="1"/>
  <c r="E7251" i="1" s="1"/>
  <c r="E7252" i="1" a="1"/>
  <c r="E7252" i="1" s="1"/>
  <c r="E7253" i="1" a="1"/>
  <c r="E7253" i="1" s="1"/>
  <c r="E7254" i="1" a="1"/>
  <c r="E7254" i="1" s="1"/>
  <c r="E7255" i="1" a="1"/>
  <c r="E7255" i="1" s="1"/>
  <c r="E7257" i="1" a="1"/>
  <c r="E7257" i="1" s="1"/>
  <c r="E7258" i="1" a="1"/>
  <c r="E7258" i="1"/>
  <c r="E7259" i="1" a="1"/>
  <c r="E7259" i="1"/>
  <c r="E7260" i="1" a="1"/>
  <c r="E7260" i="1" s="1"/>
  <c r="E7261" i="1" a="1"/>
  <c r="E7261" i="1"/>
  <c r="E7262" i="1" a="1"/>
  <c r="E7262" i="1" s="1"/>
  <c r="E7264" i="1" a="1"/>
  <c r="E7264" i="1" s="1"/>
  <c r="E7265" i="1" a="1"/>
  <c r="E7265" i="1"/>
  <c r="E7266" i="1" a="1"/>
  <c r="E7266" i="1" s="1"/>
  <c r="E7267" i="1" a="1"/>
  <c r="E7267" i="1"/>
  <c r="E7268" i="1" a="1"/>
  <c r="E7268" i="1"/>
  <c r="E7269" i="1" a="1"/>
  <c r="E7269" i="1"/>
  <c r="E7270" i="1" a="1"/>
  <c r="E7270" i="1" s="1"/>
  <c r="E7271" i="1" a="1"/>
  <c r="E7271" i="1" s="1"/>
  <c r="E7272" i="1" a="1"/>
  <c r="E7272" i="1" s="1"/>
  <c r="E7273" i="1" a="1"/>
  <c r="E7273" i="1"/>
  <c r="E7274" i="1" a="1"/>
  <c r="E7274" i="1" s="1"/>
  <c r="E7275" i="1" a="1"/>
  <c r="E7275" i="1"/>
  <c r="E7276" i="1" a="1"/>
  <c r="E7276" i="1" s="1"/>
  <c r="E7277" i="1" a="1"/>
  <c r="E7277" i="1" s="1"/>
  <c r="E7278" i="1" a="1"/>
  <c r="E7278" i="1"/>
  <c r="E7280" i="1" a="1"/>
  <c r="E7280" i="1" s="1"/>
  <c r="E7281" i="1" a="1"/>
  <c r="E7281" i="1" s="1"/>
  <c r="E7282" i="1" a="1"/>
  <c r="E7282" i="1"/>
  <c r="E7283" i="1" a="1"/>
  <c r="E7283" i="1"/>
  <c r="E7284" i="1" a="1"/>
  <c r="E7284" i="1"/>
  <c r="E7285" i="1" a="1"/>
  <c r="E7285" i="1" s="1"/>
  <c r="E7286" i="1" a="1"/>
  <c r="E7286" i="1" s="1"/>
  <c r="E7287" i="1" a="1"/>
  <c r="E7287" i="1" s="1"/>
  <c r="E7288" i="1" a="1"/>
  <c r="E7288" i="1" s="1"/>
  <c r="E7290" i="1" a="1"/>
  <c r="E7290" i="1" s="1"/>
  <c r="E7291" i="1" a="1"/>
  <c r="E7291" i="1" s="1"/>
  <c r="E7292" i="1" a="1"/>
  <c r="E7292" i="1"/>
  <c r="E7293" i="1" a="1"/>
  <c r="E7293" i="1"/>
  <c r="E7294" i="1" a="1"/>
  <c r="E7294" i="1"/>
  <c r="E7295" i="1" a="1"/>
  <c r="E7295" i="1"/>
  <c r="E7296" i="1" a="1"/>
  <c r="E7296" i="1" s="1"/>
  <c r="E7297" i="1" a="1"/>
  <c r="E7297" i="1" s="1"/>
  <c r="E7298" i="1" a="1"/>
  <c r="E7298" i="1" s="1"/>
  <c r="E7299" i="1" a="1"/>
  <c r="E7299" i="1"/>
  <c r="E7300" i="1" a="1"/>
  <c r="E7300" i="1" s="1"/>
  <c r="E7301" i="1" a="1"/>
  <c r="E7301" i="1"/>
  <c r="E7302" i="1" a="1"/>
  <c r="E7302" i="1"/>
  <c r="E7303" i="1" a="1"/>
  <c r="E7303" i="1"/>
  <c r="E7305" i="1" a="1"/>
  <c r="E7305" i="1"/>
  <c r="E7306" i="1" a="1"/>
  <c r="E7306" i="1" s="1"/>
  <c r="E7307" i="1" a="1"/>
  <c r="E7307" i="1" s="1"/>
  <c r="E7308" i="1" a="1"/>
  <c r="E7308" i="1" s="1"/>
  <c r="E7309" i="1" a="1"/>
  <c r="E7309" i="1" s="1"/>
  <c r="E7310" i="1" a="1"/>
  <c r="E7310" i="1" s="1"/>
  <c r="E7311" i="1" a="1"/>
  <c r="E7311" i="1"/>
  <c r="E7312" i="1" a="1"/>
  <c r="E7312" i="1"/>
  <c r="E7313" i="1" a="1"/>
  <c r="E7313" i="1"/>
  <c r="E7314" i="1" a="1"/>
  <c r="E7314" i="1" s="1"/>
  <c r="E7315" i="1" a="1"/>
  <c r="E7315" i="1" s="1"/>
  <c r="E7316" i="1" a="1"/>
  <c r="E7316" i="1"/>
  <c r="E7317" i="1" a="1"/>
  <c r="E7317" i="1" s="1"/>
  <c r="E7318" i="1" a="1"/>
  <c r="E7318" i="1"/>
  <c r="E7319" i="1" a="1"/>
  <c r="E7319" i="1" s="1"/>
  <c r="E7320" i="1" a="1"/>
  <c r="E7320" i="1" s="1"/>
  <c r="E7321" i="1" a="1"/>
  <c r="E7321" i="1"/>
  <c r="E7322" i="1" a="1"/>
  <c r="E7322" i="1" s="1"/>
  <c r="E7323" i="1" a="1"/>
  <c r="E7323" i="1" s="1"/>
  <c r="E7324" i="1" a="1"/>
  <c r="E7324" i="1"/>
  <c r="E7325" i="1" a="1"/>
  <c r="E7325" i="1"/>
  <c r="E7329" i="1" a="1"/>
  <c r="E7329" i="1"/>
  <c r="E7330" i="1" a="1"/>
  <c r="E7330" i="1" s="1"/>
  <c r="E7331" i="1" a="1"/>
  <c r="E7331" i="1" s="1"/>
  <c r="E7332" i="1" a="1"/>
  <c r="E7332" i="1"/>
  <c r="E7333" i="1" a="1"/>
  <c r="E7333" i="1" s="1"/>
  <c r="E7334" i="1" a="1"/>
  <c r="E7334" i="1" s="1"/>
  <c r="E7335" i="1" a="1"/>
  <c r="E7335" i="1"/>
  <c r="E7336" i="1" a="1"/>
  <c r="E7336" i="1"/>
  <c r="E7337" i="1" a="1"/>
  <c r="E7337" i="1"/>
  <c r="E7338" i="1" a="1"/>
  <c r="E7338" i="1"/>
  <c r="E7339" i="1" a="1"/>
  <c r="E7339" i="1" s="1"/>
  <c r="E7340" i="1" a="1"/>
  <c r="E7340" i="1" s="1"/>
  <c r="E7341" i="1" a="1"/>
  <c r="E7341" i="1" s="1"/>
  <c r="E7342" i="1" a="1"/>
  <c r="E7342" i="1" s="1"/>
  <c r="E7343" i="1" a="1"/>
  <c r="E7343" i="1"/>
  <c r="E7344" i="1" a="1"/>
  <c r="E7344" i="1" s="1"/>
  <c r="E7345" i="1" a="1"/>
  <c r="E7345" i="1"/>
  <c r="E7346" i="1" a="1"/>
  <c r="E7346" i="1"/>
  <c r="E7347" i="1" a="1"/>
  <c r="E7347" i="1"/>
  <c r="E7348" i="1" a="1"/>
  <c r="E7348" i="1"/>
  <c r="E7349" i="1" a="1"/>
  <c r="E7349" i="1" s="1"/>
  <c r="E7350" i="1" a="1"/>
  <c r="E7350" i="1" s="1"/>
  <c r="E7351" i="1" a="1"/>
  <c r="E7351" i="1" s="1"/>
  <c r="E7352" i="1" a="1"/>
  <c r="E7352" i="1"/>
  <c r="E7353" i="1" a="1"/>
  <c r="E7353" i="1"/>
  <c r="E7354" i="1" a="1"/>
  <c r="E7354" i="1"/>
  <c r="E7355" i="1" a="1"/>
  <c r="E7355" i="1"/>
  <c r="E7356" i="1" a="1"/>
  <c r="E7356" i="1"/>
  <c r="E7358" i="1" a="1"/>
  <c r="E7358" i="1" s="1"/>
  <c r="E7359" i="1" a="1"/>
  <c r="E7359" i="1" s="1"/>
  <c r="E7360" i="1" a="1"/>
  <c r="E7360" i="1" s="1"/>
  <c r="E7361" i="1" a="1"/>
  <c r="E7361" i="1"/>
  <c r="E7365" i="1" a="1"/>
  <c r="E7365" i="1"/>
  <c r="E7367" i="1" a="1"/>
  <c r="E7367" i="1"/>
  <c r="E7368" i="1" a="1"/>
  <c r="E7368" i="1" s="1"/>
  <c r="E7369" i="1" a="1"/>
  <c r="E7369" i="1"/>
  <c r="E7371" i="1" a="1"/>
  <c r="E7371" i="1" s="1"/>
  <c r="E7372" i="1" a="1"/>
  <c r="E7372" i="1" s="1"/>
  <c r="E7373" i="1" a="1"/>
  <c r="E7373" i="1"/>
  <c r="E7374" i="1" a="1"/>
  <c r="E7374" i="1" s="1"/>
  <c r="E7375" i="1" a="1"/>
  <c r="E7375" i="1" s="1"/>
  <c r="E7376" i="1" a="1"/>
  <c r="E7376" i="1" s="1"/>
  <c r="E7377" i="1" a="1"/>
  <c r="E7377" i="1"/>
  <c r="E7378" i="1" a="1"/>
  <c r="E7378" i="1"/>
  <c r="E7379" i="1" a="1"/>
  <c r="E7379" i="1" s="1"/>
  <c r="E7380" i="1" a="1"/>
  <c r="E7380" i="1" s="1"/>
  <c r="E7381" i="1" a="1"/>
  <c r="E7381" i="1"/>
  <c r="E7382" i="1" a="1"/>
  <c r="E7382" i="1"/>
  <c r="E7383" i="1" a="1"/>
  <c r="E7383" i="1" s="1"/>
  <c r="E7385" i="1" a="1"/>
  <c r="E7385" i="1" s="1"/>
  <c r="E7386" i="1" a="1"/>
  <c r="E7386" i="1"/>
  <c r="E7387" i="1" a="1"/>
  <c r="E7387" i="1"/>
  <c r="E7388" i="1" a="1"/>
  <c r="E7388" i="1" s="1"/>
  <c r="E7389" i="1" a="1"/>
  <c r="E7389" i="1" s="1"/>
  <c r="E7390" i="1" a="1"/>
  <c r="E7390" i="1"/>
  <c r="E7391" i="1" a="1"/>
  <c r="E7391" i="1"/>
  <c r="E7392" i="1" a="1"/>
  <c r="E7392" i="1" s="1"/>
  <c r="E7393" i="1" a="1"/>
  <c r="E7393" i="1"/>
  <c r="E7394" i="1" a="1"/>
  <c r="E7394" i="1" s="1"/>
  <c r="E7395" i="1" a="1"/>
  <c r="E7395" i="1"/>
  <c r="E7396" i="1" a="1"/>
  <c r="E7396" i="1" s="1"/>
  <c r="E7398" i="1" a="1"/>
  <c r="E7398" i="1" s="1"/>
  <c r="E7399" i="1" a="1"/>
  <c r="E7399" i="1"/>
  <c r="E7400" i="1" a="1"/>
  <c r="E7400" i="1"/>
  <c r="E7401" i="1" a="1"/>
  <c r="E7401" i="1"/>
  <c r="E7403" i="1" a="1"/>
  <c r="E7403" i="1" s="1"/>
  <c r="E7405" i="1" a="1"/>
  <c r="E7405" i="1"/>
  <c r="E7406" i="1" a="1"/>
  <c r="E7406" i="1" s="1"/>
  <c r="E7407" i="1" a="1"/>
  <c r="E7407" i="1"/>
  <c r="E7408" i="1" a="1"/>
  <c r="E7408" i="1" s="1"/>
  <c r="E7409" i="1" a="1"/>
  <c r="E7409" i="1"/>
  <c r="E7410" i="1" a="1"/>
  <c r="E7410" i="1"/>
  <c r="E7411" i="1" a="1"/>
  <c r="E7411" i="1"/>
  <c r="E7412" i="1" a="1"/>
  <c r="E7412" i="1"/>
  <c r="E7413" i="1" a="1"/>
  <c r="E7413" i="1" s="1"/>
  <c r="E7414" i="1" a="1"/>
  <c r="E7414" i="1"/>
  <c r="E7415" i="1" a="1"/>
  <c r="E7415" i="1" s="1"/>
  <c r="E7416" i="1" a="1"/>
  <c r="E7416" i="1" s="1"/>
  <c r="E7417" i="1" a="1"/>
  <c r="E7417" i="1"/>
  <c r="E7418" i="1" a="1"/>
  <c r="E7418" i="1"/>
  <c r="E7419" i="1" a="1"/>
  <c r="E7419" i="1"/>
  <c r="E7420" i="1" a="1"/>
  <c r="E7420" i="1"/>
  <c r="E7421" i="1" a="1"/>
  <c r="E7421" i="1"/>
  <c r="E7422" i="1" a="1"/>
  <c r="E7422" i="1" s="1"/>
  <c r="E7423" i="1" a="1"/>
  <c r="E7423" i="1" s="1"/>
  <c r="E7424" i="1" a="1"/>
  <c r="E7424" i="1" s="1"/>
  <c r="E7425" i="1" a="1"/>
  <c r="E7425" i="1"/>
  <c r="E7426" i="1" a="1"/>
  <c r="E7426" i="1"/>
  <c r="E7428" i="1" a="1"/>
  <c r="E7428" i="1"/>
  <c r="E7429" i="1" a="1"/>
  <c r="E7429" i="1"/>
  <c r="E7430" i="1" a="1"/>
  <c r="E7430" i="1"/>
  <c r="E7431" i="1" a="1"/>
  <c r="E7431" i="1"/>
  <c r="E7432" i="1" a="1"/>
  <c r="E7432" i="1" s="1"/>
  <c r="E7433" i="1" a="1"/>
  <c r="E7433" i="1" s="1"/>
  <c r="E7434" i="1" a="1"/>
  <c r="E7434" i="1"/>
  <c r="E7435" i="1" a="1"/>
  <c r="E7435" i="1"/>
  <c r="E7436" i="1" a="1"/>
  <c r="E7436" i="1"/>
  <c r="E7437" i="1" a="1"/>
  <c r="E7437" i="1"/>
  <c r="E7438" i="1" a="1"/>
  <c r="E7438" i="1"/>
  <c r="E7439" i="1" a="1"/>
  <c r="E7439" i="1"/>
  <c r="E7440" i="1" a="1"/>
  <c r="E7440" i="1" s="1"/>
  <c r="E7441" i="1" a="1"/>
  <c r="E7441" i="1" s="1"/>
  <c r="E7442" i="1" a="1"/>
  <c r="E7442" i="1" s="1"/>
  <c r="E7443" i="1" a="1"/>
  <c r="E7443" i="1"/>
  <c r="E7444" i="1" a="1"/>
  <c r="E7444" i="1"/>
  <c r="E7445" i="1" a="1"/>
  <c r="E7445" i="1"/>
  <c r="E7446" i="1" a="1"/>
  <c r="E7446" i="1"/>
  <c r="E7447" i="1" a="1"/>
  <c r="E7447" i="1"/>
  <c r="E7448" i="1" a="1"/>
  <c r="E7448" i="1" s="1"/>
  <c r="E7449" i="1" a="1"/>
  <c r="E7449" i="1" s="1"/>
  <c r="E7450" i="1" a="1"/>
  <c r="E7450" i="1"/>
  <c r="E7451" i="1" a="1"/>
  <c r="E7451" i="1" s="1"/>
  <c r="E7452" i="1" a="1"/>
  <c r="E7452" i="1"/>
  <c r="E7453" i="1" a="1"/>
  <c r="E7453" i="1"/>
  <c r="E7454" i="1" a="1"/>
  <c r="E7454" i="1"/>
  <c r="E7455" i="1" a="1"/>
  <c r="E7455" i="1"/>
  <c r="E7456" i="1" a="1"/>
  <c r="E7456" i="1" s="1"/>
  <c r="E7457" i="1" a="1"/>
  <c r="E7457" i="1" s="1"/>
  <c r="E7458" i="1" a="1"/>
  <c r="E7458" i="1"/>
  <c r="E7459" i="1" a="1"/>
  <c r="E7459" i="1"/>
  <c r="E7460" i="1" a="1"/>
  <c r="E7460" i="1" s="1"/>
  <c r="E7461" i="1" a="1"/>
  <c r="E7461" i="1"/>
  <c r="E7462" i="1" a="1"/>
  <c r="E7462" i="1"/>
  <c r="E7463" i="1" a="1"/>
  <c r="E7463" i="1"/>
  <c r="E7464" i="1" a="1"/>
  <c r="E7464" i="1" s="1"/>
  <c r="E7465" i="1" a="1"/>
  <c r="E7465" i="1" s="1"/>
  <c r="E7466" i="1" a="1"/>
  <c r="E7466" i="1"/>
  <c r="E7467" i="1" a="1"/>
  <c r="E7467" i="1"/>
  <c r="E7468" i="1" a="1"/>
  <c r="E7468" i="1"/>
  <c r="E7469" i="1" a="1"/>
  <c r="E7469" i="1" s="1"/>
  <c r="E7470" i="1" a="1"/>
  <c r="E7470" i="1"/>
  <c r="E7472" i="1" a="1"/>
  <c r="E7472" i="1"/>
  <c r="E7473" i="1" a="1"/>
  <c r="E7473" i="1" s="1"/>
  <c r="E7474" i="1" a="1"/>
  <c r="E7474" i="1" s="1"/>
  <c r="E7475" i="1" a="1"/>
  <c r="E7475" i="1"/>
  <c r="E7477" i="1" a="1"/>
  <c r="E7477" i="1"/>
  <c r="E7478" i="1" a="1"/>
  <c r="E7478" i="1"/>
  <c r="E7479" i="1" a="1"/>
  <c r="E7479" i="1"/>
  <c r="E7481" i="1" a="1"/>
  <c r="E7481" i="1" s="1"/>
  <c r="E7482" i="1" a="1"/>
  <c r="E7482" i="1"/>
  <c r="E7483" i="1" a="1"/>
  <c r="E7483" i="1" s="1"/>
  <c r="E7484" i="1" a="1"/>
  <c r="E7484" i="1" s="1"/>
  <c r="E7485" i="1" a="1"/>
  <c r="E7485" i="1"/>
  <c r="E7486" i="1" a="1"/>
  <c r="E7486" i="1"/>
  <c r="E7487" i="1" a="1"/>
  <c r="E7487" i="1"/>
  <c r="E7488" i="1" a="1"/>
  <c r="E7488" i="1"/>
  <c r="E7489" i="1" a="1"/>
  <c r="E7489" i="1"/>
  <c r="E7490" i="1" a="1"/>
  <c r="E7490" i="1" s="1"/>
  <c r="E7491" i="1" a="1"/>
  <c r="E7491" i="1" s="1"/>
  <c r="E7492" i="1" a="1"/>
  <c r="E7492" i="1" s="1"/>
  <c r="E7493" i="1" a="1"/>
  <c r="E7493" i="1"/>
  <c r="E7494" i="1" a="1"/>
  <c r="E7494" i="1"/>
  <c r="E7495" i="1" a="1"/>
  <c r="E7495" i="1"/>
  <c r="E7496" i="1" a="1"/>
  <c r="E7496" i="1"/>
  <c r="E7497" i="1" a="1"/>
  <c r="E7497" i="1"/>
  <c r="E7498" i="1" a="1"/>
  <c r="E7498" i="1"/>
  <c r="E7499" i="1" a="1"/>
  <c r="E7499" i="1" s="1"/>
  <c r="E7500" i="1" a="1"/>
  <c r="E7500" i="1" s="1"/>
  <c r="E7501" i="1" a="1"/>
  <c r="E7501" i="1"/>
  <c r="E7502" i="1" a="1"/>
  <c r="E7502" i="1"/>
  <c r="E7503" i="1" a="1"/>
  <c r="E7503" i="1"/>
  <c r="E7504" i="1" a="1"/>
  <c r="E7504" i="1"/>
  <c r="E7505" i="1" a="1"/>
  <c r="E7505" i="1"/>
  <c r="E7506" i="1" a="1"/>
  <c r="E7506" i="1"/>
  <c r="E7507" i="1" a="1"/>
  <c r="E7507" i="1" s="1"/>
  <c r="E7508" i="1" a="1"/>
  <c r="E7508" i="1" s="1"/>
  <c r="E7510" i="1" a="1"/>
  <c r="E7510" i="1" s="1"/>
  <c r="E7511" i="1" a="1"/>
  <c r="E7511" i="1"/>
  <c r="E7512" i="1" a="1"/>
  <c r="E7512" i="1"/>
  <c r="E7513" i="1" a="1"/>
  <c r="E7513" i="1"/>
  <c r="E7514" i="1" a="1"/>
  <c r="E7514" i="1"/>
  <c r="E7515" i="1" a="1"/>
  <c r="E7515" i="1"/>
  <c r="E7516" i="1" a="1"/>
  <c r="E7516" i="1" s="1"/>
  <c r="E7517" i="1" a="1"/>
  <c r="E7517" i="1" s="1"/>
  <c r="E7518" i="1" a="1"/>
  <c r="E7518" i="1"/>
  <c r="E7519" i="1" a="1"/>
  <c r="E7519" i="1" s="1"/>
  <c r="E7520" i="1" a="1"/>
  <c r="E7520" i="1"/>
  <c r="E7521" i="1" a="1"/>
  <c r="E7521" i="1"/>
  <c r="E7522" i="1" a="1"/>
  <c r="E7522" i="1"/>
  <c r="E7523" i="1" a="1"/>
  <c r="E7523" i="1"/>
  <c r="E7524" i="1" a="1"/>
  <c r="E7524" i="1" s="1"/>
  <c r="E7525" i="1" a="1"/>
  <c r="E7525" i="1" s="1"/>
  <c r="E7526" i="1" a="1"/>
  <c r="E7526" i="1"/>
  <c r="E7527" i="1" a="1"/>
  <c r="E7527" i="1"/>
  <c r="E7528" i="1" a="1"/>
  <c r="E7528" i="1" s="1"/>
  <c r="E7530" i="1" a="1"/>
  <c r="E7530" i="1"/>
  <c r="E7531" i="1" a="1"/>
  <c r="E7531" i="1"/>
  <c r="E7532" i="1" a="1"/>
  <c r="E7532" i="1"/>
  <c r="E7533" i="1" a="1"/>
  <c r="E7533" i="1" s="1"/>
  <c r="E7534" i="1" a="1"/>
  <c r="E7534" i="1" s="1"/>
  <c r="E7535" i="1" a="1"/>
  <c r="E7535" i="1"/>
  <c r="E7536" i="1" a="1"/>
  <c r="E7536" i="1"/>
  <c r="E7538" i="1" a="1"/>
  <c r="E7538" i="1"/>
  <c r="E7539" i="1" a="1"/>
  <c r="E7539" i="1" s="1"/>
  <c r="E7540" i="1" a="1"/>
  <c r="E7540" i="1"/>
  <c r="E7541" i="1" a="1"/>
  <c r="E7541" i="1"/>
  <c r="E7542" i="1" a="1"/>
  <c r="E7542" i="1" s="1"/>
  <c r="E7543" i="1" a="1"/>
  <c r="E7543" i="1" s="1"/>
  <c r="E7544" i="1" a="1"/>
  <c r="E7544" i="1"/>
  <c r="E7545" i="1" a="1"/>
  <c r="E7545" i="1"/>
  <c r="E7546" i="1" a="1"/>
  <c r="E7546" i="1"/>
  <c r="E7547" i="1" a="1"/>
  <c r="E7547" i="1"/>
  <c r="E7548" i="1" a="1"/>
  <c r="E7548" i="1" s="1"/>
  <c r="E7549" i="1" a="1"/>
  <c r="E7549" i="1"/>
  <c r="E7550" i="1" a="1"/>
  <c r="E7550" i="1" s="1"/>
  <c r="E7551" i="1" a="1"/>
  <c r="E7551" i="1" s="1"/>
  <c r="E7552" i="1" a="1"/>
  <c r="E7552" i="1"/>
  <c r="E7553" i="1" a="1"/>
  <c r="E7553" i="1"/>
  <c r="E7554" i="1" a="1"/>
  <c r="E7554" i="1"/>
  <c r="E7555" i="1" a="1"/>
  <c r="E7555" i="1"/>
  <c r="E7556" i="1" a="1"/>
  <c r="E7556" i="1"/>
  <c r="E7557" i="1" a="1"/>
  <c r="E7557" i="1" s="1"/>
  <c r="E7558" i="1" a="1"/>
  <c r="E7558" i="1" s="1"/>
  <c r="E7559" i="1" a="1"/>
  <c r="E7559" i="1" s="1"/>
  <c r="E7560" i="1" a="1"/>
  <c r="E7560" i="1"/>
  <c r="E7561" i="1" a="1"/>
  <c r="E7561" i="1"/>
  <c r="E7562" i="1" a="1"/>
  <c r="E7562" i="1"/>
  <c r="E7563" i="1" a="1"/>
  <c r="E7563" i="1"/>
  <c r="E7564" i="1" a="1"/>
  <c r="E7564" i="1"/>
  <c r="E7565" i="1" a="1"/>
  <c r="E7565" i="1"/>
  <c r="E7566" i="1" a="1"/>
  <c r="E7566" i="1" s="1"/>
  <c r="E7567" i="1" a="1"/>
  <c r="E7567" i="1" s="1"/>
  <c r="E7568" i="1" a="1"/>
  <c r="E7568" i="1"/>
  <c r="E7569" i="1" a="1"/>
  <c r="E7569" i="1"/>
  <c r="E7570" i="1" a="1"/>
  <c r="E7570" i="1"/>
  <c r="E7571" i="1" a="1"/>
  <c r="E7571" i="1"/>
  <c r="E7572" i="1" a="1"/>
  <c r="E7572" i="1"/>
  <c r="E7573" i="1" a="1"/>
  <c r="E7573" i="1"/>
  <c r="E7574" i="1" a="1"/>
  <c r="E7574" i="1" s="1"/>
  <c r="E7575" i="1" a="1"/>
  <c r="E7575" i="1" s="1"/>
  <c r="E7576" i="1" a="1"/>
  <c r="E7576" i="1" s="1"/>
  <c r="E7577" i="1" a="1"/>
  <c r="E7577" i="1"/>
  <c r="E7578" i="1" a="1"/>
  <c r="E7578" i="1"/>
  <c r="E7579" i="1" a="1"/>
  <c r="E7579" i="1"/>
  <c r="E7582" i="1" a="1"/>
  <c r="E7582" i="1"/>
  <c r="E7583" i="1" a="1"/>
  <c r="E7583" i="1"/>
  <c r="E7584" i="1" a="1"/>
  <c r="E7584" i="1" s="1"/>
  <c r="E7585" i="1" a="1"/>
  <c r="E7585" i="1" s="1"/>
  <c r="E7586" i="1" a="1"/>
  <c r="E7586" i="1"/>
  <c r="E7587" i="1" a="1"/>
  <c r="E7587" i="1" s="1"/>
  <c r="E7588" i="1" a="1"/>
  <c r="E7588" i="1"/>
  <c r="E7589" i="1" a="1"/>
  <c r="E7589" i="1"/>
  <c r="E7590" i="1" a="1"/>
  <c r="E7590" i="1"/>
  <c r="E7591" i="1" a="1"/>
  <c r="E7591" i="1"/>
  <c r="E7592" i="1" a="1"/>
  <c r="E7592" i="1" s="1"/>
  <c r="E7593" i="1" a="1"/>
  <c r="E7593" i="1" s="1"/>
  <c r="E7594" i="1" a="1"/>
  <c r="E7594" i="1"/>
  <c r="E7595" i="1" a="1"/>
  <c r="E7595" i="1"/>
  <c r="E7596" i="1" a="1"/>
  <c r="E7596" i="1" s="1"/>
  <c r="E7597" i="1" a="1"/>
  <c r="E7597" i="1"/>
  <c r="E7598" i="1" a="1"/>
  <c r="E7598" i="1"/>
  <c r="E7599" i="1" a="1"/>
  <c r="E7599" i="1"/>
  <c r="E7600" i="1" a="1"/>
  <c r="E7600" i="1" s="1"/>
  <c r="E7601" i="1" a="1"/>
  <c r="E7601" i="1" s="1"/>
  <c r="E7602" i="1" a="1"/>
  <c r="E7602" i="1"/>
  <c r="E7603" i="1" a="1"/>
  <c r="E7603" i="1"/>
  <c r="E7604" i="1" a="1"/>
  <c r="E7604" i="1"/>
  <c r="E7605" i="1" a="1"/>
  <c r="E7605" i="1" s="1"/>
  <c r="E7606" i="1" a="1"/>
  <c r="E7606" i="1"/>
  <c r="E7607" i="1" a="1"/>
  <c r="E7607" i="1"/>
  <c r="E7608" i="1" a="1"/>
  <c r="E7608" i="1" s="1"/>
  <c r="E7609" i="1" a="1"/>
  <c r="E7609" i="1" s="1"/>
  <c r="E7610" i="1" a="1"/>
  <c r="E7610" i="1"/>
  <c r="E7611" i="1" a="1"/>
  <c r="E7611" i="1"/>
  <c r="E7612" i="1" a="1"/>
  <c r="E7612" i="1"/>
  <c r="E7613" i="1" a="1"/>
  <c r="E7613" i="1"/>
  <c r="E7614" i="1" a="1"/>
  <c r="E7614" i="1" s="1"/>
  <c r="E7615" i="1" a="1"/>
  <c r="E7615" i="1"/>
  <c r="E7616" i="1" a="1"/>
  <c r="E7616" i="1" s="1"/>
  <c r="E7617" i="1" a="1"/>
  <c r="E7617" i="1" s="1"/>
  <c r="E7618" i="1" a="1"/>
  <c r="E7618" i="1"/>
  <c r="E7619" i="1" a="1"/>
  <c r="E7619" i="1"/>
  <c r="E7620" i="1" a="1"/>
  <c r="E7620" i="1"/>
  <c r="E7621" i="1" a="1"/>
  <c r="E7621" i="1"/>
  <c r="E7622" i="1" a="1"/>
  <c r="E7622" i="1"/>
  <c r="E7624" i="1" a="1"/>
  <c r="E7624" i="1" s="1"/>
  <c r="E7625" i="1" a="1"/>
  <c r="E7625" i="1" s="1"/>
  <c r="E7626" i="1" a="1"/>
  <c r="E7626" i="1" s="1"/>
  <c r="E7627" i="1" a="1"/>
  <c r="E7627" i="1"/>
  <c r="E7628" i="1" a="1"/>
  <c r="E7628" i="1"/>
  <c r="E7629" i="1" a="1"/>
  <c r="E7629" i="1"/>
  <c r="E7630" i="1" a="1"/>
  <c r="E7630" i="1"/>
  <c r="E7631" i="1" a="1"/>
  <c r="E7631" i="1"/>
  <c r="E7632" i="1" a="1"/>
  <c r="E7632" i="1"/>
  <c r="E7634" i="1" a="1"/>
  <c r="E7634" i="1" s="1"/>
  <c r="E7635" i="1" a="1"/>
  <c r="E7635" i="1" s="1"/>
  <c r="E7636" i="1" a="1"/>
  <c r="E7636" i="1"/>
  <c r="E7638" i="1" a="1"/>
  <c r="E7638" i="1"/>
  <c r="E7639" i="1" a="1"/>
  <c r="E7639" i="1"/>
  <c r="E7640" i="1" a="1"/>
  <c r="E7640" i="1"/>
  <c r="E7641" i="1" a="1"/>
  <c r="E7641" i="1"/>
  <c r="E7642" i="1" a="1"/>
  <c r="E7642" i="1"/>
  <c r="E7643" i="1" a="1"/>
  <c r="E7643" i="1" s="1"/>
  <c r="E7644" i="1" a="1"/>
  <c r="E7644" i="1" s="1"/>
  <c r="E7646" i="1" a="1"/>
  <c r="E7646" i="1" s="1"/>
  <c r="E7647" i="1" a="1"/>
  <c r="E7647" i="1"/>
  <c r="E7649" i="1" a="1"/>
  <c r="E7649" i="1"/>
  <c r="E7650" i="1" a="1"/>
  <c r="E7650" i="1"/>
  <c r="E7651" i="1" a="1"/>
  <c r="E7651" i="1"/>
  <c r="E7652" i="1" a="1"/>
  <c r="E7652" i="1"/>
  <c r="E7653" i="1" a="1"/>
  <c r="E7653" i="1" s="1"/>
  <c r="E7654" i="1" a="1"/>
  <c r="E7654" i="1" s="1"/>
  <c r="E7655" i="1" a="1"/>
  <c r="E7655" i="1"/>
  <c r="E7656" i="1" a="1"/>
  <c r="E7656" i="1" s="1"/>
  <c r="E7657" i="1" a="1"/>
  <c r="E7657" i="1"/>
  <c r="E7658" i="1" a="1"/>
  <c r="E7658" i="1"/>
  <c r="E7659" i="1" a="1"/>
  <c r="E7659" i="1"/>
  <c r="E7660" i="1" a="1"/>
  <c r="E7660" i="1"/>
  <c r="E7661" i="1" a="1"/>
  <c r="E7661" i="1" s="1"/>
  <c r="E7662" i="1" a="1"/>
  <c r="E7662" i="1" s="1"/>
  <c r="E7663" i="1" a="1"/>
  <c r="E7663" i="1"/>
  <c r="E7664" i="1" a="1"/>
  <c r="E7664" i="1"/>
  <c r="E7665" i="1" a="1"/>
  <c r="E7665" i="1" s="1"/>
  <c r="E7666" i="1" a="1"/>
  <c r="E7666" i="1"/>
  <c r="E7667" i="1" a="1"/>
  <c r="E7667" i="1"/>
  <c r="E7668" i="1" a="1"/>
  <c r="E7668" i="1"/>
  <c r="E7669" i="1" a="1"/>
  <c r="E7669" i="1" s="1"/>
  <c r="E7671" i="1" a="1"/>
  <c r="E7671" i="1" s="1"/>
  <c r="E7672" i="1" a="1"/>
  <c r="E7672" i="1"/>
  <c r="E7673" i="1" a="1"/>
  <c r="E7673" i="1"/>
  <c r="E7674" i="1" a="1"/>
  <c r="E7674" i="1"/>
  <c r="E7675" i="1" a="1"/>
  <c r="E7675" i="1" s="1"/>
  <c r="E7676" i="1" a="1"/>
  <c r="E7676" i="1"/>
  <c r="E7677" i="1" a="1"/>
  <c r="E7677" i="1"/>
  <c r="E7678" i="1" a="1"/>
  <c r="E7678" i="1" s="1"/>
  <c r="E7679" i="1" a="1"/>
  <c r="E7679" i="1" s="1"/>
  <c r="E7680" i="1" a="1"/>
  <c r="E7680" i="1"/>
  <c r="E7681" i="1" a="1"/>
  <c r="E7681" i="1"/>
  <c r="E7682" i="1" a="1"/>
  <c r="E7682" i="1"/>
  <c r="E7683" i="1" a="1"/>
  <c r="E7683" i="1"/>
  <c r="E7684" i="1" a="1"/>
  <c r="E7684" i="1" s="1"/>
  <c r="E7685" i="1" a="1"/>
  <c r="E7685" i="1"/>
  <c r="E7686" i="1" a="1"/>
  <c r="E7686" i="1" s="1"/>
  <c r="E7687" i="1" a="1"/>
  <c r="E7687" i="1" s="1"/>
  <c r="E7688" i="1" a="1"/>
  <c r="E7688" i="1"/>
  <c r="E7689" i="1" a="1"/>
  <c r="E7689" i="1"/>
  <c r="E7690" i="1" a="1"/>
  <c r="E7690" i="1"/>
  <c r="E7691" i="1" a="1"/>
  <c r="E7691" i="1"/>
  <c r="E7692" i="1" a="1"/>
  <c r="E7692" i="1"/>
  <c r="E7693" i="1" a="1"/>
  <c r="E7693" i="1" s="1"/>
  <c r="E7694" i="1" a="1"/>
  <c r="E7694" i="1" s="1"/>
  <c r="E7695" i="1" a="1"/>
  <c r="E7695" i="1" s="1"/>
  <c r="E7696" i="1" a="1"/>
  <c r="E7696" i="1"/>
  <c r="E7697" i="1" a="1"/>
  <c r="E7697" i="1"/>
  <c r="E7698" i="1" a="1"/>
  <c r="E7698" i="1"/>
  <c r="E7699" i="1" a="1"/>
  <c r="E7699" i="1"/>
  <c r="E7700" i="1" a="1"/>
  <c r="E7700" i="1"/>
  <c r="E7701" i="1" a="1"/>
  <c r="E7701" i="1"/>
  <c r="E7702" i="1" a="1"/>
  <c r="E7702" i="1" s="1"/>
  <c r="E7703" i="1" a="1"/>
  <c r="E7703" i="1" s="1"/>
  <c r="E7704" i="1" a="1"/>
  <c r="E7704" i="1"/>
  <c r="E7705" i="1" a="1"/>
  <c r="E7705" i="1"/>
  <c r="E7706" i="1" a="1"/>
  <c r="E7706" i="1"/>
  <c r="E7707" i="1" a="1"/>
  <c r="E7707" i="1"/>
  <c r="E7708" i="1" a="1"/>
  <c r="E7708" i="1"/>
  <c r="E7709" i="1" a="1"/>
  <c r="E7709" i="1"/>
  <c r="E7710" i="1" a="1"/>
  <c r="E7710" i="1" s="1"/>
  <c r="E7711" i="1" a="1"/>
  <c r="E7711" i="1" s="1"/>
  <c r="E7712" i="1" a="1"/>
  <c r="E7712" i="1" s="1"/>
  <c r="E7713" i="1" a="1"/>
  <c r="E7713" i="1"/>
  <c r="E7714" i="1" a="1"/>
  <c r="E7714" i="1"/>
  <c r="E7715" i="1" a="1"/>
  <c r="E7715" i="1"/>
  <c r="E7716" i="1" a="1"/>
  <c r="E7716" i="1"/>
  <c r="E7717" i="1" a="1"/>
  <c r="E7717" i="1"/>
  <c r="E7718" i="1" a="1"/>
  <c r="E7718" i="1" s="1"/>
  <c r="E7719" i="1" a="1"/>
  <c r="E7719" i="1" s="1"/>
  <c r="E7720" i="1" a="1"/>
  <c r="E7720" i="1"/>
  <c r="E7722" i="1" a="1"/>
  <c r="E7722" i="1" s="1"/>
  <c r="E7723" i="1" a="1"/>
  <c r="E7723" i="1"/>
  <c r="E7724" i="1" a="1"/>
  <c r="E7724" i="1"/>
  <c r="E7725" i="1" a="1"/>
  <c r="E7725" i="1"/>
  <c r="E7726" i="1" a="1"/>
  <c r="E7726" i="1"/>
  <c r="E7727" i="1" a="1"/>
  <c r="E7727" i="1" s="1"/>
  <c r="E7728" i="1" a="1"/>
  <c r="E7728" i="1" s="1"/>
  <c r="E7729" i="1" a="1"/>
  <c r="E7729" i="1"/>
  <c r="E7730" i="1" a="1"/>
  <c r="E7730" i="1"/>
  <c r="E7731" i="1" a="1"/>
  <c r="E7731" i="1" s="1"/>
  <c r="E7732" i="1" a="1"/>
  <c r="E7732" i="1" s="1"/>
  <c r="E7733" i="1" a="1"/>
  <c r="E7733" i="1"/>
  <c r="E7734" i="1" a="1"/>
  <c r="E7734" i="1"/>
  <c r="E7736" i="1" a="1"/>
  <c r="E7736" i="1" s="1"/>
  <c r="E7737" i="1" a="1"/>
  <c r="E7737" i="1" s="1"/>
  <c r="E7738" i="1" a="1"/>
  <c r="E7738" i="1"/>
  <c r="E7739" i="1" a="1"/>
  <c r="E7739" i="1"/>
  <c r="E7740" i="1" a="1"/>
  <c r="E7740" i="1"/>
  <c r="E7741" i="1" a="1"/>
  <c r="E7741" i="1" s="1"/>
  <c r="E7742" i="1" a="1"/>
  <c r="E7742" i="1" s="1"/>
  <c r="E7743" i="1" a="1"/>
  <c r="E7743" i="1"/>
  <c r="E7744" i="1" a="1"/>
  <c r="E7744" i="1" s="1"/>
  <c r="E7745" i="1" a="1"/>
  <c r="E7745" i="1" s="1"/>
  <c r="E7746" i="1" a="1"/>
  <c r="E7746" i="1"/>
  <c r="E7748" i="1" a="1"/>
  <c r="E7748" i="1"/>
  <c r="E7749" i="1" a="1"/>
  <c r="E7749" i="1"/>
  <c r="E7750" i="1" a="1"/>
  <c r="E7750" i="1"/>
  <c r="E7751" i="1" a="1"/>
  <c r="E7751" i="1" s="1"/>
  <c r="E7752" i="1" a="1"/>
  <c r="E7752" i="1" s="1"/>
  <c r="E7753" i="1" a="1"/>
  <c r="E7753" i="1" s="1"/>
  <c r="E7754" i="1" a="1"/>
  <c r="E7754" i="1" s="1"/>
  <c r="E7755" i="1" a="1"/>
  <c r="E7755" i="1"/>
  <c r="E7756" i="1" a="1"/>
  <c r="E7756" i="1"/>
  <c r="E7757" i="1" a="1"/>
  <c r="E7757" i="1"/>
  <c r="E7758" i="1" a="1"/>
  <c r="E7758" i="1"/>
  <c r="E7759" i="1" a="1"/>
  <c r="E7759" i="1"/>
  <c r="E7760" i="1" a="1"/>
  <c r="E7760" i="1" s="1"/>
  <c r="E7761" i="1" a="1"/>
  <c r="E7761" i="1" s="1"/>
  <c r="E7763" i="1" a="1"/>
  <c r="E7763" i="1" s="1"/>
  <c r="E7764" i="1" a="1"/>
  <c r="E7764" i="1"/>
  <c r="E7765" i="1" a="1"/>
  <c r="E7765" i="1"/>
  <c r="E7766" i="1" a="1"/>
  <c r="E7766" i="1"/>
  <c r="E7767" i="1" a="1"/>
  <c r="E7767" i="1"/>
  <c r="E7768" i="1" a="1"/>
  <c r="E7768" i="1"/>
  <c r="E7769" i="1" a="1"/>
  <c r="E7769" i="1"/>
  <c r="E7771" i="1" a="1"/>
  <c r="E7771" i="1" s="1"/>
  <c r="E7772" i="1" a="1"/>
  <c r="E7772" i="1" s="1"/>
  <c r="E7773" i="1" a="1"/>
  <c r="E7773" i="1" s="1"/>
  <c r="E7774" i="1" a="1"/>
  <c r="E7774" i="1"/>
  <c r="E7775" i="1" a="1"/>
  <c r="E7775" i="1"/>
  <c r="E7776" i="1" a="1"/>
  <c r="E7776" i="1"/>
  <c r="E7777" i="1" a="1"/>
  <c r="E7777" i="1"/>
  <c r="E7778" i="1" a="1"/>
  <c r="E7778" i="1"/>
  <c r="E7779" i="1" a="1"/>
  <c r="E7779" i="1" s="1"/>
  <c r="E7780" i="1" a="1"/>
  <c r="E7780" i="1" s="1"/>
  <c r="E7781" i="1" a="1"/>
  <c r="E7781" i="1" s="1"/>
  <c r="E7782" i="1" a="1"/>
  <c r="E7782" i="1" s="1"/>
  <c r="E7783" i="1" a="1"/>
  <c r="E7783" i="1"/>
  <c r="E7784" i="1" a="1"/>
  <c r="E7784" i="1"/>
  <c r="E7785" i="1" a="1"/>
  <c r="E7785" i="1"/>
  <c r="E7786" i="1" a="1"/>
  <c r="E7786" i="1"/>
  <c r="E7787" i="1" a="1"/>
  <c r="E7787" i="1" s="1"/>
  <c r="E7788" i="1" a="1"/>
  <c r="E7788" i="1" s="1"/>
  <c r="E7789" i="1" a="1"/>
  <c r="E7789" i="1"/>
  <c r="E7791" i="1" a="1"/>
  <c r="E7791" i="1" s="1"/>
  <c r="E7792" i="1" a="1"/>
  <c r="E7792" i="1" s="1"/>
  <c r="E7793" i="1" a="1"/>
  <c r="E7793" i="1"/>
  <c r="E7794" i="1" a="1"/>
  <c r="E7794" i="1"/>
  <c r="E7795" i="1" a="1"/>
  <c r="E7795" i="1"/>
  <c r="E7796" i="1" a="1"/>
  <c r="E7796" i="1" s="1"/>
  <c r="E7797" i="1" a="1"/>
  <c r="E7797" i="1" s="1"/>
  <c r="E7798" i="1" a="1"/>
  <c r="E7798" i="1"/>
  <c r="E7799" i="1" a="1"/>
  <c r="E7799" i="1"/>
  <c r="E7800" i="1" a="1"/>
  <c r="E7800" i="1" s="1"/>
  <c r="E7801" i="1" a="1"/>
  <c r="E7801" i="1" s="1"/>
  <c r="E7802" i="1" a="1"/>
  <c r="E7802" i="1"/>
  <c r="E7803" i="1" a="1"/>
  <c r="E7803" i="1"/>
  <c r="E7804" i="1" a="1"/>
  <c r="E7804" i="1" s="1"/>
  <c r="E7805" i="1" a="1"/>
  <c r="E7805" i="1" s="1"/>
  <c r="E7806" i="1" a="1"/>
  <c r="E7806" i="1"/>
  <c r="E7807" i="1" a="1"/>
  <c r="E7807" i="1"/>
  <c r="E7808" i="1" a="1"/>
  <c r="E7808" i="1"/>
  <c r="E7809" i="1" a="1"/>
  <c r="E7809" i="1" s="1"/>
  <c r="E7810" i="1" a="1"/>
  <c r="E7810" i="1" s="1"/>
  <c r="E7811" i="1" a="1"/>
  <c r="E7811" i="1"/>
  <c r="E7812" i="1" a="1"/>
  <c r="E7812" i="1" s="1"/>
  <c r="E7813" i="1" a="1"/>
  <c r="E7813" i="1" s="1"/>
  <c r="E7814" i="1" a="1"/>
  <c r="E7814" i="1"/>
  <c r="E7815" i="1" a="1"/>
  <c r="E7815" i="1"/>
  <c r="E7816" i="1" a="1"/>
  <c r="E7816" i="1"/>
  <c r="E7817" i="1" a="1"/>
  <c r="E7817" i="1"/>
  <c r="E7818" i="1" a="1"/>
  <c r="E7818" i="1" s="1"/>
  <c r="E7819" i="1" a="1"/>
  <c r="E7819" i="1" s="1"/>
  <c r="E7820" i="1" a="1"/>
  <c r="E7820" i="1" s="1"/>
  <c r="E7821" i="1" a="1"/>
  <c r="E7821" i="1" s="1"/>
  <c r="E7822" i="1" a="1"/>
  <c r="E7822" i="1"/>
  <c r="E7823" i="1" a="1"/>
  <c r="E7823" i="1"/>
  <c r="E7824" i="1" a="1"/>
  <c r="E7824" i="1"/>
  <c r="E7825" i="1" a="1"/>
  <c r="E7825" i="1"/>
  <c r="E7826" i="1" a="1"/>
  <c r="E7826" i="1"/>
  <c r="E7827" i="1" a="1"/>
  <c r="E7827" i="1" s="1"/>
  <c r="E7828" i="1" a="1"/>
  <c r="E7828" i="1" s="1"/>
  <c r="E7830" i="1" a="1"/>
  <c r="E7830" i="1" s="1"/>
  <c r="E7831" i="1" a="1"/>
  <c r="E7831" i="1"/>
  <c r="E7832" i="1" a="1"/>
  <c r="E7832" i="1"/>
  <c r="E7833" i="1" a="1"/>
  <c r="E7833" i="1"/>
  <c r="E7835" i="1" a="1"/>
  <c r="E7835" i="1"/>
  <c r="E7836" i="1" a="1"/>
  <c r="E7836" i="1"/>
  <c r="E7837" i="1" a="1"/>
  <c r="E7837" i="1"/>
  <c r="E7838" i="1" a="1"/>
  <c r="E7838" i="1" s="1"/>
  <c r="E7839" i="1" a="1"/>
  <c r="E7839" i="1" s="1"/>
  <c r="E7840" i="1" a="1"/>
  <c r="E7840" i="1" s="1"/>
  <c r="E7841" i="1" a="1"/>
  <c r="E7841" i="1"/>
  <c r="E7842" i="1" a="1"/>
  <c r="E7842" i="1"/>
  <c r="E7843" i="1" a="1"/>
  <c r="E7843" i="1"/>
  <c r="E7844" i="1" a="1"/>
  <c r="E7844" i="1"/>
  <c r="E7845" i="1" a="1"/>
  <c r="E7845" i="1"/>
  <c r="E7846" i="1" a="1"/>
  <c r="E7846" i="1" s="1"/>
  <c r="E7847" i="1" a="1"/>
  <c r="E7847" i="1" s="1"/>
  <c r="E7848" i="1" a="1"/>
  <c r="E7848" i="1" s="1"/>
  <c r="E7849" i="1" a="1"/>
  <c r="E7849" i="1" s="1"/>
  <c r="E7850" i="1" a="1"/>
  <c r="E7850" i="1"/>
  <c r="E7851" i="1" a="1"/>
  <c r="E7851" i="1"/>
  <c r="E7852" i="1" a="1"/>
  <c r="E7852" i="1"/>
  <c r="E7853" i="1" a="1"/>
  <c r="E7853" i="1"/>
  <c r="E7854" i="1" a="1"/>
  <c r="E7854" i="1" s="1"/>
  <c r="E7855" i="1" a="1"/>
  <c r="E7855" i="1" s="1"/>
  <c r="E7856" i="1" a="1"/>
  <c r="E7856" i="1"/>
  <c r="E7857" i="1" a="1"/>
  <c r="E7857" i="1" s="1"/>
  <c r="E7858" i="1" a="1"/>
  <c r="E7858" i="1" s="1"/>
  <c r="E7859" i="1" a="1"/>
  <c r="E7859" i="1"/>
  <c r="E7860" i="1" a="1"/>
  <c r="E7860" i="1"/>
  <c r="E7861" i="1" a="1"/>
  <c r="E7861" i="1"/>
  <c r="E7863" i="1" a="1"/>
  <c r="E7863" i="1" s="1"/>
  <c r="E7864" i="1" a="1"/>
  <c r="E7864" i="1" s="1"/>
  <c r="E7865" i="1" a="1"/>
  <c r="E7865" i="1"/>
  <c r="E7866" i="1" a="1"/>
  <c r="E7866" i="1"/>
  <c r="E7867" i="1" a="1"/>
  <c r="E7867" i="1" s="1"/>
  <c r="E7868" i="1" a="1"/>
  <c r="E7868" i="1" s="1"/>
  <c r="E7869" i="1" a="1"/>
  <c r="E7869" i="1"/>
  <c r="E7870" i="1" a="1"/>
  <c r="E7870" i="1"/>
  <c r="E7871" i="1" a="1"/>
  <c r="E7871" i="1" s="1"/>
  <c r="E7872" i="1" a="1"/>
  <c r="E7872" i="1" s="1"/>
  <c r="E7873" i="1" a="1"/>
  <c r="E7873" i="1"/>
  <c r="E7875" i="1" a="1"/>
  <c r="E7875" i="1"/>
  <c r="E7876" i="1" a="1"/>
  <c r="E7876" i="1"/>
  <c r="E7877" i="1" a="1"/>
  <c r="E7877" i="1" s="1"/>
  <c r="E7878" i="1" a="1"/>
  <c r="E7878" i="1" s="1"/>
  <c r="E7879" i="1" a="1"/>
  <c r="E7879" i="1"/>
  <c r="E7880" i="1" a="1"/>
  <c r="E7880" i="1" s="1"/>
  <c r="E7881" i="1" a="1"/>
  <c r="E7881" i="1" s="1"/>
  <c r="E7882" i="1" a="1"/>
  <c r="E7882" i="1"/>
  <c r="E7883" i="1" a="1"/>
  <c r="E7883" i="1"/>
  <c r="E7884" i="1" a="1"/>
  <c r="E7884" i="1"/>
  <c r="E7885" i="1" a="1"/>
  <c r="E7885" i="1"/>
  <c r="E7886" i="1" a="1"/>
  <c r="E7886" i="1" s="1"/>
  <c r="E7887" i="1" a="1"/>
  <c r="E7887" i="1" s="1"/>
  <c r="E7888" i="1" a="1"/>
  <c r="E7888" i="1" s="1"/>
  <c r="E7889" i="1" a="1"/>
  <c r="E7889" i="1" s="1"/>
  <c r="E7890" i="1" a="1"/>
  <c r="E7890" i="1"/>
  <c r="E7891" i="1" a="1"/>
  <c r="E7891" i="1"/>
  <c r="E7892" i="1" a="1"/>
  <c r="E7892" i="1"/>
  <c r="E7893" i="1" a="1"/>
  <c r="E7893" i="1"/>
  <c r="E7894" i="1" a="1"/>
  <c r="E7894" i="1"/>
  <c r="E7895" i="1" a="1"/>
  <c r="E7895" i="1" s="1"/>
  <c r="E7896" i="1" a="1"/>
  <c r="E7896" i="1" s="1"/>
  <c r="E7897" i="1" a="1"/>
  <c r="E7897" i="1" s="1"/>
  <c r="E7898" i="1" a="1"/>
  <c r="E7898" i="1"/>
  <c r="E7899" i="1" a="1"/>
  <c r="E7899" i="1"/>
  <c r="E7900" i="1" a="1"/>
  <c r="E7900" i="1"/>
  <c r="E7904" i="1" a="1"/>
  <c r="E7904" i="1"/>
  <c r="E7905" i="1" a="1"/>
  <c r="E7905" i="1"/>
  <c r="E7908" i="1" a="1"/>
  <c r="E7908" i="1"/>
  <c r="E7910" i="1" a="1"/>
  <c r="E7910" i="1" s="1"/>
  <c r="E7911" i="1" a="1"/>
  <c r="E7911" i="1" s="1"/>
  <c r="E7912" i="1" a="1"/>
  <c r="E7912" i="1" s="1"/>
  <c r="E7913" i="1" a="1"/>
  <c r="E7913" i="1"/>
  <c r="E7914" i="1" a="1"/>
  <c r="E7914" i="1"/>
  <c r="E7915" i="1" a="1"/>
  <c r="E7915" i="1"/>
  <c r="E7916" i="1" a="1"/>
  <c r="E7916" i="1"/>
  <c r="E7917" i="1" a="1"/>
  <c r="E7917" i="1"/>
  <c r="E7918" i="1" a="1"/>
  <c r="E7918" i="1" s="1"/>
  <c r="E7919" i="1" a="1"/>
  <c r="E7919" i="1" s="1"/>
  <c r="E7920" i="1" a="1"/>
  <c r="E7920" i="1" s="1"/>
  <c r="E7921" i="1" a="1"/>
  <c r="E7921" i="1" s="1"/>
  <c r="E7922" i="1" a="1"/>
  <c r="E7922" i="1"/>
  <c r="E7923" i="1" a="1"/>
  <c r="E7923" i="1"/>
  <c r="E7924" i="1" a="1"/>
  <c r="E7924" i="1"/>
  <c r="E7925" i="1" a="1"/>
  <c r="E7925" i="1"/>
  <c r="E7926" i="1" a="1"/>
  <c r="E7926" i="1" s="1"/>
  <c r="E7927" i="1" a="1"/>
  <c r="E7927" i="1" s="1"/>
  <c r="E7928" i="1" a="1"/>
  <c r="E7928" i="1"/>
  <c r="E7929" i="1" a="1"/>
  <c r="E7929" i="1" s="1"/>
  <c r="E7930" i="1" a="1"/>
  <c r="E7930" i="1" s="1"/>
  <c r="E7931" i="1" a="1"/>
  <c r="E7931" i="1"/>
  <c r="E7932" i="1" a="1"/>
  <c r="E7932" i="1"/>
  <c r="E7933" i="1" a="1"/>
  <c r="E7933" i="1"/>
  <c r="E7934" i="1" a="1"/>
  <c r="E7934" i="1" s="1"/>
  <c r="E7935" i="1" a="1"/>
  <c r="E7935" i="1" s="1"/>
  <c r="E7936" i="1" a="1"/>
  <c r="E7936" i="1"/>
  <c r="E7937" i="1" a="1"/>
  <c r="E7937" i="1"/>
  <c r="E7938" i="1" a="1"/>
  <c r="E7938" i="1" s="1"/>
  <c r="E7942" i="1" a="1"/>
  <c r="E7942" i="1" s="1"/>
  <c r="E7943" i="1" a="1"/>
  <c r="E7943" i="1"/>
  <c r="E7944" i="1" a="1"/>
  <c r="E7944" i="1"/>
  <c r="E7945" i="1" a="1"/>
  <c r="E7945" i="1" s="1"/>
  <c r="E7946" i="1" a="1"/>
  <c r="E7946" i="1" s="1"/>
  <c r="E7947" i="1" a="1"/>
  <c r="E7947" i="1"/>
  <c r="E7948" i="1" a="1"/>
  <c r="E7948" i="1"/>
  <c r="E7949" i="1" a="1"/>
  <c r="E7949" i="1"/>
  <c r="E7950" i="1" a="1"/>
  <c r="E7950" i="1" s="1"/>
  <c r="E7951" i="1" a="1"/>
  <c r="E7951" i="1" s="1"/>
  <c r="E7952" i="1" a="1"/>
  <c r="E7952" i="1"/>
  <c r="E7953" i="1" a="1"/>
  <c r="E7953" i="1" s="1"/>
  <c r="E7954" i="1" a="1"/>
  <c r="E7954" i="1" s="1"/>
  <c r="E7955" i="1" a="1"/>
  <c r="E7955" i="1"/>
  <c r="E7956" i="1" a="1"/>
  <c r="E7956" i="1"/>
  <c r="E7957" i="1" a="1"/>
  <c r="E7957" i="1"/>
  <c r="E7959" i="1" a="1"/>
  <c r="E7959" i="1"/>
  <c r="E7960" i="1" a="1"/>
  <c r="E7960" i="1" s="1"/>
  <c r="E7961" i="1" a="1"/>
  <c r="E7961" i="1" s="1"/>
  <c r="E7962" i="1" a="1"/>
  <c r="E7962" i="1" s="1"/>
  <c r="E7963" i="1" a="1"/>
  <c r="E7963" i="1" s="1"/>
  <c r="E7964" i="1" a="1"/>
  <c r="E7964" i="1"/>
  <c r="E7965" i="1" a="1"/>
  <c r="E7965" i="1"/>
  <c r="E7966" i="1" a="1"/>
  <c r="E7966" i="1"/>
  <c r="E7968" i="1" a="1"/>
  <c r="E7968" i="1"/>
  <c r="E7969" i="1" a="1"/>
  <c r="E7969" i="1"/>
  <c r="E7970" i="1" a="1"/>
  <c r="E7970" i="1" s="1"/>
  <c r="E7971" i="1" a="1"/>
  <c r="E7971" i="1" s="1"/>
  <c r="E7972" i="1" a="1"/>
  <c r="E7972" i="1" s="1"/>
  <c r="E7973" i="1" a="1"/>
  <c r="E7973" i="1"/>
  <c r="E7975" i="1" a="1"/>
  <c r="E7975" i="1"/>
  <c r="E7977" i="1" a="1"/>
  <c r="E7977" i="1"/>
  <c r="E7978" i="1" a="1"/>
  <c r="E7978" i="1"/>
  <c r="E7979" i="1" a="1"/>
  <c r="E7979" i="1"/>
  <c r="E7981" i="1" a="1"/>
  <c r="E7981" i="1"/>
  <c r="E7983" i="1" a="1"/>
  <c r="E7983" i="1" s="1"/>
  <c r="E7984" i="1" a="1"/>
  <c r="E7984" i="1" s="1"/>
  <c r="E7986" i="1" a="1"/>
  <c r="E7986" i="1" s="1"/>
  <c r="E7987" i="1" a="1"/>
  <c r="E7987" i="1"/>
  <c r="E7988" i="1" a="1"/>
  <c r="E7988" i="1"/>
  <c r="E7989" i="1" a="1"/>
  <c r="E7989" i="1"/>
  <c r="E7990" i="1" a="1"/>
  <c r="E7990" i="1"/>
  <c r="E7991" i="1" a="1"/>
  <c r="E7991" i="1"/>
  <c r="E7992" i="1" a="1"/>
  <c r="E7992" i="1" s="1"/>
  <c r="E7994" i="1" a="1"/>
  <c r="E7994" i="1" s="1"/>
  <c r="E7995" i="1" a="1"/>
  <c r="E7995" i="1" s="1"/>
  <c r="E7997" i="1" a="1"/>
  <c r="E7997" i="1" s="1"/>
  <c r="E7998" i="1" a="1"/>
  <c r="E7998" i="1"/>
  <c r="E7999" i="1" a="1"/>
  <c r="E7999" i="1"/>
  <c r="E8000" i="1" a="1"/>
  <c r="E8000" i="1"/>
  <c r="E8001" i="1" a="1"/>
  <c r="E8001" i="1"/>
  <c r="E8002" i="1" a="1"/>
  <c r="E8002" i="1" s="1"/>
  <c r="E8004" i="1" a="1"/>
  <c r="E8004" i="1" s="1"/>
  <c r="E8006" i="1" a="1"/>
  <c r="E8006" i="1"/>
  <c r="E8007" i="1" a="1"/>
  <c r="E8007" i="1" s="1"/>
  <c r="E8009" i="1" a="1"/>
  <c r="E8009" i="1" s="1"/>
  <c r="E8010" i="1" a="1"/>
  <c r="E8010" i="1"/>
  <c r="E8011" i="1" a="1"/>
  <c r="E8011" i="1"/>
  <c r="E8012" i="1" a="1"/>
  <c r="E8012" i="1"/>
  <c r="E8013" i="1" a="1"/>
  <c r="E8013" i="1" s="1"/>
  <c r="E8014" i="1" a="1"/>
  <c r="E8014" i="1" s="1"/>
  <c r="E8015" i="1" a="1"/>
  <c r="E8015" i="1"/>
  <c r="E8016" i="1" a="1"/>
  <c r="E8016" i="1"/>
  <c r="E8017" i="1" a="1"/>
  <c r="E8017" i="1" s="1"/>
  <c r="E8019" i="1" a="1"/>
  <c r="E8019" i="1" s="1"/>
  <c r="E8023" i="1" a="1"/>
  <c r="E8023" i="1"/>
  <c r="E8024" i="1" a="1"/>
  <c r="E8024" i="1"/>
  <c r="E8025" i="1" a="1"/>
  <c r="E8025" i="1" s="1"/>
  <c r="E8026" i="1" a="1"/>
  <c r="E8026" i="1" s="1"/>
  <c r="E8027" i="1" a="1"/>
  <c r="E8027" i="1"/>
  <c r="E8028" i="1" a="1"/>
  <c r="E8028" i="1"/>
  <c r="E8029" i="1" a="1"/>
  <c r="E8029" i="1"/>
  <c r="E8030" i="1" a="1"/>
  <c r="E8030" i="1" s="1"/>
  <c r="E8031" i="1" a="1"/>
  <c r="E8031" i="1" s="1"/>
  <c r="E8033" i="1" a="1"/>
  <c r="E8033" i="1"/>
  <c r="E8034" i="1" a="1"/>
  <c r="E8034" i="1" s="1"/>
  <c r="E8036" i="1" a="1"/>
  <c r="E8036" i="1" s="1"/>
  <c r="E8037" i="1" a="1"/>
  <c r="E8037" i="1"/>
  <c r="E8038" i="1" a="1"/>
  <c r="E8038" i="1"/>
  <c r="E8039" i="1" a="1"/>
  <c r="E8039" i="1"/>
  <c r="E8040" i="1" a="1"/>
  <c r="E8040" i="1"/>
  <c r="E8041" i="1" a="1"/>
  <c r="E8041" i="1" s="1"/>
  <c r="E8042" i="1" a="1"/>
  <c r="E8042" i="1" s="1"/>
  <c r="E8043" i="1" a="1"/>
  <c r="E8043" i="1" s="1"/>
  <c r="E8044" i="1" a="1"/>
  <c r="E8044" i="1" s="1"/>
  <c r="E8045" i="1" a="1"/>
  <c r="E8045" i="1"/>
  <c r="E8046" i="1" a="1"/>
  <c r="E8046" i="1"/>
  <c r="E8047" i="1" a="1"/>
  <c r="E8047" i="1"/>
  <c r="E8049" i="1" a="1"/>
  <c r="E8049" i="1"/>
  <c r="E8050" i="1" a="1"/>
  <c r="E8050" i="1"/>
  <c r="E8051" i="1" a="1"/>
  <c r="E8051" i="1" s="1"/>
  <c r="E8052" i="1" a="1"/>
  <c r="E8052" i="1" s="1"/>
  <c r="E8053" i="1" a="1"/>
  <c r="E8053" i="1" s="1"/>
  <c r="E8054" i="1" a="1"/>
  <c r="E8054" i="1"/>
  <c r="E8055" i="1" a="1"/>
  <c r="E8055" i="1"/>
  <c r="E8056" i="1" a="1"/>
  <c r="E8056" i="1"/>
  <c r="E8057" i="1" a="1"/>
  <c r="E8057" i="1"/>
  <c r="E8058" i="1" a="1"/>
  <c r="E8058" i="1"/>
  <c r="E8059" i="1" a="1"/>
  <c r="E8059" i="1"/>
  <c r="E8060" i="1" a="1"/>
  <c r="E8060" i="1" s="1"/>
  <c r="E8061" i="1" a="1"/>
  <c r="E8061" i="1" s="1"/>
  <c r="E8062" i="1" a="1"/>
  <c r="E8062" i="1" s="1"/>
  <c r="E8065" i="1" a="1"/>
  <c r="E8065" i="1"/>
  <c r="E8066" i="1" a="1"/>
  <c r="E8066" i="1"/>
  <c r="E8067" i="1" a="1"/>
  <c r="E8067" i="1"/>
  <c r="E8068" i="1" a="1"/>
  <c r="E8068" i="1"/>
  <c r="E8069" i="1" a="1"/>
  <c r="E8069" i="1"/>
  <c r="E8071" i="1" a="1"/>
  <c r="E8071" i="1" s="1"/>
  <c r="E8072" i="1" a="1"/>
  <c r="E8072" i="1" s="1"/>
  <c r="E8073" i="1" a="1"/>
  <c r="E8073" i="1" s="1"/>
  <c r="E8076" i="1" a="1"/>
  <c r="E8076" i="1" s="1"/>
  <c r="E8077" i="1" a="1"/>
  <c r="E8077" i="1"/>
  <c r="E8078" i="1" a="1"/>
  <c r="E8078" i="1"/>
  <c r="E8079" i="1" a="1"/>
  <c r="E8079" i="1"/>
  <c r="E8080" i="1" a="1"/>
  <c r="E8080" i="1"/>
  <c r="E8081" i="1" a="1"/>
  <c r="E8081" i="1" s="1"/>
  <c r="E8083" i="1" a="1"/>
  <c r="E8083" i="1" s="1"/>
  <c r="E8085" i="1" a="1"/>
  <c r="E8085" i="1"/>
  <c r="E8086" i="1" a="1"/>
  <c r="E8086" i="1" s="1"/>
  <c r="E8087" i="1" a="1"/>
  <c r="E8087" i="1" s="1"/>
  <c r="E8089" i="1" a="1"/>
  <c r="E8089" i="1"/>
  <c r="E8090" i="1" a="1"/>
  <c r="E8090" i="1"/>
  <c r="E8091" i="1" a="1"/>
  <c r="E8091" i="1"/>
  <c r="E8092" i="1" a="1"/>
  <c r="E8092" i="1" s="1"/>
  <c r="E8093" i="1" a="1"/>
  <c r="E8093" i="1" s="1"/>
  <c r="E8094" i="1" a="1"/>
  <c r="E8094" i="1"/>
  <c r="E8095" i="1" a="1"/>
  <c r="E8095" i="1"/>
  <c r="E8096" i="1" a="1"/>
  <c r="E8096" i="1" s="1"/>
  <c r="E8097" i="1" a="1"/>
  <c r="E8097" i="1" s="1"/>
  <c r="E8098" i="1" a="1"/>
  <c r="E8098" i="1"/>
  <c r="E8099" i="1" a="1"/>
  <c r="E8099" i="1"/>
  <c r="E8100" i="1" a="1"/>
  <c r="E8100" i="1" s="1"/>
  <c r="E8101" i="1" a="1"/>
  <c r="E8101" i="1" s="1"/>
  <c r="E8102" i="1" a="1"/>
  <c r="E8102" i="1"/>
  <c r="E8104" i="1" a="1"/>
  <c r="E8104" i="1"/>
  <c r="E8105" i="1" a="1"/>
  <c r="E8105" i="1"/>
  <c r="E8106" i="1" a="1"/>
  <c r="E8106" i="1" s="1"/>
  <c r="E8107" i="1" a="1"/>
  <c r="E8107" i="1" s="1"/>
  <c r="E8108" i="1" a="1"/>
  <c r="E8108" i="1"/>
  <c r="E8109" i="1" a="1"/>
  <c r="E8109" i="1" s="1"/>
  <c r="E8110" i="1" a="1"/>
  <c r="E8110" i="1" s="1"/>
  <c r="E8111" i="1" a="1"/>
  <c r="E8111" i="1"/>
  <c r="E8112" i="1" a="1"/>
  <c r="E8112" i="1"/>
  <c r="E8113" i="1" a="1"/>
  <c r="E8113" i="1"/>
  <c r="E8114" i="1" a="1"/>
  <c r="E8114" i="1"/>
  <c r="E8115" i="1" a="1"/>
  <c r="E8115" i="1" s="1"/>
  <c r="E8116" i="1" a="1"/>
  <c r="E8116" i="1" s="1"/>
  <c r="E8117" i="1" a="1"/>
  <c r="E8117" i="1" s="1"/>
  <c r="E8118" i="1" a="1"/>
  <c r="E8118" i="1" s="1"/>
  <c r="E8119" i="1" a="1"/>
  <c r="E8119" i="1"/>
  <c r="E8120" i="1" a="1"/>
  <c r="E8120" i="1"/>
  <c r="E8121" i="1" a="1"/>
  <c r="E8121" i="1"/>
  <c r="E8122" i="1" a="1"/>
  <c r="E8122" i="1"/>
  <c r="E8123" i="1" a="1"/>
  <c r="E8123" i="1"/>
  <c r="E8124" i="1" a="1"/>
  <c r="E8124" i="1" s="1"/>
  <c r="E8125" i="1" a="1"/>
  <c r="E8125" i="1" s="1"/>
  <c r="E8126" i="1" a="1"/>
  <c r="E8126" i="1" s="1"/>
  <c r="E8127" i="1" a="1"/>
  <c r="E8127" i="1"/>
  <c r="E8128" i="1" a="1"/>
  <c r="E8128" i="1"/>
  <c r="E8129" i="1" a="1"/>
  <c r="E8129" i="1"/>
  <c r="E8131" i="1" a="1"/>
  <c r="E8131" i="1"/>
  <c r="E8132" i="1" a="1"/>
  <c r="E8132" i="1"/>
  <c r="E8134" i="1" a="1"/>
  <c r="E8134" i="1"/>
  <c r="E8135" i="1" a="1"/>
  <c r="E8135" i="1" s="1"/>
  <c r="E8136" i="1" a="1"/>
  <c r="E8136" i="1" s="1"/>
  <c r="E8137" i="1" a="1"/>
  <c r="E8137" i="1" s="1"/>
  <c r="E8138" i="1" a="1"/>
  <c r="E8138" i="1"/>
  <c r="E8139" i="1" a="1"/>
  <c r="E8139" i="1"/>
  <c r="E8140" i="1" a="1"/>
  <c r="E8140" i="1"/>
  <c r="E8141" i="1" a="1"/>
  <c r="E8141" i="1"/>
  <c r="E8142" i="1" a="1"/>
  <c r="E8142" i="1"/>
  <c r="E8143" i="1" a="1"/>
  <c r="E8143" i="1" s="1"/>
  <c r="E8144" i="1" a="1"/>
  <c r="E8144" i="1" s="1"/>
  <c r="E8146" i="1" a="1"/>
  <c r="E8146" i="1" s="1"/>
  <c r="E8148" i="1" a="1"/>
  <c r="E8148" i="1" s="1"/>
  <c r="E8150" i="1" a="1"/>
  <c r="E8150" i="1"/>
  <c r="E8151" i="1" a="1"/>
  <c r="E8151" i="1"/>
  <c r="E8152" i="1" a="1"/>
  <c r="E8152" i="1"/>
  <c r="E8153" i="1" a="1"/>
  <c r="E8153" i="1"/>
  <c r="E8154" i="1" a="1"/>
  <c r="E8154" i="1" s="1"/>
  <c r="E8155" i="1" a="1"/>
  <c r="E8155" i="1" s="1"/>
  <c r="E8156" i="1" a="1"/>
  <c r="E8156" i="1"/>
  <c r="E8157" i="1" a="1"/>
  <c r="E8157" i="1" s="1"/>
  <c r="E8158" i="1" a="1"/>
  <c r="E8158" i="1" s="1"/>
  <c r="E8159" i="1" a="1"/>
  <c r="E8159" i="1"/>
  <c r="E8160" i="1" a="1"/>
  <c r="E8160" i="1"/>
  <c r="E8161" i="1" a="1"/>
  <c r="E8161" i="1"/>
  <c r="E8162" i="1" a="1"/>
  <c r="E8162" i="1" s="1"/>
  <c r="E8163" i="1" a="1"/>
  <c r="E8163" i="1" s="1"/>
  <c r="E8164" i="1" a="1"/>
  <c r="E8164" i="1"/>
  <c r="E8167" i="1" a="1"/>
  <c r="E8167" i="1"/>
  <c r="E8168" i="1" a="1"/>
  <c r="E8168" i="1" s="1"/>
  <c r="E8169" i="1" a="1"/>
  <c r="E8169" i="1" s="1"/>
  <c r="E8170" i="1" a="1"/>
  <c r="E8170" i="1"/>
  <c r="E8171" i="1" a="1"/>
  <c r="E8171" i="1"/>
  <c r="E8172" i="1" a="1"/>
  <c r="E8172" i="1" s="1"/>
  <c r="E8174" i="1" a="1"/>
  <c r="E8174" i="1" s="1"/>
  <c r="E8175" i="1" a="1"/>
  <c r="E8175" i="1"/>
  <c r="E8176" i="1" a="1"/>
  <c r="E8176" i="1"/>
  <c r="E8177" i="1" a="1"/>
  <c r="E8177" i="1"/>
  <c r="E8182" i="1" a="1"/>
  <c r="E8182" i="1" s="1"/>
  <c r="E8183" i="1" a="1"/>
  <c r="E8183" i="1" s="1"/>
  <c r="E8184" i="1" a="1"/>
  <c r="E8184" i="1"/>
  <c r="E8185" i="1" a="1"/>
  <c r="E8185" i="1" s="1"/>
  <c r="E8186" i="1" a="1"/>
  <c r="E8186" i="1" s="1"/>
  <c r="E8187" i="1" a="1"/>
  <c r="E8187" i="1"/>
  <c r="E8188" i="1" a="1"/>
  <c r="E8188" i="1"/>
  <c r="E8189" i="1" a="1"/>
  <c r="E8189" i="1"/>
  <c r="E8191" i="1" a="1"/>
  <c r="E8191" i="1"/>
  <c r="E8192" i="1" a="1"/>
  <c r="E8192" i="1" s="1"/>
  <c r="E8194" i="1" a="1"/>
  <c r="E8194" i="1" s="1"/>
  <c r="E8196" i="1" a="1"/>
  <c r="E8196" i="1" s="1"/>
  <c r="E8197" i="1" a="1"/>
  <c r="E8197" i="1" s="1"/>
  <c r="E8201" i="1" a="1"/>
  <c r="E8201" i="1"/>
  <c r="E8202" i="1" a="1"/>
  <c r="E8202" i="1"/>
  <c r="E8205" i="1" a="1"/>
  <c r="E8205" i="1"/>
  <c r="E8207" i="1" a="1"/>
  <c r="E8207" i="1"/>
  <c r="E8208" i="1" a="1"/>
  <c r="E8208" i="1"/>
  <c r="E8210" i="1" a="1"/>
  <c r="E8210" i="1" s="1"/>
  <c r="E8211" i="1" a="1"/>
  <c r="E8211" i="1" s="1"/>
  <c r="E8212" i="1" a="1"/>
  <c r="E8212" i="1" s="1"/>
  <c r="E8213" i="1" a="1"/>
  <c r="E8213" i="1"/>
  <c r="E8215" i="1" a="1"/>
  <c r="E8215" i="1"/>
  <c r="E8216" i="1" a="1"/>
  <c r="E8216" i="1"/>
  <c r="E8217" i="1" a="1"/>
  <c r="E8217" i="1"/>
  <c r="E8218" i="1" a="1"/>
  <c r="E8218" i="1"/>
  <c r="E8220" i="1" a="1"/>
  <c r="E8220" i="1"/>
  <c r="E8221" i="1" a="1"/>
  <c r="E8221" i="1" s="1"/>
  <c r="E8222" i="1" a="1"/>
  <c r="E8222" i="1" s="1"/>
  <c r="E8223" i="1" a="1"/>
  <c r="E8223" i="1" s="1"/>
  <c r="E8224" i="1" a="1"/>
  <c r="E8224" i="1"/>
  <c r="E8225" i="1" a="1"/>
  <c r="E8225" i="1"/>
  <c r="E8226" i="1" a="1"/>
  <c r="E8226" i="1"/>
  <c r="E8227" i="1" a="1"/>
  <c r="E8227" i="1"/>
  <c r="E8228" i="1" a="1"/>
  <c r="E8228" i="1"/>
  <c r="E8229" i="1" a="1"/>
  <c r="E8229" i="1" s="1"/>
  <c r="E8230" i="1" a="1"/>
  <c r="E8230" i="1" s="1"/>
  <c r="E8231" i="1" a="1"/>
  <c r="E8231" i="1" s="1"/>
  <c r="E8232" i="1" a="1"/>
  <c r="E8232" i="1" s="1"/>
  <c r="E8233" i="1" a="1"/>
  <c r="E8233" i="1"/>
  <c r="E8234" i="1" a="1"/>
  <c r="E8234" i="1"/>
  <c r="E8235" i="1" a="1"/>
  <c r="E8235" i="1"/>
  <c r="E8236" i="1" a="1"/>
  <c r="E8236" i="1"/>
  <c r="E8237" i="1" a="1"/>
  <c r="E8237" i="1" s="1"/>
  <c r="E8238" i="1" a="1"/>
  <c r="E8238" i="1" s="1"/>
  <c r="E8239" i="1" a="1"/>
  <c r="E8239" i="1"/>
  <c r="E8240" i="1" a="1"/>
  <c r="E8240" i="1" s="1"/>
  <c r="E8241" i="1" a="1"/>
  <c r="E8241" i="1" s="1"/>
  <c r="E8242" i="1" a="1"/>
  <c r="E8242" i="1"/>
  <c r="E8243" i="1" a="1"/>
  <c r="E8243" i="1"/>
  <c r="E8244" i="1" a="1"/>
  <c r="E8244" i="1"/>
  <c r="E8245" i="1" a="1"/>
  <c r="E8245" i="1" s="1"/>
  <c r="E8246" i="1" a="1"/>
  <c r="E8246" i="1" s="1"/>
  <c r="E8247" i="1" a="1"/>
  <c r="E8247" i="1"/>
  <c r="E8248" i="1" a="1"/>
  <c r="E8248" i="1"/>
  <c r="E8249" i="1" a="1"/>
  <c r="E8249" i="1" s="1"/>
  <c r="E8250" i="1" a="1"/>
  <c r="E8250" i="1" s="1"/>
  <c r="E8251" i="1" a="1"/>
  <c r="E8251" i="1"/>
  <c r="E8253" i="1" a="1"/>
  <c r="E8253" i="1"/>
  <c r="E8255" i="1" a="1"/>
  <c r="E8255" i="1" s="1"/>
  <c r="E8256" i="1" a="1"/>
  <c r="E8256" i="1" s="1"/>
  <c r="E8257" i="1" a="1"/>
  <c r="E8257" i="1"/>
  <c r="E8258" i="1" a="1"/>
  <c r="E8258" i="1"/>
  <c r="E8259" i="1" a="1"/>
  <c r="E8259" i="1"/>
  <c r="E8260" i="1" a="1"/>
  <c r="E8260" i="1" s="1"/>
  <c r="E8261" i="1" a="1"/>
  <c r="E8261" i="1" s="1"/>
  <c r="E8262" i="1" a="1"/>
  <c r="E8262" i="1"/>
  <c r="E8263" i="1" a="1"/>
  <c r="E8263" i="1" s="1"/>
  <c r="E8264" i="1" a="1"/>
  <c r="E8264" i="1" s="1"/>
  <c r="E8265" i="1" a="1"/>
  <c r="E8265" i="1"/>
  <c r="E8266" i="1" a="1"/>
  <c r="E8266" i="1"/>
  <c r="E8267" i="1" a="1"/>
  <c r="E8267" i="1"/>
  <c r="E8268" i="1" a="1"/>
  <c r="E8268" i="1"/>
  <c r="E8269" i="1" a="1"/>
  <c r="E8269" i="1" s="1"/>
  <c r="E8270" i="1" a="1"/>
  <c r="E8270" i="1" s="1"/>
  <c r="E8271" i="1" a="1"/>
  <c r="E8271" i="1" s="1"/>
  <c r="E8272" i="1" a="1"/>
  <c r="E8272" i="1" s="1"/>
  <c r="E8273" i="1" a="1"/>
  <c r="E8273" i="1"/>
  <c r="E8274" i="1" a="1"/>
  <c r="E8274" i="1"/>
  <c r="E8275" i="1" a="1"/>
  <c r="E8275" i="1"/>
  <c r="E8276" i="1" a="1"/>
  <c r="E8276" i="1"/>
  <c r="E8277" i="1" a="1"/>
  <c r="E8277" i="1"/>
  <c r="E8278" i="1" a="1"/>
  <c r="E8278" i="1" s="1"/>
  <c r="E8280" i="1" a="1"/>
  <c r="E8280" i="1" s="1"/>
  <c r="E8281" i="1" a="1"/>
  <c r="E8281" i="1" s="1"/>
  <c r="E8282" i="1" a="1"/>
  <c r="E8282" i="1"/>
  <c r="E8283" i="1" a="1"/>
  <c r="E8283" i="1"/>
  <c r="E8284" i="1" a="1"/>
  <c r="E8284" i="1"/>
  <c r="E8285" i="1" a="1"/>
  <c r="E8285" i="1"/>
  <c r="E8286" i="1" a="1"/>
  <c r="E8286" i="1"/>
  <c r="E8287" i="1" a="1"/>
  <c r="E8287" i="1"/>
  <c r="E8288" i="1" a="1"/>
  <c r="E8288" i="1" s="1"/>
  <c r="E8289" i="1" a="1"/>
  <c r="E8289" i="1" s="1"/>
  <c r="E8291" i="1" a="1"/>
  <c r="E8291" i="1" s="1"/>
  <c r="E8293" i="1" a="1"/>
  <c r="E8293" i="1"/>
  <c r="E8294" i="1" a="1"/>
  <c r="E8294" i="1"/>
  <c r="E8295" i="1" a="1"/>
  <c r="E8295" i="1"/>
  <c r="E8296" i="1" a="1"/>
  <c r="E8296" i="1"/>
  <c r="E8297" i="1" a="1"/>
  <c r="E8297" i="1"/>
  <c r="E8298" i="1" a="1"/>
  <c r="E8298" i="1" s="1"/>
  <c r="E8299" i="1" a="1"/>
  <c r="E8299" i="1" s="1"/>
  <c r="E8301" i="1" a="1"/>
  <c r="E8301" i="1" s="1"/>
  <c r="E8302" i="1" a="1"/>
  <c r="E8302" i="1" s="1"/>
  <c r="E8303" i="1" a="1"/>
  <c r="E8303" i="1"/>
  <c r="E8304" i="1" a="1"/>
  <c r="E8304" i="1"/>
  <c r="E8305" i="1" a="1"/>
  <c r="E8305" i="1"/>
  <c r="E8306" i="1" a="1"/>
  <c r="E8306" i="1"/>
  <c r="E8307" i="1" a="1"/>
  <c r="E8307" i="1" s="1"/>
  <c r="E8309" i="1" a="1"/>
  <c r="E8309" i="1" s="1"/>
  <c r="E8310" i="1" a="1"/>
  <c r="E8310" i="1"/>
  <c r="E8311" i="1" a="1"/>
  <c r="E8311" i="1" s="1"/>
  <c r="E8312" i="1" a="1"/>
  <c r="E8312" i="1" s="1"/>
  <c r="E8313" i="1" a="1"/>
  <c r="E8313" i="1"/>
  <c r="E8314" i="1" a="1"/>
  <c r="E8314" i="1"/>
  <c r="E8316" i="1" a="1"/>
  <c r="E8316" i="1"/>
  <c r="E8317" i="1" a="1"/>
  <c r="E8317" i="1" s="1"/>
  <c r="E8319" i="1" a="1"/>
  <c r="E8319" i="1" s="1"/>
  <c r="E8320" i="1" a="1"/>
  <c r="E8320" i="1"/>
  <c r="E8321" i="1" a="1"/>
  <c r="E8321" i="1"/>
  <c r="E8322" i="1" a="1"/>
  <c r="E8322" i="1" s="1"/>
  <c r="E8325" i="1" a="1"/>
  <c r="E8325" i="1" s="1"/>
  <c r="E8326" i="1" a="1"/>
  <c r="E8326" i="1"/>
  <c r="E8327" i="1" a="1"/>
  <c r="E8327" i="1"/>
  <c r="E8328" i="1" a="1"/>
  <c r="E8328" i="1" s="1"/>
  <c r="E8329" i="1" a="1"/>
  <c r="E8329" i="1" s="1"/>
  <c r="E8330" i="1" a="1"/>
  <c r="E8330" i="1"/>
  <c r="E8331" i="1" a="1"/>
  <c r="E8331" i="1"/>
  <c r="E8333" i="1" a="1"/>
  <c r="E8333" i="1"/>
  <c r="E8334" i="1" a="1"/>
  <c r="E8334" i="1" s="1"/>
  <c r="E8335" i="1" a="1"/>
  <c r="E8335" i="1" s="1"/>
  <c r="E8336" i="1" a="1"/>
  <c r="E8336" i="1"/>
  <c r="E8338" i="1" a="1"/>
  <c r="E8338" i="1" s="1"/>
  <c r="E8339" i="1" a="1"/>
  <c r="E8339" i="1" s="1"/>
  <c r="E8340" i="1" a="1"/>
  <c r="E8340" i="1"/>
  <c r="E8341" i="1" a="1"/>
  <c r="E8341" i="1"/>
  <c r="E8342" i="1" a="1"/>
  <c r="E8342" i="1"/>
  <c r="E8343" i="1" a="1"/>
  <c r="E8343" i="1"/>
  <c r="E8344" i="1" a="1"/>
  <c r="E8344" i="1" s="1"/>
  <c r="E8345" i="1" a="1"/>
  <c r="E8345" i="1" s="1"/>
  <c r="E8346" i="1" a="1"/>
  <c r="E8346" i="1" s="1"/>
  <c r="E8347" i="1" a="1"/>
  <c r="E8347" i="1" s="1"/>
  <c r="E8348" i="1" a="1"/>
  <c r="E8348" i="1"/>
  <c r="E8349" i="1" a="1"/>
  <c r="E8349" i="1"/>
  <c r="E8350" i="1" a="1"/>
  <c r="E8350" i="1"/>
  <c r="E8351" i="1" a="1"/>
  <c r="E8351" i="1"/>
  <c r="E8352" i="1" a="1"/>
  <c r="E8352" i="1"/>
  <c r="E8353" i="1" a="1"/>
  <c r="E8353" i="1" s="1"/>
  <c r="E8354" i="1" a="1"/>
  <c r="E8354" i="1" s="1"/>
  <c r="E8355" i="1" a="1"/>
  <c r="E8355" i="1" s="1"/>
  <c r="E8356" i="1" a="1"/>
  <c r="E8356" i="1"/>
  <c r="E8357" i="1" a="1"/>
  <c r="E8357" i="1"/>
  <c r="E8358" i="1" a="1"/>
  <c r="E8358" i="1"/>
  <c r="E8359" i="1" a="1"/>
  <c r="E8359" i="1"/>
  <c r="E8360" i="1" a="1"/>
  <c r="E8360" i="1"/>
  <c r="E8361" i="1" a="1"/>
  <c r="E8361" i="1"/>
  <c r="E8362" i="1" a="1"/>
  <c r="E8362" i="1" s="1"/>
  <c r="E8363" i="1" a="1"/>
  <c r="E8363" i="1" s="1"/>
  <c r="E8365" i="1" a="1"/>
  <c r="E8365" i="1" s="1"/>
  <c r="E8367" i="1" a="1"/>
  <c r="E8367" i="1"/>
  <c r="E8368" i="1" a="1"/>
  <c r="E8368" i="1"/>
  <c r="E8369" i="1" a="1"/>
  <c r="E8369" i="1"/>
  <c r="E8370" i="1" a="1"/>
  <c r="E8370" i="1"/>
  <c r="E8373" i="1" a="1"/>
  <c r="E8373" i="1"/>
  <c r="E8374" i="1" a="1"/>
  <c r="E8374" i="1" s="1"/>
  <c r="E8376" i="1" a="1"/>
  <c r="E8376" i="1" s="1"/>
  <c r="E8378" i="1" a="1"/>
  <c r="E8378" i="1" s="1"/>
  <c r="E8380" i="1" a="1"/>
  <c r="E8380" i="1" s="1"/>
  <c r="E8381" i="1" a="1"/>
  <c r="E8381" i="1"/>
  <c r="E8382" i="1" a="1"/>
  <c r="E8382" i="1"/>
  <c r="E8383" i="1" a="1"/>
  <c r="E8383" i="1"/>
  <c r="E8384" i="1" a="1"/>
  <c r="E8384" i="1"/>
  <c r="E8385" i="1" a="1"/>
  <c r="E8385" i="1" s="1"/>
  <c r="E8386" i="1" a="1"/>
  <c r="E8386" i="1" s="1"/>
  <c r="E8387" i="1" a="1"/>
  <c r="E8387" i="1"/>
  <c r="E8388" i="1" a="1"/>
  <c r="E8388" i="1" s="1"/>
  <c r="E8389" i="1" a="1"/>
  <c r="E8389" i="1" s="1"/>
  <c r="E8390" i="1" a="1"/>
  <c r="E8390" i="1"/>
  <c r="E8391" i="1" a="1"/>
  <c r="E8391" i="1"/>
  <c r="E8393" i="1" a="1"/>
  <c r="E8393" i="1"/>
  <c r="E8394" i="1" a="1"/>
  <c r="E8394" i="1" s="1"/>
  <c r="E8395" i="1" a="1"/>
  <c r="E8395" i="1" s="1"/>
  <c r="E8396" i="1" a="1"/>
  <c r="E8396" i="1"/>
  <c r="E8398" i="1" a="1"/>
  <c r="E8398" i="1"/>
  <c r="E8399" i="1" a="1"/>
  <c r="E8399" i="1" s="1"/>
  <c r="E8400" i="1" a="1"/>
  <c r="E8400" i="1" s="1"/>
  <c r="E8401" i="1" a="1"/>
  <c r="E8401" i="1"/>
  <c r="E8402" i="1" a="1"/>
  <c r="E8402" i="1"/>
  <c r="E8403" i="1" a="1"/>
  <c r="E8403" i="1" s="1"/>
  <c r="E8404" i="1" a="1"/>
  <c r="E8404" i="1" s="1"/>
  <c r="E8405" i="1" a="1"/>
  <c r="E8405" i="1"/>
  <c r="E8406" i="1" a="1"/>
  <c r="E8406" i="1"/>
  <c r="E8408" i="1" a="1"/>
  <c r="E8408" i="1"/>
  <c r="E8409" i="1" a="1"/>
  <c r="E8409" i="1" s="1"/>
  <c r="E8410" i="1" a="1"/>
  <c r="E8410" i="1" s="1"/>
  <c r="E8411" i="1" a="1"/>
  <c r="E8411" i="1"/>
  <c r="E8412" i="1" a="1"/>
  <c r="E8412" i="1" s="1"/>
  <c r="E8413" i="1" a="1"/>
  <c r="E8413" i="1" s="1"/>
  <c r="E8415" i="1" a="1"/>
  <c r="E8415" i="1"/>
  <c r="E8416" i="1" a="1"/>
  <c r="E8416" i="1"/>
  <c r="E8417" i="1" a="1"/>
  <c r="E8417" i="1"/>
  <c r="E8418" i="1" a="1"/>
  <c r="E8418" i="1"/>
  <c r="E8419" i="1" a="1"/>
  <c r="E8419" i="1" s="1"/>
  <c r="E8420" i="1" a="1"/>
  <c r="E8420" i="1" s="1"/>
  <c r="E8421" i="1" a="1"/>
  <c r="E8421" i="1" s="1"/>
  <c r="E8422" i="1" a="1"/>
  <c r="E8422" i="1" s="1"/>
  <c r="E8423" i="1" a="1"/>
  <c r="E8423" i="1"/>
  <c r="E8425" i="1" a="1"/>
  <c r="E8425" i="1"/>
  <c r="E8427" i="1" a="1"/>
  <c r="E8427" i="1"/>
  <c r="E8428" i="1" a="1"/>
  <c r="E8428" i="1"/>
  <c r="E8429" i="1" a="1"/>
  <c r="E8429" i="1"/>
  <c r="E8430" i="1" a="1"/>
  <c r="E8430" i="1" s="1"/>
  <c r="E8431" i="1" a="1"/>
  <c r="E8431" i="1" s="1"/>
  <c r="E8432" i="1" a="1"/>
  <c r="E8432" i="1" s="1"/>
  <c r="E8433" i="1" a="1"/>
  <c r="E8433" i="1"/>
  <c r="E8434" i="1" a="1"/>
  <c r="E8434" i="1"/>
  <c r="E8435" i="1" a="1"/>
  <c r="E8435" i="1"/>
  <c r="E8436" i="1" a="1"/>
  <c r="E8436" i="1"/>
  <c r="E8437" i="1" a="1"/>
  <c r="E8437" i="1"/>
  <c r="E8438" i="1" a="1"/>
  <c r="E8438" i="1"/>
  <c r="E8439" i="1" a="1"/>
  <c r="E8439" i="1" s="1"/>
  <c r="E8440" i="1" a="1"/>
  <c r="E8440" i="1" s="1"/>
  <c r="E8441" i="1" a="1"/>
  <c r="E8441" i="1" s="1"/>
  <c r="E8442" i="1" a="1"/>
  <c r="E8442" i="1"/>
  <c r="E8443" i="1" a="1"/>
  <c r="E8443" i="1"/>
  <c r="E8444" i="1" a="1"/>
  <c r="E8444" i="1"/>
  <c r="E8445" i="1" a="1"/>
  <c r="E8445" i="1"/>
  <c r="E8447" i="1" a="1"/>
  <c r="E8447" i="1"/>
  <c r="E8448" i="1" a="1"/>
  <c r="E8448" i="1" s="1"/>
  <c r="E8449" i="1" a="1"/>
  <c r="E8449" i="1" s="1"/>
  <c r="E8450" i="1" a="1"/>
  <c r="E8450" i="1" s="1"/>
  <c r="E8451" i="1" a="1"/>
  <c r="E8451" i="1" s="1"/>
  <c r="E8452" i="1" a="1"/>
  <c r="E8452" i="1"/>
  <c r="E8453" i="1" a="1"/>
  <c r="E8453" i="1"/>
  <c r="E8454" i="1" a="1"/>
  <c r="E8454" i="1"/>
  <c r="E8455" i="1" a="1"/>
  <c r="E8455" i="1"/>
  <c r="E8456" i="1" a="1"/>
  <c r="E8456" i="1" s="1"/>
  <c r="E8457" i="1" a="1"/>
  <c r="E8457" i="1" s="1"/>
  <c r="E8458" i="1" a="1"/>
  <c r="E8458" i="1"/>
  <c r="E8459" i="1" a="1"/>
  <c r="E8459" i="1" s="1"/>
  <c r="E8460" i="1" a="1"/>
  <c r="E8460" i="1" s="1"/>
  <c r="E8461" i="1" a="1"/>
  <c r="E8461" i="1"/>
  <c r="E8462" i="1" a="1"/>
  <c r="E8462" i="1"/>
  <c r="E8463" i="1" a="1"/>
  <c r="E8463" i="1"/>
  <c r="E8465" i="1" a="1"/>
  <c r="E8465" i="1" s="1"/>
  <c r="E8466" i="1" a="1"/>
  <c r="E8466" i="1" s="1"/>
  <c r="E8467" i="1" a="1"/>
  <c r="E8467" i="1"/>
  <c r="E8468" i="1" a="1"/>
  <c r="E8468" i="1"/>
  <c r="E8469" i="1" a="1"/>
  <c r="E8469" i="1" s="1"/>
  <c r="E8470" i="1" a="1"/>
  <c r="E8470" i="1" s="1"/>
  <c r="E8471" i="1" a="1"/>
  <c r="E8471" i="1"/>
  <c r="E8472" i="1" a="1"/>
  <c r="E8472" i="1"/>
  <c r="E8473" i="1" a="1"/>
  <c r="E8473" i="1" s="1"/>
  <c r="E8474" i="1" a="1"/>
  <c r="E8474" i="1" s="1"/>
  <c r="E8475" i="1" a="1"/>
  <c r="E8475" i="1"/>
  <c r="E8476" i="1" a="1"/>
  <c r="E8476" i="1"/>
  <c r="E8477" i="1" a="1"/>
  <c r="E8477" i="1"/>
  <c r="E8478" i="1" a="1"/>
  <c r="E8478" i="1" s="1"/>
  <c r="E8479" i="1" a="1"/>
  <c r="E8479" i="1" s="1"/>
  <c r="E8480" i="1" a="1"/>
  <c r="E8480" i="1"/>
  <c r="E8481" i="1" a="1"/>
  <c r="E8481" i="1" s="1"/>
  <c r="E8482" i="1" a="1"/>
  <c r="E8482" i="1" s="1"/>
  <c r="E8483" i="1" a="1"/>
  <c r="E8483" i="1"/>
  <c r="E8484" i="1" a="1"/>
  <c r="E8484" i="1"/>
  <c r="E8485" i="1" a="1"/>
  <c r="E8485" i="1"/>
  <c r="E8486" i="1" a="1"/>
  <c r="E8486" i="1"/>
  <c r="E8487" i="1" a="1"/>
  <c r="E8487" i="1" s="1"/>
  <c r="E8488" i="1" a="1"/>
  <c r="E8488" i="1" s="1"/>
  <c r="E8489" i="1" a="1"/>
  <c r="E8489" i="1" s="1"/>
  <c r="E8490" i="1" a="1"/>
  <c r="E8490" i="1" s="1"/>
  <c r="E8491" i="1" a="1"/>
  <c r="E8491" i="1"/>
  <c r="E8493" i="1" a="1"/>
  <c r="E8493" i="1"/>
  <c r="E8494" i="1" a="1"/>
  <c r="E8494" i="1"/>
  <c r="E8495" i="1" a="1"/>
  <c r="E8495" i="1"/>
  <c r="E8496" i="1" a="1"/>
  <c r="E8496" i="1"/>
  <c r="E8497" i="1" a="1"/>
  <c r="E8497" i="1" s="1"/>
  <c r="E8498" i="1" a="1"/>
  <c r="E8498" i="1" s="1"/>
  <c r="E8499" i="1" a="1"/>
  <c r="E8499" i="1" s="1"/>
  <c r="E8500" i="1" a="1"/>
  <c r="E8500" i="1"/>
  <c r="E8501" i="1" a="1"/>
  <c r="E8501" i="1"/>
  <c r="E8502" i="1" a="1"/>
  <c r="E8502" i="1"/>
  <c r="E8503" i="1" a="1"/>
  <c r="E8503" i="1"/>
  <c r="E8504" i="1" a="1"/>
  <c r="E8504" i="1"/>
  <c r="E8505" i="1" a="1"/>
  <c r="E8505" i="1"/>
  <c r="E8506" i="1" a="1"/>
  <c r="E8506" i="1" s="1"/>
  <c r="E8507" i="1" a="1"/>
  <c r="E8507" i="1" s="1"/>
  <c r="E8508" i="1" a="1"/>
  <c r="E8508" i="1" s="1"/>
  <c r="E8509" i="1" a="1"/>
  <c r="E8509" i="1"/>
  <c r="E8510" i="1" a="1"/>
  <c r="E8510" i="1"/>
  <c r="E8511" i="1" a="1"/>
  <c r="E8511" i="1"/>
  <c r="E8512" i="1" a="1"/>
  <c r="E8512" i="1"/>
  <c r="E8513" i="1" a="1"/>
  <c r="E8513" i="1"/>
  <c r="E8514" i="1" a="1"/>
  <c r="E8514" i="1" s="1"/>
  <c r="E8515" i="1" a="1"/>
  <c r="E8515" i="1" s="1"/>
  <c r="E8516" i="1" a="1"/>
  <c r="E8516" i="1" s="1"/>
  <c r="E8517" i="1" a="1"/>
  <c r="E8517" i="1" s="1"/>
  <c r="E8518" i="1" a="1"/>
  <c r="E8518" i="1"/>
  <c r="E8519" i="1" a="1"/>
  <c r="E8519" i="1"/>
  <c r="E8520" i="1" a="1"/>
  <c r="E8520" i="1"/>
  <c r="E8521" i="1" a="1"/>
  <c r="E8521" i="1"/>
  <c r="E8522" i="1" a="1"/>
  <c r="E8522" i="1" s="1"/>
  <c r="E8523" i="1" a="1"/>
  <c r="E8523" i="1" s="1"/>
  <c r="E8524" i="1" a="1"/>
  <c r="E8524" i="1"/>
  <c r="E8526" i="1" a="1"/>
  <c r="E8526" i="1" s="1"/>
  <c r="E8527" i="1" a="1"/>
  <c r="E8527" i="1" s="1"/>
  <c r="E8528" i="1" a="1"/>
  <c r="E8528" i="1"/>
  <c r="E8529" i="1" a="1"/>
  <c r="E8529" i="1"/>
  <c r="E8530" i="1" a="1"/>
  <c r="E8530" i="1"/>
  <c r="E8532" i="1" a="1"/>
  <c r="E8532" i="1" s="1"/>
  <c r="E8533" i="1" a="1"/>
  <c r="E8533" i="1" s="1"/>
  <c r="E8534" i="1" a="1"/>
  <c r="E8534" i="1"/>
  <c r="E8536" i="1" a="1"/>
  <c r="E8536" i="1"/>
  <c r="E8537" i="1" a="1"/>
  <c r="E8537" i="1" s="1"/>
  <c r="E8538" i="1" a="1"/>
  <c r="E8538" i="1" s="1"/>
  <c r="E8539" i="1" a="1"/>
  <c r="E8539" i="1"/>
  <c r="E8541" i="1" a="1"/>
  <c r="E8541" i="1"/>
  <c r="E8542" i="1" a="1"/>
  <c r="E8542" i="1" s="1"/>
  <c r="E8543" i="1" a="1"/>
  <c r="E8543" i="1" s="1"/>
  <c r="E8544" i="1" a="1"/>
  <c r="E8544" i="1"/>
  <c r="E8545" i="1" a="1"/>
  <c r="E8545" i="1"/>
  <c r="E8546" i="1" a="1"/>
  <c r="E8546" i="1"/>
  <c r="E8547" i="1" a="1"/>
  <c r="E8547" i="1" s="1"/>
  <c r="E8548" i="1" a="1"/>
  <c r="E8548" i="1" s="1"/>
  <c r="E8549" i="1" a="1"/>
  <c r="E8549" i="1"/>
  <c r="E8551" i="1" a="1"/>
  <c r="E8551" i="1" s="1"/>
  <c r="E8553" i="1" a="1"/>
  <c r="E8553" i="1" s="1"/>
  <c r="E8554" i="1" a="1"/>
  <c r="E8554" i="1"/>
  <c r="E8555" i="1" a="1"/>
  <c r="E8555" i="1"/>
  <c r="E8556" i="1" a="1"/>
  <c r="E8556" i="1"/>
  <c r="E8557" i="1" a="1"/>
  <c r="E8557" i="1"/>
  <c r="E8558" i="1" a="1"/>
  <c r="E8558" i="1" s="1"/>
  <c r="E8559" i="1" a="1"/>
  <c r="E8559" i="1" s="1"/>
  <c r="E8560" i="1" a="1"/>
  <c r="E8560" i="1" s="1"/>
  <c r="E8561" i="1" a="1"/>
  <c r="E8561" i="1" s="1"/>
  <c r="E8562" i="1" a="1"/>
  <c r="E8562" i="1"/>
  <c r="E8563" i="1" a="1"/>
  <c r="E8563" i="1"/>
  <c r="E8564" i="1" a="1"/>
  <c r="E8564" i="1"/>
  <c r="E8565" i="1" a="1"/>
  <c r="E8565" i="1"/>
  <c r="E8566" i="1" a="1"/>
  <c r="E8566" i="1"/>
  <c r="E8567" i="1" a="1"/>
  <c r="E8567" i="1" s="1"/>
  <c r="E8568" i="1" a="1"/>
  <c r="E8568" i="1" s="1"/>
  <c r="E8569" i="1" a="1"/>
  <c r="E8569" i="1" s="1"/>
  <c r="E8570" i="1" a="1"/>
  <c r="E8570" i="1"/>
  <c r="E8571" i="1" a="1"/>
  <c r="E8571" i="1"/>
  <c r="E8572" i="1" a="1"/>
  <c r="E8572" i="1"/>
  <c r="E8573" i="1" a="1"/>
  <c r="E8573" i="1"/>
  <c r="E8574" i="1" a="1"/>
  <c r="E8574" i="1"/>
  <c r="E8575" i="1" a="1"/>
  <c r="E8575" i="1"/>
  <c r="E8576" i="1" a="1"/>
  <c r="E8576" i="1" s="1"/>
  <c r="E8578" i="1" a="1"/>
  <c r="E8578" i="1" s="1"/>
  <c r="E8579" i="1" a="1"/>
  <c r="E8579" i="1" s="1"/>
  <c r="E8580" i="1" a="1"/>
  <c r="E8580" i="1"/>
  <c r="E8581" i="1" a="1"/>
  <c r="E8581" i="1"/>
  <c r="E8582" i="1" a="1"/>
  <c r="E8582" i="1"/>
  <c r="E8583" i="1" a="1"/>
  <c r="E8583" i="1"/>
  <c r="E8584" i="1" a="1"/>
  <c r="E8584" i="1"/>
  <c r="E8586" i="1" a="1"/>
  <c r="E8586" i="1" s="1"/>
  <c r="E8587" i="1" a="1"/>
  <c r="E8587" i="1" s="1"/>
  <c r="E8588" i="1" a="1"/>
  <c r="E8588" i="1" s="1"/>
  <c r="E8589" i="1" a="1"/>
  <c r="E8589" i="1" s="1"/>
  <c r="E8593" i="1" a="1"/>
  <c r="E8593" i="1"/>
  <c r="E8594" i="1" a="1"/>
  <c r="E8594" i="1"/>
  <c r="E8595" i="1" a="1"/>
  <c r="E8595" i="1"/>
  <c r="E8596" i="1" a="1"/>
  <c r="E8596" i="1"/>
  <c r="E8599" i="1" a="1"/>
  <c r="E8599" i="1" s="1"/>
  <c r="E8600" i="1" a="1"/>
  <c r="E8600" i="1" s="1"/>
  <c r="E8602" i="1" a="1"/>
  <c r="E8602" i="1"/>
  <c r="E8604" i="1" a="1"/>
  <c r="E8604" i="1" s="1"/>
  <c r="E8605" i="1" a="1"/>
  <c r="E8605" i="1" s="1"/>
  <c r="E8607" i="1" a="1"/>
  <c r="E8607" i="1"/>
  <c r="E8608" i="1" a="1"/>
  <c r="E8608" i="1"/>
  <c r="E8609" i="1" a="1"/>
  <c r="E8609" i="1"/>
  <c r="E8610" i="1" a="1"/>
  <c r="E8610" i="1" s="1"/>
  <c r="E8611" i="1" a="1"/>
  <c r="E8611" i="1" s="1"/>
  <c r="E8613" i="1" a="1"/>
  <c r="E8613" i="1"/>
  <c r="E8614" i="1" a="1"/>
  <c r="E8614" i="1"/>
  <c r="E8615" i="1" a="1"/>
  <c r="E8615" i="1" s="1"/>
  <c r="E8616" i="1" a="1"/>
  <c r="E8616" i="1" s="1"/>
  <c r="E8617" i="1" a="1"/>
  <c r="E8617" i="1"/>
  <c r="E8618" i="1" a="1"/>
  <c r="E8618" i="1"/>
  <c r="E8619" i="1" a="1"/>
  <c r="E8619" i="1" s="1"/>
  <c r="E8621" i="1" a="1"/>
  <c r="E8621" i="1" s="1"/>
  <c r="E8622" i="1" a="1"/>
  <c r="E8622" i="1"/>
  <c r="E8623" i="1" a="1"/>
  <c r="E8623" i="1"/>
  <c r="E8624" i="1" a="1"/>
  <c r="E8624" i="1"/>
  <c r="E8625" i="1" a="1"/>
  <c r="E8625" i="1" s="1"/>
  <c r="E8626" i="1" a="1"/>
  <c r="E8626" i="1" s="1"/>
  <c r="E8627" i="1" a="1"/>
  <c r="E8627" i="1"/>
  <c r="E8628" i="1" a="1"/>
  <c r="E8628" i="1" s="1"/>
  <c r="E8629" i="1" a="1"/>
  <c r="E8629" i="1" s="1"/>
  <c r="E8630" i="1" a="1"/>
  <c r="E8630" i="1"/>
  <c r="E8631" i="1" a="1"/>
  <c r="E8631" i="1"/>
  <c r="E8632" i="1" a="1"/>
  <c r="E8632" i="1"/>
  <c r="E8634" i="1" a="1"/>
  <c r="E8634" i="1"/>
  <c r="E8635" i="1" a="1"/>
  <c r="E8635" i="1" s="1"/>
  <c r="E8636" i="1" a="1"/>
  <c r="E8636" i="1" s="1"/>
  <c r="E8637" i="1" a="1"/>
  <c r="E8637" i="1" s="1"/>
  <c r="E8638" i="1" a="1"/>
  <c r="E8638" i="1" s="1"/>
  <c r="E8639" i="1" a="1"/>
  <c r="E8639" i="1"/>
  <c r="E8640" i="1" a="1"/>
  <c r="E8640" i="1"/>
  <c r="E8641" i="1" a="1"/>
  <c r="E8641" i="1"/>
  <c r="E8642" i="1" a="1"/>
  <c r="E8642" i="1"/>
  <c r="E8643" i="1" a="1"/>
  <c r="E8643" i="1"/>
  <c r="E8644" i="1" a="1"/>
  <c r="E8644" i="1" s="1"/>
  <c r="E8645" i="1" a="1"/>
  <c r="E8645" i="1" s="1"/>
  <c r="E8646" i="1" a="1"/>
  <c r="E8646" i="1" s="1"/>
  <c r="E8647" i="1" a="1"/>
  <c r="E8647" i="1"/>
  <c r="E8648" i="1" a="1"/>
  <c r="E8648" i="1"/>
  <c r="E8649" i="1" a="1"/>
  <c r="E8649" i="1"/>
  <c r="E8650" i="1" a="1"/>
  <c r="E8650" i="1"/>
  <c r="E8652" i="1" a="1"/>
  <c r="E8652" i="1"/>
  <c r="E8653" i="1" a="1"/>
  <c r="E8653" i="1"/>
  <c r="E8654" i="1" a="1"/>
  <c r="E8654" i="1" s="1"/>
  <c r="E8655" i="1" a="1"/>
  <c r="E8655" i="1" s="1"/>
  <c r="E8656" i="1" a="1"/>
  <c r="E8656" i="1" s="1"/>
  <c r="E8657" i="1" a="1"/>
  <c r="E8657" i="1"/>
  <c r="E8658" i="1" a="1"/>
  <c r="E8658" i="1"/>
  <c r="E8659" i="1" a="1"/>
  <c r="E8659" i="1"/>
  <c r="E8661" i="1" a="1"/>
  <c r="E8661" i="1"/>
  <c r="E8662" i="1" a="1"/>
  <c r="E8662" i="1"/>
  <c r="E8663" i="1" a="1"/>
  <c r="E8663" i="1" s="1"/>
  <c r="E8664" i="1" a="1"/>
  <c r="E8664" i="1" s="1"/>
  <c r="E8665" i="1" a="1"/>
  <c r="E8665" i="1" s="1"/>
  <c r="E8666" i="1" a="1"/>
  <c r="E8666" i="1" s="1"/>
  <c r="E8667" i="1" a="1"/>
  <c r="E8667" i="1"/>
  <c r="K8667" i="1" a="1"/>
  <c r="K8667" i="1"/>
  <c r="E8668" i="1" a="1"/>
  <c r="E8668" i="1"/>
  <c r="E8669" i="1" a="1"/>
  <c r="E8669" i="1"/>
  <c r="E8670" i="1" a="1"/>
  <c r="E8670" i="1" s="1"/>
  <c r="E8671" i="1" a="1"/>
  <c r="E8671" i="1" s="1"/>
  <c r="E8672" i="1" a="1"/>
  <c r="E8672" i="1"/>
  <c r="E8673" i="1" a="1"/>
  <c r="E8673" i="1" s="1"/>
  <c r="E8674" i="1" a="1"/>
  <c r="E8674" i="1" s="1"/>
  <c r="E8675" i="1" a="1"/>
  <c r="E8675" i="1"/>
  <c r="E8676" i="1" a="1"/>
  <c r="E8676" i="1"/>
  <c r="E8677" i="1" a="1"/>
  <c r="E8677" i="1"/>
  <c r="E8678" i="1" a="1"/>
  <c r="E8678" i="1" s="1"/>
  <c r="E8679" i="1" a="1"/>
  <c r="E8679" i="1" s="1"/>
  <c r="E8680" i="1" a="1"/>
  <c r="E8680" i="1"/>
  <c r="E8681" i="1" a="1"/>
  <c r="E8681" i="1"/>
  <c r="E8682" i="1" a="1"/>
  <c r="E8682" i="1" s="1"/>
  <c r="E8683" i="1" a="1"/>
  <c r="E8683" i="1" s="1"/>
  <c r="E8684" i="1" a="1"/>
  <c r="E8684" i="1"/>
  <c r="E8685" i="1" a="1"/>
  <c r="E8685" i="1"/>
  <c r="E8686" i="1" a="1"/>
  <c r="E8686" i="1" s="1"/>
  <c r="E8687" i="1" a="1"/>
  <c r="E8687" i="1" s="1"/>
  <c r="E8688" i="1" a="1"/>
  <c r="E8688" i="1"/>
  <c r="E8689" i="1" a="1"/>
  <c r="E8689" i="1"/>
  <c r="E8690" i="1" a="1"/>
  <c r="E8690" i="1"/>
  <c r="E8694" i="1" a="1"/>
  <c r="E8694" i="1" s="1"/>
  <c r="E8695" i="1" a="1"/>
  <c r="E8695" i="1" s="1"/>
  <c r="E8696" i="1" a="1"/>
  <c r="E8696" i="1"/>
  <c r="E8697" i="1" a="1"/>
  <c r="E8697" i="1" s="1"/>
  <c r="E8698" i="1" a="1"/>
  <c r="E8698" i="1" s="1"/>
  <c r="E8699" i="1" a="1"/>
  <c r="E8699" i="1"/>
  <c r="E8700" i="1" a="1"/>
  <c r="E8700" i="1"/>
  <c r="E8701" i="1" a="1"/>
  <c r="E8701" i="1"/>
  <c r="E8702" i="1" a="1"/>
  <c r="E8702" i="1"/>
  <c r="E8704" i="1" a="1"/>
  <c r="E8704" i="1" s="1"/>
  <c r="E8705" i="1" a="1"/>
  <c r="E8705" i="1" s="1"/>
  <c r="E8706" i="1" a="1"/>
  <c r="E8706" i="1" s="1"/>
  <c r="E8707" i="1" a="1"/>
  <c r="E8707" i="1" s="1"/>
  <c r="E8708" i="1" a="1"/>
  <c r="E8708" i="1"/>
  <c r="E8709" i="1" a="1"/>
  <c r="E8709" i="1"/>
  <c r="E8710" i="1" a="1"/>
  <c r="E8710" i="1"/>
  <c r="E8711" i="1" a="1"/>
  <c r="E8711" i="1"/>
  <c r="E8712" i="1" a="1"/>
  <c r="E8712" i="1"/>
  <c r="E8713" i="1" a="1"/>
  <c r="E8713" i="1" s="1"/>
  <c r="E8714" i="1" a="1"/>
  <c r="E8714" i="1" s="1"/>
  <c r="E8717" i="1" a="1"/>
  <c r="E8717" i="1" s="1"/>
  <c r="E8718" i="1" a="1"/>
  <c r="E8718" i="1"/>
  <c r="E8719" i="1" a="1"/>
  <c r="E8719" i="1"/>
  <c r="E8720" i="1" a="1"/>
  <c r="E8720" i="1"/>
  <c r="E8721" i="1" a="1"/>
  <c r="E8721" i="1"/>
  <c r="E8722" i="1" a="1"/>
  <c r="E8722" i="1"/>
  <c r="E8723" i="1" a="1"/>
  <c r="E8723" i="1"/>
  <c r="E8724" i="1" a="1"/>
  <c r="E8724" i="1" s="1"/>
  <c r="E8725" i="1" a="1"/>
  <c r="E8725" i="1" s="1"/>
  <c r="E8726" i="1" a="1"/>
  <c r="E8726" i="1" s="1"/>
  <c r="E8727" i="1" a="1"/>
  <c r="E8727" i="1"/>
  <c r="E8728" i="1" a="1"/>
  <c r="E8728" i="1"/>
  <c r="E8729" i="1" a="1"/>
  <c r="E8729" i="1"/>
  <c r="E8731" i="1" a="1"/>
  <c r="E8731" i="1"/>
  <c r="E8732" i="1" a="1"/>
  <c r="E8732" i="1"/>
  <c r="E8733" i="1" a="1"/>
  <c r="E8733" i="1" s="1"/>
  <c r="E8734" i="1" a="1"/>
  <c r="E8734" i="1" s="1"/>
  <c r="E8736" i="1" a="1"/>
  <c r="E8736" i="1" s="1"/>
  <c r="E8737" i="1" a="1"/>
  <c r="E8737" i="1" s="1"/>
  <c r="E8738" i="1" a="1"/>
  <c r="E8738" i="1"/>
  <c r="E8739" i="1" a="1"/>
  <c r="E8739" i="1"/>
  <c r="E8740" i="1" a="1"/>
  <c r="E8740" i="1"/>
  <c r="E8741" i="1" a="1"/>
  <c r="E8741" i="1"/>
  <c r="E8742" i="1" a="1"/>
  <c r="E8742" i="1" s="1"/>
  <c r="E8743" i="1" a="1"/>
  <c r="E8743" i="1" s="1"/>
  <c r="E8745" i="1" a="1"/>
  <c r="E8745" i="1"/>
  <c r="E8746" i="1" a="1"/>
  <c r="E8746" i="1" s="1"/>
  <c r="E8748" i="1" a="1"/>
  <c r="E8748" i="1" s="1"/>
  <c r="K8748" i="1" a="1"/>
  <c r="K8748" i="1"/>
  <c r="E8749" i="1" a="1"/>
  <c r="E8749" i="1"/>
  <c r="E8750" i="1" a="1"/>
  <c r="E8750" i="1"/>
  <c r="E8751" i="1" a="1"/>
  <c r="E8751" i="1" s="1"/>
  <c r="E8752" i="1" a="1"/>
  <c r="E8752" i="1" s="1"/>
  <c r="E8753" i="1" a="1"/>
  <c r="E8753" i="1"/>
  <c r="E8754" i="1" a="1"/>
  <c r="E8754" i="1"/>
  <c r="E8755" i="1" a="1"/>
  <c r="E8755" i="1" s="1"/>
  <c r="E8756" i="1" a="1"/>
  <c r="E8756" i="1" s="1"/>
  <c r="E8757" i="1" a="1"/>
  <c r="E8757" i="1"/>
  <c r="E8758" i="1" a="1"/>
  <c r="E8758" i="1"/>
  <c r="E8759" i="1" a="1"/>
  <c r="E8759" i="1" s="1"/>
  <c r="E8760" i="1" a="1"/>
  <c r="E8760" i="1" s="1"/>
  <c r="E8761" i="1" a="1"/>
  <c r="E8761" i="1"/>
  <c r="E8762" i="1" a="1"/>
  <c r="E8762" i="1"/>
  <c r="E8763" i="1" a="1"/>
  <c r="E8763" i="1"/>
  <c r="E8764" i="1" a="1"/>
  <c r="E8764" i="1" s="1"/>
  <c r="E8766" i="1" a="1"/>
  <c r="E8766" i="1" s="1"/>
  <c r="E8767" i="1" a="1"/>
  <c r="E8767" i="1"/>
  <c r="E8768" i="1" a="1"/>
  <c r="E8768" i="1" s="1"/>
  <c r="E8769" i="1" a="1"/>
  <c r="E8769" i="1" s="1"/>
  <c r="E8770" i="1" a="1"/>
  <c r="E8770" i="1"/>
  <c r="E8771" i="1" a="1"/>
  <c r="E8771" i="1"/>
  <c r="E8772" i="1" a="1"/>
  <c r="E8772" i="1"/>
  <c r="E8773" i="1" a="1"/>
  <c r="E8773" i="1"/>
  <c r="E8774" i="1" a="1"/>
  <c r="E8774" i="1" s="1"/>
  <c r="E8775" i="1" a="1"/>
  <c r="E8775" i="1" s="1"/>
  <c r="E8776" i="1" a="1"/>
  <c r="E8776" i="1" s="1"/>
  <c r="E8777" i="1" a="1"/>
  <c r="E8777" i="1" s="1"/>
  <c r="E8778" i="1" a="1"/>
  <c r="E8778" i="1"/>
  <c r="E8779" i="1" a="1"/>
  <c r="E8779" i="1"/>
  <c r="E8780" i="1" a="1"/>
  <c r="E8780" i="1"/>
  <c r="E8781" i="1" a="1"/>
  <c r="E8781" i="1"/>
  <c r="E8782" i="1" a="1"/>
  <c r="E8782" i="1"/>
  <c r="E8783" i="1" a="1"/>
  <c r="E8783" i="1" s="1"/>
  <c r="E8785" i="1" a="1"/>
  <c r="E8785" i="1" s="1"/>
  <c r="E8786" i="1" a="1"/>
  <c r="E8786" i="1" s="1"/>
  <c r="E8787" i="1" a="1"/>
  <c r="E8787" i="1"/>
  <c r="E8788" i="1" a="1"/>
  <c r="E8788" i="1"/>
  <c r="E8789" i="1" a="1"/>
  <c r="E8789" i="1"/>
  <c r="E8790" i="1" a="1"/>
  <c r="E8790" i="1"/>
  <c r="E8791" i="1" a="1"/>
  <c r="E8791" i="1"/>
  <c r="E8792" i="1" a="1"/>
  <c r="E8792" i="1"/>
  <c r="E8793" i="1" a="1"/>
  <c r="E8793" i="1" s="1"/>
  <c r="E8794" i="1" a="1"/>
  <c r="E8794" i="1" s="1"/>
  <c r="E8795" i="1" a="1"/>
  <c r="E8795" i="1" s="1"/>
  <c r="E8796" i="1" a="1"/>
  <c r="E8796" i="1"/>
  <c r="E8797" i="1" a="1"/>
  <c r="E8797" i="1"/>
  <c r="E8798" i="1" a="1"/>
  <c r="E8798" i="1"/>
  <c r="E8799" i="1" a="1"/>
  <c r="E8799" i="1"/>
  <c r="E8800" i="1" a="1"/>
  <c r="E8800" i="1"/>
  <c r="E8801" i="1" a="1"/>
  <c r="E8801" i="1" s="1"/>
  <c r="E8802" i="1" a="1"/>
  <c r="E8802" i="1" s="1"/>
  <c r="E8803" i="1" a="1"/>
  <c r="E8803" i="1" s="1"/>
  <c r="E8805" i="1" a="1"/>
  <c r="E8805" i="1" s="1"/>
  <c r="E8810" i="1" a="1"/>
  <c r="E8810" i="1"/>
  <c r="E8811" i="1" a="1"/>
  <c r="E8811" i="1"/>
  <c r="E8812" i="1" a="1"/>
  <c r="E8812" i="1"/>
  <c r="E8813" i="1" a="1"/>
  <c r="E8813" i="1"/>
  <c r="E8814" i="1" a="1"/>
  <c r="E8814" i="1" s="1"/>
  <c r="E8815" i="1" a="1"/>
  <c r="E8815" i="1" s="1"/>
  <c r="E8817" i="1" a="1"/>
  <c r="E8817" i="1"/>
  <c r="E8818" i="1" a="1"/>
  <c r="E8818" i="1" s="1"/>
  <c r="E8819" i="1" a="1"/>
  <c r="E8819" i="1" s="1"/>
  <c r="E8820" i="1" a="1"/>
  <c r="E8820" i="1"/>
  <c r="E8821" i="1" a="1"/>
  <c r="E8821" i="1"/>
  <c r="E8822" i="1" a="1"/>
  <c r="E8822" i="1"/>
  <c r="E8823" i="1" a="1"/>
  <c r="E8823" i="1" s="1"/>
  <c r="E8824" i="1" a="1"/>
  <c r="E8824" i="1" s="1"/>
  <c r="E8825" i="1" a="1"/>
  <c r="E8825" i="1"/>
  <c r="E8826" i="1" a="1"/>
  <c r="E8826" i="1"/>
  <c r="E8827" i="1" a="1"/>
  <c r="E8827" i="1" s="1"/>
  <c r="E8828" i="1" a="1"/>
  <c r="E8828" i="1" s="1"/>
  <c r="E8829" i="1" a="1"/>
  <c r="E8829" i="1"/>
  <c r="E8830" i="1" a="1"/>
  <c r="E8830" i="1"/>
  <c r="E8831" i="1" a="1"/>
  <c r="E8831" i="1" s="1"/>
  <c r="E8832" i="1" a="1"/>
  <c r="E8832" i="1" s="1"/>
  <c r="E8835" i="1" a="1"/>
  <c r="E8835" i="1"/>
  <c r="E8836" i="1" a="1"/>
  <c r="E8836" i="1"/>
  <c r="E8837" i="1" a="1"/>
  <c r="E8837" i="1"/>
  <c r="E8838" i="1" a="1"/>
  <c r="E8838" i="1" s="1"/>
  <c r="E8841" i="1" a="1"/>
  <c r="E8841" i="1" s="1"/>
  <c r="E8842" i="1" a="1"/>
  <c r="E8842" i="1"/>
  <c r="E8843" i="1" a="1"/>
  <c r="E8843" i="1" s="1"/>
  <c r="E8844" i="1" a="1"/>
  <c r="E8844" i="1" s="1"/>
  <c r="E8845" i="1" a="1"/>
  <c r="E8845" i="1"/>
  <c r="E8846" i="1" a="1"/>
  <c r="E8846" i="1"/>
  <c r="E8847" i="1" a="1"/>
  <c r="E8847" i="1"/>
  <c r="E8848" i="1" a="1"/>
  <c r="E8848" i="1"/>
  <c r="E8849" i="1" a="1"/>
  <c r="E8849" i="1" s="1"/>
  <c r="E8850" i="1" a="1"/>
  <c r="E8850" i="1" s="1"/>
  <c r="E8851" i="1" a="1"/>
  <c r="E8851" i="1" s="1"/>
  <c r="E8852" i="1" a="1"/>
  <c r="E8852" i="1" s="1"/>
  <c r="E8853" i="1" a="1"/>
  <c r="E8853" i="1"/>
  <c r="E8854" i="1" a="1"/>
  <c r="E8854" i="1"/>
  <c r="E8855" i="1" a="1"/>
  <c r="E8855" i="1"/>
  <c r="E8856" i="1" a="1"/>
  <c r="E8856" i="1"/>
  <c r="E8857" i="1" a="1"/>
  <c r="E8857" i="1"/>
  <c r="E8858" i="1" a="1"/>
  <c r="E8858" i="1" s="1"/>
  <c r="E8859" i="1" a="1"/>
  <c r="E8859" i="1" s="1"/>
  <c r="E8860" i="1" a="1"/>
  <c r="E8860" i="1" s="1"/>
  <c r="E8861" i="1" a="1"/>
  <c r="E8861" i="1"/>
  <c r="E8862" i="1" a="1"/>
  <c r="E8862" i="1"/>
  <c r="E8863" i="1" a="1"/>
  <c r="E8863" i="1"/>
  <c r="E8864" i="1" a="1"/>
  <c r="E8864" i="1"/>
  <c r="E8866" i="1" a="1"/>
  <c r="E8866" i="1"/>
  <c r="E8867" i="1" a="1"/>
  <c r="E8867" i="1"/>
  <c r="E8868" i="1" a="1"/>
  <c r="E8868" i="1" s="1"/>
  <c r="E8869" i="1" a="1"/>
  <c r="E8869" i="1" s="1"/>
  <c r="E8870" i="1" a="1"/>
  <c r="E8870" i="1" s="1"/>
  <c r="E8871" i="1" a="1"/>
  <c r="E8871" i="1"/>
  <c r="E8874" i="1" a="1"/>
  <c r="E8874" i="1"/>
  <c r="E8876" i="1" a="1"/>
  <c r="E8876" i="1"/>
  <c r="E8877" i="1" a="1"/>
  <c r="E8877" i="1"/>
  <c r="E8878" i="1" a="1"/>
  <c r="E8878" i="1"/>
  <c r="E8880" i="1" a="1"/>
  <c r="E8880" i="1" s="1"/>
  <c r="E8881" i="1" a="1"/>
  <c r="E8881" i="1" s="1"/>
  <c r="E8882" i="1" a="1"/>
  <c r="E8882" i="1" s="1"/>
  <c r="E8884" i="1" a="1"/>
  <c r="E8884" i="1" s="1"/>
  <c r="E8885" i="1" a="1"/>
  <c r="E8885" i="1"/>
  <c r="E8886" i="1" a="1"/>
  <c r="E8886" i="1"/>
  <c r="E8887" i="1" a="1"/>
  <c r="E8887" i="1"/>
  <c r="E8889" i="1" a="1"/>
  <c r="E8889" i="1"/>
  <c r="E8891" i="1" a="1"/>
  <c r="E8891" i="1" s="1"/>
  <c r="E8892" i="1" a="1"/>
  <c r="E8892" i="1" s="1"/>
  <c r="E8893" i="1" a="1"/>
  <c r="E8893" i="1"/>
  <c r="E8894" i="1" a="1"/>
  <c r="E8894" i="1" s="1"/>
  <c r="E8895" i="1" a="1"/>
  <c r="E8895" i="1" s="1"/>
  <c r="E8896" i="1" a="1"/>
  <c r="E8896" i="1"/>
  <c r="E8897" i="1" a="1"/>
  <c r="E8897" i="1"/>
  <c r="E8898" i="1" a="1"/>
  <c r="E8898" i="1"/>
  <c r="E8899" i="1" a="1"/>
  <c r="E8899" i="1" s="1"/>
  <c r="E8902" i="1" a="1"/>
  <c r="E8902" i="1" s="1"/>
  <c r="E8903" i="1" a="1"/>
  <c r="E8903" i="1"/>
  <c r="E8904" i="1" a="1"/>
  <c r="E8904" i="1"/>
  <c r="E8905" i="1" a="1"/>
  <c r="E8905" i="1" s="1"/>
  <c r="E8906" i="1" a="1"/>
  <c r="E8906" i="1" s="1"/>
  <c r="E8907" i="1" a="1"/>
  <c r="E8907" i="1"/>
  <c r="E8908" i="1" a="1"/>
  <c r="E8908" i="1"/>
  <c r="E8909" i="1" a="1"/>
  <c r="E8909" i="1" s="1"/>
  <c r="E8910" i="1" a="1"/>
  <c r="E8910" i="1" s="1"/>
  <c r="E8911" i="1" a="1"/>
  <c r="E8911" i="1"/>
  <c r="E8912" i="1" a="1"/>
  <c r="E8912" i="1"/>
  <c r="E8913" i="1" a="1"/>
  <c r="E8913" i="1"/>
  <c r="E8915" i="1" a="1"/>
  <c r="E8915" i="1" s="1"/>
  <c r="E8917" i="1" a="1"/>
  <c r="E8917" i="1" s="1"/>
  <c r="E8919" i="1" a="1"/>
  <c r="E8919" i="1"/>
  <c r="E8920" i="1" a="1"/>
  <c r="E8920" i="1" s="1"/>
  <c r="E8921" i="1" a="1"/>
  <c r="E8921" i="1" s="1"/>
  <c r="E8922" i="1" a="1"/>
  <c r="E8922" i="1"/>
  <c r="E8923" i="1" a="1"/>
  <c r="E8923" i="1"/>
  <c r="E8924" i="1" a="1"/>
  <c r="E8924" i="1"/>
  <c r="E8925" i="1" a="1"/>
  <c r="E8925" i="1"/>
  <c r="E8926" i="1" a="1"/>
  <c r="E8926" i="1" s="1"/>
  <c r="E8928" i="1" a="1"/>
  <c r="E8928" i="1" s="1"/>
  <c r="E8929" i="1" a="1"/>
  <c r="E8929" i="1" s="1"/>
  <c r="E8930" i="1" a="1"/>
  <c r="E8930" i="1" s="1"/>
  <c r="E8931" i="1" a="1"/>
  <c r="E8931" i="1"/>
  <c r="E8932" i="1" a="1"/>
  <c r="E8932" i="1"/>
  <c r="E8933" i="1" a="1"/>
  <c r="E8933" i="1"/>
  <c r="E8934" i="1" a="1"/>
  <c r="E8934" i="1"/>
  <c r="E8935" i="1" a="1"/>
  <c r="E8935" i="1"/>
  <c r="E8936" i="1" a="1"/>
  <c r="E8936" i="1" s="1"/>
  <c r="E8937" i="1" a="1"/>
  <c r="E8937" i="1" s="1"/>
  <c r="E8938" i="1" a="1"/>
  <c r="E8938" i="1" s="1"/>
  <c r="E8940" i="1" a="1"/>
  <c r="E8940" i="1"/>
  <c r="E8941" i="1" a="1"/>
  <c r="E8941" i="1"/>
  <c r="E8942" i="1" a="1"/>
  <c r="E8942" i="1"/>
  <c r="E8943" i="1" a="1"/>
  <c r="E8943" i="1"/>
  <c r="E8944" i="1" a="1"/>
  <c r="E8944" i="1"/>
  <c r="E8945" i="1" a="1"/>
  <c r="E8945" i="1"/>
  <c r="E8946" i="1" a="1"/>
  <c r="E8946" i="1" s="1"/>
  <c r="E8947" i="1" a="1"/>
  <c r="E8947" i="1" s="1"/>
  <c r="E8948" i="1" a="1"/>
  <c r="E8948" i="1" s="1"/>
  <c r="E8951" i="1" a="1"/>
  <c r="E8951" i="1"/>
  <c r="E8952" i="1" a="1"/>
  <c r="E8952" i="1"/>
  <c r="E8953" i="1" a="1"/>
  <c r="E8953" i="1"/>
  <c r="E8954" i="1" a="1"/>
  <c r="E8954" i="1"/>
  <c r="E8955" i="1" a="1"/>
  <c r="E8955" i="1"/>
  <c r="E8956" i="1" a="1"/>
  <c r="E8956" i="1" s="1"/>
  <c r="E8957" i="1" a="1"/>
  <c r="E8957" i="1" s="1"/>
  <c r="E8959" i="1" a="1"/>
  <c r="E8959" i="1" s="1"/>
  <c r="E8960" i="1" a="1"/>
  <c r="E8960" i="1" s="1"/>
  <c r="E8961" i="1" a="1"/>
  <c r="E8961" i="1"/>
  <c r="E8962" i="1" a="1"/>
  <c r="E8962" i="1"/>
  <c r="E8963" i="1" a="1"/>
  <c r="E8963" i="1"/>
  <c r="E8964" i="1" a="1"/>
  <c r="E8964" i="1"/>
  <c r="E8965" i="1" a="1"/>
  <c r="E8965" i="1" s="1"/>
  <c r="E8966" i="1" a="1"/>
  <c r="E8966" i="1" s="1"/>
  <c r="E8967" i="1" a="1"/>
  <c r="E8967" i="1"/>
  <c r="E8968" i="1" a="1"/>
  <c r="E8968" i="1" s="1"/>
  <c r="E8969" i="1" a="1"/>
  <c r="E8969" i="1" s="1"/>
  <c r="E8970" i="1" a="1"/>
  <c r="E8970" i="1"/>
  <c r="E8972" i="1" a="1"/>
  <c r="E8972" i="1"/>
  <c r="E8973" i="1" a="1"/>
  <c r="E8973" i="1"/>
  <c r="E8974" i="1" a="1"/>
  <c r="E8974" i="1" s="1"/>
  <c r="E8975" i="1" a="1"/>
  <c r="E8975" i="1" s="1"/>
  <c r="E8976" i="1" a="1"/>
  <c r="E8976" i="1"/>
  <c r="E8977" i="1" a="1"/>
  <c r="E8977" i="1"/>
  <c r="E8978" i="1" a="1"/>
  <c r="E8978" i="1" s="1"/>
  <c r="E8979" i="1" a="1"/>
  <c r="E8979" i="1" s="1"/>
  <c r="E8980" i="1" a="1"/>
  <c r="E8980" i="1"/>
  <c r="E8981" i="1" a="1"/>
  <c r="E8981" i="1"/>
  <c r="E8982" i="1" a="1"/>
  <c r="E8982" i="1" s="1"/>
  <c r="E8983" i="1" a="1"/>
  <c r="E8983" i="1" s="1"/>
  <c r="E8984" i="1" a="1"/>
  <c r="E8984" i="1"/>
  <c r="E8985" i="1" a="1"/>
  <c r="E8985" i="1"/>
  <c r="E8986" i="1" a="1"/>
  <c r="E8986" i="1"/>
  <c r="E8988" i="1" a="1"/>
  <c r="E8988" i="1" s="1"/>
  <c r="E8989" i="1" a="1"/>
  <c r="E8989" i="1" s="1"/>
  <c r="E8990" i="1" a="1"/>
  <c r="E8990" i="1"/>
  <c r="E8991" i="1" a="1"/>
  <c r="E8991" i="1" s="1"/>
  <c r="E8992" i="1" a="1"/>
  <c r="E8992" i="1" s="1"/>
  <c r="E8993" i="1" a="1"/>
  <c r="E8993" i="1"/>
  <c r="E8994" i="1" a="1"/>
  <c r="E8994" i="1"/>
  <c r="E8995" i="1" a="1"/>
  <c r="E8995" i="1"/>
  <c r="E8997" i="1" a="1"/>
  <c r="E8997" i="1"/>
  <c r="E8998" i="1" a="1"/>
  <c r="E8998" i="1" s="1"/>
  <c r="E8999" i="1" a="1"/>
  <c r="E8999" i="1" s="1"/>
  <c r="E9000" i="1" a="1"/>
  <c r="E9000" i="1" s="1"/>
  <c r="E9001" i="1" a="1"/>
  <c r="E9001" i="1" s="1"/>
  <c r="E9002" i="1" a="1"/>
  <c r="E9002" i="1"/>
  <c r="E9003" i="1" a="1"/>
  <c r="E9003" i="1"/>
  <c r="E9004" i="1" a="1"/>
  <c r="E9004" i="1"/>
  <c r="E9005" i="1" a="1"/>
  <c r="E9005" i="1"/>
  <c r="E9006" i="1" a="1"/>
  <c r="E9006" i="1"/>
  <c r="E9008" i="1" a="1"/>
  <c r="E9008" i="1" s="1"/>
  <c r="E9009" i="1" a="1"/>
  <c r="E9009" i="1" s="1"/>
  <c r="E9010" i="1" a="1"/>
  <c r="E9010" i="1" s="1"/>
  <c r="E9011" i="1" a="1"/>
  <c r="E9011" i="1"/>
  <c r="E9012" i="1" a="1"/>
  <c r="E9012" i="1"/>
  <c r="E9013" i="1" a="1"/>
  <c r="E9013" i="1"/>
  <c r="E9014" i="1" a="1"/>
  <c r="E9014" i="1"/>
  <c r="E9015" i="1" a="1"/>
  <c r="E9015" i="1"/>
  <c r="E9016" i="1" a="1"/>
  <c r="E9016" i="1"/>
  <c r="E9017" i="1" a="1"/>
  <c r="E9017" i="1" s="1"/>
  <c r="E9018" i="1" a="1"/>
  <c r="E9018" i="1" s="1"/>
  <c r="E9019" i="1" a="1"/>
  <c r="E9019" i="1" s="1"/>
  <c r="E9020" i="1" a="1"/>
  <c r="E9020" i="1"/>
  <c r="E9022" i="1" a="1"/>
  <c r="E9022" i="1"/>
  <c r="E9023" i="1" a="1"/>
  <c r="E9023" i="1"/>
  <c r="E9024" i="1" a="1"/>
  <c r="E9024" i="1"/>
  <c r="E9025" i="1" a="1"/>
  <c r="E9025" i="1"/>
  <c r="E9028" i="1" a="1"/>
  <c r="E9028" i="1" s="1"/>
  <c r="E9031" i="1" a="1"/>
  <c r="E9031" i="1" s="1"/>
  <c r="E9033" i="1" a="1"/>
  <c r="E9033" i="1" s="1"/>
  <c r="E9034" i="1" a="1"/>
  <c r="E9034" i="1" s="1"/>
  <c r="E9035" i="1" a="1"/>
  <c r="E9035" i="1"/>
  <c r="E9036" i="1" a="1"/>
  <c r="E9036" i="1"/>
  <c r="E9037" i="1" a="1"/>
  <c r="E9037" i="1"/>
  <c r="E9038" i="1" a="1"/>
  <c r="E9038" i="1"/>
  <c r="E9039" i="1" a="1"/>
  <c r="E9039" i="1" s="1"/>
  <c r="E9040" i="1" a="1"/>
  <c r="E9040" i="1" s="1"/>
  <c r="E9041" i="1" a="1"/>
  <c r="E9041" i="1"/>
  <c r="E9042" i="1" a="1"/>
  <c r="E9042" i="1" s="1"/>
  <c r="E9043" i="1" a="1"/>
  <c r="E9043" i="1" s="1"/>
  <c r="E9044" i="1" a="1"/>
  <c r="E9044" i="1"/>
  <c r="E9046" i="1" a="1"/>
  <c r="E9046" i="1"/>
  <c r="K9046" i="1" a="1"/>
  <c r="K9046" i="1"/>
  <c r="E9047" i="1" a="1"/>
  <c r="E9047" i="1" s="1"/>
  <c r="E9048" i="1" a="1"/>
  <c r="E9048" i="1" s="1"/>
  <c r="E9049" i="1" a="1"/>
  <c r="E9049" i="1"/>
  <c r="E9050" i="1" a="1"/>
  <c r="E9050" i="1"/>
  <c r="E9051" i="1" a="1"/>
  <c r="E9051" i="1" s="1"/>
  <c r="E9052" i="1" a="1"/>
  <c r="E9052" i="1" s="1"/>
  <c r="E9053" i="1" a="1"/>
  <c r="E9053" i="1"/>
  <c r="E9054" i="1" a="1"/>
  <c r="E9054" i="1"/>
  <c r="E9055" i="1" a="1"/>
  <c r="E9055" i="1" s="1"/>
  <c r="E9056" i="1" a="1"/>
  <c r="E9056" i="1" s="1"/>
  <c r="E9058" i="1" a="1"/>
  <c r="E9058" i="1"/>
  <c r="E9059" i="1" a="1"/>
  <c r="E9059" i="1"/>
  <c r="E9061" i="1" a="1"/>
  <c r="E9061" i="1"/>
  <c r="E9062" i="1" a="1"/>
  <c r="E9062" i="1" s="1"/>
  <c r="E9063" i="1" a="1"/>
  <c r="E9063" i="1" s="1"/>
  <c r="E9064" i="1" a="1"/>
  <c r="E9064" i="1"/>
  <c r="E9065" i="1" a="1"/>
  <c r="E9065" i="1" s="1"/>
  <c r="E9066" i="1" a="1"/>
  <c r="E9066" i="1" s="1"/>
  <c r="E9068" i="1" a="1"/>
  <c r="E9068" i="1"/>
  <c r="E9070" i="1" a="1"/>
  <c r="E9070" i="1"/>
  <c r="E9071" i="1" a="1"/>
  <c r="E9071" i="1"/>
  <c r="E9072" i="1" a="1"/>
  <c r="E9072" i="1"/>
  <c r="E9073" i="1" a="1"/>
  <c r="E9073" i="1" s="1"/>
  <c r="E9075" i="1" a="1"/>
  <c r="E9075" i="1" s="1"/>
  <c r="E9076" i="1" a="1"/>
  <c r="E9076" i="1" s="1"/>
  <c r="E9078" i="1" a="1"/>
  <c r="E9078" i="1" s="1"/>
  <c r="E9079" i="1" a="1"/>
  <c r="E9079" i="1"/>
  <c r="E9080" i="1" a="1"/>
  <c r="E9080" i="1"/>
  <c r="E9081" i="1" a="1"/>
  <c r="E9081" i="1"/>
  <c r="E9082" i="1" a="1"/>
  <c r="E9082" i="1"/>
  <c r="E9083" i="1" a="1"/>
  <c r="E9083" i="1"/>
  <c r="E9084" i="1" a="1"/>
  <c r="E9084" i="1" s="1"/>
  <c r="E9085" i="1" a="1"/>
  <c r="E9085" i="1" s="1"/>
  <c r="E9086" i="1" a="1"/>
  <c r="E9086" i="1" s="1"/>
  <c r="E9087" i="1" a="1"/>
  <c r="E9087" i="1"/>
  <c r="E9088" i="1" a="1"/>
  <c r="E9088" i="1"/>
  <c r="E9090" i="1" a="1"/>
  <c r="E9090" i="1"/>
  <c r="E9091" i="1" a="1"/>
  <c r="E9091" i="1"/>
  <c r="E9093" i="1" a="1"/>
  <c r="E9093" i="1"/>
  <c r="E9094" i="1" a="1"/>
  <c r="E9094" i="1"/>
  <c r="E9095" i="1" a="1"/>
  <c r="E9095" i="1" s="1"/>
  <c r="E9102" i="1" a="1"/>
  <c r="E9102" i="1" s="1"/>
  <c r="E9103" i="1" a="1"/>
  <c r="E9103" i="1" s="1"/>
  <c r="E9106" i="1" a="1"/>
  <c r="E9106" i="1"/>
  <c r="E9108" i="1" a="1"/>
  <c r="E9108" i="1"/>
  <c r="E9109" i="1" a="1"/>
  <c r="E9109" i="1"/>
  <c r="E9110" i="1" a="1"/>
  <c r="E9110" i="1"/>
  <c r="E9111" i="1" a="1"/>
  <c r="E9111" i="1"/>
  <c r="E9112" i="1" a="1"/>
  <c r="E9112" i="1" s="1"/>
  <c r="E9113" i="1" a="1"/>
  <c r="E9113" i="1" s="1"/>
  <c r="E9114" i="1" a="1"/>
  <c r="E9114" i="1" s="1"/>
  <c r="E9115" i="1" a="1"/>
  <c r="E9115" i="1" s="1"/>
  <c r="E9116" i="1" a="1"/>
  <c r="E9116" i="1"/>
  <c r="E9117" i="1" a="1"/>
  <c r="E9117" i="1"/>
  <c r="E9118" i="1" a="1"/>
  <c r="E9118" i="1"/>
  <c r="E9119" i="1" a="1"/>
  <c r="E9119" i="1"/>
  <c r="E9120" i="1" a="1"/>
  <c r="E9120" i="1" s="1"/>
  <c r="E9121" i="1" a="1"/>
  <c r="E9121" i="1" s="1"/>
  <c r="E9122" i="1" a="1"/>
  <c r="E9122" i="1"/>
  <c r="E9123" i="1" a="1"/>
  <c r="E9123" i="1" s="1"/>
  <c r="E9124" i="1" a="1"/>
  <c r="E9124" i="1" s="1"/>
  <c r="E9127" i="1" a="1"/>
  <c r="E9127" i="1"/>
  <c r="E9128" i="1" a="1"/>
  <c r="E9128" i="1"/>
  <c r="E9129" i="1" a="1"/>
  <c r="E9129" i="1"/>
  <c r="E9130" i="1" a="1"/>
  <c r="E9130" i="1" s="1"/>
  <c r="E9131" i="1" a="1"/>
  <c r="E9131" i="1" s="1"/>
  <c r="E9132" i="1" a="1"/>
  <c r="E9132" i="1"/>
  <c r="E9133" i="1" a="1"/>
  <c r="E9133" i="1"/>
  <c r="E9134" i="1" a="1"/>
  <c r="E9134" i="1" s="1"/>
  <c r="E9135" i="1" a="1"/>
  <c r="E9135" i="1" s="1"/>
  <c r="E9136" i="1" a="1"/>
  <c r="E9136" i="1"/>
  <c r="E9137" i="1" a="1"/>
  <c r="E9137" i="1"/>
  <c r="E9139" i="1" a="1"/>
  <c r="E9139" i="1" s="1"/>
  <c r="E9140" i="1" a="1"/>
  <c r="E9140" i="1" s="1"/>
  <c r="E9141" i="1" a="1"/>
  <c r="E9141" i="1"/>
  <c r="E9142" i="1" a="1"/>
  <c r="E9142" i="1"/>
  <c r="E9143" i="1" a="1"/>
  <c r="E9143" i="1"/>
  <c r="E9145" i="1" a="1"/>
  <c r="E9145" i="1" s="1"/>
  <c r="E9146" i="1" a="1"/>
  <c r="E9146" i="1" s="1"/>
  <c r="E9148" i="1" a="1"/>
  <c r="E9148" i="1"/>
  <c r="E9150" i="1" a="1"/>
  <c r="E9150" i="1" s="1"/>
  <c r="E9151" i="1" a="1"/>
  <c r="E9151" i="1" s="1"/>
  <c r="E9152" i="1" a="1"/>
  <c r="E9152" i="1"/>
  <c r="E9153" i="1" a="1"/>
  <c r="E9153" i="1"/>
  <c r="E9154" i="1" a="1"/>
  <c r="E9154" i="1"/>
  <c r="E9155" i="1" a="1"/>
  <c r="E9155" i="1"/>
  <c r="E9156" i="1" a="1"/>
  <c r="E9156" i="1" s="1"/>
  <c r="E9157" i="1" a="1"/>
  <c r="E9157" i="1" s="1"/>
  <c r="E9158" i="1" a="1"/>
  <c r="E9158" i="1" s="1"/>
  <c r="E9159" i="1" a="1"/>
  <c r="E9159" i="1" s="1"/>
  <c r="E9160" i="1" a="1"/>
  <c r="E9160" i="1"/>
  <c r="E9161" i="1" a="1"/>
  <c r="E9161" i="1"/>
  <c r="E9162" i="1" a="1"/>
  <c r="E9162" i="1"/>
  <c r="E9163" i="1" a="1"/>
  <c r="E9163" i="1"/>
  <c r="E9164" i="1" a="1"/>
  <c r="E9164" i="1"/>
  <c r="E9165" i="1" a="1"/>
  <c r="E9165" i="1" s="1"/>
  <c r="E9166" i="1" a="1"/>
  <c r="E9166" i="1" s="1"/>
  <c r="E9167" i="1" a="1"/>
  <c r="E9167" i="1" s="1"/>
  <c r="E9168" i="1" a="1"/>
  <c r="E9168" i="1"/>
  <c r="E9169" i="1" a="1"/>
  <c r="E9169" i="1"/>
  <c r="E9170" i="1" a="1"/>
  <c r="E9170" i="1"/>
  <c r="E9171" i="1" a="1"/>
  <c r="E9171" i="1"/>
  <c r="E9172" i="1" a="1"/>
  <c r="E9172" i="1"/>
  <c r="E9173" i="1" a="1"/>
  <c r="E9173" i="1"/>
  <c r="E9174" i="1" a="1"/>
  <c r="E9174" i="1" s="1"/>
  <c r="E9175" i="1" a="1"/>
  <c r="E9175" i="1" s="1"/>
  <c r="E9176" i="1" a="1"/>
  <c r="E9176" i="1" s="1"/>
  <c r="E9177" i="1" a="1"/>
  <c r="E9177" i="1"/>
  <c r="E9178" i="1" a="1"/>
  <c r="E9178" i="1"/>
  <c r="E9179" i="1" a="1"/>
  <c r="E9179" i="1"/>
  <c r="E9180" i="1" a="1"/>
  <c r="E9180" i="1"/>
  <c r="E9182" i="1" a="1"/>
  <c r="E9182" i="1"/>
  <c r="E9183" i="1" a="1"/>
  <c r="E9183" i="1" s="1"/>
  <c r="E9184" i="1" a="1"/>
  <c r="E9184" i="1" s="1"/>
  <c r="E9185" i="1" a="1"/>
  <c r="E9185" i="1" s="1"/>
  <c r="E9186" i="1" a="1"/>
  <c r="E9186" i="1" s="1"/>
  <c r="E9187" i="1" a="1"/>
  <c r="E9187" i="1"/>
  <c r="E9188" i="1" a="1"/>
  <c r="E9188" i="1"/>
  <c r="E9189" i="1" a="1"/>
  <c r="E9189" i="1"/>
  <c r="E9190" i="1" a="1"/>
  <c r="E9190" i="1"/>
  <c r="E9191" i="1" a="1"/>
  <c r="E9191" i="1" s="1"/>
  <c r="E9192" i="1" a="1"/>
  <c r="E9192" i="1" s="1"/>
  <c r="E9193" i="1" a="1"/>
  <c r="E9193" i="1"/>
  <c r="E9194" i="1" a="1"/>
  <c r="E9194" i="1" s="1"/>
  <c r="E9196" i="1" a="1"/>
  <c r="E9196" i="1" s="1"/>
  <c r="E9197" i="1" a="1"/>
  <c r="E9197" i="1"/>
  <c r="E9198" i="1" a="1"/>
  <c r="E9198" i="1"/>
  <c r="E9199" i="1" a="1"/>
  <c r="E9199" i="1"/>
  <c r="E9200" i="1" a="1"/>
  <c r="E9200" i="1" s="1"/>
  <c r="E9202" i="1" a="1"/>
  <c r="E9202" i="1" s="1"/>
  <c r="E9205" i="1" a="1"/>
  <c r="E9205" i="1"/>
  <c r="E9206" i="1" a="1"/>
  <c r="E9206" i="1"/>
  <c r="E9208" i="1" a="1"/>
  <c r="E9208" i="1" s="1"/>
  <c r="E9209" i="1" a="1"/>
  <c r="E9209" i="1" s="1"/>
  <c r="E9210" i="1" a="1"/>
  <c r="E9210" i="1"/>
  <c r="E9211" i="1" a="1"/>
  <c r="E9211" i="1"/>
  <c r="E9212" i="1" a="1"/>
  <c r="E9212" i="1" s="1"/>
  <c r="E9213" i="1" a="1"/>
  <c r="E9213" i="1" s="1"/>
  <c r="E9215" i="1" a="1"/>
  <c r="E9215" i="1"/>
  <c r="E9216" i="1" a="1"/>
  <c r="E9216" i="1"/>
  <c r="E9217" i="1" a="1"/>
  <c r="E9217" i="1"/>
  <c r="E9219" i="1" a="1"/>
  <c r="E9219" i="1" s="1"/>
  <c r="E9220" i="1" a="1"/>
  <c r="E9220" i="1" s="1"/>
  <c r="E9222" i="1" a="1"/>
  <c r="E9222" i="1"/>
  <c r="E9223" i="1" a="1"/>
  <c r="E9223" i="1" s="1"/>
  <c r="E9224" i="1" a="1"/>
  <c r="E9224" i="1" s="1"/>
  <c r="E9226" i="1" a="1"/>
  <c r="E9226" i="1"/>
  <c r="E9227" i="1" a="1"/>
  <c r="E9227" i="1"/>
  <c r="E9228" i="1" a="1"/>
  <c r="E9228" i="1"/>
  <c r="E9229" i="1" a="1"/>
  <c r="E9229" i="1"/>
  <c r="E9230" i="1" a="1"/>
  <c r="E9230" i="1" s="1"/>
  <c r="E9231" i="1" a="1"/>
  <c r="E9231" i="1" s="1"/>
  <c r="E9232" i="1" a="1"/>
  <c r="E9232" i="1" s="1"/>
  <c r="E9233" i="1" a="1"/>
  <c r="E9233" i="1" s="1"/>
  <c r="E9234" i="1" a="1"/>
  <c r="E9234" i="1"/>
  <c r="E9235" i="1" a="1"/>
  <c r="E9235" i="1"/>
  <c r="E9236" i="1" a="1"/>
  <c r="E9236" i="1"/>
  <c r="E9237" i="1" a="1"/>
  <c r="E9237" i="1"/>
  <c r="E9238" i="1" a="1"/>
  <c r="E9238" i="1"/>
  <c r="E9240" i="1" a="1"/>
  <c r="E9240" i="1" s="1"/>
  <c r="E9241" i="1" a="1"/>
  <c r="E9241" i="1" s="1"/>
  <c r="E9243" i="1" a="1"/>
  <c r="E9243" i="1" s="1"/>
  <c r="E9244" i="1" a="1"/>
  <c r="E9244" i="1"/>
  <c r="E9245" i="1" a="1"/>
  <c r="E9245" i="1"/>
  <c r="E9246" i="1" a="1"/>
  <c r="E9246" i="1"/>
  <c r="E9247" i="1" a="1"/>
  <c r="E9247" i="1"/>
  <c r="E9248" i="1" a="1"/>
  <c r="E9248" i="1"/>
  <c r="E9249" i="1" a="1"/>
  <c r="E9249" i="1"/>
  <c r="E9250" i="1" a="1"/>
  <c r="E9250" i="1" s="1"/>
  <c r="E9251" i="1" a="1"/>
  <c r="E9251" i="1" s="1"/>
  <c r="E9252" i="1" a="1"/>
  <c r="E9252" i="1" s="1"/>
  <c r="E9254" i="1" a="1"/>
  <c r="E9254" i="1"/>
  <c r="E9255" i="1" a="1"/>
  <c r="E9255" i="1"/>
  <c r="E9256" i="1" a="1"/>
  <c r="E9256" i="1"/>
  <c r="E9257" i="1" a="1"/>
  <c r="E9257" i="1"/>
  <c r="E9258" i="1" a="1"/>
  <c r="E9258" i="1"/>
  <c r="E9259" i="1" a="1"/>
  <c r="E9259" i="1" s="1"/>
  <c r="E9260" i="1" a="1"/>
  <c r="E9260" i="1" s="1"/>
  <c r="E9261" i="1" a="1"/>
  <c r="E9261" i="1" s="1"/>
  <c r="E9262" i="1" a="1"/>
  <c r="E9262" i="1" s="1"/>
  <c r="E9263" i="1" a="1"/>
  <c r="E9263" i="1"/>
  <c r="E9265" i="1" a="1"/>
  <c r="E9265" i="1"/>
  <c r="E9271" i="1" a="1"/>
  <c r="E9271" i="1"/>
  <c r="E9272" i="1" a="1"/>
  <c r="E9272" i="1"/>
  <c r="E9273" i="1" a="1"/>
  <c r="E9273" i="1" s="1"/>
  <c r="E9274" i="1" a="1"/>
  <c r="E9274" i="1" s="1"/>
  <c r="E9275" i="1" a="1"/>
  <c r="E9275" i="1"/>
  <c r="E9276" i="1" a="1"/>
  <c r="E9276" i="1" s="1"/>
  <c r="E9277" i="1" a="1"/>
  <c r="E9277" i="1" s="1"/>
  <c r="E9278" i="1" a="1"/>
  <c r="E9278" i="1"/>
  <c r="E9279" i="1" a="1"/>
  <c r="E9279" i="1"/>
  <c r="E9280" i="1" a="1"/>
  <c r="E9280" i="1"/>
  <c r="E9281" i="1" a="1"/>
  <c r="E9281" i="1" s="1"/>
  <c r="E9285" i="1" a="1"/>
  <c r="E9285" i="1" s="1"/>
  <c r="E9286" i="1" a="1"/>
  <c r="E9286" i="1"/>
  <c r="E9287" i="1" a="1"/>
  <c r="E9287" i="1"/>
  <c r="E9288" i="1" a="1"/>
  <c r="E9288" i="1" s="1"/>
  <c r="E9290" i="1" a="1"/>
  <c r="E9290" i="1" s="1"/>
  <c r="E9291" i="1" a="1"/>
  <c r="E9291" i="1"/>
  <c r="E9292" i="1" a="1"/>
  <c r="E9292" i="1"/>
  <c r="E9294" i="1" a="1"/>
  <c r="E9294" i="1" s="1"/>
  <c r="E9295" i="1" a="1"/>
  <c r="E9295" i="1" s="1"/>
  <c r="E9296" i="1" a="1"/>
  <c r="E9296" i="1"/>
  <c r="E9297" i="1" a="1"/>
  <c r="E9297" i="1"/>
  <c r="E9299" i="1" a="1"/>
  <c r="E9299" i="1"/>
  <c r="E9300" i="1" a="1"/>
  <c r="E9300" i="1" s="1"/>
  <c r="E9301" i="1" a="1"/>
  <c r="E9301" i="1" s="1"/>
  <c r="E9302" i="1" a="1"/>
  <c r="E9302" i="1"/>
  <c r="E9303" i="1" a="1"/>
  <c r="E9303" i="1" s="1"/>
  <c r="E9304" i="1" a="1"/>
  <c r="E9304" i="1" s="1"/>
  <c r="E9305" i="1" a="1"/>
  <c r="E9305" i="1"/>
  <c r="E9306" i="1" a="1"/>
  <c r="E9306" i="1"/>
  <c r="E9307" i="1" a="1"/>
  <c r="E9307" i="1"/>
  <c r="E9308" i="1" a="1"/>
  <c r="E9308" i="1"/>
  <c r="E9309" i="1" a="1"/>
  <c r="E9309" i="1" s="1"/>
  <c r="E9310" i="1" a="1"/>
  <c r="E9310" i="1" s="1"/>
  <c r="E9311" i="1" a="1"/>
  <c r="E9311" i="1" s="1"/>
  <c r="E9312" i="1" a="1"/>
  <c r="E9312" i="1" s="1"/>
  <c r="E9313" i="1" a="1"/>
  <c r="E9313" i="1"/>
  <c r="E9314" i="1" a="1"/>
  <c r="E9314" i="1"/>
  <c r="E9315" i="1" a="1"/>
  <c r="E9315" i="1"/>
  <c r="E9316" i="1" a="1"/>
  <c r="E9316" i="1"/>
  <c r="E9317" i="1" a="1"/>
  <c r="E9317" i="1"/>
  <c r="E9318" i="1" a="1"/>
  <c r="E9318" i="1" s="1"/>
  <c r="E9319" i="1" a="1"/>
  <c r="E9319" i="1" s="1"/>
  <c r="E9320" i="1" a="1"/>
  <c r="E9320" i="1" s="1"/>
  <c r="E9321" i="1" a="1"/>
  <c r="E9321" i="1"/>
  <c r="E9322" i="1" a="1"/>
  <c r="E9322" i="1"/>
  <c r="E9323" i="1" a="1"/>
  <c r="E9323" i="1"/>
  <c r="E9324" i="1" a="1"/>
  <c r="E9324" i="1"/>
  <c r="E9325" i="1" a="1"/>
  <c r="E9325" i="1"/>
  <c r="E9327" i="1" a="1"/>
  <c r="E9327" i="1"/>
  <c r="E9328" i="1" a="1"/>
  <c r="E9328" i="1" s="1"/>
  <c r="E9329" i="1" a="1"/>
  <c r="E9329" i="1" s="1"/>
  <c r="E9330" i="1" a="1"/>
  <c r="E9330" i="1" s="1"/>
  <c r="E9331" i="1" a="1"/>
  <c r="E9331" i="1"/>
  <c r="E9332" i="1" a="1"/>
  <c r="E9332" i="1"/>
  <c r="E9333" i="1" a="1"/>
  <c r="E9333" i="1"/>
  <c r="E9334" i="1" a="1"/>
  <c r="E9334" i="1"/>
  <c r="E9335" i="1" a="1"/>
  <c r="E9335" i="1"/>
  <c r="E9337" i="1" a="1"/>
  <c r="E9337" i="1" s="1"/>
  <c r="E9338" i="1" a="1"/>
  <c r="E9338" i="1" s="1"/>
  <c r="E9339" i="1" a="1"/>
  <c r="E9339" i="1" s="1"/>
  <c r="E9340" i="1" a="1"/>
  <c r="E9340" i="1" s="1"/>
  <c r="E9341" i="1" a="1"/>
  <c r="E9341" i="1"/>
  <c r="E9342" i="1" a="1"/>
  <c r="E9342" i="1"/>
  <c r="E9343" i="1" a="1"/>
  <c r="E9343" i="1"/>
  <c r="E9344" i="1" a="1"/>
  <c r="E9344" i="1"/>
  <c r="E9346" i="1" a="1"/>
  <c r="E9346" i="1" s="1"/>
  <c r="E9348" i="1" a="1"/>
  <c r="E9348" i="1" s="1"/>
  <c r="E9350" i="1" a="1"/>
  <c r="E9350" i="1"/>
  <c r="E9351" i="1" a="1"/>
  <c r="E9351" i="1" s="1"/>
  <c r="E9352" i="1" a="1"/>
  <c r="E9352" i="1" s="1"/>
  <c r="E9353" i="1" a="1"/>
  <c r="E9353" i="1"/>
  <c r="E9355" i="1" a="1"/>
  <c r="E9355" i="1"/>
  <c r="E9358" i="1" a="1"/>
  <c r="E9358" i="1"/>
  <c r="E9360" i="1" a="1"/>
  <c r="E9360" i="1" s="1"/>
  <c r="E9361" i="1" a="1"/>
  <c r="E9361" i="1" s="1"/>
  <c r="E9362" i="1" a="1"/>
  <c r="E9362" i="1"/>
  <c r="E9363" i="1" a="1"/>
  <c r="E9363" i="1"/>
  <c r="E9364" i="1" a="1"/>
  <c r="E9364" i="1" s="1"/>
  <c r="E9366" i="1" a="1"/>
  <c r="E9366" i="1" s="1"/>
  <c r="E9367" i="1" a="1"/>
  <c r="E9367" i="1"/>
  <c r="E9368" i="1" a="1"/>
  <c r="E9368" i="1"/>
  <c r="E9369" i="1" a="1"/>
  <c r="E9369" i="1" s="1"/>
  <c r="E9371" i="1" a="1"/>
  <c r="E9371" i="1" s="1"/>
  <c r="E9373" i="1" a="1"/>
  <c r="E9373" i="1"/>
  <c r="E9374" i="1" a="1"/>
  <c r="E9374" i="1"/>
  <c r="E9375" i="1" a="1"/>
  <c r="E9375" i="1"/>
  <c r="E9376" i="1" a="1"/>
  <c r="E9376" i="1" s="1"/>
  <c r="E9377" i="1" a="1"/>
  <c r="E9377" i="1" s="1"/>
  <c r="E9378" i="1" a="1"/>
  <c r="E9378" i="1"/>
  <c r="E9379" i="1" a="1"/>
  <c r="E9379" i="1" s="1"/>
  <c r="E9380" i="1" a="1"/>
  <c r="E9380" i="1" s="1"/>
  <c r="E9381" i="1" a="1"/>
  <c r="E9381" i="1"/>
  <c r="E9382" i="1" a="1"/>
  <c r="E9382" i="1"/>
  <c r="E9383" i="1" a="1"/>
  <c r="E9383" i="1"/>
  <c r="E9384" i="1" a="1"/>
  <c r="E9384" i="1"/>
  <c r="E9385" i="1" a="1"/>
  <c r="E9385" i="1" s="1"/>
  <c r="E9386" i="1" a="1"/>
  <c r="E9386" i="1" s="1"/>
  <c r="E9387" i="1" a="1"/>
  <c r="E9387" i="1" s="1"/>
  <c r="E9388" i="1" a="1"/>
  <c r="E9388" i="1" s="1"/>
  <c r="E9389" i="1" a="1"/>
  <c r="E9389" i="1"/>
  <c r="E9390" i="1" a="1"/>
  <c r="E9390" i="1"/>
  <c r="E9391" i="1" a="1"/>
  <c r="E9391" i="1"/>
  <c r="E9398" i="1" a="1"/>
  <c r="E9398" i="1"/>
  <c r="E9400" i="1" a="1"/>
  <c r="E9400" i="1"/>
  <c r="E9401" i="1" a="1"/>
  <c r="E9401" i="1" s="1"/>
  <c r="E9402" i="1" a="1"/>
  <c r="E9402" i="1" s="1"/>
  <c r="E9403" i="1" a="1"/>
  <c r="E9403" i="1" s="1"/>
  <c r="E9404" i="1" a="1"/>
  <c r="E9404" i="1"/>
  <c r="E9405" i="1" a="1"/>
  <c r="E9405" i="1"/>
  <c r="E9406" i="1" a="1"/>
  <c r="E9406" i="1"/>
  <c r="E9407" i="1" a="1"/>
  <c r="E9407" i="1"/>
  <c r="E9408" i="1" a="1"/>
  <c r="E9408" i="1"/>
  <c r="E9409" i="1" a="1"/>
  <c r="E9409" i="1"/>
  <c r="E9410" i="1" a="1"/>
  <c r="E9410" i="1" s="1"/>
  <c r="E9411" i="1" a="1"/>
  <c r="E9411" i="1" s="1"/>
  <c r="E9412" i="1" a="1"/>
  <c r="E9412" i="1" s="1"/>
  <c r="E9413" i="1" a="1"/>
  <c r="E9413" i="1"/>
  <c r="E9414" i="1" a="1"/>
  <c r="E9414" i="1"/>
  <c r="E9415" i="1" a="1"/>
  <c r="E9415" i="1"/>
  <c r="E9416" i="1" a="1"/>
  <c r="E9416" i="1"/>
  <c r="E9417" i="1" a="1"/>
  <c r="E9417" i="1"/>
  <c r="E9418" i="1" a="1"/>
  <c r="E9418" i="1" s="1"/>
  <c r="E9419" i="1" a="1"/>
  <c r="E9419" i="1" s="1"/>
  <c r="E9420" i="1" a="1"/>
  <c r="E9420" i="1" s="1"/>
  <c r="E9421" i="1" a="1"/>
  <c r="E9421" i="1" s="1"/>
  <c r="E9423" i="1" a="1"/>
  <c r="E9423" i="1"/>
  <c r="E9424" i="1" a="1"/>
  <c r="E9424" i="1"/>
  <c r="E9426" i="1" a="1"/>
  <c r="E9426" i="1"/>
  <c r="E9429" i="1" a="1"/>
  <c r="E9429" i="1"/>
  <c r="E9430" i="1" a="1"/>
  <c r="E9430" i="1" s="1"/>
  <c r="E9433" i="1" a="1"/>
  <c r="E9433" i="1" s="1"/>
  <c r="E9435" i="1" a="1"/>
  <c r="E9435" i="1"/>
  <c r="E9437" i="1" a="1"/>
  <c r="E9437" i="1" s="1"/>
  <c r="E9440" i="1" a="1"/>
  <c r="E9440" i="1" s="1"/>
  <c r="E9441" i="1" a="1"/>
  <c r="E9441" i="1"/>
  <c r="E9442" i="1" a="1"/>
  <c r="E9442" i="1"/>
  <c r="E9443" i="1" a="1"/>
  <c r="E9443" i="1"/>
  <c r="E9444" i="1" a="1"/>
  <c r="E9444" i="1" s="1"/>
  <c r="E9445" i="1" a="1"/>
  <c r="E9445" i="1" s="1"/>
  <c r="E9446" i="1" a="1"/>
  <c r="E9446" i="1"/>
  <c r="E9447" i="1" a="1"/>
  <c r="E9447" i="1"/>
  <c r="E9448" i="1" a="1"/>
  <c r="E9448" i="1" s="1"/>
  <c r="E9449" i="1" a="1"/>
  <c r="E9449" i="1" s="1"/>
  <c r="E9450" i="1" a="1"/>
  <c r="E9450" i="1"/>
  <c r="E9451" i="1" a="1"/>
  <c r="E9451" i="1"/>
  <c r="E9452" i="1" a="1"/>
  <c r="E9452" i="1" s="1"/>
  <c r="E9453" i="1" a="1"/>
  <c r="E9453" i="1" s="1"/>
  <c r="E9454" i="1" a="1"/>
  <c r="E9454" i="1"/>
  <c r="E9455" i="1" a="1"/>
  <c r="E9455" i="1"/>
  <c r="E9456" i="1" a="1"/>
  <c r="E9456" i="1"/>
  <c r="E9457" i="1" a="1"/>
  <c r="E9457" i="1" s="1"/>
  <c r="E9458" i="1" a="1"/>
  <c r="E9458" i="1" s="1"/>
  <c r="E9459" i="1" a="1"/>
  <c r="E9459" i="1"/>
  <c r="E9460" i="1" a="1"/>
  <c r="E9460" i="1" s="1"/>
  <c r="E9461" i="1" a="1"/>
  <c r="E9461" i="1" s="1"/>
  <c r="E9462" i="1" a="1"/>
  <c r="E9462" i="1"/>
  <c r="E9463" i="1" a="1"/>
  <c r="E9463" i="1"/>
  <c r="E9464" i="1" a="1"/>
  <c r="E9464" i="1"/>
  <c r="E9465" i="1" a="1"/>
  <c r="E9465" i="1"/>
  <c r="E9466" i="1" a="1"/>
  <c r="E9466" i="1" s="1"/>
  <c r="E9467" i="1" a="1"/>
  <c r="E9467" i="1" s="1"/>
  <c r="E9468" i="1" a="1"/>
  <c r="E9468" i="1" s="1"/>
  <c r="E9469" i="1" a="1"/>
  <c r="E9469" i="1" s="1"/>
  <c r="E9470" i="1" a="1"/>
  <c r="E9470" i="1"/>
  <c r="E9471" i="1" a="1"/>
  <c r="E9471" i="1"/>
  <c r="E9472" i="1" a="1"/>
  <c r="E9472" i="1"/>
  <c r="E9473" i="1" a="1"/>
  <c r="E9473" i="1"/>
  <c r="E9474" i="1" a="1"/>
  <c r="E9474" i="1"/>
  <c r="E9475" i="1" a="1"/>
  <c r="E9475" i="1" s="1"/>
  <c r="E9476" i="1" a="1"/>
  <c r="E9476" i="1" s="1"/>
  <c r="E9477" i="1" a="1"/>
  <c r="E9477" i="1" s="1"/>
  <c r="E9478" i="1" a="1"/>
  <c r="E9478" i="1"/>
  <c r="E9479" i="1" a="1"/>
  <c r="E9479" i="1"/>
  <c r="E9480" i="1" a="1"/>
  <c r="E9480" i="1"/>
  <c r="E9481" i="1" a="1"/>
  <c r="E9481" i="1"/>
  <c r="E9482" i="1" a="1"/>
  <c r="E9482" i="1"/>
  <c r="E9483" i="1" a="1"/>
  <c r="E9483" i="1"/>
  <c r="E9484" i="1" a="1"/>
  <c r="E9484" i="1" s="1"/>
  <c r="E9485" i="1" a="1"/>
  <c r="E9485" i="1" s="1"/>
  <c r="E9486" i="1" a="1"/>
  <c r="E9486" i="1"/>
  <c r="E9487" i="1" a="1"/>
  <c r="E9487" i="1"/>
  <c r="E9488" i="1" a="1"/>
  <c r="E9488" i="1"/>
  <c r="E9489" i="1" a="1"/>
  <c r="E9489" i="1"/>
  <c r="E9490" i="1" a="1"/>
  <c r="E9490" i="1"/>
  <c r="E9491" i="1" a="1"/>
  <c r="E9491" i="1"/>
  <c r="E9493" i="1" a="1"/>
  <c r="E9493" i="1" s="1"/>
  <c r="E9494" i="1" a="1"/>
  <c r="E9494" i="1" s="1"/>
  <c r="E9495" i="1" a="1"/>
  <c r="E9495" i="1" s="1"/>
  <c r="E9496" i="1" a="1"/>
  <c r="E9496" i="1"/>
  <c r="E9497" i="1" a="1"/>
  <c r="E9497" i="1"/>
  <c r="E9499" i="1" a="1"/>
  <c r="E9499" i="1"/>
  <c r="E9500" i="1" a="1"/>
  <c r="E9500" i="1"/>
  <c r="E9501" i="1" a="1"/>
  <c r="E9501" i="1"/>
  <c r="E9502" i="1" a="1"/>
  <c r="E9502" i="1" s="1"/>
  <c r="E9503" i="1" a="1"/>
  <c r="E9503" i="1" s="1"/>
  <c r="E9506" i="1" a="1"/>
  <c r="E9506" i="1"/>
  <c r="E9507" i="1" a="1"/>
  <c r="E9507" i="1" s="1"/>
  <c r="E9508" i="1" a="1"/>
  <c r="E9508" i="1"/>
  <c r="E9509" i="1" a="1"/>
  <c r="E9509" i="1"/>
  <c r="E9510" i="1" a="1"/>
  <c r="E9510" i="1"/>
  <c r="E9511" i="1" a="1"/>
  <c r="E9511" i="1"/>
  <c r="E9512" i="1" a="1"/>
  <c r="E9512" i="1" s="1"/>
  <c r="E9513" i="1" a="1"/>
  <c r="E9513" i="1" s="1"/>
  <c r="E9514" i="1" a="1"/>
  <c r="E9514" i="1"/>
  <c r="E9517" i="1" a="1"/>
  <c r="E9517" i="1"/>
  <c r="E9518" i="1" a="1"/>
  <c r="E9518" i="1" s="1"/>
  <c r="E9520" i="1" a="1"/>
  <c r="E9520" i="1"/>
  <c r="E9521" i="1" a="1"/>
  <c r="E9521" i="1"/>
  <c r="E9522" i="1" a="1"/>
  <c r="E9522" i="1"/>
  <c r="E9525" i="1" a="1"/>
  <c r="E9525" i="1" s="1"/>
  <c r="E9526" i="1" a="1"/>
  <c r="E9526" i="1" s="1"/>
  <c r="E9527" i="1" a="1"/>
  <c r="E9527" i="1"/>
  <c r="E9528" i="1" a="1"/>
  <c r="E9528" i="1"/>
  <c r="E9529" i="1" a="1"/>
  <c r="E9529" i="1"/>
  <c r="E9530" i="1" a="1"/>
  <c r="E9530" i="1" s="1"/>
  <c r="E9531" i="1" a="1"/>
  <c r="E9531" i="1"/>
  <c r="E9532" i="1" a="1"/>
  <c r="E9532" i="1"/>
  <c r="E9533" i="1" a="1"/>
  <c r="E9533" i="1" s="1"/>
  <c r="E9534" i="1" a="1"/>
  <c r="E9534" i="1" s="1"/>
  <c r="E9535" i="1" a="1"/>
  <c r="E9535" i="1"/>
  <c r="E9536" i="1" a="1"/>
  <c r="E9536" i="1"/>
  <c r="E9537" i="1" a="1"/>
  <c r="E9537" i="1"/>
  <c r="E9538" i="1" a="1"/>
  <c r="E9538" i="1"/>
  <c r="E9539" i="1" a="1"/>
  <c r="E9539" i="1" s="1"/>
  <c r="E9540" i="1" a="1"/>
  <c r="E9540" i="1"/>
  <c r="E9541" i="1" a="1"/>
  <c r="E9541" i="1" s="1"/>
  <c r="E9543" i="1" a="1"/>
  <c r="E9543" i="1" s="1"/>
  <c r="E9544" i="1" a="1"/>
  <c r="E9544" i="1"/>
  <c r="E9545" i="1" a="1"/>
  <c r="E9545" i="1"/>
  <c r="E9546" i="1" a="1"/>
  <c r="E9546" i="1"/>
  <c r="E9548" i="1" a="1"/>
  <c r="E9548" i="1"/>
  <c r="E9549" i="1" a="1"/>
  <c r="E9549" i="1"/>
  <c r="E9550" i="1" a="1"/>
  <c r="E9550" i="1" s="1"/>
  <c r="E9551" i="1" a="1"/>
  <c r="E9551" i="1" s="1"/>
  <c r="E9552" i="1" a="1"/>
  <c r="E9552" i="1" s="1"/>
  <c r="E9553" i="1" a="1"/>
  <c r="E9553" i="1"/>
  <c r="E9557" i="1" a="1"/>
  <c r="E9557" i="1"/>
  <c r="E9558" i="1" a="1"/>
  <c r="E9558" i="1"/>
  <c r="E9559" i="1" a="1"/>
  <c r="E9559" i="1"/>
  <c r="E9560" i="1" a="1"/>
  <c r="E9560" i="1"/>
  <c r="E9561" i="1" a="1"/>
  <c r="E9561" i="1"/>
  <c r="E9562" i="1" a="1"/>
  <c r="E9562" i="1" s="1"/>
  <c r="E9563" i="1" a="1"/>
  <c r="E9563" i="1" s="1"/>
  <c r="E9564" i="1" a="1"/>
  <c r="E9564" i="1"/>
  <c r="E9565" i="1" a="1"/>
  <c r="E9565" i="1"/>
  <c r="E9566" i="1" a="1"/>
  <c r="E9566" i="1"/>
  <c r="E9567" i="1" a="1"/>
  <c r="E9567" i="1"/>
  <c r="E9568" i="1" a="1"/>
  <c r="E9568" i="1"/>
  <c r="E9569" i="1" a="1"/>
  <c r="E9569" i="1"/>
  <c r="E9570" i="1" a="1"/>
  <c r="E9570" i="1" s="1"/>
  <c r="E9571" i="1" a="1"/>
  <c r="E9571" i="1" s="1"/>
  <c r="E9572" i="1" a="1"/>
  <c r="E9572" i="1" s="1"/>
  <c r="E9573" i="1" a="1"/>
  <c r="E9573" i="1"/>
  <c r="E9575" i="1" a="1"/>
  <c r="E9575" i="1"/>
  <c r="E9576" i="1" a="1"/>
  <c r="E9576" i="1"/>
  <c r="E9577" i="1" a="1"/>
  <c r="E9577" i="1"/>
  <c r="E9578" i="1" a="1"/>
  <c r="E9578" i="1"/>
  <c r="E9579" i="1" a="1"/>
  <c r="E9579" i="1" s="1"/>
  <c r="E9580" i="1" a="1"/>
  <c r="E9580" i="1" s="1"/>
  <c r="E9582" i="1" a="1"/>
  <c r="E9582" i="1"/>
  <c r="E9583" i="1" a="1"/>
  <c r="E9583" i="1" s="1"/>
  <c r="E9584" i="1" a="1"/>
  <c r="E9584" i="1"/>
  <c r="E9585" i="1" a="1"/>
  <c r="E9585" i="1"/>
  <c r="E9586" i="1" a="1"/>
  <c r="E9586" i="1"/>
  <c r="E9587" i="1" a="1"/>
  <c r="E9587" i="1"/>
  <c r="E9588" i="1" a="1"/>
  <c r="E9588" i="1" s="1"/>
  <c r="E9589" i="1" a="1"/>
  <c r="E9589" i="1" s="1"/>
  <c r="E9590" i="1" a="1"/>
  <c r="E9590" i="1"/>
  <c r="E9591" i="1" a="1"/>
  <c r="E9591" i="1"/>
  <c r="E9592" i="1" a="1"/>
  <c r="E9592" i="1" s="1"/>
  <c r="E9593" i="1" a="1"/>
  <c r="E9593" i="1"/>
  <c r="E9594" i="1" a="1"/>
  <c r="E9594" i="1"/>
  <c r="E9595" i="1" a="1"/>
  <c r="E9595" i="1"/>
  <c r="E9596" i="1" a="1"/>
  <c r="E9596" i="1" s="1"/>
  <c r="E9597" i="1" a="1"/>
  <c r="E9597" i="1" s="1"/>
  <c r="E9598" i="1" a="1"/>
  <c r="E9598" i="1"/>
  <c r="E9599" i="1" a="1"/>
  <c r="E9599" i="1"/>
  <c r="E9600" i="1" a="1"/>
  <c r="E9600" i="1"/>
  <c r="E9601" i="1" a="1"/>
  <c r="E9601" i="1" s="1"/>
  <c r="E9602" i="1" a="1"/>
  <c r="E9602" i="1"/>
  <c r="E9603" i="1" a="1"/>
  <c r="E9603" i="1"/>
  <c r="E9604" i="1" a="1"/>
  <c r="E9604" i="1" s="1"/>
  <c r="E9605" i="1" a="1"/>
  <c r="E9605" i="1" s="1"/>
  <c r="E9606" i="1" a="1"/>
  <c r="E9606" i="1"/>
  <c r="E9607" i="1" a="1"/>
  <c r="E9607" i="1"/>
  <c r="E9608" i="1" a="1"/>
  <c r="E9608" i="1"/>
  <c r="E9609" i="1" a="1"/>
  <c r="E9609" i="1"/>
  <c r="E9610" i="1" a="1"/>
  <c r="E9610" i="1" s="1"/>
  <c r="E9611" i="1" a="1"/>
  <c r="E9611" i="1"/>
  <c r="E9612" i="1" a="1"/>
  <c r="E9612" i="1" s="1"/>
  <c r="E9613" i="1" a="1"/>
  <c r="E9613" i="1" s="1"/>
  <c r="E9614" i="1" a="1"/>
  <c r="E9614" i="1"/>
  <c r="E9615" i="1" a="1"/>
  <c r="E9615" i="1"/>
  <c r="E9616" i="1" a="1"/>
  <c r="E9616" i="1"/>
  <c r="E9617" i="1" a="1"/>
  <c r="E9617" i="1"/>
  <c r="E9618" i="1" a="1"/>
  <c r="E9618" i="1"/>
  <c r="E9619" i="1" a="1"/>
  <c r="E9619" i="1" s="1"/>
  <c r="E9620" i="1" a="1"/>
  <c r="E9620" i="1" s="1"/>
  <c r="E9621" i="1" a="1"/>
  <c r="E9621" i="1" s="1"/>
  <c r="E9622" i="1" a="1"/>
  <c r="E9622" i="1"/>
  <c r="E9623" i="1" a="1"/>
  <c r="E9623" i="1"/>
  <c r="E9624" i="1" a="1"/>
  <c r="E9624" i="1"/>
  <c r="E9625" i="1" a="1"/>
  <c r="E9625" i="1"/>
  <c r="E9626" i="1" a="1"/>
  <c r="E9626" i="1"/>
  <c r="E9627" i="1" a="1"/>
  <c r="E9627" i="1"/>
  <c r="E9628" i="1" a="1"/>
  <c r="E9628" i="1" s="1"/>
  <c r="E9629" i="1" a="1"/>
  <c r="E9629" i="1" s="1"/>
  <c r="E9630" i="1" a="1"/>
  <c r="E9630" i="1"/>
  <c r="E9631" i="1" a="1"/>
  <c r="E9631" i="1"/>
  <c r="E9632" i="1" a="1"/>
  <c r="E9632" i="1"/>
  <c r="E9633" i="1" a="1"/>
  <c r="E9633" i="1"/>
  <c r="E9634" i="1" a="1"/>
  <c r="E9634" i="1"/>
  <c r="E9635" i="1" a="1"/>
  <c r="E9635" i="1"/>
  <c r="E9636" i="1" a="1"/>
  <c r="E9636" i="1" s="1"/>
  <c r="E9638" i="1" a="1"/>
  <c r="E9638" i="1" s="1"/>
  <c r="E9639" i="1" a="1"/>
  <c r="E9639" i="1" s="1"/>
  <c r="E9640" i="1" a="1"/>
  <c r="E9640" i="1"/>
  <c r="E9641" i="1" a="1"/>
  <c r="E9641" i="1"/>
  <c r="E9642" i="1" a="1"/>
  <c r="E9642" i="1"/>
  <c r="E9643" i="1" a="1"/>
  <c r="E9643" i="1"/>
  <c r="E9644" i="1" a="1"/>
  <c r="E9644" i="1"/>
  <c r="E9646" i="1" a="1"/>
  <c r="E9646" i="1" s="1"/>
  <c r="E9647" i="1" a="1"/>
  <c r="E9647" i="1" s="1"/>
  <c r="E9649" i="1" a="1"/>
  <c r="E9649" i="1"/>
  <c r="E9650" i="1" a="1"/>
  <c r="E9650" i="1" s="1"/>
  <c r="E9651" i="1" a="1"/>
  <c r="E9651" i="1"/>
  <c r="E9652" i="1" a="1"/>
  <c r="E9652" i="1"/>
  <c r="E9653" i="1" a="1"/>
  <c r="E9653" i="1"/>
  <c r="E9654" i="1" a="1"/>
  <c r="E9654" i="1"/>
  <c r="E9655" i="1" a="1"/>
  <c r="E9655" i="1" s="1"/>
  <c r="E9656" i="1" a="1"/>
  <c r="E9656" i="1" s="1"/>
  <c r="E9657" i="1" a="1"/>
  <c r="E9657" i="1"/>
  <c r="E9658" i="1" a="1"/>
  <c r="E9658" i="1"/>
  <c r="E9660" i="1" a="1"/>
  <c r="E9660" i="1" s="1"/>
  <c r="E9661" i="1" a="1"/>
  <c r="E9661" i="1"/>
  <c r="E9662" i="1" a="1"/>
  <c r="E9662" i="1"/>
  <c r="E9663" i="1" a="1"/>
  <c r="E9663" i="1"/>
  <c r="E9664" i="1" a="1"/>
  <c r="E9664" i="1" s="1"/>
  <c r="E9665" i="1" a="1"/>
  <c r="E9665" i="1" s="1"/>
  <c r="E9666" i="1" a="1"/>
  <c r="E9666" i="1"/>
  <c r="E9667" i="1" a="1"/>
  <c r="E9667" i="1"/>
  <c r="E9668" i="1" a="1"/>
  <c r="E9668" i="1"/>
  <c r="E9669" i="1" a="1"/>
  <c r="E9669" i="1" s="1"/>
  <c r="E9670" i="1" a="1"/>
  <c r="E9670" i="1"/>
  <c r="E9671" i="1" a="1"/>
  <c r="E9671" i="1"/>
  <c r="E9673" i="1" a="1"/>
  <c r="E9673" i="1" s="1"/>
  <c r="E9674" i="1" a="1"/>
  <c r="E9674" i="1" s="1"/>
  <c r="E9675" i="1" a="1"/>
  <c r="E9675" i="1"/>
  <c r="E9678" i="1" a="1"/>
  <c r="E9678" i="1"/>
  <c r="E9684" i="1" a="1"/>
  <c r="E9684" i="1"/>
  <c r="E9686" i="1" a="1"/>
  <c r="E9686" i="1"/>
  <c r="E9707" i="1" a="1"/>
  <c r="E9707" i="1" s="1"/>
  <c r="E9710" i="1" a="1"/>
  <c r="E9710" i="1"/>
  <c r="E9712" i="1" a="1"/>
  <c r="E9712" i="1" s="1"/>
  <c r="E9713" i="1" a="1"/>
  <c r="E9713" i="1" s="1"/>
  <c r="E9714" i="1" a="1"/>
  <c r="E9714" i="1"/>
  <c r="E9715" i="1" a="1"/>
  <c r="E9715" i="1"/>
  <c r="E9716" i="1" a="1"/>
  <c r="E9716" i="1"/>
  <c r="E9717" i="1" a="1"/>
  <c r="E9717" i="1"/>
  <c r="E9721" i="1" a="1"/>
  <c r="E9721" i="1"/>
  <c r="E9722" i="1" a="1"/>
  <c r="E9722" i="1" s="1"/>
  <c r="E9723" i="1" a="1"/>
  <c r="E9723" i="1" s="1"/>
  <c r="E9724" i="1" a="1"/>
  <c r="E9724" i="1" s="1"/>
  <c r="E9725" i="1" a="1"/>
  <c r="E9725" i="1"/>
  <c r="E9726" i="1" a="1"/>
  <c r="E9726" i="1"/>
  <c r="E9729" i="1" a="1"/>
  <c r="E9729" i="1"/>
  <c r="E9730" i="1" a="1"/>
  <c r="E9730" i="1"/>
  <c r="E9733" i="1" a="1"/>
  <c r="E9733" i="1"/>
  <c r="E9736" i="1" a="1"/>
  <c r="E9736" i="1"/>
  <c r="E9739" i="1" a="1"/>
  <c r="E9739" i="1" s="1"/>
  <c r="E9743" i="1" a="1"/>
  <c r="E9743" i="1" s="1"/>
  <c r="E9744" i="1" a="1"/>
  <c r="E9744" i="1"/>
  <c r="E9765" i="1" a="1"/>
  <c r="E9765" i="1"/>
  <c r="E9785" i="1" a="1"/>
  <c r="E9785" i="1"/>
  <c r="E9796" i="1" a="1"/>
  <c r="E9796" i="1"/>
  <c r="E9806" i="1" a="1"/>
  <c r="E9806" i="1"/>
  <c r="E9814" i="1" a="1"/>
  <c r="E9814" i="1"/>
  <c r="E9827" i="1" a="1"/>
  <c r="E9827" i="1"/>
  <c r="E9882" i="1" a="1"/>
  <c r="E9882" i="1"/>
  <c r="E9883" i="1" a="1"/>
  <c r="E9883" i="1"/>
  <c r="E9884" i="1" a="1"/>
  <c r="E9884" i="1"/>
  <c r="E9886" i="1" a="1"/>
  <c r="E9886" i="1"/>
  <c r="E9887" i="1" a="1"/>
  <c r="E9887" i="1"/>
  <c r="E9888" i="1" a="1"/>
  <c r="E9888" i="1"/>
  <c r="E9890" i="1" a="1"/>
  <c r="E9890" i="1"/>
  <c r="E9891" i="1" a="1"/>
  <c r="E9891" i="1"/>
  <c r="E9892" i="1" a="1"/>
  <c r="E9892" i="1"/>
  <c r="E9893" i="1" a="1"/>
  <c r="E9893" i="1"/>
  <c r="E9895" i="1" a="1"/>
  <c r="E9895" i="1"/>
  <c r="E9896" i="1" a="1"/>
  <c r="E9896" i="1"/>
  <c r="E9897" i="1" a="1"/>
  <c r="E9897" i="1"/>
  <c r="E9900" i="1" a="1"/>
  <c r="E9900" i="1"/>
  <c r="E9901" i="1" a="1"/>
  <c r="E9901" i="1"/>
  <c r="E9902" i="1" a="1"/>
  <c r="E9902" i="1"/>
  <c r="E9903" i="1" a="1"/>
  <c r="E9903" i="1"/>
  <c r="E9904" i="1" a="1"/>
  <c r="E9904" i="1"/>
  <c r="E9905" i="1" a="1"/>
  <c r="E9905" i="1"/>
  <c r="E9906" i="1" a="1"/>
  <c r="E9906" i="1"/>
  <c r="E9907" i="1" a="1"/>
  <c r="E9907" i="1"/>
  <c r="E9908" i="1" a="1"/>
  <c r="E9908" i="1"/>
  <c r="E9909" i="1" a="1"/>
  <c r="E9909" i="1"/>
  <c r="E9911" i="1" a="1"/>
  <c r="E9911" i="1"/>
  <c r="E9912" i="1" a="1"/>
  <c r="E9912" i="1"/>
  <c r="E9913" i="1" a="1"/>
  <c r="E9913" i="1"/>
  <c r="E9914" i="1" a="1"/>
  <c r="E9914" i="1"/>
  <c r="E9915" i="1" a="1"/>
  <c r="E9915" i="1"/>
  <c r="E9916" i="1" a="1"/>
  <c r="E9916" i="1"/>
  <c r="E9917" i="1" a="1"/>
  <c r="E9917" i="1"/>
  <c r="E9919" i="1" a="1"/>
  <c r="E9919" i="1"/>
  <c r="E9920" i="1" a="1"/>
  <c r="E9920" i="1"/>
  <c r="E9921" i="1" a="1"/>
  <c r="E9921" i="1"/>
  <c r="E9922" i="1" a="1"/>
  <c r="E9922" i="1"/>
  <c r="E9923" i="1" a="1"/>
  <c r="E9923" i="1"/>
  <c r="E9924" i="1" a="1"/>
  <c r="E9924" i="1"/>
  <c r="E9925" i="1" a="1"/>
  <c r="E9925" i="1"/>
  <c r="E9926" i="1" a="1"/>
  <c r="E9926" i="1"/>
  <c r="E9927" i="1" a="1"/>
  <c r="E9927" i="1"/>
  <c r="E9928" i="1" a="1"/>
  <c r="E9928" i="1"/>
  <c r="E9929" i="1" a="1"/>
  <c r="E9929" i="1"/>
  <c r="E9930" i="1" a="1"/>
  <c r="E9930" i="1"/>
  <c r="E9931" i="1" a="1"/>
  <c r="E9931" i="1"/>
  <c r="E9932" i="1" a="1"/>
  <c r="E9932" i="1"/>
  <c r="E9933" i="1" a="1"/>
  <c r="E9933" i="1"/>
  <c r="E9934" i="1" a="1"/>
  <c r="E9934" i="1"/>
  <c r="E9936" i="1" a="1"/>
  <c r="E9936" i="1"/>
  <c r="E9937" i="1" a="1"/>
  <c r="E9937" i="1"/>
  <c r="E9938" i="1" a="1"/>
  <c r="E9938" i="1"/>
  <c r="E9941" i="1" a="1"/>
  <c r="E9941" i="1"/>
  <c r="E9942" i="1" a="1"/>
  <c r="E9942" i="1"/>
  <c r="E9944" i="1" a="1"/>
  <c r="E9944" i="1"/>
  <c r="E9945" i="1" a="1"/>
  <c r="E9945" i="1"/>
  <c r="E9946" i="1" a="1"/>
  <c r="E9946" i="1"/>
  <c r="E9947" i="1" a="1"/>
  <c r="E9947" i="1"/>
  <c r="E9948" i="1" a="1"/>
  <c r="E9948" i="1"/>
  <c r="E9949" i="1" a="1"/>
  <c r="E9949" i="1"/>
  <c r="E9950" i="1" a="1"/>
  <c r="E9950" i="1"/>
  <c r="E9951" i="1" a="1"/>
  <c r="E9951" i="1"/>
  <c r="E9952" i="1" a="1"/>
  <c r="E9952" i="1"/>
  <c r="E9953" i="1" a="1"/>
  <c r="E9953" i="1"/>
  <c r="E9954" i="1" a="1"/>
  <c r="E9954" i="1"/>
  <c r="E9955" i="1" a="1"/>
  <c r="E9955" i="1"/>
  <c r="E9956" i="1" a="1"/>
  <c r="E9956" i="1"/>
  <c r="E9957" i="1" a="1"/>
  <c r="E9957" i="1"/>
  <c r="E9958" i="1" a="1"/>
  <c r="E9958" i="1"/>
  <c r="E9959" i="1" a="1"/>
  <c r="E9959" i="1"/>
  <c r="E9960" i="1" a="1"/>
  <c r="E9960" i="1"/>
  <c r="E9961" i="1" a="1"/>
  <c r="E9961" i="1"/>
  <c r="E9962" i="1" a="1"/>
  <c r="E9962" i="1"/>
  <c r="E9963" i="1" a="1"/>
  <c r="E9963" i="1"/>
  <c r="E9964" i="1" a="1"/>
  <c r="E9964" i="1"/>
  <c r="E9965" i="1" a="1"/>
  <c r="E9965" i="1"/>
  <c r="E9966" i="1" a="1"/>
  <c r="E9966" i="1"/>
  <c r="E9967" i="1" a="1"/>
  <c r="E9967" i="1"/>
  <c r="E9968" i="1" a="1"/>
  <c r="E9968" i="1"/>
  <c r="E9969" i="1" a="1"/>
  <c r="E9969" i="1"/>
  <c r="E9970" i="1" a="1"/>
  <c r="E9970" i="1"/>
  <c r="E9971" i="1" a="1"/>
  <c r="E9971" i="1"/>
  <c r="E9972" i="1" a="1"/>
  <c r="E9972" i="1"/>
  <c r="E9973" i="1" a="1"/>
  <c r="E9973" i="1"/>
  <c r="E9974" i="1" a="1"/>
  <c r="E9974" i="1"/>
  <c r="E9975" i="1" a="1"/>
  <c r="E9975" i="1"/>
  <c r="E9976" i="1" a="1"/>
  <c r="E9976" i="1"/>
  <c r="E9977" i="1" a="1"/>
  <c r="E9977" i="1"/>
  <c r="E9979" i="1" a="1"/>
  <c r="E9979" i="1"/>
  <c r="E9980" i="1" a="1"/>
  <c r="E9980" i="1"/>
  <c r="E9981" i="1" a="1"/>
  <c r="E9981" i="1"/>
  <c r="E9982" i="1" a="1"/>
  <c r="E9982" i="1"/>
  <c r="E9984" i="1" a="1"/>
  <c r="E9984" i="1"/>
  <c r="E9988" i="1" a="1"/>
  <c r="E9988" i="1"/>
  <c r="E10022" i="1" a="1"/>
  <c r="E10022" i="1"/>
  <c r="E10023" i="1" a="1"/>
  <c r="E10023" i="1"/>
  <c r="E10024" i="1" a="1"/>
  <c r="E10024" i="1"/>
  <c r="E10026" i="1" a="1"/>
  <c r="E10026" i="1"/>
  <c r="E10027" i="1" a="1"/>
  <c r="E10027" i="1"/>
  <c r="E10029" i="1" a="1"/>
  <c r="E10029" i="1"/>
  <c r="E10030" i="1" a="1"/>
  <c r="E10030" i="1"/>
  <c r="E10031" i="1" a="1"/>
  <c r="E10031" i="1"/>
  <c r="E10032" i="1" a="1"/>
  <c r="E10032" i="1"/>
  <c r="E10033" i="1" a="1"/>
  <c r="E10033" i="1"/>
  <c r="E10034" i="1" a="1"/>
  <c r="E10034" i="1"/>
  <c r="E10035" i="1" a="1"/>
  <c r="E10035" i="1"/>
  <c r="E10036" i="1" a="1"/>
  <c r="E10036" i="1"/>
  <c r="E10037" i="1" a="1"/>
  <c r="E10037" i="1"/>
  <c r="E10038" i="1" a="1"/>
  <c r="E10038" i="1"/>
  <c r="E10052" i="1" a="1"/>
  <c r="E10052" i="1"/>
  <c r="E10053" i="1" a="1"/>
  <c r="E10053" i="1"/>
  <c r="E10055" i="1" a="1"/>
  <c r="E10055" i="1"/>
  <c r="E10059" i="1" a="1"/>
  <c r="E1005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<sst xmlns="http://schemas.openxmlformats.org/spreadsheetml/2006/main" count="133381" uniqueCount="44439">
  <si>
    <t>id</t>
  </si>
  <si>
    <t>nomor_registrasi</t>
  </si>
  <si>
    <t>produk</t>
  </si>
  <si>
    <t>name</t>
  </si>
  <si>
    <t>komposisi</t>
  </si>
  <si>
    <t>price</t>
  </si>
  <si>
    <t>Aturan Pakai</t>
  </si>
  <si>
    <t>Dosis</t>
  </si>
  <si>
    <t>Indikasi Umum</t>
  </si>
  <si>
    <t>Kemasan</t>
  </si>
  <si>
    <t>Kontra Indikasi</t>
  </si>
  <si>
    <t>Perhatian</t>
  </si>
  <si>
    <t>types</t>
  </si>
  <si>
    <t>prepro_komposisi</t>
  </si>
  <si>
    <t>prepro_indications</t>
  </si>
  <si>
    <t>cleaned_names</t>
  </si>
  <si>
    <t>summary</t>
  </si>
  <si>
    <t>word_count</t>
  </si>
  <si>
    <t>max_length</t>
  </si>
  <si>
    <t>TR143677741</t>
  </si>
  <si>
    <t>Obat Tradisional</t>
  </si>
  <si>
    <t>Teenmax 350 ml</t>
  </si>
  <si>
    <t>TEENMAX</t>
  </si>
  <si>
    <t>Rp192.800 - Rp240.000</t>
  </si>
  <si>
    <t>Dus, Botol @ 350 ml</t>
  </si>
  <si>
    <t>teenmax</t>
  </si>
  <si>
    <t xml:space="preserve">teenmax  </t>
  </si>
  <si>
    <t>TR153689541</t>
  </si>
  <si>
    <t>Mixsaga 10 ml</t>
  </si>
  <si>
    <t>MIXSAGA</t>
  </si>
  <si>
    <t>Rp25.000 - Rp33.700</t>
  </si>
  <si>
    <t>Dus, Botol Plastik @ 10 ml</t>
  </si>
  <si>
    <t>mixsaga</t>
  </si>
  <si>
    <t xml:space="preserve">mixsaga  </t>
  </si>
  <si>
    <t>TR143381131</t>
  </si>
  <si>
    <t>Pasopati 15 Kapsul</t>
  </si>
  <si>
    <t>PASOPATI</t>
  </si>
  <si>
    <t>Rp52.300 - Rp84.800</t>
  </si>
  <si>
    <t>kapsul</t>
  </si>
  <si>
    <t>pasopati</t>
  </si>
  <si>
    <t xml:space="preserve">pasopati kapsul </t>
  </si>
  <si>
    <t>GKL2004529817B1</t>
  </si>
  <si>
    <t>Obat</t>
  </si>
  <si>
    <t>Etoricoxib 120 mg 10 Tablet</t>
  </si>
  <si>
    <t>Rp83.200 - Rp97.700</t>
  </si>
  <si>
    <t>Dus, 3 Strip @ 10 Tablet Salut Selaput</t>
  </si>
  <si>
    <t>tablet</t>
  </si>
  <si>
    <t>etoricoxib</t>
  </si>
  <si>
    <t xml:space="preserve">etoricoxib tablet </t>
  </si>
  <si>
    <t>HT152500551</t>
  </si>
  <si>
    <t>Herbacold 4 Tablet</t>
  </si>
  <si>
    <t>HERBACOLD</t>
  </si>
  <si>
    <t>Rp5.300 - Rp11.700</t>
  </si>
  <si>
    <t>Dus, 10 Catch Cover @ 1 Strip @ 4 Tablet</t>
  </si>
  <si>
    <t>herbacold</t>
  </si>
  <si>
    <t xml:space="preserve">herbacold tablet </t>
  </si>
  <si>
    <t>TR182619601</t>
  </si>
  <si>
    <t>Kojima 15 ml 10 Sachet</t>
  </si>
  <si>
    <t>KOJIMA</t>
  </si>
  <si>
    <t>Rp35.600 - Rp39.500</t>
  </si>
  <si>
    <t>Sebelum atau sesudah makan</t>
  </si>
  <si>
    <t>2x satu sendok makan setiap hari (pagi dan sore)</t>
  </si>
  <si>
    <t>Dus, 10 sachet</t>
  </si>
  <si>
    <t>sachet</t>
  </si>
  <si>
    <t>kojima</t>
  </si>
  <si>
    <t xml:space="preserve">kojima sachet </t>
  </si>
  <si>
    <t>TR183314911</t>
  </si>
  <si>
    <t>Levit 30 Kapsul</t>
  </si>
  <si>
    <t>LEVIT</t>
  </si>
  <si>
    <t>Rp117.000 - Rp146.900</t>
  </si>
  <si>
    <t>Botol @ 30 Kapsul</t>
  </si>
  <si>
    <t>levit</t>
  </si>
  <si>
    <t xml:space="preserve">levit kapsul </t>
  </si>
  <si>
    <t>Levit 60 Kapsul</t>
  </si>
  <si>
    <t>Rp256.200 - Rp344.100</t>
  </si>
  <si>
    <t>Botol @ 60 Kapsul</t>
  </si>
  <si>
    <t>TR162593381</t>
  </si>
  <si>
    <t>Lanaprost 80 mg 10 Tablet</t>
  </si>
  <si>
    <t>LANAPROST</t>
  </si>
  <si>
    <t>Rp28.900 - Rp35.200</t>
  </si>
  <si>
    <t>lanaprost</t>
  </si>
  <si>
    <t xml:space="preserve">lanaprost tablet </t>
  </si>
  <si>
    <t>TR132773431</t>
  </si>
  <si>
    <t>Sariaman Gel 6 g</t>
  </si>
  <si>
    <t>SARIAMAN</t>
  </si>
  <si>
    <t>Rp19.900 - Rp23.600</t>
  </si>
  <si>
    <t>Dus, 1 Tube @ 6 gram</t>
  </si>
  <si>
    <t>gel</t>
  </si>
  <si>
    <t>sariaman</t>
  </si>
  <si>
    <t xml:space="preserve">sariaman gel </t>
  </si>
  <si>
    <t>TR023117541</t>
  </si>
  <si>
    <t>Mediabetea 15 Sachet</t>
  </si>
  <si>
    <t>MEDIABETEA</t>
  </si>
  <si>
    <t>Rp146.500 - Rp285.200</t>
  </si>
  <si>
    <t>Dus, 15 Bungkus @ 30 gram</t>
  </si>
  <si>
    <t>mediabetea</t>
  </si>
  <si>
    <t xml:space="preserve">mediabetea sachet </t>
  </si>
  <si>
    <t>TR182310861</t>
  </si>
  <si>
    <t>Molozcap 10 Kapsul</t>
  </si>
  <si>
    <t>MOLOZCAP</t>
  </si>
  <si>
    <t>Rp18.000 - Rp39.600</t>
  </si>
  <si>
    <t>Dus, 12 Amplop @ 1 Blister @ 10 Kapsul</t>
  </si>
  <si>
    <t>molozcap</t>
  </si>
  <si>
    <t xml:space="preserve">molozcap kapsul </t>
  </si>
  <si>
    <t>TI174356951</t>
  </si>
  <si>
    <t>Suggy 30 Kapsul</t>
  </si>
  <si>
    <t>SUGGY</t>
  </si>
  <si>
    <t>Dus, Botol @ 30 Kapsul</t>
  </si>
  <si>
    <t>suggy</t>
  </si>
  <si>
    <t xml:space="preserve">suggy kapsul </t>
  </si>
  <si>
    <t>TR183321321</t>
  </si>
  <si>
    <t>Fitonergi 30 Kapsul</t>
  </si>
  <si>
    <t>FITONERGI</t>
  </si>
  <si>
    <t>Rp235.900 - Rp297.000</t>
  </si>
  <si>
    <t>fitonergi</t>
  </si>
  <si>
    <t xml:space="preserve">fitonergi kapsul </t>
  </si>
  <si>
    <t>TR152385951</t>
  </si>
  <si>
    <t>Epimaxx 2 Kapsul</t>
  </si>
  <si>
    <t>EPIMAXX</t>
  </si>
  <si>
    <t>Rp20.300 - Rp22.300</t>
  </si>
  <si>
    <t>Dus, 1 Catch Cover @ 2 Kapsul</t>
  </si>
  <si>
    <t>epimaxx</t>
  </si>
  <si>
    <t xml:space="preserve">epimaxx kapsul </t>
  </si>
  <si>
    <t>TR162396451</t>
  </si>
  <si>
    <t>Samurat 4 Kapsul</t>
  </si>
  <si>
    <t>SAMURAT</t>
  </si>
  <si>
    <t>Rp7.100 - Rp7.900</t>
  </si>
  <si>
    <t>Box, 10 Strip @ 4 Kapsul</t>
  </si>
  <si>
    <t>samurat</t>
  </si>
  <si>
    <t xml:space="preserve">samurat kapsul </t>
  </si>
  <si>
    <t>TR053345291</t>
  </si>
  <si>
    <t>Granus 500 mg 30 Kapsul</t>
  </si>
  <si>
    <t>GRANUS</t>
  </si>
  <si>
    <t>Rp33.800 - Rp92.400</t>
  </si>
  <si>
    <t>granus</t>
  </si>
  <si>
    <t xml:space="preserve">granus kapsul </t>
  </si>
  <si>
    <t>TI114344931</t>
  </si>
  <si>
    <t>Anoral 30 Kapsul</t>
  </si>
  <si>
    <t>ANORAL</t>
  </si>
  <si>
    <t>Rp179.100 - Rp245.300</t>
  </si>
  <si>
    <t>anoral</t>
  </si>
  <si>
    <t xml:space="preserve">anoral kapsul </t>
  </si>
  <si>
    <t>TR142580701</t>
  </si>
  <si>
    <t>Hesroid Kapsul 500 mg</t>
  </si>
  <si>
    <t>HESROID</t>
  </si>
  <si>
    <t>Rp5.300 - Rp7.200</t>
  </si>
  <si>
    <t>hesroid</t>
  </si>
  <si>
    <t xml:space="preserve">hesroid kapsul </t>
  </si>
  <si>
    <t>TR082390151</t>
  </si>
  <si>
    <t>Venaron 300 mg 4 Kapsul</t>
  </si>
  <si>
    <t>VENARON</t>
  </si>
  <si>
    <t>Rp14.800 - Rp26.100</t>
  </si>
  <si>
    <t>Dus, Catch Cover @ 5 Strip @ 4 Kapsul</t>
  </si>
  <si>
    <t>venaron</t>
  </si>
  <si>
    <t xml:space="preserve">venaron kapsul </t>
  </si>
  <si>
    <t>TR083375341</t>
  </si>
  <si>
    <t>Cholsa 4 Kapsul</t>
  </si>
  <si>
    <t>CHOLSA</t>
  </si>
  <si>
    <t>Rp10.000 - Rp10.100</t>
  </si>
  <si>
    <t>cholsa</t>
  </si>
  <si>
    <t xml:space="preserve">cholsa kapsul </t>
  </si>
  <si>
    <t>TR182321621</t>
  </si>
  <si>
    <t>Nugalmin 30 Kapsul</t>
  </si>
  <si>
    <t>NUGALMIN</t>
  </si>
  <si>
    <t>nugalmin</t>
  </si>
  <si>
    <t xml:space="preserve">nugalmin kapsul </t>
  </si>
  <si>
    <t>TR173309211</t>
  </si>
  <si>
    <t>Negatal 18 Kapsul</t>
  </si>
  <si>
    <t>NEGATAL</t>
  </si>
  <si>
    <t>Rp15.000 - Rp36.400</t>
  </si>
  <si>
    <t>Dus, Botol @ 18 Kapsul</t>
  </si>
  <si>
    <t>negatal</t>
  </si>
  <si>
    <t xml:space="preserve">negatal kapsul </t>
  </si>
  <si>
    <t>TR202338831</t>
  </si>
  <si>
    <t>Herbalax 4 Kapsul</t>
  </si>
  <si>
    <t>HERBALAX</t>
  </si>
  <si>
    <t>Rp3.600 - Rp4.200</t>
  </si>
  <si>
    <t>Dus, 25 catchcover @ 1 strip @ 4 kapsul</t>
  </si>
  <si>
    <t>herbalax</t>
  </si>
  <si>
    <t xml:space="preserve">herbalax kapsul </t>
  </si>
  <si>
    <t>TR183316631</t>
  </si>
  <si>
    <t>Temufit 30 Kapsul</t>
  </si>
  <si>
    <t>TEMUFIT</t>
  </si>
  <si>
    <t>Rp164.200 - Rp187.100</t>
  </si>
  <si>
    <t>temufit</t>
  </si>
  <si>
    <t xml:space="preserve">temufit kapsul </t>
  </si>
  <si>
    <t>TI124346961</t>
  </si>
  <si>
    <t>Kobellon 20 Kapsul</t>
  </si>
  <si>
    <t>KOBELLON</t>
  </si>
  <si>
    <t>Rp161.200 - Rp225.200</t>
  </si>
  <si>
    <t>Dus, 2 Blister @ 10 Kapsul</t>
  </si>
  <si>
    <t>kobellon</t>
  </si>
  <si>
    <t xml:space="preserve">kobellon kapsul </t>
  </si>
  <si>
    <t>TR153385161</t>
  </si>
  <si>
    <t>Vibumin 50 Kapsul</t>
  </si>
  <si>
    <t>VIBUMIN</t>
  </si>
  <si>
    <t>Rp162.100 - Rp241.800</t>
  </si>
  <si>
    <t>Dus, Botol @ 50 Kapsul</t>
  </si>
  <si>
    <t>vibumin</t>
  </si>
  <si>
    <t xml:space="preserve">vibumin kapsul </t>
  </si>
  <si>
    <t>TI164351101</t>
  </si>
  <si>
    <t>Sinoil 8 Kapsul</t>
  </si>
  <si>
    <t>SINOIL</t>
  </si>
  <si>
    <t>Rp46.500 - Rp65.500</t>
  </si>
  <si>
    <t>Dus, Botol @ 8 Kapsul @ 500 mg</t>
  </si>
  <si>
    <t>sinoil</t>
  </si>
  <si>
    <t xml:space="preserve">sinoil kapsul </t>
  </si>
  <si>
    <t>TR172301161</t>
  </si>
  <si>
    <t>Gabumin 30 Kapsul</t>
  </si>
  <si>
    <t>GABUMIN</t>
  </si>
  <si>
    <t>1-2 Kapsul 3 x sehari.</t>
  </si>
  <si>
    <t>gabumin</t>
  </si>
  <si>
    <t xml:space="preserve">gabumin kapsul </t>
  </si>
  <si>
    <t>TR192328691</t>
  </si>
  <si>
    <t>Asiful 500 mg 6 Kapsul</t>
  </si>
  <si>
    <t>ASIFUL</t>
  </si>
  <si>
    <t>Dus 10 Strip @ 6 Kapsul</t>
  </si>
  <si>
    <t>asiful</t>
  </si>
  <si>
    <t xml:space="preserve">asiful kapsul </t>
  </si>
  <si>
    <t>TR163393751</t>
  </si>
  <si>
    <t>Zaitunfit 200 Kapsul</t>
  </si>
  <si>
    <t>ZAITUNFIT</t>
  </si>
  <si>
    <t>Rp68.700 - Rp106.100</t>
  </si>
  <si>
    <t>Dus, Botol @ 200 Kapsul</t>
  </si>
  <si>
    <t>zaitunfit</t>
  </si>
  <si>
    <t xml:space="preserve">zaitunfit kapsul </t>
  </si>
  <si>
    <t>TR183610771</t>
  </si>
  <si>
    <t>British Propolis 6 ml</t>
  </si>
  <si>
    <t>BRITISH PROPOLIS</t>
  </si>
  <si>
    <t>Dus, botol @ 6 ml</t>
  </si>
  <si>
    <t>british propolis</t>
  </si>
  <si>
    <t xml:space="preserve">british propolis  </t>
  </si>
  <si>
    <t>TR113323461</t>
  </si>
  <si>
    <t>Habbasyifa 200 Kapsul</t>
  </si>
  <si>
    <t>HABBASYIFA</t>
  </si>
  <si>
    <t>Rp103.700 - Rp137.500</t>
  </si>
  <si>
    <t>Botol @ 200 Kapsul</t>
  </si>
  <si>
    <t>habbasyifa</t>
  </si>
  <si>
    <t xml:space="preserve">habbasyifa kapsul </t>
  </si>
  <si>
    <t>TI094340391</t>
  </si>
  <si>
    <t>Remact 30 Kapsul</t>
  </si>
  <si>
    <t>REMACT</t>
  </si>
  <si>
    <t>Rp202.800 - Rp229.000</t>
  </si>
  <si>
    <t>remact</t>
  </si>
  <si>
    <t xml:space="preserve">remact kapsul </t>
  </si>
  <si>
    <t>TR102322381</t>
  </si>
  <si>
    <t>Vegamon 10 Kapsul</t>
  </si>
  <si>
    <t>VEGAMON</t>
  </si>
  <si>
    <t>Rp63.200 - Rp81.800</t>
  </si>
  <si>
    <t>vegamon</t>
  </si>
  <si>
    <t xml:space="preserve">vegamon kapsul </t>
  </si>
  <si>
    <t>TR182314671</t>
  </si>
  <si>
    <t>Heparmin 30 Kapsul</t>
  </si>
  <si>
    <t>HEPARMIN</t>
  </si>
  <si>
    <t>Box, 3 Blister @ 10 Kapsul</t>
  </si>
  <si>
    <t>heparmin</t>
  </si>
  <si>
    <t xml:space="preserve">heparmin kapsul </t>
  </si>
  <si>
    <t>TR182219901</t>
  </si>
  <si>
    <t>Ezyvegie 5 Sachet</t>
  </si>
  <si>
    <t>EZYVEGIE</t>
  </si>
  <si>
    <t>Rp9.800 - Rp20.400</t>
  </si>
  <si>
    <t>Larutkan 1 sachet dengan 150 ml air, aduk merata dan minum.</t>
  </si>
  <si>
    <t>1 kali per hari 1 sachet, diminum sebelum tidur.</t>
  </si>
  <si>
    <t>Dus, 5 Sachet @ 6 gram</t>
  </si>
  <si>
    <t>ezyvegie</t>
  </si>
  <si>
    <t xml:space="preserve">ezyvegie sachet </t>
  </si>
  <si>
    <t>GKL2021028138A1</t>
  </si>
  <si>
    <t>Thiamphenicol Dry Sirup 60 ml</t>
  </si>
  <si>
    <t>Rp14.100 - Rp28.500</t>
  </si>
  <si>
    <t>PENGGUNAAN OBAT INI HARUS SESUAI DENGAN PETUNJUK DOKTER. -</t>
  </si>
  <si>
    <t>HARUS DENGAN RESEP DOKTER. -</t>
  </si>
  <si>
    <t>sirup</t>
  </si>
  <si>
    <t>thiamphenicol</t>
  </si>
  <si>
    <t xml:space="preserve">thiamphenicol sirup </t>
  </si>
  <si>
    <t>TR132374571</t>
  </si>
  <si>
    <t>Nosirax 10 Kapsul</t>
  </si>
  <si>
    <t>NOSIRAX</t>
  </si>
  <si>
    <t>Rp55.400 - Rp69.500</t>
  </si>
  <si>
    <t>nosirax</t>
  </si>
  <si>
    <t xml:space="preserve">nosirax kapsul </t>
  </si>
  <si>
    <t>TR152586291</t>
  </si>
  <si>
    <t>Posafit 6 Tablet</t>
  </si>
  <si>
    <t>POSAFIT</t>
  </si>
  <si>
    <t>Rp42.000 - Rp50.600</t>
  </si>
  <si>
    <t>Dus, 5 Strip @ 6 Tablet Salut Selaput</t>
  </si>
  <si>
    <t>posafit</t>
  </si>
  <si>
    <t xml:space="preserve">posafit tablet </t>
  </si>
  <si>
    <t>TR152390061</t>
  </si>
  <si>
    <t>Pomifar 75 mg 10 Kaplet</t>
  </si>
  <si>
    <t>POMIFAR</t>
  </si>
  <si>
    <t>Rp78.200 - Rp82.900</t>
  </si>
  <si>
    <t>kaplet</t>
  </si>
  <si>
    <t>pomifar</t>
  </si>
  <si>
    <t xml:space="preserve">pomifar kaplet </t>
  </si>
  <si>
    <t>TR193324231</t>
  </si>
  <si>
    <t>Healthymed 30 Kapsul</t>
  </si>
  <si>
    <t>HEALTHYMED</t>
  </si>
  <si>
    <t>Rp182.100 - Rp190.100</t>
  </si>
  <si>
    <t>healthymed</t>
  </si>
  <si>
    <t xml:space="preserve">healthymed kapsul </t>
  </si>
  <si>
    <t>Habbasyifa 90 Kapsul</t>
  </si>
  <si>
    <t>Rp46.900 - Rp69.000</t>
  </si>
  <si>
    <t>Botol @ 90 Kapsul</t>
  </si>
  <si>
    <t>TR193323761</t>
  </si>
  <si>
    <t>Vibumed 30 Kapsul</t>
  </si>
  <si>
    <t>VIBUMED</t>
  </si>
  <si>
    <t>Rp156.600 - Rp230.000</t>
  </si>
  <si>
    <t>vibumed</t>
  </si>
  <si>
    <t xml:space="preserve">vibumed kapsul </t>
  </si>
  <si>
    <t>FF192500811</t>
  </si>
  <si>
    <t>Degrade 6 Tablet</t>
  </si>
  <si>
    <t>DEGRADE</t>
  </si>
  <si>
    <t>Rp52.200 - Rp66.900</t>
  </si>
  <si>
    <t>Dus, 5 Strip @ 6 Tablet Salut Enterik</t>
  </si>
  <si>
    <t>degrade</t>
  </si>
  <si>
    <t xml:space="preserve">degrade tablet </t>
  </si>
  <si>
    <t>DKL1338206837A1</t>
  </si>
  <si>
    <t>Maxprinol Syrup 60 ml</t>
  </si>
  <si>
    <t>Rp88.700 - Rp111.000</t>
  </si>
  <si>
    <t>PENGGUNAAN OBAT INI HARUS SESUAI DENGAN PETUNJUK DOKTER.</t>
  </si>
  <si>
    <t>Botol</t>
  </si>
  <si>
    <t>HARUS DENGAN RESEP DOKTER.</t>
  </si>
  <si>
    <t>methisoprinol</t>
  </si>
  <si>
    <t>maxprinol</t>
  </si>
  <si>
    <t xml:space="preserve">maxprinol sirup methisoprinol </t>
  </si>
  <si>
    <t>DTL8506405510A1</t>
  </si>
  <si>
    <t>Contramo 50 mg 10 Tablet</t>
  </si>
  <si>
    <t>Rp6.400 - Rp6.500</t>
  </si>
  <si>
    <t>Dus, 50 Strip @ 10 Tablet</t>
  </si>
  <si>
    <t>dimenhydrinate</t>
  </si>
  <si>
    <t>contramo</t>
  </si>
  <si>
    <t xml:space="preserve">contramo tablet dimenhydrinate </t>
  </si>
  <si>
    <t>DKL1605052737A1</t>
  </si>
  <si>
    <t>Moprin Sirup 60 ml</t>
  </si>
  <si>
    <t>Dus, Botol @ 60 ml</t>
  </si>
  <si>
    <t>moprin</t>
  </si>
  <si>
    <t xml:space="preserve">moprin sirup methisoprinol </t>
  </si>
  <si>
    <t>DKL0833210033A1</t>
  </si>
  <si>
    <t>Dome Syrup 60 ml</t>
  </si>
  <si>
    <t>Rp49.500 - Rp50.000</t>
  </si>
  <si>
    <t>suspensi</t>
  </si>
  <si>
    <t>domperidone</t>
  </si>
  <si>
    <t>dome</t>
  </si>
  <si>
    <t xml:space="preserve">dome suspensi domperidone </t>
  </si>
  <si>
    <t>DKL1433531401A1</t>
  </si>
  <si>
    <t>Nocel 50 mg 10 Kapsul</t>
  </si>
  <si>
    <t>Rp92.900 - Rp104.400</t>
  </si>
  <si>
    <t>Dus, 3 Blister @ 10 Kapsul</t>
  </si>
  <si>
    <t>diacerein</t>
  </si>
  <si>
    <t>nocel</t>
  </si>
  <si>
    <t xml:space="preserve">nocel kapsul diacerein </t>
  </si>
  <si>
    <t>TR163395521</t>
  </si>
  <si>
    <t>Gamat Sar 60 Kapsul</t>
  </si>
  <si>
    <t>GAMAT SAR</t>
  </si>
  <si>
    <t>Rp94.800 - Rp127.800</t>
  </si>
  <si>
    <t>Dus, Botol @ 60 Kapsul</t>
  </si>
  <si>
    <t>gamat sar</t>
  </si>
  <si>
    <t xml:space="preserve">gamat sar kapsul </t>
  </si>
  <si>
    <t>DTL9123401537A1</t>
  </si>
  <si>
    <t>Guamin Sirup 60 ml</t>
  </si>
  <si>
    <t>Rp7.700 - Rp16.500</t>
  </si>
  <si>
    <t>guaifenesin</t>
  </si>
  <si>
    <t>guamin</t>
  </si>
  <si>
    <t xml:space="preserve">guamin sirup guaifenesin </t>
  </si>
  <si>
    <t>DKL1008016110A1</t>
  </si>
  <si>
    <t>Nobor 5 mg 10 Tablet</t>
  </si>
  <si>
    <t>Rp50.800 - Rp54.200</t>
  </si>
  <si>
    <t>Box, 3 Strip @ 10 Tablet</t>
  </si>
  <si>
    <t>allylestrenol</t>
  </si>
  <si>
    <t>nobor</t>
  </si>
  <si>
    <t xml:space="preserve">nobor tablet allylestrenol </t>
  </si>
  <si>
    <t>DKL1615624633A1</t>
  </si>
  <si>
    <t>Mucifat Suspensi 100 ml</t>
  </si>
  <si>
    <t>Rp53.300 - Rp64.100</t>
  </si>
  <si>
    <t>Dus, Botol @ 100 ml</t>
  </si>
  <si>
    <t>sucralfate</t>
  </si>
  <si>
    <t>mucifat</t>
  </si>
  <si>
    <t xml:space="preserve">mucifat suspensi sucralfate </t>
  </si>
  <si>
    <t>DKL1034009917A1</t>
  </si>
  <si>
    <t>Novaxifen 400 mg 10 Tablet</t>
  </si>
  <si>
    <t>Rp3.200 - Rp5.000</t>
  </si>
  <si>
    <t>Dus, 10 Strip @ 10 Tablet</t>
  </si>
  <si>
    <t>Obat Wajib Apotek, Obat ini dapat dibeli dan diserahkan apoteker tanpa resep dengan maksimum 1 Strip. Pembelian melebihi batas ini WAJIB RESEP DOKTER.</t>
  </si>
  <si>
    <t>ibuprofen</t>
  </si>
  <si>
    <t>novaxifen</t>
  </si>
  <si>
    <t xml:space="preserve">novaxifen tablet ibuprofen </t>
  </si>
  <si>
    <t>DKL1604524717A1</t>
  </si>
  <si>
    <t>Protezid 100 mg 10 Tablet</t>
  </si>
  <si>
    <t>Rp36.100 - Rp42.800</t>
  </si>
  <si>
    <t>PENGGUNAAN OBAT INI HARUS SESUAI DENGAN PETUNJUK DOKTER. Dewasa : 3 x sehari 1 tablet</t>
  </si>
  <si>
    <t>rebamipide</t>
  </si>
  <si>
    <t>protezid</t>
  </si>
  <si>
    <t xml:space="preserve">protezid tablet rebamipide </t>
  </si>
  <si>
    <t>DKL9609205410A1</t>
  </si>
  <si>
    <t>Tidifar 200 mg 10 Tablet</t>
  </si>
  <si>
    <t>Rp3.900 - Rp7.600</t>
  </si>
  <si>
    <t>cimetidine</t>
  </si>
  <si>
    <t>tidifar</t>
  </si>
  <si>
    <t xml:space="preserve">tidifar tablet cimetidine </t>
  </si>
  <si>
    <t>DKL9609205410B1</t>
  </si>
  <si>
    <t>Tidifar 400 mg 10 Tablet</t>
  </si>
  <si>
    <t>Rp4.100 - Rp13.200</t>
  </si>
  <si>
    <t>DKL1726012133A1</t>
  </si>
  <si>
    <t>Troflat Suspensi 100 ml</t>
  </si>
  <si>
    <t>Rp65.900 - Rp66.700</t>
  </si>
  <si>
    <t>Dus, 1 Botol @ 100 ml</t>
  </si>
  <si>
    <t>troflat</t>
  </si>
  <si>
    <t xml:space="preserve">troflat suspensi sucralfate </t>
  </si>
  <si>
    <t>DKL1718829210A1</t>
  </si>
  <si>
    <t>Moxic 7.5 mg Tablet</t>
  </si>
  <si>
    <t>Rp6.200 - Rp7.900</t>
  </si>
  <si>
    <t>Dus, 2 Strip @ 10 Tablet</t>
  </si>
  <si>
    <t>meloxicam</t>
  </si>
  <si>
    <t>moxic</t>
  </si>
  <si>
    <t xml:space="preserve">moxic tablet meloxicam </t>
  </si>
  <si>
    <t>DKL0416907910A1</t>
  </si>
  <si>
    <t>Omeroxol 30 mg 10 Tablet</t>
  </si>
  <si>
    <t>Rp2.600 - Rp10.100</t>
  </si>
  <si>
    <t>ambroxol</t>
  </si>
  <si>
    <t>omeroxol</t>
  </si>
  <si>
    <t xml:space="preserve">omeroxol tablet ambroxol </t>
  </si>
  <si>
    <t>DKL1302502604A1</t>
  </si>
  <si>
    <t>Puresco 300 mg 10 Tablet</t>
  </si>
  <si>
    <t>Rp44.000 - Rp46.300</t>
  </si>
  <si>
    <t>allopurinol</t>
  </si>
  <si>
    <t>puresco</t>
  </si>
  <si>
    <t xml:space="preserve">puresco kaplet allopurinol </t>
  </si>
  <si>
    <t>DTL0033401237A1</t>
  </si>
  <si>
    <t>Gigadryl Sirup 60 ml</t>
  </si>
  <si>
    <t>Rp6.700 - Rp14.700</t>
  </si>
  <si>
    <t>gigadryl</t>
  </si>
  <si>
    <t xml:space="preserve">gigadryl sirup guaifenesin </t>
  </si>
  <si>
    <t>TR183314811</t>
  </si>
  <si>
    <t>Boemeal 60 Kapsul</t>
  </si>
  <si>
    <t>BIKMIL</t>
  </si>
  <si>
    <t>bikmil</t>
  </si>
  <si>
    <t>boemeal</t>
  </si>
  <si>
    <t xml:space="preserve">boemeal kapsul bikmil </t>
  </si>
  <si>
    <t>DKL1308019902A1</t>
  </si>
  <si>
    <t>Triocol 0.25 mcg 30 Kapsul</t>
  </si>
  <si>
    <t>Rp263.800 - Rp277.400</t>
  </si>
  <si>
    <t>Dus, Botol @ 30 Kapsul Lunak</t>
  </si>
  <si>
    <t>calcitriol</t>
  </si>
  <si>
    <t>triocol</t>
  </si>
  <si>
    <t xml:space="preserve">triocol kapsul calcitriol </t>
  </si>
  <si>
    <t>DKL1708024801A1</t>
  </si>
  <si>
    <t>Acetro 10 Kapsul</t>
  </si>
  <si>
    <t>Rp76.000 - Rp99.600</t>
  </si>
  <si>
    <t>acetro</t>
  </si>
  <si>
    <t xml:space="preserve">acetro kapsul diacerein </t>
  </si>
  <si>
    <t>DKL0616909310A1</t>
  </si>
  <si>
    <t>Omefulvin 125 mg 10 Tablet</t>
  </si>
  <si>
    <t>Rp6.900 - Rp11.700</t>
  </si>
  <si>
    <t>griseofulvin</t>
  </si>
  <si>
    <t>omefulvin</t>
  </si>
  <si>
    <t xml:space="preserve">omefulvin tablet griseofulvin </t>
  </si>
  <si>
    <t>DKL1605054437A1</t>
  </si>
  <si>
    <t>Levosif Sirup 100 ml</t>
  </si>
  <si>
    <t>Rp68.400 - Rp69.400</t>
  </si>
  <si>
    <t>levodropropizine</t>
  </si>
  <si>
    <t>levosif</t>
  </si>
  <si>
    <t xml:space="preserve">levosif sirup levodropropizine </t>
  </si>
  <si>
    <t>DTL0323406110A1</t>
  </si>
  <si>
    <t>Mantino 50 mg 10 Tablet</t>
  </si>
  <si>
    <t>Rp3.800 - Rp7.000</t>
  </si>
  <si>
    <t>mantino</t>
  </si>
  <si>
    <t xml:space="preserve">mantino tablet dimenhydrinate </t>
  </si>
  <si>
    <t>DKL1940404401A1</t>
  </si>
  <si>
    <t>Ethiros 300 mg 10 Kapsul</t>
  </si>
  <si>
    <t>Rp41.700 - Rp53.600</t>
  </si>
  <si>
    <t>Dus, 5 Blister @ 1o Kapsul</t>
  </si>
  <si>
    <t>erdosteine</t>
  </si>
  <si>
    <t>ethiros</t>
  </si>
  <si>
    <t xml:space="preserve">ethiros kapsul erdosteine </t>
  </si>
  <si>
    <t>DKL8302332133A1</t>
  </si>
  <si>
    <t>Sultrimmix Syrup 60 ml</t>
  </si>
  <si>
    <t>Rp14.300 - Rp16.700</t>
  </si>
  <si>
    <t>Dus, 1 Botol 60 ml</t>
  </si>
  <si>
    <t>sulfamethoxazole</t>
  </si>
  <si>
    <t>sultrimmix</t>
  </si>
  <si>
    <t xml:space="preserve">sultrimmix suspensi sulfamethoxazole </t>
  </si>
  <si>
    <t>DKL0533206817A1</t>
  </si>
  <si>
    <t>Fenatic 400 mg 10 Tablet</t>
  </si>
  <si>
    <t>Rp8.500 - Rp10.600</t>
  </si>
  <si>
    <t>fenatic</t>
  </si>
  <si>
    <t xml:space="preserve">fenatic tablet ibuprofen </t>
  </si>
  <si>
    <t>GKL8709604610A1</t>
  </si>
  <si>
    <t>Sulfadiazin 500 mg 10 Tablet</t>
  </si>
  <si>
    <t>Rp1.500 - Rp11.000</t>
  </si>
  <si>
    <t>sulfadiazine</t>
  </si>
  <si>
    <t>sulfadiazin</t>
  </si>
  <si>
    <t xml:space="preserve">sulfadiazin tablet sulfadiazine </t>
  </si>
  <si>
    <t>DKL0806505417B1</t>
  </si>
  <si>
    <t>Etafen 400 mg 10 Tablet</t>
  </si>
  <si>
    <t>Rp4.100 - Rp8.100</t>
  </si>
  <si>
    <t>etafen</t>
  </si>
  <si>
    <t xml:space="preserve">etafen tablet ibuprofen </t>
  </si>
  <si>
    <t>DKL1033405538A1</t>
  </si>
  <si>
    <t>Solathim Dry Sirup 60 ml</t>
  </si>
  <si>
    <t>Rp8.500 - Rp11.000</t>
  </si>
  <si>
    <t>solathim</t>
  </si>
  <si>
    <t xml:space="preserve">solathim suspensi thiamphenicol </t>
  </si>
  <si>
    <t>DKL7821903738A1</t>
  </si>
  <si>
    <t>Sammoxin Dry Sirup 60 ml</t>
  </si>
  <si>
    <t>Rp6.800 - Rp7.100</t>
  </si>
  <si>
    <t>amoxicillin</t>
  </si>
  <si>
    <t>sammoxin</t>
  </si>
  <si>
    <t xml:space="preserve">sammoxin sirup amoxicillin </t>
  </si>
  <si>
    <t>DKL9306409601B1</t>
  </si>
  <si>
    <t>Denicam 20 mg 10 Kapsul</t>
  </si>
  <si>
    <t>Rp3.500 - Rp18.600</t>
  </si>
  <si>
    <t>PENGGUNAAN OBAT INI HARUS SESUAI DENGAN PETUNJUK DOKTER. dosis awa</t>
  </si>
  <si>
    <t>DKL8302300709B1</t>
  </si>
  <si>
    <t>Rifabiotic 600 mg Kaplet</t>
  </si>
  <si>
    <t>Rp2.600 - Rp4.600</t>
  </si>
  <si>
    <t>Dus, 10 Strip @ 10 Kaplet Salut Selaput</t>
  </si>
  <si>
    <t>rifampicin</t>
  </si>
  <si>
    <t>rifabiotic</t>
  </si>
  <si>
    <t xml:space="preserve">rifabiotic kaplet rifampicin </t>
  </si>
  <si>
    <t>DKL8728904138A1</t>
  </si>
  <si>
    <t>Riamycin 125 mg/5 ml Dry Sirup 60 ml</t>
  </si>
  <si>
    <t>Rp11.000 - Rp12.900</t>
  </si>
  <si>
    <t>riamycin</t>
  </si>
  <si>
    <t xml:space="preserve">riamycin sirup thiamphenicol </t>
  </si>
  <si>
    <t>DKL0609215704A1</t>
  </si>
  <si>
    <t>Rexavin 125 mg 10 Kaplet</t>
  </si>
  <si>
    <t>Rp4.900 - Rp15.200</t>
  </si>
  <si>
    <t>rexavin</t>
  </si>
  <si>
    <t xml:space="preserve">rexavin kaplet griseofulvin </t>
  </si>
  <si>
    <t>DKL0806413410A1</t>
  </si>
  <si>
    <t>Mycazol 200 mg 10 Tablet</t>
  </si>
  <si>
    <t>Rp13.200 - Rp26.200</t>
  </si>
  <si>
    <t>Dus, 5 Strip @ 10 Tablet</t>
  </si>
  <si>
    <t>ketoconazole</t>
  </si>
  <si>
    <t>mycazol</t>
  </si>
  <si>
    <t xml:space="preserve">mycazol tablet ketoconazole </t>
  </si>
  <si>
    <t>DKL0315616110A1</t>
  </si>
  <si>
    <t>X-Cam 7.5 mg 10 Tablet</t>
  </si>
  <si>
    <t>Rp70.600 - Rp74.700</t>
  </si>
  <si>
    <t>sesudah makan</t>
  </si>
  <si>
    <t>--</t>
  </si>
  <si>
    <t>xcam</t>
  </si>
  <si>
    <t xml:space="preserve">xcam tablet meloxicam </t>
  </si>
  <si>
    <t>DKL2013322617C1</t>
  </si>
  <si>
    <t>Promel 20 mg 4 Tablet</t>
  </si>
  <si>
    <t>Rp262.400 - Rp333.900</t>
  </si>
  <si>
    <t>Diberikan sebelum atau setelah makan</t>
  </si>
  <si>
    <t>PENGGUNAAN OBAT INI HARUS SESUAI DENGAN PETUNJUK DOKTER. Pria dewasa 10 mg 1 x/hari, diberikan 30 menit s/d 12 jam sebelum aktivitas seksual. Dosis dapat ditingkatkan s/d 20 mg bila tidak diperoleh respon yang adekuat.</t>
  </si>
  <si>
    <t>INFORMASI OBAT INI HANYA UNTUK KALANGAN MEDIS.</t>
  </si>
  <si>
    <t>Dus, 1 Strip @ 4 Tablet Salut Selaput</t>
  </si>
  <si>
    <t>Pemberian bersama dengan nitrat oksida, nitrat organik, atau nitrit organik dalam bentuk sediaan apapun: pria yang tidak dianjurkan untuk melakukan hubungan seks akibat penyakit KV tidak stabil yang dideritanya</t>
  </si>
  <si>
    <t>GTL9632300341A1</t>
  </si>
  <si>
    <t>Verban 10 cm</t>
  </si>
  <si>
    <t>Rp1.100 - Rp8.300</t>
  </si>
  <si>
    <t>larutan</t>
  </si>
  <si>
    <t>povidone-iodine</t>
  </si>
  <si>
    <t>verban</t>
  </si>
  <si>
    <t xml:space="preserve">verban larutan povidoneiodine </t>
  </si>
  <si>
    <t>Iodosorb Sachet 3 G</t>
  </si>
  <si>
    <t>Rp99.300 - Rp129.500</t>
  </si>
  <si>
    <t>Harga Untuk 7 Sachet (1 Box)</t>
  </si>
  <si>
    <t>iodosorb</t>
  </si>
  <si>
    <t xml:space="preserve">iodosorb larutan povidoneiodine </t>
  </si>
  <si>
    <t>DKL0630907509A1</t>
  </si>
  <si>
    <t>Lexaprofen 400 mg 10 Tablet</t>
  </si>
  <si>
    <t>Rp5.200 - Rp5.700</t>
  </si>
  <si>
    <t>lexaprofen</t>
  </si>
  <si>
    <t xml:space="preserve">lexaprofen kaplet ibuprofen </t>
  </si>
  <si>
    <t>DKL1208018017A1</t>
  </si>
  <si>
    <t>Keren 25 mg 10 Tablet</t>
  </si>
  <si>
    <t>Rp84.200 - Rp89.600</t>
  </si>
  <si>
    <t>Dus, 5 Strip @ 10 Tablet Salut Selaput</t>
  </si>
  <si>
    <t>dexketoprofen</t>
  </si>
  <si>
    <t>keren</t>
  </si>
  <si>
    <t xml:space="preserve">keren tablet dexketoprofen </t>
  </si>
  <si>
    <t>DKL0616909137A1</t>
  </si>
  <si>
    <t>Omevomid Sirup 60 ml</t>
  </si>
  <si>
    <t>Dus, Botol 60 ml</t>
  </si>
  <si>
    <t>metoclopramide</t>
  </si>
  <si>
    <t>omevomid</t>
  </si>
  <si>
    <t xml:space="preserve">omevomid sirup metoclopramide </t>
  </si>
  <si>
    <t>DBL9910904004A1</t>
  </si>
  <si>
    <t>Itramol 10 Tablet</t>
  </si>
  <si>
    <t>Rp2.600 - Rp5.200</t>
  </si>
  <si>
    <t>paracetamol</t>
  </si>
  <si>
    <t>itramol</t>
  </si>
  <si>
    <t xml:space="preserve">itramol kaplet paracetamol </t>
  </si>
  <si>
    <t>DKL0707810904B1</t>
  </si>
  <si>
    <t>Hufaxicam 7.5 mg 10 Tablet</t>
  </si>
  <si>
    <t>Rp6.000 - Rp18.800</t>
  </si>
  <si>
    <t>Dus, 2 Strip @ 10 Kaplet</t>
  </si>
  <si>
    <t>hufaxicam</t>
  </si>
  <si>
    <t xml:space="preserve">hufaxicam kaplet meloxicam </t>
  </si>
  <si>
    <t>DKL1107810904A1</t>
  </si>
  <si>
    <t>Hufaxicam 15 mg 10 Kaplet</t>
  </si>
  <si>
    <t>Rp7.500 - Rp12.000</t>
  </si>
  <si>
    <t>DKL1008516410A1</t>
  </si>
  <si>
    <t>Hexcam 15 mg 10 Tablet</t>
  </si>
  <si>
    <t>Rp10.600 - Rp25.700</t>
  </si>
  <si>
    <t>Dus, 3 Strip @ 10 Tablet</t>
  </si>
  <si>
    <t>hexcam</t>
  </si>
  <si>
    <t xml:space="preserve">hexcam tablet meloxicam </t>
  </si>
  <si>
    <t>DKL9431104110B1</t>
  </si>
  <si>
    <t>Grazeo 20 mg 10 Tablet</t>
  </si>
  <si>
    <t>Rp2.200 - Rp4.300</t>
  </si>
  <si>
    <t>piroxicam</t>
  </si>
  <si>
    <t>grazeo</t>
  </si>
  <si>
    <t xml:space="preserve">grazeo tablet piroxicam </t>
  </si>
  <si>
    <t>DKL9431104110A1</t>
  </si>
  <si>
    <t>Grazeo 10 mg 10 Tablet</t>
  </si>
  <si>
    <t>Rp1.900 - Rp2.600</t>
  </si>
  <si>
    <t>DKL1422722533A1</t>
  </si>
  <si>
    <t>Gitafat 500 mg/5 ml Sirup 100 ml</t>
  </si>
  <si>
    <t>Rp52.900 - Rp56.900</t>
  </si>
  <si>
    <t>Botol @ 100 ml</t>
  </si>
  <si>
    <t>gitafat</t>
  </si>
  <si>
    <t xml:space="preserve">gitafat suspensi sucralfate </t>
  </si>
  <si>
    <t>DBL8527900237A1</t>
  </si>
  <si>
    <t>Zetamol Sirup 60 ml</t>
  </si>
  <si>
    <t>Rp6.700 - Rp12.400</t>
  </si>
  <si>
    <t>zetamol</t>
  </si>
  <si>
    <t xml:space="preserve">zetamol sirup paracetamol </t>
  </si>
  <si>
    <t>DKL0526110510A1</t>
  </si>
  <si>
    <t>Pregnabion 5 mg 10 Tablet</t>
  </si>
  <si>
    <t>Rp33.000 - Rp38.900</t>
  </si>
  <si>
    <t>pregnabion</t>
  </si>
  <si>
    <t xml:space="preserve">pregnabion tablet allylestrenol </t>
  </si>
  <si>
    <t>DTL0533206133A1</t>
  </si>
  <si>
    <t>Fenatic Sirup 60 ml</t>
  </si>
  <si>
    <t>Rp28.200 - Rp30.300</t>
  </si>
  <si>
    <t>Dus, Botol Plastik @ 60 ml</t>
  </si>
  <si>
    <t xml:space="preserve">fenatic suspensi ibuprofen </t>
  </si>
  <si>
    <t>TR132673741</t>
  </si>
  <si>
    <t>Jagak Bebas Gula 120ml</t>
  </si>
  <si>
    <t>JAGAK - BEBAS GULA</t>
  </si>
  <si>
    <t>Rp7.500 - Rp12.200</t>
  </si>
  <si>
    <t>Botol @ 120 ml</t>
  </si>
  <si>
    <t>jagak bebas gula</t>
  </si>
  <si>
    <t xml:space="preserve">jagak bebas gula  </t>
  </si>
  <si>
    <t>TR053348251</t>
  </si>
  <si>
    <t>Herbacure Naturprost 40 Kapsul</t>
  </si>
  <si>
    <t>HERBACURE NATURPROST</t>
  </si>
  <si>
    <t>herbacure naturprost</t>
  </si>
  <si>
    <t xml:space="preserve">herbacure naturprost kapsul </t>
  </si>
  <si>
    <t>TR213304231</t>
  </si>
  <si>
    <t>Kunir Putih 500mg 30 Kapsul</t>
  </si>
  <si>
    <t>KUNIR PUTIH</t>
  </si>
  <si>
    <t>Rp39.800 - Rp53.700</t>
  </si>
  <si>
    <t>kunir putih</t>
  </si>
  <si>
    <t xml:space="preserve">kunir putih kapsul </t>
  </si>
  <si>
    <t>TR133373491</t>
  </si>
  <si>
    <t>Mangos Vita 60 Kapsul</t>
  </si>
  <si>
    <t>MANGOS VITA</t>
  </si>
  <si>
    <t>Rp37.800 - Rp77.300</t>
  </si>
  <si>
    <t>mangos vita</t>
  </si>
  <si>
    <t xml:space="preserve">mangos vita kapsul </t>
  </si>
  <si>
    <t>TR163698141</t>
  </si>
  <si>
    <t>Albuforce Plus Sirup 60 ml</t>
  </si>
  <si>
    <t>ALBUFORCE PLUS</t>
  </si>
  <si>
    <t>Rp133.800 - Rp139.100</t>
  </si>
  <si>
    <t>albuforce plus</t>
  </si>
  <si>
    <t xml:space="preserve">albuforce plus sirup </t>
  </si>
  <si>
    <t>DTL9831805233A1</t>
  </si>
  <si>
    <t>Febryn Sirup 60 ml</t>
  </si>
  <si>
    <t>Rp18.200 - Rp18.600</t>
  </si>
  <si>
    <t>febryn</t>
  </si>
  <si>
    <t xml:space="preserve">febryn suspensi ibuprofen </t>
  </si>
  <si>
    <t>TR192635681</t>
  </si>
  <si>
    <t>Cabertis Kids Sirup 60 ml</t>
  </si>
  <si>
    <t>CABERTIS KIDS</t>
  </si>
  <si>
    <t>Rp11.800 - Rp16.100</t>
  </si>
  <si>
    <t>cabertis kids</t>
  </si>
  <si>
    <t xml:space="preserve">cabertis kids sirup </t>
  </si>
  <si>
    <t>DKL0521631316A1</t>
  </si>
  <si>
    <t>Milmor 10 Tablet</t>
  </si>
  <si>
    <t>Rp23.400 - Rp34.400</t>
  </si>
  <si>
    <t>Dus, 6 Strip @ 10 Tablet salut</t>
  </si>
  <si>
    <t>cyanocobalamin</t>
  </si>
  <si>
    <t>milmor</t>
  </si>
  <si>
    <t xml:space="preserve">milmor tablet cyanocobalamin </t>
  </si>
  <si>
    <t>DBL1707801637B1</t>
  </si>
  <si>
    <t>Hufagesic 120 mg Sirup 60 ml</t>
  </si>
  <si>
    <t>Rp5.100 - Rp8.700</t>
  </si>
  <si>
    <t>hufagesic</t>
  </si>
  <si>
    <t xml:space="preserve">hufagesic sirup paracetamol </t>
  </si>
  <si>
    <t>DTL9917108633A1</t>
  </si>
  <si>
    <t>Insic 100 mg Suspensi 60 ml</t>
  </si>
  <si>
    <t>Rp4.800 - Rp5.000</t>
  </si>
  <si>
    <t>insic</t>
  </si>
  <si>
    <t xml:space="preserve">insic suspensi ibuprofen </t>
  </si>
  <si>
    <t>DKL1113316901A1</t>
  </si>
  <si>
    <t>Lactrin 300 mg 10 Kapsul</t>
  </si>
  <si>
    <t>Rp58.600 - Rp69.400</t>
  </si>
  <si>
    <t>lactrin</t>
  </si>
  <si>
    <t xml:space="preserve">lactrin kapsul erdosteine </t>
  </si>
  <si>
    <t>DBL8710900737A1</t>
  </si>
  <si>
    <t>Itramol Sirup 60 ml</t>
  </si>
  <si>
    <t>Rp4.300 - Rp12.100</t>
  </si>
  <si>
    <t xml:space="preserve">itramol sirup paracetamol </t>
  </si>
  <si>
    <t>TR202541491</t>
  </si>
  <si>
    <t>Milmor Plus 10 Kaplet</t>
  </si>
  <si>
    <t>MILMOR PLUS</t>
  </si>
  <si>
    <t>Rp24.800 - Rp39.600</t>
  </si>
  <si>
    <t>milmor plus</t>
  </si>
  <si>
    <t xml:space="preserve">milmor plus kaplet </t>
  </si>
  <si>
    <t>TR082496371</t>
  </si>
  <si>
    <t>Manjakani Dietin Pil 12 Sachet</t>
  </si>
  <si>
    <t>MANJAKANI DIETIN</t>
  </si>
  <si>
    <t>Rp14.600 - Rp21.000</t>
  </si>
  <si>
    <t>Dus, 12 Sachet</t>
  </si>
  <si>
    <t>manjakani dietin</t>
  </si>
  <si>
    <t xml:space="preserve">manjakani dietin sachet </t>
  </si>
  <si>
    <t>DBL1028404937A1</t>
  </si>
  <si>
    <t>Fasgo 160 mg/5 ml Sirup 60 ml</t>
  </si>
  <si>
    <t>Rp11.700 - Rp16.400</t>
  </si>
  <si>
    <t>fasgo</t>
  </si>
  <si>
    <t xml:space="preserve">fasgo sirup paracetamol </t>
  </si>
  <si>
    <t>DKL0315616553A1</t>
  </si>
  <si>
    <t>Suprafenid 100 mg Suppositoria</t>
  </si>
  <si>
    <t>Rp16.000 - Rp16.500</t>
  </si>
  <si>
    <t>suppositoria</t>
  </si>
  <si>
    <t>ketoprofen</t>
  </si>
  <si>
    <t>suprafenid</t>
  </si>
  <si>
    <t xml:space="preserve">suprafenid suppositoria ketoprofen </t>
  </si>
  <si>
    <t>DKL0033401004A1</t>
  </si>
  <si>
    <t>Xicalom 20 mg 10 Kaplet</t>
  </si>
  <si>
    <t>Rp2.500 - Rp3.600</t>
  </si>
  <si>
    <t>Dus, 10 Strip @ 10 Kaplet</t>
  </si>
  <si>
    <t>xicalom</t>
  </si>
  <si>
    <t xml:space="preserve">xicalom kaplet piroxicam </t>
  </si>
  <si>
    <t>DTL0823410833A1</t>
  </si>
  <si>
    <t>Axofen 100 mg Syrup 60 ml</t>
  </si>
  <si>
    <t>Rp20.600 - Rp20.700</t>
  </si>
  <si>
    <t>axofen</t>
  </si>
  <si>
    <t xml:space="preserve">axofen suspensi ibuprofen </t>
  </si>
  <si>
    <t>GTL9104207117A1</t>
  </si>
  <si>
    <t>Aminophylline 200 mg 100 Tablet</t>
  </si>
  <si>
    <t>Sebelum makan</t>
  </si>
  <si>
    <t>PENGGUNAAN OBAT INI HARUS SESUAI DENGAN PETUNJUK DOKTER. Dosis umum: 2 x sehari 225-450 mg</t>
  </si>
  <si>
    <t>TR123664511</t>
  </si>
  <si>
    <t>Bio 7 15 ml</t>
  </si>
  <si>
    <t>BIO 7</t>
  </si>
  <si>
    <t>Rp200.000 - Rp206.600</t>
  </si>
  <si>
    <t>Dus, Botol @ 15 ml</t>
  </si>
  <si>
    <t>bio 7</t>
  </si>
  <si>
    <t>bio</t>
  </si>
  <si>
    <t xml:space="preserve">bio  bio 7 </t>
  </si>
  <si>
    <t>DKL0433511710A1</t>
  </si>
  <si>
    <t>Velcox 7.5 mg 10 Tablet</t>
  </si>
  <si>
    <t>Rp66.400 - Rp71.200</t>
  </si>
  <si>
    <t>velcox</t>
  </si>
  <si>
    <t xml:space="preserve">velcox tablet meloxicam </t>
  </si>
  <si>
    <t>DBL9504306210A1</t>
  </si>
  <si>
    <t>Turpan 500 mg 10 Tablet</t>
  </si>
  <si>
    <t>Dus, 10 Blister @ 10 Tablet</t>
  </si>
  <si>
    <t>turpan</t>
  </si>
  <si>
    <t xml:space="preserve">turpan tablet paracetamol </t>
  </si>
  <si>
    <t>DBL1202503617A1</t>
  </si>
  <si>
    <t>Serbion 5000 10 Tablet</t>
  </si>
  <si>
    <t>Rp18.700 - Rp28.200</t>
  </si>
  <si>
    <t>Strip</t>
  </si>
  <si>
    <t>serbion</t>
  </si>
  <si>
    <t xml:space="preserve">serbion tablet cyanocobalamin </t>
  </si>
  <si>
    <t>DTL8501800309A1</t>
  </si>
  <si>
    <t>Tifalsic 10 Tablet</t>
  </si>
  <si>
    <t>Rp6.700 - Rp7.300</t>
  </si>
  <si>
    <t>tifalsic</t>
  </si>
  <si>
    <t xml:space="preserve">tifalsic kaplet ibuprofen </t>
  </si>
  <si>
    <t>DTL0701802733A1</t>
  </si>
  <si>
    <t>Tiafen 100 mg 60 ml</t>
  </si>
  <si>
    <t>Rp9.800 - Rp9.900</t>
  </si>
  <si>
    <t>DUA, 1 BOTOL @ 60 ML</t>
  </si>
  <si>
    <t>tiafen</t>
  </si>
  <si>
    <t xml:space="preserve">tiafen suspensi ibuprofen </t>
  </si>
  <si>
    <t>DBL0110803716A1</t>
  </si>
  <si>
    <t>Licobion 10 Tablet</t>
  </si>
  <si>
    <t>Rp4.700 - Rp8.000</t>
  </si>
  <si>
    <t>Dus, 10 Amplop @ 1 Strip @ 10 Tablet Salut Gula</t>
  </si>
  <si>
    <t>licobion</t>
  </si>
  <si>
    <t xml:space="preserve">licobion tablet cyanocobalamin </t>
  </si>
  <si>
    <t>DBL9604004709A1</t>
  </si>
  <si>
    <t>Citoneuron 10 Tablet</t>
  </si>
  <si>
    <t>citoneuron</t>
  </si>
  <si>
    <t xml:space="preserve">citoneuron kaplet cyanocobalamin </t>
  </si>
  <si>
    <t>TR143376261</t>
  </si>
  <si>
    <t>Haiping Plus 10 Kapsul</t>
  </si>
  <si>
    <t>HAIPING PLUS</t>
  </si>
  <si>
    <t>Rp15.000 - Rp20.500</t>
  </si>
  <si>
    <t>Dus, Blister @ 10 Kapsul</t>
  </si>
  <si>
    <t>haiping plus</t>
  </si>
  <si>
    <t xml:space="preserve">haiping plus kapsul </t>
  </si>
  <si>
    <t>TR043332071</t>
  </si>
  <si>
    <t>Herbacure Naturest 40 Kapsul</t>
  </si>
  <si>
    <t>HERBACURE NATUREST</t>
  </si>
  <si>
    <t>Rp182.000 - Rp202.200</t>
  </si>
  <si>
    <t>herbacure naturest</t>
  </si>
  <si>
    <t xml:space="preserve">herbacure naturest kapsul </t>
  </si>
  <si>
    <t>DBL8500900337A1</t>
  </si>
  <si>
    <t>Ekacetol Sirup 60 ml</t>
  </si>
  <si>
    <t>Rp6.500 - Rp12.500</t>
  </si>
  <si>
    <t>ekacetol</t>
  </si>
  <si>
    <t xml:space="preserve">ekacetol sirup paracetamol </t>
  </si>
  <si>
    <t>DBL9507101537A1</t>
  </si>
  <si>
    <t>Emturnas 120 mg Sirup 60 ml</t>
  </si>
  <si>
    <t>Rp5.900 - Rp9.000</t>
  </si>
  <si>
    <t>emturnas</t>
  </si>
  <si>
    <t xml:space="preserve">emturnas sirup paracetamol </t>
  </si>
  <si>
    <t>DKL9021905501A1</t>
  </si>
  <si>
    <t>Samrox 20 mg 10 Kapsul</t>
  </si>
  <si>
    <t>Rp2.500 - Rp11.200</t>
  </si>
  <si>
    <t>Dus, 10 Strip @ 10 Kapsul</t>
  </si>
  <si>
    <t>samrox</t>
  </si>
  <si>
    <t xml:space="preserve">samrox kapsul piroxicam </t>
  </si>
  <si>
    <t>TR063462151</t>
  </si>
  <si>
    <t>Sekar Malam 48 Pil</t>
  </si>
  <si>
    <t>SEKAR MALAM</t>
  </si>
  <si>
    <t>Rp168.000 - Rp189.000</t>
  </si>
  <si>
    <t>Dus @ 48 pil</t>
  </si>
  <si>
    <t>pil</t>
  </si>
  <si>
    <t>sekar malam</t>
  </si>
  <si>
    <t xml:space="preserve">sekar malam pil </t>
  </si>
  <si>
    <t>DTL0706413236A1</t>
  </si>
  <si>
    <t>Mofen Drops 15 ml</t>
  </si>
  <si>
    <t>Rp47.400 - Rp47.800</t>
  </si>
  <si>
    <t>tetes</t>
  </si>
  <si>
    <t>mofen</t>
  </si>
  <si>
    <t xml:space="preserve">mofen tetes ibuprofen </t>
  </si>
  <si>
    <t>Prontosan 30 ml</t>
  </si>
  <si>
    <t>Rp326.500 - Rp327.500</t>
  </si>
  <si>
    <t>Dus, Botol @ 30 ml</t>
  </si>
  <si>
    <t>prontosan</t>
  </si>
  <si>
    <t xml:space="preserve">prontosan larutan povidoneiodine </t>
  </si>
  <si>
    <t>DKL9508003617A1</t>
  </si>
  <si>
    <t>Pilopil 20 mg 6 Tablet</t>
  </si>
  <si>
    <t>Rp29.100 - Rp30.900</t>
  </si>
  <si>
    <t>Bersamaan dengan makanan</t>
  </si>
  <si>
    <t>PENGGUNAAN OBAT INI HARUS SESUAI DENGAN PETUNJUK DOKTER. Artritis reumatoid, osteoartritis, artrosis, ankylosing spondylitis, tendinitis, periartritis pada bahu, pangggul : 1 tablet sekali sehari. Gout akut : 2 tablet sekali sehari selama 2 hari dilanjutkan dengan 1 tablet sekali sehari selama 5 hari berikutnya.</t>
  </si>
  <si>
    <t>Tablet 20 Mg X 30</t>
  </si>
  <si>
    <t>Pasien yang akan mengalami asma, rinitis atau urtikaria (biduran/kaligata) bila mengkonsumsi Salisilat atau obat anti radang non steroid lainnya. Penyakit saluran pencernaan bagian atas yang parah. Pasien yang sedang menjalani anestesi/pembiusan atau pembedahan.</t>
  </si>
  <si>
    <t>HARUS DENGAN RESEP DOKTER. Kerusakan ginjal, sirosis hati, gagal jantung kongestif, dehidrasi, hamil, menyusui.</t>
  </si>
  <si>
    <t>tenoxicam</t>
  </si>
  <si>
    <t>pilopil</t>
  </si>
  <si>
    <t xml:space="preserve">pilopil tablet tenoxicam </t>
  </si>
  <si>
    <t>TR205601201</t>
  </si>
  <si>
    <t>Maharani Kahiyang Eucalyptus 60 ml</t>
  </si>
  <si>
    <t>MAHARANI KAHIYANG EUCALYPTUS</t>
  </si>
  <si>
    <t>Botol @ 60 ml</t>
  </si>
  <si>
    <t>maharani kahiyang eucalyptus</t>
  </si>
  <si>
    <t xml:space="preserve">maharani kahiyang eucalyptus  </t>
  </si>
  <si>
    <t>QL041600301</t>
  </si>
  <si>
    <t>Obat Kuasi</t>
  </si>
  <si>
    <t>Salonpas Liniment 30 ml</t>
  </si>
  <si>
    <t>Dus, Botol Plastik @ 30 ml</t>
  </si>
  <si>
    <t>camphor</t>
  </si>
  <si>
    <t>salonpas liniment</t>
  </si>
  <si>
    <t xml:space="preserve">salonpas liniment  camphor </t>
  </si>
  <si>
    <t>DBL8518201304A1</t>
  </si>
  <si>
    <t>Nufadol 500 mg 10 Kaplet</t>
  </si>
  <si>
    <t>Rp2.900 - Rp4.300</t>
  </si>
  <si>
    <t>Dus, 10 Catchcover @ 10 Kaplet</t>
  </si>
  <si>
    <t>nufadol</t>
  </si>
  <si>
    <t xml:space="preserve">nufadol kaplet paracetamol </t>
  </si>
  <si>
    <t>DKL2043004510B1</t>
  </si>
  <si>
    <t>Nucoxi 7.5 mg 10 Tablet</t>
  </si>
  <si>
    <t>Rp77.400 - Rp78.300</t>
  </si>
  <si>
    <t>nucoxi</t>
  </si>
  <si>
    <t xml:space="preserve">nucoxi tablet meloxicam </t>
  </si>
  <si>
    <t>DKL2043004510A1</t>
  </si>
  <si>
    <t>Nucoxi 15 mg 10 Tablet</t>
  </si>
  <si>
    <t>Rp116.000 - Rp126.600</t>
  </si>
  <si>
    <t>DKL0708514009A1</t>
  </si>
  <si>
    <t>Hexalgin 10 Tablet</t>
  </si>
  <si>
    <t>Rp8.300 - Rp10.600</t>
  </si>
  <si>
    <t>hexalgin</t>
  </si>
  <si>
    <t xml:space="preserve">hexalgin kaplet cyanocobalamin </t>
  </si>
  <si>
    <t>DKL2017628917A1</t>
  </si>
  <si>
    <t>Galstar 100 mg 10 Tablet</t>
  </si>
  <si>
    <t>Rp47.700 - Rp51.600</t>
  </si>
  <si>
    <t>DUS 10 STRIP @ 10 TABLET SALUT SELAPUT</t>
  </si>
  <si>
    <t>galstar</t>
  </si>
  <si>
    <t xml:space="preserve">galstar tablet rebamipide </t>
  </si>
  <si>
    <t>DBL8927908263A1</t>
  </si>
  <si>
    <t>Gastulen 50 mg 10 Tablet</t>
  </si>
  <si>
    <t>Rp12.000 - Rp12.900</t>
  </si>
  <si>
    <t>Dewasa dan anak di atas usia 12 tahun: 1-2 tablet dikunyah sesudah makan atau sebelum tidur, atau sesuai petunjuk dokter.</t>
  </si>
  <si>
    <t>Dus, 10 Strip @ 10 Tablet Kunyah</t>
  </si>
  <si>
    <t>simethicone</t>
  </si>
  <si>
    <t>gastulen</t>
  </si>
  <si>
    <t xml:space="preserve">gastulen tablet simethicone </t>
  </si>
  <si>
    <t>DBL0133203310A1</t>
  </si>
  <si>
    <t>Procet 500 mg 10 Tablet</t>
  </si>
  <si>
    <t>Rp3.600 - Rp3.900</t>
  </si>
  <si>
    <t>procet</t>
  </si>
  <si>
    <t xml:space="preserve">procet tablet paracetamol </t>
  </si>
  <si>
    <t>TR153689711</t>
  </si>
  <si>
    <t>Trigona Vico Propolis 6 ml</t>
  </si>
  <si>
    <t>TRIGONA VICO PROPOLIS</t>
  </si>
  <si>
    <t>Rp84.200 - Rp94.800</t>
  </si>
  <si>
    <t>Dus, Botol @ 6 ml</t>
  </si>
  <si>
    <t>trigona vico propolis</t>
  </si>
  <si>
    <t xml:space="preserve">trigona vico propolis  </t>
  </si>
  <si>
    <t>TR053347731</t>
  </si>
  <si>
    <t>Herbacure Naturic 40 Kapsul</t>
  </si>
  <si>
    <t>HERBACURE NATURIC</t>
  </si>
  <si>
    <t>herbacure naturic</t>
  </si>
  <si>
    <t xml:space="preserve">herbacure naturic kapsul </t>
  </si>
  <si>
    <t>DTL9910904504A1</t>
  </si>
  <si>
    <t>Salfenal 200 mg 10 Kaplet</t>
  </si>
  <si>
    <t>Dus, 10 strip @ 10 kaplet</t>
  </si>
  <si>
    <t>salfenal</t>
  </si>
  <si>
    <t xml:space="preserve">salfenal kaplet ibuprofen </t>
  </si>
  <si>
    <t>DKL8904110609A1</t>
  </si>
  <si>
    <t>Ribunal 400 mg 10 Kaplet</t>
  </si>
  <si>
    <t>Rp6.100 - Rp7.600</t>
  </si>
  <si>
    <t>ribunal</t>
  </si>
  <si>
    <t xml:space="preserve">ribunal kaplet ibuprofen </t>
  </si>
  <si>
    <t>TR142376461</t>
  </si>
  <si>
    <t>Harvest Valeo 30 Kapsul</t>
  </si>
  <si>
    <t>HARVEST VALEO</t>
  </si>
  <si>
    <t>Rp172.400 - Rp242.000</t>
  </si>
  <si>
    <t>harvest valeo</t>
  </si>
  <si>
    <t xml:space="preserve">harvest valeo kapsul </t>
  </si>
  <si>
    <t>DBL9119907716A1</t>
  </si>
  <si>
    <t>Bioron 10 Tablet</t>
  </si>
  <si>
    <t>Rp9.400 - Rp14.300</t>
  </si>
  <si>
    <t>bioron</t>
  </si>
  <si>
    <t xml:space="preserve">bioron tablet cyanocobalamin </t>
  </si>
  <si>
    <t>DTL1928207933A1</t>
  </si>
  <si>
    <t>Simris 100 mg Sirup 60 ml</t>
  </si>
  <si>
    <t>Rp20.900 - Rp31.200</t>
  </si>
  <si>
    <t>simris</t>
  </si>
  <si>
    <t xml:space="preserve">simris suspensi ibuprofen </t>
  </si>
  <si>
    <t>DBL7813003537A1</t>
  </si>
  <si>
    <t>Termorex Sirup 30 ml</t>
  </si>
  <si>
    <t>Rp9.400 - Rp10.400</t>
  </si>
  <si>
    <t>termorex</t>
  </si>
  <si>
    <t xml:space="preserve">termorex sirup paracetamol </t>
  </si>
  <si>
    <t>TR183612421</t>
  </si>
  <si>
    <t>MJS Nature Propolis 6 ml</t>
  </si>
  <si>
    <t>MJS NATURE PROPOLIS</t>
  </si>
  <si>
    <t>mjs nature propolis</t>
  </si>
  <si>
    <t xml:space="preserve">mjs nature propolis  </t>
  </si>
  <si>
    <t>DBL9626004437A1</t>
  </si>
  <si>
    <t>Tropigesic Sirup 60 ml</t>
  </si>
  <si>
    <t>Rp5.200 - Rp11.700</t>
  </si>
  <si>
    <t>Dus, 1 Botol @ 60 ml</t>
  </si>
  <si>
    <t>tropigesic</t>
  </si>
  <si>
    <t xml:space="preserve">tropigesic sirup paracetamol </t>
  </si>
  <si>
    <t>DKL9018807738A1</t>
  </si>
  <si>
    <t>Opiphen Dry Sirup 60 ml</t>
  </si>
  <si>
    <t>Rp23.400 - Rp32.000</t>
  </si>
  <si>
    <t>opiphen</t>
  </si>
  <si>
    <t xml:space="preserve">opiphen sirup thiamphenicol </t>
  </si>
  <si>
    <t>DKI1752503417A1</t>
  </si>
  <si>
    <t>Jardiance 10 mg 10 Tablet</t>
  </si>
  <si>
    <t>Rp222.000 - Rp298.300</t>
  </si>
  <si>
    <t>Dus, 3 Blister @ 10 Tablet salut selaput</t>
  </si>
  <si>
    <t>empagliflozin</t>
  </si>
  <si>
    <t>jardiance</t>
  </si>
  <si>
    <t xml:space="preserve">jardiance tablet empagliflozin </t>
  </si>
  <si>
    <t>DKL9609206004B1</t>
  </si>
  <si>
    <t>Xenifar 500 mg 10 Tablet</t>
  </si>
  <si>
    <t>Rp17.400 - Rp17.700</t>
  </si>
  <si>
    <t>naproxen</t>
  </si>
  <si>
    <t>xenifar</t>
  </si>
  <si>
    <t xml:space="preserve">xenifar kaplet naproxen </t>
  </si>
  <si>
    <t>DKL1621645910A1</t>
  </si>
  <si>
    <t>Ditrium 50 mg 10 Tablet</t>
  </si>
  <si>
    <t>Rp13.200 - Rp21.400</t>
  </si>
  <si>
    <t>Dus, 5 Blister @ 10 Tablet</t>
  </si>
  <si>
    <t>acarbose</t>
  </si>
  <si>
    <t>ditrium</t>
  </si>
  <si>
    <t xml:space="preserve">ditrium tablet acarbose </t>
  </si>
  <si>
    <t>DKL1621645910B1</t>
  </si>
  <si>
    <t>Ditrium 100 mg 10 Tablet</t>
  </si>
  <si>
    <t>Rp27.800 - Rp34.200</t>
  </si>
  <si>
    <t>DTL1415717028A1</t>
  </si>
  <si>
    <t>Thromecon Gel 20 g</t>
  </si>
  <si>
    <t>Rp36.300 - Rp42.300</t>
  </si>
  <si>
    <t>Dus, Tube @ 20 gram</t>
  </si>
  <si>
    <t>heparin</t>
  </si>
  <si>
    <t>thromecon</t>
  </si>
  <si>
    <t xml:space="preserve">thromecon gel heparin </t>
  </si>
  <si>
    <t>DKL9400202238A1</t>
  </si>
  <si>
    <t>Abbotic 125 mg/5 ml Dry Syrup 30 ml</t>
  </si>
  <si>
    <t>clarithromycin</t>
  </si>
  <si>
    <t>abbotic</t>
  </si>
  <si>
    <t xml:space="preserve">abbotic sirup clarithromycin </t>
  </si>
  <si>
    <t>GKL7212510010B1</t>
  </si>
  <si>
    <t>Isoniazid 100 mg 10 Tablet</t>
  </si>
  <si>
    <t>Rp3.300 - Rp3.400</t>
  </si>
  <si>
    <t>Paling baik diberikan saat kondisi perut kosong</t>
  </si>
  <si>
    <t>PENGGUNAAN OBAT INI HARUS SESUAI DENGAN PETUNJUK DOKTER. Sehari 5 mg / kgBB sampai 300 mg dosis tunggal</t>
  </si>
  <si>
    <t>INFORMASI OBAT INI HANYA UNTUK KALANGAN MEDIS. Tuberkulosis</t>
  </si>
  <si>
    <t>Tablet 1000 X 1</t>
  </si>
  <si>
    <t>HARUS DENGAN RESEP DOKTER. Konsumsi alkohol setiap hari. DM. Gangguan fungsi ginjal</t>
  </si>
  <si>
    <t>DKL1422253017A1</t>
  </si>
  <si>
    <t>Irbeten 150 mg 10 Tablet</t>
  </si>
  <si>
    <t>Rp113.300 - Rp125.900</t>
  </si>
  <si>
    <t>irbesartan</t>
  </si>
  <si>
    <t>irbeten</t>
  </si>
  <si>
    <t xml:space="preserve">irbeten tablet irbesartan </t>
  </si>
  <si>
    <t>DKL1717627338A1</t>
  </si>
  <si>
    <t>Erdobat Dry Syrup 60 ml</t>
  </si>
  <si>
    <t>erdobat</t>
  </si>
  <si>
    <t xml:space="preserve">erdobat sirup erdosteine </t>
  </si>
  <si>
    <t>DKL1228206001A1</t>
  </si>
  <si>
    <t>Erdomex 300 mg 10 Kapsul</t>
  </si>
  <si>
    <t>Rp57.100 - Rp69.400</t>
  </si>
  <si>
    <t>erdomex</t>
  </si>
  <si>
    <t xml:space="preserve">erdomex kapsul erdosteine </t>
  </si>
  <si>
    <t>DKL1334606410B1</t>
  </si>
  <si>
    <t>Dilavask 10 mg 10 Tablet</t>
  </si>
  <si>
    <t>Rp22.800 - Rp38.900</t>
  </si>
  <si>
    <t>amlodipine</t>
  </si>
  <si>
    <t>dilavask</t>
  </si>
  <si>
    <t xml:space="preserve">dilavask tablet amlodipine </t>
  </si>
  <si>
    <t>DKL0507917138A1</t>
  </si>
  <si>
    <t>Cerafix 100 mg Dry Sirup 30 ml</t>
  </si>
  <si>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</si>
  <si>
    <t>Pasien dengan riwayat syok atau hipersensitif terhadap beberapa bahan dari obat ini.</t>
  </si>
  <si>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</si>
  <si>
    <t>cefixime</t>
  </si>
  <si>
    <t>cerafix</t>
  </si>
  <si>
    <t xml:space="preserve">cerafix sirup cefixime </t>
  </si>
  <si>
    <t>DBL8906408130A1</t>
  </si>
  <si>
    <t>Cetricillin Salep 15 g</t>
  </si>
  <si>
    <t>Rp5.500 - Rp7.500</t>
  </si>
  <si>
    <t>Dus, Tube @ 15 gram</t>
  </si>
  <si>
    <t>salep</t>
  </si>
  <si>
    <t>cetrimide</t>
  </si>
  <si>
    <t>cetricillin</t>
  </si>
  <si>
    <t xml:space="preserve">cetricillin salep cetrimide </t>
  </si>
  <si>
    <t>Cerafix Dry Sirup 30 ml</t>
  </si>
  <si>
    <t>Rp31.200 - Rp31.600</t>
  </si>
  <si>
    <t>DKL0604129638A1</t>
  </si>
  <si>
    <t>Comtro Dry Sirup 30 ml</t>
  </si>
  <si>
    <t>Rp60.800 - Rp71.100</t>
  </si>
  <si>
    <t>comtro</t>
  </si>
  <si>
    <t xml:space="preserve">comtro sirup clarithromycin </t>
  </si>
  <si>
    <t>DKL1232717709A1</t>
  </si>
  <si>
    <t>Coyarin 6 Kaplet</t>
  </si>
  <si>
    <t>Rp106.700 - Rp111.000</t>
  </si>
  <si>
    <t>Dus, 5 Strip @ 6 Kaplet Salut Selaput</t>
  </si>
  <si>
    <t>coyarin</t>
  </si>
  <si>
    <t xml:space="preserve">coyarin kaplet amoxicillin </t>
  </si>
  <si>
    <t>DKL0933405033A1</t>
  </si>
  <si>
    <t>Flagsol Sirup 60 ml</t>
  </si>
  <si>
    <t>Rp10.500 - Rp10.700</t>
  </si>
  <si>
    <t>metronidazole</t>
  </si>
  <si>
    <t>flagsol</t>
  </si>
  <si>
    <t xml:space="preserve">flagsol suspensi metronidazole </t>
  </si>
  <si>
    <t>DKL0807810004A1</t>
  </si>
  <si>
    <t>Hufaflox 500 mg 10 Kaplet</t>
  </si>
  <si>
    <t>Rp5.100 - Rp8.200</t>
  </si>
  <si>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</si>
  <si>
    <t>ciprofloxacin</t>
  </si>
  <si>
    <t>hufaflox</t>
  </si>
  <si>
    <t xml:space="preserve">hufaflox kaplet ciprofloxacin </t>
  </si>
  <si>
    <t>DKL8307920033A1</t>
  </si>
  <si>
    <t>Metrolet 125 mg/5 ml Sirup 100 ml</t>
  </si>
  <si>
    <t>metrolet</t>
  </si>
  <si>
    <t xml:space="preserve">metrolet suspensi metronidazole </t>
  </si>
  <si>
    <t>DTL1421021237A1</t>
  </si>
  <si>
    <t>Arbupon Syrup 60 ml</t>
  </si>
  <si>
    <t>Rp5.300 - Rp5.500</t>
  </si>
  <si>
    <t>arbupon</t>
  </si>
  <si>
    <t xml:space="preserve">arbupon suspensi ibuprofen </t>
  </si>
  <si>
    <t>DKL0733404204A1</t>
  </si>
  <si>
    <t>Arfen 400 mg 10 Kaplet</t>
  </si>
  <si>
    <t>Rp6.600 - Rp6.800</t>
  </si>
  <si>
    <t>arfen</t>
  </si>
  <si>
    <t xml:space="preserve">arfen kaplet ibuprofen </t>
  </si>
  <si>
    <t>DKL8307903009A1</t>
  </si>
  <si>
    <t>Metrolet 500 mg 10 Tablet</t>
  </si>
  <si>
    <t>Rp7.500 - Rp9.900</t>
  </si>
  <si>
    <t>Dus, 10 strip 2 10 Kaplet salut selaput</t>
  </si>
  <si>
    <t xml:space="preserve">metrolet kaplet metronidazole </t>
  </si>
  <si>
    <t>DKL9223402304A2</t>
  </si>
  <si>
    <t>Miratrim 10 Kaplet</t>
  </si>
  <si>
    <t>Rp4.200 - Rp9.800</t>
  </si>
  <si>
    <t>Dus, 10 Blister @ 10 Kaplet</t>
  </si>
  <si>
    <t>miratrim</t>
  </si>
  <si>
    <t xml:space="preserve">miratrim kaplet sulfamethoxazole </t>
  </si>
  <si>
    <t>DKL2043007709A1</t>
  </si>
  <si>
    <t>Clarolid 500 mg 10 Kaplet</t>
  </si>
  <si>
    <t>Rp323.600 - Rp327.100</t>
  </si>
  <si>
    <t>Dus, 2 Strip @ 10 Kaplet Salut Selaput</t>
  </si>
  <si>
    <t>clarolid</t>
  </si>
  <si>
    <t xml:space="preserve">clarolid kaplet clarithromycin </t>
  </si>
  <si>
    <t>DKL8821903917A1</t>
  </si>
  <si>
    <t>Diaramid 10 Tablet</t>
  </si>
  <si>
    <t>Rp6.200 - Rp6.400</t>
  </si>
  <si>
    <t>Dus, 10 Strip @ 10 Tablet Salut Selaput</t>
  </si>
  <si>
    <t>loperamide</t>
  </si>
  <si>
    <t>diaramid</t>
  </si>
  <si>
    <t xml:space="preserve">diaramid tablet loperamide </t>
  </si>
  <si>
    <t>TR183310881</t>
  </si>
  <si>
    <t>Kapsida HS 12 Kapsul</t>
  </si>
  <si>
    <t>KAPSIDA HS</t>
  </si>
  <si>
    <t>Rp21.200 - Rp28.700</t>
  </si>
  <si>
    <t>Dus, 1 Blister @ 12 Kapsul</t>
  </si>
  <si>
    <t>kapsida hs</t>
  </si>
  <si>
    <t xml:space="preserve">kapsida hs kapsul </t>
  </si>
  <si>
    <t>DKL1413318637A1</t>
  </si>
  <si>
    <t>Desdin Sirup 60 ml</t>
  </si>
  <si>
    <t>Rp94.900 - Rp124.900</t>
  </si>
  <si>
    <t>desloratadine</t>
  </si>
  <si>
    <t>desdin</t>
  </si>
  <si>
    <t xml:space="preserve">desdin sirup desloratadine </t>
  </si>
  <si>
    <t>DKL1631538137A1</t>
  </si>
  <si>
    <t>Eslor Sirup 60 ml</t>
  </si>
  <si>
    <t>Rp79.100 - Rp85.400</t>
  </si>
  <si>
    <t>eslor</t>
  </si>
  <si>
    <t xml:space="preserve">eslor sirup desloratadine </t>
  </si>
  <si>
    <t>DKL0233505337A1</t>
  </si>
  <si>
    <t>Meclovel Sirup 60 ml</t>
  </si>
  <si>
    <t>Rp43.200 - Rp50.500</t>
  </si>
  <si>
    <t>betamethasone</t>
  </si>
  <si>
    <t>meclovel</t>
  </si>
  <si>
    <t xml:space="preserve">meclovel sirup betamethasone </t>
  </si>
  <si>
    <t>TR182514661</t>
  </si>
  <si>
    <t>Venaron Hd 10 Kaplet</t>
  </si>
  <si>
    <t>VENARON HD</t>
  </si>
  <si>
    <t>Rp55.300 - Rp86.900</t>
  </si>
  <si>
    <t>venaron hd</t>
  </si>
  <si>
    <t xml:space="preserve">venaron hd kaplet </t>
  </si>
  <si>
    <t>DTL7425903653A1</t>
  </si>
  <si>
    <t>Triolax Suppositoria</t>
  </si>
  <si>
    <t>Rp9.600 - Rp17.800</t>
  </si>
  <si>
    <t>glycerol</t>
  </si>
  <si>
    <t>triolax</t>
  </si>
  <si>
    <t xml:space="preserve">triolax suppositoria glycerol </t>
  </si>
  <si>
    <t>DKL1705058117A1</t>
  </si>
  <si>
    <t>Trolip 160 mg 6 Tablet</t>
  </si>
  <si>
    <t>Rp81.400 - Rp101.400</t>
  </si>
  <si>
    <t>Dus, 5 Strip @ 6 Tablet</t>
  </si>
  <si>
    <t>fenofibrate</t>
  </si>
  <si>
    <t>trolip</t>
  </si>
  <si>
    <t xml:space="preserve">trolip tablet fenofibrate </t>
  </si>
  <si>
    <t>Trolip 160 mg 10 Tablet</t>
  </si>
  <si>
    <t>Rp89.900 - Rp170.700</t>
  </si>
  <si>
    <t>DKL1433533937A1</t>
  </si>
  <si>
    <t>Nosfocin Sirup 120 ml</t>
  </si>
  <si>
    <t>Dus, Botol @ 120 ml</t>
  </si>
  <si>
    <t>nosfocin</t>
  </si>
  <si>
    <t xml:space="preserve">nosfocin sirup levodropropizine </t>
  </si>
  <si>
    <t>DKL1131114709A1</t>
  </si>
  <si>
    <t>Norpid 20 mg 10 Tablet</t>
  </si>
  <si>
    <t>Rp10.200 - Rp27.400</t>
  </si>
  <si>
    <t>simvastatin</t>
  </si>
  <si>
    <t>norpid</t>
  </si>
  <si>
    <t xml:space="preserve">norpid kaplet simvastatin </t>
  </si>
  <si>
    <t>DBL1235307737A1</t>
  </si>
  <si>
    <t>Graphalac Sirup 120 ml</t>
  </si>
  <si>
    <t>Rp57.300 - Rp95.300</t>
  </si>
  <si>
    <t>lactulose</t>
  </si>
  <si>
    <t>graphalac</t>
  </si>
  <si>
    <t xml:space="preserve">graphalac sirup lactulose </t>
  </si>
  <si>
    <t>TI144648441</t>
  </si>
  <si>
    <t>Harvest Cough Mixture 150 ml</t>
  </si>
  <si>
    <t>HARVEST COUGH MIXTURE</t>
  </si>
  <si>
    <t>Dus, Botol @ 150 ml</t>
  </si>
  <si>
    <t>harvest cough mixture</t>
  </si>
  <si>
    <t xml:space="preserve">harvest cough mixture  </t>
  </si>
  <si>
    <t>DTL1440401563A1</t>
  </si>
  <si>
    <t>Vermoran 500 mg Tablet</t>
  </si>
  <si>
    <t>Rp8.100 - Rp9.300</t>
  </si>
  <si>
    <t>Dus, 12 Catchcover @ 1 Strip @ 1 Tablet</t>
  </si>
  <si>
    <t>mebendazole</t>
  </si>
  <si>
    <t>vermoran</t>
  </si>
  <si>
    <t xml:space="preserve">vermoran tablet mebendazole </t>
  </si>
  <si>
    <t>TR133367121</t>
  </si>
  <si>
    <t>Toga Aini 50 Kapsul</t>
  </si>
  <si>
    <t>TOGA AINI</t>
  </si>
  <si>
    <t>Rp54.000 - Rp133.400</t>
  </si>
  <si>
    <t>toga aini</t>
  </si>
  <si>
    <t xml:space="preserve">toga aini kapsul </t>
  </si>
  <si>
    <t>DKL1608024101A1</t>
  </si>
  <si>
    <t>Coltin 300 mg 10 Kapsul</t>
  </si>
  <si>
    <t>Rp61.900 - Rp65.500</t>
  </si>
  <si>
    <t>Dus, 2 Strip @ 10 Kapsul</t>
  </si>
  <si>
    <t>coltin</t>
  </si>
  <si>
    <t xml:space="preserve">coltin kapsul erdosteine </t>
  </si>
  <si>
    <t>DKL7225802830A1</t>
  </si>
  <si>
    <t>Trifamycetine 2% Salep 15 g</t>
  </si>
  <si>
    <t>Rp12.700 - Rp13.900</t>
  </si>
  <si>
    <t>Tube</t>
  </si>
  <si>
    <t>chloramphenicol</t>
  </si>
  <si>
    <t>trifamycetine</t>
  </si>
  <si>
    <t xml:space="preserve">trifamycetine salep chloramphenicol </t>
  </si>
  <si>
    <t>DBL0909219233A1</t>
  </si>
  <si>
    <t>Kanina Suspensi 60 ml</t>
  </si>
  <si>
    <t>Rp5.600 - Rp11.100</t>
  </si>
  <si>
    <t>kaolin</t>
  </si>
  <si>
    <t>kanina</t>
  </si>
  <si>
    <t xml:space="preserve">kanina suspensi kaolin </t>
  </si>
  <si>
    <t>TR082687331</t>
  </si>
  <si>
    <t>Minol 5 ml 6 Botol</t>
  </si>
  <si>
    <t>MINOL</t>
  </si>
  <si>
    <t>Rp21.700 - Rp45.500</t>
  </si>
  <si>
    <t>Dus, 6 Botol @ 5 ml</t>
  </si>
  <si>
    <t>minol</t>
  </si>
  <si>
    <t>minol botol</t>
  </si>
  <si>
    <t xml:space="preserve">minol botol  minol </t>
  </si>
  <si>
    <t>DKL1708024337A1</t>
  </si>
  <si>
    <t>Niral Sirup 60 ml</t>
  </si>
  <si>
    <t>Rp44.400 - Rp53.400</t>
  </si>
  <si>
    <t>nifuroxazide</t>
  </si>
  <si>
    <t>niral</t>
  </si>
  <si>
    <t xml:space="preserve">niral sirup nifuroxazide </t>
  </si>
  <si>
    <t>DTL9422216017A1</t>
  </si>
  <si>
    <t>Bufect 4 Tablet</t>
  </si>
  <si>
    <t>Rp3.100 - Rp4.200</t>
  </si>
  <si>
    <t>Ssesudah makan</t>
  </si>
  <si>
    <t>Dewasa : 1 tablet, 3-4 kali sehari Anak -anak : 3-7 tahun : 1/2 tablet 3-4 kali sehari 8-12 tahun : 1 tablet 3-4 kali sehari</t>
  </si>
  <si>
    <t>Strip @ 4 tablet</t>
  </si>
  <si>
    <t>bufect</t>
  </si>
  <si>
    <t xml:space="preserve">bufect tablet ibuprofen </t>
  </si>
  <si>
    <t>DTL0400203033A1</t>
  </si>
  <si>
    <t>Brufen 100 mg 60 ml</t>
  </si>
  <si>
    <t>Rp36.900 - Rp38.000</t>
  </si>
  <si>
    <t>DUS, 1 BOTOL @ 60 ML</t>
  </si>
  <si>
    <t>brufen</t>
  </si>
  <si>
    <t xml:space="preserve">brufen suspensi ibuprofen </t>
  </si>
  <si>
    <t>DKL0231406809A2</t>
  </si>
  <si>
    <t>Biropyron 10 Kaplet</t>
  </si>
  <si>
    <t>Rp6.600 - Rp9.000</t>
  </si>
  <si>
    <t>Dus, 1 Strip @ 10 kaplet</t>
  </si>
  <si>
    <t>biropyron</t>
  </si>
  <si>
    <t xml:space="preserve">biropyron kaplet cyanocobalamin </t>
  </si>
  <si>
    <t>DKL0334002033A1</t>
  </si>
  <si>
    <t>Novatrim 240 mg Suspensi 60 ml</t>
  </si>
  <si>
    <t>Rp5.100 - Rp5.900</t>
  </si>
  <si>
    <t>novatrim</t>
  </si>
  <si>
    <t xml:space="preserve">novatrim suspensi sulfamethoxazole </t>
  </si>
  <si>
    <t>DKL0334002810A1</t>
  </si>
  <si>
    <t>Novatrim 480 mg 10 Tablet</t>
  </si>
  <si>
    <t>Rp3.800 - Rp5.500</t>
  </si>
  <si>
    <t xml:space="preserve">novatrim tablet sulfamethoxazole </t>
  </si>
  <si>
    <t>DKL0316907438A1</t>
  </si>
  <si>
    <t>Omemox Sirup 60 ml</t>
  </si>
  <si>
    <t>Rp9.800 - Rp10.100</t>
  </si>
  <si>
    <t>omemox</t>
  </si>
  <si>
    <t xml:space="preserve">omemox sirup amoxicillin </t>
  </si>
  <si>
    <t>DKL0434004801A1</t>
  </si>
  <si>
    <t>Novachlor 250 mg 10 Kapsul</t>
  </si>
  <si>
    <t>Rp6.500 - Rp7.400</t>
  </si>
  <si>
    <t>novachlor</t>
  </si>
  <si>
    <t xml:space="preserve">novachlor kapsul chloramphenicol </t>
  </si>
  <si>
    <t>DKL1128205710A1</t>
  </si>
  <si>
    <t>Atrocox 7.5 mg 10 Tablet</t>
  </si>
  <si>
    <t>Rp66.300 - Rp86.700</t>
  </si>
  <si>
    <t>atrocox</t>
  </si>
  <si>
    <t xml:space="preserve">atrocox tablet meloxicam </t>
  </si>
  <si>
    <t>DKI1801600117D1</t>
  </si>
  <si>
    <t>Glucovance 5 mg/1000 mg 15 Tablet</t>
  </si>
  <si>
    <t>Rp58.700 - Rp97.300</t>
  </si>
  <si>
    <t>Bersama makanan</t>
  </si>
  <si>
    <t>Dus, 4 Blister @ 15 Tablet Salut Selaput</t>
  </si>
  <si>
    <t>glibenclamide</t>
  </si>
  <si>
    <t>glucovance</t>
  </si>
  <si>
    <t xml:space="preserve">glucovance tablet glibenclamide </t>
  </si>
  <si>
    <t>DKL1128205710B1</t>
  </si>
  <si>
    <t>Atrocox 15 mg 10 Tablet</t>
  </si>
  <si>
    <t>Rp125.200 - Rp138.800</t>
  </si>
  <si>
    <t>DKL1940503710A1</t>
  </si>
  <si>
    <t>Glidex 80 mg 10 Tablet</t>
  </si>
  <si>
    <t>gliclazide</t>
  </si>
  <si>
    <t>glidex</t>
  </si>
  <si>
    <t xml:space="preserve">glidex tablet gliclazide </t>
  </si>
  <si>
    <t>DKL0516908633A1</t>
  </si>
  <si>
    <t>Omenizol Sirup 60 ml</t>
  </si>
  <si>
    <t>Rp8.900 - Rp10.100</t>
  </si>
  <si>
    <t>omenizol</t>
  </si>
  <si>
    <t xml:space="preserve">omenizol suspensi metronidazole </t>
  </si>
  <si>
    <t>DKI1848500168A1</t>
  </si>
  <si>
    <t>Budesma 0.5 mg/ml Inhalant 2 ml</t>
  </si>
  <si>
    <t>Rp19.500 - Rp23.400</t>
  </si>
  <si>
    <t>Dus, 20 Container monodose @ 2 ml</t>
  </si>
  <si>
    <t>powder</t>
  </si>
  <si>
    <t>budesonide</t>
  </si>
  <si>
    <t>budesma inhalant</t>
  </si>
  <si>
    <t xml:space="preserve">budesma inhalant powder budesonide </t>
  </si>
  <si>
    <t xml:space="preserve">budesma inhalant suspensi budesonide </t>
  </si>
  <si>
    <t>GTL8309201029A1</t>
  </si>
  <si>
    <t>Promethazine 20 mg Krim 5 g</t>
  </si>
  <si>
    <t>Rp5.100 - Rp5.200</t>
  </si>
  <si>
    <t>Dus, 2 tube @ 5 g</t>
  </si>
  <si>
    <t>krim</t>
  </si>
  <si>
    <t>promethazine hydrochloride</t>
  </si>
  <si>
    <t>promethazine</t>
  </si>
  <si>
    <t xml:space="preserve">promethazine krim promethazine hydrochloride </t>
  </si>
  <si>
    <t>DKL1621021929A1</t>
  </si>
  <si>
    <t>Desnicort Cream 10 g</t>
  </si>
  <si>
    <t>Rp39.900 - Rp40.400</t>
  </si>
  <si>
    <t>Dus, 1 Tube @ 10 gram</t>
  </si>
  <si>
    <t>desonide</t>
  </si>
  <si>
    <t>desnicort cream</t>
  </si>
  <si>
    <t xml:space="preserve">desnicort cream krim desonide </t>
  </si>
  <si>
    <t>DTL1809610433A1</t>
  </si>
  <si>
    <t>Neo Linucid Sirup 60 ml</t>
  </si>
  <si>
    <t>DUS, 1 BOTOL PLASTIK @ 60 ML</t>
  </si>
  <si>
    <t>neo linucid</t>
  </si>
  <si>
    <t xml:space="preserve">neo linucid suspensi ibuprofen </t>
  </si>
  <si>
    <t>DKL1843000901A1</t>
  </si>
  <si>
    <t>Cecyl 200 mg 10 Kapsul</t>
  </si>
  <si>
    <t>Rp31.600 - Rp45.500</t>
  </si>
  <si>
    <t>Obat Wajib Apotek, Obat ini dapat dibeli dan diserahkan apoteker tanpa resep dengan maksimum 2 Strip. Pembelian melebihi batas ini WAJIB RESEP DOKTER.</t>
  </si>
  <si>
    <t>acetyl cysteine</t>
  </si>
  <si>
    <t>cecyl</t>
  </si>
  <si>
    <t xml:space="preserve">cecyl kapsul acetyl cysteine </t>
  </si>
  <si>
    <t>DKL0635801929A1</t>
  </si>
  <si>
    <t>Dermades 0.5 mg/g Cream 10 g</t>
  </si>
  <si>
    <t>Rp28.400 - Rp31.400</t>
  </si>
  <si>
    <t>HARUS DENGAN RESEP DOKTER</t>
  </si>
  <si>
    <t>dermades cream</t>
  </si>
  <si>
    <t xml:space="preserve">dermades cream krim desonide </t>
  </si>
  <si>
    <t>QD151713241</t>
  </si>
  <si>
    <t>Ichtyol Ointment 15 g</t>
  </si>
  <si>
    <t>Rp8.400 - Rp10.400</t>
  </si>
  <si>
    <t>Oleskan pada bagian yang sakit setelah dibersihkan</t>
  </si>
  <si>
    <t>Sesuai kebutuhan</t>
  </si>
  <si>
    <t>Bisul</t>
  </si>
  <si>
    <t>Pot @ 15 gram</t>
  </si>
  <si>
    <t>Penderita yang hipersensitif terhadap komponen obat, iritasi kulit</t>
  </si>
  <si>
    <t>Hanya untuk pemakaian luar tubuh. Penggunaan yang berlebihan dapat menyebabkan iritasi jaringan.</t>
  </si>
  <si>
    <t>ichtammolum</t>
  </si>
  <si>
    <t>bisul</t>
  </si>
  <si>
    <t>ichtyol ointment</t>
  </si>
  <si>
    <t>ichtyol ointment  ichtammolum bisul</t>
  </si>
  <si>
    <t>DTL7813004810A1</t>
  </si>
  <si>
    <t>Konvermex 125 mg 4 Kaplet</t>
  </si>
  <si>
    <t>Rp10.900 - Rp14.600</t>
  </si>
  <si>
    <t>Dus, 25 Catch cover @ 1 Blister @ 4 Tablet</t>
  </si>
  <si>
    <t>pyrantel pamoate</t>
  </si>
  <si>
    <t>konvermex</t>
  </si>
  <si>
    <t xml:space="preserve">konvermex tablet pyrantel pamoate </t>
  </si>
  <si>
    <t>DTL8527902310A1</t>
  </si>
  <si>
    <t>Bronex 8 mg 10 Tablet</t>
  </si>
  <si>
    <t>Rp3.900 - Rp4.300</t>
  </si>
  <si>
    <t>Dus, 10 Catchcover, 1 Strip @ 10 Tablet</t>
  </si>
  <si>
    <t>bromhexine hydrochloride</t>
  </si>
  <si>
    <t>bronex</t>
  </si>
  <si>
    <t xml:space="preserve">bronex tablet bromhexine hydrochloride </t>
  </si>
  <si>
    <t>DTL1422723533A2</t>
  </si>
  <si>
    <t>Bodrexin Ibp 100 mg 60 ml</t>
  </si>
  <si>
    <t>Rp10.900 - Rp11.000</t>
  </si>
  <si>
    <t>bodrexin ibp</t>
  </si>
  <si>
    <t xml:space="preserve">bodrexin ibp suspensi ibuprofen </t>
  </si>
  <si>
    <t>DTL7206316201A1</t>
  </si>
  <si>
    <t>Ceteem 4 mg 10 Tablet</t>
  </si>
  <si>
    <t>Rp2.000 - Rp4.400</t>
  </si>
  <si>
    <t>DUS, 10 AMPLOP @ 1 STRIP @ 10 KAPSUL</t>
  </si>
  <si>
    <t>chlorphenamine maleate</t>
  </si>
  <si>
    <t>ceteem</t>
  </si>
  <si>
    <t xml:space="preserve">ceteem kapsul chlorphenamine maleate </t>
  </si>
  <si>
    <t>DTL7813021933A1</t>
  </si>
  <si>
    <t>Konvermex Suspensi 250 mg 10 ml</t>
  </si>
  <si>
    <t>Rp17.500 - Rp24.200</t>
  </si>
  <si>
    <t>Dus, 10 Blister @ 1 Botol Plastik @ 10 ml</t>
  </si>
  <si>
    <t xml:space="preserve">konvermex suspensi pyrantel pamoate </t>
  </si>
  <si>
    <t>DKL0028603028A1</t>
  </si>
  <si>
    <t>Medi-Klin Gel 10 g</t>
  </si>
  <si>
    <t>Rp27.500 - Rp28.200</t>
  </si>
  <si>
    <t>Dioleskan pada jerawat</t>
  </si>
  <si>
    <t>PENGGUNAAN OBAT INI HARUS SESUAI DENGAN PETUNJUK DOKTER. Oleskan gel 1-2 x sehari</t>
  </si>
  <si>
    <t>Dus, Tube @ 10 g</t>
  </si>
  <si>
    <t>Hipersensitif terhadap klindamisin atau linkomisin</t>
  </si>
  <si>
    <t>Obat Wajib Apotek, Obat ini dapat dibeli dan diserahkan apoteker tanpa resep dengan maksimum 1 Tube. Pembelian melebihi batas ini WAJIB RESEP DOKTER. Hindari kontak dengan mata dan membran mukosa lain. Hamil, laktasi. Anak &lt;12 tahun</t>
  </si>
  <si>
    <t>clindamycin phosphate</t>
  </si>
  <si>
    <t>mediklin</t>
  </si>
  <si>
    <t xml:space="preserve">mediklin gel clindamycin phosphate </t>
  </si>
  <si>
    <t>DTL1502351037A1</t>
  </si>
  <si>
    <t>Kontrabat Sirup 60 ml</t>
  </si>
  <si>
    <t>Rp15.200 - Rp16.500</t>
  </si>
  <si>
    <t>dextromethorphan hydrobromide</t>
  </si>
  <si>
    <t>kontrabat</t>
  </si>
  <si>
    <t xml:space="preserve">kontrabat sirup dextromethorphan hydrobromide </t>
  </si>
  <si>
    <t>sulfamethoxazole trimethoprim</t>
  </si>
  <si>
    <t xml:space="preserve">novatrim suspensi sulfamethoxazole trimethoprim </t>
  </si>
  <si>
    <t>DBL1330706136A1</t>
  </si>
  <si>
    <t>Contrexyn Demam Drops 15 ml</t>
  </si>
  <si>
    <t>Rp15.600 - Rp16.000</t>
  </si>
  <si>
    <t>contrexyn demam</t>
  </si>
  <si>
    <t xml:space="preserve">contrexyn demam tetes paracetamol </t>
  </si>
  <si>
    <t>DKL1432406136A1</t>
  </si>
  <si>
    <t>Capritazin Drops 20 ml</t>
  </si>
  <si>
    <t>Rp73.200 - Rp74.400</t>
  </si>
  <si>
    <t>Dus, Botol @ 20 ml</t>
  </si>
  <si>
    <t>cetirizine hydrochloride</t>
  </si>
  <si>
    <t>capritazin</t>
  </si>
  <si>
    <t xml:space="preserve">capritazin tetes cetirizine hydrochloride </t>
  </si>
  <si>
    <t>DTL8716003004A1</t>
  </si>
  <si>
    <t>Metaflu 10 Tablet</t>
  </si>
  <si>
    <t>Rp5.500 - Rp6.600</t>
  </si>
  <si>
    <t>DUS, 10 CATCH COVER @ 1 STRIP @ 10 KAPLET</t>
  </si>
  <si>
    <t>metaflu</t>
  </si>
  <si>
    <t xml:space="preserve">metaflu kaplet chlorphenamine maleate </t>
  </si>
  <si>
    <t>DKL9422709629A1</t>
  </si>
  <si>
    <t>Scanderma Cream 10 g</t>
  </si>
  <si>
    <t>Rp21.000 - Rp29.700</t>
  </si>
  <si>
    <t>Dus, Tube @ 10 Gram</t>
  </si>
  <si>
    <t>Obat Wajib Apotek, Obat ini dapat dibeli dan diserahkan apoteker tanpa resep dengan maksimum 1 Tube. Pembelian melebihi batas ini WAJIB RESEP DOKTER.</t>
  </si>
  <si>
    <t>scanderma cream</t>
  </si>
  <si>
    <t xml:space="preserve">scanderma cream krim betamethasone </t>
  </si>
  <si>
    <t>GKL8920910001A1</t>
  </si>
  <si>
    <t>Rifampicin 300 mg 10 Tablet</t>
  </si>
  <si>
    <t>Rp7.900 - Rp16.900</t>
  </si>
  <si>
    <t>Paling baik diberikan pada saat perut kosong 1 jam sebelum atau 2 jam sesudah makan</t>
  </si>
  <si>
    <t>PENGGUNAAN OBAT INI HARUS SESUAI DENGAN PETUNJUK DOKTER. TBC dewasa 450-600 mg/hari sebagai dosis tunggal, anak 10-20 mg/kgBB 1 kali sehari. Lepra dewasa 450-600 1 kali sehari, anak 10-15 mg/kgBB 1 kali sehari. Dosis 600 mg/hari jangan dikombinasikan dengan antileprotik yang lain.</t>
  </si>
  <si>
    <t>INFORMASI OBAT INI HANYA UNTUK KALANGAN MEDIS. Tuberkulosis dan Lepra</t>
  </si>
  <si>
    <t>Hipersensitivitas terhadap rifampicin atau rifamycin lainnya. Pasien dengan ikterus. Penggunaan bersamaan dengan terapi saquinavir / ritonavir.</t>
  </si>
  <si>
    <t>HARUS DENGAN RESEP DOKTER. kerusakan fungsi hati, hamil trimester 1</t>
  </si>
  <si>
    <t>tuberkulosis lepra</t>
  </si>
  <si>
    <t>rifampicin kapsul tuberkulosis lepra</t>
  </si>
  <si>
    <t>DTL9509204929A1</t>
  </si>
  <si>
    <t>Dermifar Cream 5 g</t>
  </si>
  <si>
    <t>Rp5.800 - Rp10.900</t>
  </si>
  <si>
    <t>oleskan tipis pada tempat yang sakit</t>
  </si>
  <si>
    <t>Sehari 2-3 x selama 1-4 minggu</t>
  </si>
  <si>
    <t>Tube 5 G g</t>
  </si>
  <si>
    <t>clotrimazole</t>
  </si>
  <si>
    <t>dermifar cream</t>
  </si>
  <si>
    <t xml:space="preserve">dermifar cream krim clotrimazole </t>
  </si>
  <si>
    <t>TR032725851</t>
  </si>
  <si>
    <t>Bioskin Gel 60 g</t>
  </si>
  <si>
    <t>BIOSKIN GEL</t>
  </si>
  <si>
    <t>Rp24.700 - Rp44.900</t>
  </si>
  <si>
    <t>Tube @ 60 G</t>
  </si>
  <si>
    <t>bioskin gel</t>
  </si>
  <si>
    <t>bioskin</t>
  </si>
  <si>
    <t xml:space="preserve">bioskin gel bioskin gel </t>
  </si>
  <si>
    <t>Dermifar Cream 10 g</t>
  </si>
  <si>
    <t>Rp8.600 - Rp13.200</t>
  </si>
  <si>
    <t>DTL8706407001A1</t>
  </si>
  <si>
    <t>Codecon 4 Kapsul</t>
  </si>
  <si>
    <t>Rp3.400 - Rp4.000</t>
  </si>
  <si>
    <t>Dus, 25 Strip @ 4 Kapsul</t>
  </si>
  <si>
    <t>codecon</t>
  </si>
  <si>
    <t xml:space="preserve">codecon kapsul dextromethorphan hydrobromide </t>
  </si>
  <si>
    <t>DTL0816702033B1</t>
  </si>
  <si>
    <t>Oraprofen Forte 200 mg Suspensi 60 ml</t>
  </si>
  <si>
    <t>Rp31.700 - Rp31.800</t>
  </si>
  <si>
    <t>oraprofen forte</t>
  </si>
  <si>
    <t xml:space="preserve">oraprofen forte suspensi ibuprofen </t>
  </si>
  <si>
    <t>DBL9326001510A1</t>
  </si>
  <si>
    <t>New Antides 10 Tablet</t>
  </si>
  <si>
    <t>Rp2.400 - Rp7.600</t>
  </si>
  <si>
    <t>Du, 10 Strip @ 10 Tablet</t>
  </si>
  <si>
    <t>attapulgite</t>
  </si>
  <si>
    <t>new antides</t>
  </si>
  <si>
    <t xml:space="preserve">new antides tablet attapulgite </t>
  </si>
  <si>
    <t>DTL0908515629A1</t>
  </si>
  <si>
    <t>Anfuhex Cream 5 g</t>
  </si>
  <si>
    <t>Rp9.700 - Rp11.300</t>
  </si>
  <si>
    <t>anfuhex cream</t>
  </si>
  <si>
    <t xml:space="preserve">anfuhex cream krim ketoconazole </t>
  </si>
  <si>
    <t>DKL8304103917A1</t>
  </si>
  <si>
    <t>Normudal 2 mg 10 Tablet</t>
  </si>
  <si>
    <t>Rp11.100 - Rp15.000</t>
  </si>
  <si>
    <t>loperamide hydrochloride</t>
  </si>
  <si>
    <t>normudal</t>
  </si>
  <si>
    <t xml:space="preserve">normudal tablet loperamide hydrochloride </t>
  </si>
  <si>
    <t>DBL9300911233A1</t>
  </si>
  <si>
    <t>Neo Asta Suspensi 60 ml</t>
  </si>
  <si>
    <t>Rp7.100 - Rp12.900</t>
  </si>
  <si>
    <t>neo asta</t>
  </si>
  <si>
    <t xml:space="preserve">neo asta suspensi kaolin </t>
  </si>
  <si>
    <t>trimethoprim sulfamethoxazole</t>
  </si>
  <si>
    <t xml:space="preserve">novatrim tablet trimethoprim sulfamethoxazole </t>
  </si>
  <si>
    <t>DTL9606309604A1</t>
  </si>
  <si>
    <t>Wormetrin 250 mg 2 Kaplet</t>
  </si>
  <si>
    <t>Rp2.400 - Rp3.600</t>
  </si>
  <si>
    <t>Dus, 25 Catch Cover @ 2 Kaplet</t>
  </si>
  <si>
    <t>wormetrin</t>
  </si>
  <si>
    <t xml:space="preserve">wormetrin kaplet pyrantel pamoate </t>
  </si>
  <si>
    <t>DTL8306403910A1</t>
  </si>
  <si>
    <t>Erphahexin 10 Tablet</t>
  </si>
  <si>
    <t>Rp2.200 - Rp2.500</t>
  </si>
  <si>
    <t>Dewasa 3-4 x sehari 1 tab, anak &gt;5 tahun 3-4 x sehari 1/2 tab, &lt; 5 tahun 2 x sehari 1/2 tab</t>
  </si>
  <si>
    <t>erphahexin</t>
  </si>
  <si>
    <t xml:space="preserve">erphahexin tablet bromhexine hydrochloride </t>
  </si>
  <si>
    <t>DKL1228206236A1</t>
  </si>
  <si>
    <t>Simzen 10 mg/ml Drops 20 ml</t>
  </si>
  <si>
    <t>Rp84.900 - Rp97.100</t>
  </si>
  <si>
    <t>Dus, Drops @ 20 ml</t>
  </si>
  <si>
    <t>simzen</t>
  </si>
  <si>
    <t xml:space="preserve">simzen tetes cetirizine hydrochloride </t>
  </si>
  <si>
    <t>DKL1533534117A1</t>
  </si>
  <si>
    <t>Rymont 10 mg 10 Tablet</t>
  </si>
  <si>
    <t>Rp73.700 - Rp87.400</t>
  </si>
  <si>
    <t>montelukast sodium</t>
  </si>
  <si>
    <t>rymont</t>
  </si>
  <si>
    <t xml:space="preserve">rymont tablet montelukast sodium </t>
  </si>
  <si>
    <t>DKL0735802617A1</t>
  </si>
  <si>
    <t>Ryzicor 10 mg 10 Tablet</t>
  </si>
  <si>
    <t>Rp36.600 - Rp42.300</t>
  </si>
  <si>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</si>
  <si>
    <t>ryzicor</t>
  </si>
  <si>
    <t xml:space="preserve">ryzicor tablet cetirizine hydrochloride </t>
  </si>
  <si>
    <t>TR143380041</t>
  </si>
  <si>
    <t>Kutuk 50 Kapsul</t>
  </si>
  <si>
    <t>KAPSUL KUTUK</t>
  </si>
  <si>
    <t>Rp50.000 - Rp50.600</t>
  </si>
  <si>
    <t>kapsul kutuk</t>
  </si>
  <si>
    <t>kutuk</t>
  </si>
  <si>
    <t xml:space="preserve">kutuk kapsul kapsul kutuk </t>
  </si>
  <si>
    <t>TR192331631</t>
  </si>
  <si>
    <t>Natureline Albusmed 60 Kapsul</t>
  </si>
  <si>
    <t>ALBUSMED</t>
  </si>
  <si>
    <t>Rp232.500 - Rp258.700</t>
  </si>
  <si>
    <t>Botol @ 60 Kapsul @ 520 mg</t>
  </si>
  <si>
    <t>albusmed</t>
  </si>
  <si>
    <t>natureline albusmed</t>
  </si>
  <si>
    <t xml:space="preserve">natureline albusmed kapsul albusmed </t>
  </si>
  <si>
    <t>DKL1140700504A1</t>
  </si>
  <si>
    <t>Pharmamox 500 mg 10 Tablet</t>
  </si>
  <si>
    <t>Rp8.500 - Rp19.100</t>
  </si>
  <si>
    <t>PENGGUNAAN OBAT INI HARUS SESUAI DENGAN PETUNJUK DOKTER. Dewasa dan anak BB &gt; 20 kg: Tiap 6 jam 250-500 mg Anak BB &lt; 20 kg: 20-40 mg/kgBB/hari dalam dosis terbagi tiap 8 jam.</t>
  </si>
  <si>
    <t>Dus, 10 Strip @ 10 Kaplet 500 Mg</t>
  </si>
  <si>
    <t>Hipersensitif atau riwayat hipersensitif.</t>
  </si>
  <si>
    <t>HARUS DENGAN RESEP DOKTER. Membutuhkan pemantauan ginjal, hati, dan fungsi hematopoetic. Obat ini tidak boleh digunakan untuk infeksi non-bakteri. Obat diminum hingga pengobatan selesai</t>
  </si>
  <si>
    <t>amoxicillin trihydrate</t>
  </si>
  <si>
    <t>pharmamox</t>
  </si>
  <si>
    <t xml:space="preserve">pharmamox kaplet amoxicillin trihydrate </t>
  </si>
  <si>
    <t>DTL9609206604A2</t>
  </si>
  <si>
    <t>Polofar 2 mg 10 Kaplet</t>
  </si>
  <si>
    <t>Rp1.200 - Rp2.400</t>
  </si>
  <si>
    <t>Dus, 10 Amplop @ 10 Kaplet</t>
  </si>
  <si>
    <t>dexchlorpheniramine maleate</t>
  </si>
  <si>
    <t>polofar</t>
  </si>
  <si>
    <t xml:space="preserve">polofar kaplet dexchlorpheniramine maleate </t>
  </si>
  <si>
    <t>DTL7802345210A1</t>
  </si>
  <si>
    <t>Polarist 10 Tablet</t>
  </si>
  <si>
    <t>Rp3.900 - Rp9.700</t>
  </si>
  <si>
    <t>polarist</t>
  </si>
  <si>
    <t xml:space="preserve">polarist tablet dexchlorpheniramine maleate </t>
  </si>
  <si>
    <t>DBL1705518133A1</t>
  </si>
  <si>
    <t>Dumin Forte Sirup 60 ml</t>
  </si>
  <si>
    <t>Rp42.000 - Rp42.600</t>
  </si>
  <si>
    <t>dumin forte</t>
  </si>
  <si>
    <t xml:space="preserve">dumin forte suspensi paracetamol </t>
  </si>
  <si>
    <t>DTL1630709033A1</t>
  </si>
  <si>
    <t>Dolofen F Suspensi 60 ml</t>
  </si>
  <si>
    <t>Rp40.900 - Rp41.200</t>
  </si>
  <si>
    <t>dolofen f</t>
  </si>
  <si>
    <t xml:space="preserve">dolofen f suspensi ibuprofen </t>
  </si>
  <si>
    <t>TR103316951</t>
  </si>
  <si>
    <t>Tazakka Temulawak 30 Kapsul</t>
  </si>
  <si>
    <t>TEMULAWAK</t>
  </si>
  <si>
    <t>Rp56.900 - Rp86.800</t>
  </si>
  <si>
    <t>temulawak</t>
  </si>
  <si>
    <t>tazakka temulawak</t>
  </si>
  <si>
    <t xml:space="preserve">tazakka temulawak kapsul temulawak </t>
  </si>
  <si>
    <t>HT112300081</t>
  </si>
  <si>
    <t>Borobudur Tulak 100 Kapsul</t>
  </si>
  <si>
    <t>TULAK</t>
  </si>
  <si>
    <t>Rp78.400 - Rp121.400</t>
  </si>
  <si>
    <t>Botol @ 100 kapsul</t>
  </si>
  <si>
    <t>tulak</t>
  </si>
  <si>
    <t>borobudur tulak</t>
  </si>
  <si>
    <t xml:space="preserve">borobudur tulak kapsul tulak </t>
  </si>
  <si>
    <t>DKL1640702338A1</t>
  </si>
  <si>
    <t>Pharmamox 125 mg Dry Sirup 60 ml</t>
  </si>
  <si>
    <t xml:space="preserve">pharmamox sirup amoxicillin trihydrate </t>
  </si>
  <si>
    <t>DTL0031107610A1</t>
  </si>
  <si>
    <t>Histaklor 2 mg 10 Tablet</t>
  </si>
  <si>
    <t>Rp1.700 - Rp2.400</t>
  </si>
  <si>
    <t>histaklor</t>
  </si>
  <si>
    <t xml:space="preserve">histaklor tablet dexchlorpheniramine maleate </t>
  </si>
  <si>
    <t>DTL1806419037A1</t>
  </si>
  <si>
    <t>Erphahexin Sirup 60 ml</t>
  </si>
  <si>
    <t>Rp9.600 - Rp9.800</t>
  </si>
  <si>
    <t xml:space="preserve">erphahexin sirup bromhexine hydrochloride </t>
  </si>
  <si>
    <t>DBL0307114317A1</t>
  </si>
  <si>
    <t>Zecaneuron Forte 10 Tablet</t>
  </si>
  <si>
    <t>Rp11.100 - Rp16.000</t>
  </si>
  <si>
    <t>Dus, 10 strip @ 10 tablet</t>
  </si>
  <si>
    <t>zecaneuron forte</t>
  </si>
  <si>
    <t xml:space="preserve">zecaneuron forte tablet cyanocobalamin </t>
  </si>
  <si>
    <t>DBL0607809236A1</t>
  </si>
  <si>
    <t>Hufagesic Drop 15 ml</t>
  </si>
  <si>
    <t>Rp13.200 - Rp14.000</t>
  </si>
  <si>
    <t>hufagesic drop</t>
  </si>
  <si>
    <t xml:space="preserve">hufagesic drop tetes paracetamol </t>
  </si>
  <si>
    <t>DKL1321643082A1</t>
  </si>
  <si>
    <t>Vomarin Flash 10 mg 10 Tablet</t>
  </si>
  <si>
    <t>Rp37.600 - Rp41.400</t>
  </si>
  <si>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</si>
  <si>
    <t>Dus, blister @ 10 teblet</t>
  </si>
  <si>
    <t>vomarin flash</t>
  </si>
  <si>
    <t xml:space="preserve">vomarin flash tablet domperidone </t>
  </si>
  <si>
    <t>paracetamol (micronized)</t>
  </si>
  <si>
    <t xml:space="preserve">hufagesic sirup paracetamol micronized </t>
  </si>
  <si>
    <t>DTL0535801129A1</t>
  </si>
  <si>
    <t>Erazol Cream 15 g</t>
  </si>
  <si>
    <t>Rp30.300 - Rp36.700</t>
  </si>
  <si>
    <t>erazol cream</t>
  </si>
  <si>
    <t xml:space="preserve">erazol cream krim ketoconazole </t>
  </si>
  <si>
    <t>DKL1813321201A1</t>
  </si>
  <si>
    <t>L-Acys 200 mg 10 Kapsul</t>
  </si>
  <si>
    <t>Rp45.500 - Rp50.000</t>
  </si>
  <si>
    <t>Dus, 3 strip @ 10 kapsul</t>
  </si>
  <si>
    <t>lacys</t>
  </si>
  <si>
    <t xml:space="preserve">lacys kapsul acetyl cysteine </t>
  </si>
  <si>
    <t>DKL1240801717A1</t>
  </si>
  <si>
    <t>Vomiper 10 Tablet</t>
  </si>
  <si>
    <t>Rp38.000 - Rp47.500</t>
  </si>
  <si>
    <t>domperidone maleate</t>
  </si>
  <si>
    <t>vomiper</t>
  </si>
  <si>
    <t xml:space="preserve">vomiper tablet domperidone maleate </t>
  </si>
  <si>
    <t xml:space="preserve">omemox sirup amoxicillin trihydrate </t>
  </si>
  <si>
    <t>DKL0633403709A1</t>
  </si>
  <si>
    <t>Cetrol 10 mg 10 Tablet</t>
  </si>
  <si>
    <t>Rp7.500 - Rp37.900</t>
  </si>
  <si>
    <t>Obat Wajib Apotek, Obat ini dapat dibeli dan diserahkan apoteker tanpa resep dengan maksimum 1 Strip. Pembelian melebihi batas ini WAJIB RESEP DOKTER. -</t>
  </si>
  <si>
    <t>cetrol</t>
  </si>
  <si>
    <t xml:space="preserve">cetrol kaplet cetirizine hydrochloride </t>
  </si>
  <si>
    <t>lactulose concentrate</t>
  </si>
  <si>
    <t xml:space="preserve">graphalac sirup lactulose concentrate </t>
  </si>
  <si>
    <t>DKL9916906809A1</t>
  </si>
  <si>
    <t>Omeproksil 500 mg 10 Kaplet</t>
  </si>
  <si>
    <t>Rp5.700 - Rp20.200</t>
  </si>
  <si>
    <t>ciprofloxacin hydrochloride</t>
  </si>
  <si>
    <t>omeproksil</t>
  </si>
  <si>
    <t xml:space="preserve">omeproksil kaplet ciprofloxacin hydrochloride </t>
  </si>
  <si>
    <t>DKL9206404708A1</t>
  </si>
  <si>
    <t>Erphacyp 4 mg 10 Kaplet</t>
  </si>
  <si>
    <t>Rp2.600 - Rp5.100</t>
  </si>
  <si>
    <t>3-4 x sehari 1 kaplet, maksimal 32 mg</t>
  </si>
  <si>
    <t>Dus 10X10</t>
  </si>
  <si>
    <t>Penyumbatan kandung kencing, bayi dan bayi prematur, porfiria</t>
  </si>
  <si>
    <t>Obat Wajib Apotek, Obat ini dapat dibeli dan diserahkan apoteker tanpa resep dengan maksimum 1 Strip. Pembelian melebihi batas ini WAJIB RESEP DOKTER. Jangan mengendarai kendaraan bermotor, asma bronkial, hipertiroid, hipertensi</t>
  </si>
  <si>
    <t>cyproheptadine hydrochloride</t>
  </si>
  <si>
    <t>erphacyp</t>
  </si>
  <si>
    <t xml:space="preserve">erphacyp kaplet cyproheptadine hydrochloride </t>
  </si>
  <si>
    <t>GKL2008519548A1</t>
  </si>
  <si>
    <t>Aquamaris Daily 30 ml</t>
  </si>
  <si>
    <t>Rp91.100 - Rp151.400</t>
  </si>
  <si>
    <t>ofloxacin</t>
  </si>
  <si>
    <t>aquamaris daily</t>
  </si>
  <si>
    <t xml:space="preserve">aquamaris daily tetes ofloxacin </t>
  </si>
  <si>
    <t>TR183613261</t>
  </si>
  <si>
    <t>Batsaria 10 ml</t>
  </si>
  <si>
    <t>MJS NATURE BATSARIA</t>
  </si>
  <si>
    <t>Rp20.300 - Rp26.600</t>
  </si>
  <si>
    <t>Dus, Botol @ 10 ml</t>
  </si>
  <si>
    <t>mjs nature batsaria</t>
  </si>
  <si>
    <t>batsaria</t>
  </si>
  <si>
    <t xml:space="preserve">batsaria  mjs nature batsaria </t>
  </si>
  <si>
    <t>DKL9721012217A1</t>
  </si>
  <si>
    <t>Zenriz 10 mg 10 Tablet</t>
  </si>
  <si>
    <t>Rp58.100 - Rp66.200</t>
  </si>
  <si>
    <t>zenriz</t>
  </si>
  <si>
    <t xml:space="preserve">zenriz tablet cetirizine hydrochloride </t>
  </si>
  <si>
    <t>DKL1132716117A1</t>
  </si>
  <si>
    <t>Yarizine 10 mg 10 Tablet</t>
  </si>
  <si>
    <t>Rp39.300 - Rp39.500</t>
  </si>
  <si>
    <t>Dus, 3 Strip @ 10 Salut Selaput</t>
  </si>
  <si>
    <t>yarizine</t>
  </si>
  <si>
    <t xml:space="preserve">yarizine tablet cetirizine hydrochloride </t>
  </si>
  <si>
    <t>DBL1714108037A1</t>
  </si>
  <si>
    <t>Glocetamol Forte Sirup 60 ml</t>
  </si>
  <si>
    <t>Rp31.000 - Rp31.100</t>
  </si>
  <si>
    <t>glocetamol forte</t>
  </si>
  <si>
    <t xml:space="preserve">glocetamol forte sirup paracetamol </t>
  </si>
  <si>
    <t>cetirizine dihydrochloride</t>
  </si>
  <si>
    <t xml:space="preserve">yarizine tablet cetirizine dihydrochloride </t>
  </si>
  <si>
    <t>DTL0310805337A1</t>
  </si>
  <si>
    <t>Licodril Sirup 60 ml</t>
  </si>
  <si>
    <t>Rp5.100 - Rp7.500</t>
  </si>
  <si>
    <t>ammonium chloride</t>
  </si>
  <si>
    <t>licodril</t>
  </si>
  <si>
    <t xml:space="preserve">licodril sirup ammonium chloride </t>
  </si>
  <si>
    <t>DKL1121640837A1</t>
  </si>
  <si>
    <t>Vactiv Sirup 60 ml</t>
  </si>
  <si>
    <t>Rp38.100 - Rp50.500</t>
  </si>
  <si>
    <t>procaterol hydrochloride</t>
  </si>
  <si>
    <t>vactiv</t>
  </si>
  <si>
    <t xml:space="preserve">vactiv sirup procaterol hydrochloride </t>
  </si>
  <si>
    <t>DKL1407811129A1</t>
  </si>
  <si>
    <t>Hufaclovir Cream 5 g</t>
  </si>
  <si>
    <t>Rp5.200 - Rp5.300</t>
  </si>
  <si>
    <t>Dus, Tube @ 5 gram</t>
  </si>
  <si>
    <t>aciclovir</t>
  </si>
  <si>
    <t>hufaclovir cream</t>
  </si>
  <si>
    <t xml:space="preserve">hufaclovir cream krim aciclovir </t>
  </si>
  <si>
    <t>DKI0868204116A1</t>
  </si>
  <si>
    <t>Microlut 0.03 mg 35 Tablet</t>
  </si>
  <si>
    <t>Rp35.000 - Rp50.300</t>
  </si>
  <si>
    <t>Berikan bersama makanan</t>
  </si>
  <si>
    <t>PENGGUNAAN OBAT INI HARUS SESUAI DENGAN PETUNJUK DOKTER. 1 tablet/hari</t>
  </si>
  <si>
    <t>INFORMASI OBAT INI HANYA UNTUK KALANGAN MEDIS. Kontrasepsi</t>
  </si>
  <si>
    <t>Dus, Strip @ 35 Tablet Salut Gula</t>
  </si>
  <si>
    <t>Gangguan tromboembolik vena aktif dan tromboflebitis</t>
  </si>
  <si>
    <t>DKL8627901504B1</t>
  </si>
  <si>
    <t>Inadoxin Forte 10 Kaplet</t>
  </si>
  <si>
    <t>Rp6.500 - Rp15.400</t>
  </si>
  <si>
    <t>isoniazid</t>
  </si>
  <si>
    <t>inadoxin forte</t>
  </si>
  <si>
    <t xml:space="preserve">inadoxin forte kaplet isoniazid </t>
  </si>
  <si>
    <t>DKL1031530209A1</t>
  </si>
  <si>
    <t>Iclofar 500 mg 10 Tablet</t>
  </si>
  <si>
    <t>valaciclovir hydrochloride</t>
  </si>
  <si>
    <t>iclofar</t>
  </si>
  <si>
    <t xml:space="preserve">iclofar kaplet valaciclovir hydrochloride </t>
  </si>
  <si>
    <t>DKL1140800709A1</t>
  </si>
  <si>
    <t>Inlacyl 500 mg 10 Tablet</t>
  </si>
  <si>
    <t>inlacyl</t>
  </si>
  <si>
    <t xml:space="preserve">inlacyl kaplet valaciclovir hydrochloride </t>
  </si>
  <si>
    <t>DKL7207811633A1</t>
  </si>
  <si>
    <t>Hufamycetin 125 mg Suspensi 60 ml</t>
  </si>
  <si>
    <t>Rp9.100 - Rp12.800</t>
  </si>
  <si>
    <t>chloramphenicol palmitate</t>
  </si>
  <si>
    <t>hufamycetin</t>
  </si>
  <si>
    <t xml:space="preserve">hufamycetin suspensi chloramphenicol palmitate </t>
  </si>
  <si>
    <t>DKL1421907617A1</t>
  </si>
  <si>
    <t>Domestrium 10 mg 10 Tablet</t>
  </si>
  <si>
    <t>Rp9.800 - Rp10.000</t>
  </si>
  <si>
    <t>domestrium</t>
  </si>
  <si>
    <t xml:space="preserve">domestrium tablet domperidone maleate </t>
  </si>
  <si>
    <t>DKL1302501210A1</t>
  </si>
  <si>
    <t>Domesco 10 Tablet</t>
  </si>
  <si>
    <t>sebelum makan</t>
  </si>
  <si>
    <t>domesco</t>
  </si>
  <si>
    <t xml:space="preserve">domesco tablet domperidone maleate </t>
  </si>
  <si>
    <t>DKL1221642309A1</t>
  </si>
  <si>
    <t>Vandavir 500 mg 10 Kaplet</t>
  </si>
  <si>
    <t>Rp176.700 - Rp183.400</t>
  </si>
  <si>
    <t>Dus, 5 Blister @ 10 Kaplet</t>
  </si>
  <si>
    <t>vandavir</t>
  </si>
  <si>
    <t xml:space="preserve">vandavir kaplet valaciclovir hydrochloride </t>
  </si>
  <si>
    <t>DKL0817109504A1</t>
  </si>
  <si>
    <t>Holimox 500 mg 10 Tablet</t>
  </si>
  <si>
    <t>Rp5.200 - Rp6.800</t>
  </si>
  <si>
    <t>holimox</t>
  </si>
  <si>
    <t xml:space="preserve">holimox kaplet amoxicillin trihydrate </t>
  </si>
  <si>
    <t>DKL8517102033A1</t>
  </si>
  <si>
    <t>Holimicetin 125 mg/5 ml Sirup 60 ml</t>
  </si>
  <si>
    <t>Rp7.000 - Rp7.100</t>
  </si>
  <si>
    <t>holimicetin</t>
  </si>
  <si>
    <t xml:space="preserve">holimicetin suspensi chloramphenicol palmitate </t>
  </si>
  <si>
    <t>DKL1224228301A1</t>
  </si>
  <si>
    <t>Artoflam 50 mg 10 Kapsul</t>
  </si>
  <si>
    <t>Diberikan pada saat atau segera sesudah makan</t>
  </si>
  <si>
    <t>PENGGUNAAN OBAT INI HARUS SESUAI DENGAN PETUNJUK DOKTER. 2 kali sehari 1 kapsul</t>
  </si>
  <si>
    <t>Osteoartritis</t>
  </si>
  <si>
    <t>50 Mg X 3 X 10</t>
  </si>
  <si>
    <t>Hipersensitivatas terhadap derivat antrakuinon. hamil dan laktasi</t>
  </si>
  <si>
    <t>HARUS DENGAN RESEP DOKTER. Gangguan gijal.pantau sel darah lengkap, tes fungsi hati, urinalis tiap 6 bulan</t>
  </si>
  <si>
    <t>osteoartritis</t>
  </si>
  <si>
    <t>artoflam</t>
  </si>
  <si>
    <t>artoflam kapsul diacerein osteoartritis</t>
  </si>
  <si>
    <t>DKL1505051215A1</t>
  </si>
  <si>
    <t>Vomizole 20 mg 10 Tablet</t>
  </si>
  <si>
    <t>Dus, 1 Blister @ 10 Tablet Salut Selaput</t>
  </si>
  <si>
    <t>pantoprazole sodium</t>
  </si>
  <si>
    <t>vomizole</t>
  </si>
  <si>
    <t xml:space="preserve">vomizole tablet pantoprazole sodium </t>
  </si>
  <si>
    <t>DKL7206312833A1</t>
  </si>
  <si>
    <t>Erlamycetine Sirup 60 ml</t>
  </si>
  <si>
    <t>Rp9.100 - Rp20.600</t>
  </si>
  <si>
    <t>PENGGUNAAN OBAT INI HARUS SESUAI DENGAN PETUNJUK DOKTER. Dewasa 250-500 mg 3-4 x sehari, anakanak 50-75mg/kgBB/hari dalam dosis terbagi</t>
  </si>
  <si>
    <t>Penderita dengan ggn hati dan ginjal berat</t>
  </si>
  <si>
    <t>erlamycetine</t>
  </si>
  <si>
    <t xml:space="preserve">erlamycetine suspensi chloramphenicol palmitate </t>
  </si>
  <si>
    <t>DBL9004204963A1</t>
  </si>
  <si>
    <t>Ultilox 10 Tablet</t>
  </si>
  <si>
    <t>Rp12.900 - Rp13.400</t>
  </si>
  <si>
    <t>Dus, 10 amplop @ 1 strip @ 10 tablet</t>
  </si>
  <si>
    <t>aluminium hydroxide</t>
  </si>
  <si>
    <t>ultilox</t>
  </si>
  <si>
    <t xml:space="preserve">ultilox tablet aluminium hydroxide </t>
  </si>
  <si>
    <t>DKL1334610101A1</t>
  </si>
  <si>
    <t>Dexadrox 500 mg 10 Kapsul</t>
  </si>
  <si>
    <t>Rp21.200 - Rp22.900</t>
  </si>
  <si>
    <t>cefadroxil monohydrate</t>
  </si>
  <si>
    <t>dexadrox</t>
  </si>
  <si>
    <t xml:space="preserve">dexadrox kapsul cefadroxil monohydrate </t>
  </si>
  <si>
    <t>DKL1711645109A1</t>
  </si>
  <si>
    <t>Cravit 750 mg 10 Tablet</t>
  </si>
  <si>
    <t>Rp600.500 - Rp824.100</t>
  </si>
  <si>
    <t>Dus, 1 Strip @ 10 Kaplet salut selaput</t>
  </si>
  <si>
    <t>levofloxacin hemihydrate</t>
  </si>
  <si>
    <t>cravit</t>
  </si>
  <si>
    <t xml:space="preserve">cravit kaplet levofloxacin hemihydrate </t>
  </si>
  <si>
    <t>DKL9602322838A1</t>
  </si>
  <si>
    <t>Tocef 100 mg/5 ml Dry Syrup 30 ml</t>
  </si>
  <si>
    <t>Rp90.500 - Rp100.700</t>
  </si>
  <si>
    <t>cefixime trihydrate</t>
  </si>
  <si>
    <t>tocef</t>
  </si>
  <si>
    <t xml:space="preserve">tocef sirup cefixime trihydrate </t>
  </si>
  <si>
    <t>DKL0234000133A1</t>
  </si>
  <si>
    <t>Novachlor 125 mg/5 ml Sirup 60 ml</t>
  </si>
  <si>
    <t>Rp6.500 - Rp18.700</t>
  </si>
  <si>
    <t xml:space="preserve">novachlor suspensi chloramphenicol palmitate </t>
  </si>
  <si>
    <t>DKL9608006010A1</t>
  </si>
  <si>
    <t>Extropect 30 mg 10 Tablet</t>
  </si>
  <si>
    <t>Rp11.600 - Rp17.100</t>
  </si>
  <si>
    <t>ambroxol hydrochloride</t>
  </si>
  <si>
    <t>extropect</t>
  </si>
  <si>
    <t xml:space="preserve">extropect tablet ambroxol hydrochloride </t>
  </si>
  <si>
    <t>GKL1615718310A1</t>
  </si>
  <si>
    <t>Kapas 100 g</t>
  </si>
  <si>
    <t>Rp6.800 - Rp23.100</t>
  </si>
  <si>
    <t>tizanidine hydrochloride</t>
  </si>
  <si>
    <t>kapas</t>
  </si>
  <si>
    <t xml:space="preserve">kapas tablet tizanidine hydrochloride </t>
  </si>
  <si>
    <t>DKL0315615837A1</t>
  </si>
  <si>
    <t>TB Vit 6 Sirup 225 ml</t>
  </si>
  <si>
    <t>Rp32.900 - Rp59.800</t>
  </si>
  <si>
    <t>Dus, botol @ 225 ml</t>
  </si>
  <si>
    <t>tb vit</t>
  </si>
  <si>
    <t xml:space="preserve">tb vit sirup isoniazid </t>
  </si>
  <si>
    <t>DKL1008015536A1</t>
  </si>
  <si>
    <t>Nyndia Drop 12 ml</t>
  </si>
  <si>
    <t>Rp52.700 - Rp53.400</t>
  </si>
  <si>
    <t>nystatin</t>
  </si>
  <si>
    <t>nyndia drop</t>
  </si>
  <si>
    <t xml:space="preserve">nyndia drop tetes nystatin </t>
  </si>
  <si>
    <t>DKL1428207336A1</t>
  </si>
  <si>
    <t>Myconys Drop 12 ml</t>
  </si>
  <si>
    <t>Rp47.500 - Rp61.100</t>
  </si>
  <si>
    <t>Dus, Botol @ 12 ml</t>
  </si>
  <si>
    <t>myconys drop</t>
  </si>
  <si>
    <t xml:space="preserve">myconys drop tetes nystatin </t>
  </si>
  <si>
    <t>DKL0211634133A1</t>
  </si>
  <si>
    <t>Kalmicetine Sirup 60 ml</t>
  </si>
  <si>
    <t>Rp14.700 - Rp24.400</t>
  </si>
  <si>
    <t>kalmicetine</t>
  </si>
  <si>
    <t xml:space="preserve">kalmicetine suspensi chloramphenicol palmitate </t>
  </si>
  <si>
    <t>DKL9021004204A1</t>
  </si>
  <si>
    <t>Neotibi 500 mg 10 Kaplet</t>
  </si>
  <si>
    <t>Rp22.600 - Rp23.700</t>
  </si>
  <si>
    <t>PENGGUNAAN OBAT INI HARUS SESUAI DENGAN PETUNJUK DOKTER. 3 x sehari 1 kaplet</t>
  </si>
  <si>
    <t>Tuberkulosa</t>
  </si>
  <si>
    <t>Kerusakan hati berat.</t>
  </si>
  <si>
    <t>HARUS DENGAN RESEP DOKTER. Gangguan fungi ginjal, riwayat gout, diabetes.</t>
  </si>
  <si>
    <t>pyrazinamide</t>
  </si>
  <si>
    <t>tuberkulosa</t>
  </si>
  <si>
    <t>neotibi</t>
  </si>
  <si>
    <t>neotibi kaplet pyrazinamide tuberkulosa</t>
  </si>
  <si>
    <t>DKL1521645509A1</t>
  </si>
  <si>
    <t>Nislev 750 mg Tablet</t>
  </si>
  <si>
    <t>Rp23.300 - Rp28.500</t>
  </si>
  <si>
    <t>Dus, 1 Blister @ 10 Kaplet Salut Selaput</t>
  </si>
  <si>
    <t>nislev</t>
  </si>
  <si>
    <t xml:space="preserve">nislev kaplet levofloxacin hemihydrate </t>
  </si>
  <si>
    <t>DKL9323402433A1</t>
  </si>
  <si>
    <t>Miratrim Sirup 60 ml</t>
  </si>
  <si>
    <t>Rp8.500 - Rp17.500</t>
  </si>
  <si>
    <t xml:space="preserve">miratrim suspensi sulfamethoxazole trimethoprim </t>
  </si>
  <si>
    <t>DKL1221642717A1</t>
  </si>
  <si>
    <t>Zigat 400 mg 10 Tablet</t>
  </si>
  <si>
    <t>Rp457.200 - Rp545.400</t>
  </si>
  <si>
    <t>moxifloxacin hydrochloride</t>
  </si>
  <si>
    <t>zigat</t>
  </si>
  <si>
    <t xml:space="preserve">zigat tablet moxifloxacin hydrochloride </t>
  </si>
  <si>
    <t>DKI9775700517C1</t>
  </si>
  <si>
    <t>Zinnat 500 mg 10 Tablet</t>
  </si>
  <si>
    <t>Rp127.600 - Rp143.500</t>
  </si>
  <si>
    <t>cefuroxime axetil</t>
  </si>
  <si>
    <t>zinnat</t>
  </si>
  <si>
    <t xml:space="preserve">zinnat tablet cefuroxime axetil </t>
  </si>
  <si>
    <t>DKL1533534381A1</t>
  </si>
  <si>
    <t>Ondavell ODT 8 mg 10 Tablet</t>
  </si>
  <si>
    <t>Rp201.000 - Rp373.300</t>
  </si>
  <si>
    <t>Dus, 1 Blister @ 10 Tablet Cepat Larut</t>
  </si>
  <si>
    <t>ondansetron</t>
  </si>
  <si>
    <t>ondavell odt</t>
  </si>
  <si>
    <t xml:space="preserve">ondavell odt tablet ondansetron </t>
  </si>
  <si>
    <t>DKL9609205904A1</t>
  </si>
  <si>
    <t>Norvom 10 mg 10 Kaplet</t>
  </si>
  <si>
    <t>Rp2.100 - Rp3.000</t>
  </si>
  <si>
    <t>Obat Wajib Apotek, Obat ini dapat dibeli dan diserahkan apoteker tanpa resep dengan maksimum 2 Strip. Pembelian melebihi batas ini WAJIB RESEP DOKTER. -</t>
  </si>
  <si>
    <t>metoclopramide hydrochloride</t>
  </si>
  <si>
    <t>norvom</t>
  </si>
  <si>
    <t xml:space="preserve">norvom kaplet metoclopramide hydrochloride </t>
  </si>
  <si>
    <t>DKL9300911333A1</t>
  </si>
  <si>
    <t>Bufacetine Sirup 60 ml</t>
  </si>
  <si>
    <t>bufacetine</t>
  </si>
  <si>
    <t xml:space="preserve">bufacetine suspensi chloramphenicol palmitate </t>
  </si>
  <si>
    <t>DKL0033202210A1</t>
  </si>
  <si>
    <t>Nausile 10 mg 10 Tablet</t>
  </si>
  <si>
    <t>Rp4.400 - Rp6.000</t>
  </si>
  <si>
    <t>nausile</t>
  </si>
  <si>
    <t xml:space="preserve">nausile tablet metoclopramide hydrochloride </t>
  </si>
  <si>
    <t>DKL8502308737A1</t>
  </si>
  <si>
    <t>Metolon Sirup 60 ml</t>
  </si>
  <si>
    <t>Rp13.400 - Rp13.900</t>
  </si>
  <si>
    <t>metolon</t>
  </si>
  <si>
    <t xml:space="preserve">metolon sirup metoclopramide hydrochloride </t>
  </si>
  <si>
    <t>metronidazole benzoate</t>
  </si>
  <si>
    <t xml:space="preserve">metrolet suspensi metronidazole benzoate </t>
  </si>
  <si>
    <t>DKL8502308736A1</t>
  </si>
  <si>
    <t>Metolon Drops 10 ml</t>
  </si>
  <si>
    <t>Rp12.600 - Rp27.800</t>
  </si>
  <si>
    <t xml:space="preserve">metolon tetes metoclopramide hydrochloride </t>
  </si>
  <si>
    <t>DTL1723414004A1</t>
  </si>
  <si>
    <t>Fluanza 10 Kaplet</t>
  </si>
  <si>
    <t>Rp15.500 - Rp15.700</t>
  </si>
  <si>
    <t>fluanza</t>
  </si>
  <si>
    <t xml:space="preserve">fluanza kaplet chlorphenamine maleate </t>
  </si>
  <si>
    <t>DKL1308020509A1</t>
  </si>
  <si>
    <t>Maxiflon 400 mg 3 Kaplet</t>
  </si>
  <si>
    <t>Rp176.800 - Rp204.800</t>
  </si>
  <si>
    <t>Dus, 2 Strip x 3 Kaplet</t>
  </si>
  <si>
    <t>maxiflon</t>
  </si>
  <si>
    <t xml:space="preserve">maxiflon kaplet moxifloxacin hydrochloride </t>
  </si>
  <si>
    <t>DKL9408002201B1</t>
  </si>
  <si>
    <t>Leomoxyl 500 mg 10 Kapsul</t>
  </si>
  <si>
    <t>Rp38.400 - Rp42.700</t>
  </si>
  <si>
    <t>leomoxyl</t>
  </si>
  <si>
    <t xml:space="preserve">leomoxyl kapsul amoxicillin trihydrate </t>
  </si>
  <si>
    <t>DKL1121640436A1</t>
  </si>
  <si>
    <t>Candistin Strawberry Drops 12 ml</t>
  </si>
  <si>
    <t>Rp55.700 - Rp60.500</t>
  </si>
  <si>
    <t>candistin strawberry</t>
  </si>
  <si>
    <t xml:space="preserve">candistin strawberry tetes nystatin </t>
  </si>
  <si>
    <t>DKL1708024909A1</t>
  </si>
  <si>
    <t>Lefos 750 mg Kaplet</t>
  </si>
  <si>
    <t>Rp61.200 - Rp61.900</t>
  </si>
  <si>
    <t>Dus, 1 Strip @ 10 Kaplet Salut Selaput</t>
  </si>
  <si>
    <t>lefos</t>
  </si>
  <si>
    <t xml:space="preserve">lefos kaplet levofloxacin hemihydrate </t>
  </si>
  <si>
    <t>DTL9604213017A1</t>
  </si>
  <si>
    <t>Flucodin 10 Tablet</t>
  </si>
  <si>
    <t>Rp16.400 - Rp19.900</t>
  </si>
  <si>
    <t>DUS, 10 Amplop @ 1 Strip @ 10 Tablet Salut Selaput</t>
  </si>
  <si>
    <t>flucodin</t>
  </si>
  <si>
    <t xml:space="preserve">flucodin tablet chlorphenamine maleate </t>
  </si>
  <si>
    <t>DTL1602351137A1</t>
  </si>
  <si>
    <t>Flukid 60 ml</t>
  </si>
  <si>
    <t>Rp41.200 - Rp41.300</t>
  </si>
  <si>
    <t>flukid</t>
  </si>
  <si>
    <t xml:space="preserve">flukid sirup chlorphenamine maleate </t>
  </si>
  <si>
    <t>DTL9909212637A1</t>
  </si>
  <si>
    <t>Fenidryl Sirup 60 ml</t>
  </si>
  <si>
    <t>Rp7.600 - Rp8.300</t>
  </si>
  <si>
    <t>fenidryl</t>
  </si>
  <si>
    <t xml:space="preserve">fenidryl sirup ammonium chloride </t>
  </si>
  <si>
    <t>DKL0823411538A1</t>
  </si>
  <si>
    <t>Broadapen Dry Sirup 60 ml</t>
  </si>
  <si>
    <t>Rp10.000 - Rp18.800</t>
  </si>
  <si>
    <t>ampicillin trihydrate</t>
  </si>
  <si>
    <t>broadapen</t>
  </si>
  <si>
    <t xml:space="preserve">broadapen sirup ampicillin trihydrate </t>
  </si>
  <si>
    <t>TR082677691</t>
  </si>
  <si>
    <t>Sismax Sirup 120 ml</t>
  </si>
  <si>
    <t>SISMAX Syrup</t>
  </si>
  <si>
    <t>Rp33.800 - Rp40.900</t>
  </si>
  <si>
    <t>sismax syrup</t>
  </si>
  <si>
    <t>sismax</t>
  </si>
  <si>
    <t xml:space="preserve">sismax sirup sismax syrup </t>
  </si>
  <si>
    <t>DTL9614808428A1</t>
  </si>
  <si>
    <t>Voren Gel 20 g</t>
  </si>
  <si>
    <t>Rp30.700 - Rp42.300</t>
  </si>
  <si>
    <t>diclofenac diethylamine</t>
  </si>
  <si>
    <t>voren</t>
  </si>
  <si>
    <t xml:space="preserve">voren gel diclofenac diethylamine </t>
  </si>
  <si>
    <t>QD152613511</t>
  </si>
  <si>
    <t>Ammeltz Yoko Yoko 48 ml</t>
  </si>
  <si>
    <t>Rp35.000 - Rp38.400</t>
  </si>
  <si>
    <t>Pack @ 48 ml</t>
  </si>
  <si>
    <t>ammeltz yoko yoko</t>
  </si>
  <si>
    <t xml:space="preserve">ammeltz yoko yoko  camphor </t>
  </si>
  <si>
    <t>Ammeltz Yoko Yoko 30 ml</t>
  </si>
  <si>
    <t>Rp27.200 - Rp42.600</t>
  </si>
  <si>
    <t>DKL1234009310A1</t>
  </si>
  <si>
    <t>Rosidon Sirup 10 mg 60 ml</t>
  </si>
  <si>
    <t>Rp5.200 - Rp6.100</t>
  </si>
  <si>
    <t>rosidon</t>
  </si>
  <si>
    <t xml:space="preserve">rosidon tablet domperidone maleate </t>
  </si>
  <si>
    <t>DKL1815720515A1</t>
  </si>
  <si>
    <t>Ezocon 20 mg 10 Tablet</t>
  </si>
  <si>
    <t>Rp177.100 - Rp195.300</t>
  </si>
  <si>
    <t>Dus, 3 strip @ 10 tablet salut selaput</t>
  </si>
  <si>
    <t>esomeprazole magnesium</t>
  </si>
  <si>
    <t>ezocon</t>
  </si>
  <si>
    <t xml:space="preserve">ezocon tablet esomeprazole magnesium </t>
  </si>
  <si>
    <t>DKL0630907817A1</t>
  </si>
  <si>
    <t>Aciblock 150 mg 10 Tablet</t>
  </si>
  <si>
    <t>Rp7.000 - Rp7.200</t>
  </si>
  <si>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</si>
  <si>
    <t>ranitidine hydrochloride</t>
  </si>
  <si>
    <t>aciblock</t>
  </si>
  <si>
    <t xml:space="preserve">aciblock tablet ranitidine hydrochloride </t>
  </si>
  <si>
    <t>DTL7627913437A1</t>
  </si>
  <si>
    <t>Hustarex Sirup 60 ml</t>
  </si>
  <si>
    <t>Rp19.100 - Rp20.000</t>
  </si>
  <si>
    <t>hustarex</t>
  </si>
  <si>
    <t xml:space="preserve">hustarex sirup dextromethorphan hydrobromide </t>
  </si>
  <si>
    <t>DTL9606309937A1</t>
  </si>
  <si>
    <t>Iafed Sirup 60 ml</t>
  </si>
  <si>
    <t>Rp7.300 - Rp11.200</t>
  </si>
  <si>
    <t>iafed</t>
  </si>
  <si>
    <t xml:space="preserve">iafed sirup dexchlorpheniramine maleate </t>
  </si>
  <si>
    <t>DKL0510807404A1</t>
  </si>
  <si>
    <t>Tivomit 10 mg 10 Kaplet</t>
  </si>
  <si>
    <t xml:space="preserve">- </t>
  </si>
  <si>
    <t>METOCLOPRAMIDE HYDROCHLORIDE</t>
  </si>
  <si>
    <t>Rp2.200 - Rp3.100</t>
  </si>
  <si>
    <t>tivomit</t>
  </si>
  <si>
    <t xml:space="preserve">tivomit kaplet </t>
  </si>
  <si>
    <t xml:space="preserve">metoclopramide hydrochloride </t>
  </si>
  <si>
    <t>DKL1606417710A1</t>
  </si>
  <si>
    <t>Imodiar 2 mg 10 Tablet</t>
  </si>
  <si>
    <t>Rp4.600 - Rp5.500</t>
  </si>
  <si>
    <t>imodiar</t>
  </si>
  <si>
    <t xml:space="preserve">imodiar tablet loperamide hydrochloride </t>
  </si>
  <si>
    <t>DBL7821628101A1</t>
  </si>
  <si>
    <t>Polysilane Junior 60 Kapsul</t>
  </si>
  <si>
    <t>Dus, Botol @ 60 kapsul</t>
  </si>
  <si>
    <t>dimeticone</t>
  </si>
  <si>
    <t>polysilane junior</t>
  </si>
  <si>
    <t xml:space="preserve">polysilane junior kapsul dimeticone </t>
  </si>
  <si>
    <t>cetrimonium bromide</t>
  </si>
  <si>
    <t xml:space="preserve">cetricillin salep cetrimonium bromide </t>
  </si>
  <si>
    <t>QD141612331</t>
  </si>
  <si>
    <t>Salicyl Spiritus 15 ml</t>
  </si>
  <si>
    <t>Rp5.200 - Rp8.200</t>
  </si>
  <si>
    <t>asam salisilat</t>
  </si>
  <si>
    <t>salicyl spiritus</t>
  </si>
  <si>
    <t xml:space="preserve">salicyl spiritus  asam salisilat </t>
  </si>
  <si>
    <t>DTL8830700410A1</t>
  </si>
  <si>
    <t>Contrex 4 Tablet</t>
  </si>
  <si>
    <t>Rp1.200 - Rp2.100</t>
  </si>
  <si>
    <t>Catch Cover @ 1 Strip @ 4 Tablet</t>
  </si>
  <si>
    <t>contrex</t>
  </si>
  <si>
    <t xml:space="preserve">contrex tablet chlorphenamine maleate </t>
  </si>
  <si>
    <t>QL041700341</t>
  </si>
  <si>
    <t>Salonpas Cream 15 g</t>
  </si>
  <si>
    <t>Rp15.200 - Rp19.700</t>
  </si>
  <si>
    <t>menthol</t>
  </si>
  <si>
    <t>salonpas cream</t>
  </si>
  <si>
    <t xml:space="preserve">salonpas cream krim menthol </t>
  </si>
  <si>
    <t>DKL1506317031A1</t>
  </si>
  <si>
    <t>Lacyvir Cream 5G</t>
  </si>
  <si>
    <t>Rp6.400 - Rp9.100</t>
  </si>
  <si>
    <t>Dus, Tube @ 5 g</t>
  </si>
  <si>
    <t>lacyvir cream</t>
  </si>
  <si>
    <t xml:space="preserve">lacyvir cream salep aciclovir </t>
  </si>
  <si>
    <t>Salonpas Cream 30 g</t>
  </si>
  <si>
    <t>Rp22.700 - Rp27.200</t>
  </si>
  <si>
    <t>Dus, Tube @ 30 gram</t>
  </si>
  <si>
    <t xml:space="preserve">polysilane junior kapsul simethicone </t>
  </si>
  <si>
    <t>DTL1707811929A1</t>
  </si>
  <si>
    <t>Hufazole 20 mg Cream 10 g</t>
  </si>
  <si>
    <t>Dus, Tube @ 10 G</t>
  </si>
  <si>
    <t>hufazole cream</t>
  </si>
  <si>
    <t xml:space="preserve">hufazole cream krim ketoconazole </t>
  </si>
  <si>
    <t>DKL0634006738A1</t>
  </si>
  <si>
    <t>Novapen Dry Sirup 60 ml</t>
  </si>
  <si>
    <t>novapen</t>
  </si>
  <si>
    <t xml:space="preserve">novapen sirup ampicillin trihydrate </t>
  </si>
  <si>
    <t>DKL1006312329A1</t>
  </si>
  <si>
    <t>Erladerm-N Krim 5 g</t>
  </si>
  <si>
    <t>Rp6.200 - Rp18.900</t>
  </si>
  <si>
    <t>betamethasone valerate</t>
  </si>
  <si>
    <t>erladermn</t>
  </si>
  <si>
    <t xml:space="preserve">erladermn krim betamethasone valerate </t>
  </si>
  <si>
    <t>DKL0634604717A1</t>
  </si>
  <si>
    <t>Starquin 500 mg 10 Tablet</t>
  </si>
  <si>
    <t>Rp9.400 - Rp11.100</t>
  </si>
  <si>
    <t>starquin</t>
  </si>
  <si>
    <t xml:space="preserve">starquin tablet ciprofloxacin hydrochloride </t>
  </si>
  <si>
    <t>QD171715291</t>
  </si>
  <si>
    <t>Painkila Cream 15 g</t>
  </si>
  <si>
    <t>- . menthol</t>
  </si>
  <si>
    <t>Rp16.900 - Rp18.800</t>
  </si>
  <si>
    <t xml:space="preserve"> menthol</t>
  </si>
  <si>
    <t>painkila cream</t>
  </si>
  <si>
    <t xml:space="preserve">painkila cream krim  menthol </t>
  </si>
  <si>
    <t>GTL0307114410A1</t>
  </si>
  <si>
    <t xml:space="preserve">aquamaris daily tablet guaifenesin </t>
  </si>
  <si>
    <t>DKL9623404404A1</t>
  </si>
  <si>
    <t>Broadapen 500 mg 10 Kaplet</t>
  </si>
  <si>
    <t>Rp8.400 - Rp20.200</t>
  </si>
  <si>
    <t xml:space="preserve">broadapen kaplet ampicillin trihydrate </t>
  </si>
  <si>
    <t>DKL1315713833A1</t>
  </si>
  <si>
    <t>Peptifat 500 mg/5 ml Sirup 200 ml</t>
  </si>
  <si>
    <t>Rp82.600 - Rp105.600</t>
  </si>
  <si>
    <t>Dus, Botol @ 200 ml</t>
  </si>
  <si>
    <t>sucralfate suspension</t>
  </si>
  <si>
    <t>peptifat</t>
  </si>
  <si>
    <t xml:space="preserve">peptifat suspensi sucralfate suspension </t>
  </si>
  <si>
    <t>DKL1115621337A1</t>
  </si>
  <si>
    <t>TB Rif 100 mg/5 ml Sirup 120 ml</t>
  </si>
  <si>
    <t>Dus, Botol 120 ml</t>
  </si>
  <si>
    <t>tb rif</t>
  </si>
  <si>
    <t xml:space="preserve">tb rif sirup rifampicin </t>
  </si>
  <si>
    <t>DKL9623404504A1</t>
  </si>
  <si>
    <t>Broadamox 500 mg 10 Tablet</t>
  </si>
  <si>
    <t>Rp5.600 - Rp18.800</t>
  </si>
  <si>
    <t>broadamox</t>
  </si>
  <si>
    <t xml:space="preserve">broadamox kaplet amoxicillin trihydrate </t>
  </si>
  <si>
    <t>DKL1434611517A1</t>
  </si>
  <si>
    <t>Lonide 40 mg 10 Tablet</t>
  </si>
  <si>
    <t>Rp90.500 - Rp93.000</t>
  </si>
  <si>
    <t>Dus, 3 Blister @ 10 Tablet Salut Selaput</t>
  </si>
  <si>
    <t>otilonium bromide</t>
  </si>
  <si>
    <t>lonide</t>
  </si>
  <si>
    <t xml:space="preserve">lonide tablet otilonium bromide </t>
  </si>
  <si>
    <t>DKL0823411438B1</t>
  </si>
  <si>
    <t>Broadamox 250 mg Dry Sirup 60 ml</t>
  </si>
  <si>
    <t>Rp23.200 - Rp25.700</t>
  </si>
  <si>
    <t xml:space="preserve">broadamox sirup amoxicillin trihydrate </t>
  </si>
  <si>
    <t>DKL0634006009A1</t>
  </si>
  <si>
    <t>Novaflox 500 mg 10 Kaplet</t>
  </si>
  <si>
    <t>Rp9.600 - Rp21.600</t>
  </si>
  <si>
    <t>novaflox</t>
  </si>
  <si>
    <t xml:space="preserve">novaflox kaplet ciprofloxacin hydrochloride </t>
  </si>
  <si>
    <t>Minol Minyak Luka 15 ml</t>
  </si>
  <si>
    <t>Rp13.000 - Rp13.400</t>
  </si>
  <si>
    <t>minyak</t>
  </si>
  <si>
    <t>minol luka</t>
  </si>
  <si>
    <t xml:space="preserve">minol luka minyak minol </t>
  </si>
  <si>
    <t>DBL9513009733A1</t>
  </si>
  <si>
    <t>Konimag Suspensi 7 ml 30 Sachet</t>
  </si>
  <si>
    <t>Rp25.900 - Rp28.000</t>
  </si>
  <si>
    <t>Dus, 30 Sachet @ 7 ml</t>
  </si>
  <si>
    <t>konimag</t>
  </si>
  <si>
    <t xml:space="preserve">konimag suspensi aluminium hydroxide </t>
  </si>
  <si>
    <t>DKL0615619233A1</t>
  </si>
  <si>
    <t>Promuba Suspensi 60 ml</t>
  </si>
  <si>
    <t>promuba</t>
  </si>
  <si>
    <t xml:space="preserve">promuba suspensi metronidazole benzoate </t>
  </si>
  <si>
    <t>DKL0208506001A1</t>
  </si>
  <si>
    <t>Librocef 500mg 10 Kapsul</t>
  </si>
  <si>
    <t>Rp18.000 - Rp21.000</t>
  </si>
  <si>
    <t>librocef</t>
  </si>
  <si>
    <t xml:space="preserve">librocef kapsul cefadroxil monohydrate </t>
  </si>
  <si>
    <t xml:space="preserve">sultrimmix suspensi sulfamethoxazole trimethoprim </t>
  </si>
  <si>
    <t>GKL9922227109A1</t>
  </si>
  <si>
    <t>Rifampicin 450 mg 10 Tablet</t>
  </si>
  <si>
    <t>Rp26.200 - Rp37.300</t>
  </si>
  <si>
    <t>PENGGUNAAN OBAT INI HARUS SESUAI DENGAN PETUNJUK DOKTER. Tuberkulosis : Dewasa 450-600mg/hari sebagai dosis tunggal. Maksimal : 600mg/hari. Lepra : Dewasa 450-600mg/hari</t>
  </si>
  <si>
    <t>Penderita hipersensitif, penderita gangguan saluran empedu, serta selama kehamilan trimester pertama.</t>
  </si>
  <si>
    <t>HARUS DENGAN RESEP DOKTER. wanita hamil dan ibu menyusui</t>
  </si>
  <si>
    <t>rifampicin kaplet tuberkulosis lepra</t>
  </si>
  <si>
    <t>DKI1954300115B1</t>
  </si>
  <si>
    <t>Ezol 40 mg 7 Tablet</t>
  </si>
  <si>
    <t>Sebelum atau sesudah makan. Pasien yang sulit menelan, tablet dapat dilarutkan kedalam 1/2 gelas air tidak berkarbonat dan tidak boleh menggunakan cairan lain. Aduk rata sampai tablet larut menjadi butiran halus dan diminum sekaligus segera atau dalam waktu 30 menitsesudah di larutkan. Bilas gelas dengan 1/2 gelas air lalu di minum.</t>
  </si>
  <si>
    <t>PENGGUNAAN OBAT INI HARUS SESUAI DENGAN PETUNJUK DOKTER. Dewasa : Reflux Esofagitis erosif : 1 x sehari 1 tablet selama 4 - 8 minggu Zollinger-Ellison : 2 kali sehari 1 tablet Maintenance Haemostasis &amp; pencegahan perdarahan berulang (rebleeding) pada Gastric-D</t>
  </si>
  <si>
    <t>Dus, 4 Strip @ 7 Tablet Salut Selaput</t>
  </si>
  <si>
    <t>Hipersensitivitas. Pemberian bersama atazanavir, intoleransi fruktosa, malabsorpsi, glukosa-galaktosa atau insufiensi sukrase-isomaltase, laktasi, anak &lt; 12 tahun</t>
  </si>
  <si>
    <t>HARUS DENGAN RESEP DOKTER. Ginjal berat, Terapi jangka panjang &gt; 1 tahun. Singkirkan kemungkinan adanya keganasan lambung sebelum terapi.</t>
  </si>
  <si>
    <t>ezol</t>
  </si>
  <si>
    <t xml:space="preserve">ezol tablet esomeprazole magnesium </t>
  </si>
  <si>
    <t>DKL1815720515B1</t>
  </si>
  <si>
    <t>Ezocon 40 mg 10 Tablet</t>
  </si>
  <si>
    <t>Rp229.300 - Rp239.000</t>
  </si>
  <si>
    <t>DKL0607808937A1</t>
  </si>
  <si>
    <t>Hufaxol 15 mg Sirup 60 ml</t>
  </si>
  <si>
    <t>Rp6.800 - Rp8.000</t>
  </si>
  <si>
    <t>PENGGUNAAN OBAT INI HARUS SESUAI DENGAN PETUNJUK DOKTER. Dewasa- Anak lebih dari 12 tahun : 2 sendok takar (10 mL) 2-3 kali sehari. Anak 6-12 tahun : 1 sendok takar (5 mL) 2-3 kali sehari. Anak 2-6 tahun : 1/2 sendok takar (2.5 mL) 2-3 kali sehari.</t>
  </si>
  <si>
    <t>hufaxol</t>
  </si>
  <si>
    <t xml:space="preserve">hufaxol sirup ambroxol hydrochloride </t>
  </si>
  <si>
    <t>DKL0634006438A1</t>
  </si>
  <si>
    <t>Novamox Dry Sirup 60 ml</t>
  </si>
  <si>
    <t>Rp5.700 - Rp16.600</t>
  </si>
  <si>
    <t>novamox</t>
  </si>
  <si>
    <t xml:space="preserve">novamox sirup amoxicillin trihydrate </t>
  </si>
  <si>
    <t>DTL1331534128A1</t>
  </si>
  <si>
    <t>Thromboflash Gel 10 g</t>
  </si>
  <si>
    <t>Rp31.500 - Rp39.500</t>
  </si>
  <si>
    <t>Dus, Tube @ 10 gram</t>
  </si>
  <si>
    <t>heparin sodium</t>
  </si>
  <si>
    <t>thromboflash</t>
  </si>
  <si>
    <t xml:space="preserve">thromboflash gel heparin sodium </t>
  </si>
  <si>
    <t>DKL1432406037A1</t>
  </si>
  <si>
    <t>Capritazin 5 mg/ml Sirup 60 ml</t>
  </si>
  <si>
    <t>Rp67.200 - Rp67.800</t>
  </si>
  <si>
    <t xml:space="preserve">capritazin sirup cetirizine hydrochloride </t>
  </si>
  <si>
    <t>DTL0832402037A1</t>
  </si>
  <si>
    <t>Phenacold Sirup 60 ml</t>
  </si>
  <si>
    <t>Rp11.000 - Rp15.600</t>
  </si>
  <si>
    <t>Bersama atau tanpa makanan.</t>
  </si>
  <si>
    <t>Dewasa: 10 mL 3-4 x sehari. Anak 6-12 thn: 5 mL 3-4 x sehari.</t>
  </si>
  <si>
    <t>Terapi antibiotik dengan efek ototoksik. Bayi. Laktasi.</t>
  </si>
  <si>
    <t>Epilepsi, gangguan fungsi prostat, glaukoma, penyakit jantung. Gejala batuk yang tidak membaik atau timbul demam selama 2 hari. Dpt mengganggu kemampuan untuk mengemudi atau menjalankan mesin. Anak &lt;6 tahun. Hamil.</t>
  </si>
  <si>
    <t>phenacold</t>
  </si>
  <si>
    <t xml:space="preserve">phenacold sirup ammonium chloride </t>
  </si>
  <si>
    <t>TR163392551</t>
  </si>
  <si>
    <t>Nisa Ekstrak 60 Kapsul</t>
  </si>
  <si>
    <t>NISA EKSTRAK</t>
  </si>
  <si>
    <t>Rp64.800 - Rp90.200</t>
  </si>
  <si>
    <t>2 x sehari 2 kapsul</t>
  </si>
  <si>
    <t>Diabetes</t>
  </si>
  <si>
    <t>nisa ekstrak</t>
  </si>
  <si>
    <t>diabetes</t>
  </si>
  <si>
    <t>nisa ekstrak kapsul diabetes</t>
  </si>
  <si>
    <t>Perban 40 cm x 80 cm</t>
  </si>
  <si>
    <t>Rp107.600 - Rp128.600</t>
  </si>
  <si>
    <t>perban x</t>
  </si>
  <si>
    <t xml:space="preserve">perban x larutan povidoneiodine </t>
  </si>
  <si>
    <t>DKL0418215710B1</t>
  </si>
  <si>
    <t>Nulox Forte 15 mg 10 Tablet</t>
  </si>
  <si>
    <t>Rp85.400 - Rp86.700</t>
  </si>
  <si>
    <t>nulox forte</t>
  </si>
  <si>
    <t xml:space="preserve">nulox forte tablet meloxicam </t>
  </si>
  <si>
    <t>DKL9725201210B1</t>
  </si>
  <si>
    <t>Tanapress 5 mg 10 Tablet</t>
  </si>
  <si>
    <t>Rp102.700 - Rp148.000</t>
  </si>
  <si>
    <t>PENGGUNAAN OBAT INI HARUS SESUAI DENGAN PETUNJUK DOKTER. Dewasa : 5-10 mg 1 kali/hari. Untuk pasien gangguan ginjal, hipertensi berat atau hipertensi parenkim ginjal : awal 2.5 mg 1 kali/hari.</t>
  </si>
  <si>
    <t>Hipertensi.</t>
  </si>
  <si>
    <t>Tablet 5 Mg X 3 X 10</t>
  </si>
  <si>
    <t>Riwayat angioedema yang berhubungan dengan pemberian ACE inhibitor. Pasien dalam pengobatan aphheresi LDL menggunakan dextran selulose sulfat. Pasien yang menjalankan dialisis dengan acrylonitrilic methallyl sulfonat sodium membran (AN 69). Hamil.</t>
  </si>
  <si>
    <t>HARUS DENGAN RESEP DOKTER. Gangguan ginjal serius (bersihan kreatinin &lt; 30 mL/menit atau kreatinin serum &gt; 3 mg/dL). Penurunan dosis lazim sampai dengan separuhnya atau selang waktu yang lama antar pemberian obat.</t>
  </si>
  <si>
    <t>imidapril</t>
  </si>
  <si>
    <t>hipertensi</t>
  </si>
  <si>
    <t>tanapress</t>
  </si>
  <si>
    <t>tanapress tablet imidapril hipertensi</t>
  </si>
  <si>
    <t>GKL0305033604C1</t>
  </si>
  <si>
    <t>Ramipril 5 mg 10 Kaplet</t>
  </si>
  <si>
    <t>Rp6.200 - Rp9.200</t>
  </si>
  <si>
    <t>Dikonsumsi bersama makanan atau tidak</t>
  </si>
  <si>
    <t>PENGGUNAAN OBAT INI HARUS SESUAI DENGAN PETUNJUK DOKTER. Hipertensi : diawali dengan 2.5 mg sekali sehari. Pemeliharaan : 2.5-5 mg/hari. Maksimal : 10 mg/hari. Pasien yang diobati dengan diuretika : jika memungkinkan, diuretika dihentikan 2-3 hari sebelum pengobatan dimulai. Maksimal : 2.5 mg/hari. Pengobatan setelah infark miokardial : diawali dengan 1.25 - 2.5 mg 2 kali sehari. Maksimal : 10 mg/hari.</t>
  </si>
  <si>
    <t>INFORMASI OBAT INI HANYA UNTUK KALANGAN MEDIS. Hipertensi ringan sampai sedang</t>
  </si>
  <si>
    <t>Pasien yang memiliki Riwayat hipersensitif terhadap Ramipril atau obat-obat yang termasuk ACE inhibitor lain. Ibu hamil atau berencana untuk hamil. Riwayat angioedema (herediter atau idiopatik) atau pernah mengalami angioedema saat menggunakan obat-obat golongan inhibitor ACE. Pasien dengan diabetes melitus.</t>
  </si>
  <si>
    <t>HARUS DENGAN RESEP DOKTER. Pasien yang memiliki Riwayat hipersensitif terhadap Ramipril atau obat-obat yang termasuk ACE inhibitor lain. Ibu hamil atau berencana untuk hamil. Riwayat angioedema (herediter atau idiopatik) atau pernah mengalami angioedema saat menggunakan obat-obat golongan inhibitor ACE. Pasien dengan diabetes melitus. Kategori Kehamilan : D</t>
  </si>
  <si>
    <t>ramipril</t>
  </si>
  <si>
    <t>hipertensi ringan</t>
  </si>
  <si>
    <t>ramipril kaplet hipertensi ringan</t>
  </si>
  <si>
    <t>DKI2054900151A1</t>
  </si>
  <si>
    <t>Kefentech Plester 30 mg</t>
  </si>
  <si>
    <t>Rp66.400 - Rp67.100</t>
  </si>
  <si>
    <t>DUS, 20 SACHET @ 7 PLESTER</t>
  </si>
  <si>
    <t>kasa</t>
  </si>
  <si>
    <t>kefentech plester</t>
  </si>
  <si>
    <t xml:space="preserve">kefentech plester kasa ketoprofen </t>
  </si>
  <si>
    <t>DKL9316905609A1</t>
  </si>
  <si>
    <t>Omestan 500 mg 10 Kaplet</t>
  </si>
  <si>
    <t>Rp3.200 - Rp4.100</t>
  </si>
  <si>
    <t>mefenamic acid</t>
  </si>
  <si>
    <t>omestan</t>
  </si>
  <si>
    <t xml:space="preserve">omestan kaplet mefenamic acid </t>
  </si>
  <si>
    <t>TR226072711</t>
  </si>
  <si>
    <t>OBH Combi Herbal Sirup 60 ml</t>
  </si>
  <si>
    <t>OBH COMBI HERBAL</t>
  </si>
  <si>
    <t>Sesudah makan</t>
  </si>
  <si>
    <t>Dewasa: 1-4 x sehari 15 ml Anak-anak 6-12 tahun: 1-4 x sehari 5 ml</t>
  </si>
  <si>
    <t>obh combi herbal</t>
  </si>
  <si>
    <t xml:space="preserve">obh combi herbal sirup </t>
  </si>
  <si>
    <t>GKL0305033610B1</t>
  </si>
  <si>
    <t>Ramipril 2.5 mg 10 Kaplet</t>
  </si>
  <si>
    <t>Rp3.200 - Rp4.300</t>
  </si>
  <si>
    <t>Diberikan bersama atau tanpa makanan</t>
  </si>
  <si>
    <t>PENGGUNAAN OBAT INI HARUS SESUAI DENGAN PETUNJUK DOKTER. Hipertensi : Awal 2,5 mg 1 kali/hari. Pemeliharaan 2,5-5 mg/hari. Maksimal 10 mg/hari. Gagal jantung kongestif : Awal 1,25 mg 1 kali/hari. Maksimal 10 mg/hari. Terapi sesudah infark miokard : Awal 2,5 mg 2 kali/hari. Maksimal 10 mg/hari.</t>
  </si>
  <si>
    <t>ramipril tablet hipertensi ringan</t>
  </si>
  <si>
    <t>TR103322461</t>
  </si>
  <si>
    <t>Pasak Bumi Plus 50 Kapsul</t>
  </si>
  <si>
    <t>PASAK BUMI PLUS</t>
  </si>
  <si>
    <t>Rp49.700 - Rp74.500</t>
  </si>
  <si>
    <t>pasak bumi plus</t>
  </si>
  <si>
    <t xml:space="preserve">pasak bumi plus kapsul </t>
  </si>
  <si>
    <t>DKL1222721904A1</t>
  </si>
  <si>
    <t>Alif 500 mg 10 Kaplet</t>
  </si>
  <si>
    <t>Rp21.300 - Rp27.300</t>
  </si>
  <si>
    <t>naproxen sodium</t>
  </si>
  <si>
    <t>alif</t>
  </si>
  <si>
    <t xml:space="preserve">alif kaplet naproxen sodium </t>
  </si>
  <si>
    <t>GKL1840502510B1</t>
  </si>
  <si>
    <t>Telmisartan 80 mg 10 Tablet</t>
  </si>
  <si>
    <t>Rp60.600 - Rp94.700</t>
  </si>
  <si>
    <t>Dapat diberikan bersama atau tanpa makanan</t>
  </si>
  <si>
    <t>PENGGUNAAN OBAT INI HARUS SESUAI DENGAN PETUNJUK DOKTER. Diberikan 80 mg sekali sehari</t>
  </si>
  <si>
    <t>Hipertensi esensial</t>
  </si>
  <si>
    <t>Kehamilan, menyusui, hipertensi retrovaskular, gangguan ginjal dan transplantasi ginjal, deplesi volume intravaskular, blokade ganda sistem renin-angiotensin-aldosteron, hiperkalemia</t>
  </si>
  <si>
    <t>telmisartan</t>
  </si>
  <si>
    <t>hipertensi esensial</t>
  </si>
  <si>
    <t>telmisartan tablet hipertensi esensial</t>
  </si>
  <si>
    <t>DKL0734007933A1</t>
  </si>
  <si>
    <t>Novastan Suspensi 60 ml</t>
  </si>
  <si>
    <t>Rp7.200 - Rp18.700</t>
  </si>
  <si>
    <t>Anak-anak di atas 14 tahun atau dewasa : dosis awal 50 ml kemudian di lanjutkan 25 ml setiap 6 jam</t>
  </si>
  <si>
    <t>Dus, botol @ 60 ml</t>
  </si>
  <si>
    <t>Obat Wajib Apotek, Obat ini dapat dibeli dan diserahkan apoteker tanpa resep dengan maksimum 1 Botol. Pembelian melebihi batas ini WAJIB RESEP DOKTER.</t>
  </si>
  <si>
    <t>novastan</t>
  </si>
  <si>
    <t xml:space="preserve">novastan suspensi mefenamic acid </t>
  </si>
  <si>
    <t>DBL0331101304B1</t>
  </si>
  <si>
    <t>Grafadon Forte 650 mg 10 Kaplet</t>
  </si>
  <si>
    <t>Rp4.300 - Rp5.000</t>
  </si>
  <si>
    <t>grafadon forte</t>
  </si>
  <si>
    <t xml:space="preserve">grafadon forte kaplet paracetamol </t>
  </si>
  <si>
    <t>DTL8502306804A1</t>
  </si>
  <si>
    <t>Silabat 10 Kaplet</t>
  </si>
  <si>
    <t>Rp4.500 - Rp5.500</t>
  </si>
  <si>
    <t>silabat</t>
  </si>
  <si>
    <t xml:space="preserve">silabat kaplet chlorphenamine maleate </t>
  </si>
  <si>
    <t>DKL1222249837A1</t>
  </si>
  <si>
    <t>Santagesik Sirup 60 ml</t>
  </si>
  <si>
    <t>Rp40.300 - Rp50.600</t>
  </si>
  <si>
    <t>metamizole sodium</t>
  </si>
  <si>
    <t>santagesik</t>
  </si>
  <si>
    <t xml:space="preserve">santagesik sirup metamizole sodium </t>
  </si>
  <si>
    <t>TR192329141</t>
  </si>
  <si>
    <t>Guaslim 60 Kapsul</t>
  </si>
  <si>
    <t>HEALTH+CARE GUASLIM</t>
  </si>
  <si>
    <t>Rp110.000 - Rp112.000</t>
  </si>
  <si>
    <t>health+care guaslim</t>
  </si>
  <si>
    <t>guaslim</t>
  </si>
  <si>
    <t xml:space="preserve">guaslim kapsul healthcare guaslim </t>
  </si>
  <si>
    <t>DKL1713320517B1</t>
  </si>
  <si>
    <t>Rostin 20 mg 10 Tablet</t>
  </si>
  <si>
    <t>Rp133.600 - Rp190.800</t>
  </si>
  <si>
    <t>Dus, 2 Blister @ 10 Tablet Salut Selaput</t>
  </si>
  <si>
    <t>rosuvastatin calcium</t>
  </si>
  <si>
    <t>rostin</t>
  </si>
  <si>
    <t xml:space="preserve">rostin tablet rosuvastatin calcium </t>
  </si>
  <si>
    <t>Ultrafix 10cmx1M</t>
  </si>
  <si>
    <t>ultrafix cmxm</t>
  </si>
  <si>
    <t xml:space="preserve">ultrafix cmxm larutan povidoneiodine </t>
  </si>
  <si>
    <t>DKL1833315709A1</t>
  </si>
  <si>
    <t>Asimat 500 mg 10 Tablet</t>
  </si>
  <si>
    <t>asimat</t>
  </si>
  <si>
    <t xml:space="preserve">asimat kaplet mefenamic acid </t>
  </si>
  <si>
    <t>DKL0419609915A1</t>
  </si>
  <si>
    <t>Lantiflam Tablet 50 mg</t>
  </si>
  <si>
    <t>Rp3.800 - Rp4.000</t>
  </si>
  <si>
    <t>ketoprofen lysine</t>
  </si>
  <si>
    <t>lantiflam</t>
  </si>
  <si>
    <t xml:space="preserve">lantiflam tablet ketoprofen lysine </t>
  </si>
  <si>
    <t>DKL9632500304A1</t>
  </si>
  <si>
    <t>Licostan 500 mg 10 Kaplet</t>
  </si>
  <si>
    <t>Rp4.200 - Rp13.400</t>
  </si>
  <si>
    <t>Dus, 10 Strip @10 Kaplet</t>
  </si>
  <si>
    <t>licostan</t>
  </si>
  <si>
    <t xml:space="preserve">licostan kaplet mefenamic acid </t>
  </si>
  <si>
    <t>DKL0830909210A1</t>
  </si>
  <si>
    <t>Melocid 7.5 mg 10 Tablet</t>
  </si>
  <si>
    <t>Rp7.000 - Rp8.600</t>
  </si>
  <si>
    <t>Peradangan</t>
  </si>
  <si>
    <t>peradangan</t>
  </si>
  <si>
    <t>melocid</t>
  </si>
  <si>
    <t>melocid tablet meloxicam peradangan</t>
  </si>
  <si>
    <t>Betadine Stick 10 Sachet</t>
  </si>
  <si>
    <t>Rp11.500 - Rp37.500</t>
  </si>
  <si>
    <t>Pegang bagian tengah stick dengan posisi kapas biru diatas, patahkan kapas biru, oleskan kapas putih ke luka dan sariawan.</t>
  </si>
  <si>
    <t>gunakan secukupnya</t>
  </si>
  <si>
    <t>Dus @ 10 Sachet</t>
  </si>
  <si>
    <t>betadine stick</t>
  </si>
  <si>
    <t xml:space="preserve">betadine stick larutan povidoneiodine </t>
  </si>
  <si>
    <t>DTL0113310433B1</t>
  </si>
  <si>
    <t>Rhelafen Forte 200 mg/5 ml Sirup 60 ml</t>
  </si>
  <si>
    <t>Rp24.500 - Rp36.800</t>
  </si>
  <si>
    <t>rhelafen forte</t>
  </si>
  <si>
    <t xml:space="preserve">rhelafen forte suspensi ibuprofen </t>
  </si>
  <si>
    <t>TR063366661</t>
  </si>
  <si>
    <t>Innolife Olive Oil 150 Kapsul</t>
  </si>
  <si>
    <t>INNOLIFE OLIVE OIL</t>
  </si>
  <si>
    <t>Rp60.100 - Rp95.300</t>
  </si>
  <si>
    <t>Botol @ 150 kapsul</t>
  </si>
  <si>
    <t>innolife olive oil</t>
  </si>
  <si>
    <t xml:space="preserve">innolife olive oil kapsul </t>
  </si>
  <si>
    <t>DBL1821103104A1</t>
  </si>
  <si>
    <t>Rodemol Extra 10 Kaplet</t>
  </si>
  <si>
    <t>Rp12.700 - Rp13.300</t>
  </si>
  <si>
    <t>caffeine</t>
  </si>
  <si>
    <t>rodemol extra</t>
  </si>
  <si>
    <t xml:space="preserve">rodemol extra kaplet caffeine </t>
  </si>
  <si>
    <t>DKL9323402504A1</t>
  </si>
  <si>
    <t>Cargesik 500 mg 10 Tablet</t>
  </si>
  <si>
    <t>Rp15.000 - Rp16.500</t>
  </si>
  <si>
    <t>PENGGUNAAN OBAT INI HARUS SESUAI DENGAN PETUNJUK DOKTER. Dewasa: 1 kaplet diminum 3 kali sehari.</t>
  </si>
  <si>
    <t>Obat Wajib Apotek, Obat ini dapat dibeli dan diserahkan apoteker tanpa resep dengan maksimum 2 Strip. Pembelian melebihi batas ini WAJIB RESEP DOKTER. HARUS DENGAN RESEP DOKTER</t>
  </si>
  <si>
    <t>cargesik</t>
  </si>
  <si>
    <t xml:space="preserve">cargesik kaplet mefenamic acid </t>
  </si>
  <si>
    <t>TR153686451</t>
  </si>
  <si>
    <t>Madu Gemuk Badan 350 g</t>
  </si>
  <si>
    <t>MADU GEMUK BADAN</t>
  </si>
  <si>
    <t>Rp37.300 - Rp55.400</t>
  </si>
  <si>
    <t>Dus, Botol @ 350 gram</t>
  </si>
  <si>
    <t>madu</t>
  </si>
  <si>
    <t>madu gemuk badan</t>
  </si>
  <si>
    <t xml:space="preserve">madu gemuk badan madu </t>
  </si>
  <si>
    <t>DKL1422252910A1</t>
  </si>
  <si>
    <t>Vertigosan 10 Tablet</t>
  </si>
  <si>
    <t>Rp33.800 - Rp39.200</t>
  </si>
  <si>
    <t>betahistine mesilate</t>
  </si>
  <si>
    <t>vertigosan</t>
  </si>
  <si>
    <t xml:space="preserve">vertigosan tablet betahistine mesilate </t>
  </si>
  <si>
    <t>DKL0533207037A1</t>
  </si>
  <si>
    <t>Propect Sirup 60 ml</t>
  </si>
  <si>
    <t>Rp30.300 - Rp33.400</t>
  </si>
  <si>
    <t>propect</t>
  </si>
  <si>
    <t xml:space="preserve">propect sirup ambroxol hydrochloride </t>
  </si>
  <si>
    <t>GKL1705059310A1</t>
  </si>
  <si>
    <t>pioglitazone hydrochloride</t>
  </si>
  <si>
    <t xml:space="preserve">iodosorb tablet pioglitazone hydrochloride </t>
  </si>
  <si>
    <t xml:space="preserve">prontosan tablet pioglitazone hydrochloride </t>
  </si>
  <si>
    <t>DKL0817623004B1</t>
  </si>
  <si>
    <t>Pravinat 20 mg 10 Kaplet</t>
  </si>
  <si>
    <t>Rp188.300 - Rp241.800</t>
  </si>
  <si>
    <t>DUS, 6 BLISTER @ 10 KAPLET</t>
  </si>
  <si>
    <t>pravastatin sodium</t>
  </si>
  <si>
    <t>pravinat</t>
  </si>
  <si>
    <t xml:space="preserve">pravinat kaplet pravastatin sodium </t>
  </si>
  <si>
    <t>DKL1721646543A1</t>
  </si>
  <si>
    <t>Blastofen 25 mg 10 Tablet</t>
  </si>
  <si>
    <t>Rp66.500 - Rp71.200</t>
  </si>
  <si>
    <t>Dus, 5 Blister @ 10 Tablet Salut Selaput</t>
  </si>
  <si>
    <t>injeksi</t>
  </si>
  <si>
    <t>dexketoprofen trometamol</t>
  </si>
  <si>
    <t>blastofen</t>
  </si>
  <si>
    <t xml:space="preserve">blastofen injeksi dexketoprofen trometamol </t>
  </si>
  <si>
    <t>DKL1321020610A1</t>
  </si>
  <si>
    <t>Betaver 6 mg 10 Tablet</t>
  </si>
  <si>
    <t>Rp34.100 - Rp36.500</t>
  </si>
  <si>
    <t>betaver</t>
  </si>
  <si>
    <t xml:space="preserve">betaver tablet betahistine mesilate </t>
  </si>
  <si>
    <t>DTL0334001837A1</t>
  </si>
  <si>
    <t>Novadryl Sirup 60 ml</t>
  </si>
  <si>
    <t>Rp5.200 - Rp5.400</t>
  </si>
  <si>
    <t>novadryl</t>
  </si>
  <si>
    <t xml:space="preserve">novadryl sirup ammonium chloride </t>
  </si>
  <si>
    <t>DKL1313707510A1</t>
  </si>
  <si>
    <t>Protaz 15 mg 10 Tablet</t>
  </si>
  <si>
    <t>Rp41.900 - Rp49.800</t>
  </si>
  <si>
    <t>protaz</t>
  </si>
  <si>
    <t xml:space="preserve">protaz tablet pioglitazone hydrochloride </t>
  </si>
  <si>
    <t>DTL9531105337A1</t>
  </si>
  <si>
    <t>Zacoldine Sirup 60ml</t>
  </si>
  <si>
    <t>Rp8.500 - Rp8.800</t>
  </si>
  <si>
    <t>zacoldine</t>
  </si>
  <si>
    <t xml:space="preserve">zacoldine sirup chlorphenamine maleate </t>
  </si>
  <si>
    <t>GKL1333528110B1</t>
  </si>
  <si>
    <t>Ramipril 10 mg 10 Kaplet</t>
  </si>
  <si>
    <t>Rp8.500 - Rp16.800</t>
  </si>
  <si>
    <t>PENGGUNAAN OBAT INI HARUS SESUAI DENGAN PETUNJUK DOKTER. Hipertensi : diawali dengan 2.5 mg sekali sehari. Pemeliharaan : 2.5-5 mg/hari. Maksimal : 10 mg/hari. Pasien yang diobati dengan diuretika : jika memungkinkan, diuretika dihentikan 2-3 hari sebelum pengobatan dimulai. Maksimal : 2.5 mg/hari. Pengobatan setelah infark miokardial : diawali dengan 1.25-2.5 mg 2 kali sehari. Maksimal : 10 mg/hari.</t>
  </si>
  <si>
    <t>HARUS DENGAN RESEP DOKTER. Pasien yang memiliki Riwayat hipersensitif terhadap Ramipril atau obat-obat yang termasuk ACE inhibitor lain. Ibu hamil atau berencana untuk hamil. Riwayat angioedema (herediter atau idiopatik) atau pernah mengalami angioedema saat menggunakan obat-obat golongan inhibitor ACE. Pasien dengan diabetes melitus.</t>
  </si>
  <si>
    <t>DKL0307114104A1</t>
  </si>
  <si>
    <t>Ravalgin 500 mg 10 Kaplet</t>
  </si>
  <si>
    <t>Rp3.200 - Rp5.300</t>
  </si>
  <si>
    <t>ravalgin</t>
  </si>
  <si>
    <t xml:space="preserve">ravalgin kaplet metamizole sodium </t>
  </si>
  <si>
    <t>DTL0909219637A1</t>
  </si>
  <si>
    <t>Ternix Sirup 60 ml</t>
  </si>
  <si>
    <t>Rp8.100 - Rp16.100</t>
  </si>
  <si>
    <t>Dut, Botol @ 60 ml</t>
  </si>
  <si>
    <t>ternix</t>
  </si>
  <si>
    <t xml:space="preserve">ternix sirup chlorphenamine maleate </t>
  </si>
  <si>
    <t>DKL1521645010B1</t>
  </si>
  <si>
    <t>Gionix 16 mg 10 Tablet</t>
  </si>
  <si>
    <t>Rp81.900 - Rp106.600</t>
  </si>
  <si>
    <t>Dus, 1 Strip @ 10 Tablet</t>
  </si>
  <si>
    <t>candesartan cilexetil</t>
  </si>
  <si>
    <t>gionix</t>
  </si>
  <si>
    <t xml:space="preserve">gionix tablet candesartan cilexetil </t>
  </si>
  <si>
    <t>DKL8925200310B1</t>
  </si>
  <si>
    <t>Herbesser 60 mg 10 Tablet</t>
  </si>
  <si>
    <t>Rp41.000 - Rp62.900</t>
  </si>
  <si>
    <t>Dikonsumsi sesudah makan</t>
  </si>
  <si>
    <t>PENGGUNAAN OBAT INI HARUS SESUAI DENGAN PETUNJUK DOKTER. Untuk angina pektoris dan angina varian : 30 mg 3 kali/hari, dapat ditingkatkan sampai 60 mg. Untuk hipertensi esensial : 30-60 mg 3 kali/hari.</t>
  </si>
  <si>
    <t>Blok AV derajat 2 atau 3, gagal jantung kongestif berat, blok SA, hipotensi berat, syok kardiogenik, kardiomiopati berat, Ibu hamil atau wanita yang mungkin hamil.</t>
  </si>
  <si>
    <t>HARUS DENGAN RESEP DOKTER. Blok AV derajat 1, gangguan fungsi ginjal atau hati berat, infark miokard akut, bradikardi berat.</t>
  </si>
  <si>
    <t>diltiazem hydrochloride</t>
  </si>
  <si>
    <t>herbesser</t>
  </si>
  <si>
    <t xml:space="preserve">herbesser tablet diltiazem hydrochloride </t>
  </si>
  <si>
    <t>TR142680761</t>
  </si>
  <si>
    <t>Contrexyn Herbal Masuk Angin 7.5 ml</t>
  </si>
  <si>
    <t>CONTREXYN HERBAL MASUK ANGIN</t>
  </si>
  <si>
    <t>Rp900 - Rp2.800</t>
  </si>
  <si>
    <t>contrexyn herbal masuk angin</t>
  </si>
  <si>
    <t xml:space="preserve">contrexyn herbal masuk angin  </t>
  </si>
  <si>
    <t>DKL1104427437A1</t>
  </si>
  <si>
    <t>Transmuco 15 mg Syrup 60 ml</t>
  </si>
  <si>
    <t>Rp12.100 - Rp14.300</t>
  </si>
  <si>
    <t>transmuco</t>
  </si>
  <si>
    <t xml:space="preserve">transmuco sirup ambroxol hydrochloride </t>
  </si>
  <si>
    <t>Phenacold Sirup 120 ml</t>
  </si>
  <si>
    <t>Rp15.000 - Rp21.100</t>
  </si>
  <si>
    <t>Dewasa: 10 ml 3-4 x sehari. Anak 6-12 thn: 5 ml 3-4 x sehari.</t>
  </si>
  <si>
    <t>GKL1840502510A1</t>
  </si>
  <si>
    <t>Telmisartan 40 mg 10 Tablet</t>
  </si>
  <si>
    <t>Rp36.200 - Rp57.000</t>
  </si>
  <si>
    <t>PENGGUNAAN OBAT INI HARUS SESUAI DENGAN PETUNJUK DOKTER. Dewasa : 1 x sehari 1 tablet, maximum : 1 x sehari 2 tablet</t>
  </si>
  <si>
    <t>Dus, 3 Blister @ 10 Tablet</t>
  </si>
  <si>
    <t>HARUS DENGAN RESEP DOKTER. Kardiopati iskemik atau penyakit jantung iskemik, anak &lt; 18 tahun, hipertensi renovaskular, gangguan fungsi ginjal, transplantasi ginjal, deplesi vol intravaskular, gagal jantung kongestif, aldosteronisme primer, stenosis karup aorta dan mitral, kardiopat</t>
  </si>
  <si>
    <t>DKL1321907404B1</t>
  </si>
  <si>
    <t>Samcovask 10 mg 10 Kaplet</t>
  </si>
  <si>
    <t>Rp4.800 - Rp58.600</t>
  </si>
  <si>
    <t>DUs, 3 Strip @ 10 Kaplet</t>
  </si>
  <si>
    <t>amlodipine besilate</t>
  </si>
  <si>
    <t>samcovask</t>
  </si>
  <si>
    <t xml:space="preserve">samcovask kaplet amlodipine besilate </t>
  </si>
  <si>
    <t>DKL0913315117A1</t>
  </si>
  <si>
    <t>Pidovix 75 mg 10 Tablet</t>
  </si>
  <si>
    <t>Rp193.100 - Rp242.800</t>
  </si>
  <si>
    <t>clopidogrel bisulfate</t>
  </si>
  <si>
    <t>pidovix</t>
  </si>
  <si>
    <t xml:space="preserve">pidovix tablet clopidogrel bisulfate </t>
  </si>
  <si>
    <t>DTL9507806537A1</t>
  </si>
  <si>
    <t>Pasaba Syrup 60 ml</t>
  </si>
  <si>
    <t>Rp5.000 - Rp9.100</t>
  </si>
  <si>
    <t>pasaba</t>
  </si>
  <si>
    <t xml:space="preserve">pasaba sirup chlorphenamine maleate </t>
  </si>
  <si>
    <t>DKL1008015617A1</t>
  </si>
  <si>
    <t>Teranol 10 mg 10 Tablet</t>
  </si>
  <si>
    <t>Rp65.900 - Rp78.300</t>
  </si>
  <si>
    <t>ketorolac trometamol</t>
  </si>
  <si>
    <t>teranol</t>
  </si>
  <si>
    <t xml:space="preserve">teranol tablet ketorolac trometamol </t>
  </si>
  <si>
    <t>TR142383131</t>
  </si>
  <si>
    <t>Borobudur Kelorin 30 Kapsul</t>
  </si>
  <si>
    <t>KELORIN</t>
  </si>
  <si>
    <t>Rp44.800 - Rp65.800</t>
  </si>
  <si>
    <t>kelorin</t>
  </si>
  <si>
    <t>borobudur kelorin</t>
  </si>
  <si>
    <t xml:space="preserve">borobudur kelorin kapsul kelorin </t>
  </si>
  <si>
    <t>DKL1817627617A1</t>
  </si>
  <si>
    <t>Tordex 25 mg 10 Tablet</t>
  </si>
  <si>
    <t>Rp92.900 - Rp93.000</t>
  </si>
  <si>
    <t>tordex</t>
  </si>
  <si>
    <t xml:space="preserve">tordex tablet dexketoprofen trometamol </t>
  </si>
  <si>
    <t>DKL1708024817A1</t>
  </si>
  <si>
    <t>Legra 50 mg Tablet</t>
  </si>
  <si>
    <t>Rp75.600 - Rp78.300</t>
  </si>
  <si>
    <t>sildenafil citrate</t>
  </si>
  <si>
    <t>legra</t>
  </si>
  <si>
    <t xml:space="preserve">legra tablet sildenafil citrate </t>
  </si>
  <si>
    <t>TR213374921</t>
  </si>
  <si>
    <t>Binahong 60 Kapsul</t>
  </si>
  <si>
    <t>BINAHONG INAYAH</t>
  </si>
  <si>
    <t>Rp44.800 - Rp61.400</t>
  </si>
  <si>
    <t>Diminum 3 x sehari 2 kapsul</t>
  </si>
  <si>
    <t>Botol Isi 60 Kapsul</t>
  </si>
  <si>
    <t>binahong inayah</t>
  </si>
  <si>
    <t>binahong</t>
  </si>
  <si>
    <t xml:space="preserve">binahong kapsul binahong inayah </t>
  </si>
  <si>
    <t>DKL0504424810A1</t>
  </si>
  <si>
    <t>Spirola 25 mg 10 Tablet</t>
  </si>
  <si>
    <t>Rp28.900 - Rp39.200</t>
  </si>
  <si>
    <t>PENGGUNAAN OBAT INI HARUS SESUAI DENGAN PETUNJUK DOKTER. Kondisi2 Edema dan Hipokalemia : 1-4 tablet perhari, Hipertensi esensial : 2-4 tablet.</t>
  </si>
  <si>
    <t>INFORMASI OBAT INI HANYA UNTUK KALANGAN MEDIS. Hipertensi</t>
  </si>
  <si>
    <t>Insufisiensi ginjal akut, anuria, hiperkalemia.</t>
  </si>
  <si>
    <t>HARUS DENGAN RESEP DOKTER. Hamil dan laktasi.</t>
  </si>
  <si>
    <t>spironolactone</t>
  </si>
  <si>
    <t>spirola</t>
  </si>
  <si>
    <t>spirola tablet spironolactone hipertensi</t>
  </si>
  <si>
    <t>GTL9514103517A2</t>
  </si>
  <si>
    <t>Aminophylline 200 mg 10 Tablet</t>
  </si>
  <si>
    <t>Rp1.500 - Rp2.100</t>
  </si>
  <si>
    <t>Diminum 1 jam sebelum atau 2 jam setelah makan.</t>
  </si>
  <si>
    <t>PENGGUNAAN OBAT INI HARUS SESUAI DENGAN PETUNJUK DOKTER. Awal 225-450mg,</t>
  </si>
  <si>
    <t>Asma</t>
  </si>
  <si>
    <t>Tablet 200 Mg X 100 X 1</t>
  </si>
  <si>
    <t>HARUS DENGAN RESEP DOKTER. Neonatus, lansia, ibu hamil dan menyusui. penderita penyakit jantung dan hati. ulkus peptikum, hipertiroidisme, hipertensi, epilepsi, gagal jantung, alkoholisme kronis.</t>
  </si>
  <si>
    <t>aminophenazone</t>
  </si>
  <si>
    <t>asma</t>
  </si>
  <si>
    <t>aminophylline</t>
  </si>
  <si>
    <t>aminophylline tablet aminophenazone asma</t>
  </si>
  <si>
    <t>DTL9631900910A1</t>
  </si>
  <si>
    <t>Tranabat 10 Tablet</t>
  </si>
  <si>
    <t>Rp9.900 - Rp10.000</t>
  </si>
  <si>
    <t>Dus, 10 Amplop, 1 Strip @ 10 Tablet</t>
  </si>
  <si>
    <t>tranabat</t>
  </si>
  <si>
    <t xml:space="preserve">tranabat tablet chlorphenamine maleate </t>
  </si>
  <si>
    <t>DTL0033402137A1</t>
  </si>
  <si>
    <t>Solafluz Syrup 60 ml</t>
  </si>
  <si>
    <t>Botol, Dus 60 ml</t>
  </si>
  <si>
    <t>solafluz</t>
  </si>
  <si>
    <t xml:space="preserve">solafluz sirup chlorphenamine maleate </t>
  </si>
  <si>
    <t>DKI9584800681A1</t>
  </si>
  <si>
    <t>Feldene Flash 10 Tablet</t>
  </si>
  <si>
    <t>Rp239.300 - Rp244.500</t>
  </si>
  <si>
    <t>Dus, 3 amplop @ 10 tablet cepat larut</t>
  </si>
  <si>
    <t>feldene flash</t>
  </si>
  <si>
    <t xml:space="preserve">feldene flash tablet piroxicam </t>
  </si>
  <si>
    <t>DBL1713026204A1</t>
  </si>
  <si>
    <t>Paramex SK 6 Tablet</t>
  </si>
  <si>
    <t>Rp4.900 - Rp5.000</t>
  </si>
  <si>
    <t>Dus, 1 blister @ 6 kaplet</t>
  </si>
  <si>
    <t>paramex sk</t>
  </si>
  <si>
    <t xml:space="preserve">paramex sk kaplet paracetamol </t>
  </si>
  <si>
    <t>DKL0333508315A1</t>
  </si>
  <si>
    <t>Nospirinal 80 mg 10 Tablet</t>
  </si>
  <si>
    <t>Rp6.400 - Rp9.200</t>
  </si>
  <si>
    <t>acetylsalicylic acid</t>
  </si>
  <si>
    <t>nospirinal</t>
  </si>
  <si>
    <t xml:space="preserve">nospirinal tablet acetylsalicylic acid </t>
  </si>
  <si>
    <t>DKL9618205809A1</t>
  </si>
  <si>
    <t>Gitaramin 500 mg 10 Tablet</t>
  </si>
  <si>
    <t>Rp14.700 - Rp14.900</t>
  </si>
  <si>
    <t>gitaramin</t>
  </si>
  <si>
    <t xml:space="preserve">gitaramin kaplet mefenamic acid </t>
  </si>
  <si>
    <t>DKL7221631128A1</t>
  </si>
  <si>
    <t>Albothyl Gel 50 gr</t>
  </si>
  <si>
    <t>Rp72.400 - Rp103.700</t>
  </si>
  <si>
    <t>policresulen</t>
  </si>
  <si>
    <t>albothyl gr</t>
  </si>
  <si>
    <t xml:space="preserve">albothyl gr gel policresulen </t>
  </si>
  <si>
    <t>DKL1616703317A1</t>
  </si>
  <si>
    <t>Genflam 50 mg 10 Tablet</t>
  </si>
  <si>
    <t>Rp3.100 - Rp5.100</t>
  </si>
  <si>
    <t>PENGGUNAAN OBAT INI HARUS SESUAI DENGAN PETUNJUK DOKTER. Dewasa dan Anak diatas 14 tahun: 25 mg atau 50 mg, 2 sampai 3 kali per hari.</t>
  </si>
  <si>
    <t>diclofenac sodium</t>
  </si>
  <si>
    <t>genflam</t>
  </si>
  <si>
    <t xml:space="preserve">genflam tablet diclofenac sodium </t>
  </si>
  <si>
    <t>Leukomed 10 x 25 cm</t>
  </si>
  <si>
    <t>Dus @ 5 Piece</t>
  </si>
  <si>
    <t>leukomed x</t>
  </si>
  <si>
    <t xml:space="preserve">leukomed x larutan povidoneiodine </t>
  </si>
  <si>
    <t>QD141612941</t>
  </si>
  <si>
    <t>Minyak Angin Jahe 10 ml</t>
  </si>
  <si>
    <t>Rp13.400 - Rp15.300</t>
  </si>
  <si>
    <t>Dus, Botol Kaca @ 10 ml</t>
  </si>
  <si>
    <t>angin jahe</t>
  </si>
  <si>
    <t xml:space="preserve">angin jahe minyak camphor </t>
  </si>
  <si>
    <t>DTL8315604637A2</t>
  </si>
  <si>
    <t>Solvinex Sirup 100 ml</t>
  </si>
  <si>
    <t>solvinex</t>
  </si>
  <si>
    <t xml:space="preserve">solvinex sirup bromhexine hydrochloride </t>
  </si>
  <si>
    <t>GKL1308020210A1</t>
  </si>
  <si>
    <t>Flunarizine 5 mg 20 Tablet</t>
  </si>
  <si>
    <t>Rp1.800 - Rp35.600</t>
  </si>
  <si>
    <t>Sebelum atau sesudah makan.</t>
  </si>
  <si>
    <t>PENGGUNAAN OBAT INI HARUS SESUAI DENGAN PETUNJUK DOKTER. 5-10 mg/hari. Dosis maksimal 10 mg per hari. Kurangi dosis hingga 5 mg per hari untuk mengurangi efek samping.</t>
  </si>
  <si>
    <t>INFORMASI OBAT INI HANYA UNTUK KALANGAN MEDIS. Profilaksis migren</t>
  </si>
  <si>
    <t>Dus, 2 Strip @ 20 Tablet</t>
  </si>
  <si>
    <t>Riwayat depresi, penyakit parkinson atau gangguan ekstrapiramidal lain, pemberian bersama beta-blocker.</t>
  </si>
  <si>
    <t>HARUS DENGAN RESEP DOKTER. Hipotensi. Gagal ginjal, anak, hamil dan menyusui. Dapat mengganggu kemampuan mengemudi atau menjalankan mesin.</t>
  </si>
  <si>
    <t>flunarizine</t>
  </si>
  <si>
    <t>profilaksis migren</t>
  </si>
  <si>
    <t>flunarizine tablet profilaksis migren</t>
  </si>
  <si>
    <t>Kasa Steril Nasaco</t>
  </si>
  <si>
    <t>Rp5.800 - Rp7.400</t>
  </si>
  <si>
    <t>Box @ 16 Lembar</t>
  </si>
  <si>
    <t>steril nasaco</t>
  </si>
  <si>
    <t xml:space="preserve">steril nasaco larutan povidoneiodine </t>
  </si>
  <si>
    <t>DKL0033400904A1</t>
  </si>
  <si>
    <t>Solasic 500 mg 10 Kaplet</t>
  </si>
  <si>
    <t>Rp4.300 - Rp5.700</t>
  </si>
  <si>
    <t>Dus, 10 Strip @ 10 Kaptab</t>
  </si>
  <si>
    <t>solasic</t>
  </si>
  <si>
    <t xml:space="preserve">solasic kaplet mefenamic acid </t>
  </si>
  <si>
    <t>diclofenac potassium</t>
  </si>
  <si>
    <t xml:space="preserve">genflam tablet diclofenac potassium </t>
  </si>
  <si>
    <t>DKI0367503217B1</t>
  </si>
  <si>
    <t>Co-Diovan 160 mg/12.5 mg 14 Tablet</t>
  </si>
  <si>
    <t>Rp244.600 - Rp311.100</t>
  </si>
  <si>
    <t>Sebelum/sesudah makan, pagi hari</t>
  </si>
  <si>
    <t>PENGGUNAAN OBAT INI HARUS SESUAI DENGAN PETUNJUK DOKTER. 1 x sehari 1 tablet</t>
  </si>
  <si>
    <t>Dus, 2 Blister @ 14 Tablet Salut Selaput</t>
  </si>
  <si>
    <t>Hamil, laktasi, pasien dialisis, gangguan hati berat, sirosis bilier dan kolestasis, anuria, gangguan ginjal berat, hipokalemia refrakter, hiponatremia, hiperkalemia, dan hiperurisemia simptomatik.</t>
  </si>
  <si>
    <t>HARUS DENGAN RESEP DOKTER. Hipersensitivitas komponen, kehamilan, penyakit ginjal, hipokalemia. Kategori kehamilan : Kategori D: Terbukti berisiko terhadap janin. Meski demikian, obat masih dapat digunakan jika obat diperlukan untuk mengatasi keadaan yang mengancam jiwa, atau penyakit serius, dimana obat yang lebih aman tidak dapat digunakan atau tidak efektif.</t>
  </si>
  <si>
    <t>hydrochlorothiazide</t>
  </si>
  <si>
    <t>codiovan</t>
  </si>
  <si>
    <t>codiovan tablet hydrochlorothiazide hipertensi</t>
  </si>
  <si>
    <t>TR152288371</t>
  </si>
  <si>
    <t>Herbadrink Wedang Uwuh 18 g 5 Sachet</t>
  </si>
  <si>
    <t>HERBADRINK WEDANG UWUH</t>
  </si>
  <si>
    <t>Rp10.500 - Rp16.200</t>
  </si>
  <si>
    <t>Dus, 5 Sachet @ 18 gram</t>
  </si>
  <si>
    <t>herbadrink wedang uwuh</t>
  </si>
  <si>
    <t xml:space="preserve">herbadrink wedang uwuh sachet </t>
  </si>
  <si>
    <t>DKI0267503217A1</t>
  </si>
  <si>
    <t>Co-Diovan 80 mg/12.5 mg 14 Tablet</t>
  </si>
  <si>
    <t>Rp183.000 - Rp247.900</t>
  </si>
  <si>
    <t>Hamil, laktasi, pasien dialisis, gangguan hati berat, sirosis bilier dan kolestasis, anuria, gangguan ginjal berat</t>
  </si>
  <si>
    <t>DKL9725201210C1</t>
  </si>
  <si>
    <t>Tanapress 10 mg 10 Tablet</t>
  </si>
  <si>
    <t>Rp112.300 - Rp198.600</t>
  </si>
  <si>
    <t>Tablet 10 Mg X 3 X 10</t>
  </si>
  <si>
    <t xml:space="preserve">omeroxol tablet ambroxol hydrochloride </t>
  </si>
  <si>
    <t>TR162297851</t>
  </si>
  <si>
    <t>Herbadrink Beras Kencur 18 g 5 Sachet</t>
  </si>
  <si>
    <t>HERBADRINK BERAS KENCUR</t>
  </si>
  <si>
    <t>Rp11.600 - Rp16.200</t>
  </si>
  <si>
    <t>herbadrink beras kencur</t>
  </si>
  <si>
    <t xml:space="preserve">herbadrink beras kencur sachet </t>
  </si>
  <si>
    <t>imidapril hydrochloride</t>
  </si>
  <si>
    <t>tanapress tablet imidapril hydrochloride hipertensi</t>
  </si>
  <si>
    <t>DKL1705055933A1</t>
  </si>
  <si>
    <t>Ulsidex 500 mg/5 ml Suspensi 100 ml</t>
  </si>
  <si>
    <t>Rp56.300 - Rp56.400</t>
  </si>
  <si>
    <t>Diberikan saat perut kosong 1 jam sebelum makan atau 2 jam sesudah makan</t>
  </si>
  <si>
    <t>PENGGUNAAN OBAT INI HARUS SESUAI DENGAN PETUNJUK DOKTER. Dewasa : 10 ml, 3 - 4 kali/hari selama 8 minggu</t>
  </si>
  <si>
    <t>Tukak peptik</t>
  </si>
  <si>
    <t>Jangan menggunakan obat ini untuk pasien yang diketahui memiliki riwayat hipersensitif pada sucralfate. Tidak dianjurkan digunakan oleh anak usia &lt; 15 tahun. Hindari menggunakan obat ini pada pasien dengan gagal ginjal kronis karena obat ini bisa menyebabkan nefropati yang diinduksi oleh aluminium.</t>
  </si>
  <si>
    <t>HARUS DENGAN RESEP DOKTER. Gagal fungsi ginjal Kategori Kehamilan : B</t>
  </si>
  <si>
    <t>tukak peptik</t>
  </si>
  <si>
    <t>ulsidex</t>
  </si>
  <si>
    <t>ulsidex suspensi sucralfate tukak peptik</t>
  </si>
  <si>
    <t>betamethasone dipropionate</t>
  </si>
  <si>
    <t xml:space="preserve">scanderma cream krim betamethasone dipropionate </t>
  </si>
  <si>
    <t>Leukocrepe 10 cm x 4.5 m</t>
  </si>
  <si>
    <t>1 Pieces</t>
  </si>
  <si>
    <t>leukocrepe x m</t>
  </si>
  <si>
    <t xml:space="preserve">leukocrepe x m larutan povidoneiodine </t>
  </si>
  <si>
    <t>DKI1949500317A1</t>
  </si>
  <si>
    <t>Tafnat 30 Tablet</t>
  </si>
  <si>
    <t>Rp556.700 - Rp675.500</t>
  </si>
  <si>
    <t>Dus, Botol @ 30 Tablet</t>
  </si>
  <si>
    <t>tenofovir alafenamide fumarate</t>
  </si>
  <si>
    <t>tafnat</t>
  </si>
  <si>
    <t xml:space="preserve">tafnat tablet tenofovir alafenamide fumarate </t>
  </si>
  <si>
    <t>Kapas Pembalut Husada 500 g</t>
  </si>
  <si>
    <t>Rp47.700 - Rp94.100</t>
  </si>
  <si>
    <t>Pack @ 500 g</t>
  </si>
  <si>
    <t>kapas pembalut husada</t>
  </si>
  <si>
    <t xml:space="preserve">kapas pembalut husada larutan povidoneiodine </t>
  </si>
  <si>
    <t>DKL0609216733A1</t>
  </si>
  <si>
    <t>Vesperum Sirup 60 ml</t>
  </si>
  <si>
    <t>Rp7.000 - Rp15.000</t>
  </si>
  <si>
    <t>Diberikan 15-30 menit sebelum makan dan sebelum tidur malam.</t>
  </si>
  <si>
    <t>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t>
  </si>
  <si>
    <t>Dilihat pada dosis.</t>
  </si>
  <si>
    <t>Sirup 5 Mg/5ml X 60 ml X 1</t>
  </si>
  <si>
    <t>Prolaktinoma.Anak ( kecuali mual dan muntah pada terapi kanker). Hipersensitif.</t>
  </si>
  <si>
    <t>HARUS DENGAN RESEP DOKTER. Gangguan hati dan ginjal, laktasi, hamil. Pemakaian jangka panjang.</t>
  </si>
  <si>
    <t>dilihat dosis</t>
  </si>
  <si>
    <t>vesperum</t>
  </si>
  <si>
    <t>vesperum suspensi domperidone dilihat dosis</t>
  </si>
  <si>
    <t>Leukocrepe 15 cm x 4.5 m</t>
  </si>
  <si>
    <t>Rp150.300 - Rp157.300</t>
  </si>
  <si>
    <t>Kapas Pembalut Husada 50 g</t>
  </si>
  <si>
    <t>Rp4.500 - Rp12.900</t>
  </si>
  <si>
    <t>Pack @ 50 g</t>
  </si>
  <si>
    <t>DKL1919621403A1</t>
  </si>
  <si>
    <t>Zollocid Kapsul 20 mg</t>
  </si>
  <si>
    <t>- OMEPRAZOLE PELLET 8.5</t>
  </si>
  <si>
    <t>Rp13.800 - Rp18.100</t>
  </si>
  <si>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</si>
  <si>
    <t>Dus, 3 Srip @ 10 kapsul Lepas Tunda</t>
  </si>
  <si>
    <t>Hipersensitif</t>
  </si>
  <si>
    <t>Obat Wajib Apotek, Obat ini dapat dibeli dan diserahkan apoteker tanpa resep dengan maksimum 7 Kapsul. Pembelian melebihi batas ini WAJIB RESEP DOKTER Wanita hamil dan ibu menyususi.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</si>
  <si>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omeprazole pellet 85</t>
  </si>
  <si>
    <t>zollocid</t>
  </si>
  <si>
    <t xml:space="preserve">zollocid kapsul omeprazole pellet 85 </t>
  </si>
  <si>
    <t>DKL9004112610B1</t>
  </si>
  <si>
    <t>Tenace 10 mg 10 Tablet</t>
  </si>
  <si>
    <t>Rp38.200 - Rp60.500</t>
  </si>
  <si>
    <t>Sebelum/sesudah makan</t>
  </si>
  <si>
    <t>PENGGUNAAN OBAT INI HARUS SESUAI DENGAN PETUNJUK DOKTER. Sehari 10-40 mg dalam dosis tunggal atau dosis terbagi</t>
  </si>
  <si>
    <t>Hipertensi</t>
  </si>
  <si>
    <t>Tablet 10 Mg X 6 X 10</t>
  </si>
  <si>
    <t>HARUS DENGAN RESEP DOKTER. Pasien pengguna diuretik, Ibu hami, dan menyusui, anak-anak usia kurnag dari 12 tahun</t>
  </si>
  <si>
    <t>enalapril maleate</t>
  </si>
  <si>
    <t>tenace</t>
  </si>
  <si>
    <t>tenace tablet enalapril maleate hipertensi</t>
  </si>
  <si>
    <t>DTL7600914237A1</t>
  </si>
  <si>
    <t>Bufagan Expectorant Sirup 60 ml</t>
  </si>
  <si>
    <t>Rp5.100 - Rp7.400</t>
  </si>
  <si>
    <t>bufagan expectorant</t>
  </si>
  <si>
    <t xml:space="preserve">bufagan expectorant sirup ammonium chloride </t>
  </si>
  <si>
    <t>DTL1705057137A1</t>
  </si>
  <si>
    <t>Pedizinc Sirup 60 ml</t>
  </si>
  <si>
    <t>Rp34.900 - Rp42.300</t>
  </si>
  <si>
    <t>zinc sulfate monohydrate</t>
  </si>
  <si>
    <t>pedizinc</t>
  </si>
  <si>
    <t xml:space="preserve">pedizinc sirup zinc sulfate monohydrate </t>
  </si>
  <si>
    <t>TR172503981</t>
  </si>
  <si>
    <t>Balance Madia Feminine Health 10 kaplet</t>
  </si>
  <si>
    <t>BALANCE MADIA FEMININE HEALTH</t>
  </si>
  <si>
    <t>Rp26.000 - Rp35.000</t>
  </si>
  <si>
    <t>Dus, 1 blister @ 10 kaplet</t>
  </si>
  <si>
    <t>balance madia feminine health</t>
  </si>
  <si>
    <t xml:space="preserve">balance madia feminine health kaplet </t>
  </si>
  <si>
    <t>DKL0015615129A1</t>
  </si>
  <si>
    <t>Inoderm 0.025% Cream 10 g</t>
  </si>
  <si>
    <t>Rp18.900 - Rp22.100</t>
  </si>
  <si>
    <t>Oleskan pada bagian yang sakit dan gosokkan secara perlahan</t>
  </si>
  <si>
    <t>PENGGUNAAN OBAT INI HARUS SESUAI DENGAN PETUNJUK DOKTER. 3-4 x sehari</t>
  </si>
  <si>
    <t>Tube 10 G</t>
  </si>
  <si>
    <t>fluocinolone acetonide</t>
  </si>
  <si>
    <t>inoderm cream</t>
  </si>
  <si>
    <t xml:space="preserve">inoderm cream krim fluocinolone acetonide </t>
  </si>
  <si>
    <t>Leukoplast 5 cm x 4.5 m</t>
  </si>
  <si>
    <t>Rp11.200 - Rp50.200</t>
  </si>
  <si>
    <t>Dus @ 10 Pieces</t>
  </si>
  <si>
    <t>leukoplast x m</t>
  </si>
  <si>
    <t xml:space="preserve">leukoplast x m larutan povidoneiodine </t>
  </si>
  <si>
    <t>metoclopramide hydrochloride monohydrate</t>
  </si>
  <si>
    <t xml:space="preserve">metolon sirup metoclopramide hydrochloride monohydrate </t>
  </si>
  <si>
    <t>QD043603261</t>
  </si>
  <si>
    <t>Cap 19 Obat Kurap 10 ml</t>
  </si>
  <si>
    <t>acidum salicylicum</t>
  </si>
  <si>
    <t>cap obat kurap</t>
  </si>
  <si>
    <t xml:space="preserve">cap obat kurap  acidum salicylicum </t>
  </si>
  <si>
    <t>DTL0816701837A1</t>
  </si>
  <si>
    <t>Oratifed Plus Expectorant Sirup 60 ml</t>
  </si>
  <si>
    <t>Rp12.500 - Rp33.000</t>
  </si>
  <si>
    <t>botol 60 ml</t>
  </si>
  <si>
    <t>oratifed plus expectorant</t>
  </si>
  <si>
    <t xml:space="preserve">oratifed plus expectorant sirup guaifenesin </t>
  </si>
  <si>
    <t xml:space="preserve">metolon tetes metoclopramide hydrochloride monohydrate </t>
  </si>
  <si>
    <t>DTL9111703210A1</t>
  </si>
  <si>
    <t>New Sybarin 10 Tablet</t>
  </si>
  <si>
    <t>Rp16.300 - Rp16.500</t>
  </si>
  <si>
    <t>bismuth subsalicylate</t>
  </si>
  <si>
    <t>new sybarin</t>
  </si>
  <si>
    <t xml:space="preserve">new sybarin tablet bismuth subsalicylate </t>
  </si>
  <si>
    <t>DKL9714809229A1</t>
  </si>
  <si>
    <t>Biocort Cream 5 g</t>
  </si>
  <si>
    <t>Rp17.100 - Rp27.200</t>
  </si>
  <si>
    <t>biocort cream</t>
  </si>
  <si>
    <t xml:space="preserve">biocort cream krim betamethasone valerate </t>
  </si>
  <si>
    <t>DKI0682100714A1</t>
  </si>
  <si>
    <t>Tarka SR Tablet</t>
  </si>
  <si>
    <t>Rp19.400 - Rp20.300</t>
  </si>
  <si>
    <t>Telan secara utuh, jangan dikunyah atau dihancurkan.</t>
  </si>
  <si>
    <t>PENGGUNAAN OBAT INI HARUS SESUAI DENGAN PETUNJUK DOKTER. 1-4 mg trandolapril atau 120-480 mg verapamilHCl sebagai dosis tunggal atau diberikan dalam 2 dosis terbagi.</t>
  </si>
  <si>
    <t>Kapsul 2 X 14</t>
  </si>
  <si>
    <t>Sindrom sick sinus, blok AV derajat 2 atau 3. Pasien dengan fibrilasi atrium atau geletar atrium dan suatu saluran pintas tambahan. Disfungsi berat ventrikular kiri, hipotensi atau syok kardiogenik. Riwayat angioedema yang berhubungan dengan pemberian ACE</t>
  </si>
  <si>
    <t>HARUS DENGAN RESEP DOKTER. Usia lanjut. Gangguan fungsi hati, ginjal. Kurangi dosis pada pasien dengan menurunkan trasmisi neuromuskular. Monitor deplesi volume atau garam sebelum terapi.</t>
  </si>
  <si>
    <t>trandolapril</t>
  </si>
  <si>
    <t>tarka sr</t>
  </si>
  <si>
    <t>tarka sr tablet trandolapril hipertensi</t>
  </si>
  <si>
    <t>Leukopor 2.5 cm x 9.2 m</t>
  </si>
  <si>
    <t>Rp26.200 - Rp54.200</t>
  </si>
  <si>
    <t>Dus @ 1 Pieces</t>
  </si>
  <si>
    <t>leukopor x m</t>
  </si>
  <si>
    <t xml:space="preserve">leukopor x m larutan povidoneiodine </t>
  </si>
  <si>
    <t>TR162696301</t>
  </si>
  <si>
    <t>Herbavomitz Sirup 60 ml</t>
  </si>
  <si>
    <t>HERBAVOMITZ</t>
  </si>
  <si>
    <t>Rp12.000 - Rp19.900</t>
  </si>
  <si>
    <t>2 sendok takar (10 mL), 1-3 kali sehari sampai gejala hilang</t>
  </si>
  <si>
    <t>Meredakan kembung dan mual</t>
  </si>
  <si>
    <t>Kocok dahulu sebelum digunakan</t>
  </si>
  <si>
    <t>herbavomitz</t>
  </si>
  <si>
    <t>meredakan kembung mual</t>
  </si>
  <si>
    <t>herbavomitz sirup meredakan kembung mual</t>
  </si>
  <si>
    <t>Leukoplast 7.5 cm x 4.5 m</t>
  </si>
  <si>
    <t>Rp37.300 - Rp65.200</t>
  </si>
  <si>
    <t>QD143712261</t>
  </si>
  <si>
    <t>19 Zalf Obat Kulit 7 g</t>
  </si>
  <si>
    <t>Rp6.800 - Rp12.200</t>
  </si>
  <si>
    <t>Dus, Kaleng @ 7 gram</t>
  </si>
  <si>
    <t>zalf obat kulit</t>
  </si>
  <si>
    <t xml:space="preserve">zalf obat kulit  acidum salicylicum </t>
  </si>
  <si>
    <t>DKI1435301001A1</t>
  </si>
  <si>
    <t>Nif-Ten Kapsul</t>
  </si>
  <si>
    <t>Rp17.300 - Rp22.700</t>
  </si>
  <si>
    <t>Sesudah makan, hindari jus buah anggur</t>
  </si>
  <si>
    <t>PENGGUNAAN OBAT INI HARUS SESUAI DENGAN PETUNJUK DOKTER. Dewasa : 1 kapsul perhari, bila diperlukan dapat ditingkatkan menjadi 1 kapsul setiap 12 jam, kecuali pada usia lanjut.</t>
  </si>
  <si>
    <t>Box Isi 2 Strip @ 14 Kapsul</t>
  </si>
  <si>
    <t>Blok jantung derajat 2 dan 3, bradikardi, hipotensi, syok kardiogenik, gangguan sirkulasi perifer berat, sindroma sick sinus, feokromositoma yang tidak teratasi, gagal jantung yang tidak terkontrol, asidosis metabolik, wanita usia subur, stenosis aorta b</t>
  </si>
  <si>
    <t>HARUS DENGAN RESEP DOKTER. Hindari penghentian secara mendadak pada pasien dengan penyakit jantung iskemik. Pasien dengan gangguan konduksi jatung atau poor cardiac reserve, pasien yang sudah diterapi dengan penyekat ? atau dimana tanda-tanda gagal jantung telah terkontrol, obat da</t>
  </si>
  <si>
    <t>nifedipine atenolol</t>
  </si>
  <si>
    <t>niften</t>
  </si>
  <si>
    <t>niften kapsul nifedipine atenolol hipertensi</t>
  </si>
  <si>
    <t>DKL7804510629A2</t>
  </si>
  <si>
    <t>Burnazin 10 mg/g Cream 500 g</t>
  </si>
  <si>
    <t>Rp646.800 - Rp653.800</t>
  </si>
  <si>
    <t>Pot @ 500 gram</t>
  </si>
  <si>
    <t>Obat Wajib Apotek, Obat ini dapat dibeli dan diserahkan apoteker tanpa resep dengan maksimum 1 Pot. Pembelian melebihi batas ini WAJIB RESEP DOKTER.</t>
  </si>
  <si>
    <t>sulfadiazine silver</t>
  </si>
  <si>
    <t>burnazin cream</t>
  </si>
  <si>
    <t xml:space="preserve">burnazin cream krim sulfadiazine silver </t>
  </si>
  <si>
    <t>DKL2006609617A1</t>
  </si>
  <si>
    <t>Cozaar Tablet 50 mg</t>
  </si>
  <si>
    <t>Rp15.600 - Rp21.800</t>
  </si>
  <si>
    <t>Dapat diberikan sebelum atau sesudah makan</t>
  </si>
  <si>
    <t>PENGGUNAAN OBAT INI HARUS SESUAI DENGAN PETUNJUK DOKTER. Dosis awal 50 mg/hari, dapat ditingkatkan menjadi 100 mg/hari</t>
  </si>
  <si>
    <t>1 Dos Isi 2 Strip X 15 Tablet</t>
  </si>
  <si>
    <t>hipersensitif</t>
  </si>
  <si>
    <t>HARUS DENGAN RESEP DOKTER. Berkurangnya volume intravaskular. Gangguan hati &amp; sirosis hati. Stenosis arteri ginjal bilateral atau stenosis arteri pada ginjal soliter. Perubahan fungsi ginjal. Hamil, laktasi &amp; anak</t>
  </si>
  <si>
    <t>losartan potassium</t>
  </si>
  <si>
    <t>cozaar</t>
  </si>
  <si>
    <t>cozaar tablet losartan potassium hipertensi</t>
  </si>
  <si>
    <t>DKL1513711537A1</t>
  </si>
  <si>
    <t>Diagro 20 mg/5 ml Syrup 60 ml</t>
  </si>
  <si>
    <t>Rp28.400 - Rp31.300</t>
  </si>
  <si>
    <t>diagro</t>
  </si>
  <si>
    <t xml:space="preserve">diagro sirup zinc sulfate monohydrate </t>
  </si>
  <si>
    <t>DKL8804203209B1</t>
  </si>
  <si>
    <t>Corifam 450 mg 10 Kapsul</t>
  </si>
  <si>
    <t>PENGGUNAAN OBAT INI HARUS SESUAI DENGAN PETUNJUK DOKTER. Dewasa : 1 kapsul 1 x sehari, anak : anak 10-20 mg/kgBB/hari dalam dosis tunggal</t>
  </si>
  <si>
    <t>TBC &amp; Lepra</t>
  </si>
  <si>
    <t>Kapsul 450 mg x 10 x 10</t>
  </si>
  <si>
    <t>HARUS DENGAN RESEP DOKTER. Monitoring fungsi hati pada penggunaan jangka panjang, data keamanan pada wanita hamil dan bayi baru lahir</t>
  </si>
  <si>
    <t>tbc lepra</t>
  </si>
  <si>
    <t>corifam</t>
  </si>
  <si>
    <t>corifam kaplet rifampicin tbc lepra</t>
  </si>
  <si>
    <t>DKL9915807317A1</t>
  </si>
  <si>
    <t>Lodoz 2.5 mg 10 Tablet</t>
  </si>
  <si>
    <t>Rp70.400 - Rp89.600</t>
  </si>
  <si>
    <t>Sebelum, pada saat atau sesudah makan pagi.</t>
  </si>
  <si>
    <t>PENGGUNAAN OBAT INI HARUS SESUAI DENGAN PETUNJUK DOKTER. 1 x sehari 1 tablet, bila respons kurang adekuat dapat ditingkatkan menjadi 1 x sehari 2 tablet. Dosis maximum : 1 x sehari 4 tablet/10 mg</t>
  </si>
  <si>
    <t>Dus, 3 Blister @ 10 tablet salut selaput</t>
  </si>
  <si>
    <t>Gagal jantung, syok kardiogenik, sindrom sick sinus, blok sinoatrial, blok AV derajat 2 atau 3, bradikardi, asma &amp; bronkopneumopati obstruktif kronik, feokromositoma yg tdk diterapi, peny Raynaud &amp; ggn arteri perifer lain, hipotensi, diketahui hipersensitif thd bisoprolol &amp; asidosis metabolik. Infark miokard akut, angina Prinzmetal. Hipersensitif thd derivat sulfonamid lain, gagal ginjal, koma &amp; prekoma hepatik, hipokalemia atau hiponatremia berat. Laktasi.</t>
  </si>
  <si>
    <t>HARUS DENGAN RESEP DOKTER. Penghentian terapi secara tiba-tiba pd penyakit jantung sistemik, blok AV derajat 1, riwayat obstruksi bronkopati kronik, riwayat keluarga asma. Peningkatan tahanan udara (hentikan terapi). Dpt menutupi tanda-tanda hipoglikemia pd DM. Peny pembuluh darah perifer. Predisposisi gout atau hiperurisemia. Pasien lanjut usia yg mendapat pengobatan digitalis, menjalani diet rendah K atau dg anomali GI</t>
  </si>
  <si>
    <t>DKL9522711709A1</t>
  </si>
  <si>
    <t>Triptagic Kaplet 100 mg</t>
  </si>
  <si>
    <t>Rp65.600 - Rp67.700</t>
  </si>
  <si>
    <t>PENGGUNAAN OBAT INI HARUS SESUAI DENGAN PETUNJUK DOKTER. Dewasa : 50-100 mg maksimal 3 kali sehari</t>
  </si>
  <si>
    <t>Mengatasi migrain</t>
  </si>
  <si>
    <t>Dus, Strip @ 10 Kaplet Salut Selaput</t>
  </si>
  <si>
    <t>Penderita yang hipersensitif terhadap salah satu komponen obat, memiliki riwayat stroke atau kerusakan pembuluh darah, gangguan fungsi hati berat, dan tekanan darah tinggi yang tidak terkontrol</t>
  </si>
  <si>
    <t>HARUS DENGAN RESEP DOKTER. Kondisi predisposisi kejang, adanya faktor risiko koroner, aritmia jantung, gangguan ginjal atau hati, orang tua, kehamilan, menyusui.</t>
  </si>
  <si>
    <t>sumatriptan</t>
  </si>
  <si>
    <t>mengatasi migrain</t>
  </si>
  <si>
    <t>triptagic</t>
  </si>
  <si>
    <t>triptagic kaplet sumatriptan mengatasi migrain</t>
  </si>
  <si>
    <t>DTL1609224137A1</t>
  </si>
  <si>
    <t>Lecozinc Sirup 60 ml</t>
  </si>
  <si>
    <t>Rp7.300 - Rp17.300</t>
  </si>
  <si>
    <t>lecozinc</t>
  </si>
  <si>
    <t xml:space="preserve">lecozinc sirup zinc sulfate monohydrate </t>
  </si>
  <si>
    <t>GKL1433531717B1</t>
  </si>
  <si>
    <t>Vigel Sparkle 20 g</t>
  </si>
  <si>
    <t>Rp79.100 - Rp118.300</t>
  </si>
  <si>
    <t>Tube @ 20 gram</t>
  </si>
  <si>
    <t>vigel sparkle</t>
  </si>
  <si>
    <t xml:space="preserve">vigel sparkle tablet sildenafil citrate </t>
  </si>
  <si>
    <t>DTL0816702137A1</t>
  </si>
  <si>
    <t>Coughs Friend 100 ml</t>
  </si>
  <si>
    <t>Rp7.500 - Rp22.000</t>
  </si>
  <si>
    <t>coughs friend</t>
  </si>
  <si>
    <t xml:space="preserve">coughs friend sirup ammonium chloride </t>
  </si>
  <si>
    <t>DKI1077402717C1</t>
  </si>
  <si>
    <t>Aprovel 300 mg 14 Tablet</t>
  </si>
  <si>
    <t>Rp291.100 - Rp373.800</t>
  </si>
  <si>
    <t>PENGGUNAAN OBAT INI HARUS SESUAI DENGAN PETUNJUK DOKTER. 1 X sehari 0.5 tablet, dapat ditingkatkan sampai 1 tablet perhari. Usia lanjut : diawali 0.25 tablet</t>
  </si>
  <si>
    <t>Hipertensi esensial.</t>
  </si>
  <si>
    <t>Dus, 2 strip @ 14 tablet salut</t>
  </si>
  <si>
    <t>Hamil dan laktasi.</t>
  </si>
  <si>
    <t>HARUS DENGAN RESEP DOKTER. Deplesi vol intravaskular, hipertensi renovaskular, gangguan ginjal, kerusakan ginjal, transplantasi ginjal, diabetes tipe 2, hiperkalemia, stenosis aorta atau mitral, kardiomiopati hipertrofi obstruksif, aldosteronisme primer.Kategori kehamilan : Kategori D: Terbukti berisiko terhadap janin. Meski demikian, obat masih dapat digunakan jika obat diperlukan untuk mengatasi keadaan yang mengancam jiwa, atau penyakit serius, dimana obat yang lebih aman tidak dapat digunakan atau tidak efektif.</t>
  </si>
  <si>
    <t>aprovel</t>
  </si>
  <si>
    <t>aprovel tablet irbesartan hipertensi esensial</t>
  </si>
  <si>
    <t>DKL9911630217A1</t>
  </si>
  <si>
    <t>Angioten 50 mg 10 Tablet</t>
  </si>
  <si>
    <t>Rp102.900 - Rp199.000</t>
  </si>
  <si>
    <t>Dikonsumsi bersama makanan dan dengan waktu yang sama</t>
  </si>
  <si>
    <t>PENGGUNAAN OBAT INI HARUS SESUAI DENGAN PETUNJUK DOKTER. Hipertensi Dewasa: 50 mg setiap hari. Dosis bersifat individual dan dapat ditingkatkan menjadi 100 mg sekali sehari sesuai dengan respons klinis. Pasien dengan penurunan volume intravaskular: Awalnya, 25 mg setiap hari. Anak: 6-18 tahun &gt;20-&lt;50 kg: 0,7 mg/kg sekali sehari (hingga total 25 mg). Maks: 50 mg setiap hari, sesuai kebutuhan. &gt;50 kg: Sama seperti dosis dewasa. Sesuaikan dosis berdasarkan respons tekanan darah. Lansia: &gt;75 tahun 25 mg setiap hari. Nefropati diabetik pada diabetes melitus tipe 2 Dewasa: Awalnya, 50 mg setiap hari, dapat meningkat menjadi 100 mg setiap hari tergantung pada respons tekanan darah. Lansia: &gt;75 tahun 25 mg setiap hari. Gagal jantung Dewasa: Awalnya, 12,5 mg setiap hari, dapat dititrasi dosis pada interval mingguan. Dosis maksimal: 150 mg setiap hari. Lansia: &gt;75 tahun 25 mg setiap hari. Kerusakan hati Ringan sampai sedang: Awalnya, 25 mg setiap hari. Berat: Kontraindikasi.</t>
  </si>
  <si>
    <t>Dus, 3 Strip @ 10 Tablet salut selaput</t>
  </si>
  <si>
    <t>Penggunaan bersama dengan produk yang mengandung aliskiren pada pasien dengan diabetes mellitus atau gangguan ginjal (GFR &lt;60 mL/menit). Kerusakan hati yang parah. Kehamilan (trimester ke-2-3).</t>
  </si>
  <si>
    <t>HARUS DENGAN RESEP DOKTER. Obat ini kadang-kadang dapat menyebabkan pusing atau kantuk, jika terpengaruh, jangan mengemudi atau mengoperasikan mesin. Pasien dengan riwayat angioedema, deplesi volume dan/atau Na, gagal jantung, stenosis arteri ginjal unilateral/bilateral tanpa stent, stenosis aorta atau mitral, sirosis. ras hitam. Gangguan ginjal dan gangguan hati ringan sampai sedang. Anak-anak dan orang tua. Laktasi. Kategori Kehamilan : Kategori D: Terbukti berisiko terhadap janin. Meski demikian, obat masih dapat digunakan jika obat diperlukan untuk mengatasi keadaan yang mengancam jiwa, atau penyakit serius, dimana obat yang lebih aman tidak dapat digunakan atau tidak efektif. Konsultasikan kepada tenaga medis apabila sedang menyusui.</t>
  </si>
  <si>
    <t>angioten</t>
  </si>
  <si>
    <t>angioten tablet losartan potassium hipertensi</t>
  </si>
  <si>
    <t>DKL9427801529A1</t>
  </si>
  <si>
    <t>Scabimite 5% Cream 30 g</t>
  </si>
  <si>
    <t>Rp94.600 - Rp121.200</t>
  </si>
  <si>
    <t>Oleskan cream keseluruh tubuh termasuk wajah, leher, kulit kepala dan telinga. Hindari kontak dengan mata. Setelah 8-24 jam, obat dibilas dengan cara dicuci menggunakan sabun. Pengobatan dapat diulangi setelah 1 minggu.</t>
  </si>
  <si>
    <t>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t>
  </si>
  <si>
    <t>INFORMASI OBAT INI HANYA UNTUK KALANGAN MEDIS. Scabies</t>
  </si>
  <si>
    <t>Dus, Tube @ 30 g</t>
  </si>
  <si>
    <t>Hipersensitif terhadap pyrethroid atau pyrethrin sintetik</t>
  </si>
  <si>
    <t>HARUS DENGAN RESEP DOKTER. Hati-hati menggunakan obat ini untuk bayi &lt; 2 bulan, wanita hamil, dan ibu menyusui. Hindari penggunaan pada mata.</t>
  </si>
  <si>
    <t>permethrin</t>
  </si>
  <si>
    <t>scabies</t>
  </si>
  <si>
    <t>scabimite cream</t>
  </si>
  <si>
    <t>scabimite cream krim permethrin scabies</t>
  </si>
  <si>
    <t>DKL7205047610A1</t>
  </si>
  <si>
    <t>Inoxin 10 Tablet</t>
  </si>
  <si>
    <t>Terbaik diberikan saat perut kosong, 1 jam sebelum atau 2 jam sesudah makan. Dapat diberikan bersama makanan untuk mengurangi ketidak-nyamanan pada saluran cerna.</t>
  </si>
  <si>
    <t>PENGGUNAAN OBAT INI HARUS SESUAI DENGAN PETUNJUK DOKTER. 1 tablet per hari</t>
  </si>
  <si>
    <t>INFORMASI OBAT INI HANYA UNTUK KALANGAN MEDIS. Tuberkulosis Paru</t>
  </si>
  <si>
    <t>Dus, 15 Strip @ 10 Tablet</t>
  </si>
  <si>
    <t>Penyakit hati yang diinduksi obat</t>
  </si>
  <si>
    <t>HARUS DENGAN RESEP DOKTER. Kelainan kejang, disfungsi hati, alkoholisme kronik. Pasien yang menggunakan obat hepatotoksik</t>
  </si>
  <si>
    <t>tuberkulosis paru</t>
  </si>
  <si>
    <t>inoxin</t>
  </si>
  <si>
    <t>inoxin tablet isoniazid tuberkulosis paru</t>
  </si>
  <si>
    <t>DBL9818209901A1</t>
  </si>
  <si>
    <t>Abajos 10 Kapsul</t>
  </si>
  <si>
    <t>Rp5.300 - Rp6.000</t>
  </si>
  <si>
    <t>Sebelum atau sesudah makan, dapat bersama makanan untuk mengurangi ketidak-nyamanan pada saluran cerna.</t>
  </si>
  <si>
    <t>3 x sehari 1 kapsul</t>
  </si>
  <si>
    <t>Neuritis, Neuralgia</t>
  </si>
  <si>
    <t>Dus, 10 strip @ 10 kapsul</t>
  </si>
  <si>
    <t>Gangguan fungsi hati</t>
  </si>
  <si>
    <t>Kerusakan liver</t>
  </si>
  <si>
    <t>neuritis , neuralgia</t>
  </si>
  <si>
    <t>abajos</t>
  </si>
  <si>
    <t>abajos kapsul cyanocobalamin neuritis  neuralgia</t>
  </si>
  <si>
    <t>DTL7802341637A1</t>
  </si>
  <si>
    <t>Sidiadryl Expectorant Syrup 100 ml</t>
  </si>
  <si>
    <t>Rp10.600 - Rp13.800</t>
  </si>
  <si>
    <t>sidiadryl expectorant</t>
  </si>
  <si>
    <t xml:space="preserve">sidiadryl expectorant sirup ammonium chloride </t>
  </si>
  <si>
    <t>DKL9222212410A1</t>
  </si>
  <si>
    <t>Dilmen 60 mg 10 Tablet</t>
  </si>
  <si>
    <t>Rp12.100 - Rp15.700</t>
  </si>
  <si>
    <t>PENGGUNAAN OBAT INI HARUS SESUAI DENGAN PETUNJUK DOKTER. 3 x sehari 1 tablet, dapat ditingkatkan sampai 6 tablet perhari dalam 3 dosis terbagi.</t>
  </si>
  <si>
    <t>Box Isi 10 Strip @ 10 Tablet</t>
  </si>
  <si>
    <t>Sindrom sick sinus, gagal jantung kongestif berat, hipotensi, sindrom nodus atrial, gangguan konduksi, bradikardi. Hamil dan laktasi.</t>
  </si>
  <si>
    <t>HARUS DENGAN RESEP DOKTER. Gangguan hati dan ginjal, bradikardi berat, blok AV derajat 1.</t>
  </si>
  <si>
    <t>dilmen</t>
  </si>
  <si>
    <t>dilmen tablet diltiazem hydrochloride hipertensi</t>
  </si>
  <si>
    <t>DKL8528901809A1</t>
  </si>
  <si>
    <t>Eryra Forte 500 mg 10 Tablet</t>
  </si>
  <si>
    <t>erythromycin stearate</t>
  </si>
  <si>
    <t>eryra forte</t>
  </si>
  <si>
    <t xml:space="preserve">eryra forte kaplet erythromycin stearate </t>
  </si>
  <si>
    <t>DKL0709318910B1</t>
  </si>
  <si>
    <t>Irtan 300 mg 10 Tablet</t>
  </si>
  <si>
    <t>Rp95.500 - Rp123.800</t>
  </si>
  <si>
    <t>PENGGUNAAN OBAT INI HARUS SESUAI DENGAN PETUNJUK DOKTER. 1 x sehari 0.5 tablet, maximum 1 tablet perhari. Pasien Hemodialisa &amp; usia lanjut : Diawali 0.25 tablet perhari.</t>
  </si>
  <si>
    <t>Box Isi 3 Strip @ 10 Tablet</t>
  </si>
  <si>
    <t>HARUS DENGAN RESEP DOKTER. Deplesi vol intravaskular, hipertensi renovaskular, gangguan ginjal, transplantasi ginjal, diabetes tipe 2, hiperkalemia, stenosis aorta atau mitral, kardiomiopati hipertrofi obstruksif, aldosteronisme primer, gangguan mengemudi atau menjalankan mesin.</t>
  </si>
  <si>
    <t>irtan</t>
  </si>
  <si>
    <t>irtan tablet irbesartan hipertensi esensial</t>
  </si>
  <si>
    <t>DKL1719933081A1</t>
  </si>
  <si>
    <t>Pro TB-2 Kid 28 Tablet</t>
  </si>
  <si>
    <t>Dus, 1 Blister @ 28 Tablet Dispersible</t>
  </si>
  <si>
    <t>pro tb kid</t>
  </si>
  <si>
    <t xml:space="preserve">pro tb kid tablet isoniazid </t>
  </si>
  <si>
    <t>DKL1904528217B1</t>
  </si>
  <si>
    <t>Lifezar 100 mg 10 Tablet</t>
  </si>
  <si>
    <t>Rp92.400 - Rp129.500</t>
  </si>
  <si>
    <t>PENGGUNAAN OBAT INI HARUS SESUAI DENGAN PETUNJUK DOKTER. Dosis awal &amp; dosis pemeliharaan umumnya : 1 x sehari 0.5 tablet, dapat ditingkatkan sampai 1 tablet. Efek maximum akan tercapai pada 3-6 minggu sesudah terapi awal. Pasien dengan resiko penurunan vol.intravaskuler : diawali 1 x</t>
  </si>
  <si>
    <t>Pasien dengan riwayat hipersensitif Losartan atau obat-obat golongan angiotensin II receptor antagonist, penderita gangguan ginjal (GFR &lt;60 mL / menit) atau penderita kerusakan hati parah.</t>
  </si>
  <si>
    <t>HARUS DENGAN RESEP DOKTER. Hamil trimester 2 dan 3, laktasi, anak, pasien dengan penurunan vol intravaskular, stenosis arteri renalis bilateral atau stenosis arteri pada ginjal yang soliter. Monitor K serum pada pasien usia lanjut dan gangguan ginjal.</t>
  </si>
  <si>
    <t>lifezar</t>
  </si>
  <si>
    <t>lifezar tablet losartan potassium hipertensi</t>
  </si>
  <si>
    <t>DKL0709318910A1</t>
  </si>
  <si>
    <t>Irtan 150 mg 10 Tablet</t>
  </si>
  <si>
    <t>Rp71.900 - Rp85.400</t>
  </si>
  <si>
    <t>PENGGUNAAN OBAT INI HARUS SESUAI DENGAN PETUNJUK DOKTER. 1 x sehari 1 tablet, maximum 2 tablet perhari. Pasien Hemodialisa &amp; usia lanjut : Diawali 0.5 tablet perhari.</t>
  </si>
  <si>
    <t>HARUS DENGAN RESEP DOKTER. Deplesi vol intravaskular, hipertensi renovaskular, gangguan ginjal, transplantasi ginjal, diabetes tipe 2, hiperkalemia, stenosis aorta atau mitral, kardiomiopati hipertrofi obstruksif, aldosteronisme primer, gangguan mengemudi atau menjalankan mesin. Kategori kehamilan : Kategori D: Terbukti berisiko terhadap janin. Meski demikian, obat masih dapat digunakan jika obat diperlukan untuk mengatasi keadaan yang mengancam jiwa, atau penyakit serius, dimana obat yang lebih aman tidak dapat digunakan atau tidak efektif.</t>
  </si>
  <si>
    <t>DKL8522213309A1</t>
  </si>
  <si>
    <t>Rifamtibi 450 mg 10 Kaplet</t>
  </si>
  <si>
    <t>Rp52.700 - Rp64.300</t>
  </si>
  <si>
    <t>PENGGUNAAN OBAT INI HARUS SESUAI DENGAN PETUNJUK DOKTER. Dewasa : Dengan BB &lt; 50 kg : 450 mg/hari. Dengan BB &gt;50 kg : 600 mg/hari. Diberikan dosis tunggal selama 4 minggu pertama. 5 bulan berikutnya, 600 mg 2 kali seminggu</t>
  </si>
  <si>
    <t>Tuberkulosis &amp; Lepra</t>
  </si>
  <si>
    <t>Dus, 10 Strip @ 10 Kaplet salut selaput</t>
  </si>
  <si>
    <t>Ikterus, hipersensitif</t>
  </si>
  <si>
    <t>HARUS DENGAN RESEP DOKTER. - lansia, anak di bawah 2 tahun Kategori Kehamilan : C</t>
  </si>
  <si>
    <t>rifamtibi</t>
  </si>
  <si>
    <t>rifamtibi kaplet rifampicin tuberkulosis lepra</t>
  </si>
  <si>
    <t>DTL1440401837A1</t>
  </si>
  <si>
    <t>Binomic Syrup 60 ml</t>
  </si>
  <si>
    <t>binomic</t>
  </si>
  <si>
    <t xml:space="preserve">binomic sirup zinc sulfate monohydrate </t>
  </si>
  <si>
    <t>DKL1904528217A1</t>
  </si>
  <si>
    <t>Lifezar 50 mg 10 Tablet</t>
  </si>
  <si>
    <t>Rp57.400 - Rp91.900</t>
  </si>
  <si>
    <t>PENGGUNAAN OBAT INI HARUS SESUAI DENGAN PETUNJUK DOKTER. Dosis awal &amp; dosis pemeliharaan umumnya : 1 x sehari 1 tablet, dapat ditingkatkan sampai 2 tablet. Efek maximum akan tercapai pada 3-6 minggu sesudah terapi awal. Pasien dengan resiko penurunan vol.intravaskuler : diawali 1 x s</t>
  </si>
  <si>
    <t>Box Isi 3 Strip @ 10 Tablet Salut</t>
  </si>
  <si>
    <t>Jangan menggunakan obat ini pada pasien yang memiliki riwayat hipersensitif terhadap losartan atau obat-obat yang termasuk golongan angiotensin II receptor antagonist. Tidak boleh digunakan bersamaan dengan aliskiren pada pasien diabetes. Kontraindikasi untuk penderita gangguan ginjal (GFR &lt;60 mL / menit) atau penderita kerusakan hati parah. Tidak boleh digunakan saat hamil.</t>
  </si>
  <si>
    <t>DTL1613025637A1</t>
  </si>
  <si>
    <t>Siladex DMP Sirup 30 ml</t>
  </si>
  <si>
    <t>Rp9.000 - Rp10.100</t>
  </si>
  <si>
    <t>Dus, Botol @ 30 l</t>
  </si>
  <si>
    <t>siladex dmp</t>
  </si>
  <si>
    <t xml:space="preserve">siladex dmp sirup dextromethorphan hydrobromide </t>
  </si>
  <si>
    <t>DKL9807103809A1</t>
  </si>
  <si>
    <t>Fimestan Forte 500 mg 10 Tablet</t>
  </si>
  <si>
    <t>Rp3.700 - Rp6.100</t>
  </si>
  <si>
    <t>fimestan forte</t>
  </si>
  <si>
    <t xml:space="preserve">fimestan forte kaplet mefenamic acid </t>
  </si>
  <si>
    <t>DKI1864604543A1</t>
  </si>
  <si>
    <t>Ryzodeg Flextouch 100 IU/ml</t>
  </si>
  <si>
    <t>Rp192.300 - Rp403.400</t>
  </si>
  <si>
    <t>Sebaikny di gunakan bersama makanan</t>
  </si>
  <si>
    <t>PENGGUNAAN OBAT INI HARUS SESUAI DENGAN PETUNJUK DOKTER. 2 kali per hari 10 unit, disuntikkan subkutan.</t>
  </si>
  <si>
    <t>Dus, 5 CARTRIDGE @ 3 ML PREFILLED PEN (FLEXTOUCH)</t>
  </si>
  <si>
    <t>insulin</t>
  </si>
  <si>
    <t>ryzodeg flextouch iu</t>
  </si>
  <si>
    <t xml:space="preserve">ryzodeg flextouch iu injeksi insulin </t>
  </si>
  <si>
    <t>DTL0531108633A1</t>
  </si>
  <si>
    <t>Pinkids Cough Sirup 60 ml</t>
  </si>
  <si>
    <t>Rp5.000 - Rp5.900</t>
  </si>
  <si>
    <t>pinkids cough</t>
  </si>
  <si>
    <t xml:space="preserve">pinkids cough suspensi chlorphenamine maleate </t>
  </si>
  <si>
    <t>DKI1952700110A1</t>
  </si>
  <si>
    <t>Nuzartan 40 mg 14 Tablet</t>
  </si>
  <si>
    <t>Rp18.000 - Rp90.400</t>
  </si>
  <si>
    <t>Diberikan 40 mg sekali sehari</t>
  </si>
  <si>
    <t>Dus, 2 Strip @ 14 Tablet</t>
  </si>
  <si>
    <t>nuzartan</t>
  </si>
  <si>
    <t>nuzartan tablet telmisartan hipertensi esensial</t>
  </si>
  <si>
    <t>DKL8721903409A1</t>
  </si>
  <si>
    <t>Costan Forte 500 mg 10 Kaplet</t>
  </si>
  <si>
    <t>Rp4.800 - Rp10.800</t>
  </si>
  <si>
    <t>costan forte</t>
  </si>
  <si>
    <t xml:space="preserve">costan forte kaplet mefenamic acid </t>
  </si>
  <si>
    <t>DKI1952700110B1</t>
  </si>
  <si>
    <t>Nuzartan 80 mg 14 Tablet</t>
  </si>
  <si>
    <t>Rp31.500 - Rp139.400</t>
  </si>
  <si>
    <t>Diberikan 80 mg sekali sehari</t>
  </si>
  <si>
    <t>DKL8302300709A1</t>
  </si>
  <si>
    <t>Rifabiotic 450 mg 10 Kaplet</t>
  </si>
  <si>
    <t>Rp25.300 - Rp27.800</t>
  </si>
  <si>
    <t>PENGGUNAAN OBAT INI HARUS SESUAI DENGAN PETUNJUK DOKTER. Dewasa : Dengan BB &lt; 50 kg : 450 mg/hari. Dengan BB &gt;50 kg : 600 mg/hari.</t>
  </si>
  <si>
    <t>rifabiotic kaplet rifampicin tuberkulosis lepra</t>
  </si>
  <si>
    <t>DKI0767506817A1</t>
  </si>
  <si>
    <t>Rasilez 150 mg 7 Tablet</t>
  </si>
  <si>
    <t>Rp98.500 - Rp134.400</t>
  </si>
  <si>
    <t>Sesudah atau sebelum makan</t>
  </si>
  <si>
    <t>PENGGUNAAN OBAT INI HARUS SESUAI DENGAN PETUNJUK DOKTER. 1 tablet 1 x sehari</t>
  </si>
  <si>
    <t>Dus, 8 Blister @ 7 Tablet Salut Selaput</t>
  </si>
  <si>
    <t>Diabetes atau masalah ginjal, angiodema</t>
  </si>
  <si>
    <t>HARUS DENGAN RESEP DOKTER. Pasien yang mengalami kekurangan Na &amp;ampul</t>
  </si>
  <si>
    <t>DKL8522200509A1</t>
  </si>
  <si>
    <t>Rifamtibi 600 mg 10 Kaplet</t>
  </si>
  <si>
    <t>PENGGUNAAN OBAT INI HARUS SESUAI DENGAN PETUNJUK DOKTER. Dewasa : Dengan BB &lt; 50 kg : 450 mg/hari. Dengan BB ? 50 kg : 600 mg/hari. Diberikan dosis tunggal selama 4 minggu pertama. 5 bulan berikutnya, 600 mg 2 kali seminggu. Anak : 10 - 20 mg/kg BB/hari dosis tunggal. Dikombinasi dengan isonicotine hydrazine atau etambutol</t>
  </si>
  <si>
    <t>INFORMASI OBAT INI HANYA UNTUK KALANGAN MEDIS. Tuberkulosis, Lepra</t>
  </si>
  <si>
    <t>HARUS DENGAN RESEP DOKTER. Hamil trimester-1. alkoholisme. Gangguan fungsi hati</t>
  </si>
  <si>
    <t>tuberkulosis , lepra</t>
  </si>
  <si>
    <t>rifamtibi kaplet rifampicin tuberkulosis  lepra</t>
  </si>
  <si>
    <t>DKI0767506817B1</t>
  </si>
  <si>
    <t>Rasilez 300 mg 7 Tablet</t>
  </si>
  <si>
    <t>Rp94.400 - Rp169.700</t>
  </si>
  <si>
    <t>Diberikan sebelum atau sesudah makan.</t>
  </si>
  <si>
    <t>PENGGUNAAN OBAT INI HARUS SESUAI DENGAN PETUNJUK DOKTER. Awal 150 mg 1 kali sehari. Dapat ditingkatkan sampai 300 mg 1 kali sehari sesuai dengan kondisi klinis pasien.</t>
  </si>
  <si>
    <t>Suplemen K, diuretik hemat K, furosemid, garam yang mengandung K.</t>
  </si>
  <si>
    <t>HARUS DENGAN RESEP DOKTER. Deplesi Na atau cairan tubuh, stenosis arteri ginjal, gangguan fungsi ginjal, hamil, angioedema pada kepala dan leher, hiperkalemia, angioedema.</t>
  </si>
  <si>
    <t>aliskiren fumarate</t>
  </si>
  <si>
    <t>rasilez</t>
  </si>
  <si>
    <t>rasilez tablet aliskiren fumarate hipertensi</t>
  </si>
  <si>
    <t>DKL8721902204A1</t>
  </si>
  <si>
    <t>Sammoxin Forte 500 mg 10 Kaplet</t>
  </si>
  <si>
    <t>Rp20.600 - Rp24.200</t>
  </si>
  <si>
    <t>sammoxin forte</t>
  </si>
  <si>
    <t xml:space="preserve">sammoxin forte kaplet amoxicillin trihydrate </t>
  </si>
  <si>
    <t>DKL1017609938B1</t>
  </si>
  <si>
    <t>Sedrofen Forte 250 mg/5 ml Dry Sirup 60 ml</t>
  </si>
  <si>
    <t>Rp101.100 - Rp140.300</t>
  </si>
  <si>
    <t>sedrofen forte</t>
  </si>
  <si>
    <t xml:space="preserve">sedrofen forte sirup cefadroxil monohydrate </t>
  </si>
  <si>
    <t>guaifenesin chlorphenamine maleate</t>
  </si>
  <si>
    <t xml:space="preserve">pasaba sirup guaifenesin chlorphenamine maleate </t>
  </si>
  <si>
    <t>DKL1222251417A1</t>
  </si>
  <si>
    <t>Santesar 50 mg 10 Tablet</t>
  </si>
  <si>
    <t>Rp103.200 - Rp127.200</t>
  </si>
  <si>
    <t>di berikan bersama atau tanpa makanan</t>
  </si>
  <si>
    <t>PENGGUNAAN OBAT INI HARUS SESUAI DENGAN PETUNJUK DOKTER. Dosis dewasa : 50 mg 1 x sehari, bisa ditingkatkan sampai 100 mg / hari sebagai dosis tunggal atau terbagi dalam 2 dosis jika diperlukan. Pasien dengan penurunan volume intravaskular : dosis awal, 25 mg 1 x sehari.Dosis anak usia ? 6 tahun, berat badan 20-50 kg : Awalnya, 0.7 mg / kg. Maksimal : 50 mg / hari</t>
  </si>
  <si>
    <t>DKL9704005209A1</t>
  </si>
  <si>
    <t>Citostan Forte 500 mg 10 Kaplet</t>
  </si>
  <si>
    <t>Rp4.000 - Rp4.100</t>
  </si>
  <si>
    <t>citostan forte</t>
  </si>
  <si>
    <t xml:space="preserve">citostan forte kaplet mefenamic acid </t>
  </si>
  <si>
    <t>DKL1719618709A1</t>
  </si>
  <si>
    <t>Pulna Forte 10 Kaplet</t>
  </si>
  <si>
    <t>Rp41.700 - Rp46.300</t>
  </si>
  <si>
    <t>ethambutol hydrochloride</t>
  </si>
  <si>
    <t>pulna forte</t>
  </si>
  <si>
    <t xml:space="preserve">pulna forte kaplet ethambutol hydrochloride </t>
  </si>
  <si>
    <t>GKL1605054709A1</t>
  </si>
  <si>
    <t>Moxifloxacin HCl 400 mg 10 Tablet</t>
  </si>
  <si>
    <t>moxifloxacin hcl</t>
  </si>
  <si>
    <t xml:space="preserve">moxifloxacin hcl kaplet moxifloxacin hydrochloride </t>
  </si>
  <si>
    <t>DTL1521645337A1</t>
  </si>
  <si>
    <t>Rexcof Plus Sirup 60 ml</t>
  </si>
  <si>
    <t>Rp22.000 - Rp28.200</t>
  </si>
  <si>
    <t>rexcof plus</t>
  </si>
  <si>
    <t xml:space="preserve">rexcof plus sirup bromhexine hydrochloride </t>
  </si>
  <si>
    <t>DKI1827900217A1</t>
  </si>
  <si>
    <t>Xigduo XR 5/500 mg 7 Tablet</t>
  </si>
  <si>
    <t>Rp156.800 - Rp205.800</t>
  </si>
  <si>
    <t>Dus, 4 Blister @ 7 Tablet Salut Selaput</t>
  </si>
  <si>
    <t>dapagliflozin propenadiol</t>
  </si>
  <si>
    <t>xigduo xr</t>
  </si>
  <si>
    <t xml:space="preserve">xigduo xr tablet dapagliflozin propenadiol </t>
  </si>
  <si>
    <t>DKI1827900217C1</t>
  </si>
  <si>
    <t>Xigduo XR 10/500 mg 7 Tablet</t>
  </si>
  <si>
    <t>Rp195.100 - Rp201.700</t>
  </si>
  <si>
    <t>DKL7225802730A1</t>
  </si>
  <si>
    <t>Trifacyclin Salep Kulit 15 g</t>
  </si>
  <si>
    <t>Rp11.300 - Rp15.200</t>
  </si>
  <si>
    <t>Dus, TUbe 15 g</t>
  </si>
  <si>
    <t>tetracycline hydrochloride</t>
  </si>
  <si>
    <t>trifacyclin kulit</t>
  </si>
  <si>
    <t xml:space="preserve">trifacyclin kulit salep tetracycline hydrochloride </t>
  </si>
  <si>
    <t>kaolin pectin</t>
  </si>
  <si>
    <t xml:space="preserve">neo asta suspensi kaolin pectin </t>
  </si>
  <si>
    <t>DKL9722223233A1</t>
  </si>
  <si>
    <t>Vosedon Sirup 60 ml</t>
  </si>
  <si>
    <t>Rp43.300 - Rp49.000</t>
  </si>
  <si>
    <t>Diberikan 15-30 menit sebelum makan.</t>
  </si>
  <si>
    <t>PENGGUNAAN OBAT INI HARUS SESUAI DENGAN PETUNJUK DOKTER. Dewasa : Untuk dispepsia fungsional : 10 mg 3 kali/hari. Untuk mual dan muntah : Dewasa : 10-20 mg 3-4 kali/hari. Anak : 0.25 mg/kg berat badan 3 kali/hari.</t>
  </si>
  <si>
    <t>Mual &amp; Muntah</t>
  </si>
  <si>
    <t>Botol 60 ml Dalam Dus</t>
  </si>
  <si>
    <t>Prolaktinoma</t>
  </si>
  <si>
    <t>HARUS DENGAN RESEP DOKTER. Pasien dengan gagal ginjal, dosis dikurangi. Efek ekstrapiramidal bila diberikan bersamaan obat lain. Bayi, hamil, laktasi, gangguan hati.</t>
  </si>
  <si>
    <t>mual muntah</t>
  </si>
  <si>
    <t>vosedon</t>
  </si>
  <si>
    <t>vosedon suspensi domperidone mual muntah</t>
  </si>
  <si>
    <t>DKI0052501110B1</t>
  </si>
  <si>
    <t>Micardis 80 mg 10 Tablet</t>
  </si>
  <si>
    <t>Rp201.100 - Rp395.600</t>
  </si>
  <si>
    <t>PENGGUNAAN OBAT INI HARUS SESUAI DENGAN PETUNJUK DOKTER. Dewasa : 1 x sehari 0.5 tablet, maximum : 1 x sehari 1 tablet</t>
  </si>
  <si>
    <t>Hipertensi Esensial</t>
  </si>
  <si>
    <t>Hamil, laktasi, gangguan fungsi hati dan ginjal yang berat, sirosis hati, obstruksi saluran empedu, intoleransi fruktosa herediter.</t>
  </si>
  <si>
    <t>micardis</t>
  </si>
  <si>
    <t>micardis tablet telmisartan hipertensi esensial</t>
  </si>
  <si>
    <t>DKI1768601614B1</t>
  </si>
  <si>
    <t>Natexam 1.5/10 mg 5 Tablet</t>
  </si>
  <si>
    <t>Rp58.800 - Rp63.100</t>
  </si>
  <si>
    <t>Diminum di pagi hari.</t>
  </si>
  <si>
    <t>Dus, 6 Blister @ 5 Tablet</t>
  </si>
  <si>
    <t>Hipersensitif, penderita gagal ginjal berat,gagal jantung yang secara hemodinamik tidak stabil setalah infark miokard akut.</t>
  </si>
  <si>
    <t>HARUS DENGAN RESEP DOKTER. Memiliki gangguan hati dan ginjal, mengalami gagal jantung, memiliki riwayat serangan jantung, menderita diabetes , menderita asam urat, wanita hamil dan menyusui. Kategori kehamilan : Kategori C : Mungkin berisiko. Obat digunakan dengan hati-hati apabila besarnya manfaat yang diperoleh melebihi besarnya risiko terhadap janin. Penelitian pada hewan uji menunjukkan risiko terhadap janin dan belum terdapat penelitian langsung terhadap wanita hamil.</t>
  </si>
  <si>
    <t>natexam</t>
  </si>
  <si>
    <t>natexam tablet amlodipine besilate hipertensi</t>
  </si>
  <si>
    <t>DKL9702323834A1</t>
  </si>
  <si>
    <t>Broxal 30mg/5ml Sirup 60 ml</t>
  </si>
  <si>
    <t>Rp19.800 - Rp25.000</t>
  </si>
  <si>
    <t>broxal mgml</t>
  </si>
  <si>
    <t xml:space="preserve">broxal mgml larutan ambroxol hydrochloride </t>
  </si>
  <si>
    <t>Thromboflash Gel 20 gr</t>
  </si>
  <si>
    <t>Rp51.700 - Rp56.400</t>
  </si>
  <si>
    <t>Dus, Tube @ 20 g</t>
  </si>
  <si>
    <t>thromboflash gr</t>
  </si>
  <si>
    <t xml:space="preserve">thromboflash gr gel heparin sodium </t>
  </si>
  <si>
    <t>betamethasone dexchlorpheniramine maleate</t>
  </si>
  <si>
    <t xml:space="preserve">meclovel sirup betamethasone dexchlorpheniramine maleate </t>
  </si>
  <si>
    <t>DKL0404128953C1</t>
  </si>
  <si>
    <t>Propyretic Suppositoria 240 mg</t>
  </si>
  <si>
    <t>Cuci tangan, suppositoria dikeluarkan dari kemasan, suppositoria dibasahi dengan air. Penderita berbaring dengan posisi miring dan suppositoria dimasukkan ke dalam rektum. Masukan supositoria dengan cara bagian ujung supositoria didorong dengan ujung jari sampai melewati otot sfingter rektal</t>
  </si>
  <si>
    <t>TR153687361</t>
  </si>
  <si>
    <t>Madu Herbal Tasnim Strongna 245 ml</t>
  </si>
  <si>
    <t>MADU HERBAL TASNIM STRONGNA</t>
  </si>
  <si>
    <t>Rp80.000 - Rp86.400</t>
  </si>
  <si>
    <t>Dus, Botol @ 245 ml</t>
  </si>
  <si>
    <t>madu herbal tasnim strongna</t>
  </si>
  <si>
    <t xml:space="preserve">madu herbal tasnim strongna madu </t>
  </si>
  <si>
    <t>TR193628051</t>
  </si>
  <si>
    <t>Madu Jadied 165 g</t>
  </si>
  <si>
    <t>JADIED MASELA</t>
  </si>
  <si>
    <t>Rp24.400 - Rp32.900</t>
  </si>
  <si>
    <t>Botol @ 165 g</t>
  </si>
  <si>
    <t>jadied masela</t>
  </si>
  <si>
    <t>madu jadied</t>
  </si>
  <si>
    <t xml:space="preserve">madu jadied madu jadied masela </t>
  </si>
  <si>
    <t>TR162696521</t>
  </si>
  <si>
    <t>Madu TJ Panas Dalam 5 Sachet</t>
  </si>
  <si>
    <t>MADU TJ PANAS DALAM</t>
  </si>
  <si>
    <t>Rp12.000 - Rp20.300</t>
  </si>
  <si>
    <t>Box, 5 sachet</t>
  </si>
  <si>
    <t>madu tj panas dalam</t>
  </si>
  <si>
    <t xml:space="preserve">madu tj panas dalam madu </t>
  </si>
  <si>
    <t>DKI0768203717A1</t>
  </si>
  <si>
    <t>Yasmin 21 Tablet</t>
  </si>
  <si>
    <t>Rp251.900 - Rp304.700</t>
  </si>
  <si>
    <t>Dikonsumsi dengan atau tanpa makanan. Konsumsi dengan waktu yang sama</t>
  </si>
  <si>
    <t>PENGGUNAAN OBAT INI HARUS SESUAI DENGAN PETUNJUK DOKTER. Mulai pada hari pertama menstruasi, tiap hari 1 tablet selam 21 hari, lalu 7 hari tanpa tablet, dan seterusnya</t>
  </si>
  <si>
    <t>INFORMASI OBAT INI HANYA UNTUK KALANGAN MEDIS. Kontrasepsi oral</t>
  </si>
  <si>
    <t>Dus, 1 Amplop @ 1 Blister @ 21 Tablet Salut Selaput</t>
  </si>
  <si>
    <t>Adanya atau riwayat kejadian trombotik/tromboemboli vena atau arteri (misalnya, trombosis vena dalam, emboli paru, infark miokard), atau kecelakaan serebrovaskular. Adanya atau riwayat prodromi trombosis (misalnya, serangan iskemik transien, angina pektoris). Riwayat migrain dengan gejala neurologis fokal. Diabetes mellitus dengan keterlibatan pembuluh darah. Adanya faktor risiko berat atau multipel untuk trombosis vena atau arteri juga merupakan kontraindikasi (lihat Peringatan). Penyakit hati berat selama nilai fungsi hati belum kembali normal. Insufisiensi ginjal berat atau gagal ginjal akut. Adanya atau riwayat tumor hati (jinak atau ganas). Diketahui atau diduga keganasan yang dipengaruhi steroid seks (misalnya, organ genital atau payudara). Pendarahan vagina yang tidak terdiagnosis. Diketahui atau diduga hamil. Hipersensitivitas terhadap Yasmin atau salah satu eksipien.</t>
  </si>
  <si>
    <t>HARUS DENGAN RESEP DOKTER. Pemeriksaan/Konsultasi Medis: Riwayat medis lengkap dan pemeriksaan fisik harus dilakukan sebelum memulai atau mengembalikan penggunaan COC, dipandu oleh kontraindikasi (lihat Kontraindikasi) dan peringatan (lihat Peringatan), dan harus diulang secara berkala. Penilaian medis berkala juga penting karena kontraindikasi (misalnya, serangan iskemik transien, dll) atau faktor risiko (misalnya, riwayat keluarga dengan trombosis vena atau arteri) dapat muncul untuk pertama kalinya selama penggunaan COC. Frekuensi dan sifat penilaian ini harus didasarkan pada pedoman praktik yang ditetapkan dan disesuaikan dengan individu wanita, tetapi umumnya harus mencakup referensi khusus untuk tekanan darah, payudara, perut dan organ panggul, termasuk sitologi serviks. Wanita harus diberi tahu bahwa kontrasepsi oral tidak melindungi dari infeksi HIV (AIDS) dan penyakit menular seksual lainnya. Kategori Kehamilan : Kategori X: Kontraindikasi (tidak boleh digunakan). Terdapat hasil penelitian terhadap hewan uji dan manusia yang memperlihatkan abnormalitas terhadap janin. Obat ini dikontraindikasikan untuk wanita hamil dan yang berkemungkinan untuk hamil. Laktasi dapat dipengaruhi oleh KOK karena dapat mengurangi kuantitas dan mengubah komposisi ASI. Oleh karena itu, penggunaan pil kontrasepsi darurat umumnya tidak dianjurkan sampai ibu menyusui benar-benar menyapih anaknya. Sejumlah kecil steroid kontrasepsi dan/atau metabolitnya dapat diekskresikan bersama susu.</t>
  </si>
  <si>
    <t>drospirenone</t>
  </si>
  <si>
    <t>kontrasepsi oral</t>
  </si>
  <si>
    <t>yasmin</t>
  </si>
  <si>
    <t>yasmin tablet drospirenone kontrasepsi oral</t>
  </si>
  <si>
    <t>DKL0326007909B1</t>
  </si>
  <si>
    <t>Lipivast 10 mg 10 Tablet</t>
  </si>
  <si>
    <t>Rp3.800 - Rp6.000</t>
  </si>
  <si>
    <t>PENGGUNAAN OBAT INI HARUS SESUAI DENGAN PETUNJUK DOKTER. Hiperlipidemia : Dosis awal 10 atau 20 mg sekali sehari. Pasien yang membutuhkan pengurangan besar LDL-C (lebih dari 45%) dapat dimulai pada 40 mg sekali sehari. Rentang dosis, 10 hingga 80 mg sekali sehari. Heterozigos Hiperkolesterolemia pada Pasien Anak (usia 10 hingga 17 tahun): Dosis awal 10 mg / hari</t>
  </si>
  <si>
    <t>TR153386861</t>
  </si>
  <si>
    <t>Innolife Habbatussauda 100 Kapsul</t>
  </si>
  <si>
    <t>INNOLIFE HABBATUSSAUDAH</t>
  </si>
  <si>
    <t>Rp31.800 - Rp59.400</t>
  </si>
  <si>
    <t>innolife habbatussaudah</t>
  </si>
  <si>
    <t>innolife habbatussauda</t>
  </si>
  <si>
    <t xml:space="preserve">innolife habbatussauda kapsul innolife habbatussaudah </t>
  </si>
  <si>
    <t>TR182616731</t>
  </si>
  <si>
    <t>Madu TJ Rasa Jeruk 12 Sachet</t>
  </si>
  <si>
    <t>MADU TJ RASA JERUK</t>
  </si>
  <si>
    <t>Rp8.700 - Rp15.600</t>
  </si>
  <si>
    <t>Dus, Sachet @ 20 gram</t>
  </si>
  <si>
    <t>madu tj rasa jeruk</t>
  </si>
  <si>
    <t xml:space="preserve">madu tj rasa jeruk madu </t>
  </si>
  <si>
    <t>TR182616751</t>
  </si>
  <si>
    <t>Madu TJ Rasa Strawberry 12 Sachet</t>
  </si>
  <si>
    <t>MADU TJ RASA STRAWBERRY</t>
  </si>
  <si>
    <t>Rp10.100 - Rp13.800</t>
  </si>
  <si>
    <t>madu tj rasa strawberry</t>
  </si>
  <si>
    <t xml:space="preserve">madu tj rasa strawberry madu </t>
  </si>
  <si>
    <t>TR163393461</t>
  </si>
  <si>
    <t>Hisom Sea Gold Cucumber 30 Kapsul</t>
  </si>
  <si>
    <t>HISOM SEA GOLD CUCUMBER</t>
  </si>
  <si>
    <t>Rp115.700 - Rp260.000</t>
  </si>
  <si>
    <t>hisom sea gold cucumber</t>
  </si>
  <si>
    <t xml:space="preserve">hisom sea gold cucumber kapsul </t>
  </si>
  <si>
    <t>Innolife Habbatussauda 150 Kapsul</t>
  </si>
  <si>
    <t>Rp53.800 - Rp83.000</t>
  </si>
  <si>
    <t>QD053605621</t>
  </si>
  <si>
    <t>Scorpio Minyak Gandapura 30 ml</t>
  </si>
  <si>
    <t>Rp4.800 - Rp13.500</t>
  </si>
  <si>
    <t>Botol @ 30 ml</t>
  </si>
  <si>
    <t>methyl salicylate</t>
  </si>
  <si>
    <t>scorpio gandapura</t>
  </si>
  <si>
    <t xml:space="preserve">scorpio gandapura minyak methyl salicylate </t>
  </si>
  <si>
    <t>DKL0121626017B1</t>
  </si>
  <si>
    <t>Cholespar 20 mg 10 Tablet</t>
  </si>
  <si>
    <t>Rp158.000 - Rp237.100</t>
  </si>
  <si>
    <t>Malam, sebelum/sesudah makan</t>
  </si>
  <si>
    <t>Hiperkolesterolemia</t>
  </si>
  <si>
    <t>Hipersensitif, penyakit hati aktif atau peningkatan serum transaminas, wanita hamil atau menyusui</t>
  </si>
  <si>
    <t>HARUS DENGAN RESEP DOKTER. Hipersensitivitas terhadap pravastatin, penyakit hati aktif</t>
  </si>
  <si>
    <t>hiperkolesterolemia</t>
  </si>
  <si>
    <t>cholespar</t>
  </si>
  <si>
    <t>cholespar tablet pravastatin sodium hiperkolesterolemia</t>
  </si>
  <si>
    <t>QD162614321</t>
  </si>
  <si>
    <t>Rheumason Relaxing Oil 10 ml</t>
  </si>
  <si>
    <t>Rp6.500 - Rp17.100</t>
  </si>
  <si>
    <t>Dus, Botol Roll On @ 10 ml</t>
  </si>
  <si>
    <t>rheumason relaxing oil</t>
  </si>
  <si>
    <t xml:space="preserve">rheumason relaxing oil minyak camphor </t>
  </si>
  <si>
    <t>QD153613221</t>
  </si>
  <si>
    <t>Minyak Sapu Jagat 110 ml</t>
  </si>
  <si>
    <t>Rp143.000 - Rp175.400</t>
  </si>
  <si>
    <t>Dus, Botol @ 110 ml</t>
  </si>
  <si>
    <t>sapu jagat</t>
  </si>
  <si>
    <t xml:space="preserve">sapu jagat minyak methyl salicylate </t>
  </si>
  <si>
    <t>DTL7609223337A1</t>
  </si>
  <si>
    <t>Ifarsyl Plus Sirup 60ml</t>
  </si>
  <si>
    <t>Rp8.600 - Rp15.300</t>
  </si>
  <si>
    <t>ifarsyl plus</t>
  </si>
  <si>
    <t xml:space="preserve">ifarsyl plus sirup ammonium chloride </t>
  </si>
  <si>
    <t>DBL9503601837A1</t>
  </si>
  <si>
    <t>OBH Nusantara Sirup 100 ml</t>
  </si>
  <si>
    <t>Rp7.700 - Rp10.500</t>
  </si>
  <si>
    <t>Dus, 1 Botol Plastik @ 100 ml</t>
  </si>
  <si>
    <t>obh nusantara</t>
  </si>
  <si>
    <t xml:space="preserve">obh nusantara sirup ammonium chloride </t>
  </si>
  <si>
    <t>caffeine paracetamol</t>
  </si>
  <si>
    <t xml:space="preserve">paramex sk kaplet caffeine paracetamol </t>
  </si>
  <si>
    <t>QD091708701</t>
  </si>
  <si>
    <t>MIPI Cream 30 g</t>
  </si>
  <si>
    <t>Rp35.600 - Rp61.700</t>
  </si>
  <si>
    <t>Dus, tube 30 gram</t>
  </si>
  <si>
    <t>capsicum extract</t>
  </si>
  <si>
    <t>mipi cream</t>
  </si>
  <si>
    <t xml:space="preserve">mipi cream krim capsicum extract </t>
  </si>
  <si>
    <t>MIPI Cream 15 g</t>
  </si>
  <si>
    <t>Rp26.900 - Rp32.900</t>
  </si>
  <si>
    <t>DTL1207811037A1</t>
  </si>
  <si>
    <t>Hufasulvon Kids Sirup 60 ml</t>
  </si>
  <si>
    <t>Rp5.200 - Rp8.500</t>
  </si>
  <si>
    <t>Dus, 1 botol @ 60 ml</t>
  </si>
  <si>
    <t>hufasulvon kids</t>
  </si>
  <si>
    <t xml:space="preserve">hufasulvon kids sirup bromhexine hydrochloride </t>
  </si>
  <si>
    <t>DTL9021903210B1</t>
  </si>
  <si>
    <t>Masflu Forte 10 Tablet</t>
  </si>
  <si>
    <t>Rp4.800 - Rp4.900</t>
  </si>
  <si>
    <t>masflu forte</t>
  </si>
  <si>
    <t xml:space="preserve">masflu forte tablet chlorphenamine maleate </t>
  </si>
  <si>
    <t>QD091708471</t>
  </si>
  <si>
    <t>Fitajoint Roller 35 g</t>
  </si>
  <si>
    <t>Rp102.600 - Rp105.600</t>
  </si>
  <si>
    <t>Dus, Botol Plastik Roller @ 35 G</t>
  </si>
  <si>
    <t>roll</t>
  </si>
  <si>
    <t>lavender oil</t>
  </si>
  <si>
    <t>fitajoint roller</t>
  </si>
  <si>
    <t xml:space="preserve">fitajoint roller roll lavender oil </t>
  </si>
  <si>
    <t>DTL1020937337A1</t>
  </si>
  <si>
    <t>OBH Indoplus 100 ml</t>
  </si>
  <si>
    <t>Rp12.000 - Rp15.000</t>
  </si>
  <si>
    <t>obh indoplus</t>
  </si>
  <si>
    <t xml:space="preserve">obh indoplus sirup ammonium chloride </t>
  </si>
  <si>
    <t>FF192500801</t>
  </si>
  <si>
    <t>Disolf 490 mg 6 Tablet</t>
  </si>
  <si>
    <t>DISOLF</t>
  </si>
  <si>
    <t>Rp51.100 - Rp59.800</t>
  </si>
  <si>
    <t>1/2 - 1 jam sebelum makan</t>
  </si>
  <si>
    <t>1-2 tablet 3 kali sehari</t>
  </si>
  <si>
    <t>Melancarkan sirkulasi darah</t>
  </si>
  <si>
    <t>Pasien yang hipersensitif terhadap komponen ini.</t>
  </si>
  <si>
    <t>disolf</t>
  </si>
  <si>
    <t>melancarkan sirkulasi darah</t>
  </si>
  <si>
    <t>disolf tablet melancarkan sirkulasi darah</t>
  </si>
  <si>
    <t>DTL7609203410A1</t>
  </si>
  <si>
    <t>Luvisma 10 Tablet</t>
  </si>
  <si>
    <t>Rp3.400 - Rp6.600</t>
  </si>
  <si>
    <t>theophylline ephedrine hydrochloride</t>
  </si>
  <si>
    <t>luvisma</t>
  </si>
  <si>
    <t xml:space="preserve">luvisma tablet theophylline ephedrine hydrochloride </t>
  </si>
  <si>
    <t>metamizole sodium monohydrate</t>
  </si>
  <si>
    <t xml:space="preserve">ravalgin kaplet metamizole sodium monohydrate </t>
  </si>
  <si>
    <t>TR193324621</t>
  </si>
  <si>
    <t>Nature's Pride Gamalmas 30 Kapsul</t>
  </si>
  <si>
    <t>GAMALMAS</t>
  </si>
  <si>
    <t>Rp85.500 - Rp114.400</t>
  </si>
  <si>
    <t>gamalmas</t>
  </si>
  <si>
    <t>natures pride gamalmas</t>
  </si>
  <si>
    <t xml:space="preserve">natures pride gamalmas kapsul gamalmas </t>
  </si>
  <si>
    <t>TR183213571</t>
  </si>
  <si>
    <t>Mamabear Teh Pelancar Asi 20 Sachet</t>
  </si>
  <si>
    <t>MAMABEAR TEH PELANCAR ASI</t>
  </si>
  <si>
    <t>Rp44.100 - Rp58.000</t>
  </si>
  <si>
    <t>Dus, 20 sachet @ 3 gram</t>
  </si>
  <si>
    <t>mamabear teh pelancar asi</t>
  </si>
  <si>
    <t xml:space="preserve">mamabear teh pelancar asi sachet </t>
  </si>
  <si>
    <t>DTL2032209837A1</t>
  </si>
  <si>
    <t>Nipe Expectorant Adult 120 ml</t>
  </si>
  <si>
    <t>Rp50.500 - Rp53.600</t>
  </si>
  <si>
    <t>nipe expectorant adult</t>
  </si>
  <si>
    <t xml:space="preserve">nipe expectorant adult sirup guaifenesin </t>
  </si>
  <si>
    <t>Nipe Expectorant Adult 60 ml</t>
  </si>
  <si>
    <t>Rp39.800 - Rp42.300</t>
  </si>
  <si>
    <t>TR133669021</t>
  </si>
  <si>
    <t>Nonisteen 30 Kapsul</t>
  </si>
  <si>
    <t>NONISTEEN</t>
  </si>
  <si>
    <t>Rp74.000 - Rp90.500</t>
  </si>
  <si>
    <t>2x sehari 1 kapsul.</t>
  </si>
  <si>
    <t>Membantu memelihara kesehatan</t>
  </si>
  <si>
    <t>Botol Isi 30 Kapsul</t>
  </si>
  <si>
    <t>Menjaga keseimbangan hormon, mendukung metabolisme tubuh yang optimal, menjaga kesehatan kulit dan rambut, meningkatkan metabolisme, stamina dan daya tahan tubuh.</t>
  </si>
  <si>
    <t>nonisteen</t>
  </si>
  <si>
    <t>membantu memelihara kesehatan</t>
  </si>
  <si>
    <t>nonisteen kapsul membantu memelihara kesehatan</t>
  </si>
  <si>
    <t>DKL1122249410A1</t>
  </si>
  <si>
    <t>Santagesik 500 mg 10 Tablet</t>
  </si>
  <si>
    <t>Rp7.800 - Rp9.300</t>
  </si>
  <si>
    <t>metamizole sodium anhydrate</t>
  </si>
  <si>
    <t xml:space="preserve">santagesik tablet metamizole sodium anhydrate </t>
  </si>
  <si>
    <t>TR182315931</t>
  </si>
  <si>
    <t>Nuvigen 30 Kapsul</t>
  </si>
  <si>
    <t>NUVIGEN</t>
  </si>
  <si>
    <t>Rp336.500 - Rp405.000</t>
  </si>
  <si>
    <t>2-3 kapsul sehari, atau sesuai dengan anjuran dokter</t>
  </si>
  <si>
    <t>Membantu memelihara stamina</t>
  </si>
  <si>
    <t>Botol @ 30 kapsul</t>
  </si>
  <si>
    <t>nuvigen</t>
  </si>
  <si>
    <t>membantu memelihara stamen</t>
  </si>
  <si>
    <t>nuvigen kapsul membantu memelihara stamen</t>
  </si>
  <si>
    <t>TI144548831</t>
  </si>
  <si>
    <t>Thomson Activated Ginkgo Extract 30 Tablet</t>
  </si>
  <si>
    <t>THOMSON ACTIVATED GINKGO EXTRACT</t>
  </si>
  <si>
    <t>Rp126.900 - Rp275.400</t>
  </si>
  <si>
    <t>thomson activated ginkgo extract</t>
  </si>
  <si>
    <t xml:space="preserve">thomson activated ginkgo extract tablet </t>
  </si>
  <si>
    <t>DKI1850300168A1</t>
  </si>
  <si>
    <t>Lasal Nebu 2.5 mg/2.5 ml</t>
  </si>
  <si>
    <t>Rp14.100 - Rp14.500</t>
  </si>
  <si>
    <t>Dus, 20 Vial @ 2.5 ml</t>
  </si>
  <si>
    <t>inhaler</t>
  </si>
  <si>
    <t>salbutamol sulfate</t>
  </si>
  <si>
    <t>lasal nebu</t>
  </si>
  <si>
    <t xml:space="preserve">lasal nebu inhaler salbutamol sulfate </t>
  </si>
  <si>
    <t>TR172304001</t>
  </si>
  <si>
    <t>Onoiwa 6 Kapsul</t>
  </si>
  <si>
    <t>ONOIWA</t>
  </si>
  <si>
    <t>Rp47.500 - Rp55.100</t>
  </si>
  <si>
    <t>Diminum 1 jam sebelum makan</t>
  </si>
  <si>
    <t>3 kali sehari 1-2 kapsul</t>
  </si>
  <si>
    <t>Dus, 5 strip @ 6 kapsul</t>
  </si>
  <si>
    <t>Simpan pada suhu 30 C, dalam wadah kering dan tertutup rapat, hindarkan dari sinar matahari</t>
  </si>
  <si>
    <t>onoiwa</t>
  </si>
  <si>
    <t>onoiwa kapsul membantu memelihara kesehatan</t>
  </si>
  <si>
    <t xml:space="preserve">santagesik sirup metamizole sodium anhydrate </t>
  </si>
  <si>
    <t>DBL9931520537A1</t>
  </si>
  <si>
    <t>Pralax Sirup 100 ml</t>
  </si>
  <si>
    <t>Rp93.600 - Rp98.600</t>
  </si>
  <si>
    <t>1-2 sendok makan (15-30ml) / hari</t>
  </si>
  <si>
    <t>Konstipasi kronik</t>
  </si>
  <si>
    <t>Botol sirup 100ml x 1</t>
  </si>
  <si>
    <t>Pasien yg sedang menjalani diet bebas galaktosa.</t>
  </si>
  <si>
    <t>Asien dg diabetes, galaktosemia. Anak. Hamil trimester 1, laktasi.</t>
  </si>
  <si>
    <t>konstipasi kronik</t>
  </si>
  <si>
    <t>pralax</t>
  </si>
  <si>
    <t>pralax sirup lactulose konstipasi kronik</t>
  </si>
  <si>
    <t>DKI1585100739A1</t>
  </si>
  <si>
    <t>Flixotide 50 mcg Inhaler</t>
  </si>
  <si>
    <t>Rp132.900 - Rp170.700</t>
  </si>
  <si>
    <t>Dus, Canister @ 120 Dosis</t>
  </si>
  <si>
    <t>spray</t>
  </si>
  <si>
    <t>fluticasone propionate</t>
  </si>
  <si>
    <t>flixotide inhaler</t>
  </si>
  <si>
    <t xml:space="preserve">flixotide inhaler spray fluticasone propionate </t>
  </si>
  <si>
    <t>fluticasone propionat</t>
  </si>
  <si>
    <t xml:space="preserve">flixotide inhaler inhaler fluticasone propionat </t>
  </si>
  <si>
    <t>DKI1439900167A1</t>
  </si>
  <si>
    <t>Suprasma Inhaler 100 mcg 200 Dose</t>
  </si>
  <si>
    <t>Dus, 1 Canister @ 200 Dosis</t>
  </si>
  <si>
    <t>Obat Wajib Apotek, Obat ini dapat dibeli dan diserahkan apoteker tanpa resep dengan maksimum 1 Box. Pembelian melebihi batas ini WAJIB RESEP DOKTER.</t>
  </si>
  <si>
    <t>salbutamol</t>
  </si>
  <si>
    <t>suprasma inhaler dose</t>
  </si>
  <si>
    <t xml:space="preserve">suprasma inhaler dose inhaler salbutamol </t>
  </si>
  <si>
    <t>TR192536581</t>
  </si>
  <si>
    <t>Hesmin 6 Kaplet</t>
  </si>
  <si>
    <t>HESMIN</t>
  </si>
  <si>
    <t>Rp81.200 - Rp90.800</t>
  </si>
  <si>
    <t>1-3 kaplet/hari</t>
  </si>
  <si>
    <t>Hemoroid (wasir) dan Varises</t>
  </si>
  <si>
    <t>Box Isi 5 Strip @ 6 Kaplet</t>
  </si>
  <si>
    <t>hipersensitivitas</t>
  </si>
  <si>
    <t>ibu menyusui</t>
  </si>
  <si>
    <t>hesmin</t>
  </si>
  <si>
    <t>hemoroid wasir varises</t>
  </si>
  <si>
    <t>hesmin kaplet hemoroid wasir varises</t>
  </si>
  <si>
    <t>procaterol hydrochloride hemihydrate</t>
  </si>
  <si>
    <t xml:space="preserve">vactiv sirup procaterol hydrochloride hemihydrate </t>
  </si>
  <si>
    <t>TI194258571</t>
  </si>
  <si>
    <t>Korean Red Ginseng Tea 50 Sachet</t>
  </si>
  <si>
    <t>KOREAN RED GINSENG TEA</t>
  </si>
  <si>
    <t>Dus, 50 sachet @ 3 gram</t>
  </si>
  <si>
    <t>korean red ginseng tea</t>
  </si>
  <si>
    <t xml:space="preserve">korean red ginseng tea sachet </t>
  </si>
  <si>
    <t>DTL0203808746A1</t>
  </si>
  <si>
    <t>Cendo Cenfresh Eye Drops 15 ml</t>
  </si>
  <si>
    <t>carmellose</t>
  </si>
  <si>
    <t>cendo cenfresh eye</t>
  </si>
  <si>
    <t xml:space="preserve">cendo cenfresh eye tetes carmellose </t>
  </si>
  <si>
    <t>TR162596261</t>
  </si>
  <si>
    <t>Vitan 250 mg 20 Tablet</t>
  </si>
  <si>
    <t>VITAN</t>
  </si>
  <si>
    <t>Sebaiknya dikonsumsi setelah makan</t>
  </si>
  <si>
    <t>2-3 tablet per hari</t>
  </si>
  <si>
    <t>Dus, 5 Blister @ 4 Tablet</t>
  </si>
  <si>
    <t>Simpan di tempat sejuk dan kering, pada suhu 25 C. Dan terlindung dari cahaya</t>
  </si>
  <si>
    <t>vitan</t>
  </si>
  <si>
    <t>vitan tablet membantu memelihara stamen</t>
  </si>
  <si>
    <t>DTL1840001046A1</t>
  </si>
  <si>
    <t>Rohto V-Exstra 7 ml</t>
  </si>
  <si>
    <t>- MACROGOL 400</t>
  </si>
  <si>
    <t>Rp17.600 - Rp21.100</t>
  </si>
  <si>
    <t>Dus, Botol @ 7 ml</t>
  </si>
  <si>
    <t>macrogol 400</t>
  </si>
  <si>
    <t>rohto vexstra</t>
  </si>
  <si>
    <t xml:space="preserve">rohto vexstra tetes macrogol 400 </t>
  </si>
  <si>
    <t>DTL9413009346A1</t>
  </si>
  <si>
    <t>Braito Original 5 ml</t>
  </si>
  <si>
    <t>Rp9.600 - Rp13.200</t>
  </si>
  <si>
    <t>Dus, Botol 5 ml</t>
  </si>
  <si>
    <t>tetrahydrozoline hydrochloride</t>
  </si>
  <si>
    <t>braito original</t>
  </si>
  <si>
    <t xml:space="preserve">braito original tetes tetrahydrozoline hydrochloride </t>
  </si>
  <si>
    <t>TR172500851</t>
  </si>
  <si>
    <t>Morifit 60 Kaplet</t>
  </si>
  <si>
    <t>MORIFIT</t>
  </si>
  <si>
    <t>Rp64.800 - Rp136.000</t>
  </si>
  <si>
    <t>Dewasa: Sehari 2 kali 1 kaplet</t>
  </si>
  <si>
    <t>Botol 60 kaplet</t>
  </si>
  <si>
    <t>morifit</t>
  </si>
  <si>
    <t>morifit kaplet membantu memelihara kesehatan</t>
  </si>
  <si>
    <t>DKL0717622746A1</t>
  </si>
  <si>
    <t>Interflox Eye Drops 5 ml</t>
  </si>
  <si>
    <t>Dus, 1 Botol Plastik @ 5 ml</t>
  </si>
  <si>
    <t>interflox eye</t>
  </si>
  <si>
    <t xml:space="preserve">interflox eye tetes ciprofloxacin hydrochloride </t>
  </si>
  <si>
    <t>Cutimed Sorbact Gel 7.5 x 7.5</t>
  </si>
  <si>
    <t>Rp125.000 - Rp143.800</t>
  </si>
  <si>
    <t>Untuk menutup luka</t>
  </si>
  <si>
    <t>Box @ 10 Lembar</t>
  </si>
  <si>
    <t>cutimed sorbact x</t>
  </si>
  <si>
    <t xml:space="preserve">cutimed sorbact x larutan povidoneiodine </t>
  </si>
  <si>
    <t>DKL1309321529A1</t>
  </si>
  <si>
    <t>Quintri Cream 15 g</t>
  </si>
  <si>
    <t>Rp50.900 - Rp60.500</t>
  </si>
  <si>
    <t>quintri cream</t>
  </si>
  <si>
    <t xml:space="preserve">quintri cream krim fluocinolone acetonide </t>
  </si>
  <si>
    <t>DKL1433533414A1</t>
  </si>
  <si>
    <t>Imocard SR 60 mg 10 Tablet</t>
  </si>
  <si>
    <t>Rp52.000 - Rp68.800</t>
  </si>
  <si>
    <t>Dus, 3 Strip @ 10 Tablet Pelepasan Lambat</t>
  </si>
  <si>
    <t>isosorbide mononitrate</t>
  </si>
  <si>
    <t>imocard sr</t>
  </si>
  <si>
    <t xml:space="preserve">imocard sr tablet isosorbide mononitrate </t>
  </si>
  <si>
    <t>DBL9513305333A1</t>
  </si>
  <si>
    <t>Lagesil Sirup 100 ml</t>
  </si>
  <si>
    <t>Rp38.900 - Rp45.400</t>
  </si>
  <si>
    <t>Dewasa dan anak &gt; 12 tahun : 3-4 kali/hari 1-2 sendok teh/sendok takar 5 cc</t>
  </si>
  <si>
    <t>Sirup</t>
  </si>
  <si>
    <t>lagesil</t>
  </si>
  <si>
    <t>lagesil suspensi aluminium hydroxide sirup</t>
  </si>
  <si>
    <t>DTL1209222537A1</t>
  </si>
  <si>
    <t>Bromifar Plus Sirup 60 ml</t>
  </si>
  <si>
    <t>Rp6.400 - Rp9.500</t>
  </si>
  <si>
    <t>bromifar plus</t>
  </si>
  <si>
    <t xml:space="preserve">bromifar plus sirup bromhexine hydrochloride </t>
  </si>
  <si>
    <t>promethazine hydrochloride guaifenesin</t>
  </si>
  <si>
    <t xml:space="preserve">guamin sirup promethazine hydrochloride guaifenesin </t>
  </si>
  <si>
    <t>DKL1402505409A1</t>
  </si>
  <si>
    <t>Fexoven Od 120 mg 10 Tablet</t>
  </si>
  <si>
    <t>Rp53.100 - Rp60.500</t>
  </si>
  <si>
    <t>fexofenadine hydrochloride</t>
  </si>
  <si>
    <t>fexoven od</t>
  </si>
  <si>
    <t xml:space="preserve">fexoven od tablet fexofenadine hydrochloride </t>
  </si>
  <si>
    <t>Kapas Husada Pembalut 250 g</t>
  </si>
  <si>
    <t>Rp25.200 - Rp52.200</t>
  </si>
  <si>
    <t>Pack @ 250 g</t>
  </si>
  <si>
    <t>kapas husada pembalut</t>
  </si>
  <si>
    <t xml:space="preserve">kapas husada pembalut larutan povidoneiodine </t>
  </si>
  <si>
    <t>DTL8327800437A1</t>
  </si>
  <si>
    <t>Neladryl Expectorant 60 ml</t>
  </si>
  <si>
    <t>Rp11.000 - Rp20.000</t>
  </si>
  <si>
    <t>neladryl expectorant</t>
  </si>
  <si>
    <t xml:space="preserve">neladryl expectorant sirup ammonium chloride </t>
  </si>
  <si>
    <t>DTL0413021933B1</t>
  </si>
  <si>
    <t>Konvermex Suspensi 125 mg 10 ml</t>
  </si>
  <si>
    <t>Dosis tunggal, diminum sebelum tidur</t>
  </si>
  <si>
    <t>Anak &lt; 5 th : 1 sendok takar / hari</t>
  </si>
  <si>
    <t>DTL0413022204A1</t>
  </si>
  <si>
    <t>Konvermex 250 mg 2 Kaplet</t>
  </si>
  <si>
    <t>Rp6.800 - Rp13.500</t>
  </si>
  <si>
    <t>Anak &lt; 5 th : 1/2 tablet / hari</t>
  </si>
  <si>
    <t>DKL1621022129A1</t>
  </si>
  <si>
    <t>Betaris Cream 10 g</t>
  </si>
  <si>
    <t>Rp55.400 - Rp55.500</t>
  </si>
  <si>
    <t>Dus, tube @ 10 gram</t>
  </si>
  <si>
    <t>clobetasol propionate</t>
  </si>
  <si>
    <t>betaris cream</t>
  </si>
  <si>
    <t xml:space="preserve">betaris cream krim clobetasol propionate </t>
  </si>
  <si>
    <t>Cutisorb LA 10 cm X 10 cm</t>
  </si>
  <si>
    <t>Rp9.200 - Rp14.700</t>
  </si>
  <si>
    <t>cutisorb la x</t>
  </si>
  <si>
    <t xml:space="preserve">cutisorb la x larutan povidoneiodine </t>
  </si>
  <si>
    <t>DBL9528902163B1</t>
  </si>
  <si>
    <t>Ranacid Forte 10 Kaplet</t>
  </si>
  <si>
    <t>Dus, 10 Strip @ 10 Kaplet Kunyah</t>
  </si>
  <si>
    <t>ranacid forte</t>
  </si>
  <si>
    <t xml:space="preserve">ranacid forte kaplet aluminium hydroxide </t>
  </si>
  <si>
    <t>DTL8800905637A1</t>
  </si>
  <si>
    <t>Bufakris Sirup 60 ml</t>
  </si>
  <si>
    <t>Rp6.700 - Rp12.700</t>
  </si>
  <si>
    <t>Dewasa: diminum 3 kali sehari, 1-2 sendok makan (15-30 mL). Anak-anak: diminum 2 kali sehari, Â½ sendok makan (7,5 mL).</t>
  </si>
  <si>
    <t>bufakris</t>
  </si>
  <si>
    <t xml:space="preserve">bufakris sirup theophylline ephedrine hydrochloride </t>
  </si>
  <si>
    <t>DTL0922720637A1</t>
  </si>
  <si>
    <t>Zidiar Sirup 60 ml</t>
  </si>
  <si>
    <t>Rp20.400 - Rp29.500</t>
  </si>
  <si>
    <t>zidiar</t>
  </si>
  <si>
    <t xml:space="preserve">zidiar sirup zinc sulfate monohydrate </t>
  </si>
  <si>
    <t>Cutimed Siltec 10 cm x 10 cm</t>
  </si>
  <si>
    <t>Rp138.200 - Rp151.200</t>
  </si>
  <si>
    <t>1 Piece 10 cm x 10 cm</t>
  </si>
  <si>
    <t>cutimed siltec x</t>
  </si>
  <si>
    <t xml:space="preserve">cutimed siltec x larutan povidoneiodine </t>
  </si>
  <si>
    <t>DKL1834613110A1</t>
  </si>
  <si>
    <t>Histrine Levo 10 Tablet</t>
  </si>
  <si>
    <t>Rp49.100 - Rp74.800</t>
  </si>
  <si>
    <t>levocetirizine hydrochloride</t>
  </si>
  <si>
    <t>histrine levo</t>
  </si>
  <si>
    <t xml:space="preserve">histrine levo tablet levocetirizine hydrochloride </t>
  </si>
  <si>
    <t>DKI1867600946A1</t>
  </si>
  <si>
    <t>Taflotan Eye Drop 2.5 ml</t>
  </si>
  <si>
    <t>Dus, botol @ 2.5 ml</t>
  </si>
  <si>
    <t>tafluprost</t>
  </si>
  <si>
    <t>taflotan eye drop</t>
  </si>
  <si>
    <t xml:space="preserve">taflotan eye drop tetes tafluprost </t>
  </si>
  <si>
    <t>QD072707441</t>
  </si>
  <si>
    <t>Afitson Extra Balsem 18 g</t>
  </si>
  <si>
    <t>Rp4.600 - Rp9.100</t>
  </si>
  <si>
    <t>Dus, Pot kaca @ 18 g</t>
  </si>
  <si>
    <t>balsam</t>
  </si>
  <si>
    <t>camphora</t>
  </si>
  <si>
    <t>afitson extra balsem</t>
  </si>
  <si>
    <t xml:space="preserve">afitson extra balsem balsam camphora </t>
  </si>
  <si>
    <t>GKL2131548617B1</t>
  </si>
  <si>
    <t>Febuxostat 40 mg 10 Tablet</t>
  </si>
  <si>
    <t>Rp43.400 - Rp49.800</t>
  </si>
  <si>
    <t>Diminum dengan atau tanpa makanan.</t>
  </si>
  <si>
    <t>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t>
  </si>
  <si>
    <t>INFORMASI OBAT INI HANYA UNTUK KALANGAN MEDIS. Hiperuresemia pada pasien dengan gout.</t>
  </si>
  <si>
    <t>febuxostat</t>
  </si>
  <si>
    <t>hiperuresemia pasien gout</t>
  </si>
  <si>
    <t>febuxostat tablet hiperuresemia pasien gout</t>
  </si>
  <si>
    <t>GTL8912511510A2</t>
  </si>
  <si>
    <t>Pyrantel 125 mg 4 Kapsul</t>
  </si>
  <si>
    <t>Rp1.300 - Rp3.600</t>
  </si>
  <si>
    <t>Anak &lt; 5 th : 1 tablet / hari</t>
  </si>
  <si>
    <t>DKL1006414117A1</t>
  </si>
  <si>
    <t>Neuro ATP 10 Tablet</t>
  </si>
  <si>
    <t>Rp17.500 - Rp30.300</t>
  </si>
  <si>
    <t>adenosine triphosphate</t>
  </si>
  <si>
    <t>neuro atp</t>
  </si>
  <si>
    <t xml:space="preserve">neuro atp tablet adenosine triphosphate </t>
  </si>
  <si>
    <t>paracetamol caffeine</t>
  </si>
  <si>
    <t xml:space="preserve">paramex sk kaplet paracetamol caffeine </t>
  </si>
  <si>
    <t>TR092303941</t>
  </si>
  <si>
    <t>Sido Muncul Remago 30 Kapsul</t>
  </si>
  <si>
    <t>REMAGO</t>
  </si>
  <si>
    <t>Rp67.000 - Rp89.600</t>
  </si>
  <si>
    <t>remago</t>
  </si>
  <si>
    <t>sido muncul remago</t>
  </si>
  <si>
    <t xml:space="preserve">sido muncul remago kapsul remago </t>
  </si>
  <si>
    <t>DTL9207801904A1</t>
  </si>
  <si>
    <t>Hufagripp XS 10 Kaplet</t>
  </si>
  <si>
    <t>Dus, 10 catch cover @ 1 strip</t>
  </si>
  <si>
    <t>hufagripp xs</t>
  </si>
  <si>
    <t xml:space="preserve">hufagripp xs kaplet chlorphenamine maleate </t>
  </si>
  <si>
    <t>TR202638751</t>
  </si>
  <si>
    <t>Mucopan Sirup 60 ml</t>
  </si>
  <si>
    <t>MUCOPAN</t>
  </si>
  <si>
    <t>Rp27.900 - Rp28.200</t>
  </si>
  <si>
    <t>Meredakan batuk berdahak.</t>
  </si>
  <si>
    <t>mucopan</t>
  </si>
  <si>
    <t>meredakan batuk berdahak</t>
  </si>
  <si>
    <t>mucopan sirup meredakan batuk berdahak</t>
  </si>
  <si>
    <t>DTL0208102604A1</t>
  </si>
  <si>
    <t>Ultraflu Extra 4 Tablet</t>
  </si>
  <si>
    <t>ultraflu extra</t>
  </si>
  <si>
    <t xml:space="preserve">ultraflu extra kaplet chlorphenamine maleate </t>
  </si>
  <si>
    <t>DTL9308702737A1</t>
  </si>
  <si>
    <t>Hufadryl Expectorant Sirup 60 ml</t>
  </si>
  <si>
    <t>Rp5.000 - Rp5.500</t>
  </si>
  <si>
    <t>hufadryl expectorant</t>
  </si>
  <si>
    <t xml:space="preserve">hufadryl expectorant sirup ammonium chloride </t>
  </si>
  <si>
    <t>DKL8505001710A1</t>
  </si>
  <si>
    <t>Ulsidex 500 mg 10 Tablet</t>
  </si>
  <si>
    <t>Rp16.700 - Rp17.900</t>
  </si>
  <si>
    <t>PENGGUNAAN OBAT INI HARUS SESUAI DENGAN PETUNJUK DOKTER. Dewasa : 1 g 3-4 kali/hari selama 8 minggu</t>
  </si>
  <si>
    <t>INFORMASI OBAT INI HANYA UNTUK KALANGAN MEDIS. Tukak peptik</t>
  </si>
  <si>
    <t>Obat Wajib Apotek, Obat ini dapat dibeli dan diserahkan apoteker tanpa resep dengan maksimum 2 Strip. Pembelian melebihi batas ini WAJIB RESEP DOKTER. Gagal fungsi ginjal Kategori Kehamilan : B</t>
  </si>
  <si>
    <t>ulsidex tablet sucralfate tukak peptik</t>
  </si>
  <si>
    <t>sodium lauryl sulfate glycerol</t>
  </si>
  <si>
    <t xml:space="preserve">triolax suppositoria sodium lauryl sulfate glycerol </t>
  </si>
  <si>
    <t>GKL1431535417A1</t>
  </si>
  <si>
    <t>Levocetirizine 5 mg 10 Tablet</t>
  </si>
  <si>
    <t>Rp53.800 - Rp56.900</t>
  </si>
  <si>
    <t>Telan utuh bersama air. Dapat diminum sesudah atau sebelum makan.</t>
  </si>
  <si>
    <t>PENGGUNAAN OBAT INI HARUS SESUAI DENGAN PETUNJUK DOKTER. Dewasa: 2.5-5 mg, 1 kali sehari. Anak usia 6 bulan-5 tahun: 1.25 mg, 1 kali sehari. Anak usia 6-11 tahun: 2.5 mg, 1 kali sehari pada malam hari.</t>
  </si>
  <si>
    <t>INFORMASI OBAT INI HANYA UNTUK KALANGAN MEDIS. Meredakan alergi.</t>
  </si>
  <si>
    <t>Dus, 1 Strip @ 10 Tablet Salut Selaput</t>
  </si>
  <si>
    <t>Hipersensitif, pasien haemodialisis</t>
  </si>
  <si>
    <t>HARUS DENGAN RESEP DOKTER. Riwayat gangguan herediter intoleransi galaktosa, defisiensi Lapp-lactase atau malabsorpsi glukosa-galaktosa,ibu hamil atau menyusui</t>
  </si>
  <si>
    <t>meredakan alergi</t>
  </si>
  <si>
    <t>levocetirizine</t>
  </si>
  <si>
    <t>levocetirizine tablet levocetirizine hydrochloride meredakan alergi</t>
  </si>
  <si>
    <t>lactulose solution</t>
  </si>
  <si>
    <t>pralax sirup lactulose solution konstipasi kronik</t>
  </si>
  <si>
    <t>DKI9582100106A1</t>
  </si>
  <si>
    <t>Isoptin SR 50 Kaplet</t>
  </si>
  <si>
    <t>Rp656.300 - Rp1.051.500</t>
  </si>
  <si>
    <t>Bersama makanan atau segera sesudah makan</t>
  </si>
  <si>
    <t>PENGGUNAAN OBAT INI HARUS SESUAI DENGAN PETUNJUK DOKTER. 1 kaplet pada pagi hari. Penurunan tekanan darah bertahap : 0.5 kaplet pada pagi hari, setelah 2 minggu dapat ditingkatkan menjadi 2 kaplet perhari dalam dosis terbagi.</t>
  </si>
  <si>
    <t>Gangguan konduksi berat (blok AV derajat 2 dan 3, blok SA), hipersensitif terhadap verapamil HCl, hipotensi (TD sistolik &lt; 90 mmHg) atau syok kardiogenik, infark miokard akut terkomplikasi (bradikardi, hipotensi, gagal vertikel kiri), sindroma sick sinus</t>
  </si>
  <si>
    <t>HARUS DENGAN RESEP DOKTER. Hamil, laktasi, blok AV derajat 1, gagal jantung, gangguan ginjal, gangguan transmisineuromuskuler, dapat mengganggu kemampuan mengendarai mesin.</t>
  </si>
  <si>
    <t>verapamil hydrochloride</t>
  </si>
  <si>
    <t>isoptin sr</t>
  </si>
  <si>
    <t>isoptin sr kaplet verapamil hydrochloride hipertensi</t>
  </si>
  <si>
    <t>QD173715301</t>
  </si>
  <si>
    <t>Salep Kulit Kuning Kembang Bulan 7 g</t>
  </si>
  <si>
    <t>Rp4.500 - Rp7.900</t>
  </si>
  <si>
    <t>Dus, Pot @ 7 gram</t>
  </si>
  <si>
    <t>kulit kuning kembang bulan</t>
  </si>
  <si>
    <t xml:space="preserve">kulit kuning kembang bulan salep  menthol </t>
  </si>
  <si>
    <t>TR132474581</t>
  </si>
  <si>
    <t>Sinargi Astramuno 300 mg 60 Pil</t>
  </si>
  <si>
    <t>SINARGI ASTRAMUNO</t>
  </si>
  <si>
    <t>Rp382.500 - Rp500.600</t>
  </si>
  <si>
    <t>DIminum dengan air hangat</t>
  </si>
  <si>
    <t>2 kali sehari 4 pil</t>
  </si>
  <si>
    <t>Dus, Botol @ 60 Pil</t>
  </si>
  <si>
    <t>sinargi astramuno</t>
  </si>
  <si>
    <t>sinargi astramuno pil membantu memelihara kesehatan</t>
  </si>
  <si>
    <t>DKL0809217904A1</t>
  </si>
  <si>
    <t>Diastrix 2 mg 10 Tablet</t>
  </si>
  <si>
    <t>Rp1.800 - Rp4.100</t>
  </si>
  <si>
    <t>untuk pengobatan diare</t>
  </si>
  <si>
    <t>pengobatan diare</t>
  </si>
  <si>
    <t>diastrix</t>
  </si>
  <si>
    <t>diastrix kaplet loperamide hydrochloride pengobatan diare</t>
  </si>
  <si>
    <t>QD133611541</t>
  </si>
  <si>
    <t>Freshcare Teens Bubble Gum</t>
  </si>
  <si>
    <t>Rp11.600 - Rp19.100</t>
  </si>
  <si>
    <t>freshcare teens bubble gum</t>
  </si>
  <si>
    <t xml:space="preserve">freshcare teens bubble gum roll camphor </t>
  </si>
  <si>
    <t>levocetirizine dihydrochloride</t>
  </si>
  <si>
    <t>levocetirizine tablet levocetirizine dihydrochloride meredakan alergi</t>
  </si>
  <si>
    <t>QD111610231</t>
  </si>
  <si>
    <t>MIPI Roll On 10 ml</t>
  </si>
  <si>
    <t>Rp17.800 - Rp34.300</t>
  </si>
  <si>
    <t>Roll on 10 ml</t>
  </si>
  <si>
    <t>cajuput oil</t>
  </si>
  <si>
    <t>mipi roll on</t>
  </si>
  <si>
    <t xml:space="preserve">mipi roll on roll cajuput oil </t>
  </si>
  <si>
    <t>TR182522221</t>
  </si>
  <si>
    <t>Vedium 10 Kaplet</t>
  </si>
  <si>
    <t>VEDIUM</t>
  </si>
  <si>
    <t>Rp70.400 - Rp79.800</t>
  </si>
  <si>
    <t>2 kali sehari 1 kaplet.</t>
  </si>
  <si>
    <t>Membantu meringankan gejala wasir</t>
  </si>
  <si>
    <t>Dus, 3 Strip @ 10 Kaplet</t>
  </si>
  <si>
    <t>Laktasi</t>
  </si>
  <si>
    <t>vedium</t>
  </si>
  <si>
    <t>membantu meringankan gejala wasir</t>
  </si>
  <si>
    <t>vedium kaplet membantu meringankan gejala wasir</t>
  </si>
  <si>
    <t>QD111610111</t>
  </si>
  <si>
    <t>MIPI Roll On Jasmine 10 ml</t>
  </si>
  <si>
    <t>Rp21.500 - Rp33.800</t>
  </si>
  <si>
    <t>mipi roll on jasmine</t>
  </si>
  <si>
    <t xml:space="preserve">mipi roll on jasmine roll camphor </t>
  </si>
  <si>
    <t>DKL0323406004A1</t>
  </si>
  <si>
    <t>Mexon 10 Tablet</t>
  </si>
  <si>
    <t>Rp11.800 - Rp12.100</t>
  </si>
  <si>
    <t>Obat diminum sesudah makan</t>
  </si>
  <si>
    <t>PENGGUNAAN OBAT INI HARUS SESUAI DENGAN PETUNJUK DOKTER. Dewasa dan anak &gt;12 tahun: dosis awal 1 tablet setiap 4-6 jam sehari sesudah makan atau sebelum tidur</t>
  </si>
  <si>
    <t>INFORMASI OBAT INI HANYA UNTUK KALANGAN MEDIS. Alergi yang memerlukan terapi dengan kostikosteroid</t>
  </si>
  <si>
    <t>Hipersensitif, bayi baru lahir dan prematur, infeksi jamur sistemik, inhibitor MAO, asma, ibu menyusui</t>
  </si>
  <si>
    <t>HARUS DENGAN RESEP DOKTER. Dapat menyebabkan kantuk. Hindari mengemudi dan menjalankan mesin selama konsumsi obat ini. Hati-hati penggunaan pada pasien hipotiroidisme, sirosis hepatis, tuberkulosis. Hati-hati bila digunakan pada penderita gagal jantung, diabetes mellitus, herpes simplex pada mata, miastenia gravis, tukak lambung, gastritis/esofagitis, pasien dengan riwayat ulceratif kolitis. Konsultasikan terlebih dahulu ke dokter sebelum penggunaan obat ini pada ibu yang sedang menyusui. Kategori Kehamilan Dexamethasone : Kategori C: Mungkin berisiko. Obat digunakan dengan hati-hati apabila besarnya manfaat yang diperoleh melebihi besarnya risiko terhadap janin. Penelitian pada hewan uji menunjukkan risiko terhadap janin dan belum terdapat penelitian langsung terhadap wanita hamil.</t>
  </si>
  <si>
    <t>dexamethasone</t>
  </si>
  <si>
    <t>alergi terapi kostikosteroid</t>
  </si>
  <si>
    <t>mexon</t>
  </si>
  <si>
    <t>mexon kaplet dexamethasone alergi terapi kostikosteroid</t>
  </si>
  <si>
    <t>QD103609151</t>
  </si>
  <si>
    <t>Minyak Obat Cap Dewi Tunjong 8 ml</t>
  </si>
  <si>
    <t>Rp15.000 - Rp25.300</t>
  </si>
  <si>
    <t>Box, Botol @ 8 ml</t>
  </si>
  <si>
    <t>obat cap dewi tunjong</t>
  </si>
  <si>
    <t xml:space="preserve">obat cap dewi tunjong minyak camphor </t>
  </si>
  <si>
    <t>QD123610791</t>
  </si>
  <si>
    <t>Freshcare Teens Passion Fruit 10 ml</t>
  </si>
  <si>
    <t>Rp11.500 - Rp16.900</t>
  </si>
  <si>
    <t>freshcare teens passion fruit</t>
  </si>
  <si>
    <t xml:space="preserve">freshcare teens passion fruit roll camphor </t>
  </si>
  <si>
    <t>DTL1126009704A1</t>
  </si>
  <si>
    <t>Dehifenin Expectorant 10 Tbalet</t>
  </si>
  <si>
    <t>Rp8.000 - Rp8.100</t>
  </si>
  <si>
    <t>Dus, 10 amplop @ 1 strip @ 10 kaplet</t>
  </si>
  <si>
    <t>dehifenin expectorant tbalet</t>
  </si>
  <si>
    <t xml:space="preserve">dehifenin expectorant tbalet kaplet dextromethorphan hydrobromide </t>
  </si>
  <si>
    <t>Minyak Obat Cap Dewi Tunjong 40 ml</t>
  </si>
  <si>
    <t>Rp33.800 - Rp59.100</t>
  </si>
  <si>
    <t>Botol @ 40 ml</t>
  </si>
  <si>
    <t>QD193601631E</t>
  </si>
  <si>
    <t>Freshcare Teens Happy Cherry</t>
  </si>
  <si>
    <t>Rp12.400 - Rp19.000</t>
  </si>
  <si>
    <t>freshcare teens happy cherry</t>
  </si>
  <si>
    <t xml:space="preserve">freshcare teens happy cherry roll  menthol </t>
  </si>
  <si>
    <t>TR062363971</t>
  </si>
  <si>
    <t>Borobudur Gotu K 100 Kapsul</t>
  </si>
  <si>
    <t>GOTU - K</t>
  </si>
  <si>
    <t>Rp78.600 - Rp118.300</t>
  </si>
  <si>
    <t>Botol @ 100 Kapsul</t>
  </si>
  <si>
    <t>gotu k</t>
  </si>
  <si>
    <t>borobudur gotu k</t>
  </si>
  <si>
    <t xml:space="preserve">borobudur gotu k kapsul gotu k </t>
  </si>
  <si>
    <t>DTL9504210837A1</t>
  </si>
  <si>
    <t>Crofed Sirup 60 ml</t>
  </si>
  <si>
    <t>Rp20.300 - Rp27.000</t>
  </si>
  <si>
    <t>Dewasa dan anak lebih dari 12 tahun : 2 sendok teh (10 ml) 3 kali sehari. Anak 6-12 tahun :1 sendok teh (5 ml) 3 kali sehari. Anak 2-6 tahun : 0.5 sdt (2.5 ml) 3 kali sehari</t>
  </si>
  <si>
    <t>pseudoephedrine hydrochloride triprolidine hydrochloride</t>
  </si>
  <si>
    <t>crofed</t>
  </si>
  <si>
    <t xml:space="preserve">crofed sirup pseudoephedrine hydrochloride triprolidine hydrochloride </t>
  </si>
  <si>
    <t>DKL2022258241A1</t>
  </si>
  <si>
    <t>Sanbe-Hair 60 ml</t>
  </si>
  <si>
    <t>â€¢ Ambil cairan ke dalam dropper (alat tetes) sampai tanda garis 1ml â€¢ Tuang isi dropper ke area tengah kulit kepala yang mengalami kebotakan dan sebarkan merata dengan ujung jari â€¢ Penggunaan 2 kali sehari selama 4 bulan atau lebih mungkin diperlukan agar hasil dapat terlihat â€¢ Total dosis harian tidak boleh melebihi 2ml</t>
  </si>
  <si>
    <t>PENGGUNAAN OBAT INI HARUS SESUAI DENGAN PETUNJUK DOKTER. Oleskan 1 mL 2 kali sehari</t>
  </si>
  <si>
    <t>INFORMASI OBAT INI HANYA UNTUK KALANGAN MEDIS. Alopesia androgenetika</t>
  </si>
  <si>
    <t>finasteride minoxidil</t>
  </si>
  <si>
    <t>alopesia androgenetika</t>
  </si>
  <si>
    <t>sanbehair</t>
  </si>
  <si>
    <t>sanbehair larutan finasteride minoxidil alopesia androgenetika</t>
  </si>
  <si>
    <t>DBL0709301337A1</t>
  </si>
  <si>
    <t>OBH Ika 200 ml</t>
  </si>
  <si>
    <t>Rp23.400 - Rp27.200</t>
  </si>
  <si>
    <t>Dewasa : 3-4 x sehari 1 sendok makan (15 ml). Anak : 3-4 x sehari 1 sendok teh (5 ml).</t>
  </si>
  <si>
    <t>Batuk berdahak.</t>
  </si>
  <si>
    <t>Botol @200 ml</t>
  </si>
  <si>
    <t>Penderita yang hipersensitif terhadap salah satu komponen obat. Gangguan fungsi ginjal atau hati berat.</t>
  </si>
  <si>
    <t>Penderita gangguan fungsi paru, edema jantung, asidosis. Gangguan fungsi ginjal dan hati ringan-sedang. Hamil.</t>
  </si>
  <si>
    <t>alcohol</t>
  </si>
  <si>
    <t>batuk berdahak</t>
  </si>
  <si>
    <t>obh ika</t>
  </si>
  <si>
    <t>obh ika sirup alcohol batuk berdahak</t>
  </si>
  <si>
    <t>DKL0203808546A1</t>
  </si>
  <si>
    <t>Cendo Tonor 0.5% Minidose 0.6 ml</t>
  </si>
  <si>
    <t>Rp31.100 - Rp54.300</t>
  </si>
  <si>
    <t>Catch cover, 5 Botol @ 0.6 ml</t>
  </si>
  <si>
    <t>betaxolol hydrochloride</t>
  </si>
  <si>
    <t>cendo tonor minidose</t>
  </si>
  <si>
    <t xml:space="preserve">cendo tonor minidose tetes betaxolol hydrochloride </t>
  </si>
  <si>
    <t>Sutra Lubricant 50 ml</t>
  </si>
  <si>
    <t>Rp21.200 - Rp22.300</t>
  </si>
  <si>
    <t>Tuangkan SUTRA LUBRICANT secukupnya pada jari tangan, Untuk pemakaian pada organ intim wanita, oleskan Untuk pemakaian pada organ intim pria, oleskan Untuk pemakaian jika menggunakan kondom, oleskan pada bagian luar kondom yang sudah terpasang pada organ intim pria</t>
  </si>
  <si>
    <t>Sesuai kebutuhan. Digunakan saat berhubungan intim</t>
  </si>
  <si>
    <t>Pelumas</t>
  </si>
  <si>
    <t>Botol @ 50 ml</t>
  </si>
  <si>
    <t>Jika terjadi iritasi atau alergi segera hentikan pemakaian. Jauhkan dari jangkauan anak-anak</t>
  </si>
  <si>
    <t>pelumas</t>
  </si>
  <si>
    <t>sutra lubricant</t>
  </si>
  <si>
    <t>sutra lubricant tablet sildenafil citrate pelumas</t>
  </si>
  <si>
    <t>DKL1103815687A1</t>
  </si>
  <si>
    <t>Cendo Pithalmic Gel Mata 5 g</t>
  </si>
  <si>
    <t>Rp72.600 - Rp95.300</t>
  </si>
  <si>
    <t>Tube @ 5 G</t>
  </si>
  <si>
    <t>fusidic acid</t>
  </si>
  <si>
    <t>cendo pithalmic mata</t>
  </si>
  <si>
    <t xml:space="preserve">cendo pithalmic mata gel fusidic acid </t>
  </si>
  <si>
    <t>DKI1953000309A1</t>
  </si>
  <si>
    <t>Vardipin 5/160 mg 14 Tablet</t>
  </si>
  <si>
    <t>Dapat diikonsumsi bersamaan dengan makanan atau tidak</t>
  </si>
  <si>
    <t>PENGGUNAAN OBAT INI HARUS SESUAI DENGAN PETUNJUK DOKTER. 1 tablet sehari</t>
  </si>
  <si>
    <t>Dus, 2 Blister @ 14 kaplet salut selaput</t>
  </si>
  <si>
    <t>Angina tidak stabil.</t>
  </si>
  <si>
    <t>HARUS DENGAN RESEP DOKTER. Ibu hamil dan menyusui, anak lanjut usia. Katagori Kehamilan : Katagori C: Mungkin berisiko. Obat digunakan dengan hati-hati apabila besarnya manfaat yang diperoleh melebihi besarnya risiko terhadap janin. Penelitian pada hewan uji menunjukkan risiko terhadap janin dan belum terdapat penelitian langsung terhadap wanita hamil.Kategori D: Terbukti berisiko terhadap janin. Meski demikian, obat masih dapat digunakan jika obat diperlukan untuk mengatasi keadaan yang mengancam jiwa, atau penyakit serius, dimana obat yang lebih aman tidak dapat digunakan atau tidak efektif.</t>
  </si>
  <si>
    <t>valsartan amlodipine besilate</t>
  </si>
  <si>
    <t>vardipin</t>
  </si>
  <si>
    <t>vardipin kaplet valsartan amlodipine besilate hipertensi</t>
  </si>
  <si>
    <t>DKL1235307937A1</t>
  </si>
  <si>
    <t>Zemindo Rasa Coklat Vanilla Sirup 60 ml</t>
  </si>
  <si>
    <t>Rp44.000 - Rp53.400</t>
  </si>
  <si>
    <t>zemindo rasa coklat vanilla</t>
  </si>
  <si>
    <t xml:space="preserve">zemindo rasa coklat vanilla sirup guaifenesin </t>
  </si>
  <si>
    <t>ERVY</t>
  </si>
  <si>
    <t>ervy</t>
  </si>
  <si>
    <t>mucopan sirup ervy meredakan batuk berdahak</t>
  </si>
  <si>
    <t>TR032622491</t>
  </si>
  <si>
    <t>Pectum Sirup 120 ml</t>
  </si>
  <si>
    <t>PECTUM</t>
  </si>
  <si>
    <t>Rp39.800 - Rp65.800</t>
  </si>
  <si>
    <t>Dewasa : 3 kali sehari 1 sendok makan, Anak : 3 kali sehari 1 sendok teh</t>
  </si>
  <si>
    <t>Expektoran dan Antitusif untuk meredakan batuk</t>
  </si>
  <si>
    <t>Hamil &amp; laktasi. Gangguan GI, hipertensi.</t>
  </si>
  <si>
    <t>Hamil dan menyusui, gangguan GI dan hipertensi</t>
  </si>
  <si>
    <t>pectum</t>
  </si>
  <si>
    <t>expektoran antitusif meredakan batuk</t>
  </si>
  <si>
    <t>pectum sirup expektoran antitusif meredakan batuk</t>
  </si>
  <si>
    <t>DKL9522216230A1</t>
  </si>
  <si>
    <t>Pibaksin 2% Salep 10 g</t>
  </si>
  <si>
    <t>Rp56.300 - Rp60.500</t>
  </si>
  <si>
    <t>Dioleskan pada kulit yang terluka</t>
  </si>
  <si>
    <t>PENGGUNAAN OBAT INI HARUS SESUAI DENGAN PETUNJUK DOKTER. 3 x sehari selama 10 hari</t>
  </si>
  <si>
    <t>Impetigo, folikulitis, furunkulosis</t>
  </si>
  <si>
    <t>HARUS DENGAN RESEP DOKTER. Gangguan ginjal, hamil, laktasi. Hindari kontak dengan mata</t>
  </si>
  <si>
    <t>mupirocin</t>
  </si>
  <si>
    <t>impetigo , folikulitis , furunkulosis</t>
  </si>
  <si>
    <t>pibaksin</t>
  </si>
  <si>
    <t>pibaksin salep mupirocin impetigo  folikulitis  furunkulosis</t>
  </si>
  <si>
    <t>DKL9114803629A1</t>
  </si>
  <si>
    <t>Dermabiotik Cream 10 g</t>
  </si>
  <si>
    <t>Rp13.900 - Rp18.700</t>
  </si>
  <si>
    <t>PENGGUNAAN OBAT INI HARUS SESUAI DENGAN PETUNJUK DOKTER. 3-4 x sehari oleskan</t>
  </si>
  <si>
    <t>Antiinfeksi pada kulit</t>
  </si>
  <si>
    <t>gentamicin</t>
  </si>
  <si>
    <t>antiinfeksi kulit</t>
  </si>
  <si>
    <t>dermabiotik cream</t>
  </si>
  <si>
    <t>dermabiotik cream krim gentamicin antiinfeksi kulit</t>
  </si>
  <si>
    <t>bromhexine hydrochloride guaifenesin</t>
  </si>
  <si>
    <t xml:space="preserve">bromifar plus sirup bromhexine hydrochloride guaifenesin </t>
  </si>
  <si>
    <t>Sutra Tisu Plus 3 Sachet</t>
  </si>
  <si>
    <t>Dus @ 3 Sachet</t>
  </si>
  <si>
    <t>Untuk pemakaian luar saja. Jika terjadi iritasi atau alergi segera hentikan pemakaian. Jauhkan dari jangkauan anak-anak</t>
  </si>
  <si>
    <t>sutra tisu plus</t>
  </si>
  <si>
    <t xml:space="preserve">sutra tisu plus tablet sildenafil citrate </t>
  </si>
  <si>
    <t>Pectum Sirup 60 ml</t>
  </si>
  <si>
    <t>Rp26.000 - Rp44.200</t>
  </si>
  <si>
    <t>Sirup 60 ml X 1 Botol</t>
  </si>
  <si>
    <t>FF142300591</t>
  </si>
  <si>
    <t>Tensigard 10 Kapsul</t>
  </si>
  <si>
    <t>TENSIGARD</t>
  </si>
  <si>
    <t>Rp18.500 - Rp36.000</t>
  </si>
  <si>
    <t>3 x sehari 1 kapsul, pemeliharaan : 2 x sehari 1 kapsul</t>
  </si>
  <si>
    <t>Menurunkan dan menstabilkan tekanan darah</t>
  </si>
  <si>
    <t>hipersensitiv</t>
  </si>
  <si>
    <t>gunakan tidak melebihi dosis yang dianjurkan, hentikan pemakaian jika timbul reaksi alergi</t>
  </si>
  <si>
    <t>tensigard</t>
  </si>
  <si>
    <t>menurunkan menstabilkan tekanan darah</t>
  </si>
  <si>
    <t>tensigard kapsul menurunkan menstabilkan teka darah</t>
  </si>
  <si>
    <t>DKL2035805728A1</t>
  </si>
  <si>
    <t>Pharmalene B Gel 10 g</t>
  </si>
  <si>
    <t>Rp107.500 - Rp109.700</t>
  </si>
  <si>
    <t>Di oleskan</t>
  </si>
  <si>
    <t>Dus, tube @ 30 gram</t>
  </si>
  <si>
    <t>adapalene benzoyl peroxide</t>
  </si>
  <si>
    <t>pharmalene b</t>
  </si>
  <si>
    <t xml:space="preserve">pharmalene b gel adapalene benzoyl peroxide </t>
  </si>
  <si>
    <t>DKL1635805528A1</t>
  </si>
  <si>
    <t>Pharmalene Gel 10 g</t>
  </si>
  <si>
    <t>Rp62.100 - Rp63.400</t>
  </si>
  <si>
    <t>Oleskan pada jerawat pada malam hari setelah dibersihkan.</t>
  </si>
  <si>
    <t>PENGGUNAAN OBAT INI HARUS SESUAI DENGAN PETUNJUK DOKTER. 1 x sehari</t>
  </si>
  <si>
    <t>INFORMASI OBAT INI HANYA UNTUK KALANGAN MEDIS. Acne vulgaris ringan sampai sedang.</t>
  </si>
  <si>
    <t>Hipersensitivitas</t>
  </si>
  <si>
    <t>HARUS DENGAN RESEP DOKTER. Hentikan penggunaan jika terjadi hipersensitivitas atau iritasi kimiawi. Gunakan kosmetik non-comedogenic &amp; non-astringent. Hindari pelembab yg mengandung asam a-hidroksi atau glikolat. Kurangi frekuensi aplikasi atau hentikan penggunaan, tergantung pada tingkat keparahan efek samping. Minimalkan paparan sinar matahari, termasuk sinar matahari selama perawatan. Pasien yg mengalami paparan sinar matahari tingkat tinggi &amp; sensitif terhadap matahari. Gunakan produk tabir surya &amp; pakaian pelindung di area yg dirawat. Cuaca ekstrim seperti angin atau dingin dpt mengganggu pasien. Hindari kontak dengan mata, bibir, sudut hidung &amp; selaput lendir. Paparan mata dapat menyebabkan reaksi seperti pembengkakan, konjungtivitis &amp; iritasi mata. Tidak untuk digunakan pada luka, lecet, eksim, atau kulit yg terbakar matahari, juga tdk boleh digunakan pada pasien dengan jerawat parah, atau jerawat yg melibatkan area tubuh yg luas. Pencukuran bulu lilin tdk boleh dilakukan krn potensi erosi kulit. Tidak untuk digunakan pada wanita usia subur &amp; selama kehamilan, Ibu menyusui dan Anak &lt;12 tahun. Belum terdapat data keamanan terkait penggunaan obat ini pada wanita hamil dan/atau menyusui. Konsultasikan kepada dokter apabila Anda sedang hamil dan/atau menyusui.</t>
  </si>
  <si>
    <t>adapalene</t>
  </si>
  <si>
    <t>acne vulgaris ringan</t>
  </si>
  <si>
    <t>pharmalene</t>
  </si>
  <si>
    <t>pharmalene gel adapalene acne vulgaris ringan</t>
  </si>
  <si>
    <t>TR183622691</t>
  </si>
  <si>
    <t>Madu Nurutenz 280 g</t>
  </si>
  <si>
    <t>MADU NURUTENZ</t>
  </si>
  <si>
    <t>Rp188.800 - Rp225.500</t>
  </si>
  <si>
    <t>3 x sehari 1 sendok teh.</t>
  </si>
  <si>
    <t>Meringankan gejala hipertensi.</t>
  </si>
  <si>
    <t>Botol @ 280 g</t>
  </si>
  <si>
    <t>madu nurutenz</t>
  </si>
  <si>
    <t>meringankan gejala hipertensi</t>
  </si>
  <si>
    <t>madu nurutenz madu meringankan gejala hipertensi</t>
  </si>
  <si>
    <t>OBH Ika 100 ml</t>
  </si>
  <si>
    <t>Rp22.100 - Rp24.400</t>
  </si>
  <si>
    <t>Berikan setelah makan</t>
  </si>
  <si>
    <t>Dewasa : 3-4 x sehari 1 sendok makan. Anak : 3-4 x sehari 1 sendok teh.</t>
  </si>
  <si>
    <t>Batuk berdahak</t>
  </si>
  <si>
    <t>Penderita yang hipersensitif terhadap salah satu komponen obat.</t>
  </si>
  <si>
    <t>Jangan digunakan pada pasien yang hipersensitif terhadap komposisi obat</t>
  </si>
  <si>
    <t>DKL0634604228A1</t>
  </si>
  <si>
    <t>Evalen Gel 10 g</t>
  </si>
  <si>
    <t>Rp52.500 - Rp65.000</t>
  </si>
  <si>
    <t>INFORMASI OBAT INI HANYA UNTUK KALANGAN MEDIS. Oleskan 1 x sehari pada jerawat, malam hari sebelum tidur dan sesudah mencuci muka</t>
  </si>
  <si>
    <t>Akne vulgaris/jerawat</t>
  </si>
  <si>
    <t>HARUS DENGAN RESEP DOKTER. Kurangi pemaparan terhadap sinar matahari, gunakan tabir surya dan pakaian pelindung</t>
  </si>
  <si>
    <t>QD172615021</t>
  </si>
  <si>
    <t>Cap Gajah SRP Indra 10 ml</t>
  </si>
  <si>
    <t>Rp3.400 - Rp5.200</t>
  </si>
  <si>
    <t>Botol Kaca @ 10 ml</t>
  </si>
  <si>
    <t>natrium tetraborate</t>
  </si>
  <si>
    <t>cap gajah srp indra</t>
  </si>
  <si>
    <t xml:space="preserve">cap gajah srp indra  natrium tetraborate </t>
  </si>
  <si>
    <t>TR082378191</t>
  </si>
  <si>
    <t>Ambeven 10 Kapsul</t>
  </si>
  <si>
    <t>AMBEVEN</t>
  </si>
  <si>
    <t>Rp21.100 - Rp24.200</t>
  </si>
  <si>
    <t>2 kapsul, 3 kali per hari.</t>
  </si>
  <si>
    <t>Membantu meringankan gejala wasir.</t>
  </si>
  <si>
    <t>Dus, 10 Blister @ 10 Kapsul</t>
  </si>
  <si>
    <t>Simpan di bawah suhu 30 C, tempat kering dan terlindung dari sinar matahari langsung</t>
  </si>
  <si>
    <t>ambeven</t>
  </si>
  <si>
    <t>ambeven kapsul membantu meringankan gejala wasir</t>
  </si>
  <si>
    <t>TR172300811</t>
  </si>
  <si>
    <t>Litoxa 30 Kapsul</t>
  </si>
  <si>
    <t>LITOXA</t>
  </si>
  <si>
    <t>Dikonsumsi sebelum tidur malam</t>
  </si>
  <si>
    <t>Dewasa: sehari 1 kali 1-2 kapsul (malam hari)</t>
  </si>
  <si>
    <t>Membantu melancarkan buang air besar</t>
  </si>
  <si>
    <t>litoxa</t>
  </si>
  <si>
    <t>membantu melancarkan buang air</t>
  </si>
  <si>
    <t>litoxa kapsul membantu melancarkan buang air</t>
  </si>
  <si>
    <t>QD172615441</t>
  </si>
  <si>
    <t>Cap Gajah Salicyl SP 20 ml</t>
  </si>
  <si>
    <t>Rp4.600 - Rp5.700</t>
  </si>
  <si>
    <t>Botol @ 20 ml</t>
  </si>
  <si>
    <t>cap gajah salicyl sp</t>
  </si>
  <si>
    <t xml:space="preserve">cap gajah salicyl sp  asam salisilat </t>
  </si>
  <si>
    <t>DKL0015614929A1</t>
  </si>
  <si>
    <t>Tuderm N Cream 5 g</t>
  </si>
  <si>
    <t>Rp9.400 - Rp15.700</t>
  </si>
  <si>
    <t>tuderm n cream</t>
  </si>
  <si>
    <t xml:space="preserve">tuderm n cream krim betamethasone valerate </t>
  </si>
  <si>
    <t>DKL7217619648A1</t>
  </si>
  <si>
    <t>Colme Ear Drops 8 ml</t>
  </si>
  <si>
    <t>Rp40.400 - Rp66.400</t>
  </si>
  <si>
    <t>Di teteskan pada telinga yang sakit</t>
  </si>
  <si>
    <t>PENGGUNAAN OBAT INI HARUS SESUAI DENGAN PETUNJUK DOKTER. 1-2 tetes 3-4 x sehari</t>
  </si>
  <si>
    <t>Radang telinga bagian luar &amp; tengah</t>
  </si>
  <si>
    <t>Dus, 1 Botol plastik @ 8 ml</t>
  </si>
  <si>
    <t>HARUS DENGAN RESEP DOKTER. Hati-hati jika ada perforasi membran timpani karena dapat menimbulkan ototoksisitas. Pemakaian jangka lama</t>
  </si>
  <si>
    <t>Colme Eye Drops 8 ml</t>
  </si>
  <si>
    <t>Rp32.400 - Rp70.700</t>
  </si>
  <si>
    <t>Teteskan ke dalam mata yang sakit.</t>
  </si>
  <si>
    <t>PENGGUNAAN OBAT INI HARUS SESUAI DENGAN PETUNJUK DOKTER. 4-6 kali sehari 2-3 tetes</t>
  </si>
  <si>
    <t>Infeksi mata</t>
  </si>
  <si>
    <t>Tetes Mata 0.5% X 8 ml X 1</t>
  </si>
  <si>
    <t>HARUS DENGAN RESEP DOKTER. Pertumbuhan berlebihan dari organisme yang tidak peka</t>
  </si>
  <si>
    <t>infeksi mata</t>
  </si>
  <si>
    <t>colme eye</t>
  </si>
  <si>
    <t>colme eye tetes chloramphenicol infeksi mata</t>
  </si>
  <si>
    <t>DKI1504000148A1</t>
  </si>
  <si>
    <t>Duoxal Ear Drop 10 ml</t>
  </si>
  <si>
    <t>Dus, 1 Botol @ 10 ml</t>
  </si>
  <si>
    <t>duoxal ear drop</t>
  </si>
  <si>
    <t xml:space="preserve">duoxal ear drop tetes ciprofloxacin hydrochloride </t>
  </si>
  <si>
    <t>TR202554361</t>
  </si>
  <si>
    <t>Elroid 10 Kaplet</t>
  </si>
  <si>
    <t>ELROID</t>
  </si>
  <si>
    <t>Rp52.800 - Rp76.600</t>
  </si>
  <si>
    <t>Sebaiknya diberikan bersama makanan.</t>
  </si>
  <si>
    <t>1-3 tablet perhari</t>
  </si>
  <si>
    <t>Meredakan gejala hemoroid &amp; varises.</t>
  </si>
  <si>
    <t>Dos Isi 3 Strip @ 10 Kaplet Salut Film</t>
  </si>
  <si>
    <t>Tidak dianjurkan untuk wanita hamil dan menysuui.</t>
  </si>
  <si>
    <t>elroid</t>
  </si>
  <si>
    <t>meredakan gejala hemoroid varises</t>
  </si>
  <si>
    <t>elroid kaplet meredakan gejala hemoroid varises</t>
  </si>
  <si>
    <t>carmellose sodium</t>
  </si>
  <si>
    <t xml:space="preserve">cendo cenfresh eye tetes carmellose sodium </t>
  </si>
  <si>
    <t>TR192524701</t>
  </si>
  <si>
    <t>Amvar 6 Kaplet</t>
  </si>
  <si>
    <t>AMVAR</t>
  </si>
  <si>
    <t>Rp54.300 - Rp79.100</t>
  </si>
  <si>
    <t>1-3 kaplet perhari</t>
  </si>
  <si>
    <t>Ibu menyusui sebaiknya berhati-hati menggunakan obat ini.</t>
  </si>
  <si>
    <t>amvar</t>
  </si>
  <si>
    <t>amvar kaplet membantu meringankan gejala wasir</t>
  </si>
  <si>
    <t>DTL0323406337A1</t>
  </si>
  <si>
    <t>Coparcetin Kid Cough 60 ml</t>
  </si>
  <si>
    <t>Rp7.500 - Rp18.000</t>
  </si>
  <si>
    <t>coparcetin kid cough</t>
  </si>
  <si>
    <t xml:space="preserve">coparcetin kid cough sirup chlorphenamine maleate </t>
  </si>
  <si>
    <t>QD131711351</t>
  </si>
  <si>
    <t>Salep 2-4 30 g</t>
  </si>
  <si>
    <t>Dioleskan 2 kali sehari pada kulit yang sakit</t>
  </si>
  <si>
    <t>Skabies, iritasi pada kulit</t>
  </si>
  <si>
    <t>Pot plastik @ 30 g</t>
  </si>
  <si>
    <t>salicylic acid</t>
  </si>
  <si>
    <t>skabies , iritasi kulit</t>
  </si>
  <si>
    <t xml:space="preserve"> salep salicylic acid skabies  iritasi kulit</t>
  </si>
  <si>
    <t>indapamide amlodipine besilate</t>
  </si>
  <si>
    <t>natexam tablet indapamide amlodipine besilate hipertensi</t>
  </si>
  <si>
    <t>DKI1890701717A1</t>
  </si>
  <si>
    <t>Olmetec 20 mg 10 Tablet</t>
  </si>
  <si>
    <t>Rp159.900 - Rp203.000</t>
  </si>
  <si>
    <t>PENGGUNAAN OBAT INI HARUS SESUAI DENGAN PETUNJUK DOKTER. Dewasa : awal 10 mg 1 kali/hari, dapat ditingkatkan sampai maksimal 40 mg/hari atau ditambahkan dengan hidrochlorotiazid.</t>
  </si>
  <si>
    <t>Hipertensi essensial.</t>
  </si>
  <si>
    <t>Hamil trimester 2 dan 3, laktasi, obstruksi saluran empedu.</t>
  </si>
  <si>
    <t>HARUS DENGAN RESEP DOKTER. Deplesi vol intravaskular, gangguan ginjal, transplantasi ginjal, hiperkalemia, stenosis aorta atau mitral, kardiomiopati hipertrofi obstruksif, aldosteronisme primer, gangguan fungsi hati, perbedaan etnis, hipotensi simtomatik, kondisi dengan stimulasi sistem renin-angiotensin-aldosteron, hipertensi renovaskular.</t>
  </si>
  <si>
    <t>olmesartan medoxomil</t>
  </si>
  <si>
    <t>hipertensi essensial</t>
  </si>
  <si>
    <t>olmetec</t>
  </si>
  <si>
    <t>olmetec tablet olmesartan medoxomil hipertensi essensial</t>
  </si>
  <si>
    <t>betamethasone valerate neomycin sulfate</t>
  </si>
  <si>
    <t xml:space="preserve">erladermn krim betamethasone valerate neomycin sulfate </t>
  </si>
  <si>
    <t>DKI1890701717B1</t>
  </si>
  <si>
    <t>Olmetec 40 mg 10 Tablet</t>
  </si>
  <si>
    <t>Rp199.300 - Rp248.300</t>
  </si>
  <si>
    <t>PENGGUNAAN OBAT INI HARUS SESUAI DENGAN PETUNJUK DOKTER. Awal 20 mg 1 x sehari, dapat ditingkatkan s/d maks 40 mg/hari atau ditambah dengan HCT (hidroklorotiazid)</t>
  </si>
  <si>
    <t>1 Dos Isi 3 Strip X 10 Tablet</t>
  </si>
  <si>
    <t>HARUS DENGAN RESEP DOKTER. Deplesi volume intravaskular, hipertensi renovaskuler, gangguan fungsi ginjal dan transplantasi ginjal, hiperkalemia, gangguan fungsi hati, aldosteronisme primer</t>
  </si>
  <si>
    <t>olmetec tablet olmesartan medoxomil hipertensi esensial</t>
  </si>
  <si>
    <t>Venaron 300 mg 10 Kapsul</t>
  </si>
  <si>
    <t>Rp34.100 - Rp36.900</t>
  </si>
  <si>
    <t>2-3 x sehari 1 kapsul</t>
  </si>
  <si>
    <t>Wasir/Hemoroid, pencegahan Varises</t>
  </si>
  <si>
    <t>Box Isi 10 Strip @ 10 Kapsul</t>
  </si>
  <si>
    <t>wasir hemoroid , pencegahan varises</t>
  </si>
  <si>
    <t>venaron kapsul wasir hemoroid  pencegahan varises</t>
  </si>
  <si>
    <t>TR172304211</t>
  </si>
  <si>
    <t>Laxing 10 Kapsul</t>
  </si>
  <si>
    <t>LAXING</t>
  </si>
  <si>
    <t>Rp9.900 - Rp10.900</t>
  </si>
  <si>
    <t>Dikonsumsi pada malam hari sebelum tidur.</t>
  </si>
  <si>
    <t>1-2 kapsul per hari, diminum sebelum tidur.</t>
  </si>
  <si>
    <t>Pasien dengan gangguan ginjal dan jantung, pasien dengan sumbatan (obstruksi) usus, radang usus, usus buntu, nyeri perut yang tidak diketahui penyebabnya serta pasien dengan kondisi dehidrasi dan gangguan elektrolit.</t>
  </si>
  <si>
    <t>Konsultasikan dengan dokter jika digunakan bersama obat lain. Tidak boleh diberikan pada penderita gangguan pencernaan seperti nyeri perut, mula dan muntah. Hindari penggunaan pada anak-anak dibawah 12 tahun, wanita hamil atau menyusui. Dapat menyebabkan urin berubah warna menjadi kuning atau merah. Hubungi dokter jika kesulitan BAB tidak teratasi.</t>
  </si>
  <si>
    <t>laxing</t>
  </si>
  <si>
    <t>laxing kapsul membantu melancarkan buang air</t>
  </si>
  <si>
    <t>DKL1840101229A1</t>
  </si>
  <si>
    <t>Phi Kang Yang 7 g</t>
  </si>
  <si>
    <t>Rp31.500 - Rp41.700</t>
  </si>
  <si>
    <t>Dus, Pot @ 7 g</t>
  </si>
  <si>
    <t>phi kang yang</t>
  </si>
  <si>
    <t xml:space="preserve">phi kang yang krim betamethasone dipropionate </t>
  </si>
  <si>
    <t>TR193628291</t>
  </si>
  <si>
    <t>Onoiwa MX 3 Sachet</t>
  </si>
  <si>
    <t>ONOIWA MX</t>
  </si>
  <si>
    <t>Langsung diminum sampai habis</t>
  </si>
  <si>
    <t>3 kali sehari 1-2 sachet</t>
  </si>
  <si>
    <t>Dus, 3 sachet @15 mL</t>
  </si>
  <si>
    <t>Kocok dahulu sebelum diminum. Simpan pada suhu 30 C, dalam wadah kering dan tertutup rapat, hindarkan dari sinar matahari</t>
  </si>
  <si>
    <t>onoiwa mx</t>
  </si>
  <si>
    <t>onoiwa mx sachet membantu memelihara kesehatan</t>
  </si>
  <si>
    <t>Serenity Ultrasonic Nebulizer SR-150U</t>
  </si>
  <si>
    <t>Rp836.600 - Rp1.032.200</t>
  </si>
  <si>
    <t>1 Piece</t>
  </si>
  <si>
    <t>serenity ultrasonic nebulizer sru</t>
  </si>
  <si>
    <t xml:space="preserve">serenity ultrasonic nebulizer sru larutan povidoneiodine </t>
  </si>
  <si>
    <t>Cutimed Sorbact Round 3 cm 5 Pieces</t>
  </si>
  <si>
    <t>Rp170.300 - Rp190.100</t>
  </si>
  <si>
    <t>Pack @ 5 pieces</t>
  </si>
  <si>
    <t>cutimed sorbact round pieces</t>
  </si>
  <si>
    <t xml:space="preserve">cutimed sorbact round pieces larutan povidoneiodine </t>
  </si>
  <si>
    <t>Fixomull Transparent 10 cm x 2 M</t>
  </si>
  <si>
    <t>Rp139.500 - Rp171.900</t>
  </si>
  <si>
    <t>Tempelkan pada bagian yang membutuhkan. Gunakan sesuai dengan kebutuhan.</t>
  </si>
  <si>
    <t>Pack Isi 1 Roll</t>
  </si>
  <si>
    <t>Jika terjadi iritasi atau reaksi alergi, hentikan pemakaian dan konsultasikan dengan dokter anda.</t>
  </si>
  <si>
    <t>fixomull transparent x m</t>
  </si>
  <si>
    <t xml:space="preserve">fixomull transparent x m larutan povidoneiodine </t>
  </si>
  <si>
    <t>TR083676311</t>
  </si>
  <si>
    <t>Cap Dragon Minyak Sereh 100 ml</t>
  </si>
  <si>
    <t>Minyak SEREH</t>
  </si>
  <si>
    <t>Rp16.600 - Rp28.000</t>
  </si>
  <si>
    <t>minyak sereh</t>
  </si>
  <si>
    <t>cap dragon sereh</t>
  </si>
  <si>
    <t xml:space="preserve">cap dragon sereh minyak minyak sereh </t>
  </si>
  <si>
    <t>Cap Dragon Minyak Sereh 30 ml</t>
  </si>
  <si>
    <t>Rp6.000 - Rp11.200</t>
  </si>
  <si>
    <t>Cap Dragon Minyak Sereh 60 ml</t>
  </si>
  <si>
    <t>Rp10.400 - Rp17.900</t>
  </si>
  <si>
    <t>QD083608001</t>
  </si>
  <si>
    <t>Cap Dragon Minyak Urut 60 ml</t>
  </si>
  <si>
    <t>Rp12.000 - Rp14.400</t>
  </si>
  <si>
    <t>citronella oil</t>
  </si>
  <si>
    <t>cap dragon urut</t>
  </si>
  <si>
    <t xml:space="preserve">cap dragon urut minyak citronella oil </t>
  </si>
  <si>
    <t>Century H Elastic Bandage 7.5 cm</t>
  </si>
  <si>
    <t>Rp32.700 - Rp60.700</t>
  </si>
  <si>
    <t>Pack @ 1 Piece</t>
  </si>
  <si>
    <t>century h elastic bandage</t>
  </si>
  <si>
    <t xml:space="preserve">century h elastic bandage larutan povidoneiodine </t>
  </si>
  <si>
    <t>DBL9623404733A1</t>
  </si>
  <si>
    <t>Carsida Suspensi 60 ml</t>
  </si>
  <si>
    <t>Rp8.200 - Rp25.000</t>
  </si>
  <si>
    <t>dried aluminium hydroxide gel</t>
  </si>
  <si>
    <t>carsida</t>
  </si>
  <si>
    <t xml:space="preserve">carsida suspensi dried aluminium hydroxide gel </t>
  </si>
  <si>
    <t>DBL0110804233A1</t>
  </si>
  <si>
    <t>Berlosid Sirup 60 ml</t>
  </si>
  <si>
    <t>Rp8.100 - Rp19.200</t>
  </si>
  <si>
    <t>berlosid</t>
  </si>
  <si>
    <t xml:space="preserve">berlosid suspensi dried aluminium hydroxide gel </t>
  </si>
  <si>
    <t>DBL7204204563A1</t>
  </si>
  <si>
    <t>Alumy 10 Tablet</t>
  </si>
  <si>
    <t>Rp3.100 - Rp5.400</t>
  </si>
  <si>
    <t>alumy</t>
  </si>
  <si>
    <t xml:space="preserve">alumy tablet dried aluminium hydroxide gel </t>
  </si>
  <si>
    <t>TR165691501</t>
  </si>
  <si>
    <t>Minyak Herba Sinergi 100 ml</t>
  </si>
  <si>
    <t>MINYAK HERBA SINERGI</t>
  </si>
  <si>
    <t>Rp37.300 - Rp50.600</t>
  </si>
  <si>
    <t>minyak herba sinergi</t>
  </si>
  <si>
    <t>herba sinergi</t>
  </si>
  <si>
    <t xml:space="preserve">herba sinergi minyak minyak herba sinergi </t>
  </si>
  <si>
    <t>QD143712721</t>
  </si>
  <si>
    <t>Hot In Cream Botol 120 ml</t>
  </si>
  <si>
    <t>Rp22.500 - Rp33.700</t>
  </si>
  <si>
    <t>hot in cream botol</t>
  </si>
  <si>
    <t xml:space="preserve">hot in cream botol krim menthol </t>
  </si>
  <si>
    <t>TR113627341</t>
  </si>
  <si>
    <t>Lester Minyak Kemiri 15 ml</t>
  </si>
  <si>
    <t>MINYAK KEMIRI LESTER</t>
  </si>
  <si>
    <t>Rp9.600 - Rp11.000</t>
  </si>
  <si>
    <t>Botol @ 15 ml</t>
  </si>
  <si>
    <t>minyak kemiri lester</t>
  </si>
  <si>
    <t>lester kemiri</t>
  </si>
  <si>
    <t xml:space="preserve">lester kemiri minyak minyak kemiri lester </t>
  </si>
  <si>
    <t>Lester Minyak Kemiri 30 ml</t>
  </si>
  <si>
    <t>Rp18.000 - Rp25.600</t>
  </si>
  <si>
    <t>HT142500451</t>
  </si>
  <si>
    <t>Lelap 4 Kaplet</t>
  </si>
  <si>
    <t>LELAP</t>
  </si>
  <si>
    <t>Rp15.400 - Rp18.600</t>
  </si>
  <si>
    <t>Dikonsumsi 30 menit - 1 jam sebelum tidur</t>
  </si>
  <si>
    <t>Penggunaan obat 1-2 kaplet per hari.</t>
  </si>
  <si>
    <t>Membantu meringankan gangguan tidur</t>
  </si>
  <si>
    <t>Dus, 25 Strip @ 4 kaplet salut selaput</t>
  </si>
  <si>
    <t>Selama menggunakan obat ini jangan mengemudi atau mengoperasikan mesin. Hindari penggunaan bersama dengan alkohol atau bahan sedatif lain. Hindari penggunaan pada anak-anak dibawah 12 tahun, wanita hamil atau menyusui.</t>
  </si>
  <si>
    <t>lelap</t>
  </si>
  <si>
    <t>membantu meringankan gangguan tidur</t>
  </si>
  <si>
    <t>lelap kaplet membantu meringankan gangguan tidur</t>
  </si>
  <si>
    <t>DKL0709217003A1</t>
  </si>
  <si>
    <t>Dobrizol 30 mg 10 Kapsul</t>
  </si>
  <si>
    <t>Rp14.300 - Rp26.400</t>
  </si>
  <si>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</si>
  <si>
    <t>pengobatan tukak lambung</t>
  </si>
  <si>
    <t>Dus, 5 Strip @ 10 Kapsul lepas tunda</t>
  </si>
  <si>
    <t>lansoprazole</t>
  </si>
  <si>
    <t>dobrizol</t>
  </si>
  <si>
    <t>dobrizol kapsul lansoprazole pengobatan tukak lambung</t>
  </si>
  <si>
    <t>drospirenone ethinylestradiol</t>
  </si>
  <si>
    <t>yasmin tablet drospirenone ethinylestradiol kontrasepsi oral</t>
  </si>
  <si>
    <t>TR173300361</t>
  </si>
  <si>
    <t>LS Madu Langsing 350 g</t>
  </si>
  <si>
    <t>Rp32.400 - Rp60.700</t>
  </si>
  <si>
    <t>Botol @ 350 g</t>
  </si>
  <si>
    <t>ls madu langsing</t>
  </si>
  <si>
    <t xml:space="preserve">ls madu langsing madu kunir putih </t>
  </si>
  <si>
    <t>TR193635171</t>
  </si>
  <si>
    <t>Angkur Madu Angkak Kurma 280 g</t>
  </si>
  <si>
    <t>FITKUR</t>
  </si>
  <si>
    <t>fitkur</t>
  </si>
  <si>
    <t>angkur madu angkak kurma</t>
  </si>
  <si>
    <t xml:space="preserve">angkur madu angkak kurma madu fitkur </t>
  </si>
  <si>
    <t>QI164809371</t>
  </si>
  <si>
    <t>Hot In Koyo Aromatherapy 10 Lembar</t>
  </si>
  <si>
    <t>Rp9.000 - Rp14.300</t>
  </si>
  <si>
    <t>Pack @ 10 Lembar</t>
  </si>
  <si>
    <t>hot in koyo aromatherapy lembar</t>
  </si>
  <si>
    <t xml:space="preserve">hot in koyo aromatherapy lembar  camphora </t>
  </si>
  <si>
    <t>Betadine Plester Junior 5 Lembar</t>
  </si>
  <si>
    <t>Rp5.300 - Rp7.800</t>
  </si>
  <si>
    <t>Pack, 5 plester</t>
  </si>
  <si>
    <t>betadine plester junior lembar</t>
  </si>
  <si>
    <t xml:space="preserve">betadine plester junior lembar larutan povidoneiodine </t>
  </si>
  <si>
    <t>QL041800311</t>
  </si>
  <si>
    <t>Salonpas Koyo Hot 12 Lembar</t>
  </si>
  <si>
    <t>Rp8.700 - Rp9.600</t>
  </si>
  <si>
    <t>Kantong @ 12 lembar</t>
  </si>
  <si>
    <t>salonpas koyo hot lembar</t>
  </si>
  <si>
    <t xml:space="preserve">salonpas koyo hot lembar  capsicum extract </t>
  </si>
  <si>
    <t>Hycocare Foot Plast 3 Lembar</t>
  </si>
  <si>
    <t>Rp18.600 - Rp29.800</t>
  </si>
  <si>
    <t>Dus isi 3 lembar</t>
  </si>
  <si>
    <t>hycocare foot plast lembar</t>
  </si>
  <si>
    <t xml:space="preserve">hycocare foot plast lembar larutan povidoneiodine </t>
  </si>
  <si>
    <t>Hansaplast Foot Plester 6 Lembar</t>
  </si>
  <si>
    <t>Rp11.200 - Rp12.900</t>
  </si>
  <si>
    <t>Pack isi 6 lembar</t>
  </si>
  <si>
    <t>hansaplast foot plester lembar</t>
  </si>
  <si>
    <t xml:space="preserve">hansaplast foot plester lembar larutan povidoneiodine </t>
  </si>
  <si>
    <t>Duoderm CGF Dressing 10 cm x 10 cm</t>
  </si>
  <si>
    <t>Rp97.000 - Rp162.400</t>
  </si>
  <si>
    <t>Dus, 5 Sachet @ 1 Plester</t>
  </si>
  <si>
    <t>duoderm cgf dressing x</t>
  </si>
  <si>
    <t xml:space="preserve">duoderm cgf dressing x larutan povidoneiodine </t>
  </si>
  <si>
    <t>DBL9308000263A1</t>
  </si>
  <si>
    <t>Stromag 10 Tablet</t>
  </si>
  <si>
    <t>Rp9.700 - Rp14.000</t>
  </si>
  <si>
    <t>stromag</t>
  </si>
  <si>
    <t xml:space="preserve">stromag tablet dried aluminium hydroxide gel </t>
  </si>
  <si>
    <t>DKL1315712917A1</t>
  </si>
  <si>
    <t>Repimide 100 mg 10 Tablet</t>
  </si>
  <si>
    <t>Rp22.600 - Rp28.500</t>
  </si>
  <si>
    <t>INFORMASI OBAT INI HANYA UNTUK KALANGAN MEDIS. Ulkus peptik dan gastritis.</t>
  </si>
  <si>
    <t>ulkus peptik gastritis</t>
  </si>
  <si>
    <t>repimide</t>
  </si>
  <si>
    <t>repimide tablet rebamipide ulkus peptik gastritis</t>
  </si>
  <si>
    <t>DKL1313317817A1</t>
  </si>
  <si>
    <t>Rebamid 10 Tablet</t>
  </si>
  <si>
    <t>Rp44.100 - Rp52.700</t>
  </si>
  <si>
    <t>di berikan bersama atau sebelum makan</t>
  </si>
  <si>
    <t>tukak lambung, gastritis</t>
  </si>
  <si>
    <t>Dus, 3 blister @ 10 Tablet</t>
  </si>
  <si>
    <t>Riwayat hipersensitif terhadap rebamipide.</t>
  </si>
  <si>
    <t>HARUS DENGAN RESEP DOKTER. Hamil, laktasi, lansia, menyusui, anak</t>
  </si>
  <si>
    <t>tukak lambung , gastritis</t>
  </si>
  <si>
    <t>rebamid</t>
  </si>
  <si>
    <t>rebamid tablet rebamipide tukak lambung  gastritis</t>
  </si>
  <si>
    <t>DKL1328206517A1</t>
  </si>
  <si>
    <t>Rebamax 100 mg 10 Tablet</t>
  </si>
  <si>
    <t>Rp42.000 - Rp52.700</t>
  </si>
  <si>
    <t>rebamax</t>
  </si>
  <si>
    <t>rebamax tablet rebamipide tukak lambung  gastritis</t>
  </si>
  <si>
    <t>Cutimed Sorbact Swab 7x9 cm</t>
  </si>
  <si>
    <t>Box, 1 piece @ 7CM X 9CM</t>
  </si>
  <si>
    <t>cutimed sorbact swab x</t>
  </si>
  <si>
    <t xml:space="preserve">cutimed sorbact swab x larutan povidoneiodine </t>
  </si>
  <si>
    <t>DBL9626107733A1</t>
  </si>
  <si>
    <t>Magnidicon Suspensi 60 ml</t>
  </si>
  <si>
    <t>Rp12.700 - Rp16.500</t>
  </si>
  <si>
    <t>magnidicon</t>
  </si>
  <si>
    <t xml:space="preserve">magnidicon suspensi dried aluminium hydroxide gel </t>
  </si>
  <si>
    <t>DKL0609318804A1</t>
  </si>
  <si>
    <t>Irtan Plus 10 Kaplet</t>
  </si>
  <si>
    <t>Rp100.100 - Rp123.900</t>
  </si>
  <si>
    <t>PENGGUNAAN OBAT INI HARUS SESUAI DENGAN PETUNJUK DOKTER. 1 x sehari 1 tablet, maximum : Irbesartan 300 mg/Hidrokhlorotiazid 25 mg</t>
  </si>
  <si>
    <t>Box isi 3 strip @ 10 kaplet</t>
  </si>
  <si>
    <t>Hamil trimester 2 dan 3, gangguan ginjal berat (bersihan &lt; 30 mL/menit), hipokalemia refrakter, hiperkalemia, gangguan hati berat, sirosis biliar dan kolestasis.</t>
  </si>
  <si>
    <t>HARUS DENGAN RESEP DOKTER. Deplesi vol intravaskular atau Na, gangguan ginjal atau hati, penyakit hati progresif, stenosis aorta atau mitral, kardiomiopati hipertropik obstruktif, aldosteronisme primer, dapat mengganggu toleransi glukosa. Monitor eletrolit serum secara periodik, ka</t>
  </si>
  <si>
    <t>irtan plus</t>
  </si>
  <si>
    <t>irtan plus kaplet hydrochlorothiazide hipertensi esensial</t>
  </si>
  <si>
    <t>TR203601491</t>
  </si>
  <si>
    <t>Fitocare Minyak Telon 50 ml</t>
  </si>
  <si>
    <t>FITOCARE MINYAK TELON</t>
  </si>
  <si>
    <t>Rp11.000 - Rp24.600</t>
  </si>
  <si>
    <t>fitocare minyak telon</t>
  </si>
  <si>
    <t>fitocare telon</t>
  </si>
  <si>
    <t xml:space="preserve">fitocare telon minyak fitocare minyak telon </t>
  </si>
  <si>
    <t>Cerplast Aerofilm 50 X 50 mm</t>
  </si>
  <si>
    <t>Rp372.400 - Rp410.200</t>
  </si>
  <si>
    <t>3 kali sehari 1 tablet.</t>
  </si>
  <si>
    <t>cerplast aerofilm x mm</t>
  </si>
  <si>
    <t xml:space="preserve">cerplast aerofilm x mm larutan povidoneiodine </t>
  </si>
  <si>
    <t>QD083708051</t>
  </si>
  <si>
    <t>Cap Dragon Balsem Otot 20 g</t>
  </si>
  <si>
    <t>Rp8.700 - Rp13.300</t>
  </si>
  <si>
    <t>Dus, Pot kaca @ 20 g</t>
  </si>
  <si>
    <t>cap dragon balsem otot</t>
  </si>
  <si>
    <t xml:space="preserve">cap dragon balsem otot balsam camphora </t>
  </si>
  <si>
    <t>Cap Dragon Balsem Otot 40 g</t>
  </si>
  <si>
    <t>Rp17.600 - Rp18.000</t>
  </si>
  <si>
    <t>Dus, Pot kaca @ 40 g</t>
  </si>
  <si>
    <t>DBL7202318137A1</t>
  </si>
  <si>
    <t>Paramol Sirup 60 ml</t>
  </si>
  <si>
    <t>Rp7.500 - Rp13.700</t>
  </si>
  <si>
    <t>untuk pengobatan nyeri dan demam</t>
  </si>
  <si>
    <t>pengobatan nyeri demam</t>
  </si>
  <si>
    <t>paramol</t>
  </si>
  <si>
    <t>paramol sirup paracetamol pengobatan nyeri demam</t>
  </si>
  <si>
    <t>DBL9602321836A1</t>
  </si>
  <si>
    <t>Paramol Drops 10 ml</t>
  </si>
  <si>
    <t>Rp20.600 - Rp24.800</t>
  </si>
  <si>
    <t>paramol tetes paracetamol pengobatan nyeri demam</t>
  </si>
  <si>
    <t>TR153385221</t>
  </si>
  <si>
    <t>Kapsul VCO Tn57 70 Kapsul</t>
  </si>
  <si>
    <t>KAPSUL VCO TN57</t>
  </si>
  <si>
    <t>Rp44.800 - Rp77.000</t>
  </si>
  <si>
    <t>kapsul vco tn57</t>
  </si>
  <si>
    <t>vco tn</t>
  </si>
  <si>
    <t xml:space="preserve">vco tn kapsul kapsul vco tn57 </t>
  </si>
  <si>
    <t>DBL8821903604A1</t>
  </si>
  <si>
    <t>Samconal 500 mg 10 Tablet</t>
  </si>
  <si>
    <t>Rp2.000 - Rp3.700</t>
  </si>
  <si>
    <t>Obat dapat diminum sebelum atau sesudah makan</t>
  </si>
  <si>
    <t>Dewasa atau anak &gt; 12 tahun : 3 - 4 x sehari 1 tablet. Anak 5 - 12 tahun : 3 - 4 x sehari 1/2 tablet.</t>
  </si>
  <si>
    <t>untuk menurunkan demam pada segala usia</t>
  </si>
  <si>
    <t>jangan diberikan untuk pasien yang memiliki riwayat hipersensitif terhadap paracetamol.</t>
  </si>
  <si>
    <t>Hentikan jika muncul reaksi alergi, hati-hati pada pasien yang mempunyai penyakit asma, gangguan fungsi hati dan ginjal serta mengkonsumsi alkohol</t>
  </si>
  <si>
    <t>menurunkan demam usia</t>
  </si>
  <si>
    <t>samconal</t>
  </si>
  <si>
    <t>samconal kaplet paracetamol menurunkan demam usia</t>
  </si>
  <si>
    <t>FF202500831</t>
  </si>
  <si>
    <t>Redacid 250 mg 6 Kaplet</t>
  </si>
  <si>
    <t>REDACID</t>
  </si>
  <si>
    <t>Rp71.300 - Rp74.300</t>
  </si>
  <si>
    <t>1-2 kaplet, per hari</t>
  </si>
  <si>
    <t>Membantu meredakan gangguan lambung</t>
  </si>
  <si>
    <t>Dus, 5 Strip @ 6 Kaplet</t>
  </si>
  <si>
    <t>Selama penggunaan produk ini konsultasikan pada dokter secara berkala.</t>
  </si>
  <si>
    <t>redacid</t>
  </si>
  <si>
    <t>membantu meredakan gangguan lambung</t>
  </si>
  <si>
    <t>redacid kaplet membantu meredakan gangguan lambung</t>
  </si>
  <si>
    <t>TR152388171</t>
  </si>
  <si>
    <t>Herbana Kunyit 60 Kapsul</t>
  </si>
  <si>
    <t>HERBANA KUNYIT</t>
  </si>
  <si>
    <t>Rp110.200 - Rp159.300</t>
  </si>
  <si>
    <t>3 x sehari 2 kapsul</t>
  </si>
  <si>
    <t>Membantu mengatasi masalah pencernaan</t>
  </si>
  <si>
    <t>herbana kunyit</t>
  </si>
  <si>
    <t>membantu mengatasi pencernaan</t>
  </si>
  <si>
    <t>herbana kunyit kapsul membantu mengatasi pencernaan</t>
  </si>
  <si>
    <t>TR132273641</t>
  </si>
  <si>
    <t>Herbadrink Temulawak 18 g 5 Sachet</t>
  </si>
  <si>
    <t>HERBADRINK SARI TEMULAWAK</t>
  </si>
  <si>
    <t>Rp11.900 - Rp19.000</t>
  </si>
  <si>
    <t>Dus, 5 Sachet @ 18 g</t>
  </si>
  <si>
    <t>herbadrink sari temulawak</t>
  </si>
  <si>
    <t>herbadrink temulawak</t>
  </si>
  <si>
    <t xml:space="preserve">herbadrink temulawak sachet herbadrink sari temulawak </t>
  </si>
  <si>
    <t>TR152589121</t>
  </si>
  <si>
    <t>Lilo 25 Tablet</t>
  </si>
  <si>
    <t>LILO</t>
  </si>
  <si>
    <t>Rp29.000 - Rp35.400</t>
  </si>
  <si>
    <t>Anak-anak : 1x sehari 2 tablet setiap hari selama 4 hari. Dewasa : 1 x sehari 2-4 tablet setiap hari selama 4 hari.</t>
  </si>
  <si>
    <t>Secara tradisional digunakan pada penderita kecacingan.</t>
  </si>
  <si>
    <t>Botol @ 25 Permen Cacing</t>
  </si>
  <si>
    <t>Tidak untuk wanita hamil dan menyusui.</t>
  </si>
  <si>
    <t>lilo</t>
  </si>
  <si>
    <t>secara tradisional penderita kecacingan</t>
  </si>
  <si>
    <t>lilo tablet secara tradisional penderita kecacingan</t>
  </si>
  <si>
    <t>TR142283461</t>
  </si>
  <si>
    <t>Herbadrink Lidah Buaya Sugar Free 10 g 5 Sachet</t>
  </si>
  <si>
    <t>HERBADRINK LIDAH BUAYA SUGAR FREE</t>
  </si>
  <si>
    <t>Rp16.500 - Rp22.900</t>
  </si>
  <si>
    <t>Dus, 5 Sachet @ 10 gram</t>
  </si>
  <si>
    <t>herbadrink lidah buaya sugar free</t>
  </si>
  <si>
    <t xml:space="preserve">herbadrink lidah buaya sugar free sachet </t>
  </si>
  <si>
    <t>TR153384581</t>
  </si>
  <si>
    <t>G-Bumin 30 Kapsul</t>
  </si>
  <si>
    <t>G-BUMIN</t>
  </si>
  <si>
    <t>Rp88.300 - Rp121.500</t>
  </si>
  <si>
    <t>Diminum sebelum atau sesudah makan</t>
  </si>
  <si>
    <t>2 kapsul, 2 kali per hari</t>
  </si>
  <si>
    <t>Membantu memelihara kesehatan.</t>
  </si>
  <si>
    <t>g-bumin</t>
  </si>
  <si>
    <t>gbumin</t>
  </si>
  <si>
    <t>gbumin kapsul gbumin membantu memelihara kesehatan</t>
  </si>
  <si>
    <t>BICOMLIC</t>
  </si>
  <si>
    <t>bicomlic</t>
  </si>
  <si>
    <t>disolf tablet bicomlic melancarkan sirkulasi darah</t>
  </si>
  <si>
    <t>TI134347961</t>
  </si>
  <si>
    <t>Liparin 140 mg 12 Kapsul</t>
  </si>
  <si>
    <t>LIPARIN</t>
  </si>
  <si>
    <t>Rp102.500 - Rp133.500</t>
  </si>
  <si>
    <t>1 tablet 2 -3x sehari</t>
  </si>
  <si>
    <t>Membantu memelihara kesehatan hati</t>
  </si>
  <si>
    <t>Kapsul 140 mg x 5 x 12</t>
  </si>
  <si>
    <t>Hipersensitivitas. Wanita pra menopause. Hamil &amp; laktasi.</t>
  </si>
  <si>
    <t>Ibu hamil dan menyusui</t>
  </si>
  <si>
    <t>liparin</t>
  </si>
  <si>
    <t>membantu memelihara kesehatan hati</t>
  </si>
  <si>
    <t>liparin kapsul membantu memelihara kesehatan hati</t>
  </si>
  <si>
    <t>DKL9312514106A1</t>
  </si>
  <si>
    <t>Retaphyl SR 300 mg 10 Kaplet</t>
  </si>
  <si>
    <t>Tidak boleh dikunyah atau dihancurkan.</t>
  </si>
  <si>
    <t>PENGGUNAAN OBAT INI HARUS SESUAI DENGAN PETUNJUK DOKTER. Dosis dewasa : 2 kali sehari 1 kaplet, pagi dan malam.</t>
  </si>
  <si>
    <t>Asma bronkial</t>
  </si>
  <si>
    <t>Dus, 10 Strip @ 10 Kaplet Lepas Lambat</t>
  </si>
  <si>
    <t>Hipersensitif terhadap teofilin dan senyawa golongan xantin, penderita tukak lambung, diabetes</t>
  </si>
  <si>
    <t>HARUS DENGAN RESEP DOKTER. Jangan diberikan pada wanita hamil dan menyusui, kecuali atas perintah dokter. Pemberian bersama efedrin akan meningkatkan toksisitas. Hati-hati diberikan pada penderita penyakit hati, epilepsi. Kategori Kehamilan : C</t>
  </si>
  <si>
    <t>theophylline</t>
  </si>
  <si>
    <t>asma bronkial</t>
  </si>
  <si>
    <t>retaphyl sr</t>
  </si>
  <si>
    <t>retaphyl sr kaplet theophylline asma bronkial</t>
  </si>
  <si>
    <t>TR132374911</t>
  </si>
  <si>
    <t>Prolipid 670 mg 10 Kapsul</t>
  </si>
  <si>
    <t>PROLIPID</t>
  </si>
  <si>
    <t>Rp14.000 - Rp22.500</t>
  </si>
  <si>
    <t>30 menit hingga 1 jam sebelum makan</t>
  </si>
  <si>
    <t>Sebaiknya dikonsumsi secara rutin sehari 2 kali 2 kapsul selama paling tidak 15 hari.</t>
  </si>
  <si>
    <t>Menurunkan kolesterol dan melarutkan lemak</t>
  </si>
  <si>
    <t>Strip 10 Kapsul</t>
  </si>
  <si>
    <t>hipersensitivitas, riwayat alergi</t>
  </si>
  <si>
    <t>Tidak dianjurkan penggunan pada ibu hamil dan menyusui.</t>
  </si>
  <si>
    <t>prolipid</t>
  </si>
  <si>
    <t>menurunkan kolesterol melarutkan lemak</t>
  </si>
  <si>
    <t>prolipid kapsul menurunkan kolesterol melarutkan lemak</t>
  </si>
  <si>
    <t>DKL0831528201A1</t>
  </si>
  <si>
    <t>Rebal Plus 10 Kapsul</t>
  </si>
  <si>
    <t>Rp23.000 - Rp29.900</t>
  </si>
  <si>
    <t>Sebelum / sesudah makan</t>
  </si>
  <si>
    <t>PENGGUNAAN OBAT INI HARUS SESUAI DENGAN PETUNJUK DOKTER. Dewasa: 3x sehari 1 kapsul</t>
  </si>
  <si>
    <t>Neuropati perifer</t>
  </si>
  <si>
    <t>Dos Isi 10 Strip X 10 Tablet</t>
  </si>
  <si>
    <t>HARUS DENGAN RESEP DOKTER. Hipersensitif terhadap zat tambahan</t>
  </si>
  <si>
    <t>mecobalamin</t>
  </si>
  <si>
    <t>neuropati perifer</t>
  </si>
  <si>
    <t>rebal plus</t>
  </si>
  <si>
    <t>rebal plus kapsul mecobalamin neuropati perifer</t>
  </si>
  <si>
    <t>TR083377131</t>
  </si>
  <si>
    <t>Calcusol 30 Kapsul</t>
  </si>
  <si>
    <t>CALCUSOL</t>
  </si>
  <si>
    <t>Rp45.900 - Rp48.000</t>
  </si>
  <si>
    <t>Diberikan sesudah makan</t>
  </si>
  <si>
    <t>1-2 kapsul sehari sekali.</t>
  </si>
  <si>
    <t>Membantu meluruhkan batu ginjal.</t>
  </si>
  <si>
    <t>Box, 30 Pcs</t>
  </si>
  <si>
    <t>calcusol</t>
  </si>
  <si>
    <t>membantu meluruhkan batu ginjal</t>
  </si>
  <si>
    <t>calcusol kapsul membantu meluruhkan batu ginjal</t>
  </si>
  <si>
    <t>TR082383421</t>
  </si>
  <si>
    <t>Borobudur Si Putih 12 Kapsul</t>
  </si>
  <si>
    <t>SI PUTIH</t>
  </si>
  <si>
    <t>Rp12.600 - Rp29.900</t>
  </si>
  <si>
    <t>Dus, Strip @ 12 kapsul</t>
  </si>
  <si>
    <t>si putih</t>
  </si>
  <si>
    <t>borobudur si putih</t>
  </si>
  <si>
    <t xml:space="preserve">borobudur si putih kapsul si putih </t>
  </si>
  <si>
    <t>DBL1230705637A2</t>
  </si>
  <si>
    <t>Contrexyn Demam Sirup Rasa Jeruk 60 ml</t>
  </si>
  <si>
    <t>Rp5.600 - Rp7.900</t>
  </si>
  <si>
    <t>contrexyn demam rasa jeruk</t>
  </si>
  <si>
    <t xml:space="preserve">contrexyn demam rasa jeruk sirup paracetamol </t>
  </si>
  <si>
    <t>TR152588141</t>
  </si>
  <si>
    <t>Biosan 275 mg 6 Tablet</t>
  </si>
  <si>
    <t>BIOSAN</t>
  </si>
  <si>
    <t>Rp106.000 - Rp130.900</t>
  </si>
  <si>
    <t>3 kali sehari 1 tablet</t>
  </si>
  <si>
    <t>Membantu memelihara stamina pria</t>
  </si>
  <si>
    <t>Simpan pada suhu dibawah 30 C</t>
  </si>
  <si>
    <t>biosan</t>
  </si>
  <si>
    <t>membantu memelihara stamen pria</t>
  </si>
  <si>
    <t>biosan tablet membantu memelihara stamen pria</t>
  </si>
  <si>
    <t>DKL1606317310A1</t>
  </si>
  <si>
    <t>Vertilon 5 mg 10 Tablet</t>
  </si>
  <si>
    <t>Rp20.300 - Rp32.600</t>
  </si>
  <si>
    <t>untuk pengobatan migrain</t>
  </si>
  <si>
    <t>flunarizine hydrochloride</t>
  </si>
  <si>
    <t>pengobatan migrain</t>
  </si>
  <si>
    <t>vertilon</t>
  </si>
  <si>
    <t>vertilon tablet flunarizine hydrochloride pengobatan migrain</t>
  </si>
  <si>
    <t>TR192325901</t>
  </si>
  <si>
    <t>Fibumin 10 Kapsul</t>
  </si>
  <si>
    <t>FIBUMIN</t>
  </si>
  <si>
    <t>Rp47.000 - Rp78.700</t>
  </si>
  <si>
    <t>2 x sehari 1 kapsul</t>
  </si>
  <si>
    <t>Membantu memelihara kesehatan tubuh</t>
  </si>
  <si>
    <t>Dus, 3 blsiter @ 10 kapsul</t>
  </si>
  <si>
    <t>fibumin</t>
  </si>
  <si>
    <t>membantu memelihara kesehatan tubuh</t>
  </si>
  <si>
    <t>fibumin kapsul membantu memelihara kesehatan tubuh</t>
  </si>
  <si>
    <t>TR142380631</t>
  </si>
  <si>
    <t>Afamed 320 mg 10 Kapsul</t>
  </si>
  <si>
    <t>AFAMED</t>
  </si>
  <si>
    <t>Rp104.500 - Rp122.800</t>
  </si>
  <si>
    <t>2 kali sehari 1 kapsul, pagi &amp; malam hari</t>
  </si>
  <si>
    <t>suplemen untuk aktivator sel punca.</t>
  </si>
  <si>
    <t>Kapsul 320 mg x 3 x 10</t>
  </si>
  <si>
    <t>Hipersensitivitas terhadap Aphanizomenon Flos-Aquae (AFA) dan produk-produk yang berasal dari alga biru-hijau lainnya.</t>
  </si>
  <si>
    <t>afamed</t>
  </si>
  <si>
    <t>suplemen aktivator sel punca</t>
  </si>
  <si>
    <t>afamed kapsul suplemen aktivator sel punca</t>
  </si>
  <si>
    <t>TR082378231</t>
  </si>
  <si>
    <t>Prostakur 6 Kapsul</t>
  </si>
  <si>
    <t>PROSTAKUR</t>
  </si>
  <si>
    <t>Rp21.900 - Rp40.600</t>
  </si>
  <si>
    <t>Setelah makan</t>
  </si>
  <si>
    <t>Membantu memelihara kesehatan prostat</t>
  </si>
  <si>
    <t>Dus, 5 Strip @ 6 Kapsul</t>
  </si>
  <si>
    <t>Tidak diketahui adanya kontraindikasi</t>
  </si>
  <si>
    <t>Pastikan bahwa anda tidak menderita kanker prostat.</t>
  </si>
  <si>
    <t>prostakur</t>
  </si>
  <si>
    <t>membantu memelihara kesehatan prostat</t>
  </si>
  <si>
    <t>prostakur kapsul membantu memelihara kesehatan prostat</t>
  </si>
  <si>
    <t>DKL9014803937A1</t>
  </si>
  <si>
    <t>Terasma Expectorant Sirup 60 ml</t>
  </si>
  <si>
    <t>Rp15.000 - Rp24.100</t>
  </si>
  <si>
    <t>terbutaline sulfate guaifenesin</t>
  </si>
  <si>
    <t>terasma expectorant</t>
  </si>
  <si>
    <t xml:space="preserve">terasma expectorant sirup terbutaline sulfate guaifenesin </t>
  </si>
  <si>
    <t>TR193632771</t>
  </si>
  <si>
    <t>Nitacur Sachet 20 ml</t>
  </si>
  <si>
    <t>NITACUR</t>
  </si>
  <si>
    <t>Rp0 - Rp1</t>
  </si>
  <si>
    <t>Memperbaiki nafsu makan anak.</t>
  </si>
  <si>
    <t>Dus, 20 Sachet @ 20 ml</t>
  </si>
  <si>
    <t>nitacur</t>
  </si>
  <si>
    <t>memperbaiki nafsu makan anak</t>
  </si>
  <si>
    <t>nitacur sachet memperbaiki nafsu makan anak</t>
  </si>
  <si>
    <t>TR082576161</t>
  </si>
  <si>
    <t>Biosan HD 6 Tablet</t>
  </si>
  <si>
    <t>BIOSAN HD</t>
  </si>
  <si>
    <t>3 x sehari 1 tablet</t>
  </si>
  <si>
    <t>Membantu memelihara stamina.</t>
  </si>
  <si>
    <t>Dus, 3 Blister @ 6 Tablet</t>
  </si>
  <si>
    <t>biosan hd</t>
  </si>
  <si>
    <t>biosan hd tablet membantu memelihara stamen</t>
  </si>
  <si>
    <t>TR043332061</t>
  </si>
  <si>
    <t>Herbacure Naturex P 40 Kapsul</t>
  </si>
  <si>
    <t>HERBACURE NATUREX-P</t>
  </si>
  <si>
    <t>herbacure naturex-p</t>
  </si>
  <si>
    <t>herbacure naturex p</t>
  </si>
  <si>
    <t xml:space="preserve">herbacure naturex p kapsul herbacure naturexp </t>
  </si>
  <si>
    <t>TR192530591</t>
  </si>
  <si>
    <t>Herbapoten 10 Tablet</t>
  </si>
  <si>
    <t>HERBAPOTEN</t>
  </si>
  <si>
    <t>setiap hari 1 kali 1 kaplet selama 14 hari.</t>
  </si>
  <si>
    <t>Membantu memelihara stamina pria.</t>
  </si>
  <si>
    <t>Dus, 3 strip @ 10 kaplet</t>
  </si>
  <si>
    <t>herbapoten</t>
  </si>
  <si>
    <t>herbapoten tablet membantu memelihara stamen pria</t>
  </si>
  <si>
    <t>DKI1151302768A1</t>
  </si>
  <si>
    <t>Bricasma Inhaler 2.5 mg 5 Respules</t>
  </si>
  <si>
    <t>Rp58.700 - Rp76.400</t>
  </si>
  <si>
    <t>Dus, 4 Pouch @ 5 Respules @ 2 ml</t>
  </si>
  <si>
    <t>terbutaline sulfate</t>
  </si>
  <si>
    <t>bricasma inhaler respules</t>
  </si>
  <si>
    <t xml:space="preserve">bricasma inhaler respules inhaler terbutaline sulfate </t>
  </si>
  <si>
    <t>HT142300431</t>
  </si>
  <si>
    <t>Psidii 500 mg 50 Kapsul</t>
  </si>
  <si>
    <t>PSIDII</t>
  </si>
  <si>
    <t>Rp369.500 - Rp395.500</t>
  </si>
  <si>
    <t>Dewasa : 3 x sehari 1-2 kapsul</t>
  </si>
  <si>
    <t>Meningkatkan jumlah sel darah merah</t>
  </si>
  <si>
    <t>1 Botol Isi 50 Tablet</t>
  </si>
  <si>
    <t>psidii</t>
  </si>
  <si>
    <t>meningkatkan sel darah merah</t>
  </si>
  <si>
    <t>psidii kapsul meningkatkan sel darah merah</t>
  </si>
  <si>
    <t>diphenhydramine hydrochloride ammonium chloride</t>
  </si>
  <si>
    <t xml:space="preserve">novadryl sirup diphenhydramine hydrochloride ammonium chloride </t>
  </si>
  <si>
    <t>TR203639281</t>
  </si>
  <si>
    <t>Paramorina Picky Eater Sirup 100 ml</t>
  </si>
  <si>
    <t>PARAMORINA PE</t>
  </si>
  <si>
    <t>Rp54.900 - Rp67.800</t>
  </si>
  <si>
    <t>3 kali sehari 1 sendok makan</t>
  </si>
  <si>
    <t>Tidak boleh digunakan untuk anak usia dibawah 2 tahun.</t>
  </si>
  <si>
    <t>paramorina pe</t>
  </si>
  <si>
    <t>paramorina picky eater</t>
  </si>
  <si>
    <t xml:space="preserve">paramorina picky eater sirup paramorina pe </t>
  </si>
  <si>
    <t>TI074524361</t>
  </si>
  <si>
    <t>Oxan 10 Kaplet</t>
  </si>
  <si>
    <t>OXAN</t>
  </si>
  <si>
    <t>Rp70.500 - Rp89.200</t>
  </si>
  <si>
    <t>Dewasa : 1 kaplet perhari</t>
  </si>
  <si>
    <t>Box Isi 2 Strip @ 10 Kaplet Salut</t>
  </si>
  <si>
    <t>oxan</t>
  </si>
  <si>
    <t>oxan kaplet membantu memelihara kesehatan tubuh</t>
  </si>
  <si>
    <t>TR193226771</t>
  </si>
  <si>
    <t>Onoiwa Plus 3 Sachet</t>
  </si>
  <si>
    <t>ONOIWA PLUS</t>
  </si>
  <si>
    <t>Rp163.900 - Rp278.700</t>
  </si>
  <si>
    <t>Tambhakan 50 ml air, aduk hingga homogen, langsung diminum sampai habis.</t>
  </si>
  <si>
    <t>1-3 kali sehari 1 sachet</t>
  </si>
  <si>
    <t>Dus, 3 Sachet @ 10 gram</t>
  </si>
  <si>
    <t>Jangan diseduh dengan air panas. Simpan pada suhu 30 C, dalam wadah kering dan tertutup rapat, hindarkan dari sinar matahari</t>
  </si>
  <si>
    <t>onoiwa plus</t>
  </si>
  <si>
    <t>onoiwa plus sachet membantu memelihara kesehatan</t>
  </si>
  <si>
    <t>TI194558351</t>
  </si>
  <si>
    <t>Shine Biospirulina 200 Tablet</t>
  </si>
  <si>
    <t>SHINE BIOSPIRULINA</t>
  </si>
  <si>
    <t>Rp0 - Rp150.000</t>
  </si>
  <si>
    <t>Diminum sesudah makan</t>
  </si>
  <si>
    <t>5-9 tahun : 1 tablet 2 kali sehari. 10-14 tahun : 2 tablet 2 kali sehari 15 tahun ke atas : 4 tablet 2 kali sehari .</t>
  </si>
  <si>
    <t>Dus, botol plastik @ 200 tablet kunyah</t>
  </si>
  <si>
    <t>shine biospirulina</t>
  </si>
  <si>
    <t>shine biospirulina tablet membantu memelihara kesehatan</t>
  </si>
  <si>
    <t>TR182615941</t>
  </si>
  <si>
    <t>Echinatur Kids Sirup 100 ml</t>
  </si>
  <si>
    <t>ECHINATUR KIDS</t>
  </si>
  <si>
    <t>Rp53.700 - Rp60.100</t>
  </si>
  <si>
    <t>Berikan sesudah makan</t>
  </si>
  <si>
    <t>dewasa dan anak-anak lebih dari 6 tahun , 1-3 x sehari 1 sendok teh,, anak-anak kurang dari 6 tahun 1-2 x sehari 1 sendok teh</t>
  </si>
  <si>
    <t>membantu sistem imun</t>
  </si>
  <si>
    <t>echinatur kids</t>
  </si>
  <si>
    <t>echinatur kids sirup membantu sistem imun</t>
  </si>
  <si>
    <t>DTL1022721104A1</t>
  </si>
  <si>
    <t>Nodrof Flu Expectorant 10 Kaplet</t>
  </si>
  <si>
    <t>Rp7.300 - Rp8.700</t>
  </si>
  <si>
    <t>Dus, 10 Amplop @ 1 Strip @ 10 Kaplet</t>
  </si>
  <si>
    <t>nodrof flu expectorant</t>
  </si>
  <si>
    <t xml:space="preserve">nodrof flu expectorant kaplet chlorphenamine maleate </t>
  </si>
  <si>
    <t>TR172309791</t>
  </si>
  <si>
    <t>Lactaboost 30 Tablet</t>
  </si>
  <si>
    <t>LACTABOOST</t>
  </si>
  <si>
    <t>Rp34.000 - Rp59.400</t>
  </si>
  <si>
    <t>1 tablet sebanyak 3 kali/hari</t>
  </si>
  <si>
    <t>Membantu melancarkan air susu ibu.</t>
  </si>
  <si>
    <t>Simpan di tempat yang kering dan terhindar dari sinar matahari langsung, simpan pada suhu di bawah 30 derajat C</t>
  </si>
  <si>
    <t>lactaboost</t>
  </si>
  <si>
    <t>membantu melancarkan air susu</t>
  </si>
  <si>
    <t>lactaboost tablet membantu melancarkan air susu</t>
  </si>
  <si>
    <t>DKI1151302568A1</t>
  </si>
  <si>
    <t>Pulmicort 0.25 mg/ml 5 Respules</t>
  </si>
  <si>
    <t>Rp87.700 - Rp144.900</t>
  </si>
  <si>
    <t>Diuapkan menggunakan alat nebulizer, kemudian dihirup</t>
  </si>
  <si>
    <t>PENGGUNAAN OBAT INI HARUS SESUAI DENGAN PETUNJUK DOKTER. Dewasa dan anak &gt; 12 th : 2 x sehari 1 - 2 mg. Pemeliharaan : 2 x sehari 0,5 - 1 mg. Anak 3 bln - 12 th: 2 x sehari 0,5 - 1 mg. Pemeliharaan : 2 x sehari 0,25 - 0,5 mg</t>
  </si>
  <si>
    <t>INFORMASI OBAT INI HANYA UNTUK KALANGAN MEDIS. Asma Bronkhial</t>
  </si>
  <si>
    <t>Dus, 4 Pak @ 5 Respules</t>
  </si>
  <si>
    <t>Hipersensitivitas.</t>
  </si>
  <si>
    <t>HARUS DENGAN RESEP DOKTER. Hipersensitif. Pasien bronkospasme, infeksi TB, gangguan fungsi hati. Laktasi. Kategori Kehamilan : B</t>
  </si>
  <si>
    <t>asma bronkhial</t>
  </si>
  <si>
    <t>pulmicort respules</t>
  </si>
  <si>
    <t>pulmicort respules inhaler budesonide asma bronkhial</t>
  </si>
  <si>
    <t>TI084328571</t>
  </si>
  <si>
    <t>Mega We Care Giloba 30 Kapsul</t>
  </si>
  <si>
    <t>GILOBA</t>
  </si>
  <si>
    <t>Rp145.000 - Rp190.500</t>
  </si>
  <si>
    <t>Dus, 3 Blister @ 10 Kapsul Lunak</t>
  </si>
  <si>
    <t>giloba</t>
  </si>
  <si>
    <t>mega we care giloba</t>
  </si>
  <si>
    <t xml:space="preserve">mega we care giloba kapsul giloba </t>
  </si>
  <si>
    <t>TR023616151</t>
  </si>
  <si>
    <t>Sidola Minyak Telon 100 ml</t>
  </si>
  <si>
    <t>SIDOLA MINYAK TELON</t>
  </si>
  <si>
    <t>Rp24.700 - Rp50.800</t>
  </si>
  <si>
    <t>sidola minyak telon</t>
  </si>
  <si>
    <t>sidola telon</t>
  </si>
  <si>
    <t xml:space="preserve">sidola telon minyak sidola minyak telon </t>
  </si>
  <si>
    <t>DKI1950300268A1</t>
  </si>
  <si>
    <t>Lasalcom Inhaler 2.5 mg/2.5 ml</t>
  </si>
  <si>
    <t>Rp17.000 - Rp17.900</t>
  </si>
  <si>
    <t>Dus, 20 Vial @ 2.5 ml dosis tunggal</t>
  </si>
  <si>
    <t>ipratropium bromide monohydrate</t>
  </si>
  <si>
    <t>lasalcom inhaler</t>
  </si>
  <si>
    <t xml:space="preserve">lasalcom inhaler inhaler ipratropium bromide monohydrate </t>
  </si>
  <si>
    <t>DKL2131548517A1</t>
  </si>
  <si>
    <t>Genalsik 80 mg 10 Tablet</t>
  </si>
  <si>
    <t>Rp112.600 - Rp113.700</t>
  </si>
  <si>
    <t>Penggunaan bersamaan dengan azathioprine, mercaptopurine.</t>
  </si>
  <si>
    <t>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</si>
  <si>
    <t>genalsik</t>
  </si>
  <si>
    <t>genalsik tablet febuxostat hiperuresemia pasien gout</t>
  </si>
  <si>
    <t>Serenity Hearing Aid SR-80P</t>
  </si>
  <si>
    <t>Rp557.600 - Rp610.800</t>
  </si>
  <si>
    <t>serenity hearing aid srp</t>
  </si>
  <si>
    <t xml:space="preserve">serenity hearing aid srp larutan povidoneiodine </t>
  </si>
  <si>
    <t>isoniazid pyridoxine hydrochloride</t>
  </si>
  <si>
    <t xml:space="preserve">tb vit sirup isoniazid pyridoxine hydrochloride </t>
  </si>
  <si>
    <t>DKL0617621553A1</t>
  </si>
  <si>
    <t>Fetik Suppositoria</t>
  </si>
  <si>
    <t>Rp13.900 - Rp25.600</t>
  </si>
  <si>
    <t>PENGGUNAAN OBAT INI HARUS SESUAI DENGAN PETUNJUK DOKTER. Dewasa: 1-2 kali sehari 100 mg. Maksimal 200 mg per hari.</t>
  </si>
  <si>
    <t>Osteoartritis, artritis rematoid</t>
  </si>
  <si>
    <t>osteoartritis , artritis rematoid</t>
  </si>
  <si>
    <t>fetik</t>
  </si>
  <si>
    <t>fetik suppositoria ketoprofen osteoartritis  artritis rematoid</t>
  </si>
  <si>
    <t>DKL9502310410B1</t>
  </si>
  <si>
    <t>Acepress 12.5 mg 10 Tablet</t>
  </si>
  <si>
    <t>Rp15.600 - Rp24.200</t>
  </si>
  <si>
    <t>Diberikan pada saat perut kosong: 1 jam sebelum atau 2 jam sesudah makan.</t>
  </si>
  <si>
    <t>PENGGUNAAN OBAT INI HARUS SESUAI DENGAN PETUNJUK DOKTER. Awal : 3 kali sehari 12,5 mg, dapat ditingkatkan bertahap sampai dengan 3 kali sehari 25 mg</t>
  </si>
  <si>
    <t>Hipertensi. Gagal jantung.</t>
  </si>
  <si>
    <t>Tablet 12.5 mg x 10 x 10</t>
  </si>
  <si>
    <t>Hamil, hipertensi dengan gejala hiponatrium.</t>
  </si>
  <si>
    <t>HARUS DENGAN RESEP DOKTER. Penyakit ginjal, penyakit aautoimun.</t>
  </si>
  <si>
    <t>captopril</t>
  </si>
  <si>
    <t>hipertensi  gagal jantung</t>
  </si>
  <si>
    <t>acepress</t>
  </si>
  <si>
    <t>acepress tablet captopril hipertensi  gagal jantung</t>
  </si>
  <si>
    <t>DKL0734607010B1</t>
  </si>
  <si>
    <t>Cameloc 15 mg 10 Tablet</t>
  </si>
  <si>
    <t>Rp16.300 - Rp21.400</t>
  </si>
  <si>
    <t>PENGGUNAAN OBAT INI HARUS SESUAI DENGAN PETUNJUK DOKTER. Osteoartritis : 7,5 mg sekali sehari, memungkinkan untuk ditingkatkan menjadi 15 mg sekali sehari.</t>
  </si>
  <si>
    <t>Osteoartritis, artritis reumatoid.</t>
  </si>
  <si>
    <t>Hipersensitif terhadap Aspirin dan obat-obat anti inflamasi non steroid lainnya.</t>
  </si>
  <si>
    <t>HARUS DENGAN RESEP DOKTER. Riwayat penyakit saluran pencernaan, gangguan fungsi hati atau ginjal, penyakit hati, dehidrasi, hipertensi, asma, usia lanjut.</t>
  </si>
  <si>
    <t>osteoartritis , artritis reumatoid</t>
  </si>
  <si>
    <t>cameloc</t>
  </si>
  <si>
    <t>cameloc tablet meloxicam osteoartritis  artritis reumatoid</t>
  </si>
  <si>
    <t>DKL1704527296A1</t>
  </si>
  <si>
    <t>Natrilix SR 1.5 mg 10 Tablet</t>
  </si>
  <si>
    <t>Rp97.400 - Rp136.600</t>
  </si>
  <si>
    <t>PENGGUNAAN OBAT INI HARUS SESUAI DENGAN PETUNJUK DOKTER. 1 tablet perhari</t>
  </si>
  <si>
    <t>Dus, 3 Strip @ 10 tablet salut pelepasan lambat</t>
  </si>
  <si>
    <t>Hipersensitif terhadap sulfonamid, gagal ginjal akut atau hati berat, ensefalopati hepatik, hipokalemia. Riwayat kecelakaan serebro vaskular.</t>
  </si>
  <si>
    <t>HARUS DENGAN RESEP DOKTER. Hamil, laktasi, riwayat alergi terhadap derivat sulfonamid harus dimonitor secara ketat, monitor kadar K dan asam urat serum pada pasien dengan predisposisi hipokalemia atau gout. Kategori Kehamilan : B</t>
  </si>
  <si>
    <t>indapamide</t>
  </si>
  <si>
    <t>natrilix sr</t>
  </si>
  <si>
    <t>natrilix sr tablet indapamide hipertensi esensial</t>
  </si>
  <si>
    <t>Serenity Walking Stick FS-921</t>
  </si>
  <si>
    <t>Rp146.500 - Rp155.600</t>
  </si>
  <si>
    <t>serenity walking stick fs</t>
  </si>
  <si>
    <t xml:space="preserve">serenity walking stick fs larutan povidoneiodine </t>
  </si>
  <si>
    <t>DKL0618820533A1</t>
  </si>
  <si>
    <t>Fuzide Sirup 60 ml</t>
  </si>
  <si>
    <t>Rp49.600 - Rp55.600</t>
  </si>
  <si>
    <t>Dapat dikonsumsi sesudah makan</t>
  </si>
  <si>
    <t>PENGGUNAAN OBAT INI HARUS SESUAI DENGAN PETUNJUK DOKTER. Dewasa :1-2 sdt 3 kali sehari. Anak dan bayi diatas 6 bulan 1 sendok takar 3 kali sehari, anak usia dibawah 6 bulan 1sendok takar 2 kali sehari.</t>
  </si>
  <si>
    <t>INFORMASI OBAT INI HANYA UNTUK KALANGAN MEDIS. Untuk mengobati diare</t>
  </si>
  <si>
    <t>Hipersensitif, penderita gangguan fungsi hati dan ginjal, bayi premature dan baru lahir yang berusia antara 0-1 bulan.</t>
  </si>
  <si>
    <t>HARUS DENGAN RESEP DOKTER. Gangguan neurologik, penyakit ginjal, penyakit hati.</t>
  </si>
  <si>
    <t>untuk mengobati diare</t>
  </si>
  <si>
    <t>fuzide</t>
  </si>
  <si>
    <t>fuzide suspensi nifuroxazide untuk mengobati diare</t>
  </si>
  <si>
    <t>amoxicillin trihydrate potassium clavulanate</t>
  </si>
  <si>
    <t xml:space="preserve">coyarin kaplet amoxicillin trihydrate potassium clavulanate </t>
  </si>
  <si>
    <t>Serenity Walking Stick FS-922</t>
  </si>
  <si>
    <t>Rp130.100 - Rp139.900</t>
  </si>
  <si>
    <t>DKL0121200853A1</t>
  </si>
  <si>
    <t>Profenid Suppositoria 100 mg</t>
  </si>
  <si>
    <t>Rp23.800 - Rp26.200</t>
  </si>
  <si>
    <t>Dimasukkan melalui dubur</t>
  </si>
  <si>
    <t>PENGGUNAAN OBAT INI HARUS SESUAI DENGAN PETUNJUK DOKTER. Sebagai supp: 100 mg sekali sehari pada malam hari, atau 100 mg dua kali sehari. Dapat ditambah dengan dosis oral sesuai kebutuhan. Maks: 200 mg setiap hari (dosis gabungan rektal dan oral). Gunakan dosis efektif terendah untuk durasi sesingkat mungkin.</t>
  </si>
  <si>
    <t>INFORMASI OBAT INI HANYA UNTUK KALANGAN MEDIS. Osteoarthritis, Rheumatoid arthritis.</t>
  </si>
  <si>
    <t>Dus, 2 Strip @ 5 Suppositoria</t>
  </si>
  <si>
    <t>Hipersensitivitas terhadap ketoprofen, aspirin, atau NSAID lainnya</t>
  </si>
  <si>
    <t>DKL0910808433A1</t>
  </si>
  <si>
    <t>Fladazol Sirup</t>
  </si>
  <si>
    <t>PENGGUNAAN OBAT INI HARUS SESUAI DENGAN PETUNJUK DOKTER. Trikomoniasis dewasa : 2 g dosis tunggal atau 2-3 x sehari 250-500 mg 7 hari berturut-turut, anak : 3x 5 mg/kgBB. infeksi anaerob dewasa : 7,5 mg/kgBB, amubiasis 3x750 mg, giardiasis 3x 250-500 mg</t>
  </si>
  <si>
    <t>Sesuai dosis</t>
  </si>
  <si>
    <t>Hipersensitif trimester kehamilan pertama</t>
  </si>
  <si>
    <t>sesuai dosis</t>
  </si>
  <si>
    <t>fladazol</t>
  </si>
  <si>
    <t>fladazol suspensi metronidazole benzoate sesuai dosis</t>
  </si>
  <si>
    <t>DKL0122717510A1</t>
  </si>
  <si>
    <t>Ericaf 10 Tablet</t>
  </si>
  <si>
    <t>PENGGUNAAN OBAT INI HARUS SESUAI DENGAN PETUNJUK DOKTER. Dimulai 2 tablet saat serangan, kemudian 1 tablet setiap 30 menit jika diperlukan. Dosis Maksimal 6 tablet per hari.</t>
  </si>
  <si>
    <t>INFORMASI OBAT INI HANYA UNTUK KALANGAN MEDIS. Serangan migraine akut.</t>
  </si>
  <si>
    <t>Dus 10 Strip @ 10 Tablet</t>
  </si>
  <si>
    <t>Hipersensitivitas. Kehamilan dan laktasi. Gangguan ginjal dan hati yang berat. Penggunaan bersama inhibitor CYP3A4 (seperti antijamur azol, penghambat protease, antibiotik makrolida).</t>
  </si>
  <si>
    <t>HARUS DENGAN RESEP DOKTER. Tidak boleh digunakan pada ibu hamil dan menyusui. Pasien dengan risiko atau predisposisi efek vaskular. Kategori Kehamilan : Kategori X: Kontraindikasi (tidak boleh digunakan). Terdapat hasil penelitian terhadap hewan uji dan manusia yang memperlihatkan abnormalitas terhadap janin. Obat ini dikontraindikasikan untuk wanita hamil dan yang berkemungkinan untuk hamil.</t>
  </si>
  <si>
    <t>serangan migraine akut</t>
  </si>
  <si>
    <t>ericaf</t>
  </si>
  <si>
    <t>ericaf tablet caffeine serangan migraine akut</t>
  </si>
  <si>
    <t>flunarizine tablet flunarizine hydrochloride profilaksis migren</t>
  </si>
  <si>
    <t>Serenity Walking Stick FS-926</t>
  </si>
  <si>
    <t>Rp130.100 - Rp132.200</t>
  </si>
  <si>
    <t>TR033226691</t>
  </si>
  <si>
    <t>Lamandel 10 g 12 Sachet</t>
  </si>
  <si>
    <t>LAMANDEL</t>
  </si>
  <si>
    <t>Rp26.700 - Rp27.600</t>
  </si>
  <si>
    <t>Larutkan 1 sachet dalam 150 ml air hangat</t>
  </si>
  <si>
    <t>Minum 3 kali sehari secara teratur. Untuk menjaga kesehatan minum 1 kali sehari secara teratur</t>
  </si>
  <si>
    <t>Membantu meredakan tenggorokan kering</t>
  </si>
  <si>
    <t>Dus, 12 sachet @ 10 gram</t>
  </si>
  <si>
    <t>Tidak diperkenankan untuk ibu hamil</t>
  </si>
  <si>
    <t>Simpan dibawah suhu 30 C, kering dan terlindung cahaya matahari langsung.</t>
  </si>
  <si>
    <t>lamandel</t>
  </si>
  <si>
    <t>membantu meredakan tenggorokan kering</t>
  </si>
  <si>
    <t>lamandel sachet membantu meredakan tenggorokan kering</t>
  </si>
  <si>
    <t>Sutra Lubricant 5 ml</t>
  </si>
  <si>
    <t>Rp3.000 - Rp3.300</t>
  </si>
  <si>
    <t>Sachet @ 5 ml</t>
  </si>
  <si>
    <t>Serenity Walking Stick FS-940L</t>
  </si>
  <si>
    <t>Rp144.200 - Rp214.300</t>
  </si>
  <si>
    <t>serenity walking stick fsl</t>
  </si>
  <si>
    <t xml:space="preserve">serenity walking stick fsl larutan povidoneiodine </t>
  </si>
  <si>
    <t>Sidola Minyak Telon 30 ml</t>
  </si>
  <si>
    <t>Rp8.000 - Rp16.500</t>
  </si>
  <si>
    <t>Sensi Nurse Caps 100 Pieces</t>
  </si>
  <si>
    <t>Rp75.800 - Rp105.600</t>
  </si>
  <si>
    <t>Dus @ 50 Pieces</t>
  </si>
  <si>
    <t>sensi nurse caps pieces</t>
  </si>
  <si>
    <t xml:space="preserve">sensi nurse caps pieces larutan povidoneiodine </t>
  </si>
  <si>
    <t>DKL9807105710A1</t>
  </si>
  <si>
    <t>Fimediab 5 mg 10 Tablet</t>
  </si>
  <si>
    <t>Rp1.800 - Rp2.100</t>
  </si>
  <si>
    <t>Setelah makan pagi</t>
  </si>
  <si>
    <t>PENGGUNAAN OBAT INI HARUS SESUAI DENGAN PETUNJUK DOKTER. Dosis awal 1/2-1 tablet</t>
  </si>
  <si>
    <t>DM tipe 2</t>
  </si>
  <si>
    <t>Dus 10X10 Tab</t>
  </si>
  <si>
    <t>dm tipe 2</t>
  </si>
  <si>
    <t>fimediab</t>
  </si>
  <si>
    <t>fimediab kaplet glibenclamide dm tipe 2</t>
  </si>
  <si>
    <t>Serenity Compressor Nebulizer SR-212C</t>
  </si>
  <si>
    <t>serenity compressor nebulizer src</t>
  </si>
  <si>
    <t xml:space="preserve">serenity compressor nebulizer src larutan povidoneiodine </t>
  </si>
  <si>
    <t>DKL1112425310A1</t>
  </si>
  <si>
    <t>Heplav 100 mg 30 Tablet</t>
  </si>
  <si>
    <t>Rp173.700 - Rp212.200</t>
  </si>
  <si>
    <t>sebelum atau sesudah makan</t>
  </si>
  <si>
    <t>PENGGUNAAN OBAT INI HARUS SESUAI DENGAN PETUNJUK DOKTER. 1 tablet/ hari</t>
  </si>
  <si>
    <t>Hepatitis B kronik</t>
  </si>
  <si>
    <t>HARUS DENGAN RESEP DOKTER. - Alergi - Penyakit ginjal, penyakit pankreas Kategori Kehamilan : C</t>
  </si>
  <si>
    <t>lamivudine</t>
  </si>
  <si>
    <t>hepatitis b kronik</t>
  </si>
  <si>
    <t>heplav</t>
  </si>
  <si>
    <t>heplav tablet lamivudine hepatitis b kronik</t>
  </si>
  <si>
    <t>- KOMBINASI-PANTOPRAZOLE SODIUM BLEND 27.5</t>
  </si>
  <si>
    <t>kombinasi-pantoprazole sodium blend 275</t>
  </si>
  <si>
    <t xml:space="preserve">vomizole tablet kombinasipantoprazole sodium blend 275 </t>
  </si>
  <si>
    <t>DKL0402336310A2</t>
  </si>
  <si>
    <t>Mevilox 7.5 mg 10 Tablet</t>
  </si>
  <si>
    <t>Rp75.100 - Rp78.300</t>
  </si>
  <si>
    <t>Osteoartritis atau artritis reumatoid</t>
  </si>
  <si>
    <t>1 Dos Isi 3 Blister X 10 Tablet</t>
  </si>
  <si>
    <t>Hipersensitif terhadap Aspirin dan obat-obat anti inflamasi non steroid lainnya. Penyakit ginjal berat. Wanita hamil, ibu menyusui, anak-anak. Ulserasi peptikum aktif atau berulang. Insufisiensi ginjal berat non dialisa. Perdarahan saluran cerna, perdarahan pembuluh darah otak, atau gangguan perdarahan lainnya.</t>
  </si>
  <si>
    <t>HARUS DENGAN RESEP DOKTER. Riwayat penyakit saluran pencernaan, gangguan fungsi hati atau ginjal, penyakit hati, dehidrasi, hipertensi, asma, usia lanjut. Interaksi obat : resiko perdarahan meningkat jika diberikan dengan obat-obat anti inflamasi non steroid, antikoagulan oral, Tiklopidin, heparin, trombolitik, Litium, Metotreksat. penurunan efek antihipertensi. peningkatan nefrotoksisitas Siklosporin. penggunaan bersama kortikosteroid meningkatkan resiko tukak lambung. konsentrasi dalam serum meningkat oleh Aspirin.</t>
  </si>
  <si>
    <t>osteoartritis artritis reumatoid</t>
  </si>
  <si>
    <t>mevilox</t>
  </si>
  <si>
    <t>mevilox tablet meloxicam osteoartritis artritis reumatoid</t>
  </si>
  <si>
    <t>Kapas Pembalut Husada 100 gram</t>
  </si>
  <si>
    <t>Rp10.500 - Rp21.300</t>
  </si>
  <si>
    <t>Pack 100 G</t>
  </si>
  <si>
    <t>Nodata</t>
  </si>
  <si>
    <t>kapas pembalut husada gram</t>
  </si>
  <si>
    <t xml:space="preserve">kapas pembalut husada gram larutan povidoneiodine </t>
  </si>
  <si>
    <t>DKI1729000610A1</t>
  </si>
  <si>
    <t>Feburic 80 mg 10 Tablet</t>
  </si>
  <si>
    <t>Rp266.400 - Rp293.000</t>
  </si>
  <si>
    <t>Diminum dengan atau tanpa makanan</t>
  </si>
  <si>
    <t>PENGGUNAAN OBAT INI HARUS SESUAI DENGAN PETUNJUK DOKTER. Dosis awal : 40 mg sekali sehari. Dosis dapat ditingkatkan menjadi 80 mg sekali sehari jika kadar asam urat masih di atas 6 mg/dL setelah 2 minggu.</t>
  </si>
  <si>
    <t>Penggunaan bersama dengan azathioprine dan/atau mercaptopurine.</t>
  </si>
  <si>
    <t>HARUS DENGAN RESEP DOKTER. Pasien hipersensitif terhadap allopurinol.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</si>
  <si>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feburic</t>
  </si>
  <si>
    <t>feburic tablet febuxostat hiperuresemia pasien gout</t>
  </si>
  <si>
    <t>Kapas Pembalut Husada 25 gram</t>
  </si>
  <si>
    <t>Rp3.300 - Rp6.700</t>
  </si>
  <si>
    <t>1 Pcs</t>
  </si>
  <si>
    <t>DKL2005064617A1</t>
  </si>
  <si>
    <t>Festaric 40 mg 10 Tablet</t>
  </si>
  <si>
    <t>Rp55.400 - Rp61.100</t>
  </si>
  <si>
    <t>Strip @ 10 Tablet</t>
  </si>
  <si>
    <t>festaric</t>
  </si>
  <si>
    <t>festaric tablet febuxostat hiperuresemia pasien gout</t>
  </si>
  <si>
    <t>DKL9709207004A1</t>
  </si>
  <si>
    <t>Alofar 100 mg 10 Kaplet</t>
  </si>
  <si>
    <t>Rp6.400 - Rp7.300</t>
  </si>
  <si>
    <t>PENGGUNAAN OBAT INI HARUS SESUAI DENGAN PETUNJUK DOKTER. Dewasa : Awal : sehari 100-300 mg. Pemeliharaan : sehari 200-600 mg. Maksimal : 300 mg. Bila diperlukan dapat diberikan dosis yang lebih tinggi, maksimal sehari 900 mg. Dosis harus disesuaikan dengan cara pemantauan asam urat dalam serum/air seni.</t>
  </si>
  <si>
    <t>INFORMASI OBAT INI HANYA UNTUK KALANGAN MEDIS. Hiperurisemia primer : gout</t>
  </si>
  <si>
    <t>hipersensitif, tidak untuk gout akut</t>
  </si>
  <si>
    <t>Obat Wajib Apotek, Obat ini dapat dibeli dan diserahkan apoteker tanpa resep dengan maksimum 1 Strip. Pembelian melebihi batas ini WAJIB RESEP DOKTER. Hindari penggunaan pada penderita kelainan fungsi ginjal atau penderita hiperurisemia asimptomatik, pada penderita kerusakan fungsi hati, dianjurkan untuk melakukan tes fungsi hati berkala selama tahap perawatan, keuntungan dan risiko penggunaan allopurinol pada ibu hamil dan menyusui harus dipertimbangkan terhadap janin, bayi atau ibunya, allopurinol dapat menyebabkan kantuk, hati-hati penggunaan pada penderita yang harus bekerja dengan konsentrasi penuh termasuk mengemudi dan menjalankan mesin, sebaiknya allopurinol diminum setelah makan untuk mengurangi iritasi lambung, dianjurkan untuk meningkatkan pemberian cairan selama penggunaan allopurinol untuk menghindari terjadinya batu ginjal Kategori Kehamilan : C</t>
  </si>
  <si>
    <t>hiperurisemia primer gout</t>
  </si>
  <si>
    <t>alofar</t>
  </si>
  <si>
    <t>alofar kaplet allopurinol hiperurisemia primer gout</t>
  </si>
  <si>
    <t>DKL2005064617B1</t>
  </si>
  <si>
    <t>Festaric 80 mg 10 Tablet</t>
  </si>
  <si>
    <t>DKL2131548517B1</t>
  </si>
  <si>
    <t>Genalsik 40 mg 10 Tablet</t>
  </si>
  <si>
    <t>guaifenesin bromhexine hydrochloride</t>
  </si>
  <si>
    <t xml:space="preserve">rexcof plus sirup guaifenesin bromhexine hydrochloride </t>
  </si>
  <si>
    <t>DBL9315607810A2</t>
  </si>
  <si>
    <t>Arcapec 10 Tablet</t>
  </si>
  <si>
    <t>Rp9.800 - Rp15.500</t>
  </si>
  <si>
    <t>Bersamaan dengan makanan atau tidak</t>
  </si>
  <si>
    <t>Dewasa dan anak berusia di atas 12 tahun : 2 tablet setelah buang air besar (maksimum 12 tablet sehari).</t>
  </si>
  <si>
    <t>Diare non spesifik.</t>
  </si>
  <si>
    <t>Tablet 10 X 10'S</t>
  </si>
  <si>
    <t>Jangan diberikan pada pasien, dimana konstipasi harus dihindari.</t>
  </si>
  <si>
    <t>Jangan digunakan lebih dari 2 hari atau pada keadaan demam tinggi. Jangan diberikan pada bayi atau anak dibawah 6 tahun, kecuali atas resep dokter,Diare dapat mengakibatkan kehilangan cairan dan elektrolit, karena itu terapi rehidrasi mungkin diperlukan, terutama pada anak-anak. Dapat mempengaruhi absorpsi saluran pencernaan dari obat-obat lain, karena itu dianjurkan interval waktu 2-3 jam antara pemberian oral obat-obat lain dengan obat ini.</t>
  </si>
  <si>
    <t>diare non spesifik</t>
  </si>
  <si>
    <t>arcapec</t>
  </si>
  <si>
    <t>arcapec tablet attapulgite diare non spesifik</t>
  </si>
  <si>
    <t>Serenity Hearing Aid SR-80BTE</t>
  </si>
  <si>
    <t>Rp521.700 - Rp571.500</t>
  </si>
  <si>
    <t>serenity hearing aid srbte</t>
  </si>
  <si>
    <t xml:space="preserve">serenity hearing aid srbte larutan povidoneiodine </t>
  </si>
  <si>
    <t>pseudoephedrine hydrochloride chlorphenamine maleate</t>
  </si>
  <si>
    <t xml:space="preserve">flukid sirup pseudoephedrine hydrochloride chlorphenamine maleate </t>
  </si>
  <si>
    <t>Liferesources Cartoon Bandage 30 Pieces</t>
  </si>
  <si>
    <t>Dus @ 30 pieces</t>
  </si>
  <si>
    <t>liferesources cartoon bandage pieces</t>
  </si>
  <si>
    <t xml:space="preserve">liferesources cartoon bandage pieces larutan povidoneiodine </t>
  </si>
  <si>
    <t>Octenic Gel Advanced Wound Protection 20 g</t>
  </si>
  <si>
    <t>Rp62.000 - Rp87.900</t>
  </si>
  <si>
    <t>Dus, Tube 20 gram</t>
  </si>
  <si>
    <t>octenic advanced wound protection</t>
  </si>
  <si>
    <t xml:space="preserve">octenic advanced wound protection larutan povidoneiodine </t>
  </si>
  <si>
    <t>DKL0504424733A1</t>
  </si>
  <si>
    <t>Enystin Drops 12 ml</t>
  </si>
  <si>
    <t>Sebelum atau sesudah makan, kocok/kumur dan ditahan di dalam mulut selama mungkin sebelum ditelan</t>
  </si>
  <si>
    <t>PENGGUNAAN OBAT INI HARUS SESUAI DENGAN PETUNJUK DOKTER. Dewasa, anak dan bayi : 4 x sehari 1 mL. Terapi harus dilanjutkan dengan dosis yang sama hingga 48 jam paska semua gejala menghilang</t>
  </si>
  <si>
    <t>Kandidiasis rongga mulut</t>
  </si>
  <si>
    <t>Botol 12 ml Dalam Dus</t>
  </si>
  <si>
    <t>Pasien dengan riwayat hipersensitivitas terhadap nistatin</t>
  </si>
  <si>
    <t>HARUS DENGAN RESEP DOKTER. Tidak boleh digunakan untuk menobati mikosis sistemik. Iritasi 8 sensitisasi (hentikan terapi). Pemeriksaan apus dengan KOH, kultur, atau metode diagnostik lain harus dilakuakan untuk menegakkan diagnosa kandidiasis danuntuk menyingkirkan kemungkinan adan</t>
  </si>
  <si>
    <t>kandidiasis rongga mulut</t>
  </si>
  <si>
    <t>enystin</t>
  </si>
  <si>
    <t>enystin suspensi nystatin kandidiasis rongga mulut</t>
  </si>
  <si>
    <t>DKL9722220033A1</t>
  </si>
  <si>
    <t>Nymiko Drops 12 ml</t>
  </si>
  <si>
    <t>Rp42.000 - Rp49.700</t>
  </si>
  <si>
    <t>PENGGUNAAN OBAT INI HARUS SESUAI DENGAN PETUNJUK DOKTER. Dewasa : 4 kali sehari 5 mL Bayi dan anak : 4 kali sehari 1 mL. infeksi pada rongga mulut karena candida albicans : kumur-kumur suspensi sebelum di telan</t>
  </si>
  <si>
    <t>INFORMASI OBAT INI HANYA UNTUK KALANGAN MEDIS. Osteoarthritis &amp; Arthritis rheumatoid</t>
  </si>
  <si>
    <t>osteoarthritis arthritis rheumatoid</t>
  </si>
  <si>
    <t>nymiko</t>
  </si>
  <si>
    <t>nymiko suspensi nystatin osteoarthritis arthritis rheumatoid</t>
  </si>
  <si>
    <t>DKL0402336310B2</t>
  </si>
  <si>
    <t>Mevilox 15 mg 10 Tablet</t>
  </si>
  <si>
    <t>Rp111.600 - Rp113.900</t>
  </si>
  <si>
    <t>1 Dos Isi 2 Blister X 10 Tablet</t>
  </si>
  <si>
    <t>DTL9117802437A1</t>
  </si>
  <si>
    <t>Nichodryl Sirup 60 ml</t>
  </si>
  <si>
    <t>Rp8.200 - Rp14.100</t>
  </si>
  <si>
    <t>Dewasa : 3-4 kali sehari 1-2 sendok teh. Anak-anak : 3-4 kali sehari 1/2-1 sendok teh.</t>
  </si>
  <si>
    <t>Menghilangkan batuk karena alergi.</t>
  </si>
  <si>
    <t>Bayi baru lahir atau bayi prematur.</t>
  </si>
  <si>
    <t>Rasa kantuk yang berlebihan. Anak berusia kurang dari 2 tahun. Glaukoma sudut sempit, hipertropi prostat, retensi urin, asma.</t>
  </si>
  <si>
    <t>menghilangkan batuk alergi</t>
  </si>
  <si>
    <t>nichodryl</t>
  </si>
  <si>
    <t>nichodryl sirup ammonium chloride menghilangkan batuk alergi</t>
  </si>
  <si>
    <t>DTL7613004337A1</t>
  </si>
  <si>
    <t>Anakonidin Sirup 60 ml</t>
  </si>
  <si>
    <t>Rp14.300 - Rp17.000</t>
  </si>
  <si>
    <t>Anak 2-5 tahun : 3 kali sehari 1 sendok takar (5 ml). Anak 6-12 tahun : 3 kali sehari 2 sendok takar (10 ml).</t>
  </si>
  <si>
    <t>Meringankan batuk &amp; pilek.</t>
  </si>
  <si>
    <t>Penderita penderita dengan gangguan fungsi hati yang berat, gangguan jantung dan diabetes militus. Penderita yang hipersensitif terhadap komponen obat ini.</t>
  </si>
  <si>
    <t>Dapat menyebabkan kantuk, tidak dianjurkan mengemudi setelah konsumsi obat ini</t>
  </si>
  <si>
    <t>meringankan batuk pilek</t>
  </si>
  <si>
    <t>anakonidin</t>
  </si>
  <si>
    <t>anakonidin sirup chlorphenamine maleate meringankan batuk pilek</t>
  </si>
  <si>
    <t>DKL2006421437A1</t>
  </si>
  <si>
    <t>Levotusin Sirup 120 ml</t>
  </si>
  <si>
    <t>Rp89.900 - Rp92.300</t>
  </si>
  <si>
    <t>PENGGUNAAN OBAT INI HARUS SESUAI DENGAN PETUNJUK DOKTER. Dewasa : 3 x sehari 2 sendok teh per hari. Anak &gt;12: tahun Sama seperti dosis dewasa. Anak 2-12 tahun: 1 mg/kg/dosis hingga 3 x sehari dengan interval minimal 6 jam. Maks: 3 mg/kg setiap hari.</t>
  </si>
  <si>
    <t>INFORMASI OBAT INI HANYA UNTUK KALANGAN MEDIS. Terapi simptomatikbatuk non produktif</t>
  </si>
  <si>
    <t>Dus, 1 Botol @ 120 ml</t>
  </si>
  <si>
    <t>terapi simptomatikbatuk non produktif</t>
  </si>
  <si>
    <t>levotusin</t>
  </si>
  <si>
    <t>levotusin sirup levodropropizine terapi simptomatikbatuk non produktif</t>
  </si>
  <si>
    <t xml:space="preserve">sidiadryl expectorant sirup diphenhydramine hydrochloride ammonium chloride </t>
  </si>
  <si>
    <t>Anakonidin Sirup 30 ml</t>
  </si>
  <si>
    <t>Rp4.200 - Rp9.400</t>
  </si>
  <si>
    <t>Anak 2-5 tahun : 3 kali sehari 1 sendok takar (5 mL). Anak 6-12 tahun : 3 kali sehari 2 sendok takar (10 mL)</t>
  </si>
  <si>
    <t>jangan diberikan untuk pasien yang memiliki riwayat hipersensitif terhadap salah satu komponen obat ini.Pasien yang memiliki kepekaan terhadap obat simpatomimetik lain seperti efedrin, pseudoefedrin, fenilefrin juga dikontraindikasikan menggunakan obat ini.</t>
  </si>
  <si>
    <t>DKL7206102636A1</t>
  </si>
  <si>
    <t>Mercotin Drops 20 ml</t>
  </si>
  <si>
    <t>Rp105.500 - Rp123.900</t>
  </si>
  <si>
    <t>PENGGUNAAN OBAT INI HARUS SESUAI DENGAN PETUNJUK DOKTER. Dewasa : 10 tetes. Anak 6-12 tahun : 5 tetes. Bayi : 2 tetes. Semua dosis diberikan 3-4 x sehari</t>
  </si>
  <si>
    <t>INFORMASI OBAT INI HANYA UNTUK KALANGAN MEDIS. Semua kondisi yang memerlukan efek antitusif</t>
  </si>
  <si>
    <t>Hipersensitif, asma bronkial</t>
  </si>
  <si>
    <t>dextromethorphan hydrobromide diphenhydramine hydrochloride</t>
  </si>
  <si>
    <t xml:space="preserve">siladex dmp sirup dextromethorphan hydrobromide diphenhydramine hydrochloride </t>
  </si>
  <si>
    <t>TR142481601</t>
  </si>
  <si>
    <t>Sinargi Santopect 300 mg 60 Pil</t>
  </si>
  <si>
    <t>SINARGI SANTOPECT</t>
  </si>
  <si>
    <t>Rp402.500 - Rp500.600</t>
  </si>
  <si>
    <t>Diminum dengan air hangat</t>
  </si>
  <si>
    <t>3 kali sehari 5 pil</t>
  </si>
  <si>
    <t>Membantu meredakan gejala panas dalam</t>
  </si>
  <si>
    <t>sinargi santopect</t>
  </si>
  <si>
    <t>membantu meredakan gejala panas</t>
  </si>
  <si>
    <t>sinargi santopect pil membantu meredakan gejala panas</t>
  </si>
  <si>
    <t>QD083908021</t>
  </si>
  <si>
    <t>Cap Dragon Menthol Gosok Los SP 8 g</t>
  </si>
  <si>
    <t>Rp12.000 - Rp13.400</t>
  </si>
  <si>
    <t>1 Pieces 8 g</t>
  </si>
  <si>
    <t>mentholum</t>
  </si>
  <si>
    <t>cap dragon menthol gosok los sp</t>
  </si>
  <si>
    <t xml:space="preserve">cap dragon menthol gosok los sp  mentholum </t>
  </si>
  <si>
    <t>DTL9122704010A1</t>
  </si>
  <si>
    <t>Scantoma 375 mg 10 Tablet</t>
  </si>
  <si>
    <t>Rp18.300 - Rp19.400</t>
  </si>
  <si>
    <t>Untuk pengobatan simptomatik Dewasa : 2 tablet. Anak 6-12 tahun : 1 tablet. Anak 3-6 tahun : 1/2 tablet. Dosis dapat diulang tiap 30 menit sampai dengan maksimal 8 dosis/24 jam. Untuk pencegahan (untuk Dewasa) selama perjalanan : 2 tablet 4kali/hari, selama 3 minggu.</t>
  </si>
  <si>
    <t>Diare non-spesifik</t>
  </si>
  <si>
    <t>Tablet 375 Mg X 10 X 10</t>
  </si>
  <si>
    <t>Alergi terhadap salisilat</t>
  </si>
  <si>
    <t>Pemakaian jangka panjang.</t>
  </si>
  <si>
    <t>diare non - spesifik</t>
  </si>
  <si>
    <t>scantoma</t>
  </si>
  <si>
    <t>scantoma tablet bismuth subsalicylate diare non  spesifik</t>
  </si>
  <si>
    <t>DKL9313007809A1</t>
  </si>
  <si>
    <t>Biolergy 50 mg 10 Tablet</t>
  </si>
  <si>
    <t>Rp9.000 - Rp12.800</t>
  </si>
  <si>
    <t>Diminum setelah makan</t>
  </si>
  <si>
    <t>PENGGUNAAN OBAT INI HARUS SESUAI DENGAN PETUNJUK DOKTER. - Dewasa dan anak usia di atas 10 tahun: Sehari 2-6 tablet. - Anak usia 5-10 tahun: Sehari 2-4 tablet. - Anak usia 2-5 tahun: Sehari 1-3 tablet. - Anak usia kurang dari 2 tahun: Sehari 50-100 mg/hari. Dosis diberikan dalam dosis terbagi.</t>
  </si>
  <si>
    <t>INFORMASI OBAT INI HANYA UNTUK KALANGAN MEDIS. Alergi, termasuk urtikaria, rinitis</t>
  </si>
  <si>
    <t>Hipersensitif terhadap komponen obat. Sebaiknya tidak digunakan pada bayi prematur dan bayi baru lahir, hipertrofi prostat, glaukoma (peningkatan tekanan bola mata), dan penderita asma akut.</t>
  </si>
  <si>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ini.Dapat mengganggu kemampuan mengemudi atau mengoperasikan mesin.</t>
  </si>
  <si>
    <t>mebhydrolin napadisilate</t>
  </si>
  <si>
    <t>alergi , urtikaria , rinitis</t>
  </si>
  <si>
    <t>biolergy</t>
  </si>
  <si>
    <t>biolergy kaplet mebhydrolin napadisilate alergi  urtikaria  rinitis</t>
  </si>
  <si>
    <t>attapulgite pectin</t>
  </si>
  <si>
    <t>arcapec tablet attapulgite pectin diare non spesifik</t>
  </si>
  <si>
    <t>DKL0233402704A1</t>
  </si>
  <si>
    <t>Colidium 2 mg 10 Kaplet</t>
  </si>
  <si>
    <t>Rp1.900 - Rp3.300</t>
  </si>
  <si>
    <t>PENGGUNAAN OBAT INI HARUS SESUAI DENGAN PETUNJUK DOKTER. Untuk diare akut Dewasa : awal 2 tablet, diikuti 1 tablet setiap BAB. Untuk diare kronik : awal 2 tablet, diberikan sampai didapatkan 1-2 fesesnya padat/hari. Maksimal : 8 tablet/hari.</t>
  </si>
  <si>
    <t>Diare akut dan kronik</t>
  </si>
  <si>
    <t>Dus, 10 Blister @ 10 Kaptab</t>
  </si>
  <si>
    <t>Gangguan fungsi hati, anak &lt; 12 tahun, hindari inhibisi peristaltik.</t>
  </si>
  <si>
    <t>HARUS DENGAN RESEP DOKTER. Gagal ginjal dan hati, tidak dianjurkan untuk diare akut akibat infeksi E Coli, Salmonella dan Shingella, diare disertai demam tinggi atau feses berdarah. Hamil, laktasi, dan Anak. Kategori Kehamilan : C</t>
  </si>
  <si>
    <t>diare akut kronik</t>
  </si>
  <si>
    <t>colidium</t>
  </si>
  <si>
    <t>colidium kaplet loperamide hydrochloride diare akut kronik</t>
  </si>
  <si>
    <t>DBL9330903310A1</t>
  </si>
  <si>
    <t>Molagit 10 Tablet</t>
  </si>
  <si>
    <t>Rp7.600 - Rp9.200</t>
  </si>
  <si>
    <t>Dewasa dan Anak &gt; 12 tahun : 2 tablet tiap kali sesudah BAB. Maksimal 12 tablet/hari. Anak 6-12 tahun : 1 tablet tiap kali sesudah BAB. Maksimal 6 tablet/hari.</t>
  </si>
  <si>
    <t>Meredakan diare non spesifik.</t>
  </si>
  <si>
    <t>Konstipasi, obstruksi intestinal atau hipersensitif terhadap komponen dalam produk.</t>
  </si>
  <si>
    <t>Tidak digunakan &gt; 2 hari atau bila disertai demam tinggi. Anak 3-6 tahun.</t>
  </si>
  <si>
    <t>meredakan diare non spesifik</t>
  </si>
  <si>
    <t>molagit</t>
  </si>
  <si>
    <t>molagit tablet attapulgite meredakan diare non spesifik</t>
  </si>
  <si>
    <t>HT192300781</t>
  </si>
  <si>
    <t>Diapet 4 Kapsul</t>
  </si>
  <si>
    <t>DIAPET</t>
  </si>
  <si>
    <t>Rp3.300 - Rp3.700</t>
  </si>
  <si>
    <t>Dewasa: Sehari 2 kali 2 kapsul Untuk diare akut: 2 kali 2 kapsul, dengan selang waktu 1 jam</t>
  </si>
  <si>
    <t>Membantu mengurangi frekuansi buang air besar</t>
  </si>
  <si>
    <t>Dus, 25 Blister @ 4 Kapsul</t>
  </si>
  <si>
    <t>Tidak boleh diberikan pada anak dibawah 5 tahun dan penderita harus minum oralit. Bila dalam penggunaan 3 hari tidak sembuh segera hubungi dokter.</t>
  </si>
  <si>
    <t>diapet</t>
  </si>
  <si>
    <t>membantu mengurangi frekuansi buang air</t>
  </si>
  <si>
    <t>diapet kapsul membantu mengurangi frekuansi buang air</t>
  </si>
  <si>
    <t>DKL7817622310A1</t>
  </si>
  <si>
    <t>Interhistin 50 mg 10 Tablet</t>
  </si>
  <si>
    <t>Rp12.100 - Rp14.800</t>
  </si>
  <si>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</si>
  <si>
    <t>interhistin</t>
  </si>
  <si>
    <t>interhistin tablet mebhydrolin napadisilate alergi  urtikaria  rinitis</t>
  </si>
  <si>
    <t>DKL9306409410A1</t>
  </si>
  <si>
    <t>Dexteem Plus 10 Tablet</t>
  </si>
  <si>
    <t>Rp4.100 - Rp5.700</t>
  </si>
  <si>
    <t>Dus, 10 Strip @ 10 tablet</t>
  </si>
  <si>
    <t>HARUS DENGAN RESEP DOKTER. Gagal Jantung, hipertensi, DM, Infeksi, gagal ginjal kronik, uremia, stres, usia lanjut, glaukoma sudut sempit, hipertrofi prostat, hamil. Jangan menggunakan/mengemudi mesin apabila menggunakan obat ini.</t>
  </si>
  <si>
    <t>dexteem plus</t>
  </si>
  <si>
    <t>dexteem plus tablet dexamethasone alergi terapi kostikosteroid</t>
  </si>
  <si>
    <t>DTL7207811337A1</t>
  </si>
  <si>
    <t>Dexyl Sirup 60 ml</t>
  </si>
  <si>
    <t>Rp24.400 - Rp30.800</t>
  </si>
  <si>
    <t>Dewasa 3x sehari 2 sendok teh, Anak - anak diatas 2 thn 3x sehari 1/2 - 1 sendok teh.</t>
  </si>
  <si>
    <t>Batuk, flu, bronkitis</t>
  </si>
  <si>
    <t>Sirup 12 Mg/ 5 ml X 60 ml X 1</t>
  </si>
  <si>
    <t>Peny jantung, DM, gangguan fungsi hati yang berat.</t>
  </si>
  <si>
    <t>Gangguan fungsi ginjal dan hati, glaukoma, hipertrofi prostat, hipertiroid, retensi urin. Dpt mengganggu kemampuan mengemudi atau menjalankan mesin. Anak kurang dari 6 tahun. Hamil dan laktasi.</t>
  </si>
  <si>
    <t>batuk , flu , bronkitis</t>
  </si>
  <si>
    <t>dexyl</t>
  </si>
  <si>
    <t>dexyl sirup ammonium chloride batuk  flu  bronkitis</t>
  </si>
  <si>
    <t>DTL9909212537A1</t>
  </si>
  <si>
    <t>Mezinex Sirup 60 ml</t>
  </si>
  <si>
    <t>Rp5.900 - Rp9.500</t>
  </si>
  <si>
    <t>guaifenesin promethazine hydrochloride ipecacuanha extract</t>
  </si>
  <si>
    <t>mezinex</t>
  </si>
  <si>
    <t xml:space="preserve">mezinex sirup guaifenesin promethazine hydrochloride ipecacuanha extract </t>
  </si>
  <si>
    <t>DTL7401801337A1</t>
  </si>
  <si>
    <t>Neonadryl Expectorant 60 ml</t>
  </si>
  <si>
    <t>Rp8.900 - Rp9.000</t>
  </si>
  <si>
    <t>neonadryl expectorant</t>
  </si>
  <si>
    <t xml:space="preserve">neonadryl expectorant sirup diphenhydramine hydrochloride ammonium chloride </t>
  </si>
  <si>
    <t>DKL0004126537A1</t>
  </si>
  <si>
    <t>Levopront Sirup 120 ml</t>
  </si>
  <si>
    <t>Rp70.600 - Rp96.900</t>
  </si>
  <si>
    <t>Pengeluaran mukus yang berlebihan atau fungsi mukosiliar yang terbatas (misalnya sindrom Kartagener atau diskinesia silia bronkial). Kerusakan hati yang parah.</t>
  </si>
  <si>
    <t>HARUS DENGAN RESEP DOKTER. Kewaspadaan khusus pada pasien dengan gangguan ginjal berat dan Anak-anak.</t>
  </si>
  <si>
    <t>levopront</t>
  </si>
  <si>
    <t>levopront sirup levodropropizine terapi simptomatikbatuk non produktif</t>
  </si>
  <si>
    <t>paracetamol guaifenesin chlorphenamine maleate</t>
  </si>
  <si>
    <t xml:space="preserve">pinkids cough suspensi paracetamol guaifenesin chlorphenamine maleate </t>
  </si>
  <si>
    <t>DTL1616703937A2</t>
  </si>
  <si>
    <t>Pacdin Cough Rasa Strawberry Sirup 60 ml</t>
  </si>
  <si>
    <t>Rp6.000 - Rp22.000</t>
  </si>
  <si>
    <t>pacdin cough rasa strawberry</t>
  </si>
  <si>
    <t xml:space="preserve">pacdin cough rasa strawberry sirup chlorphenamine maleate </t>
  </si>
  <si>
    <t>DBL0418818437A1</t>
  </si>
  <si>
    <t>Opilax Sirup 120 ml</t>
  </si>
  <si>
    <t>Diminum setalah makan</t>
  </si>
  <si>
    <t>Untuk konstipasi kronis: Dewasa : - Keadaan parah</t>
  </si>
  <si>
    <t>GKL1732302453A1</t>
  </si>
  <si>
    <t>Antihemoroid 2 g Suppositoria</t>
  </si>
  <si>
    <t>Rp4.400 - Rp4.500</t>
  </si>
  <si>
    <t>paracetamol pseudoephedrine hydrochloride chlorphenamine maleate</t>
  </si>
  <si>
    <t xml:space="preserve">ternix sirup paracetamol pseudoephedrine hydrochloride chlorphenamine maleate </t>
  </si>
  <si>
    <t>succus liquiritiae ammonium chloride</t>
  </si>
  <si>
    <t xml:space="preserve">obh nusantara sirup succus liquiritiae ammonium chloride </t>
  </si>
  <si>
    <t>pseudoephedrine hydrochloride guaifenesin dexchlorpheniramine maleate</t>
  </si>
  <si>
    <t xml:space="preserve">iafed sirup pseudoephedrine hydrochloride guaifenesin dexchlorpheniramine maleate </t>
  </si>
  <si>
    <t>TR212619631</t>
  </si>
  <si>
    <t>Pyfakof Ivy Sirup 60 ml</t>
  </si>
  <si>
    <t>PYFAKOF IVY</t>
  </si>
  <si>
    <t>Anak-anak: 1-6 tahun: 2 x sehari 2.5 ml 6-12 tahun: 3 x sehari 2.5 ml Dewasa: 3 x sehari 5 ml</t>
  </si>
  <si>
    <t>Membantu meredakan batuk berdahak.</t>
  </si>
  <si>
    <t>pyfakof ivy</t>
  </si>
  <si>
    <t>membantu meredakan batuk berdahak</t>
  </si>
  <si>
    <t>pyfakof ivy sirup membantu meredakan batuk berdahak</t>
  </si>
  <si>
    <t>DTL0807809833A1</t>
  </si>
  <si>
    <t>Pasaba Cough and Flu Syrup 60 ml</t>
  </si>
  <si>
    <t>Rp8.200 - Rp12.800</t>
  </si>
  <si>
    <t>pasaba cough and flu</t>
  </si>
  <si>
    <t xml:space="preserve">pasaba cough and flu suspensi chlorphenamine maleate </t>
  </si>
  <si>
    <t>TR163691141</t>
  </si>
  <si>
    <t>Probaflek Sirup 175 g</t>
  </si>
  <si>
    <t>PROBAFLEK</t>
  </si>
  <si>
    <t>Rp48.600 - Rp55.000</t>
  </si>
  <si>
    <t>1-2 tahun : 3 x sehari, 1 sendok teh . 2-12 tahun : 3 x sehari, 1 sendok makan . 12 tahun - dewasa : 3 x sehari 1-2 sendok makan</t>
  </si>
  <si>
    <t>Mengobati asthma, flek, batuk menahun</t>
  </si>
  <si>
    <t>Dus, Botol @ 175 ml</t>
  </si>
  <si>
    <t>probaflek</t>
  </si>
  <si>
    <t>mengobati asthma , flek , batuk menahun</t>
  </si>
  <si>
    <t>probaflek sirup mengobati asthma  flek  batuk menahun</t>
  </si>
  <si>
    <t>DBL8506405063A2</t>
  </si>
  <si>
    <t>Biomag Mps 10 Tablet</t>
  </si>
  <si>
    <t>Rp5.100 - Rp6.500</t>
  </si>
  <si>
    <t>biomag mps</t>
  </si>
  <si>
    <t xml:space="preserve">biomag mps tablet dried aluminium hydroxide gel </t>
  </si>
  <si>
    <t>DBL9206405733A1</t>
  </si>
  <si>
    <t>Neo Kaocitin Sirup 60 ml</t>
  </si>
  <si>
    <t>Rp15.300 - Rp16.700</t>
  </si>
  <si>
    <t>Dewasa dan Anak &gt; 12 tahun : 2 sendok takar 5 cc setiap kali setelah diare, maximum 12 sendok takar/24 jam Anak 6-12 tahun : 1 sendok takar 5 cc setiap kali setelah diare, maximum 6 sendok takar/24 jam</t>
  </si>
  <si>
    <t>Diare non spesifik</t>
  </si>
  <si>
    <t>Konstipasi dihindari, obstruksi usus</t>
  </si>
  <si>
    <t>Anak &lt; 6 tahun. Demam tinggi.</t>
  </si>
  <si>
    <t>neo kaocitin</t>
  </si>
  <si>
    <t>neo kaocitin suspensi kaolin diare non spesifik</t>
  </si>
  <si>
    <t>DKL0519610333A1</t>
  </si>
  <si>
    <t>Regit 5 mg/5 ml Sirup 60 ml</t>
  </si>
  <si>
    <t>Rp62.200 - Rp71.200</t>
  </si>
  <si>
    <t>Digunakan 15-30 menit sebelum makan dan menjelang tidur malam.</t>
  </si>
  <si>
    <t>PENGGUNAAN OBAT INI HARUS SESUAI DENGAN PETUNJUK DOKTER. Dewasa: 2 sendok takar (10 ml), diminum 3 kali sehari. Anak usia &lt;12 tahun dengan berat badan &lt;35 kg: 0,25 mg/kg berat badan diberikan hingga 3 kali sehari. Maksimal: 0,75 mg/kg berat badan setiap hari.</t>
  </si>
  <si>
    <t>INFORMASI OBAT INI HANYA UNTUK KALANGAN MEDIS. Mengatasi mual dan muntah akut.</t>
  </si>
  <si>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Gangguan hati sedang sampai berat</t>
  </si>
  <si>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</si>
  <si>
    <t>mengatasi mual muntah akut</t>
  </si>
  <si>
    <t>regit</t>
  </si>
  <si>
    <t>regit suspensi domperidone mengatasi mual muntah akut</t>
  </si>
  <si>
    <t xml:space="preserve">hufadryl expectorant sirup diphenhydramine hydrochloride ammonium chloride </t>
  </si>
  <si>
    <t>guaifenesin phenylpropanolamine hydrochloride dextromethorphan hydrobromide</t>
  </si>
  <si>
    <t xml:space="preserve">codecon kapsul guaifenesin phenylpropanolamine hydrochloride dextromethorphan hydrobromide </t>
  </si>
  <si>
    <t>DKL8317601108A1</t>
  </si>
  <si>
    <t>Neurobat-A 4 Tablet</t>
  </si>
  <si>
    <t>Rp16.600 - Rp17.600</t>
  </si>
  <si>
    <t>Sesudah Makan</t>
  </si>
  <si>
    <t>PENGGUNAAN OBAT INI HARUS SESUAI DENGAN PETUNJUK DOKTER. 3 kali sehari 1-2 tablet</t>
  </si>
  <si>
    <t>Neuritis, neuralgia, lumbago, ischialgia.</t>
  </si>
  <si>
    <t>Dus, 25 Strip @ 4 Kaplet salut</t>
  </si>
  <si>
    <t>Kelainan perdarahan, porfiria.</t>
  </si>
  <si>
    <t>HARUS DENGAN RESEP DOKTER. Hipersensitif pada aspirin.</t>
  </si>
  <si>
    <t>neuritis , neuralgia , lumbago , ischialgia</t>
  </si>
  <si>
    <t>neurobata</t>
  </si>
  <si>
    <t>neurobata kaplet cyanocobalamin neuritis  neuralgia  lumbago  ischialgia</t>
  </si>
  <si>
    <t>TR173405681</t>
  </si>
  <si>
    <t>Migranal 100 Pil</t>
  </si>
  <si>
    <t>MIGRANAL</t>
  </si>
  <si>
    <t>Digunakan untuk membantu meredakan sakit kepala.</t>
  </si>
  <si>
    <t>Box, bungkus @ 100 Pil</t>
  </si>
  <si>
    <t>migranal</t>
  </si>
  <si>
    <t>digunakan membantu meredakan sakit kepala</t>
  </si>
  <si>
    <t>migranal pil digunakan membantu meredakan sakit kepala</t>
  </si>
  <si>
    <t>DKL8716102310A1</t>
  </si>
  <si>
    <t>Xepare 2 mg 10 Tablet</t>
  </si>
  <si>
    <t>Rp16.200 - Rp16.500</t>
  </si>
  <si>
    <t>PENGGUNAAN OBAT INI HARUS SESUAI DENGAN PETUNJUK DOKTER. Untuk diare akut : Dewasa : awal 2 tablet. Anak &gt; 5 tahun : awal 1 tablet, diikuti 1 tablet setelah BAB. Untuk diare kronik : Dewasa : awal 2 tablet, maksimal : 8 tablet/hari. Anak &gt; 5 tahun : 1 tablet/hari, maksimal 4-6 tablet/hari.</t>
  </si>
  <si>
    <t>Bayi.</t>
  </si>
  <si>
    <t>HARUS DENGAN RESEP DOKTER. Minum banyak cairan selama menggunakan obat ini. Kadang dibutuhkan waktu 48 jam sebelum diare berkurang. Tetap gunakan obat ini seperti yang dianjurkan. Hubungi dokter jika diare tidak hilang setelah 10 hari. Hati-hati menggunakan obat ini pada pasien yang menderita gangguan hati. Xepare (loperamide) ikut keluar bersama air susu ibu (ASI), tidak dianjurkan digunakan oleh ibu menyusui.</t>
  </si>
  <si>
    <t>xepare</t>
  </si>
  <si>
    <t>xepare tablet loperamide hydrochloride diare akut kronik</t>
  </si>
  <si>
    <t>DKL7622720009A1</t>
  </si>
  <si>
    <t>Dolo Scanneuron 10 Kaplet</t>
  </si>
  <si>
    <t>PENGGUNAAN OBAT INI HARUS SESUAI DENGAN PETUNJUK DOKTER. 3 kali sehari 1 kaplet</t>
  </si>
  <si>
    <t>Menghilangkan rasa sakit dan demam</t>
  </si>
  <si>
    <t>1 Dos Isi 10 Strip X 10 Tablet</t>
  </si>
  <si>
    <t>Gangguan pendarahan</t>
  </si>
  <si>
    <t>HARUS DENGAN RESEP DOKTER. Penggunaan jangka lama. pasien gangguan fungsi ginjal dan hati.</t>
  </si>
  <si>
    <t>menghilangkan sakit demam</t>
  </si>
  <si>
    <t>dolo scanneuron</t>
  </si>
  <si>
    <t>dolo scanneuron kaplet cyanocobalamin menghilangkan sakit demam</t>
  </si>
  <si>
    <t>Diapet 10 Kapsul</t>
  </si>
  <si>
    <t>Hipersentivitas atau alergi terhadap terhadap salah satu bahan aktif obat ini.</t>
  </si>
  <si>
    <t>TR152687991</t>
  </si>
  <si>
    <t>Herbakof Sirup 100 ml</t>
  </si>
  <si>
    <t>HERBAKOF</t>
  </si>
  <si>
    <t>Rp20.800 - Rp27.100</t>
  </si>
  <si>
    <t>setelah makan</t>
  </si>
  <si>
    <t>Dewasa: 3 x sehari, 3 sendok takar (15 ml) Anak-anak 6-12 tahun: 3 x sehari, 1 sendok takar (5 ml)</t>
  </si>
  <si>
    <t>Membantu meredakan batuk dan melegakan tenggorokan</t>
  </si>
  <si>
    <t>Simpan pada suhu dibawah 30 C. Ditempat kering dan terhindar dari sinar matahari langsung. Kocok dahulu sebelum dipakai</t>
  </si>
  <si>
    <t>herbakof</t>
  </si>
  <si>
    <t>membantu meredakan batuk melegakan tenggorokan</t>
  </si>
  <si>
    <t>herbakof sirup membantu meredakan batuk melegakan tenggorokan</t>
  </si>
  <si>
    <t>TR103309941</t>
  </si>
  <si>
    <t>Albiruni Albiguraa 25 Kapsul</t>
  </si>
  <si>
    <t>ALBIGURAA</t>
  </si>
  <si>
    <t>Rp25.300 - Rp42.700</t>
  </si>
  <si>
    <t>1 jam sebelum makan</t>
  </si>
  <si>
    <t>Membantu meredakan batuk.</t>
  </si>
  <si>
    <t>Kapsul 25 x 1</t>
  </si>
  <si>
    <t>Wanita hamil dan anak &lt; 1 tahun</t>
  </si>
  <si>
    <t>Tidak untuk wanita hamil dan anak-anak dibawah 1 tahun</t>
  </si>
  <si>
    <t>albiguraa</t>
  </si>
  <si>
    <t>membantu meredakan batuk</t>
  </si>
  <si>
    <t>albiruni albiguraa</t>
  </si>
  <si>
    <t>albiruni albiguraa kapsul albiguraa membantu meredakan batuk</t>
  </si>
  <si>
    <t>DTL1021639010A1</t>
  </si>
  <si>
    <t>Rexcof 4 Tablet</t>
  </si>
  <si>
    <t>Rp1.900 - Rp3.500</t>
  </si>
  <si>
    <t>Dewasa dan anak-anak diatas 10 tahun: 1 tablet 3 kali sehari Anak - anak 5 - 10 tahun: 1/2 tablet 3 kali sehari Anak - anak 2 - 5 tahun: 1/2 tablet 2 kali sehari</t>
  </si>
  <si>
    <t>Meredakan batuk berdahak</t>
  </si>
  <si>
    <t>tablet 8 mg x 10 x 4</t>
  </si>
  <si>
    <t>Hati-hati digunakan pada penderita tukak lambung, wanita hamil terutama pada 3 bulan pertama.</t>
  </si>
  <si>
    <t>rexcof</t>
  </si>
  <si>
    <t>rexcof tablet bromhexine hydrochloride meredakan batuk berdahak</t>
  </si>
  <si>
    <t>TR182320211</t>
  </si>
  <si>
    <t>Laxsanbe 4 Kapsul</t>
  </si>
  <si>
    <t>LAXSANBEÂ®</t>
  </si>
  <si>
    <t>Rp6.200 - Rp9.100</t>
  </si>
  <si>
    <t>1 Catch cover @ 4 kapsul</t>
  </si>
  <si>
    <t>laxsanbeÂ®</t>
  </si>
  <si>
    <t>laxsanbe</t>
  </si>
  <si>
    <t>laxsanbe kapsul laxsanbe membantu melancarkan buang air</t>
  </si>
  <si>
    <t>DKL8315604417A1</t>
  </si>
  <si>
    <t>Loremid 2mg 10 Tablet</t>
  </si>
  <si>
    <t>Rp13.800 - Rp15.700</t>
  </si>
  <si>
    <t>Diberikan setelah BAB</t>
  </si>
  <si>
    <t>Dewasa : 1 x sehari 2 tablet, ditambah 1 tablet setiap habis buang air besar. Anak usia 4 - 8 tahun : 3 - 4 x sehari 1/2 tablet. Anak usia 9 - 12 tahun: 4 x sehari 1 tablet</t>
  </si>
  <si>
    <t>Diare akut, diare kronis.</t>
  </si>
  <si>
    <t>Dus Isi 10 Strip X 10 Tablet</t>
  </si>
  <si>
    <t>Pasien dengan riwayat alergi terhadap obat ini. Tidak boleh digunakan sebagai terapi utama pada pasien dengan disentri akut ditandai dengan darah dalam tinja dan demam tinggi, ulcerative colitis akut, enterocolitis bakteri yang disebabkan oleh organisme yang dapat menembus dinding usus termasuk Salmonella, Shigella, dan Campylobacter, dan pada pasien dengan kolitis pseudomembran yang terkait dengan penggunaan antibiotik spektrum luas. Tidak digunakan untuk pengobatan infeksi C. difficile. Jangan digunakan pada kondisi di mana penghambatan peristaltik harus dihindari atau terjadi kejang perut. Anak-anak di bawah 3 tahun, sakit sistemik, kekurangan gizi, dan dehidrasi.</t>
  </si>
  <si>
    <t>Dianjurkan minum banyak cairan. Kadang dibutuhkan waktu 48 jam sebelum diare berkurang. Tetap gunakan obat ini seperti yang dianjurkan. Hubungi dokter jika diare tidak hilang setelah 10 hari. Hindari mengemudi atau menyalakan mesin selama menggunakan obat ini. Hati-hati pada pasien yang menderita gangguan hati. Tidak dianjurkan digunakan oleh ibu menyusui.</t>
  </si>
  <si>
    <t>diare akut , diare kronis</t>
  </si>
  <si>
    <t>loremid</t>
  </si>
  <si>
    <t>loremid tablet loperamide diare akut  diare kronis</t>
  </si>
  <si>
    <t>Albiruni Albiguraa 50 Kapsul</t>
  </si>
  <si>
    <t>Rp52.000 - Rp78.800</t>
  </si>
  <si>
    <t>Botol @ 50 Kapsul</t>
  </si>
  <si>
    <t>Opilax Sirup 60 ml</t>
  </si>
  <si>
    <t>DTL8910901304A1</t>
  </si>
  <si>
    <t>Anaton 10 Kaplet</t>
  </si>
  <si>
    <t>Rp3.200 - Rp10.600</t>
  </si>
  <si>
    <t>anaton</t>
  </si>
  <si>
    <t>anaton kaplet chlorphenamine maleate meringankan batuk pilek</t>
  </si>
  <si>
    <t>DKL1406315604A1</t>
  </si>
  <si>
    <t>Repass 400 mg 10 Tablet</t>
  </si>
  <si>
    <t>Rp6.000 - Rp6.900</t>
  </si>
  <si>
    <t>meredakan nyeri ringan-sedang, demam</t>
  </si>
  <si>
    <t>meredakan nyeri ringan - , demam</t>
  </si>
  <si>
    <t>repass</t>
  </si>
  <si>
    <t>repass kaplet ibuprofen meredakan nyeri ringan   demam</t>
  </si>
  <si>
    <t>DTL7209323237A1</t>
  </si>
  <si>
    <t>Phenerica Syrup 100 ml</t>
  </si>
  <si>
    <t>Rp22.100 - Rp28.300</t>
  </si>
  <si>
    <t>Dikonsumsi bersamaan dengan makanan atau tidak</t>
  </si>
  <si>
    <t>Dewasa : 1-3 sendok teh (5-15 mL) tiap 4-6 jam, Anak berusia lebih dari 4 tahun : 1-2 sendok teh (5-10 mL) tiap 4-6 jam, Anak berusia 4 tahun ke bawah :1/2-1 sendok teh (2,5-5 mL) tiap 4-6 jam.</t>
  </si>
  <si>
    <t>Menghilangkan gejala batuk.</t>
  </si>
  <si>
    <t>Botol 100 ml Dalam Dus</t>
  </si>
  <si>
    <t>menghilangkan gejala batuk</t>
  </si>
  <si>
    <t>phenerica</t>
  </si>
  <si>
    <t>phenerica sirup promethazine hydrochloride menghilangkan gejala batuk</t>
  </si>
  <si>
    <t>TR203641411</t>
  </si>
  <si>
    <t>Madu Vitomata 280 g</t>
  </si>
  <si>
    <t>MADU VITOMATA</t>
  </si>
  <si>
    <t>Rp194.000 - Rp225.500</t>
  </si>
  <si>
    <t>3 x sehari 1 sendok makan.</t>
  </si>
  <si>
    <t>Membantu memelihara kesehatan mata.</t>
  </si>
  <si>
    <t>madu vitomata</t>
  </si>
  <si>
    <t>membantu memelihara kesehatan mata</t>
  </si>
  <si>
    <t>madu vitomata madu membantu memelihara kesehatan mata</t>
  </si>
  <si>
    <t>QD113610311</t>
  </si>
  <si>
    <t>Safe Care Roll On Aromatherapy 30 ml</t>
  </si>
  <si>
    <t>Rp26.200 - Rp48.100</t>
  </si>
  <si>
    <t>Botol @ 30 ML</t>
  </si>
  <si>
    <t>safe care roll on aromatherapy</t>
  </si>
  <si>
    <t xml:space="preserve">safe care roll on aromatherapy roll camphor </t>
  </si>
  <si>
    <t>Laurier Healthy Skin 22cm 9 Pads</t>
  </si>
  <si>
    <t>Rp11.500 - Rp16.600</t>
  </si>
  <si>
    <t>Unit</t>
  </si>
  <si>
    <t>Pack @ 9 Pads</t>
  </si>
  <si>
    <t>laurier healthy skin pads</t>
  </si>
  <si>
    <t xml:space="preserve">laurier healthy skin pads tablet tizanidine hydrochloride </t>
  </si>
  <si>
    <t>Blood Corn Reguler 25 cm 14 Pads</t>
  </si>
  <si>
    <t>Rp47.500 - Rp56.100</t>
  </si>
  <si>
    <t>Pack @ 14 Pads</t>
  </si>
  <si>
    <t>blood corn reguler pads</t>
  </si>
  <si>
    <t xml:space="preserve">blood corn reguler pads tablet tizanidine hydrochloride </t>
  </si>
  <si>
    <t>Blood Corn Liner 30 Pads</t>
  </si>
  <si>
    <t>Pack @ 30 Pads</t>
  </si>
  <si>
    <t>blood corn liner pads</t>
  </si>
  <si>
    <t xml:space="preserve">blood corn liner pads tablet tizanidine hydrochloride </t>
  </si>
  <si>
    <t>Blood Corn Heavy 29 cm 12 Pads</t>
  </si>
  <si>
    <t>Pack @ 12 Pads</t>
  </si>
  <si>
    <t>blood corn heavy pads</t>
  </si>
  <si>
    <t xml:space="preserve">blood corn heavy pads tablet tizanidine hydrochloride </t>
  </si>
  <si>
    <t>Menstrucare</t>
  </si>
  <si>
    <t>Buka kemasan Menstrucare pereda nyeri menstruasi, lepas kertas penutup perekat dan tempelkan pads pada bagian yang terasa nyeri sesuai petunjuk penggunaan.</t>
  </si>
  <si>
    <t>Meringankan dan meredakan rasa nyeri saat menstruasi.</t>
  </si>
  <si>
    <t>Pack @ 1 Lembar</t>
  </si>
  <si>
    <t>meringankan meredakan nyeri menstruasi</t>
  </si>
  <si>
    <t>menstrucare</t>
  </si>
  <si>
    <t>menstrucare larutan povidoneiodine meringankan meredakan nyeri menstruasi</t>
  </si>
  <si>
    <t>Laurier Healthy Skin 35 cm 6 Pads</t>
  </si>
  <si>
    <t>Rp9.400 - Rp18.000</t>
  </si>
  <si>
    <t>Pack @ 6 Pads</t>
  </si>
  <si>
    <t>Laurier Healthy Skin 30cm 8 Pads</t>
  </si>
  <si>
    <t>Rp14.300 - Rp19.700</t>
  </si>
  <si>
    <t>Pack @ 8 Pads</t>
  </si>
  <si>
    <t>Polident 3 Minute Daily Cleanser 30 Tablet</t>
  </si>
  <si>
    <t>Rp40.500 - Rp60.700</t>
  </si>
  <si>
    <t>Box @ 30 Tablet</t>
  </si>
  <si>
    <t>polident minute daily cleanser</t>
  </si>
  <si>
    <t xml:space="preserve">polident minute daily cleanser tablet tizanidine hydrochloride </t>
  </si>
  <si>
    <t>Onemed Siklus Tes Kehamilan</t>
  </si>
  <si>
    <t>Rp3.000 - Rp12.400</t>
  </si>
  <si>
    <t>Dus</t>
  </si>
  <si>
    <t>onemed siklus tes kehamilan</t>
  </si>
  <si>
    <t xml:space="preserve">onemed siklus tes kehamilan tablet sildenafil citrate </t>
  </si>
  <si>
    <t>Oral-B Sikat Gigi 123 Medium 40</t>
  </si>
  <si>
    <t>Rp5.600 - Rp11.200</t>
  </si>
  <si>
    <t>oralb sikat gigi medium</t>
  </si>
  <si>
    <t xml:space="preserve">oralb sikat gigi medium tablet tizanidine hydrochloride </t>
  </si>
  <si>
    <t>Oral-B 123 Clean 40 Soft 1 Piece</t>
  </si>
  <si>
    <t>Rp5.800 - Rp11.200</t>
  </si>
  <si>
    <t>oralb clean soft piece</t>
  </si>
  <si>
    <t xml:space="preserve">oralb clean soft piece tablet tizanidine hydrochloride </t>
  </si>
  <si>
    <t>Omron Compressor Nebulizer Ne C801</t>
  </si>
  <si>
    <t>Rp496.400 - Rp1.112.100</t>
  </si>
  <si>
    <t>omron compressor nebulizer ne c</t>
  </si>
  <si>
    <t xml:space="preserve">omron compressor nebulizer ne c larutan povidoneiodine </t>
  </si>
  <si>
    <t>Guardian Tongue Cleaner 1 Pieces</t>
  </si>
  <si>
    <t>Box @ 1 Pieces</t>
  </si>
  <si>
    <t>guardian tongue cleaner pieces</t>
  </si>
  <si>
    <t xml:space="preserve">guardian tongue cleaner pieces tablet tizanidine hydrochloride </t>
  </si>
  <si>
    <t>Serenity Walking Aid Rollator FS-969H</t>
  </si>
  <si>
    <t>serenity walking aid rollator fsh</t>
  </si>
  <si>
    <t xml:space="preserve">serenity walking aid rollator fsh larutan povidoneiodine </t>
  </si>
  <si>
    <t>Polident 3D Hold Freshmint 20 g</t>
  </si>
  <si>
    <t>Rp38.200 - Rp39.000</t>
  </si>
  <si>
    <t>Dus, Tube @ 20 G</t>
  </si>
  <si>
    <t>polident d hold freshmint</t>
  </si>
  <si>
    <t xml:space="preserve">polident d hold freshmint tablet tizanidine hydrochloride </t>
  </si>
  <si>
    <t>QD101709391</t>
  </si>
  <si>
    <t>Flexamine Cream 30 g</t>
  </si>
  <si>
    <t>Oleskan 2-3 x/hr pd sendi yg sakit.</t>
  </si>
  <si>
    <t>Meredakan nyeri sendi</t>
  </si>
  <si>
    <t>Tube 30 Gram</t>
  </si>
  <si>
    <t>meredakan nyeri sendi</t>
  </si>
  <si>
    <t>flexamine cream</t>
  </si>
  <si>
    <t>flexamine cream krim camphor meredakan nyeri sendi</t>
  </si>
  <si>
    <t>thiamine hydrochloride pyridoxine hydrochloride cyanocobalamin</t>
  </si>
  <si>
    <t xml:space="preserve">bioron tablet thiamine hydrochloride pyridoxine hydrochloride cyanocobalamin </t>
  </si>
  <si>
    <t>DKL7617625401B1</t>
  </si>
  <si>
    <t>Cobazim 3000 mcg 4 Kapsul</t>
  </si>
  <si>
    <t>Rp56.600 - Rp63.600</t>
  </si>
  <si>
    <t>1-6 mg per hari</t>
  </si>
  <si>
    <t>Anorexia, Malnutrisi, Anemia Pernisiosa</t>
  </si>
  <si>
    <t>1 Dos Isi 25 Strip X 4 Tablet</t>
  </si>
  <si>
    <t>hentikan pemakaian jika terjadi reaksi alergi</t>
  </si>
  <si>
    <t>cobamamide</t>
  </si>
  <si>
    <t>anorexia , malnutrisi , anemia pernisiosa</t>
  </si>
  <si>
    <t>cobazim</t>
  </si>
  <si>
    <t>cobazim kapsul cobamamide anorexia  malnutrisi  anemia pernisiosa</t>
  </si>
  <si>
    <t>TR142582811</t>
  </si>
  <si>
    <t>Inkurin 6 Tablet</t>
  </si>
  <si>
    <t>INKURIN</t>
  </si>
  <si>
    <t>Rp43.400 - Rp90.000</t>
  </si>
  <si>
    <t>2 x sehari 1 tablet</t>
  </si>
  <si>
    <t>Sebagai tambahan pada terapi Inkontinensia Urin</t>
  </si>
  <si>
    <t>hindari pemakaian berlebih dari dosis</t>
  </si>
  <si>
    <t>inkurin</t>
  </si>
  <si>
    <t>sebagai tambahan terapi inkontinensia urin</t>
  </si>
  <si>
    <t>inkurin tablet sebagai tambahan terapi inkontinensia urin</t>
  </si>
  <si>
    <t>DKL0526111316A1</t>
  </si>
  <si>
    <t>Cyclogynon 28 Tablet</t>
  </si>
  <si>
    <t>Rp3.600 - Rp13.800</t>
  </si>
  <si>
    <t>PENGGUNAAN OBAT INI HARUS SESUAI DENGAN PETUNJUK DOKTER. Sehari 1 tablet mulai hari pertama haid, selama 21 hari tanpa terputus. Diikuti dengan tablet yang tidak berisi obat (putih) selama 7 hari</t>
  </si>
  <si>
    <t>Kontrasepsi oral (untuk mencegah kehamilan)</t>
  </si>
  <si>
    <t>Dus, 2 Blister @ 28 Tablet salut gula</t>
  </si>
  <si>
    <t>Pasien dengan riwayat atau mengalami gangguan troboflebtis atau troboembolik penyakit arteri serebrovaskuler atau koroner. Diduga atau diketahui kanker payudara. Kanker endometrium atau diduga neoplasia yang tergantung estrogen. Perdarahan abnormal genital yang tidak diketahui penyebabnya, ikterus selama hamil atau karena penggunaan obat kontrasepsi sebelumnya. Penyakit hati berat atau kanker hati. Diketahui atau diduga adanya kehamilan. Anemia sel sabit. Diabetes mellitus berat dengan gangguan vaskuler. Gangguan metabolismelipid. Riwayat herpes gestational. Otosklerosis yang memburuk selama hamil</t>
  </si>
  <si>
    <t>Obat Wajib Apotek, Obat ini dapat dibeli dan diserahkan apoteker tanpa resep dengan maksimum 1 Strip. Pembelian melebihi batas ini WAJIB RESEP DOKTER. Hentikan pengobatan jika terjadi tromboembolik atau ikterus. Merokok. Hipertensi, hperlipidemia, obesitas, diabetes mellitus, ada riwayat depresi. Laktasi</t>
  </si>
  <si>
    <t>ethinylestradiol</t>
  </si>
  <si>
    <t>kontrasepsi oral mencegah kehamilan</t>
  </si>
  <si>
    <t>cyclogynon</t>
  </si>
  <si>
    <t>cyclogynon tablet ethinylestradiol kontrasepsi oral mencegah kehamilan</t>
  </si>
  <si>
    <t>DKL0635802001A1</t>
  </si>
  <si>
    <t>Alopros 5 mg 10 Kapsul</t>
  </si>
  <si>
    <t>Rp104.000 - Rp119.500</t>
  </si>
  <si>
    <t>PENGGUNAAN OBAT INI HARUS SESUAI DENGAN PETUNJUK DOKTER. 1 kali sehari 1 kapsul</t>
  </si>
  <si>
    <t>Terapi hiperplasia prostat jinak</t>
  </si>
  <si>
    <t>Kapsul 5 mg x 30 x 1</t>
  </si>
  <si>
    <t>Wanita dan anak</t>
  </si>
  <si>
    <t>HARUS DENGAN RESEP DOKTER. Evaluasi adanya kemungkinan kanker prostat sebelum mulai terapi, lakukan pengawasan terhadap tanda-tanda uropati obstruktif.</t>
  </si>
  <si>
    <t>finasteride</t>
  </si>
  <si>
    <t>terapi hiperplasia prostat jinak</t>
  </si>
  <si>
    <t>alopros</t>
  </si>
  <si>
    <t>alopros kapsul finasteride terapi hiperplasia prostat jinak</t>
  </si>
  <si>
    <t>TR043640981</t>
  </si>
  <si>
    <t>Minyak Gosok Cap Beruang 30 ml</t>
  </si>
  <si>
    <t>MINYAK GOSOK BERUANG</t>
  </si>
  <si>
    <t>Rp16.100 - Rp17.900</t>
  </si>
  <si>
    <t>minyak gosok beruang</t>
  </si>
  <si>
    <t>gosok cap beruang</t>
  </si>
  <si>
    <t xml:space="preserve">gosok cap beruang minyak minyak gosok beruang </t>
  </si>
  <si>
    <t>Minyak Gosok Cap Beruang 120 ml</t>
  </si>
  <si>
    <t>Rp56.400 - Rp57.300</t>
  </si>
  <si>
    <t>DTL9822225029A1</t>
  </si>
  <si>
    <t>Pasquam Cream 20 g</t>
  </si>
  <si>
    <t>Rp27.700 - Rp36.700</t>
  </si>
  <si>
    <t>Oleskan tipis</t>
  </si>
  <si>
    <t>1 - 2 x sehari</t>
  </si>
  <si>
    <t>Membantu menyembuhkan luka.</t>
  </si>
  <si>
    <t>Tube 20 Gr X 1</t>
  </si>
  <si>
    <t>dexpanthenol</t>
  </si>
  <si>
    <t>membantu menyembuhkan luka</t>
  </si>
  <si>
    <t>pasquam cream</t>
  </si>
  <si>
    <t>pasquam cream krim dexpanthenol membantu menyembuhkan luka</t>
  </si>
  <si>
    <t>QD192717681</t>
  </si>
  <si>
    <t>Hot In Cream Strong Tube 120 g</t>
  </si>
  <si>
    <t>Rp25.400 - Rp37.200</t>
  </si>
  <si>
    <t>Dus, tube @ 120 g</t>
  </si>
  <si>
    <t>hot in cream strong tube</t>
  </si>
  <si>
    <t xml:space="preserve">hot in cream strong tube krim menthol </t>
  </si>
  <si>
    <t>Serenity Commode Wheel Chair FS-609GCU</t>
  </si>
  <si>
    <t>serenity commode wheel chair fsgcu</t>
  </si>
  <si>
    <t xml:space="preserve">serenity commode wheel chair fsgcu larutan povidoneiodine </t>
  </si>
  <si>
    <t>Flexamine Cream 15 g</t>
  </si>
  <si>
    <t>Rp46.200 - Rp50.800</t>
  </si>
  <si>
    <t>tube 15 gr</t>
  </si>
  <si>
    <t>DBL9321905909A1</t>
  </si>
  <si>
    <t>Masneuro 10 Tablet</t>
  </si>
  <si>
    <t>Rp6.700 - Rp13.500</t>
  </si>
  <si>
    <t>thiamine nitrate pyridoxine hydrochloride cyanocobalamin</t>
  </si>
  <si>
    <t>masneuro</t>
  </si>
  <si>
    <t xml:space="preserve">masneuro kaplet thiamine nitrate pyridoxine hydrochloride cyanocobalamin </t>
  </si>
  <si>
    <t>Stomach Tube / Ngt Terumo No.18</t>
  </si>
  <si>
    <t>Rp19.300 - Rp47.300</t>
  </si>
  <si>
    <t>Dus @ 1 Piece</t>
  </si>
  <si>
    <t>stomach tube ngt terumo no</t>
  </si>
  <si>
    <t xml:space="preserve">stomach tube ngt terumo no larutan povidoneiodine </t>
  </si>
  <si>
    <t>Accu Chek Guide Alat</t>
  </si>
  <si>
    <t>Rp768.400 - Rp931.500</t>
  </si>
  <si>
    <t>Dus, 1 unit</t>
  </si>
  <si>
    <t>accu chek guide alat</t>
  </si>
  <si>
    <t xml:space="preserve">accu chek guide alat tablet pioglitazone hydrochloride </t>
  </si>
  <si>
    <t>DKL1006414633A1</t>
  </si>
  <si>
    <t>Nocandis Drops 12 ml</t>
  </si>
  <si>
    <t>Rp29.200 - Rp40.600</t>
  </si>
  <si>
    <t>suspensi ini sebaiknya didiamkan beberapa menit didalam rongga mulut sebelum ditelan. lama pemberian sampai 14 hari jika diperlukan.</t>
  </si>
  <si>
    <t>PENGGUNAAN OBAT INI HARUS SESUAI DENGAN PETUNJUK DOKTER. bayi dan anak-anak : 1-2 ml (100.000-200.000 IU) 4xsehari, dewasa : dosis yang dianjurkan 5 ml (500.000 UI) 4xsehari</t>
  </si>
  <si>
    <t>pengobatan kandidiasis pada rongga mulut</t>
  </si>
  <si>
    <t>pengobatan kandidiasis rongga mulut</t>
  </si>
  <si>
    <t>nocandis</t>
  </si>
  <si>
    <t>nocandis suspensi nystatin pengobatan kandidiasis rongga mulut</t>
  </si>
  <si>
    <t>dapagliflozin propanediol metformin hydrochloride</t>
  </si>
  <si>
    <t xml:space="preserve">xigduo xr tablet dapagliflozin propanediol metformin hydrochloride </t>
  </si>
  <si>
    <t>DKL9909314601A1</t>
  </si>
  <si>
    <t>Fungitrazol 100 mg Kapsul</t>
  </si>
  <si>
    <t>Rp26.600 - Rp29.900</t>
  </si>
  <si>
    <t>Segera sesudah makan utama</t>
  </si>
  <si>
    <t>PENGGUNAAN OBAT INI HARUS SESUAI DENGAN PETUNJUK DOKTER. Kandidiasis : 1 x sehari 1-2 kapsul selama 3-7 minggu. Pada kasus2 invasif atau penyebaran, tingkatkan dosis menjadi 2 x sehari. Sporotrikosis : 1 x sehari 1 kapsul selama 3 bulan. Parakoksidioidomikosis : 1 x sehari 1 kapsul selama 6 bulan. Dermatofi</t>
  </si>
  <si>
    <t>Dermatomikosis, kandidiasis, mikosis sistemik</t>
  </si>
  <si>
    <t>Box Isi 3 Strip @ 4 Kapsul</t>
  </si>
  <si>
    <t>Hamil dan wanita pada masa subur yang tidak menggunakan kontrasepsi adekuat. Pemberian bersama dengan terfenadin atau astemizol</t>
  </si>
  <si>
    <t>HARUS DENGAN RESEP DOKTER. Penderitaan dengan riwayat penyakit hati atau insufisiensi ginjal. Laktasi, anak</t>
  </si>
  <si>
    <t>itraconazole</t>
  </si>
  <si>
    <t>dermatomikosis , kandidiasis , mikosis sistemik</t>
  </si>
  <si>
    <t>fungitrazol</t>
  </si>
  <si>
    <t>fungitrazol kapsul itraconazole dermatomikosis  kandidiasis  mikosis sistemik</t>
  </si>
  <si>
    <t>TR173602741</t>
  </si>
  <si>
    <t>Diachol 100 ml</t>
  </si>
  <si>
    <t>DIACHOL</t>
  </si>
  <si>
    <t>Rp145.300 - Rp189.900</t>
  </si>
  <si>
    <t>sebelum makan pagi</t>
  </si>
  <si>
    <t>1 x 1 sendok makan per hari atau 3 x 2 sendok makan per hari jika perlu (maksimum)</t>
  </si>
  <si>
    <t>Membantu menurunkan kadar gula dalam darah dan kolesterol.</t>
  </si>
  <si>
    <t>diachol</t>
  </si>
  <si>
    <t>membantu menurunkan kadar gula darah kolesterol</t>
  </si>
  <si>
    <t>diachol  membantu menurunkan kadar gula darah kolesterol</t>
  </si>
  <si>
    <t>TL210391591</t>
  </si>
  <si>
    <t>Dialance 240 Kapsul</t>
  </si>
  <si>
    <t>DIALANCE</t>
  </si>
  <si>
    <t>Rp1.999.900 - Rp2.022.000</t>
  </si>
  <si>
    <t>1-2 kapsul, 1-2 kali sehari Dosis dapat disesuaikan dengan nilai HbA1c Rekomendasi penyesuaian dosis berdasarkan nilai HbA1c adalah: 1 ï¿½ 3 kapsul sehari sebelum / sesudah makan untuk nilai HbA1C 5,7 ï¿½ 6,4% 3 ï¿½ 6 kapsul sehari sebelum / sesudah makan untuk nilai HbA1C 6,4 ï¿½ 9% 6 ï¿½ 12 kapsul sehari sebelum / sesudah makan untuk nilai HbA1C 9 ï¿½ 15%</t>
  </si>
  <si>
    <t>Membantu meringankan gejala kencing manis.</t>
  </si>
  <si>
    <t>Dus, Botol @ 240 Kapsul</t>
  </si>
  <si>
    <t>Hipersensitivitas terhadap kandungan Dialance</t>
  </si>
  <si>
    <t>dialance</t>
  </si>
  <si>
    <t>membantu meringankan gejala kencing manis</t>
  </si>
  <si>
    <t>dialance kapsul membantu meringankan gejala kencing manis</t>
  </si>
  <si>
    <t>TR203302491</t>
  </si>
  <si>
    <t>Diapil 100 Kapsul</t>
  </si>
  <si>
    <t>DIAPIL</t>
  </si>
  <si>
    <t>Rp9.400 - Rp19.200</t>
  </si>
  <si>
    <t>Membantu menurunkan kadar gula dalam darah</t>
  </si>
  <si>
    <t>Pil 100 x 1</t>
  </si>
  <si>
    <t>diapil</t>
  </si>
  <si>
    <t>membantu menurunkan kadar gula darah</t>
  </si>
  <si>
    <t>diapil kapsul membantu menurunkan kadar gula darah</t>
  </si>
  <si>
    <t xml:space="preserve">blood corn reguler pads tablet sildenafil citrate </t>
  </si>
  <si>
    <t xml:space="preserve">blood corn liner pads tablet sildenafil citrate </t>
  </si>
  <si>
    <t xml:space="preserve">blood corn heavy pads tablet sildenafil citrate </t>
  </si>
  <si>
    <t>DKL1534612110A1</t>
  </si>
  <si>
    <t>Nevodio 5 mg 10 Tablet</t>
  </si>
  <si>
    <t>Rp54.800 - Rp68.300</t>
  </si>
  <si>
    <t>Dikonsumsi bersamaan dengan makanan atau tidak.</t>
  </si>
  <si>
    <t>PENGGUNAAN OBAT INI HARUS SESUAI DENGAN PETUNJUK DOKTER. Dewasa 5 mg sekali sehari selama 1-2 minggu . Lansia &gt; 65 thn direkomendasikan</t>
  </si>
  <si>
    <t>INFORMASI OBAT INI HANYA UNTUK KALANGAN MEDIS. Untuk mengobati tekanan darah tinggi</t>
  </si>
  <si>
    <t xml:space="preserve">Hipersensitivitas . gagal jantung akut , syok kardiogenik atau episode gagal jantung dekompensasi membutuhkan IV inotropik . sindrom sinus sakit , termasuk blok SA </t>
  </si>
  <si>
    <t>GKL0918822510B1</t>
  </si>
  <si>
    <t>Spironolactone 100 mg 10 Tablet</t>
  </si>
  <si>
    <t>Rp9.000 - Rp20.000</t>
  </si>
  <si>
    <t>Sesudah makan, pada waktu yang sama setiap harinya, lebih baik diminum sebelum jam 18.00 untuk menghindari banyak urinasi pada malam hari.</t>
  </si>
  <si>
    <t>INFORMASI OBAT INI HANYA UNTUK KALANGAN MEDIS. Pengobatan tekanan darah tinggi dan penyakit jantung</t>
  </si>
  <si>
    <t>Penderita anuria, gangguan ginjal, dan hiperkalemia</t>
  </si>
  <si>
    <t>pengobatan tekanan darah penyakit jantung</t>
  </si>
  <si>
    <t>spironolactone tablet pengobatan teka darah penyakit jantung</t>
  </si>
  <si>
    <t xml:space="preserve">laurier healthy skin pads tablet sildenafil citrate </t>
  </si>
  <si>
    <t>DKL0830908438A1</t>
  </si>
  <si>
    <t>Thiamfilex Dry Sirup 60 ml</t>
  </si>
  <si>
    <t>Rp8.500 - Rp15.000</t>
  </si>
  <si>
    <t>Berikan sebelum makan</t>
  </si>
  <si>
    <t>PENGGUNAAN OBAT INI HARUS SESUAI DENGAN PETUNJUK DOKTER. Dewasa, anak, dan bayi &gt; 2 minggu : 50 mg/kg BB/hari terbagi dalam 3 - 4 dosis. Bayi prematur dan bayi &lt; 2 minggu : 25 mg/kg BB/hari terbagi dalam 4 dosis</t>
  </si>
  <si>
    <t>Pengobatan demam tifoid &amp; paratifoid</t>
  </si>
  <si>
    <t>Botol, Sirup 125 Mg/5 ml X 60 ml X 1</t>
  </si>
  <si>
    <t>Alergi. Gangguan hati atau ginjal berat</t>
  </si>
  <si>
    <t>HARUS DENGAN RESEP DOKTER. Bayi prematur dan neonatus &lt; 2 minggu. Gangguan ginjal. Hamil, laktasi. Tidak untuk mencegah infeksi. Pengobatan influenza, batuk dan pilek, infeksi sal nafas atas</t>
  </si>
  <si>
    <t>pengobatan demam tifoid paratifoid</t>
  </si>
  <si>
    <t>thiamfilex</t>
  </si>
  <si>
    <t>thiamfilex suspensi thiamphenicol pengobatan demam tifoid paratifoid</t>
  </si>
  <si>
    <t>Gea Blood Lancet 28G 200 Pieces</t>
  </si>
  <si>
    <t>Rp30.800 - Rp43.500</t>
  </si>
  <si>
    <t>Box</t>
  </si>
  <si>
    <t>gea blood lancet pieces</t>
  </si>
  <si>
    <t xml:space="preserve">gea blood lancet pieces tablet pioglitazone hydrochloride </t>
  </si>
  <si>
    <t>EUA2254201117A1</t>
  </si>
  <si>
    <t>Paxlovid 30 Tablet</t>
  </si>
  <si>
    <t>Dikonsumsi secara oral (melalui mulut), sebelum atau sesudah makan.</t>
  </si>
  <si>
    <t>300 mg nirmatrelvir (2 tablet 150 mg) dengan 100 mg ritonavir (1 tablet 100 mg) total 3 tablet diminum bersama-sama dua kali sehari selama 5 hari. Dapat diminum sesudah atau sebelum makan. Tablet harus ditelan utuh dan tidak boleh dikunyah, dipatahkan atau digerus. Untuk informasi lebih lanjut tentang penggunaan Paxlovid, lihat brosur paket atau hubungi dokter Anda atau Apoteker.</t>
  </si>
  <si>
    <t>Pengobatan Covid-19.</t>
  </si>
  <si>
    <t>Dus, 5 Blister @ 4 Tablet Salut Selaput Nirmatrelvir Dan 2 Tablet Salut Selaput Ritonavir</t>
  </si>
  <si>
    <t>Riwayat reaksi hipersensitivitas yang signifikan secara klinis terhadap zat aktif bahan (nirmatrelvir atau ritonavir) atau komponen lainnya. Gangguan ginjal atau hati yang parah. Kehamilan</t>
  </si>
  <si>
    <t>BD Micro-Fine 8 mm 100 Pieces</t>
  </si>
  <si>
    <t>Rp267.500 - Rp440.600</t>
  </si>
  <si>
    <t>bd microfine mm pieces</t>
  </si>
  <si>
    <t xml:space="preserve">bd microfine mm pieces tablet pioglitazone hydrochloride </t>
  </si>
  <si>
    <t>Benecheck Plus Glucose 50 Strip</t>
  </si>
  <si>
    <t>Rp284.100 - Rp417.100</t>
  </si>
  <si>
    <t>Box @ 50 Strip</t>
  </si>
  <si>
    <t>benecheck plus glucose strip</t>
  </si>
  <si>
    <t xml:space="preserve">benecheck plus glucose strip tablet pioglitazone hydrochloride </t>
  </si>
  <si>
    <t>Fiesta Lubricant Gel 50 ml</t>
  </si>
  <si>
    <t>Rp40.500 - Rp44.600</t>
  </si>
  <si>
    <t>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</si>
  <si>
    <t>Sebagai pelumas</t>
  </si>
  <si>
    <t>Tube @ 50 ml</t>
  </si>
  <si>
    <t>sebagai pelumas</t>
  </si>
  <si>
    <t>fiesta lubricant</t>
  </si>
  <si>
    <t>fiesta lubricant tablet tizanidine hydrochloride sebagai pelumas</t>
  </si>
  <si>
    <t>TR112322981</t>
  </si>
  <si>
    <t>New Prouric 60 Kapsul</t>
  </si>
  <si>
    <t>NEW PROURIC</t>
  </si>
  <si>
    <t>Rp51.100 - Rp73.300</t>
  </si>
  <si>
    <t>Diminum setelah makan.</t>
  </si>
  <si>
    <t>Dosis awal: sehari 2 kali 2 kapsul, Pemeliharaan: sehari 2 kali 1 kapsul</t>
  </si>
  <si>
    <t>Menghilangkan kelebihan asam urat</t>
  </si>
  <si>
    <t>Box 6 Blister X 10'S.</t>
  </si>
  <si>
    <t>new prouric</t>
  </si>
  <si>
    <t>menghilangkan kelebihan asam urat</t>
  </si>
  <si>
    <t>new prouric kapsul menghilangkan kelebihan asam urat</t>
  </si>
  <si>
    <t>DKI0585600517A1</t>
  </si>
  <si>
    <t>Arava 20 mg 30 Tablet</t>
  </si>
  <si>
    <t>Rp1.330.700 - Rp2.206.700</t>
  </si>
  <si>
    <t>PENGGUNAAN OBAT INI HARUS SESUAI DENGAN PETUNJUK DOKTER. Berikan bersama makanan</t>
  </si>
  <si>
    <t>Terapi untuk Artritis Rematoid aktif</t>
  </si>
  <si>
    <t>Dus, 1 Botol @ 30 Tablet salut selaput</t>
  </si>
  <si>
    <t>Wanita yang telah atau akan hamil, menyusui. immunodefisiensi, gangguan fungsi sumsum tulang atau anemia yang signifikan, leukopenia, neutropenia atau trombositopenia karena penyebab selain RA, infeksi serius, moderat untuk insufisiensi ginjal, gangguan fungsi hati, hipoproteinaemia</t>
  </si>
  <si>
    <t>HARUS DENGAN RESEP DOKTER. Pasien dengan hepatotoksik atau hematotoksik DMARD. Anemia, leokopenia, trombositopenia, gangguan fungsi sumsum tulang atau berisiko mengalami supresi sumsum tulang, insufisiensi ginjal. Bayi dan lanjut usia. Anak kurang dari 18 tahun. Dapat mempengaruhi kemampuan mengendarai atau menjalankan mesin</t>
  </si>
  <si>
    <t>leflunomide</t>
  </si>
  <si>
    <t>terapi artritis rematoid aktif</t>
  </si>
  <si>
    <t>arava</t>
  </si>
  <si>
    <t>arava tablet leflunomide terapi artritis rematoid aktif</t>
  </si>
  <si>
    <t>Gamat Sar 30 Kapsul</t>
  </si>
  <si>
    <t>Rp41.000 - Rp77.900</t>
  </si>
  <si>
    <t>Membantu meredakan nyeri sendi.</t>
  </si>
  <si>
    <t>membantu meredakan nyeri sendi</t>
  </si>
  <si>
    <t>gamat sar kapsul membantu meredakan nyeri sendi</t>
  </si>
  <si>
    <t>Avico Blood Lancet 100 Pieces</t>
  </si>
  <si>
    <t>Rp19.900 - Rp30.600</t>
  </si>
  <si>
    <t>Box @ 100 Pieces</t>
  </si>
  <si>
    <t>avico blood lancet pieces</t>
  </si>
  <si>
    <t xml:space="preserve">avico blood lancet pieces tablet pioglitazone hydrochloride </t>
  </si>
  <si>
    <t>BD Micro-Fine 4 Mm 100 Pieces</t>
  </si>
  <si>
    <t>Rp238.700 - Rp350.000</t>
  </si>
  <si>
    <t>BD Micro-Fine 5 Mm 100 Pieces</t>
  </si>
  <si>
    <t>Rp298.400 - Rp392.700</t>
  </si>
  <si>
    <t>DKL1121640937A1</t>
  </si>
  <si>
    <t>Viridis 250 mg/5 ml Sirup 60 ml</t>
  </si>
  <si>
    <t>Rp67.500 - Rp82.600</t>
  </si>
  <si>
    <t>diberikan bersama atau tanpa makanan.</t>
  </si>
  <si>
    <t>PENGGUNAAN OBAT INI HARUS SESUAI DENGAN PETUNJUK DOKTER. Dewasa dan anak &gt; 5 tahun : 50mg/kgBB/hari dalam 3-4 dosis terbagi, dapat ditingkatkan sampai dengan 100mgkgBB/hari dalam 4-6 dosis terbagi. Anak &lt; 5 tahun : 50mg/kgBB/hari, dapat ditingkatkan sampai dengan 100mg/kgBB/hari dalam 3-4 dosis terbagi</t>
  </si>
  <si>
    <t>untuk infeksi virus &amp; kondisi imunodefisiensi.</t>
  </si>
  <si>
    <t>HARUS DENGAN RESEP DOKTER. Pasien dengan gout, penderita penyakit jantung yang sedang menjalani terapi digitalis</t>
  </si>
  <si>
    <t>infeksi virus kondisi imunodefisiensi</t>
  </si>
  <si>
    <t>viridis</t>
  </si>
  <si>
    <t>viridis sirup methisoprinol infeksi virus kondisi imunodefisiensi</t>
  </si>
  <si>
    <t>Leukocrepe 7.5 cm x 4.5 m</t>
  </si>
  <si>
    <t>Lilitkan pada objek, gunting sesuai dengan kebutuhan.</t>
  </si>
  <si>
    <t>Perban crepe</t>
  </si>
  <si>
    <t>Box @ 1 Roll @ 7.5 CMx4.5 M</t>
  </si>
  <si>
    <t>perban crepe</t>
  </si>
  <si>
    <t>leukocrepe x m larutan povidoneiodine perban crepe</t>
  </si>
  <si>
    <t>DKL9630904101B1</t>
  </si>
  <si>
    <t>Thiamfilex 500 mg 10 Kapsul</t>
  </si>
  <si>
    <t>Rp12.000 - Rp20.700</t>
  </si>
  <si>
    <t>PENGGUNAAN OBAT INI HARUS SESUAI DENGAN PETUNJUK DOKTER. Dewasa : 3 - 4 kali sehari 500 mg, sampai dengan 3 g/hari untuk infeksi serius. Anak : 20 - 30 mg/kg BB/hari, dapat ditingkatkan sampai dengan 50 mg/kg BB/hari untuk infeksi serius. GO : 2.5 g dosis tunggal</t>
  </si>
  <si>
    <t>Dus, isi 10 strip @ 10 Kapsul</t>
  </si>
  <si>
    <t>HARUS DENGAN RESEP DOKTER. Pengobatan jangka lama. Hindari pengulangan pengobatan. Gangguan fungsi ginjal. Bayi. Hamil, laktasi</t>
  </si>
  <si>
    <t>thiamfilex kapsul thiamphenicol pengobatan demam tifoid paratifoid</t>
  </si>
  <si>
    <t>DBL0509205809B1</t>
  </si>
  <si>
    <t>Nutralix 5000 10 Kaplet</t>
  </si>
  <si>
    <t>Rp17.500 - Rp40.600</t>
  </si>
  <si>
    <t>nutralix</t>
  </si>
  <si>
    <t xml:space="preserve">nutralix kaplet thiamine hydrochloride pyridoxine hydrochloride cyanocobalamin </t>
  </si>
  <si>
    <t>TR212697661</t>
  </si>
  <si>
    <t>Sanbe-Ivy Sirup 60 ml</t>
  </si>
  <si>
    <t>SANBE-IVY</t>
  </si>
  <si>
    <t>Rp43.300 - Rp58.300</t>
  </si>
  <si>
    <t>Anak 1-5 tahun: 2.5 ml, 3 x sehari. Anak dan remaja (6-17 tahun): 5 ml, 3 x sehari. Dewasa: 5-7.5 ml, 3 x sehari.</t>
  </si>
  <si>
    <t>sanbe-ivy</t>
  </si>
  <si>
    <t>sanbeivy</t>
  </si>
  <si>
    <t>sanbeivy sirup sanbeivy membantu meredakan batuk berdahak</t>
  </si>
  <si>
    <t>TR132371791</t>
  </si>
  <si>
    <t>Sido Muncul Sari Daun Kelor 50 Kapsul</t>
  </si>
  <si>
    <t>D-Kelor</t>
  </si>
  <si>
    <t>Rp75.000 - Rp94.700</t>
  </si>
  <si>
    <t>d-kelor</t>
  </si>
  <si>
    <t>sido muncul sari daun kelor</t>
  </si>
  <si>
    <t xml:space="preserve">sido muncul sari daun kelor kapsul dkelor </t>
  </si>
  <si>
    <t>DKL0615619610A1</t>
  </si>
  <si>
    <t>Progeston 5 mg 10 Tablet</t>
  </si>
  <si>
    <t>PENGGUNAAN OBAT INI HARUS SESUAI DENGAN PETUNJUK DOKTER. 3 x sehari 1 tablet</t>
  </si>
  <si>
    <t>Ancaman abortus dan persalinan prematur</t>
  </si>
  <si>
    <t>HARUS DENGAN RESEP DOKTER. Diabetes melitus</t>
  </si>
  <si>
    <t>ancaman abortus persalinan prematur</t>
  </si>
  <si>
    <t>progeston</t>
  </si>
  <si>
    <t>progeston tablet allylestrenol ancaman abortus persali prematur</t>
  </si>
  <si>
    <t>TR182320981</t>
  </si>
  <si>
    <t>Sancoidan 120 Kapsul</t>
  </si>
  <si>
    <t>SANCOIDAN</t>
  </si>
  <si>
    <t>Rp2.218.300 - Rp2.752.000</t>
  </si>
  <si>
    <t>Dapat dikonsumsi sebelum atau setelah makan</t>
  </si>
  <si>
    <t>Sehari 3 kali 1 kapsul, atau sesuai anjuran dokter</t>
  </si>
  <si>
    <t>Membantu memelihara daya tahan tubuh</t>
  </si>
  <si>
    <t>Dus, Botol Kaca @ 120 kapsul</t>
  </si>
  <si>
    <t>sancoidan</t>
  </si>
  <si>
    <t>membantu memelihara daya tahan tubuh</t>
  </si>
  <si>
    <t>sancoidan kapsul membantu memelihara daya tahan tubuh</t>
  </si>
  <si>
    <t>TR152587971</t>
  </si>
  <si>
    <t>Promeno 10 Tablet</t>
  </si>
  <si>
    <t>PROMENO</t>
  </si>
  <si>
    <t>Rp114.900 - Rp167.900</t>
  </si>
  <si>
    <t>bersama dengan makanan</t>
  </si>
  <si>
    <t>1 x sehari 1 - 2 tablet.</t>
  </si>
  <si>
    <t>Terapi simtomatik pra dan pasca menopause.</t>
  </si>
  <si>
    <t>Dus, 3 strip @ 10 Tablet</t>
  </si>
  <si>
    <t>promeno</t>
  </si>
  <si>
    <t>terapi simtomatik pra pasca menopause</t>
  </si>
  <si>
    <t>promeno tablet terapi simtomatik pra pasca menopause</t>
  </si>
  <si>
    <t>TI074325701</t>
  </si>
  <si>
    <t>Nutracare Cranberry 30 Kapsul</t>
  </si>
  <si>
    <t>NUTRACARE CRANBERRY</t>
  </si>
  <si>
    <t>Rp211.900 - Rp295.200</t>
  </si>
  <si>
    <t>Membantu melancarkan buang air kecil.</t>
  </si>
  <si>
    <t>nutracare cranberry</t>
  </si>
  <si>
    <t>nutracare cranberry kapsul membantu melancarkan buang air</t>
  </si>
  <si>
    <t>TI094340291</t>
  </si>
  <si>
    <t>Wellness Tribulus Stack 30 Kapsul</t>
  </si>
  <si>
    <t>WELLNESS TRIBULUS STACK</t>
  </si>
  <si>
    <t>Rp160.900 - Rp364.000</t>
  </si>
  <si>
    <t>1-2 kapsul perhari atau sesuai anjuran dokter</t>
  </si>
  <si>
    <t>wellness tribulus stack</t>
  </si>
  <si>
    <t>wellness tribulus stack kapsul membantu memelihara stamen</t>
  </si>
  <si>
    <t>DKL0317619010A1</t>
  </si>
  <si>
    <t>Fertin 50 mg 10 Tablet</t>
  </si>
  <si>
    <t>Rp218.300 - Rp279.200</t>
  </si>
  <si>
    <t>PENGGUNAAN OBAT INI HARUS SESUAI DENGAN PETUNJUK DOKTER. Infertilitas anovulatori : 1 tablet/hari selama 5 hari mulai hari ke-5 siklus haid atau setiap saat pada kasus amenore. Ovulasi biasanya terjadi dalam waktu 6 - 10 hari setelah dosis terakhir. Jika tidak, dapat ditambahi 1 tablet 2 kali sehari selama 5 ha</t>
  </si>
  <si>
    <t>Infertilitas anovulatori, oligospermia</t>
  </si>
  <si>
    <t>Tablet 50 Mg X 10</t>
  </si>
  <si>
    <t>Hamil, penyakit hati aktif atau disfungsi hati, perdarahan abnormal pada uterus yang tidak diketahui penyebabnya, disfungsi ovarium dan pituitari, kista ovarium (tidak termasuk penyakit polikistik ovarium, karsinoma endometrium</t>
  </si>
  <si>
    <t>HARUS DENGAN RESEP DOKTER. Gangguan penglihatan (hentikan terapi). Kemungkinan terjadi kehamilan ganda</t>
  </si>
  <si>
    <t>clomifene citrate</t>
  </si>
  <si>
    <t>infertilitas anovulatori , oligospermia</t>
  </si>
  <si>
    <t>fertin</t>
  </si>
  <si>
    <t>fertin tablet clomifene citrate infertilitas anovulatori  oligospermia</t>
  </si>
  <si>
    <t>TR223003591</t>
  </si>
  <si>
    <t>Immucell 60 Kapsul</t>
  </si>
  <si>
    <t>IMMUCELL</t>
  </si>
  <si>
    <t>Rp1.100.000 - Rp1.200.200</t>
  </si>
  <si>
    <t>Sesudah makan.</t>
  </si>
  <si>
    <t>2 - 6 kapsul per hari.</t>
  </si>
  <si>
    <t>Membantu memelihara daya tahan tubuh.</t>
  </si>
  <si>
    <t>immucell</t>
  </si>
  <si>
    <t>immucell kapsul membantu memelihara daya tahan tubuh</t>
  </si>
  <si>
    <t>TR092399411</t>
  </si>
  <si>
    <t>Hepagard 30 Kapsul</t>
  </si>
  <si>
    <t>HEPAGARD</t>
  </si>
  <si>
    <t>Rp82.100 - Rp127.100</t>
  </si>
  <si>
    <t>Dewasa : 3 x sehari 2 kapsul</t>
  </si>
  <si>
    <t>Membantu memelihara kesehatan fungsi hati</t>
  </si>
  <si>
    <t>Box Isi 3 Strip @ 10 Kapsul</t>
  </si>
  <si>
    <t>hepagard</t>
  </si>
  <si>
    <t>membantu memelihara kesehatan fungsi hati</t>
  </si>
  <si>
    <t>hepagard kapsul membantu memelihara kesehatan fungsi hati</t>
  </si>
  <si>
    <t>TR203337811</t>
  </si>
  <si>
    <t>Syifa Daun Kelor 60 Kapsul</t>
  </si>
  <si>
    <t>DAUN KELOR KAPSUL</t>
  </si>
  <si>
    <t>Rp35.000 - Rp39.000</t>
  </si>
  <si>
    <t>Dus, botol @ 60 kapsul</t>
  </si>
  <si>
    <t>daun kelor kapsul</t>
  </si>
  <si>
    <t>syifa daun kelor</t>
  </si>
  <si>
    <t xml:space="preserve">syifa daun kelor kapsul daun kelor kapsul </t>
  </si>
  <si>
    <t>TR172301351</t>
  </si>
  <si>
    <t>Grotein 10 Kapsul</t>
  </si>
  <si>
    <t>GROTEIN</t>
  </si>
  <si>
    <t>Rp64.600 - Rp71.800</t>
  </si>
  <si>
    <t>3 x 2 kapsul per hari</t>
  </si>
  <si>
    <t>Box 6 Blister @ 10 Kapsul</t>
  </si>
  <si>
    <t>grotein</t>
  </si>
  <si>
    <t>grotein kapsul membantu memelihara daya tahan tubuh</t>
  </si>
  <si>
    <t>TR153389581</t>
  </si>
  <si>
    <t>Kapsul Minyak Zaitun Tn57 50 Kapsul</t>
  </si>
  <si>
    <t>KAPSUL MINYAK ZAITUN TN57</t>
  </si>
  <si>
    <t>Rp55.000 - Rp64.000</t>
  </si>
  <si>
    <t>kapsul minyak zaitun tn57</t>
  </si>
  <si>
    <t>zaitun tn</t>
  </si>
  <si>
    <t xml:space="preserve">zaitun tn kapsul kapsul minyak zaitun tn57 </t>
  </si>
  <si>
    <t>TR142380101</t>
  </si>
  <si>
    <t>Nature's Pride Flaxseed Oil 30 Kapsul</t>
  </si>
  <si>
    <t>FLAXSEED OIL</t>
  </si>
  <si>
    <t>Rp82.800 - Rp126.400</t>
  </si>
  <si>
    <t>Botol plastik @ 30 Kapsul Lunak</t>
  </si>
  <si>
    <t>flaxseed oil</t>
  </si>
  <si>
    <t>natures pride flaxseed oil</t>
  </si>
  <si>
    <t xml:space="preserve">natures pride flaxseed oil kapsul flaxseed oil </t>
  </si>
  <si>
    <t>Perban Husada 4Y x 7 cm 5 Roll</t>
  </si>
  <si>
    <t>Pack isi 5</t>
  </si>
  <si>
    <t>perban husada y x roll</t>
  </si>
  <si>
    <t xml:space="preserve">perban husada y x roll larutan povidoneiodine </t>
  </si>
  <si>
    <t>DKL0122233416A1</t>
  </si>
  <si>
    <t>Renodiol 10 Tablet</t>
  </si>
  <si>
    <t>Rp117.600 - Rp131.700</t>
  </si>
  <si>
    <t>PENGGUNAAN OBAT INI HARUS SESUAI DENGAN PETUNJUK DOKTER. 1 tablet 2 hari berurutan, menstruasi biasanya terjadi 3-6 hari kemudian, tiap pada beberapa kasus pendarahan dapat baru terjadi setelah 15 hari.</t>
  </si>
  <si>
    <t>Terapi amenore sekunder</t>
  </si>
  <si>
    <t>Dus, 2 strip 2 10 Tablet salut gula</t>
  </si>
  <si>
    <t>methyl estrenolone</t>
  </si>
  <si>
    <t>terapi amenore sekunder</t>
  </si>
  <si>
    <t>renodiol</t>
  </si>
  <si>
    <t>renodiol tablet methyl estrenolone terapi amenore sekunder</t>
  </si>
  <si>
    <t>Micropore Plester Roll 1.25 Cm X 9.1 M</t>
  </si>
  <si>
    <t>micropore plester roll x m</t>
  </si>
  <si>
    <t xml:space="preserve">micropore plester roll x m larutan povidoneiodine </t>
  </si>
  <si>
    <t>TR053353681</t>
  </si>
  <si>
    <t>Madeca Kapsul</t>
  </si>
  <si>
    <t>MADECA</t>
  </si>
  <si>
    <t>Rp103.800 - Rp114.100</t>
  </si>
  <si>
    <t>Pencegahan 1x sehari 1 kapsul Pengobatan 3x sehari 1 kapsul</t>
  </si>
  <si>
    <t>Membantu mencegah dan mengatasi terjadinya sel kanker</t>
  </si>
  <si>
    <t>madeca</t>
  </si>
  <si>
    <t>membantu mencegah mengatasi sel kanker</t>
  </si>
  <si>
    <t>madeca kapsul membantu mencegah mengatasi sel kanker</t>
  </si>
  <si>
    <t>TR212377541</t>
  </si>
  <si>
    <t>TJ Propolis 5 Kapsul</t>
  </si>
  <si>
    <t>TJ PROPOLIS</t>
  </si>
  <si>
    <t>Rp7.500 - Rp9.200</t>
  </si>
  <si>
    <t>2 kali sehari 1-2 kapsul atau sesuai rekomendasi dokter.</t>
  </si>
  <si>
    <t>Sebagai daya tahan tubuh</t>
  </si>
  <si>
    <t>Strip @ 5 Kapsul</t>
  </si>
  <si>
    <t>tj propolis</t>
  </si>
  <si>
    <t>sebagai daya tahan tubuh</t>
  </si>
  <si>
    <t>tj propolis kapsul sebagai daya tahan tubuh</t>
  </si>
  <si>
    <t>TR153685241</t>
  </si>
  <si>
    <t>Madu SP Subur Pria 280 g</t>
  </si>
  <si>
    <t>NEKTRA MANIS</t>
  </si>
  <si>
    <t>Rp48.700 - Rp78.900</t>
  </si>
  <si>
    <t>Botol @ 280 G</t>
  </si>
  <si>
    <t>nektra manis</t>
  </si>
  <si>
    <t>madu sp subur pria</t>
  </si>
  <si>
    <t xml:space="preserve">madu sp subur pria madu nektra manis </t>
  </si>
  <si>
    <t>TR172302221</t>
  </si>
  <si>
    <t>Sutra Perkasa 2 Kapsul</t>
  </si>
  <si>
    <t>SUTRA PERKASA</t>
  </si>
  <si>
    <t>Dikonsumsi sebelum atau sesudah makan</t>
  </si>
  <si>
    <t>1 kali sehari, sebanyak 2 kapsul</t>
  </si>
  <si>
    <t>Dus, Blister @ 2 Kapsul @ 370 mg</t>
  </si>
  <si>
    <t>Simpan di tempat yang kering dan terhindar sinar matahari langsung.</t>
  </si>
  <si>
    <t>sutra perkasa</t>
  </si>
  <si>
    <t>sutra perkasa kapsul membantu memelihara stamen pria</t>
  </si>
  <si>
    <t>TR143380381</t>
  </si>
  <si>
    <t>Tursyna Zaitun Oil 200 Kapsul</t>
  </si>
  <si>
    <t>ZAITUN OIL TURSYNA</t>
  </si>
  <si>
    <t>Rp38.900 - Rp70.800</t>
  </si>
  <si>
    <t>Dus, Botol @ 200 kapsul</t>
  </si>
  <si>
    <t>zaitun oil tursyna</t>
  </si>
  <si>
    <t>tursyna zaitun oil</t>
  </si>
  <si>
    <t xml:space="preserve">tursyna zaitun oil kapsul zaitun oil tursyna </t>
  </si>
  <si>
    <t>TR152386671</t>
  </si>
  <si>
    <t>Nature's Pride Olivar 30 Kapsul</t>
  </si>
  <si>
    <t>NATURE`S PRIDE OLIVAR</t>
  </si>
  <si>
    <t>Rp82.800 - Rp119.500</t>
  </si>
  <si>
    <t>nature`s pride olivar</t>
  </si>
  <si>
    <t>natures pride olivar</t>
  </si>
  <si>
    <t xml:space="preserve">natures pride olivar kapsul natures pride olivar </t>
  </si>
  <si>
    <t>Sanbe-Ivy Sirup 120 ml</t>
  </si>
  <si>
    <t>Rp116.600 - Rp117.600</t>
  </si>
  <si>
    <t>TI164350791</t>
  </si>
  <si>
    <t>Blackmores Flaxseed Oil 1000 mg 100 Kapsul</t>
  </si>
  <si>
    <t>BLACKMORES FLAXSEED OIL</t>
  </si>
  <si>
    <t>Rp233.800 - Rp308.400</t>
  </si>
  <si>
    <t>Dikonsumsi setelah makan</t>
  </si>
  <si>
    <t>Untuk membantu memelihara kesehatan: Dewasa: 1-2 kapsul tiga kali sehari setelah makan atau sesuai petunjuk dokter,</t>
  </si>
  <si>
    <t>Botol Kaca @ 100 kapsul lunak</t>
  </si>
  <si>
    <t>Tidak dianjurkan untuk ibu hamil dan menyusui.</t>
  </si>
  <si>
    <t>blackmores flaxseed oil</t>
  </si>
  <si>
    <t>blackmores flaxseed oil kapsul membantu memelihara kesehatan</t>
  </si>
  <si>
    <t>TR173306871</t>
  </si>
  <si>
    <t>Al Afiat Ikan Gabus 60 Kapsul</t>
  </si>
  <si>
    <t>IKAN GABUS</t>
  </si>
  <si>
    <t>Rp52.300 - Rp67.100</t>
  </si>
  <si>
    <t>ikan gabus</t>
  </si>
  <si>
    <t>al afiat ikan gabus</t>
  </si>
  <si>
    <t xml:space="preserve">al afiat ikan gabus kapsul ikan gabus </t>
  </si>
  <si>
    <t>TR082596611</t>
  </si>
  <si>
    <t>Mustika Ratu Susut Perut 30 Kapsul</t>
  </si>
  <si>
    <t>SUSUT PERUT</t>
  </si>
  <si>
    <t>Rp24.200 - Rp36.800</t>
  </si>
  <si>
    <t>susut perut</t>
  </si>
  <si>
    <t>mustika ratu susut perut</t>
  </si>
  <si>
    <t xml:space="preserve">mustika ratu susut perut kapsul susut perut </t>
  </si>
  <si>
    <t>DTL8821905010A1</t>
  </si>
  <si>
    <t>Samcodin 10 Tablet</t>
  </si>
  <si>
    <t>guaifenesin chlorphenamine maleate dextromethorphan hydrobromide</t>
  </si>
  <si>
    <t>samcodin</t>
  </si>
  <si>
    <t xml:space="preserve">samcodin tablet guaifenesin chlorphenamine maleate dextromethorphan hydrobromide </t>
  </si>
  <si>
    <t>TI174357381</t>
  </si>
  <si>
    <t>Nutrimax Figure Plus 30 Kapsul</t>
  </si>
  <si>
    <t>NUTRIMAX FIGURE PLUS</t>
  </si>
  <si>
    <t>Rp191.000 - Rp312.000</t>
  </si>
  <si>
    <t>1-2 kapsul per hari.</t>
  </si>
  <si>
    <t>Suplemen untuk memelihara kesehatan</t>
  </si>
  <si>
    <t>Simpan di bawah suhu 30 derajat C. Jauhkan dari jangkauan anak-anak.</t>
  </si>
  <si>
    <t>nutrimax figure plus</t>
  </si>
  <si>
    <t>suplemen memelihara kesehatan</t>
  </si>
  <si>
    <t>nutrimax figure plus kapsul suplemen memelihara kesehatan</t>
  </si>
  <si>
    <t>TR072368301</t>
  </si>
  <si>
    <t>Sinargi Tamacap 350 mg 60 Kapsul</t>
  </si>
  <si>
    <t>SINARGI TAMACAP</t>
  </si>
  <si>
    <t>Rp634.800 - Rp866.700</t>
  </si>
  <si>
    <t>2 kali sehari, 1-2 kapsul</t>
  </si>
  <si>
    <t>Membantu memperbaiki nafsu makan</t>
  </si>
  <si>
    <t>Tidak boleh digunakan untuk anak dibawah umur 8 tahun dan tidak dianjurkan untuk wanita hamil</t>
  </si>
  <si>
    <t>sinargi tamacap</t>
  </si>
  <si>
    <t>membantu memperbaiki nafsu makan</t>
  </si>
  <si>
    <t>sinargi tamacap kapsul membantu memperbaiki nafsu makan</t>
  </si>
  <si>
    <t>DKI1151302568B1</t>
  </si>
  <si>
    <t>Pulmicort 0.5 mg/ml 5 Respules</t>
  </si>
  <si>
    <t>Rp103.400 - Rp175.600</t>
  </si>
  <si>
    <t>PENGGUNAAN OBAT INI HARUS SESUAI DENGAN PETUNJUK DOKTER. Dewasa &amp; anak ?12 thn : 1-2 mg 2 x sehari (pagi &amp; sore). Dosis penjagaan: 0,5-1 mg 2 x sehari. Anak 3 bln-12 thn : 0,5-1 mg 2 x sehari (pagi &amp; sore). Dosis penjagaan: 0,25-0,5 mg 2 x sehari.</t>
  </si>
  <si>
    <t>INFORMASI OBAT INI HANYA UNTUK KALANGAN MEDIS. Pengobatan Asma Bronkhial</t>
  </si>
  <si>
    <t>HARUS DENGAN RESEP DOKTER. Bronkospasme, supresi axis HPA dan insufisiensi adrenal, kepadatan tulang, pertumbuhan, infeksi dan TB, gangguan fungsi hati. Hamil dan laktasi. Simpan pada suhu di bawah 30 derajat Celcius. Jangan didinginkan. Respules yang tidak digunakan dan belum dibuka harus dibuang setelah 3 bulan kemasan foil dibuka. Pulmicort Respules harus terlindung dari cahaya dengan menyimpannya dalam amplop foil.</t>
  </si>
  <si>
    <t>pengobatan asma bronkhial</t>
  </si>
  <si>
    <t>pulmicort respules inhaler budesonide pengobatan asma bronkhial</t>
  </si>
  <si>
    <t>TR182519081</t>
  </si>
  <si>
    <t>Herba Asimor 60 Kaplet</t>
  </si>
  <si>
    <t>HERBA ASIMOR</t>
  </si>
  <si>
    <t>Rp103.900 - Rp167.700</t>
  </si>
  <si>
    <t>Dapat diberikan sesudah makan</t>
  </si>
  <si>
    <t>Diminum 2 x sehari 1 kaplet. Digunakan selama masa menyusui.</t>
  </si>
  <si>
    <t>Membantu melancarkan air susu ibu</t>
  </si>
  <si>
    <t>Botol @ 60 kaplet</t>
  </si>
  <si>
    <t>herba asimor</t>
  </si>
  <si>
    <t>herba asimor kaplet membantu melancarkan air susu</t>
  </si>
  <si>
    <t>DKL0105030217A1</t>
  </si>
  <si>
    <t>Laktafit 10 Tablet</t>
  </si>
  <si>
    <t>Rp38.500 - Rp40.500</t>
  </si>
  <si>
    <t>PENGGUNAAN OBAT INI HARUS SESUAI DENGAN PETUNJUK DOKTER. 3 x sehari 1 tablet selama menyusui</t>
  </si>
  <si>
    <t>INFORMASI OBAT INI HANYA UNTUK KALANGAN MEDIS. Hipogalaktia/produksi ASI yang kurang memadai</t>
  </si>
  <si>
    <t>Dus, 6 Strip @ 10 Tablet</t>
  </si>
  <si>
    <t>Penderita yang hiperensitif dengan komponen obat</t>
  </si>
  <si>
    <t>hipogalaktia produksi asi memadai</t>
  </si>
  <si>
    <t>laktafit</t>
  </si>
  <si>
    <t>laktafit tablet cyanocobalamin hipogalaktia produksi asi memadai</t>
  </si>
  <si>
    <t>TR062363391</t>
  </si>
  <si>
    <t>Primunox Kapsul</t>
  </si>
  <si>
    <t>PRIMUNOX</t>
  </si>
  <si>
    <t>Rp1.000 - Rp1.500</t>
  </si>
  <si>
    <t>1-2 kapsul/ hari</t>
  </si>
  <si>
    <t>Membantu meningkatkan daya tahan tubuh</t>
  </si>
  <si>
    <t>Kapsul 5 X 10</t>
  </si>
  <si>
    <t>Sklerosis, TBC, AIDS, penyakit kolagen. Hamil</t>
  </si>
  <si>
    <t>primunox</t>
  </si>
  <si>
    <t>membantu meningkatkan daya tahan tubuh</t>
  </si>
  <si>
    <t>primunox kapsul membantu meningkatkan daya tahan tubuh</t>
  </si>
  <si>
    <t>TI214307691</t>
  </si>
  <si>
    <t>Echinax 10 Kapsul</t>
  </si>
  <si>
    <t>ECHINAX</t>
  </si>
  <si>
    <t>Rp70.000 - Rp71.100</t>
  </si>
  <si>
    <t>Dewasa: 1 kapsul lunak, minum 3 x sehari. Anak-anak (6-12 tahun): Sesuai dengan petunjuk dokter.</t>
  </si>
  <si>
    <t>Box, 1 Blister @ 10 Kapsul Lunak</t>
  </si>
  <si>
    <t>echinax</t>
  </si>
  <si>
    <t>echinax kapsul membantu memelihara daya tahan tubuh</t>
  </si>
  <si>
    <t>TR202340261</t>
  </si>
  <si>
    <t>Unigen TR 15 Kapsul</t>
  </si>
  <si>
    <t>UNIGEN TR</t>
  </si>
  <si>
    <t>Rp255.800 - Rp260.700</t>
  </si>
  <si>
    <t>2-3 kapsul per hari atau sesuai dengan anjuran dokter</t>
  </si>
  <si>
    <t>Dus, Botol @ 15 Kapsul</t>
  </si>
  <si>
    <t>unigen tr</t>
  </si>
  <si>
    <t>unigen tr kapsul membantu memelihara stamen pria</t>
  </si>
  <si>
    <t>TR142581301</t>
  </si>
  <si>
    <t>Rhodium 10 Tablet</t>
  </si>
  <si>
    <t>RHODIUM</t>
  </si>
  <si>
    <t>Rp89.000 - Rp98.500</t>
  </si>
  <si>
    <t>Diberikan sesudah makan.</t>
  </si>
  <si>
    <t>1-3 tablet/hari</t>
  </si>
  <si>
    <t>Meredakan gejala hemoroid (wasir) dan varises</t>
  </si>
  <si>
    <t>Strip @ 10 tablet salut selaput</t>
  </si>
  <si>
    <t>ibu hamil dan menyusui</t>
  </si>
  <si>
    <t>rhodium</t>
  </si>
  <si>
    <t>meredakan gejala hemoroid wasir varises</t>
  </si>
  <si>
    <t>rhodium tablet meredakan gejala hemoroid wasir varises</t>
  </si>
  <si>
    <t>Budesma 0.25 mg/ml Inhalant 2 ml</t>
  </si>
  <si>
    <t>Rp16.100 - Rp19.900</t>
  </si>
  <si>
    <t>BUDESMA harus diberikan dari nebulizer yang sesuai. Isi yang cocok untuk sebagian besar nebulizer adalah 2-4 ml. Beberapa sedimentasi dapat terjadi selama penyimpanan BUDESMA. Jika ini tidak mudah disuspensikan kembali sepenuhnya setelah dikocok, obat harus dibuang.</t>
  </si>
  <si>
    <t>Asma berat atau mengurangi kortikosteroid oral : Dosis awal: Dewasa &amp; anak =12 th 1-2 mg 2 x sehari. Anak 3 - 12 th 0.5-1 mg 2 x sehari. Pemeliharaan: Dosis individual. Dosis yang dianjurkan: Dewasa 0.5-1 mg 2 x sehari. Anak 3 - 12 th 0.25 - 0.5 mg 2 x sehari.</t>
  </si>
  <si>
    <t>INFORMASI OBAT INI HANYA UNTUK KALANGAN MEDIS. Pengobatan asma bronkial.</t>
  </si>
  <si>
    <t>Tidak dapat digunakan utk menghilangkan bronkospasme dengan cepat &amp; tidak cocok sebagai terapi tunggal dalam pengobatan status asmatikus atau eksaserbasi akut asma lainnya di mana diperlukan tindakan intensif. Penurunan kepadatan tulang, katarak, glaukoma, keterbelakangan laju pertumbuhan pada anak. Pantau adanya gejala disfungsi adrenal. Tidak untuk digunakan sebagai pengobatan jangka panjang pada anak. Pengurangan awal kecepatan pertumbuhan pada tahun pertama pengobatan dapat terjadi pada anak. Pasien harus dititrasi dengan dosis efektif terendah. Dapat mengelabui beberapa tanda infeksi yang ada &amp; infeksi baru mungkin muncul. Gangguan fungsi hati berat. Hamil.</t>
  </si>
  <si>
    <t>pengobatan asma bronkial</t>
  </si>
  <si>
    <t>budesma inhalant suspensi budesonide pengobatan asma bronkial</t>
  </si>
  <si>
    <t>budesma inhalant powder budesonide pengobatan asma bronkial</t>
  </si>
  <si>
    <t>TR172301821</t>
  </si>
  <si>
    <t>Gramuno Sirup 60 ml</t>
  </si>
  <si>
    <t>GRAMUNO</t>
  </si>
  <si>
    <t>Rp10.000 - Rp9.999</t>
  </si>
  <si>
    <t>gramuno</t>
  </si>
  <si>
    <t>gramuno sirup membantu memelihara kesehatan fungsi hati</t>
  </si>
  <si>
    <t>Hansaplast Plester Disney Princess 10 Lembar</t>
  </si>
  <si>
    <t>Direkatkan pada bagian yang luka</t>
  </si>
  <si>
    <t>Pack Isi 10 sheet</t>
  </si>
  <si>
    <t>hansaplast plester disney princess lembar</t>
  </si>
  <si>
    <t xml:space="preserve">hansaplast plester disney princess lembar larutan povidoneiodine </t>
  </si>
  <si>
    <t>TI204559691</t>
  </si>
  <si>
    <t>Himalaya Liv 52 25 Tablet</t>
  </si>
  <si>
    <t>HIMALAYA LIV 52</t>
  </si>
  <si>
    <t>Rp34.100 - Rp37.900</t>
  </si>
  <si>
    <t>Anoreksia: Anak-anak: 3 x 1 tablet sehari Dewasa : 3 x 2 tablet sehari</t>
  </si>
  <si>
    <t>Anoreksia</t>
  </si>
  <si>
    <t>Dus, Botol @ 25 Tablet</t>
  </si>
  <si>
    <t>himalaya liv 52</t>
  </si>
  <si>
    <t>anoreksia</t>
  </si>
  <si>
    <t>himalaya liv</t>
  </si>
  <si>
    <t>himalaya liv tablet himalaya liv 52 anoreksia</t>
  </si>
  <si>
    <t>DKL1422252809B1</t>
  </si>
  <si>
    <t>Sanbenafil 100 mg Tablet</t>
  </si>
  <si>
    <t>Rp120.000 - Rp134.200</t>
  </si>
  <si>
    <t>terapi disfungsi ereksi</t>
  </si>
  <si>
    <t>sanbenafil</t>
  </si>
  <si>
    <t>sanbenafil kaplet sildenafil citrate terapi disfungsi ereksi</t>
  </si>
  <si>
    <t>DTL9317608101A1</t>
  </si>
  <si>
    <t>Theobron 130 mg 10 Kapsul</t>
  </si>
  <si>
    <t>Rp41.400 - Rp42.700</t>
  </si>
  <si>
    <t>Dewasa : 3 x sehari 1 kapsul</t>
  </si>
  <si>
    <t>Asma Bronkhial dan kondisi Bronkhospastik lainnya</t>
  </si>
  <si>
    <t>Tukak peptik, gastritis aktif, gangguan ginjal atau hati berat</t>
  </si>
  <si>
    <t>Penyakit KV, paru, ginjal atau hati. Hamil, usia lanjut, anak</t>
  </si>
  <si>
    <t>asma bronkhial kondisi bronkhospastik</t>
  </si>
  <si>
    <t>theobron</t>
  </si>
  <si>
    <t>theobron kapsul theophylline asma bronkhial kondisi bronkhospastik</t>
  </si>
  <si>
    <t>Theobron 130 mg 4 Kapsul</t>
  </si>
  <si>
    <t>Rp15.900 - Rp17.800</t>
  </si>
  <si>
    <t>Dus, 10 Amplop @ 1 Blister @ 4 Kapsul</t>
  </si>
  <si>
    <t>TR202239871</t>
  </si>
  <si>
    <t>Bejo Wedang Jahe Merah 5 Sachet</t>
  </si>
  <si>
    <t>BEJO SUJAMER</t>
  </si>
  <si>
    <t>Rp9.000 - Rp15.700</t>
  </si>
  <si>
    <t>Dus, 5 Sachet @ 10.5 g</t>
  </si>
  <si>
    <t>bejo sujamer</t>
  </si>
  <si>
    <t>bejo wedang jahe merah</t>
  </si>
  <si>
    <t xml:space="preserve">bejo wedang jahe merah sachet bejo sujamer </t>
  </si>
  <si>
    <t>Jordan Baby Step 1 Toothbrush 0-2 Years</t>
  </si>
  <si>
    <t>Rp25.900 - Rp52.000</t>
  </si>
  <si>
    <t>plastik @ 1 pieces</t>
  </si>
  <si>
    <t>jordan baby step toothbrush years</t>
  </si>
  <si>
    <t xml:space="preserve">jordan baby step toothbrush years tablet aminophylline </t>
  </si>
  <si>
    <t>TR193235131</t>
  </si>
  <si>
    <t>Lamandel 200 gr</t>
  </si>
  <si>
    <t>Rp33.500 - Rp33.600</t>
  </si>
  <si>
    <t>Larutkan 2 sendok teh dalam 150 ml air hangat</t>
  </si>
  <si>
    <t>Botol 200 ml</t>
  </si>
  <si>
    <t>lamandel gr</t>
  </si>
  <si>
    <t>lamandel gr  lamandel membantu meredakan tenggorokan kering</t>
  </si>
  <si>
    <t>Oral-B Sikat Gigi Stages 1 4-24 Month</t>
  </si>
  <si>
    <t>Rp19.400 - Rp28.400</t>
  </si>
  <si>
    <t>oralb sikat gigi stages month</t>
  </si>
  <si>
    <t xml:space="preserve">oralb sikat gigi stages month tablet aminophylline </t>
  </si>
  <si>
    <t>Oral-B Sikat Gigi Stages 3 5-7 Years</t>
  </si>
  <si>
    <t>Rp19.400 - Rp31.100</t>
  </si>
  <si>
    <t>oralb sikat gigi stages years</t>
  </si>
  <si>
    <t xml:space="preserve">oralb sikat gigi stages years tablet aminophylline </t>
  </si>
  <si>
    <t>DKL9907913343A1</t>
  </si>
  <si>
    <t>Andalan Suntikan KB 3 Bulan 1 ml</t>
  </si>
  <si>
    <t>Dus, 20 Vial @ 1 ml</t>
  </si>
  <si>
    <t>medroxyprogesterone acetate</t>
  </si>
  <si>
    <t>andalan suntikan kb bulan</t>
  </si>
  <si>
    <t xml:space="preserve">andalan suntikan kb bulan injeksi medroxyprogesterone acetate </t>
  </si>
  <si>
    <t>TR162396771</t>
  </si>
  <si>
    <t>Lanaginkola 10 Kapsul</t>
  </si>
  <si>
    <t>LANAGINKOLA</t>
  </si>
  <si>
    <t>Rp87.600 - Rp143.100</t>
  </si>
  <si>
    <t>Dapat digunakan sebelum dan setelah makan</t>
  </si>
  <si>
    <t>1 kapsul, diminum 3 kali sehari.</t>
  </si>
  <si>
    <t>Secara tradisional digunakan untuk membantu sirkulasi darah</t>
  </si>
  <si>
    <t>Dus, 5 Strip @ 10 Kapsul</t>
  </si>
  <si>
    <t>lanaginkola</t>
  </si>
  <si>
    <t>secara tradisional membantu sirkulasi darah</t>
  </si>
  <si>
    <t>lanaginkola kapsul secara tradisional membantu sirkulasi darah</t>
  </si>
  <si>
    <t>TR082576551</t>
  </si>
  <si>
    <t>Ginkgoforce 50 mg 60 Tablet</t>
  </si>
  <si>
    <t>GINKGOFORCE</t>
  </si>
  <si>
    <t>Rp220.700 - Rp275.200</t>
  </si>
  <si>
    <t>Segera sebelum makan</t>
  </si>
  <si>
    <t>Box Isi 6 Strip @ 10 Tablet</t>
  </si>
  <si>
    <t>hipersensitifitas</t>
  </si>
  <si>
    <t>Hamil &amp; laktasi.</t>
  </si>
  <si>
    <t>ginkgoforce</t>
  </si>
  <si>
    <t>ginkgoforce tablet secara tradisional membantu sirkulasi darah</t>
  </si>
  <si>
    <t>TR152387161</t>
  </si>
  <si>
    <t>Konilife Redaxin 30 Kapsul</t>
  </si>
  <si>
    <t>KONILIFE REDAXIN</t>
  </si>
  <si>
    <t>Rp70.200 - Rp129.900</t>
  </si>
  <si>
    <t>2 kapsul per hari</t>
  </si>
  <si>
    <t>Membantu mengurangi lemak darah</t>
  </si>
  <si>
    <t>konilife redaxin</t>
  </si>
  <si>
    <t>membantu mengurangi lemak darah</t>
  </si>
  <si>
    <t>konilife redaxin kapsul membantu mengurangi lemak darah</t>
  </si>
  <si>
    <t>DKL1621646117A1</t>
  </si>
  <si>
    <t>Vastrol 10 mg 10 Tablet</t>
  </si>
  <si>
    <t>Dapat diberikan sdengan atau tanpa makanan</t>
  </si>
  <si>
    <t>PENGGUNAAN OBAT INI HARUS SESUAI DENGAN PETUNJUK DOKTER. Dosis dimulai dari 5 atau 10 mg sekali sehari bagi pasien naif statin atau pasien yang berganti dari pengobatan penghambat reduktase HMG-CoA lainnya. Dosis dapat ditingkatkan setelah 4 minggu bila diperlukan.Dosis maksimal 40 mg.</t>
  </si>
  <si>
    <t>INFORMASI OBAT INI HANYA UNTUK KALANGAN MEDIS. Menurunkan kadar kolesterol</t>
  </si>
  <si>
    <t>Hipersensitif.</t>
  </si>
  <si>
    <t>HARUS DENGAN RESEP DOKTER. Riwayat penyakit hati, kenaikan kreatin kinase, konsumsi alkohol berlebih. Kategori Kehamilan: Katagori X: Kontraindikasi (tidak boleh digunakan). Terdapat hasil penelitian terhadap hewan uji dan manusia yang memperlihatkan abnormalitas terhadap janin. Obat ini dikontraindikasikan untuk wanita hamil dan yang berkemungkinan untuk hamil.</t>
  </si>
  <si>
    <t>menurunkan kadar kolesterol</t>
  </si>
  <si>
    <t>vastrol</t>
  </si>
  <si>
    <t>vastrol tablet rosuvastatin calcium menurunkan kadar kolesterol</t>
  </si>
  <si>
    <t>DKL1621646117B1</t>
  </si>
  <si>
    <t>Vastrol 20 mg 10 Tablet</t>
  </si>
  <si>
    <t>Rp150.200 - Rp162.300</t>
  </si>
  <si>
    <t>diberikan dengan atau tanpa makanan</t>
  </si>
  <si>
    <t>PENGGUNAAN OBAT INI HARUS SESUAI DENGAN PETUNJUK DOKTER.Dosis awal 10 mg sekali sehari jika perlu ditingkatkan menjadi 20 mg sekali sehari setelah 4 minggu</t>
  </si>
  <si>
    <t>betamethasone valerate gentamicin sulfate</t>
  </si>
  <si>
    <t xml:space="preserve">biocort cream krim betamethasone valerate gentamicin sulfate </t>
  </si>
  <si>
    <t>DKL9214805428A1</t>
  </si>
  <si>
    <t>Cindala 10 mg/g Gel 10 g</t>
  </si>
  <si>
    <t>Rp22.900 - Rp37.300</t>
  </si>
  <si>
    <t>Oleskan tipis-tipis pada kulit jerawat</t>
  </si>
  <si>
    <t>PENGGUNAAN OBAT INI HARUS SESUAI DENGAN PETUNJUK DOKTER. Sehari 2-3 kali</t>
  </si>
  <si>
    <t>INFORMASI OBAT INI HANYA UNTUK KALANGAN MEDIS. Jerawat/Akne vulgaris</t>
  </si>
  <si>
    <t>Obat Wajib Apotek, Obat ini dapat dibeli dan diserahkan apoteker tanpa resep dengan maksimum 1 Tube. Pembelian melebihi batas ini WAJIB RESEP DOKTER. - Digunakan untuk kasus infeksi yang serius - Riwayat penyakit gastrointestinal - Anak di bawah 12 tahun - Iritasi dan dermatitis - Tidak dianjurkan untuk jerawat nodulocystic parah</t>
  </si>
  <si>
    <t>jerawat akne vulgaris</t>
  </si>
  <si>
    <t>cindala</t>
  </si>
  <si>
    <t>cindala gel clindamycin phosphate jerawat akne vulgaris</t>
  </si>
  <si>
    <t>gentamicin sulfate</t>
  </si>
  <si>
    <t>dermabiotik cream krim gentamicin sulfate antiinfeksi kulit</t>
  </si>
  <si>
    <t>fiesta lubricant tablet sildenafil citrate sebagai pelumas</t>
  </si>
  <si>
    <t>DKL9509205229A1</t>
  </si>
  <si>
    <t>Farsycol Cream 10 g</t>
  </si>
  <si>
    <t>Rp5.900 - Rp10.800</t>
  </si>
  <si>
    <t>Oleskan pada area kulit yang terinfeksi.</t>
  </si>
  <si>
    <t>PENGGUNAAN OBAT INI HARUS SESUAI DENGAN PETUNJUK DOKTER. 2-3 x sehari dioleskan</t>
  </si>
  <si>
    <t>INFORMASI OBAT INI HANYA UNTUK KALANGAN MEDIS. Menangani infeksi pada kulit</t>
  </si>
  <si>
    <t>HARUS DENGAN RESEP DOKTER. Hindari penggunaan berkepanjangan, tidak untuk pengobtan infeksi virus atau profilaksis infeksi bakteri.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</si>
  <si>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menangani infeksi kulit</t>
  </si>
  <si>
    <t>farsycol cream</t>
  </si>
  <si>
    <t>farsycol cream krim chloramphenicol megani infeksi kulit</t>
  </si>
  <si>
    <t>DKL8721001604A1</t>
  </si>
  <si>
    <t>Zoline 50 mg 10 Kaplet</t>
  </si>
  <si>
    <t>Rp6.100 - Rp11.700</t>
  </si>
  <si>
    <t>Dikonsumsi bersamaan dengan makanan</t>
  </si>
  <si>
    <t>PENGGUNAAN OBAT INI HARUS SESUAI DENGAN PETUNJUK DOKTER. Dewasa: sehari 3 x 1-2 kaplet</t>
  </si>
  <si>
    <t>K-Y Lubricating Jelly 42 Gr</t>
  </si>
  <si>
    <t>Rp42.600 - Rp55.400</t>
  </si>
  <si>
    <t>ky lubricating jelly gr</t>
  </si>
  <si>
    <t xml:space="preserve">ky lubricating jelly gr tablet sildenafil citrate </t>
  </si>
  <si>
    <t>Kondom Arjoena Jempol isi 12</t>
  </si>
  <si>
    <t>Rp22.900 - Rp30.400</t>
  </si>
  <si>
    <t>Dus isi 12</t>
  </si>
  <si>
    <t>kondom arjoena jempol isi</t>
  </si>
  <si>
    <t xml:space="preserve">kondom arjoena jempol isi tablet sildenafil citrate </t>
  </si>
  <si>
    <t>Kondom Arjoena Jempol isi 3</t>
  </si>
  <si>
    <t>Rp5.400 - Rp10.400</t>
  </si>
  <si>
    <t>Dus isi 3</t>
  </si>
  <si>
    <t>DKL9427801841A1</t>
  </si>
  <si>
    <t>Topisel Lotion 30 ml</t>
  </si>
  <si>
    <t>Rp32.800 - Rp40.000</t>
  </si>
  <si>
    <t>PENGGUNAAN OBAT INI HARUS SESUAI DENGAN PETUNJUK DOKTER. Pitiriasis versikolor : 1 minggu sekali, Pitiriasis kapitis : 2 x seminggu selama 2 minggu dan 1 x seminggu selama 2 minggu</t>
  </si>
  <si>
    <t>untuk pengobatan jamur</t>
  </si>
  <si>
    <t>selenium sulfide</t>
  </si>
  <si>
    <t>pengobatan jamur</t>
  </si>
  <si>
    <t>topisel lotion</t>
  </si>
  <si>
    <t>topisel lotion larutan selenium sulfide pengobatan jamur</t>
  </si>
  <si>
    <t>Kondom Artika Gerigi Isi 3</t>
  </si>
  <si>
    <t>Rp6.000 - Rp12.200</t>
  </si>
  <si>
    <t>Dus @ 3 pieces</t>
  </si>
  <si>
    <t>kondom artika gerigi isi</t>
  </si>
  <si>
    <t xml:space="preserve">kondom artika gerigi isi tablet sildenafil citrate </t>
  </si>
  <si>
    <t>DTL7213003710A1</t>
  </si>
  <si>
    <t>Konidin 4 Tablet</t>
  </si>
  <si>
    <t>Rp2.600 - Rp3.000</t>
  </si>
  <si>
    <t>Diberikan setelah makan</t>
  </si>
  <si>
    <t>Dewasa dan anak-anak diatas 12 tahun: 3 x sehari 1-2 tablet. Anak-anak usia 6-12 tahun: 3 x sehari 1/2-1 tablet Atau menurut petunjuk dokter.</t>
  </si>
  <si>
    <t>Untuk meringankan batuk</t>
  </si>
  <si>
    <t>Dus, 50 Catch Cover @ 1 Strip @ 4 tablet</t>
  </si>
  <si>
    <t>Penderita hipersensitif terhadap komponen obat ini.</t>
  </si>
  <si>
    <t>Hati-hati penggunaan pada penderita dengan gangguan fungsi hati dan ginjal, glaukoma,hipertrofi prostat, hipertiroid, gangguan jantung dan diabetes melitus. Tidak dianjurkan untuk anak-anak di bawah 6 tahun, wanita hamil dan menyusui, kecuali atas petunjuk dokter. Selama minum obat ini tidak boleh mengendarai kendaraan bermotor atau menjalankan mesin. Hati-hati untuk penderita debil dan hipoksia (kekurangan oksigen) Dapat menyebabkan depresi pernafasan dan susunan saraf pusat pada penggunaan dengan dosis besar atau pada pasien dengan gangguan fungsi pernafasan (misal asma, emfisema)</t>
  </si>
  <si>
    <t>untuk meringankan batuk</t>
  </si>
  <si>
    <t>konidin</t>
  </si>
  <si>
    <t>konidin tablet chlorphenamine maleate untuk meringankan batuk</t>
  </si>
  <si>
    <t>DKL0415807317B1</t>
  </si>
  <si>
    <t>Lodoz 5 mg 10 Tablet</t>
  </si>
  <si>
    <t>Rp98.900 - Rp125.600</t>
  </si>
  <si>
    <t>PENGGUNAAN OBAT INI HARUS SESUAI DENGAN PETUNJUK DOKTER. 1 x sehari 0.5 tablet, bila respons kurang adekuat dapat ditingkatkan menjadi 1 x sehari 1 tablet. Dosis maximum: 1 x sehari 2 tablet/10 mg</t>
  </si>
  <si>
    <t>INFORMASI OBAT INI HANYA UNTUK KALANGAN MEDIS. Hipertensi, Angina Pektoris</t>
  </si>
  <si>
    <t>Laktasi, gagal jantung, hipersensitif terhadap derivat sulfonamid lain, gagal ginjal, koma dan prekoma hemaptik, hipokalemia atau hiponatremia berat.</t>
  </si>
  <si>
    <t>HARUS DENGAN RESEP DOKTER. Penghentian terapi secara tiba-tiba pada penyakit jantung sistemik, blok AV derajat 1, riwayat obstruksi bronkopati kronik, riwayat keluarga asma. Dapat menutupi tanda-tanda hipoglikemia pada DM. Penyakit pembuluh darah perifer. Predisposisi gout atau hip</t>
  </si>
  <si>
    <t>bisoprolol fumarate</t>
  </si>
  <si>
    <t>hipertensi , angina pektoris</t>
  </si>
  <si>
    <t>lodoz</t>
  </si>
  <si>
    <t>lodoz tablet bisoprolol fumarate hipertensi  angina pektoris</t>
  </si>
  <si>
    <t>DKL1825202717A1</t>
  </si>
  <si>
    <t>Talion 10 mg 10 Tablet</t>
  </si>
  <si>
    <t>Rp37.200 - Rp37.300</t>
  </si>
  <si>
    <t>PENGGUNAAN OBAT INI HARUS SESUAI DENGAN PETUNJUK DOKTER. Dewasa 10 mg 2 x sehari</t>
  </si>
  <si>
    <t>INFORMASI OBAT INI HANYA UNTUK KALANGAN MEDIS. Rinitis alergi, Urtikaria</t>
  </si>
  <si>
    <t>Hipersensitif dan riwayat penyakit gangguan ginjal dan tekanan darah rendah</t>
  </si>
  <si>
    <t>HARUS DENGAN RESEP DOKTER. Gangguan fungsi ginjal. Dapat meningkatkan tekanan darah pada lanjut usia. Dapat mengganggu kemampuan mengemudi atau menjalankan mesin. Bayi dan anak. Lanjut usia. Hamil dan laktasi</t>
  </si>
  <si>
    <t>bepotastine besilate</t>
  </si>
  <si>
    <t>rinitis alergi , urtikaria</t>
  </si>
  <si>
    <t>talion</t>
  </si>
  <si>
    <t>talion tablet bepotastine besilate rinitis alergi  urtikaria</t>
  </si>
  <si>
    <t>Billy Boy Endurance 3 Pieces</t>
  </si>
  <si>
    <t>Pack Isi 3 Pcs</t>
  </si>
  <si>
    <t>billy boy endurance pieces</t>
  </si>
  <si>
    <t xml:space="preserve">billy boy endurance pieces tablet sildenafil citrate </t>
  </si>
  <si>
    <t>DKL9004112610C1</t>
  </si>
  <si>
    <t>Tenace 5 mg 10 Tablet</t>
  </si>
  <si>
    <t>Rp24.000 - Rp38.000</t>
  </si>
  <si>
    <t>INFORMASI OBAT INI HANYA UNTUK KALANGAN MEDIS. Hipertensi dan gagal jantung.</t>
  </si>
  <si>
    <t>Dus, 6 strip @ 10 Tablet</t>
  </si>
  <si>
    <t>Riwayat angiodema,angiodema herediter atau idiopatik.</t>
  </si>
  <si>
    <t>HARUS DENGAN RESEP DOKTER. Pasien pengguna diuretik, Ibu hami, dan menyusui, anak-anak usia kurnag dari 12 tahun. Kategori kehamilan: Kategori D: Terbukti berisiko terhadap janin. Meski demikian, obat masih dapat digunakan jika obat diperlukan untuk mengatasi keadaan yang mengancam jiwa, atau penyakit serius, dimana obat yang lebih aman tidak dapat digunakan atau tidak efektif.</t>
  </si>
  <si>
    <t>hipertensi gagal jantung</t>
  </si>
  <si>
    <t>tenace tablet enalapril maleate hipertensi gagal jantung</t>
  </si>
  <si>
    <t>DKL9722222746C1</t>
  </si>
  <si>
    <t>Tim-Opthal 0.5% Eye Drops 5 ml</t>
  </si>
  <si>
    <t>Rp60.600 - Rp71.200</t>
  </si>
  <si>
    <t>Teteskan pada bagian mata yang sakit</t>
  </si>
  <si>
    <t>PENGGUNAAN OBAT INI HARUS SESUAI DENGAN PETUNJUK DOKTER. 2 kali sehari 1 tetes</t>
  </si>
  <si>
    <t>Menurunkan TIO</t>
  </si>
  <si>
    <t>Botol, Tetes Mata 5 ml X 1</t>
  </si>
  <si>
    <t>Asma bronkial, penyakit pulmonal obstruksi kronis berat, sinus bradikardia, blok AV derajat 2 atau 3, gagal jantung, syok kardiogenik</t>
  </si>
  <si>
    <t>HARUS DENGAN RESEP DOKTER. Hamil dan laktasi. Riwayat penyakit jantung berat</t>
  </si>
  <si>
    <t>timolol maleate</t>
  </si>
  <si>
    <t>menurunkan tio</t>
  </si>
  <si>
    <t>timopthal eye</t>
  </si>
  <si>
    <t>timopthal eye tetes timolol maleate menurunkan tio</t>
  </si>
  <si>
    <t>DTL9028600828A1</t>
  </si>
  <si>
    <t>Benzolac 5% Gel 5 g</t>
  </si>
  <si>
    <t>Rp25.500 - Rp32.400</t>
  </si>
  <si>
    <t>oleskan tipis dan merata</t>
  </si>
  <si>
    <t>Oleskan 2 kali sehari</t>
  </si>
  <si>
    <t>Akne vulgaris, jerawat</t>
  </si>
  <si>
    <t>Dus, Tube plastik @ 5 g</t>
  </si>
  <si>
    <t>hipersensitif, hamil, menyusui</t>
  </si>
  <si>
    <t>Hindari kontak dengan mata, mulut dan membran mukosa lainnya</t>
  </si>
  <si>
    <t>benzoyl peroxide</t>
  </si>
  <si>
    <t>akne vulgaris , jerawat</t>
  </si>
  <si>
    <t>benzolac</t>
  </si>
  <si>
    <t>benzolac gel benzoyl peroxide akne vulgaris  jerawat</t>
  </si>
  <si>
    <t>DKL9028600229B1</t>
  </si>
  <si>
    <t>Vitacid 0.1% Cream 20 g</t>
  </si>
  <si>
    <t>Rp56.500 - Rp74.800</t>
  </si>
  <si>
    <t>Dioleskan tipis pada kulit berjerawat pada malam hari sebelum tidur</t>
  </si>
  <si>
    <t>INFORMASI OBAT INI HANYA UNTUK KALANGAN MEDIS. Akne vulgaris dan photoaging</t>
  </si>
  <si>
    <t>Hipersensitif terhadap Retinoic Acid</t>
  </si>
  <si>
    <t>HARUS DENGAN RESEP DOKTER. Hindari kontak dengan mata, mulut, hidung, dan membran mukosa lain</t>
  </si>
  <si>
    <t>tretinoin</t>
  </si>
  <si>
    <t>akne vulgaris photoaging</t>
  </si>
  <si>
    <t>vitacid cream</t>
  </si>
  <si>
    <t>vitacid cream krim tretinoin akne vulgaris photoaging</t>
  </si>
  <si>
    <t>DKL9222213201A1</t>
  </si>
  <si>
    <t>Hypofil 300 mg 10 Kapsul</t>
  </si>
  <si>
    <t>Rp20.800 - Rp34.200</t>
  </si>
  <si>
    <t>Saat perut kosong, 0.5 jam sebelum makan</t>
  </si>
  <si>
    <t>PENGGUNAAN OBAT INI HARUS SESUAI DENGAN PETUNJUK DOKTER. 2 x sehari 2 kapsul</t>
  </si>
  <si>
    <t>INFORMASI OBAT INI HANYA UNTUK KALANGAN MEDIS. Hiperkolesterolemia, hipertrigliseridemia, dan dislipidemia campuran.</t>
  </si>
  <si>
    <t>Gangguan fungsi hati dan ginjal berat. Penyakit kandungan empedu.</t>
  </si>
  <si>
    <t>HARUS DENGAN RESEP DOKTER. Tes fungsi hati dan lemak serum berkala.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</si>
  <si>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gemfibrozil</t>
  </si>
  <si>
    <t>hiperkolesterolemia , hipertrigliseridemia , dislipidemia campuran</t>
  </si>
  <si>
    <t>hypofil</t>
  </si>
  <si>
    <t>hypofil kapsul gemfibrozil hiperkolesterolemia  hipertrigliseridemia  dislipidemia campuran</t>
  </si>
  <si>
    <t>DTL1940001228A1</t>
  </si>
  <si>
    <t>Oxy 5 Gel 7 g</t>
  </si>
  <si>
    <t>1. Cuci muka hingga bersih dengan OXY face wash 2. Oleskan tipis-tipis dengan ujung jari pada bagian yang berjerawat. Gunakan 1-2 kali sehari.</t>
  </si>
  <si>
    <t>Gel anti jerawat</t>
  </si>
  <si>
    <t>Tube @ 7 g</t>
  </si>
  <si>
    <t>1. Simpan pada suhu dibawah 30ï¿½C 2. Setelah kemasan dibuka, obat hanya dapat digunakan sampai 3 bulan.</t>
  </si>
  <si>
    <t>gel anti jerawat</t>
  </si>
  <si>
    <t>oxy</t>
  </si>
  <si>
    <t>oxy gel benzoyl peroxide gel anti jerawat</t>
  </si>
  <si>
    <t>DKI1405100217B1</t>
  </si>
  <si>
    <t>Zanidip 20 mg 14 Tablet</t>
  </si>
  <si>
    <t>Rp142.600 - Rp260.400</t>
  </si>
  <si>
    <t>Diberikan pada saat perut kosong sekurang-kurangnya 15 menit sebelim makan.</t>
  </si>
  <si>
    <t>PENGGUNAAN OBAT INI HARUS SESUAI DENGAN PETUNJUK DOKTER. 10 mg 1 kali/hari, dapat ditingkatkan menjadi 20 mg.</t>
  </si>
  <si>
    <t>Hipertensi esensial ringan-sedang</t>
  </si>
  <si>
    <t>Dus, 2 Blister @ 14 Tablet salut selaput</t>
  </si>
  <si>
    <t>Hamil, laktasi, gagal jantung kongestif yang tidak diobati, disfungsi hati dan ginjal berat atau bersama dengan nfark miokard yang diderita dalam 1 bulan, obstruksi aliran keluar vertikel kiri, digunakan bersama dengan siklosporin atau dengan jus anggur.</t>
  </si>
  <si>
    <t>HARUS DENGAN RESEP DOKTER. Sindroma sick sinus (jika tanpa pacu jantung), disfungsi ventrikel kiri, penyakit jantung iskemik. Hindari bersamaan dengan inhibitor kuat CYP3A4 (seperti ketokonazol, itrakonazol, ritonavir, eritromisin, troleandomisin).</t>
  </si>
  <si>
    <t>lercanidipine hydrochloride</t>
  </si>
  <si>
    <t>hipertensi esensial ringan -</t>
  </si>
  <si>
    <t>zanidip</t>
  </si>
  <si>
    <t xml:space="preserve">zanidip tablet lercanidipine hydrochloride hipertensi esensial ringan </t>
  </si>
  <si>
    <t>DKL9832206437A1</t>
  </si>
  <si>
    <t>Transpulmin Sirup 100 ml</t>
  </si>
  <si>
    <t>Rp128.600 - Rp132.100</t>
  </si>
  <si>
    <t>PENGGUNAAN OBAT INI HARUS SESUAI DENGAN PETUNJUK DOKTER. Dewasa &amp; anak &gt; 12 tahun : 3-4 x sehari 2 sendok takar 5 mL Anak 6-12 tahun : 2-3 x sehari 2 sendok takar 5 mL Anak 2-6 tahun : 2-4 x sehari 1 sendok takar 5 mL.</t>
  </si>
  <si>
    <t>INFORMASI OBAT INI HANYA UNTUK KALANGAN MEDIS. Batuk produktif dan non produktif</t>
  </si>
  <si>
    <t>Hamil dan laktasi, bayi dan anak &lt;2 tahun</t>
  </si>
  <si>
    <t>HARUS DENGAN RESEP DOKTER. Gangguan fungsi hati, glaukoma, hipertrofi prostat. Anak &lt;6 tahun, lanjut usia. Dapat mengganggu kemampuan mengemudi atau menjalankan mesin</t>
  </si>
  <si>
    <t>batuk produktif non produktif</t>
  </si>
  <si>
    <t>transpulmin</t>
  </si>
  <si>
    <t>transpulmin sirup guaifenesin batuk produktif non produktif</t>
  </si>
  <si>
    <t>DKI1535800117A1</t>
  </si>
  <si>
    <t>Livalo 2 mg 10 Tablet</t>
  </si>
  <si>
    <t>Rp82.300 - Rp106.700</t>
  </si>
  <si>
    <t>PENGGUNAAN OBAT INI HARUS SESUAI DENGAN PETUNJUK DOKTER. Dosis awal yang direkomendasikan: 2 mg per hari. Dosis maksimum: 4 mg. Pasien dengan gangguan ginjal: 1 mg sehari, maksimal 2 mg sehari. Dosis bersifat individu, tergantung pada kondisi pasien.</t>
  </si>
  <si>
    <t>Dus, 1 Pouch @ 3 Blister @ 10 Tablet</t>
  </si>
  <si>
    <t>Hipersensitivitas, pasien dengan penyakit hati aktif, pasien hamil atau kemungkinan hamil, menyusui,.</t>
  </si>
  <si>
    <t>HARUS DENGAN RESEP DOKTER. Hamil dan menysui. Batasi minum minuman beralkohol.</t>
  </si>
  <si>
    <t>pitavastatin calcium</t>
  </si>
  <si>
    <t>livalo</t>
  </si>
  <si>
    <t>livalo tablet pitavastatin calcium menurunkan kadar kolesterol</t>
  </si>
  <si>
    <t>GKL1405049017A1</t>
  </si>
  <si>
    <t>Ibrillen Lens Cleaner 30 ml</t>
  </si>
  <si>
    <t>- KOMBINASI-VALSARTAN BLEND 32%</t>
  </si>
  <si>
    <t>kombinasi-valsartan blend 32%</t>
  </si>
  <si>
    <t>ibrillen lens cleaner</t>
  </si>
  <si>
    <t xml:space="preserve">ibrillen lens cleaner tablet kombinasivalsartan blend 32 </t>
  </si>
  <si>
    <t>DKL1925202817B1</t>
  </si>
  <si>
    <t>Livalo 4 mg 10 Tablet</t>
  </si>
  <si>
    <t>Rp128.800 - Rp177.800</t>
  </si>
  <si>
    <t>Dapat diberikan bersama atau tanpa makanan.</t>
  </si>
  <si>
    <t>Hipersensitivitas, pasien dengan penyakit hati aktif, pasien hamil atau yang sedang merencanakan kehamilan, menyusui,.</t>
  </si>
  <si>
    <t>HARUS DENGAN RESEP DOKTER. Gangguan hati, ibu menyusui dan wanita hamil. Katagori kehamilan: Katagori X: Kontraindikasi (tidak boleh digunakan). Terdapat hasil penelitian terhadap hewan uji dan manusia yang memperlihatkan abnormalitas terhadap janin.</t>
  </si>
  <si>
    <t>DTL9810705046A1</t>
  </si>
  <si>
    <t>Visto Drops 10 ml</t>
  </si>
  <si>
    <t>Rp10.500 - Rp10.600</t>
  </si>
  <si>
    <t>PENGGUNAAN OBAT INI HARUS SESUAI DENGAN PETUNJUK DOKTER. 1-2 tetes 2-3 x/hari.</t>
  </si>
  <si>
    <t>Meringankan iritasi mata &amp; merah.</t>
  </si>
  <si>
    <t>Glaukoma.</t>
  </si>
  <si>
    <t>tetryzoline</t>
  </si>
  <si>
    <t>meringankan iritasi mata merah</t>
  </si>
  <si>
    <t>visto</t>
  </si>
  <si>
    <t>visto tetes tetryzoline meringankan iritasi mata merah</t>
  </si>
  <si>
    <t>DKL0203808946A1</t>
  </si>
  <si>
    <t>Cendo Vosama Minidose 0.6ml</t>
  </si>
  <si>
    <t>Rp23.500 - Rp25.200</t>
  </si>
  <si>
    <t>Catch cover @ 5 botol @ 0.6 ml</t>
  </si>
  <si>
    <t>betamethasone sodium phosphate</t>
  </si>
  <si>
    <t>cendo vosama minidose</t>
  </si>
  <si>
    <t xml:space="preserve">cendo vosama minidose tetes betamethasone sodium phosphate </t>
  </si>
  <si>
    <t>DTL7803812846A1</t>
  </si>
  <si>
    <t>Cendo Asthenof Minidose 0.6 ml</t>
  </si>
  <si>
    <t>Rp26.300 - Rp28.900</t>
  </si>
  <si>
    <t>&gt; 6 tahun : 1-2 tetes, dapat diulang sesuai kebutuhan setiap 6 jam, atau atas petunjuk dokter</t>
  </si>
  <si>
    <t>Radang mata</t>
  </si>
  <si>
    <t>Minidose 5 X 0.6 ml</t>
  </si>
  <si>
    <t>hypromellose</t>
  </si>
  <si>
    <t>radang mata</t>
  </si>
  <si>
    <t>cendo asthenof minidose</t>
  </si>
  <si>
    <t>cendo asthenof minidose tetes hypromellose radang mata</t>
  </si>
  <si>
    <t>DKI1405100217A1</t>
  </si>
  <si>
    <t>Zanidip 10 mg 14 Tablet</t>
  </si>
  <si>
    <t>Rp164.500 - Rp164.600</t>
  </si>
  <si>
    <t>INFORMASI OBAT INI HANYA UNTUK KALANGAN MEDIS. Hipertensi esensial ringan hingga sedang</t>
  </si>
  <si>
    <t>Dus, 2 Strip @ 14 Tablet Salut Selaput</t>
  </si>
  <si>
    <t>hipertensi esensial ringan</t>
  </si>
  <si>
    <t>zanidip tablet lercanidipine hydrochloride hipertensi esensial ringan</t>
  </si>
  <si>
    <t>DKL0028602241B1</t>
  </si>
  <si>
    <t>Regrou Forte 5% Solution 30 ml</t>
  </si>
  <si>
    <t>Rp139.100 - Rp168.300</t>
  </si>
  <si>
    <t>Oleskan pada kulit kepala yang telah dikeringkan sebelumnya sesuai dosis yang dianjurkan dokter.</t>
  </si>
  <si>
    <t>Hamil, laktasi</t>
  </si>
  <si>
    <t>HARUS DENGAN RESEP DOKTER. Hindari kontak dengan kulit yang terkelupas, mata, dan membran mukosa</t>
  </si>
  <si>
    <t>minoxidil</t>
  </si>
  <si>
    <t>regrou forte solution</t>
  </si>
  <si>
    <t>regrou forte solution larutan minoxidil alopesia androgenetika</t>
  </si>
  <si>
    <t>DKL1321205604A1</t>
  </si>
  <si>
    <t>Modalim 100 mg 14 Tablet</t>
  </si>
  <si>
    <t>Rp253.000 - Rp374.800</t>
  </si>
  <si>
    <t>PENGGUNAAN OBAT INI HARUS SESUAI DENGAN PETUNJUK DOKTER. Dewasa : 3 kapsul perhari, dapat ditingkatkan sampai 4 kapsul perhari. Pemeliharaan : 2 kapsul perhari</t>
  </si>
  <si>
    <t>INFORMASI OBAT INI HANYA UNTUK KALANGAN MEDIS. Hiperkolesterolemia &amp; Hipertrigliseridemia endogen atau yang sejenis</t>
  </si>
  <si>
    <t>Box, 4 Strip @ 12 Kaplet</t>
  </si>
  <si>
    <t>Gangguan hati dan ginjal. Hamil dan laktasi. Anak. Sirosis bilier primer. Sirosis biliaris primer, batu empedu,atau gangguan kandung empedu. Kondisi hipoalbuminemia.</t>
  </si>
  <si>
    <t>HARUS DENGAN RESEP DOKTER. Monitor enzim transaminase secara periodik.</t>
  </si>
  <si>
    <t>ciprofibrate</t>
  </si>
  <si>
    <t>hiperkolesterolemia hipertrigliseridemia endogen sejenis</t>
  </si>
  <si>
    <t>modalim</t>
  </si>
  <si>
    <t>modalim kaplet ciprofibrate hiperkolesterolemia hipertrigliseridemia endogen sejenis</t>
  </si>
  <si>
    <t>QD112710151</t>
  </si>
  <si>
    <t>Balsem Hijau Cap Kaki Tiga 36 g</t>
  </si>
  <si>
    <t>Rp12.000 - Rp19.500</t>
  </si>
  <si>
    <t>Pot 36 g</t>
  </si>
  <si>
    <t>balsem hijau cap kaki tiga</t>
  </si>
  <si>
    <t xml:space="preserve">balsem hijau cap kaki tiga balsam  menthol </t>
  </si>
  <si>
    <t>DKL8320601510A1</t>
  </si>
  <si>
    <t>Prazina 500 mg 10 Tablet</t>
  </si>
  <si>
    <t>Rp23.700 - Rp24.900</t>
  </si>
  <si>
    <t>PENGGUNAAN OBAT INI HARUS SESUAI DENGAN PETUNJUK DOKTER. 20 - 35 mg/kg BB/hari. Maksimal : 3 g/hari. Dewasa dengan BB &gt; 60 kg : 1500 mg/hari. Dengan BB 40 -60 kg : 1000 mg/hari. Dengan BB &lt; 40 kg : 750 mg/hari. Semua dosis diberikan 3 kali sehari</t>
  </si>
  <si>
    <t>Pengobatan Tuberkulosis Pulmoner dan EkstraPulmoner</t>
  </si>
  <si>
    <t>Kerusakan hati berat</t>
  </si>
  <si>
    <t>HARUS DENGAN RESEP DOKTER. Gangguan fungsi ginjal atau ada riwayat gout</t>
  </si>
  <si>
    <t>pengobatan tuberkulosis pulmoner ekstrapulmoner</t>
  </si>
  <si>
    <t>prazina</t>
  </si>
  <si>
    <t>prazina tablet pyrazinamide pengobatan tuberkulosis pulmoner ekstrapulmoner</t>
  </si>
  <si>
    <t>DTL1918217937A1</t>
  </si>
  <si>
    <t>Cetzin Sirup 60 ml</t>
  </si>
  <si>
    <t>Rp6.900 - Rp7.000</t>
  </si>
  <si>
    <t>INFORMASI OBAT INI HANYA UNTUK KALANGAN MEDIS. Pengobatan untuk gejala alergi</t>
  </si>
  <si>
    <t>pengobatan gejala alergi</t>
  </si>
  <si>
    <t>cetzin</t>
  </si>
  <si>
    <t>cetzin sirup cetirizine hydrochloride pengobatan gejala alergi</t>
  </si>
  <si>
    <t>DKL8921003704A1</t>
  </si>
  <si>
    <t>Erabutol Plus 10 Kaplet</t>
  </si>
  <si>
    <t>Rp22.500 - Rp23.500</t>
  </si>
  <si>
    <t>PENGGUNAAN OBAT INI HARUS SESUAI DENGAN PETUNJUK DOKTER. Dewasa : 2-4 kaplet sehari. Anak-anak : 15-20 mg Etambutol/kg berat badan/hari atau 10 mg INH/kg berat badan/hari.</t>
  </si>
  <si>
    <t>Tuberkulosis paru.</t>
  </si>
  <si>
    <t>erabutol plus</t>
  </si>
  <si>
    <t>erabutol plus kaplet ethambutol hydrochloride tuberkulosis paru</t>
  </si>
  <si>
    <t>DTL1821207010A1</t>
  </si>
  <si>
    <t>Bisolvon 8 mg 10 Tablet</t>
  </si>
  <si>
    <t>Rp23.500 - Rp32.400</t>
  </si>
  <si>
    <t>Dewasa dan anak &gt;12 tahun : 3 kali sehari 1 tablet. Anak 6-12 tahun : 3 kali sehari 0.5 tablet. Anak 2-6 tahun : 2 kali sehari 0.5 tablet. Atau sesuai petunjuk dokter.</t>
  </si>
  <si>
    <t>Mukolitik untuk batuk produktif</t>
  </si>
  <si>
    <t>Dus, 10 Amplop @ 1 Blister @ 10 Tablet</t>
  </si>
  <si>
    <t>Penderita yang hipersensitif terhadap Bromhexine HCl atau komponen lain dalam formula.</t>
  </si>
  <si>
    <t>Penderita tukak lambung, hamil dan laktasi.</t>
  </si>
  <si>
    <t>mukolitik batuk produktif</t>
  </si>
  <si>
    <t>bisolvon</t>
  </si>
  <si>
    <t>bisolvon tablet bromhexine hydrochloride mukolitik batuk produktif</t>
  </si>
  <si>
    <t>DKL8317602633A1</t>
  </si>
  <si>
    <t>Interhistin Sirup 60 ml</t>
  </si>
  <si>
    <t>Rp37.400 - Rp62.600</t>
  </si>
  <si>
    <t>PENGGUNAAN OBAT INI HARUS SESUAI DENGAN PETUNJUK DOKTER. Dewasa dan anak &gt; 10 tahun: sehari 2-6 tablet atau 2-6 sdtk, anak 5-10 tahun: sehari 2-4 tablet atau 2-4 sdtk, 2-5 tahun: sehari 1-3 tablet atau 1-3 sdtk</t>
  </si>
  <si>
    <t>DKL8931502110B1</t>
  </si>
  <si>
    <t>Farnormin 50 mg 10 Tablet</t>
  </si>
  <si>
    <t>Rp7.100 - Rp7.200</t>
  </si>
  <si>
    <t>PENGGUNAAN OBAT INI HARUS SESUAI DENGAN PETUNJUK DOKTER. HTN/Hipertensi (dewasa) : 1 tablet perhari, bila diperlukan dosis dapat ditingkatkan hingga 2 tablet perhari setelah 2 minggu. Angina Pectoris : 2 tablet perhari.</t>
  </si>
  <si>
    <t>Hipertensi (dewasa) &amp; Angina Pektoris</t>
  </si>
  <si>
    <t>Gagal jantung, sinus bradikardia, blok jantung derajat 2 dan 3, syok kardiogenik, asma bronkial.</t>
  </si>
  <si>
    <t>HARUS DENGAN RESEP DOKTER. Hamil, gagal jantung kongestif, disfungsi ginjal, DM, hipoglikemi, pembedahan, anestesi, pemakaian bersama verapamil.</t>
  </si>
  <si>
    <t>atenolol</t>
  </si>
  <si>
    <t>hipertensi dewasa angina pektoris</t>
  </si>
  <si>
    <t>farnormin</t>
  </si>
  <si>
    <t>farnormin tablet atenolol hipertensi dewasa angina pektoris</t>
  </si>
  <si>
    <t>GKL9832705210A1</t>
  </si>
  <si>
    <t>Digoxin 0.25 mg 10 Tablet</t>
  </si>
  <si>
    <t>Rp500 - Rp3.400</t>
  </si>
  <si>
    <t>PENGGUNAAN OBAT INI HARUS SESUAI DENGAN PETUNJUK DOKTER. Dewasa : Untuk digitalisasi cepat (24-36 jam) : 4-6 tablet , kemudian 1 tablet pada interval tertentu sampai kompensasi tercapai. Untuk digitalisasi lambat (3-5 hari) : 2-6 tablet/hari dalam dosis terbagi. Pemeliharaan : 1/2-3 tablet/hari. Anak : Un</t>
  </si>
  <si>
    <t>INFORMASI OBAT INI HANYA UNTUK KALANGAN MEDIS. Gagal jantung kongestif akut dan kronik</t>
  </si>
  <si>
    <t>Blok AV total dan blok AV derajat 2 (2:1), henti sinus, sinus bradikardi yang berlebihan, pemberian kalsium parenteral.</t>
  </si>
  <si>
    <t>HARUS DENGAN RESEP DOKTER. Usia lanjut, kor pulmonalis kronik, insufisiensi koroner, gangguan eletrolit, insufisiensi ginjal dan hati.</t>
  </si>
  <si>
    <t>digoxin</t>
  </si>
  <si>
    <t>gagal jantung kongestif akut kronik</t>
  </si>
  <si>
    <t>digoxin tablet gagal jantung kongestif akut kronik</t>
  </si>
  <si>
    <t>DKL7822211110A1</t>
  </si>
  <si>
    <t>Santibi Plus 10 Tablet</t>
  </si>
  <si>
    <t>Rp8.500 - Rp10.500</t>
  </si>
  <si>
    <t>PENGGUNAAN OBAT INI HARUS SESUAI DENGAN PETUNJUK DOKTER. pengobatan awal: BB&lt;50kg 3 tablet dosis tunggal, BB&gt;50kg 4 tablet dosis tunggal. pengobatan ulang: BB&lt;50kg 4 tablet dosis tunggal, BB&gt;50kg 5-6tablet dosis tunggal.</t>
  </si>
  <si>
    <t>Tuberkulosis Paru</t>
  </si>
  <si>
    <t>Etambutol : neuritis optik. Isonicotine (radang saraf mata ) hydrazine : penyakit hati</t>
  </si>
  <si>
    <t>HARUS DENGAN RESEP DOKTER. gangguan fungsi hati. ibu hamil dan menyusui. diabetes melitus, alkoholik dan riwayat gout. Kategori Kehamilan : C</t>
  </si>
  <si>
    <t>santibi plus</t>
  </si>
  <si>
    <t>santibi plus tablet ethambutol hydrochloride tuberkulosis paru</t>
  </si>
  <si>
    <t>DKL9833300209A1</t>
  </si>
  <si>
    <t>Siramid 500 mg 10 Kaplet</t>
  </si>
  <si>
    <t>Rp15.700 - Rp17.800</t>
  </si>
  <si>
    <t>PENGGUNAAN OBAT INI HARUS SESUAI DENGAN PETUNJUK DOKTER. Dws 20-35 mg/kgBB/hari, maks 3 g/hari. Hrs dikombinasi dengan min 2 anti TB lain.</t>
  </si>
  <si>
    <t>TB aktif oleh Mycobacterium tuberculosa.</t>
  </si>
  <si>
    <t>Kerusakan hati berat atau penyakit hati akut, hiperurisemia dg/ tanpa artritis gout. Hamil, laktasi. Hipersensitif terhadap pirazinamid.</t>
  </si>
  <si>
    <t>HARUS DENGAN RESEP DOKTER. Insufisiensi ginjal &amp; riwayat Gout atau DM.</t>
  </si>
  <si>
    <t>tb aktif mycobacterium tuberculosa</t>
  </si>
  <si>
    <t>siramid</t>
  </si>
  <si>
    <t>siramid kaplet pyrazinamide tb aktif mycobacterium tuberculosa</t>
  </si>
  <si>
    <t>TR183613971</t>
  </si>
  <si>
    <t>Madu Gurah Fit 280 g</t>
  </si>
  <si>
    <t>MADU GURAH FIT</t>
  </si>
  <si>
    <t>madu gurah fit</t>
  </si>
  <si>
    <t>madu gurah fit madu membantu meredakan batuk</t>
  </si>
  <si>
    <t>DKL1009307329B1</t>
  </si>
  <si>
    <t>Bioquin Cream 14.2 G</t>
  </si>
  <si>
    <t>Rp23.400 - Rp28.200</t>
  </si>
  <si>
    <t>Dioleskan tipis-tipis</t>
  </si>
  <si>
    <t>Krim Oleskan 2 x perhari.</t>
  </si>
  <si>
    <t>Mengatasi hiperpigmentasi pada kulit.</t>
  </si>
  <si>
    <t>Tube 14,2 g</t>
  </si>
  <si>
    <t>Obat Wajib Apotek, Obat ini dapat dibeli dan diserahkan apoteker tanpa resep dengan maksimum 1 Tube. Pembelian melebihi batas ini WAJIB RESEP DOKTER. Jangan digunakan dekat mata &amp; pada luka terbuka. Anak kurang dari 12 tahun. Hindari sinar matahari.</t>
  </si>
  <si>
    <t>hydroquinone</t>
  </si>
  <si>
    <t>mengatasi hiperpigmentasi kulit</t>
  </si>
  <si>
    <t>bioquin cream</t>
  </si>
  <si>
    <t>bioquin cream krim hydroquinone mengatasi hiperpigmentasi kulit</t>
  </si>
  <si>
    <t>DKL1833516317B1</t>
  </si>
  <si>
    <t>Bisovell 2.5 mg 10 Tablet</t>
  </si>
  <si>
    <t>Rp23.100 - Rp27.800</t>
  </si>
  <si>
    <t>Telan utuh, jangan dikunyah atau dihancurkan</t>
  </si>
  <si>
    <t>PENGGUNAAN IBAT INI HARUS SESUAI DENGAN PETUNJUK DOKTER.Untuk terapi serangan jantung dan hipertensi gunakan dosis 5-10 mg sehari sekali, sedangkan untuk terapi gagal jantung gunakan dosis awal 1.25 mg sehari sekali, setelah 1 minggu berikan dosis ganda, kemudian tingkatkan dosis secara bertahap dengan jarak waktu 1-4 minggu, maksimal penggunaan dosis 10 mg sehari sekali.</t>
  </si>
  <si>
    <t>INFORMASI OBAT INI HANYA UNTUK KALANGAN MEDIS. Hipertensi dan Angina pektoris.</t>
  </si>
  <si>
    <t>Dus, 10 Blister @ 10 Tablet Salut Selaput</t>
  </si>
  <si>
    <t>HARUS DENGAN RESEP DOKTER. Ibu hamil dan menyusui.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</si>
  <si>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hipertensi angina pektoris</t>
  </si>
  <si>
    <t>bisovell</t>
  </si>
  <si>
    <t>bisovell tablet bisoprolol fumarate hipertensi angina pektoris</t>
  </si>
  <si>
    <t>DKI1849800117A1</t>
  </si>
  <si>
    <t>Lapiva 5/80 mg 10 Tablet</t>
  </si>
  <si>
    <t>Rp155.400 - Rp170.000</t>
  </si>
  <si>
    <t>Dapat diberikan bersama atau tanpa makan</t>
  </si>
  <si>
    <t>PENGGUNAAN OBAT INI HARUS SESUAI DENGAN PETUNJUK DOKTER. 1 tablet per hari.</t>
  </si>
  <si>
    <t>INFORMASI OBAT INI HANYA UNTUK KALANGAN MEDIS. Hipertensi atau tekanan darah tinggi</t>
  </si>
  <si>
    <t>Dus, 3 strip @ 10 tablet</t>
  </si>
  <si>
    <t>Pasien dengan diabetes melitus tipe II, gangguan hati berat, ibu hamil.</t>
  </si>
  <si>
    <t>HARUS DENGAN RESEP DOKTER. Gangguan ginjal, gangguan hati, wanita hamil dan ibu menyusui, peningkatkan jumlah kalium dalam darah, penyempitan pembuluhan arteri. Katagori kehamilan: Katagori C : Mungkin berisiko. Obat digunakan dengan hati-hati apabila besarnya manfaat yang diperoleh melebihi besarnya risiko terhadap janin. Penelitian pada hewan uji</t>
  </si>
  <si>
    <t>hipertensi tekanan darah</t>
  </si>
  <si>
    <t>lapiva</t>
  </si>
  <si>
    <t>lapiva tablet amlodipine besilate hipertensi teka darah</t>
  </si>
  <si>
    <t>TR162594451</t>
  </si>
  <si>
    <t>Lanakeloid 10 Kaplet</t>
  </si>
  <si>
    <t>LANAKELOID</t>
  </si>
  <si>
    <t>Rp73.000 - Rp149.200</t>
  </si>
  <si>
    <t>3 kali sehari 1 kaplet.</t>
  </si>
  <si>
    <t>Membantu meringankan luka bakar ringan</t>
  </si>
  <si>
    <t>Tidak boleh digunakan pada anak dibawah 2 tahun, hamil dam menyusui serta usia lanjut.</t>
  </si>
  <si>
    <t>Tidak untuk digunakan lebih dari 6 minggu tanpa pengawasan dokter dan penggunaan dihentikan 2 minggu sebelum digunakan kembali. Simpan pada suhu 30 C pada tempat kering dan terlindung dari cahaya matahari</t>
  </si>
  <si>
    <t>lanakeloid</t>
  </si>
  <si>
    <t>membantu meringankan luka bakar ringan</t>
  </si>
  <si>
    <t>lanakeloid kaplet membantu meringankan luka bakar ringan</t>
  </si>
  <si>
    <t>QD161714501</t>
  </si>
  <si>
    <t>Bufaloid-E Gel 10 g</t>
  </si>
  <si>
    <t>- ektrask centella  asiatica 40%asiaticoside powder</t>
  </si>
  <si>
    <t>Rp89.500 - Rp89.600</t>
  </si>
  <si>
    <t>ektrask centella  asiatica 40%asiaticoside powder</t>
  </si>
  <si>
    <t>bufaloide</t>
  </si>
  <si>
    <t xml:space="preserve">bufaloide gel ektrask centella  asiatica 40asiaticoside powder </t>
  </si>
  <si>
    <t>hydrochlorothiazide irbesartan</t>
  </si>
  <si>
    <t>irtan plus kaplet hydrochlorothiazide irbesartan hipertensi esensial</t>
  </si>
  <si>
    <t>DKL0408510410A1</t>
  </si>
  <si>
    <t>Forten 50 mg 10 Tablet</t>
  </si>
  <si>
    <t>Rp3.200 - Rp5.200</t>
  </si>
  <si>
    <t>PENGGUNAAN OBAT INI HARUS SESUAI DENGAN PETUNJUK DOKTER. 2 kali sehari 25-50 mg</t>
  </si>
  <si>
    <t>Hipertensi sedang dan berat, serta gagal jantung.</t>
  </si>
  <si>
    <t>Kaplet 50 Mg X 5 X 10'S</t>
  </si>
  <si>
    <t>pasien angiodema yang berhubungan dengan pengobatan ACE inhibitor sebelumnya, pasien edema angioneurotic herediter atau idiopatik, wanita hamil.</t>
  </si>
  <si>
    <t>HARUS DENGAN RESEP DOKTER.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 pertama ).Kategori D: Terbukti berisiko terhadap janin. Meski demikian, obat masih dapat digunakan jika obat diperlukan untuk mengatasi keadaan yang mengancam jiwa, atau penyakit serius, dimana obat yang lebih aman tidak dapat digunakan atau tidak efektif.( pada trimrster dua dan tiga).</t>
  </si>
  <si>
    <t>hipertensi berat , gagal jantung</t>
  </si>
  <si>
    <t>forten</t>
  </si>
  <si>
    <t>forten tablet captopril hipertensi berat  gagal jantung</t>
  </si>
  <si>
    <t>DTL1304132941A1</t>
  </si>
  <si>
    <t>Peditox Liquid 50 ml</t>
  </si>
  <si>
    <t>Rp8.400 - Rp12.000</t>
  </si>
  <si>
    <t>Aplikasikan produk secukupnya ke rambut yang telah dicuci dengan sampo dan kulit kepala (terutama di daerah belakang telinga dan tengkuk leher). Diamkan sekitar 10 menit, bilas dengan air bersih dan keringkan dengan handuk.Jika masih terdapat kutu hidup dalam waktu 7 hari atau lebih sesudah pemberian aplikasi pertama berikan aplikasi yang kedua.</t>
  </si>
  <si>
    <t>Cukup diaplikasikan satu kali per hari untuk membunuh kutu atau telurnya.</t>
  </si>
  <si>
    <t>Membasmi kutu rambut</t>
  </si>
  <si>
    <t>Penggunaan secara rutin, tidak direkomendasikan.</t>
  </si>
  <si>
    <t>membasmi kutu rambut</t>
  </si>
  <si>
    <t>peditox liquid</t>
  </si>
  <si>
    <t>peditox liquid larutan permethrin membasmi kutu rambut</t>
  </si>
  <si>
    <t>DKL8328600929A1</t>
  </si>
  <si>
    <t>Vitaquin Cream 15 gr</t>
  </si>
  <si>
    <t>Rp67.100 - Rp86.800</t>
  </si>
  <si>
    <t>oleskan pada wajah</t>
  </si>
  <si>
    <t>PENGGUNAAN OBAT INI HARUS SESUAI DENGAN PETUNJUK DOKTER. Oleskan 1 x sehari</t>
  </si>
  <si>
    <t>Mengurangi hiperpigmentasi</t>
  </si>
  <si>
    <t>Penderita yang hipersensitif terhadap hydroquinone, Oxybenzene, dan Octyldimethyl-PABA</t>
  </si>
  <si>
    <t>Obat Wajib Apotek, Obat ini dapat dibeli dan diserahkan apoteker tanpa resep dengan maksimum 1 Tube. Pembelian melebihi batas ini WAJIB RESEP DOKTER. Hindari kontak dengan mata</t>
  </si>
  <si>
    <t>mengurangi hiperpigmentasi</t>
  </si>
  <si>
    <t>vitaquin cream gr</t>
  </si>
  <si>
    <t>vitaquin cream gr krim hydroquinone mengurangi hiperpigmentasi</t>
  </si>
  <si>
    <t>Sensitif Vivo Uranus Lube 60 g</t>
  </si>
  <si>
    <t>Rp75.000 - Rp112.500</t>
  </si>
  <si>
    <t>Botol 60 gram</t>
  </si>
  <si>
    <t>sensitif vivo uranus lube</t>
  </si>
  <si>
    <t xml:space="preserve">sensitif vivo uranus lube tablet sildenafil citrate </t>
  </si>
  <si>
    <t>TR142681191</t>
  </si>
  <si>
    <t>De-Cough Jeruk Sirup 120 ml</t>
  </si>
  <si>
    <t>DE COUGH ORANGE FOR CHILDREN</t>
  </si>
  <si>
    <t>Rp24.900 - Rp35.200</t>
  </si>
  <si>
    <t>de cough orange for children</t>
  </si>
  <si>
    <t>decough jeruk</t>
  </si>
  <si>
    <t xml:space="preserve">decough jeruk sirup de cough orange for children </t>
  </si>
  <si>
    <t>Family Dr Ankle Support Basic L</t>
  </si>
  <si>
    <t>Rp103.800 - Rp179.200</t>
  </si>
  <si>
    <t>family dr ankle support basic l</t>
  </si>
  <si>
    <t xml:space="preserve">family dr ankle support basic l larutan povidoneiodine </t>
  </si>
  <si>
    <t>DKL0631112304A1</t>
  </si>
  <si>
    <t>Gravastin 10 mg 6 Kaplet</t>
  </si>
  <si>
    <t>Rp53.900 - Rp58.800</t>
  </si>
  <si>
    <t>PENGGUNAAN OBAT INI HARUS SESUAI DENGAN PETUNJUK DOKTER. Diawali 1 x sehari 1 atau 2 tablet pada malam hari</t>
  </si>
  <si>
    <t>Hiperkolesterolemia dengan atau tanpa penyakit Jantung Koroner</t>
  </si>
  <si>
    <t>Box Isi 10 Strip @ 6 Kaplet</t>
  </si>
  <si>
    <t>Penyakit hati aktif atau peningkatan terus-menerus yang tidak jelas pada serum aminotransferase. Kehamilan dan menyusui. Penggunaan bersamaan dengan gemfibrozil, asam fusidat.</t>
  </si>
  <si>
    <t>HARUS DENGAN RESEP DOKTER. Hanya digunaka secara IV. Monitor tekanan vena sentral, parameter koagulasi dan hematokrit selama pemberian, potensi gagal jantung, pasien usia lanjut, hamil dan laktasi.</t>
  </si>
  <si>
    <t>hiperkolesterolemia penyakit jantung koroner</t>
  </si>
  <si>
    <t>gravastin</t>
  </si>
  <si>
    <t>gravastin kaplet pravastatin sodium hiperkolesterolemia penyakit jantung koroner</t>
  </si>
  <si>
    <t>Family Dr Knee Support Basic L</t>
  </si>
  <si>
    <t>Rp113.900 - Rp186.900</t>
  </si>
  <si>
    <t>family dr knee support basic l</t>
  </si>
  <si>
    <t xml:space="preserve">family dr knee support basic l larutan povidoneiodine </t>
  </si>
  <si>
    <t>TR132370321</t>
  </si>
  <si>
    <t>Angkak 60 Kapsul</t>
  </si>
  <si>
    <t>ANGKAK KAPSUL</t>
  </si>
  <si>
    <t>Rp26.300 - Rp54.600</t>
  </si>
  <si>
    <t>2 x Sehari 2 Kapsul</t>
  </si>
  <si>
    <t>Membantu mengurangi lemak darah.</t>
  </si>
  <si>
    <t>angkak kapsul</t>
  </si>
  <si>
    <t>angkak</t>
  </si>
  <si>
    <t>angkak kapsul angkak kapsul membantu mengurangi lemak darah</t>
  </si>
  <si>
    <t>Family Dr Ankle Support Basic M</t>
  </si>
  <si>
    <t>family dr ankle support basic m</t>
  </si>
  <si>
    <t xml:space="preserve">family dr ankle support basic m larutan povidoneiodine </t>
  </si>
  <si>
    <t>TR142480311</t>
  </si>
  <si>
    <t>Borobudur Gemilang 100 Pil</t>
  </si>
  <si>
    <t>GEMILANG</t>
  </si>
  <si>
    <t>Minumlah secara teratur 2 kali sehari @ 5 pil. Dosis dapat ditingkatkan atau dikurangi sesuai dengan kebutuhan</t>
  </si>
  <si>
    <t>Membantu memperbaiki peredaran darah</t>
  </si>
  <si>
    <t>gemilang</t>
  </si>
  <si>
    <t>membantu memperbaiki peredaran darah</t>
  </si>
  <si>
    <t>borobudur gemilang</t>
  </si>
  <si>
    <t>borobudur gemilang pil gemilang membantu memperbaiki peredaran darah</t>
  </si>
  <si>
    <t>TR142378511</t>
  </si>
  <si>
    <t>Herbana Temulawak 60 Kapsul</t>
  </si>
  <si>
    <t>HERBANA TEMULAWAK</t>
  </si>
  <si>
    <t>Rp134.300 - Rp210.200</t>
  </si>
  <si>
    <t>3 x sehari 1 Kapsul</t>
  </si>
  <si>
    <t>herbana temulawak</t>
  </si>
  <si>
    <t>herbana temulawak kapsul membantu memelihara kesehatan fungsi hati</t>
  </si>
  <si>
    <t>TR162595371</t>
  </si>
  <si>
    <t>Herbakof 4 Tablet</t>
  </si>
  <si>
    <t>Rp5.600 - Rp11.700</t>
  </si>
  <si>
    <t>3 x sehari, 1 tablet</t>
  </si>
  <si>
    <t>Membantu meredakan batuk dan membantu melegakan tenggorokan</t>
  </si>
  <si>
    <t>Dus, Catch Cover @ 10 Tablet Salut Selaput</t>
  </si>
  <si>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</si>
  <si>
    <t>membantu meredakan batuk membantu melegakan tenggorokan</t>
  </si>
  <si>
    <t>herbakof tablet membantu meredakan batuk membantu melegakan tenggorokan</t>
  </si>
  <si>
    <t>Herbakof 6 Tablet</t>
  </si>
  <si>
    <t>Rp23.100 - Rp28.100</t>
  </si>
  <si>
    <t>Dus, 5 strip @ 6 tablet salut selaput</t>
  </si>
  <si>
    <t>DKL0419609915B1</t>
  </si>
  <si>
    <t>Lantiflam 100 mg 10 Tablet</t>
  </si>
  <si>
    <t>Rp70.400 - Rp73.500</t>
  </si>
  <si>
    <t>Setelah makan atau bersama makanan</t>
  </si>
  <si>
    <t>PENGGUNAAN OBAT INI HARUS SESUAI DENGAN PETUNJUK DOKTER. Dewasa: sebagai tablet konvensional: 25-50 mg 6-8 setiap jam sebagaimana diperlukan.</t>
  </si>
  <si>
    <t>INFORMASI OBAT INI HANYA UNTUK KALANGAN MEDIS. Meringankan rasa nyeri ringan hingga sedang, rasa sakit, serta demam.</t>
  </si>
  <si>
    <t>3 Strip @ 10 Tablet Salut Enterik</t>
  </si>
  <si>
    <t>Hipersensitif, riwayat perdarahan saluran pencernaan, dan luka pada saluran pencernaan yang berhubungan dengan terapi NSAID.</t>
  </si>
  <si>
    <t>HARUS DENGAN RESEP DOKTER. Menderita hipertensi, wanita hamil, gangguan fungsi hati dan ginjal.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</si>
  <si>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meringankan nyeri ringan , sakit , demam</t>
  </si>
  <si>
    <t>lantiflam tablet ketoprofen meringankan nyeri ringan  sakit  demam</t>
  </si>
  <si>
    <t>TR153388631</t>
  </si>
  <si>
    <t>Albiruni Albikoles 50 Tablet</t>
  </si>
  <si>
    <t>ALBIKOLES</t>
  </si>
  <si>
    <t>Rp57.200 - Rp80.500</t>
  </si>
  <si>
    <t>3x sehari 2 kapsul</t>
  </si>
  <si>
    <t>Botol @ 50 kapsul @ 500 mg</t>
  </si>
  <si>
    <t>Wanita hamil dan anak-anak</t>
  </si>
  <si>
    <t>Hentikan penggunaan 2 minggu sebelum operasi karena meningkatkan resiko pendarahan. Hentikan penggunaan jika terjadi alergi. Hindari penggunaan bersama obat pengental darah. Tidak untuk wanita hamil dan anak-anak dibawah 1 tahun serta penderita tukak lambung</t>
  </si>
  <si>
    <t>albikoles</t>
  </si>
  <si>
    <t>albiruni albikoles</t>
  </si>
  <si>
    <t>albiruni albikoles tablet albikoles membantu mengurangi lemak darah</t>
  </si>
  <si>
    <t>TR142681171</t>
  </si>
  <si>
    <t>De Cough Menthol For Adult 60 ml</t>
  </si>
  <si>
    <t>DE COUGH MENTHOL FOR ADULT</t>
  </si>
  <si>
    <t>Rp32.000 - Rp36.800</t>
  </si>
  <si>
    <t>3 x sehari 1-2 sendok takar</t>
  </si>
  <si>
    <t>Membantu meredakan batuk</t>
  </si>
  <si>
    <t>Simpan ditempat sejuk dan terhindar dari matahari. Jauhkan dari jangkauan anak-anak</t>
  </si>
  <si>
    <t>de cough menthol for adult</t>
  </si>
  <si>
    <t>de cough menthol for adult  membantu meredakan batuk</t>
  </si>
  <si>
    <t>DKL1233527414A1</t>
  </si>
  <si>
    <t>Angintriz MR 10 Tablet</t>
  </si>
  <si>
    <t>Rp37.800 - Rp52.400</t>
  </si>
  <si>
    <t>Berikan pada saat makan</t>
  </si>
  <si>
    <t>PENGGUNAAN OBAT INI HARUS SESUAI DENGAN PETUNJUK DOKTER. 2x sehari 1 tablet pada pagi dan sore hari.</t>
  </si>
  <si>
    <t>Terapi tambahan untuk antiangina</t>
  </si>
  <si>
    <t>pasien gagal ginjal, wanita hamil, pasien gagal hati berat</t>
  </si>
  <si>
    <t>HARUS DENGAN RESEP DOKTER. Jangan diberikan pada pasien dengan gagal ginjal ( bersihan kreatin &lt; 15ml / menit), pasien gagal hati berat dan wanita hamil</t>
  </si>
  <si>
    <t>trimetazidine dihydrochloride</t>
  </si>
  <si>
    <t>terapi tambahan antiangina</t>
  </si>
  <si>
    <t>angintriz mr</t>
  </si>
  <si>
    <t>angintriz mr tablet trimetazidine dihydrochloride terapi tambahan antiangina</t>
  </si>
  <si>
    <t>TR102615941</t>
  </si>
  <si>
    <t>Apricot Sirup 100 ml</t>
  </si>
  <si>
    <t>APRICOT (OBAT BATUK)</t>
  </si>
  <si>
    <t>Rp9.700 - Rp18.400</t>
  </si>
  <si>
    <t>diminum setelah makan</t>
  </si>
  <si>
    <t>Dewasa : 3 - 4 kali sehari 1 sendok makan Anak-anak : 3 - 4 kali sehari 1/2 sendok makan</t>
  </si>
  <si>
    <t>apricot (obat batuk)</t>
  </si>
  <si>
    <t>apricot</t>
  </si>
  <si>
    <t>apricot sirup apricot obat batuk membantu meredakan batuk</t>
  </si>
  <si>
    <t>DTL0613023137A1</t>
  </si>
  <si>
    <t>Anakonidin OBH Sirup 30 ml</t>
  </si>
  <si>
    <t>5 ml 3 kali sehari</t>
  </si>
  <si>
    <t>hipersensitif, hipertensi parah, penyakit jantung, diabetes, gangguan fungsi hati yang parah</t>
  </si>
  <si>
    <t>- reaksi alergi seperti ruam, gatal, sakit tenggorokan, demam,jantung berdebar - penyakit asma - alkohol - disfungsi ginjal, hati, galukoma, hipertrofi prostat, hipertiroid - anak usia di bawah 2 tahun</t>
  </si>
  <si>
    <t>anakonidin obh</t>
  </si>
  <si>
    <t>anakonidin obh sirup ammonium chloride meringankan batuk pilek</t>
  </si>
  <si>
    <t>DTL1721206735A1</t>
  </si>
  <si>
    <t>Bisolvon Solution 50 ml</t>
  </si>
  <si>
    <t>Rp101.800 - Rp123.200</t>
  </si>
  <si>
    <t>Anak 5-10 tahun : 3 kali sehari 2 ml. Anak 2-5 tahun : 2 kali sehari 2 ml.</t>
  </si>
  <si>
    <t>Dus, Botol @ 50 ml</t>
  </si>
  <si>
    <t>Hipersensitif terhadap Bromhexine HCl atau komponen lain dalam formula.</t>
  </si>
  <si>
    <t>Penderita tukak lambung. Hamil, laktasi</t>
  </si>
  <si>
    <t>bisolvon solution</t>
  </si>
  <si>
    <t>bisolvon solution larutan bromhexine hydrochloride mukolitik batuk produktif</t>
  </si>
  <si>
    <t>trimetazidine hydrochloride</t>
  </si>
  <si>
    <t>angintriz mr tablet trimetazidine hydrochloride terapi tambahan antiangina</t>
  </si>
  <si>
    <t>Verban Husada 4Y X 6 cm</t>
  </si>
  <si>
    <t>Rp3.400 - Rp4.300</t>
  </si>
  <si>
    <t>Pembalut luka</t>
  </si>
  <si>
    <t>Pack</t>
  </si>
  <si>
    <t>pembalut luka</t>
  </si>
  <si>
    <t>verban husada y x</t>
  </si>
  <si>
    <t>verban husada y x larutan povidoneiodine pembalut luka</t>
  </si>
  <si>
    <t>QD111610121</t>
  </si>
  <si>
    <t>MIPI Roll On Orange Lemon 10ml</t>
  </si>
  <si>
    <t>Rp21.500 - Rp29.300</t>
  </si>
  <si>
    <t>champora crystal</t>
  </si>
  <si>
    <t>mipi roll on orange lemon</t>
  </si>
  <si>
    <t xml:space="preserve">mipi roll on orange lemon roll champora crystal </t>
  </si>
  <si>
    <t>QD111610101</t>
  </si>
  <si>
    <t>MIPI Roll On Green Tea 10 ml</t>
  </si>
  <si>
    <t>mipi roll on green tea</t>
  </si>
  <si>
    <t xml:space="preserve">mipi roll on green tea roll cajuput oil </t>
  </si>
  <si>
    <t>TR172603001</t>
  </si>
  <si>
    <t>Komix Herbal Original 15 ml 6 Sachet</t>
  </si>
  <si>
    <t>KOMIX HERBAL ORIGINAL</t>
  </si>
  <si>
    <t>Rp13.900 - Rp16.800</t>
  </si>
  <si>
    <t>Sesudah makan. Kocok dahulu sebelum diminum.</t>
  </si>
  <si>
    <t>Dewasa : 3 x sehari 1 Sachet Anak-anak : 1/2 dosis dewasa</t>
  </si>
  <si>
    <t>Membantu meredakan batuk berdahak</t>
  </si>
  <si>
    <t>Dus, 6 Sachet @ 15 ml</t>
  </si>
  <si>
    <t>Tidak boleh digunakan untuk anak-anak dibawah 2 tahun. Simpan pada suhu di bawah 30 C</t>
  </si>
  <si>
    <t>komix herbal original</t>
  </si>
  <si>
    <t>komix herbal original sachet membantu meredakan batuk berdahak</t>
  </si>
  <si>
    <t>DKL9913309709A1</t>
  </si>
  <si>
    <t>Simbado 10 mg 10 Tablet</t>
  </si>
  <si>
    <t>Rp70.200 - Rp124.900</t>
  </si>
  <si>
    <t>Malam hari sebelum tidur</t>
  </si>
  <si>
    <t>PENGGUNAAN OBAT INI HARUS SESUAI DENGAN PETUNJUK DOKTER. Dewasa: Awalnya, 10-20 mg sekali sehari. Pasien yang membutuhkan pengurangan kolesterol dalam jumlah besar atau dengan risiko CV tinggi: Awalnya, 40 mg sekali sehari. Pasien dengan hiperkolesterolemia familial homozigot: Awalnya, 40 mg sekali sehari. Semua dosis harus diminum di malam hari. Maks: 80 mg setiap hari. Sesuaikan dosis sesuai dengan respon pasien dengan interval minimal 4 minggu. Pasien harus menjalani diet penurun kolesterol dan modifikasi gaya hidup lainnya sebelum dan selama terapi obat. Anak: Hiperkolesterolemia familial heterozigot: 10-17 tahun Awalnya, 10 mg sekali sehari. Dosis yang dianjurkan: 10-40 mg setiap hari. Sesuaikan dosis sesuai dengan tujuan terapi yang direkomendasikan dengan interval minimal 4 minggu. Semua dosis harus diminum di malam hari. Maks: 40 mg setiap hari. Pasien harus menjalani diet penurun kolesterol dan modifikasi gaya hidup lainnya sebelum dan selama terapi obat.</t>
  </si>
  <si>
    <t>INFORMASI OBAT INI HANYA UNTUK KALANGAN MEDIS. Mengurangi kadar kolesterol total dan LDL</t>
  </si>
  <si>
    <t>Hamil dan laktasi. Gangguan fungsi hati akut, peningkatan SGOT/SGPT tanpa penjelasan.</t>
  </si>
  <si>
    <t>HARUS DENGAN RESEP DOKTER. Anak, remaja, alkoholisme. Hipertrigliseridemia. Tes fungsi hati sebelum terapi. Evaluasi efek miopati jika terjadi nyeri otot dan peningkatan kreatinin fosfokinase. Kategori kehamilan: Kategori X :Terdapat hasil penelitian terhadap hewan uji dan manusia yang memperlihatkan abnormalitas terhadap janin. Obat ini dikontraindikasikan untuk wanita hamil dan yang berkemungkinan untuk hamil.</t>
  </si>
  <si>
    <t>mengurangi kadar kolesterol total ldl</t>
  </si>
  <si>
    <t>simbado</t>
  </si>
  <si>
    <t>simbado tablet simvastatin mengurangi kadar kolesterol total ldl</t>
  </si>
  <si>
    <t>DKL9031527710A1</t>
  </si>
  <si>
    <t>Farsorbid 10 mg 10 Tablet</t>
  </si>
  <si>
    <t>Rp3.300 - Rp8.200</t>
  </si>
  <si>
    <t>Diberikan pada saat perut kosong 1/2 jam sebelum makan</t>
  </si>
  <si>
    <t>PENGGUNAAN OBAT INI HARUS SESUAI DENGAN PETUNJUK DOKTER. Dewasa : 4 x sehari 1 tablet atau untuk profilaksis : 1 tablet menjelang tidur malam.</t>
  </si>
  <si>
    <t>Terapi dan profilaksis angina pektoris</t>
  </si>
  <si>
    <t>Glaukoma, anemia, hiperteroid, peningkatan TIK, infark miokardum.</t>
  </si>
  <si>
    <t>HARUS DENGAN RESEP DOKTER. Toleransi dan toleransi silang dengan golongan nitrit atau nitrat lain</t>
  </si>
  <si>
    <t>isosorbide dinitrate</t>
  </si>
  <si>
    <t>terapi profilaksis angina pektoris</t>
  </si>
  <si>
    <t>farsorbid</t>
  </si>
  <si>
    <t>farsorbid tablet isosorbide dinitrate terapi profilaksis angina pektoris</t>
  </si>
  <si>
    <t>DKL1608023817B1</t>
  </si>
  <si>
    <t>Rovator 20 mg 10 Tablet</t>
  </si>
  <si>
    <t>Rp114.500 - Rp163.400</t>
  </si>
  <si>
    <t>Dapat diminum sebelum atau sesudah makan.</t>
  </si>
  <si>
    <t>PENGGUNAAN OBAT INI HARUS SESUAI DENGAN PETUNJUK DOKTER. 1x sehari 1 tablet</t>
  </si>
  <si>
    <t>INFORMASI OBAT INI HANYA UNTUK KALANGAN MEDIS. Digunakan untuk menurunkan kadar kolesterol.</t>
  </si>
  <si>
    <t>Hipersensitif, penyakit hati aktif, miopati, gangguan ginjal berat</t>
  </si>
  <si>
    <t>HARUS DENGAN RESEP DOKTER . Wanita hamil dan menyusui. Kategori kehamilan: Kategori X :Terdapat hasil penelitian terhadap hewan uji dan manusia yang memperlihatkan abnormalitas terhadap janin. Obat ini dikontraindikasikan untuk wanita hamil dan yang berkemungkinan untuk hamil.</t>
  </si>
  <si>
    <t>digunakan menurunkan kadar kolesterol</t>
  </si>
  <si>
    <t>rovator</t>
  </si>
  <si>
    <t>rovator tablet rosuvastatin calcium digunakan menurunkan kadar kolesterol</t>
  </si>
  <si>
    <t>Hansaplast Kain Elastis Finger Strips 6 Lembar</t>
  </si>
  <si>
    <t>Rp13.100 - Rp14.700</t>
  </si>
  <si>
    <t>Sachet @ 6 lembar</t>
  </si>
  <si>
    <t>hansaplast kain elastis finger strips lembar</t>
  </si>
  <si>
    <t xml:space="preserve">hansaplast kain elastis finger strips lembar larutan povidoneiodine </t>
  </si>
  <si>
    <t>Herbakof Sirup 60 ml</t>
  </si>
  <si>
    <t>sebelum atau setelah makan</t>
  </si>
  <si>
    <t>Dewasa: 3 sendok takar (15 ml), 3 kali sehari. Anak-anak 6-12 tahun: 1 sendok takar (5 ml), 3 kali sehari.</t>
  </si>
  <si>
    <t>Dus, Botol@ 60 ml</t>
  </si>
  <si>
    <t>herbakof sirup membantu meredakan batuk membantu melegakan tenggorokan</t>
  </si>
  <si>
    <t>DKL1608023817A1</t>
  </si>
  <si>
    <t>Rovator 10 mg 10 Tablet</t>
  </si>
  <si>
    <t>Rp124.800 - Rp181.200</t>
  </si>
  <si>
    <t>HARUS DENGAN RESEP DOKTER. Wanita hamil dan menyusui. Kategori kehamilan: Kategori X :Terdapat hasil penelitian terhadap hewan uji dan manusia yang memperlihatkan abnormalitas terhadap janin. Obat ini dikontraindikasikan untuk wanita hamil dan yang berkemungkinan untuk hamil.</t>
  </si>
  <si>
    <t>DBL0723410204A1</t>
  </si>
  <si>
    <t>Mirasic Plus 10 Kaplet</t>
  </si>
  <si>
    <t>Rp5.400 - Rp12.300</t>
  </si>
  <si>
    <t>Dewasa atau anak &gt; 12 tahun : 3 -4 x sehari 1 kaplet. Anak 5-12 tahun : 3 - 4 x sehari 1/2 kaplet.</t>
  </si>
  <si>
    <t>Meredakan nyeri ringan hingga sedang dan demam</t>
  </si>
  <si>
    <t>Pasien yang memiliki riwayat hipersensitif terhadap paracetamol.</t>
  </si>
  <si>
    <t>meredakan nyeri ringan demam</t>
  </si>
  <si>
    <t>mirasic plus</t>
  </si>
  <si>
    <t>mirasic plus kaplet caffeine meredakan nyeri ringan demam</t>
  </si>
  <si>
    <t>DKL8831500474A1</t>
  </si>
  <si>
    <t>Farsorbid 5 mg 10 Tablet</t>
  </si>
  <si>
    <t>Rp4.000 - Rp5.100</t>
  </si>
  <si>
    <t>0.5 jam sebelum makan</t>
  </si>
  <si>
    <t>PENGGUNAAN OBAT INI HARUS SESUAI DENGAN PETUNJUK DOKTER. 1-2 tablet diletakkan di bawah lidah (sublingual) setiap 2-3 jam sesuai kebutuhan</t>
  </si>
  <si>
    <t>Terapi dan Profilaksis Angina Pektoris</t>
  </si>
  <si>
    <t>Dus, 10 Strip @ 10 Tablet Sublingual</t>
  </si>
  <si>
    <t>HARUS DENGAN RESEP DOKTER. Toleransi dan Toleransi silang dengan golongan nitrit atau nitrat lain.</t>
  </si>
  <si>
    <t>DKL1321205417A1</t>
  </si>
  <si>
    <t>Recansa 20 mg 10 Tablet</t>
  </si>
  <si>
    <t>Rp140.400 - Rp190.500</t>
  </si>
  <si>
    <t>recansa</t>
  </si>
  <si>
    <t>recansa tablet rosuvastatin calcium digunakan menurunkan kadar kolesterol</t>
  </si>
  <si>
    <t>- ISOSORBIDE MONONITRATE 40% WITH LACTOSE</t>
  </si>
  <si>
    <t>isosorbide mononitrate 40% with lactose</t>
  </si>
  <si>
    <t xml:space="preserve">imocard sr tablet isosorbide mononitrate 40 with lactose </t>
  </si>
  <si>
    <t>DKL1005515210A1</t>
  </si>
  <si>
    <t>Actapin 5 mg 10 Tablet</t>
  </si>
  <si>
    <t>Rp9.000 - Rp97.300</t>
  </si>
  <si>
    <t>PENGGUNAAN OBAT INI HARUS SESUAI DENGAN PETUNJUK DOKTER. Untuk hipertensi : awal 5 mg 1 kali/hari. Maksimal 10 mg/hari. Untuk pasien dengan berat badan rendah, rapuh, usia lanjut atau gangguan fungsi hati : awal 2.5 mg 1 kali/hari, dapat ditingkatkan sampai 7.5 mg/hari. Maksimal 10 mg/hari. Untuk angina kronik, stabil, atau vasospastik : 5-10 mg/hari.</t>
  </si>
  <si>
    <t>Hipertensi, Iskemia Miokardial, Angina.</t>
  </si>
  <si>
    <t>Hamil. Hipertensi berat.</t>
  </si>
  <si>
    <t>HARUS DENGAN RESEP DOKTER. Hamil, laktasi. Gangguan fungsi hati dan ginjal, gagal jantung kongestif</t>
  </si>
  <si>
    <t>hipertensi , iskemia miokardial , angina</t>
  </si>
  <si>
    <t>actapin</t>
  </si>
  <si>
    <t>actapin tablet amlodipine besilate hipertensi  iskemia miokardial  angina</t>
  </si>
  <si>
    <t>Family Dr Knee Support Basic M</t>
  </si>
  <si>
    <t>Rp119.300 - Rp186.700</t>
  </si>
  <si>
    <t>family dr knee support basic m</t>
  </si>
  <si>
    <t xml:space="preserve">family dr knee support basic m larutan povidoneiodine </t>
  </si>
  <si>
    <t>Accu Chek Instant 25 Test Strips</t>
  </si>
  <si>
    <t>Rp308.000 - Rp335.500</t>
  </si>
  <si>
    <t>accu chek instant test strips</t>
  </si>
  <si>
    <t xml:space="preserve">accu chek instant test strips tablet pioglitazone hydrochloride </t>
  </si>
  <si>
    <t>bisoprolol fumarate hydrochlorothiazide</t>
  </si>
  <si>
    <t>lodoz tablet bisoprolol fumarate hydrochlorothiazide hipertensi  angina pektoris</t>
  </si>
  <si>
    <t>DKL8921004104B1</t>
  </si>
  <si>
    <t>Datan 500 mg Kaplet</t>
  </si>
  <si>
    <t>Rp1.300 - Rp2.600</t>
  </si>
  <si>
    <t>PENGGUNAAN OBAT INI HARUS SESUAI DENGAN PETUNJUK DOKTER. Awal: 500 mg lalu tiap jam 250-500 mg</t>
  </si>
  <si>
    <t>Segala macam rasa nyeri, baik akut maupun kronik</t>
  </si>
  <si>
    <t>Tablet 500 Mg X 100</t>
  </si>
  <si>
    <t>Obat Wajib Apotek, Obat ini dapat dibeli dan diserahkan apoteker tanpa resep dengan maksimum 20 Tablet. Pembelian melebihi batas ini WAJIB RESEP DOKTER. Keamanan pada wanita hamil dan anak &lt; 14 tahun belum diketahui</t>
  </si>
  <si>
    <t>segala nyeri , akut kronik</t>
  </si>
  <si>
    <t>datan</t>
  </si>
  <si>
    <t>datan kaplet mefenamic acid segala nyeri  akut kronik</t>
  </si>
  <si>
    <t>Serenity Walking Stick FS-925L Size S</t>
  </si>
  <si>
    <t>Rp221.200 - Rp228.600</t>
  </si>
  <si>
    <t>serenity walking stick fsl size s</t>
  </si>
  <si>
    <t xml:space="preserve">serenity walking stick fsl size s larutan povidoneiodine </t>
  </si>
  <si>
    <t>Serenity Walking Stick FS-925L Size M</t>
  </si>
  <si>
    <t>Rp235.800 - Rp238.500</t>
  </si>
  <si>
    <t>serenity walking stick fsl size m</t>
  </si>
  <si>
    <t xml:space="preserve">serenity walking stick fsl size m larutan povidoneiodine </t>
  </si>
  <si>
    <t>Serenity Walking Stick FS-925L Size L</t>
  </si>
  <si>
    <t>Rp243.900 - Rp254.300</t>
  </si>
  <si>
    <t>serenity walking stick fsl size l</t>
  </si>
  <si>
    <t xml:space="preserve">serenity walking stick fsl size l larutan povidoneiodine </t>
  </si>
  <si>
    <t>Serenity Steel Wheel Chair Racing SR-809S</t>
  </si>
  <si>
    <t>serenity steel wheel chair racing srs</t>
  </si>
  <si>
    <t xml:space="preserve">serenity steel wheel chair racing srs larutan povidoneiodine </t>
  </si>
  <si>
    <t>DTL9909210728A1</t>
  </si>
  <si>
    <t>Faxiden 5 mg/g Gel 10 g</t>
  </si>
  <si>
    <t>Rp8.200 - Rp14.900</t>
  </si>
  <si>
    <t>PENGGUNAAN OBAT INI HARUS SESUAI DENGAN PETUNJUK DOKTER. Oleskan 3-4 kali sehari, ditinjau dalam 4 minggu</t>
  </si>
  <si>
    <t>Terapi simptomatik pada rematoid artitis, osteoartritis</t>
  </si>
  <si>
    <t>terapi simptomatik rematoid artitis , osteoartritis</t>
  </si>
  <si>
    <t>faxiden</t>
  </si>
  <si>
    <t>faxiden gel piroxicam terapi simptomatik rematoid artitis  osteoartritis</t>
  </si>
  <si>
    <t>Benecheck Plus 3In1 Single Pack</t>
  </si>
  <si>
    <t>Rp449.000 - Rp635.100</t>
  </si>
  <si>
    <t>Dus, 1 Unit</t>
  </si>
  <si>
    <t>benecheck plus in single pack</t>
  </si>
  <si>
    <t xml:space="preserve">benecheck plus in single pack tablet pioglitazone hydrochloride </t>
  </si>
  <si>
    <t>DKL0617621853A1</t>
  </si>
  <si>
    <t>Pamol Suppositoria 125 mg</t>
  </si>
  <si>
    <t>Rp19.600 - Rp22.300</t>
  </si>
  <si>
    <t>PENGGUNAAN OBAT INI HARUS SESUAI DENGAN PETUNJUK DOKTER. Dosis anak 4-8 tahun 4 x sehari 250 mg, 2-4 tahun 4 x sehari 125 mg. Dimasukkan melalui anus.</t>
  </si>
  <si>
    <t>INFORMASI OBAT INI HANYA UNTUK KALANGAN MEDIS. Menghilangkan rasa nyeri dan demam, di gunakan bila suhu tubuh sudah benar-benar tinggi</t>
  </si>
  <si>
    <t>Dus, 2 blister @ 6 suppositoria</t>
  </si>
  <si>
    <t>Penderita yang hipersensitif dengan Paracetamol, penderita yang memiliki gangguan fungsi hati</t>
  </si>
  <si>
    <t>HARUS DENGAN RESEP DOKTER. Pasien defisiensi G6PD. Konsultasikan ke dokter terlebih dahulu sebelum menggunakan obat ini, jika sedang dalam kondisi hamil dan atau menyusui.</t>
  </si>
  <si>
    <t>menghilangkan nyeri demam , suhu tubuh -</t>
  </si>
  <si>
    <t>pamol</t>
  </si>
  <si>
    <t xml:space="preserve">pamol suppositoria paracetamol menghilangkan nyeri demam  suhu tubuh </t>
  </si>
  <si>
    <t>DTL7813003810A1</t>
  </si>
  <si>
    <t>Paramex 4 Tablet</t>
  </si>
  <si>
    <t>Rp2.500 - Rp3.100</t>
  </si>
  <si>
    <t>Dewasa dan anak-anak diatas 12 tahun : 2-3 kali sehari 1 tablet.</t>
  </si>
  <si>
    <t>Meringankan sakit kepala dan sakit gigi</t>
  </si>
  <si>
    <t>Hipersensitif terhadap parasetamol. Pasien dengan disfungsi hati dan ginjal</t>
  </si>
  <si>
    <t>Hati-hati penggunaan pada penderita porphyria akut karena dapat menimbulkan porphyrinogenic Bila setelah 5 hari nyeri tidak hilang, segera hubungi dokter Obat ini dapat menyebabkan kantuk Penggunaan pada penderita yang mengkonsumsi alkohol dapat meningkatkan resiko kerusakan hati</t>
  </si>
  <si>
    <t>meringankan sakit kepala sakit gigi</t>
  </si>
  <si>
    <t>paramex</t>
  </si>
  <si>
    <t>paramex tablet caffeine meringankan sakit kepala sakit gigi</t>
  </si>
  <si>
    <t>GKL1808518917A1</t>
  </si>
  <si>
    <t>Valsartan 80 mg 10 Tablet</t>
  </si>
  <si>
    <t>Rp22.000 - Rp62.700</t>
  </si>
  <si>
    <t>Dikonsumsi sebelum atau sesudah makan.</t>
  </si>
  <si>
    <t>PENGGUNAAN OBAT INI HARUS SESUAI DENGAN PETUNJUK DOKTER. - Hipertensi : 1 kali sehari, 80 mg (maksimum 160 mg). - Gagal jantung : dosis awal : 2 kali sehari 40 mg, dosis maksimal : 320 mg. - Pasca-infark miokard : dosis awal : 2 kali sehari 20 mg, dosis target : 2 kali sehari 160 mg.</t>
  </si>
  <si>
    <t>INFORMASI OBAT INI HANYA UNTUK KALANGAN MEDIS. Hipertensi, gagal jantung, dan pasca infark miokard.</t>
  </si>
  <si>
    <t>Hipersensitivitas, kehamilan, gangguan hati berat, sirosis, obstruksi bilier.</t>
  </si>
  <si>
    <t>HARUS DENGAN RESEP DOKTER. - Pasien dengan penurunan kadar natrium dan/ atau volume. - Stenosis arteri renalis. - Gangguan fungsi ginjal. - Gangguan fungsi hati. - Pasien usia lanjut. Kategori Kehamilan : Kategori D: Terbukti berisiko terhadap janin. Meski demikian, obat masih dapat digunakan jika obat diperlukan untuk mengatasi keadaan yang mengancam jiwa, atau penyakit serius, dimana obat yang lebih aman tidak dapat digunakan atau tidak efektif.</t>
  </si>
  <si>
    <t>valsartan</t>
  </si>
  <si>
    <t>hipertensi , gagal jantung , pasca infark miokard</t>
  </si>
  <si>
    <t>valsartan tablet hipertensi  gagal jantung  pasca infark miokard</t>
  </si>
  <si>
    <t>DKL0331523917A1</t>
  </si>
  <si>
    <t>Blorec 25 mg 10 Tablet</t>
  </si>
  <si>
    <t>Rp61.100 - Rp92.500</t>
  </si>
  <si>
    <t>PENGGUNAAN OBAT INI HARUS SESUAI DENGAN PETUNJUK DOKTER. Hipertensi esensial dewasa dan lansia: dosis awal: 12,5 mg sekali sehari dalam dua hari pertama, kemudian dilanjutkan 25 mg sekali sehari. Dosis dapat ditingkatkan dalam interval 2 minggu hingga dosis maksimum 50 mg perhari. Pasien gagal jantung kongestif: 3,125 mg, diberikan 2 kali sehari selama 2 minggu dapat ditingkatkan menjadi 6,25 mg, diberikan 2 kali sehari. Dosis maksimum pada pasien diatas berat badan 85 kg: 25 mg, diberikan 2 kali sehari. Dosis maksimum pada pasien dengan berat kurang dari 85 kg: 25 mg, diberikan 2 kali sehari.</t>
  </si>
  <si>
    <t>INFORMASI OBAT INI HANYA UNTUK KALANGAN MEDIS. Hipertensi esensial dan gagal jantung kronik.</t>
  </si>
  <si>
    <t>Obat ini tidak boleh diberikan kepada pasien denga kondisi: Hipersensitif terhadap Carvedilol. Gagal jantung kelas IV dan terapi inotropik secara intra vena. Asma bronkial dan PPOK atau penyakit paru obstruktif kronis. Disfungsi hati. AV block derajat 2 dan 3 Sick Sinus Syndrome. Bradikardi, syok, hipotensi ( tekanan darah sistolik &lt; 85 mmHg). Wanita hamil dan anak-anak.</t>
  </si>
  <si>
    <t>HARUS DENGAN RESEP DOKTER. Hati-hati penggunaan obat ini pada pasien dengan kondisi: Hipertensi sekunder atau tidak stabil. Angina pektoris tidak stabil. Gangguan persarafan jantung. Serangan jantung baru. Diabetes. Usia lanjut.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</si>
  <si>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carvedilol</t>
  </si>
  <si>
    <t>hipertensi esensial gagal jantung kronik</t>
  </si>
  <si>
    <t>blorec</t>
  </si>
  <si>
    <t>blorec tablet carvedilol hipertensi esensial gagal jantung kronik</t>
  </si>
  <si>
    <t>TR022316101</t>
  </si>
  <si>
    <t>Borobudur Pacego 100 Kapsul</t>
  </si>
  <si>
    <t>PACEGO</t>
  </si>
  <si>
    <t>Rp64.800 - Rp126.600</t>
  </si>
  <si>
    <t>3 kali sehari @ 2 kapsul. Dosis dapat ditingkatkan sampai dengan 4 kali minum per hari @ 2 kapsul, atau disesuaikan dengan kebutuhan.</t>
  </si>
  <si>
    <t>Membantu menurunkan tekanan darah tinggi</t>
  </si>
  <si>
    <t>Hanya untuk penderita darah tinggi yang telah ditetapkan oleh dokter. Selama penggunaan konsultasikan pada dokter secara berkala.</t>
  </si>
  <si>
    <t>pacego</t>
  </si>
  <si>
    <t>membantu menurunkan tekanan darah</t>
  </si>
  <si>
    <t>borobudur pacego</t>
  </si>
  <si>
    <t>borobudur pacego kapsul pacego membantu menurunkan teka darah</t>
  </si>
  <si>
    <t>DKL2004529710B1</t>
  </si>
  <si>
    <t>Carvilol 25 mg 10 Tablet</t>
  </si>
  <si>
    <t>Rp57.700 - Rp71.200</t>
  </si>
  <si>
    <t>PENGGUNAAN OBAT INI HARUS SESUAI DENGAN PETUNJUK DOKTER. Tekanan darah tinggi: Dosis awal dewasa (usia 18 tahun ke atas): 6,25 mg diminum dua kali sehari atau 12,5 mg satu kali sehari. Dosis dapat dapat ditingkatkan setelah 7-14 hari berdasarkan tingkat tekanan darah satu jam setelah dosis. Dosis dapat ditingkatkan menjadi 12,5 hingga 25 mg diminum dua kali sehari. Dosis total tidak boleh melebihi 50 mg per hari. Angina: Dosis awal untuk dewasa (usia 18 tahun ke atas) dianjurkan 12.5 mg, diminum 2 kali sehari selama 2 hari Dosis dapat ditingkatkan menjadi 25 mg, diminum 2 kali sehari. Dosis bisa ditingkatkan lagi sesuai dengan kebutuhan atau saran dokter dengan interval 2 minggu. Gagal Jantung: Dosis awal untuk dewasa (usia 18 tahun ke atas) yang dianjurkan adalah 3,125 mg diminum dua kali sehari selama dua minggu. Dosis dapat ditingkatkan menjadi 6,25 mg, 12,5 mg, dan 25 mg diminum dua kali sehari selama interval dua minggu.</t>
  </si>
  <si>
    <t>Pasien dengan gagal jantung, asma bromkial, syok kardiogenik, kerusakan hati yang parah.</t>
  </si>
  <si>
    <t>carvilol</t>
  </si>
  <si>
    <t>carvilol tablet carvedilol hipertensi esensial gagal jantung kronik</t>
  </si>
  <si>
    <t>Serenity Steel Wheel Chair Racing SR-809PC</t>
  </si>
  <si>
    <t>serenity steel wheel chair racing srpc</t>
  </si>
  <si>
    <t xml:space="preserve">serenity steel wheel chair racing srpc larutan povidoneiodine </t>
  </si>
  <si>
    <t>DKL2004529710A1</t>
  </si>
  <si>
    <t>Carvilol 6.25 mg 10 Tablet</t>
  </si>
  <si>
    <t>Rp23.100 - Rp28.500</t>
  </si>
  <si>
    <t>PENGGUNAAN OBAT INI HARUS SESUAI DENGAN PETUNJUK DOKTER. ï¿½ Hipertensi: Dewasa: Awal 12,5 mg 1 kali sehari selama 2 hari, ditingkatkan menjadi 25 mg 1 kali sehari. Dapat meningkat secara bertahap dengan interval minimal 2 minggu, jika perlu. Maksimal: 50 mg setiap hari. Lansia: Awal 12,5 mg 1 kali sehari. Dapat meningkat secara bertahap dengan interval minimal 2 minggu, jika perlu. ï¿½ Dewasa: Awalnya, 3,125 mg, ditingkatkan dua kali lipat menjadi 6,25 mg setelah 2 minggu jika dibutuhkan. Kemudian secara bertahap ditingkatkan hingga dosis maksimum yang dapat ditoleransi pasien, dengan jarak tidak kurang dari 2 minggu. Maksimal: kurang dari 85 kg: 25 tawaran mg, lebih dari 85 kg: tawaran 50 mg. ï¿½ Angina stabil kronis: Dewasa: Awalnya, 12,5 tawaran mg dapat ditingkatkan hingga 25 mg setelah 2 hari.</t>
  </si>
  <si>
    <t>Gagal hati kronik yang berat, kerusakan hati.</t>
  </si>
  <si>
    <t>DKL9131501810A1</t>
  </si>
  <si>
    <t>Farmoten 25 mg 10 Tablet</t>
  </si>
  <si>
    <t>Rp2.700 - Rp8.900</t>
  </si>
  <si>
    <t>Saat perut kosong : 1 jam sebelum atau 2 jam sesudah makan</t>
  </si>
  <si>
    <t>PENGGUNAAN OBAT INI HARUS SESUAI DENGAN PETUNJUK DOKTER. Dewasa : Untuk hipertensi : awal 12.5-25 mg 2-3 kali/hari. Dosis dapat ditingkatkan menjadi 50 mg 2-3 kali/hari, bila setelah 2 minggu belum terlihat penurunan TD yang adekuat. Untuk hipertensi ringan-sedang : maksimal 150 mg/hari. Untuk hipertensi berat : maksimal 450 mg/hari. Untuk gagal jantung : 12.5-25 mg 3 kali/hari, sebaiknya dimulai 12.5 mg 3 kali/hari.</t>
  </si>
  <si>
    <t>INFORMASI OBAT INI HANYA UNTUK KALANGAN MEDIS. Hipertensi ringan sampai berat, gagal jantung</t>
  </si>
  <si>
    <t>Angioedema yang berhubungan dengan pengobatan ACE inhibitor sebelumnya</t>
  </si>
  <si>
    <t>ergotamine tartrate caffeine</t>
  </si>
  <si>
    <t>ericaf tablet ergotamine tartrate caffeine serangan migraine akut</t>
  </si>
  <si>
    <t>DKI0667504636A1</t>
  </si>
  <si>
    <t>Cataflam Drops 15 ml</t>
  </si>
  <si>
    <t>Rp64.400 - Rp64.500</t>
  </si>
  <si>
    <t>PENGGUNAAN OBAT INI HARUS SESUAI DENGAN PETUNJUK DOKTER. Dewasa : Awal : 100-150 mg. Anak &gt;14 tahun : 75-100 mg/hari. Anak 6 tahun : 1.5-2 mg/kg BB/hari. Diberikan dalam 2-3 dosis tergantung dari beratnya penyakit</t>
  </si>
  <si>
    <t>INFORMASI OBAT INI HANYA UNTUK KALANGAN MEDIS. Terapi artritis rheumatoid juvenil</t>
  </si>
  <si>
    <t>Dus, Botol Plastik @ 15 ml</t>
  </si>
  <si>
    <t>Tukak lambung, perdarahan atau perforasi. Gangguan hati berat, gangguan ginjal, atau gagal jantung. Asma, urtikaria, rinitis akut. Hamil trimester terakhir</t>
  </si>
  <si>
    <t>HARUS DENGAN RESEP DOKTER. Penyakit kardiovaskuler, MI dan stroke. Gangguan GI. Penggunaan COX-2 selektif. Asma, kolitis ulseratif, penyakit Crohn, gangguan fungsi hati, jantung atau ginjal.</t>
  </si>
  <si>
    <t>terapi artritis rheumatoid juvenil</t>
  </si>
  <si>
    <t>cataflam</t>
  </si>
  <si>
    <t>cataflam tetes diclofenac sodium terapi artritis rheumatoid juvenil</t>
  </si>
  <si>
    <t>diclofenac resinate</t>
  </si>
  <si>
    <t>cataflam tetes diclofenac resinate terapi artritis rheumatoid juvenil</t>
  </si>
  <si>
    <t>DTL0622719204A1</t>
  </si>
  <si>
    <t>Bodrex Extra 4 Kaplet</t>
  </si>
  <si>
    <t>Rp2.700 - Rp3.200</t>
  </si>
  <si>
    <t>Dewasa dan anak &gt;12 tahun : 1-2 kaplet. Anak 6-12 tahun : 1/2-1 kaplet. Diberikan 3-4 kali sehari</t>
  </si>
  <si>
    <t>Untuk meredakan sakit kepala</t>
  </si>
  <si>
    <t>Dus, 25 Blister @ 4 kaplet</t>
  </si>
  <si>
    <t>Tukak lambung atau duodenum berat dan aktif. Penggunaan bersama dengan AINS lain dapat menyebabkan gejala asma, rinitis, atau ruam kulit. Hamil trimester ke-3</t>
  </si>
  <si>
    <t>Gangguan hati, penyakit ginjal berat, penyakit jantung, hipertensi, asma, lupus, eritematosus sistemik atau penyakit lain yang menyebabkan gangguan keseimbangan cairan tubuh, gangguan pemekuan darah. Dapat meningkatkan risiko gangguan fungsi hati pada pasien.</t>
  </si>
  <si>
    <t>untuk meredakan sakit kepala</t>
  </si>
  <si>
    <t>bodrex extra</t>
  </si>
  <si>
    <t>bodrex extra kaplet caffeine untuk meredakan sakit kepala</t>
  </si>
  <si>
    <t>Medisense Optium Blood Gc 50 Strip</t>
  </si>
  <si>
    <t>Rp426.500 - Rp495.100</t>
  </si>
  <si>
    <t>Strip 50 X 1</t>
  </si>
  <si>
    <t>medisense optium blood gc strip</t>
  </si>
  <si>
    <t xml:space="preserve">medisense optium blood gc strip tablet pioglitazone hydrochloride </t>
  </si>
  <si>
    <t>TR182322501</t>
  </si>
  <si>
    <t>Diadasa 30 Kapsul</t>
  </si>
  <si>
    <t>DIADASA</t>
  </si>
  <si>
    <t>Rp342.600 - Rp402.000</t>
  </si>
  <si>
    <t>3 kali sehari 1 kapsul</t>
  </si>
  <si>
    <t>Dapat digunakan untuk membantu meringankan gejala kencing manis</t>
  </si>
  <si>
    <t>Dus, Botol @ 30 kapsul</t>
  </si>
  <si>
    <t>diadasa</t>
  </si>
  <si>
    <t>dapat membantu meringankan gejala kencing manis</t>
  </si>
  <si>
    <t>diadasa kapsul dapat membantu meringankan gejala kencing manis</t>
  </si>
  <si>
    <t>Serenity Steel Wheel Chair Jari-Jari SR-809S</t>
  </si>
  <si>
    <t>serenity steel wheel chair jarijari srs</t>
  </si>
  <si>
    <t xml:space="preserve">serenity steel wheel chair jarijari srs larutan povidoneiodine </t>
  </si>
  <si>
    <t>Family Dr Palm Support Basic L</t>
  </si>
  <si>
    <t>family dr palm support basic l</t>
  </si>
  <si>
    <t xml:space="preserve">family dr palm support basic l larutan povidoneiodine </t>
  </si>
  <si>
    <t>Family Dr Elbow Support Basic M</t>
  </si>
  <si>
    <t>Rp119.300 - Rp176.800</t>
  </si>
  <si>
    <t>family dr elbow support basic m</t>
  </si>
  <si>
    <t xml:space="preserve">family dr elbow support basic m larutan povidoneiodine </t>
  </si>
  <si>
    <t>TI134547361</t>
  </si>
  <si>
    <t>Kaloba 20 mg 21 Tablet</t>
  </si>
  <si>
    <t>KALOBA</t>
  </si>
  <si>
    <t>Rp132.900 - Rp220.700</t>
  </si>
  <si>
    <t>Dewasa dan anak &gt; 12 tahun : 3 x sehari 1 tablet. Anak 6-12 tahun : 2 x sehari 1 tablet (pagi &amp; malam)</t>
  </si>
  <si>
    <t>Batuk, Sakit Tenggorokan, Pilek, Rinosinusitis &amp; Bronkhitis</t>
  </si>
  <si>
    <t>Box Isi 21 Tablet Salut</t>
  </si>
  <si>
    <t>Penyakit hati atau ginjal berat. Penggunaan bersama dengan antikoagulan. Hamil dan laktasi</t>
  </si>
  <si>
    <t>kaloba</t>
  </si>
  <si>
    <t>batuk , sakit tenggorokan , pilek , rinosinusitis bronkhitis</t>
  </si>
  <si>
    <t>kaloba tablet batuk  sakit tenggorokan  pilek  rinosinusitis bronkhitis</t>
  </si>
  <si>
    <t>Family Dr Elbow Support Basic L</t>
  </si>
  <si>
    <t>Rp113.900 - Rp176.800</t>
  </si>
  <si>
    <t>family dr elbow support basic l</t>
  </si>
  <si>
    <t xml:space="preserve">family dr elbow support basic l larutan povidoneiodine </t>
  </si>
  <si>
    <t>TR202638791</t>
  </si>
  <si>
    <t>Herbivi Sirup 100 ml</t>
  </si>
  <si>
    <t>HERBIVI SIRUP</t>
  </si>
  <si>
    <t>Rp84.500 - Rp95.100</t>
  </si>
  <si>
    <t>Dapat diberikan sebelum atau setalah makan.</t>
  </si>
  <si>
    <t>Anak (2 - 5 tahun) : sehari 1 - 2 kali 2,5 ml. . Anak (6 - 11 tahun) : sehari 1 ï¿½ 2 kali 5 ml. Remaja, dewasa dan lanjut usia : sehari 3 kali 5 ml</t>
  </si>
  <si>
    <t>herbivi sirup</t>
  </si>
  <si>
    <t>herbivi</t>
  </si>
  <si>
    <t>herbivi sirup herbivi sirup membantu meredakan batuk berdahak</t>
  </si>
  <si>
    <t>Neomed Knee Compression Sleeve JC-300 M</t>
  </si>
  <si>
    <t>Rp295.200 - Rp344.200</t>
  </si>
  <si>
    <t>Box @ 1 Unit</t>
  </si>
  <si>
    <t>neomed knee compression sleeve jc m</t>
  </si>
  <si>
    <t xml:space="preserve">neomed knee compression sleeve jc m larutan povidoneiodine </t>
  </si>
  <si>
    <t xml:space="preserve">serenity hearing aid srp tablet kombinasivalsartan blend 32 </t>
  </si>
  <si>
    <t>Complete Multi Purpose Solution 350 ml</t>
  </si>
  <si>
    <t>Rp58.200 - Rp98.500</t>
  </si>
  <si>
    <t>Box, Botol @ 350 ml</t>
  </si>
  <si>
    <t>complete multi purpose solution</t>
  </si>
  <si>
    <t xml:space="preserve">complete multi purpose solution tablet kombinasivalsartan blend 32 </t>
  </si>
  <si>
    <t>Family Dr Palm Support Basic M</t>
  </si>
  <si>
    <t>family dr palm support basic m</t>
  </si>
  <si>
    <t xml:space="preserve">family dr palm support basic m larutan povidoneiodine </t>
  </si>
  <si>
    <t>Serenity Steel Wheel Chair Jari-Jari SR-809PC</t>
  </si>
  <si>
    <t>serenity steel wheel chair jarijari srpc</t>
  </si>
  <si>
    <t xml:space="preserve">serenity steel wheel chair jarijari srpc larutan povidoneiodine </t>
  </si>
  <si>
    <t>DKI1127000317A1</t>
  </si>
  <si>
    <t>Teveten FC 14 Tablet</t>
  </si>
  <si>
    <t>Rp181.200 - Rp251.800</t>
  </si>
  <si>
    <t>PENGGUNAAN OBAT INI HARUS SESUAI DENGAN PETUNJUK DOKTER. 600 mg 1 kali/hari, ditingkatkan sampai 800 mg/hari.</t>
  </si>
  <si>
    <t>Terapi hipertensi essensial</t>
  </si>
  <si>
    <t>Tablet Salut Selaput 600 Mg X 28 X 1</t>
  </si>
  <si>
    <t>Hamil, laktasi, anak, penurunan fungsi hati dan ginjal yang serius (bersihan kreatinin &lt;= 30 mL/menit), hiperaldosteronisme primer.</t>
  </si>
  <si>
    <t>HARUS DENGAN RESEP DOKTER. Deplesi cairan tubuh, penurunan fungsi hati dan ginjal, penyakit jantung koroner, insufisiensi jantung yang serius, stenosis aorta dan mitral, kardiomiopati hipertrofi, penggunaan bersama dengan diuretik hemat K atau garam K, Na.</t>
  </si>
  <si>
    <t>eprosartan mesilate</t>
  </si>
  <si>
    <t>terapi hipertensi essensial</t>
  </si>
  <si>
    <t>teveten fc</t>
  </si>
  <si>
    <t>teveten fc tablet eprosartan mesilate terapi hipertensi essensial</t>
  </si>
  <si>
    <t>DKI1570701010A1</t>
  </si>
  <si>
    <t>Unisia 8 mg/5 mg 10 Tablet</t>
  </si>
  <si>
    <t>INFORMASI OBAT INI HANYA UNTUK KALANGAN MEDIS. Pengobatan tekanan darah tinggi (hipertensi).</t>
  </si>
  <si>
    <t>Dus, 1 Pouch @ 2 Blister @ 10 Tablet</t>
  </si>
  <si>
    <t>Pasien hipersensitif dengan formula obat ini atau dihidropiridin. Penderita diabetes yang mengkonsumsi aliskiren fumarate. Wanita hamil atau kemungkinan hamil.</t>
  </si>
  <si>
    <t>HARUS DENGAN RESEP DOKTER. - Hiperkalemia. - Pasien stenosis arteri ginjal (bilateral/unilateral). - Pasien gagal jantung. - Pasien gangguan fungsi ginjal dan/atau hati. - Pasien dengan terapi diuretik. - Pasien yang menjalani proses hemodialisa. - Pasien usia lanjut. Belum terdapat data keamanan terkait penggunaan obat ini pada wanita hamil dan/atau menyusui. Konsultasikan kepada dokter apabila Anda sedang hamil dan/atau menyusui.</t>
  </si>
  <si>
    <t>pengobatan tekanan darah hipertensi</t>
  </si>
  <si>
    <t>unisia</t>
  </si>
  <si>
    <t>unisia tablet amlodipine besilate pengobatan teka darah hipertensi</t>
  </si>
  <si>
    <t>TR152688521</t>
  </si>
  <si>
    <t>OB Herbal Ziplong Cair 12 ml 12 Sachet</t>
  </si>
  <si>
    <t>OB HERBAL ZIPLONG</t>
  </si>
  <si>
    <t>Rp15.000 - Rp38.900</t>
  </si>
  <si>
    <t>Dus, 12 Sachet @ 12 ml</t>
  </si>
  <si>
    <t>ob herbal ziplong</t>
  </si>
  <si>
    <t>ob herbal ziplong cair</t>
  </si>
  <si>
    <t xml:space="preserve">ob herbal ziplong cair sachet ob herbal ziplong </t>
  </si>
  <si>
    <t>GKL1808518917B1</t>
  </si>
  <si>
    <t>Valsartan 160 mg 10 Tablet</t>
  </si>
  <si>
    <t>Rp55.600 - Rp178.200</t>
  </si>
  <si>
    <t>PENGGUNAAN OBAT INI HARUS SESUAI DENGAN PETUNJUK DOKTER. Hipertensi : 1 tablet perhari, gagal jantung: 2 x 1 tablet, post myocardial infarction: 12 jam setelah terjadi infark</t>
  </si>
  <si>
    <t>Family Dr Wrist Support Basic M</t>
  </si>
  <si>
    <t>Rp113.900 - Rp177.800</t>
  </si>
  <si>
    <t>family dr wrist support basic m</t>
  </si>
  <si>
    <t xml:space="preserve">family dr wrist support basic m larutan povidoneiodine </t>
  </si>
  <si>
    <t>Family Dr Wrist Support Basic L</t>
  </si>
  <si>
    <t>family dr wrist support basic l</t>
  </si>
  <si>
    <t xml:space="preserve">family dr wrist support basic l larutan povidoneiodine </t>
  </si>
  <si>
    <t xml:space="preserve">avico blood lancet pieces tablet kombinasivalsartan blend 32 </t>
  </si>
  <si>
    <t xml:space="preserve">gea blood lancet pieces tablet kombinasivalsartan blend 32 </t>
  </si>
  <si>
    <t>Benecheck Plus Cholesterol 10 Strip</t>
  </si>
  <si>
    <t>Rp211.000 - Rp481.900</t>
  </si>
  <si>
    <t>benecheck plus cholesterol strip</t>
  </si>
  <si>
    <t xml:space="preserve">benecheck plus cholesterol strip tablet kombinasivalsartan blend 32 </t>
  </si>
  <si>
    <t xml:space="preserve">serenity hearing aid srbte tablet kombinasivalsartan blend 32 </t>
  </si>
  <si>
    <t>DKL1208018337A1</t>
  </si>
  <si>
    <t>BDM Sirup 60 ml</t>
  </si>
  <si>
    <t>PENGGUNAAN OBAT IN HARUS DENGAN PETUNJUK DOKTER. Dosis awal yang dianjurkan untuk dewasa dan anak diatas 12 tahun : 5-10 ml, 4 x sehari. Dosis tidak lebih dari 8 sendok takar. Anak 6-12 tahun : 2,5 ml, 3 x sehari. Dosis tidak lebih dari 20 ml Anak 2-6 tahun : 1,25 ml - 2,5 ml, 3 x sehari. Dosis tidak lebih dari 10 ml.</t>
  </si>
  <si>
    <t>INFORMASI OBAT INI HANYA UNTUK KALANGAN MEDIS. Alergi pada saluran pernapasan, kulit dan mata.</t>
  </si>
  <si>
    <t>alergi saluran pernapasan , kulit mata</t>
  </si>
  <si>
    <t>bdm</t>
  </si>
  <si>
    <t>bdm sirup betamethasone alergi saluran pernapasan  kulit mata</t>
  </si>
  <si>
    <t>TR192630461</t>
  </si>
  <si>
    <t>Madu TJ Hitam Pahit 250 g</t>
  </si>
  <si>
    <t>MADU TJ HITAM PAHIT</t>
  </si>
  <si>
    <t>Rp34.300 - Rp41.400</t>
  </si>
  <si>
    <t>3x sehari, 1-2 sendok makan (15-30 ml)</t>
  </si>
  <si>
    <t>Botol @ 250 g</t>
  </si>
  <si>
    <t>madu tj hitam pahit</t>
  </si>
  <si>
    <t>madu tj hitam pahit madu membantu memelihara kesehatan</t>
  </si>
  <si>
    <t>DKL9605020829A1</t>
  </si>
  <si>
    <t>Termisil Cream 10 g</t>
  </si>
  <si>
    <t>Rp56.600 - Rp75.600</t>
  </si>
  <si>
    <t>Krim dioleskan pada kulit yang terinfeksi jamur</t>
  </si>
  <si>
    <t>PENGGUNAAN OBAT INI HARUS SESUAI DENGAN PETUNJUK DOKTER. Oleskan krim 1-2 x sehari. Durasi terapi : Tinea Pedis 2-4 minggu, Tinea Korporis &amp; Tinea Kruris 1-2 minggu</t>
  </si>
  <si>
    <t>INFORMASI OBAT INI HANYA UNTUK KALANGAN MEDIS. Infeksi jamur pada kulit</t>
  </si>
  <si>
    <t>Penderita yang hipersensitif terhadap komponen obat ini</t>
  </si>
  <si>
    <t>HARUS DENGAN RESEP DOKTER. Hentikan pengobatan jika terjadi iritasi dan sensitivitas. Tidak untuk digunakan pada mata, intra vaginal, atau peroral. Hindarkan kontak dengan hidung, mulut, membran mukosa lain. Hamil</t>
  </si>
  <si>
    <t>terbinafine hydrochloride</t>
  </si>
  <si>
    <t>infeksi jamur kulit</t>
  </si>
  <si>
    <t>termisil cream</t>
  </si>
  <si>
    <t>termisil cream krim terbinafine hydrochloride infeksi jamur kulit</t>
  </si>
  <si>
    <t>DKL8722203729A1</t>
  </si>
  <si>
    <t>Cinolon-N Cream 5 g</t>
  </si>
  <si>
    <t>Rp16.000 - Rp19.300</t>
  </si>
  <si>
    <t>Oleskan tipis-tipis Cinolon Krim pada bagian yang diperlukan.</t>
  </si>
  <si>
    <t>PENGGUNAAN OBAT INI HARUS SESUAI DENGAN PETUNJUK DOKTER. Oleskan 2-4 kali sehari.</t>
  </si>
  <si>
    <t>INFORMASI OBAT INI HANYA UNTUK KALANGAN MEDIS. Dermatitis yang disertai infeksi.</t>
  </si>
  <si>
    <t>Hipersensitifitas terhadap Fluocinolone Acetonide dan/atau Neomycin Sulfate pada kulit.</t>
  </si>
  <si>
    <t>HARUS DENGAN RESEP DOKTER. - Hindari penggunaan jangka lama pada bayi dan anak. - Wanita Hamil</t>
  </si>
  <si>
    <t>dermatitis disertai infeksi</t>
  </si>
  <si>
    <t>cinolonn cream</t>
  </si>
  <si>
    <t>cinolonn cream krim fluocinolone acetonide dermatitis disertai infeksi</t>
  </si>
  <si>
    <t>DBL0434003633A1</t>
  </si>
  <si>
    <t>Novadiar Suspensi 60 ml</t>
  </si>
  <si>
    <t>Rp5.900 - Rp14.800</t>
  </si>
  <si>
    <t>Dewasa dan anak &gt;12 tahun : 30 ml perhari. Anak 6-12 tahun : 15 ml perhari</t>
  </si>
  <si>
    <t>Pengobatan simptomatik pada diare yang tidak diketahui penyebabnya.</t>
  </si>
  <si>
    <t>Reaksi alergi</t>
  </si>
  <si>
    <t>Berencana untuk hamil Disentri Hamil Menyusui</t>
  </si>
  <si>
    <t>pengobatan simptomatik diare tidak penyebabnya</t>
  </si>
  <si>
    <t>novadiar</t>
  </si>
  <si>
    <t>novadiar suspensi kaolin pengobatan simptomatik diare tidak penyebabnya</t>
  </si>
  <si>
    <t>DKL0228603229A1</t>
  </si>
  <si>
    <t>Sagalon 5% Cream 10 g</t>
  </si>
  <si>
    <t>Rp33.000 - Rp57.500</t>
  </si>
  <si>
    <t>Oles tipis-tipis pada lesi</t>
  </si>
  <si>
    <t>PENGGUNAAN OBAT INI HARUS SESUAI DENGAN PETUNJUK DOKTER. Oleskan 4x sehari</t>
  </si>
  <si>
    <t>Pengobatan Pruritus pada Ekzema</t>
  </si>
  <si>
    <t>Tube 10 G Dalam Dus</t>
  </si>
  <si>
    <t>Pasien yang peka terhadap doxepin, pasien dengan narrow angle glaucoma, pasien yang mempunyai kecenderungan retensi urin, anak umur dibawah 12 tahun, laktasi, bersamaan atau dalam 14 hari penggunaan MAOI.</t>
  </si>
  <si>
    <t>HARUS DENGAN RESEP DOKTER. Pasien dengan riwayat peristiwa yang berhubungan dengan bunuh diri, epilepsi, trauma kepala, kerusakan otak, alkoholisme</t>
  </si>
  <si>
    <t>DKL0121202829A1</t>
  </si>
  <si>
    <t>Dermatop 2.5 mg/g Cream 5 g</t>
  </si>
  <si>
    <t>Rp82.500 - Rp90.700</t>
  </si>
  <si>
    <t>Krim dioleskan pada area kulit yang sakit/radang</t>
  </si>
  <si>
    <t>PENGGUNAAN OBAT INI HARUS SESUAI DENGAN PETUNJUK DOKTER. Oleskan krim 1-2 x sehari, dapat hingga maximum 4 minggu untuk area yang sama</t>
  </si>
  <si>
    <t>INFORMASI OBAT INI HANYA UNTUK KALANGAN MEDIS. Penyakit2 kulit (yang responsif terhadap Kortikosteroid)</t>
  </si>
  <si>
    <t>Dus, Tube @ 5 G</t>
  </si>
  <si>
    <t>Kelainan pada kulit yang disebabkan oleh varisela, TBC, sifilis, vaksinasi</t>
  </si>
  <si>
    <t>DBL1716912233A1</t>
  </si>
  <si>
    <t>Omegdiar Suspensi 60 ml</t>
  </si>
  <si>
    <t>Rp6.200 - Rp7.000</t>
  </si>
  <si>
    <t>Setiap setelah buang air besar.</t>
  </si>
  <si>
    <t>Dewasa dan anak-anak 12 tahun keatas : 2 Tablet (Maksimum penggunaan 12 tablet dalam 24 jam) Anak-anak 6-12 tahun: 1 tablet (Maksimum ponggunaan 6 tablet dalam 24 jam)</t>
  </si>
  <si>
    <t>Pengobatan simptomatik pada diare non spesifik.</t>
  </si>
  <si>
    <t>Suspensi 60 ml x 1</t>
  </si>
  <si>
    <t>Hipersensitif, Obstruksi usus</t>
  </si>
  <si>
    <t>Diare dapat menyebabkan kehilangan cairan dan elektrolit karena itu terapi rohidrasi (cairan rehidrasi oral) mungkin diperlukan. Jika diare pada anak-anak disertai dengan dehidrasi, maka pengobatan awal harus diberikan cairan rehidrasi oral. Jangan diberikan pada anak-anak 3-6 tahun, kecuali atas petunjuk dokter Dapat mempengaruhi absorpsi saluran puncernaan dari obat-obat lain, karena itu dianjurkan interval waktu 2-3 jam antara pemberian oral obat-obatan lain dengan obat ini.</t>
  </si>
  <si>
    <t>pengobatan simptomatik diare non spesifik</t>
  </si>
  <si>
    <t>omegdiar</t>
  </si>
  <si>
    <t>omegdiar suspensi kaolin pengobatan simptomatik diare non spesifik</t>
  </si>
  <si>
    <t>DKL0408013617A1</t>
  </si>
  <si>
    <t>Opox 2 mg 10 Tablet</t>
  </si>
  <si>
    <t>Rp16.100 - Rp22.900</t>
  </si>
  <si>
    <t>PENGGUNAAN OBAT INI HARUS SESUAI DENGAN PETUNJUK DOKTER. Diare akut : awalnya 2 tablet kemudian 1 tablet setiap habis buang air besar. Diare kronis : awalnya 2 tablet kemudian dosis disesuaikan sampai buang air besar normal (buang air besar 1-2 kali sehari). Maksimal 8 tablet sehari.</t>
  </si>
  <si>
    <t>Diare akut dan diare kronis.</t>
  </si>
  <si>
    <t>Tablet 2 Mg X 10 X 6</t>
  </si>
  <si>
    <t>Bila hambatan peristaltik dihindari.</t>
  </si>
  <si>
    <t>HARUS DENGAN RESEP DOKTER. Gangguan fungsi hati. Anak berusia kurang dari 12 tahun.</t>
  </si>
  <si>
    <t>diare akut diare kronis</t>
  </si>
  <si>
    <t>opox</t>
  </si>
  <si>
    <t>opox tablet cetirizine hydrochloride diare akut diare kronis</t>
  </si>
  <si>
    <t>GKL1504523929A1</t>
  </si>
  <si>
    <t>Autan Refresh Spritz Spray 100 ml</t>
  </si>
  <si>
    <t>Rp11.200 - Rp21.500</t>
  </si>
  <si>
    <t>Penolak nyamuk</t>
  </si>
  <si>
    <t>Tidak disarankan untuk bagian muka</t>
  </si>
  <si>
    <t>penolak nyamuk</t>
  </si>
  <si>
    <t>autan refresh spritz</t>
  </si>
  <si>
    <t>autan refresh spritz krim sulfadiazine silver penolak nyamuk</t>
  </si>
  <si>
    <t>Dermatop 2.5 mg/g Cream 15 g</t>
  </si>
  <si>
    <t>Rp201.800 - Rp204.200</t>
  </si>
  <si>
    <t>Penyakit2 kulit (yang responsif terhadap Kortikosteroid)</t>
  </si>
  <si>
    <t>Tube 15 G Dalam Dus</t>
  </si>
  <si>
    <t>GKL7211642829A1</t>
  </si>
  <si>
    <t>Hydrocortisone Cream 1 % 5 g</t>
  </si>
  <si>
    <t>Rp6.300 - Rp8.000</t>
  </si>
  <si>
    <t>oleskan tipis pada bagian yang membutuhkan</t>
  </si>
  <si>
    <t>PENGGUNAAN OBAT INI HARUS SESUAI DENGAN PETUNJUK DOKTER. Oleskan pada kulit yang bermasalah 1-2 kali per hari.</t>
  </si>
  <si>
    <t>INFORMASI OBAT INI HANYA UNTUK KALANGAN MEDIS. Dermatitis atopik dan kontak</t>
  </si>
  <si>
    <t>Hipersensitif, pengobatan dermatitis, penggunaan mata, infeksi mendasar</t>
  </si>
  <si>
    <t>Obat Wajib Apotek, Obat ini dapat dibeli dan diserahkan apoteker tanpa resep dengan maksimum 1 Tube. Pembelian melebihi batas ini WAJIB RESEP DOKTER. Gunakan hati-hati pada pasien dengan diabetes, penyakit kardiovaskular, gangguan hati, infark miokard, miastenia gravis, osteoporosis, penyakit mata, gangguan ginjal, atau penyakit tiroid. Infeksi kulit. Hindari penggunaan jangka panjang. Hindari penggunaan pada mata, membran mukosa, kulit yang sensitif atau luka terbuka</t>
  </si>
  <si>
    <t>hydrocortisone acetate</t>
  </si>
  <si>
    <t>dermatitis atopik kontak</t>
  </si>
  <si>
    <t>hydrocortisone cream</t>
  </si>
  <si>
    <t>hydrocortisone cream krim hydrocortisone acetate dermatitis atopik kontak</t>
  </si>
  <si>
    <t>DKL9028602141A1</t>
  </si>
  <si>
    <t>Vitacid Lotion 50 ml</t>
  </si>
  <si>
    <t>PENGGUNAAN OBAT INI HARUS SESUAI DENGAN PETUNJUK DOKTER. Oleskan 1 x sehari sebelum tidur malam</t>
  </si>
  <si>
    <t>Jerawat/akne vulgaris dan photoaging</t>
  </si>
  <si>
    <t>Dermatitis akut, eksema, rosasea</t>
  </si>
  <si>
    <t>HARUS DENGAN RESEP DOKTER. Hindari kontak dengan mata, mulut, hidung dan membran mukosa lain</t>
  </si>
  <si>
    <t>jerawat akne vulgaris photoaging</t>
  </si>
  <si>
    <t>vitacid lotion</t>
  </si>
  <si>
    <t>vitacid lotion larutan tretinoin jerawat akne vulgaris photoaging</t>
  </si>
  <si>
    <t>DKL0217618128A1</t>
  </si>
  <si>
    <t>Clinium 1% Gel 15 g</t>
  </si>
  <si>
    <t>Rp59.600 - Rp61.900</t>
  </si>
  <si>
    <t>oleskan pada area kulit yang terkena dampak</t>
  </si>
  <si>
    <t>PENGGUNAAN OBAT INI HARUS SESUAI DENGAN PETUNJUK DOKTER. Oleskan tipis pada daerah yang sakit 2 kali sehari.</t>
  </si>
  <si>
    <t>Untuk pengobatan akne vulgaris</t>
  </si>
  <si>
    <t>Dus, Tube @ 15 G</t>
  </si>
  <si>
    <t>Hipersensitivitas. Riwayat enteris regional, atau kolitis ulserativa. Riwayat kolitis yang berkaitan dengan antibiotika</t>
  </si>
  <si>
    <t>Obat Wajib Apotek, Obat ini dapat dibeli dan diserahkan apoteker tanpa resep dengan maksimum 1 Tube. Pembelian melebihi batas ini WAJIB RESEP DOKTER. Atopik, hamil, laktasi, anak &lt; 12 tahun Kategori Kehamilan : B</t>
  </si>
  <si>
    <t>untuk pengobatan akne vulgaris</t>
  </si>
  <si>
    <t>clinium</t>
  </si>
  <si>
    <t>clinium gel clindamycin phosphate untuk pengobatan akne vulgaris</t>
  </si>
  <si>
    <t>DKL1135803928A1</t>
  </si>
  <si>
    <t>Aza 20 gel 30 g</t>
  </si>
  <si>
    <t>Pengobatan akne vulgaris ringan sampai sedang</t>
  </si>
  <si>
    <t>Dus, botol @ 30 G</t>
  </si>
  <si>
    <t>azelaic acid</t>
  </si>
  <si>
    <t>pengobatan akne vulgaris ringan</t>
  </si>
  <si>
    <t>aza</t>
  </si>
  <si>
    <t>aza gel azelaic acid pengobatan akne vulgaris ringan</t>
  </si>
  <si>
    <t>DKL9028600229A1</t>
  </si>
  <si>
    <t>Vitacid 0.05% Cream 20 g</t>
  </si>
  <si>
    <t>Rp45.000 - Rp58.200</t>
  </si>
  <si>
    <t>Sebelum tidur malam</t>
  </si>
  <si>
    <t>INFORMASI OBAT INI HANYA UNTUK KALANGAN MEDIS. Jerawat/akne vulgaris dan photoaging</t>
  </si>
  <si>
    <t>vitacid cream krim tretinoin jerawat akne vulgaris photoaging</t>
  </si>
  <si>
    <t>DKL9906411729A1</t>
  </si>
  <si>
    <t>Salgen 1 mg/g Salep 15 g</t>
  </si>
  <si>
    <t>Rp11.200 - Rp26.700</t>
  </si>
  <si>
    <t>Oleskan pada kulit yang terinfeksi</t>
  </si>
  <si>
    <t>PENGGUNAAN OBAT INI HARUS SESUAI DENGAN PETUNJUK DOKTER. Gunakan 2 kali sehari.</t>
  </si>
  <si>
    <t>INFORMASI OBAT INI HANYA UNTUK KALANGAN MEDIS. Infeksi kulit primer dan sekunder</t>
  </si>
  <si>
    <t>Dus, 1 Tube @ 10 g</t>
  </si>
  <si>
    <t>Hipersensitif terhadap gentamisin. Vaksinia, varisela, TB kulit, infeksi jamur dan virus. Anak &lt;2 tahun.</t>
  </si>
  <si>
    <t>HARUS DENGAN RESEP DOKTER. Jangan ditutup dengan kasa pembalut dan hindari pemberian jangka panjang</t>
  </si>
  <si>
    <t>DKL9918815601A1</t>
  </si>
  <si>
    <t>Opiclam 150 mg 10 Kapsul</t>
  </si>
  <si>
    <t>Rp54.100 - Rp56.900</t>
  </si>
  <si>
    <t>Dapat dikonsumsi sebelum atau sesudah makan.</t>
  </si>
  <si>
    <t>PENGGUNAAN OBAT INI HARUS SESUAI DENGAN PETUNJUK DOKTER. Dewasa: di berikan dosis 150-300 mg setiap 6 jam, hingga 450 mg pada infeksi berat. Maksimal: 1.8 g / hari. Anak usia &lt; 12 tahun: 3-6 mg / kg berat badan setiap 6 jam. Jika terjadi diare selama pengobatan, penggunaan antibiotik in harus dihentikan.</t>
  </si>
  <si>
    <t>INFORMASI OBAT INI HANYA UNTUK KALANGAN MEDIS. Digunakan untuk mengobati infeksi bakteri anaerob.</t>
  </si>
  <si>
    <t>HARUS DENGAN RESEP DOKTER. kehamilan, menyusui, diare, kolitis. Katagori kehamilan: Kategori B: Mungkin dapat digunakan oleh wanita hamil. Penelitian pada hewan uji tidak memperlihatkan ada nya risiko terhadap janin, namun belum ada bukti penelitian langsung terhadap wanita hamil.</t>
  </si>
  <si>
    <t>clindamycin</t>
  </si>
  <si>
    <t>digunakan mengobati infeksi bakteri anaerob</t>
  </si>
  <si>
    <t>opiclam</t>
  </si>
  <si>
    <t>opiclam kapsul clindamycin digunakan mengobati infeksi bakteri anaerob</t>
  </si>
  <si>
    <t>molagit tablet attapulgite pectin meredakan diare non spesifik</t>
  </si>
  <si>
    <t>DBL9317608610A1</t>
  </si>
  <si>
    <t>Diagit 4 Tablet</t>
  </si>
  <si>
    <t>Terapi simtomatik untuk diare non spesifik.</t>
  </si>
  <si>
    <t>Tablet 100'S</t>
  </si>
  <si>
    <t>Stenosis saluran cerna.</t>
  </si>
  <si>
    <t>Anak &lt; 6 tahun, gangguan ginjal berat.</t>
  </si>
  <si>
    <t>terapi simtomatik diare non spesifik</t>
  </si>
  <si>
    <t>diagit</t>
  </si>
  <si>
    <t>diagit tablet attapulgite terapi simtomatik diare non spesifik</t>
  </si>
  <si>
    <t>DKL7420606110B1</t>
  </si>
  <si>
    <t>Bacbutol 500 mg 8 Tablet</t>
  </si>
  <si>
    <t>Rp18.000 - Rp19.300</t>
  </si>
  <si>
    <t>PENGGUNAAN OBAT INI HARUS SESUAI DENGAN PETUNJUK DOKTER. 15-25 mg/kg BB dosis tunggal tiap hari/tiap 24 jam</t>
  </si>
  <si>
    <t>Terapi Tuberkulosis paru yang resisten</t>
  </si>
  <si>
    <t>Box isi 20 strip @ 8 tablet</t>
  </si>
  <si>
    <t>Neuritis optik. Anak &lt; 13 tahun</t>
  </si>
  <si>
    <t>HARUS DENGAN RESEP DOKTER. Kerusakan ginjal parah</t>
  </si>
  <si>
    <t>Bacbutol 250 mg 8 Tablet</t>
  </si>
  <si>
    <t>Rp6.100 - Rp7.100</t>
  </si>
  <si>
    <t>PENGGUNAAN OBAT INI HARUS SESUAI DENGAN PETUNJUK DOKTER. 15-25 mg/kg BB dosis tunggal tiap hari</t>
  </si>
  <si>
    <t>Terapi tuberkulosis paru yang resisten</t>
  </si>
  <si>
    <t>Tablet 250 mg x 160</t>
  </si>
  <si>
    <t>DKL9719604717C1</t>
  </si>
  <si>
    <t>Wiaflox 500 mg 10 Tablet</t>
  </si>
  <si>
    <t>Rp126.000 - Rp192.000</t>
  </si>
  <si>
    <t>INFORMASI OBAT INI HANYA UNTUK KALANGAN MEDIS. Digunakan untuk mengobati infeksi yang disebabkan oleh bakteri.</t>
  </si>
  <si>
    <t>Dus, 2 Strip @10 Tablet Salut Selaput</t>
  </si>
  <si>
    <t>Hipersensitif, Ibu hamil dan Anak</t>
  </si>
  <si>
    <t>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</si>
  <si>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digunakan mengobati infeksi disebabkan bakteri</t>
  </si>
  <si>
    <t>wiaflox</t>
  </si>
  <si>
    <t>wiaflox tablet ciprofloxacin digunakan mengobati infeksi disebabkan bakteri</t>
  </si>
  <si>
    <t>TR122663081</t>
  </si>
  <si>
    <t>Diapet Anak Sachet 10 ml</t>
  </si>
  <si>
    <t>DIAPET ANAK</t>
  </si>
  <si>
    <t>Rp1.700 - Rp2.600</t>
  </si>
  <si>
    <t>Kocok dahulu sebelum diminum. Sesudah makan</t>
  </si>
  <si>
    <t>Anak usia &gt; 5 tahun: 2 x sehari 1 sachet</t>
  </si>
  <si>
    <t>Dus, 6 Sachet @ 10 ml</t>
  </si>
  <si>
    <t>Tidak dianjurkan untuk anak usia &lt; 5 tahun. Penderita sebaiknya mengkonsumsi larutan cairan elektrolit tubuh. Bila dalam 3 hari tidak kunjung sembuh, sebaiknya dikonsultasikan ke dokter</t>
  </si>
  <si>
    <t>diapet anak</t>
  </si>
  <si>
    <t>diapet anak sachet membantu mengurangi frekuansi buang air</t>
  </si>
  <si>
    <t>TR142679191</t>
  </si>
  <si>
    <t>Diapet Anak Sirup 60 ml</t>
  </si>
  <si>
    <t>Rp14.500 - Rp14.600</t>
  </si>
  <si>
    <t>Anak-anak : 2 kali sehari 1 sendok takar (5 ml)</t>
  </si>
  <si>
    <t>diapet anak sirup membantu mengurangi frekuansi buang air</t>
  </si>
  <si>
    <t>DKL1319930809A1</t>
  </si>
  <si>
    <t>Pro TB-4 28 Tablet</t>
  </si>
  <si>
    <t>Saat perut kosong, sekurangnya 1/2 jam sebelum makan</t>
  </si>
  <si>
    <t>PENGGUNAAN OBAT INI HARUS SESUAI DENGAN PETUNJUK DOKTER. Dewasa &gt; 71 kg 1x sehari 5 tablet, 55-70 kg 1x sehari 4 tablet, 38-54 kg 1x sehari 3 tablet, 30-37 kg 1x sehari 2 tablet.</t>
  </si>
  <si>
    <t>INFORMASI OBAT INI HANYA UNTUK KALANGAN MEDIS. Penanganan tbc dan infeksi mikobakterial tertentu</t>
  </si>
  <si>
    <t>Dus, 1 Blister @ 28 Kaplet Salut Selaput</t>
  </si>
  <si>
    <t>Reaksi alergi berlebih terhadap Rifampisin dan INH, hepatitis (radang hati), kerusakan hati parah, neuritis optik (gangguan radang mata), gangguan fungsi ginjal, epilepsi (kejang), alkoholisme kronis.</t>
  </si>
  <si>
    <t>Obat Wajib Apotek, Obat ini dapat dibeli dan diserahkan apoteker tanpa resep dengan maksimum 1 Strip. Pembelian melebihi batas ini WAJIB RESEP DOKTER. Hipersensitifitas. Riwayat penyakit hepatitis, penyakit hati akut, ikterus. Neuritis perifer, neuritis optik, gangguan ginjal, epilepsi, alkoholisme kronik.</t>
  </si>
  <si>
    <t>ethambutol</t>
  </si>
  <si>
    <t>penanganan tbc infeksi mikobakterial</t>
  </si>
  <si>
    <t>pro tb</t>
  </si>
  <si>
    <t>pro tb kaplet ethambutol pega tbc infeksi mikobakterial</t>
  </si>
  <si>
    <t>DKL9406308924A1</t>
  </si>
  <si>
    <t>Enbatic Powder 3 G</t>
  </si>
  <si>
    <t>Rp3.800 - Rp4.200</t>
  </si>
  <si>
    <t>Taburkan di atas luka</t>
  </si>
  <si>
    <t>PENGGUNAAN OBAT INI HARUS SESUAI DENGAN PETUNJUK DOKTER. Gunakan beberapa kali sehari, sesuai kebutuhan</t>
  </si>
  <si>
    <t>INFORMASI OBAT INI HANYA UNTUK KALANGAN MEDIS. Infeksi kulit dan membran mukosa luar</t>
  </si>
  <si>
    <t>Sachet 3 G</t>
  </si>
  <si>
    <t>Bagi penderita yang hipersensitif terhadap bacitracin dan neomycin.</t>
  </si>
  <si>
    <t>bacitracin zinc</t>
  </si>
  <si>
    <t>infeksi kulit membran mukosa</t>
  </si>
  <si>
    <t>enbatic</t>
  </si>
  <si>
    <t>enbatic powder bacitracin zinc infeksi kulit membran mukosa</t>
  </si>
  <si>
    <t>GKL8920904717B1</t>
  </si>
  <si>
    <t>Ethambutol 500 mg 10 Tablet</t>
  </si>
  <si>
    <t>Rp11.600 - Rp12.800</t>
  </si>
  <si>
    <t>PENGGUNAAN OBAT INI HARUS SESUAI DENGAN PETUNJUK DOKTER. Dosis lazim: 15 -25 mg per kg berat badan per hari dosis tunggal. Pasien yang belum pernah diobati dengan obat anti Tuberkolusis : 15 mg per kg berat badan per hari dosis tunggal.</t>
  </si>
  <si>
    <t>INFORMASI OBAT INI HANYA UNTUK KALANGAN MEDIS. Terapi penyakit Tuberkulosis (TB) paru yang resistensi.</t>
  </si>
  <si>
    <t>Neuritis optik. Anak usia kurang dari 13 tahun.</t>
  </si>
  <si>
    <t>HARUS DENGAN RESEP DOKTER. Kerusakan ginjal parah, gout, daya penglihatan berkurang, laktasi.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</si>
  <si>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terapi penyakit tuberkulosis tb paru resistensi</t>
  </si>
  <si>
    <t>ethambutol tablet terapi penyakit tuberkulosis tb paru resistensi</t>
  </si>
  <si>
    <t>DKL8328601029A1</t>
  </si>
  <si>
    <t>Mediquin Cream 15Gr</t>
  </si>
  <si>
    <t>Rp30.000 - Rp45.700</t>
  </si>
  <si>
    <t>Pengobatan hiperpigmentasi kulit</t>
  </si>
  <si>
    <t>Tube 15 Gr Krim</t>
  </si>
  <si>
    <t>Obat Wajib Apotek, Obat ini dapat dibeli dan diserahkan apoteker tanpa resep dengan maksimum 1 Tube. Pembelian melebihi batas ini WAJIB RESEP DOKTER. Hindari kontak dengan mata, gunakan krim pelindung matahari pada siang hari, anak &lt;12th, hamil, menyusui</t>
  </si>
  <si>
    <t>pengobatan hiperpigmentasi kulit</t>
  </si>
  <si>
    <t>mediquin cream gr</t>
  </si>
  <si>
    <t>mediquin cream gr krim hydroquinone pengobatan hiperpigmentasi kulit</t>
  </si>
  <si>
    <t>DKL9309307329A1</t>
  </si>
  <si>
    <t>Bioquin Forte Cream 15 g</t>
  </si>
  <si>
    <t>Rp40.500 - Rp44.500</t>
  </si>
  <si>
    <t>PENGGUNAAN OBAT INI HARUS SESUAI DENGAN PETUNJUK DOKTER. Krim Oleskan 1-2 x perhari.</t>
  </si>
  <si>
    <t>Tube 15 g</t>
  </si>
  <si>
    <t>hydroquinidine</t>
  </si>
  <si>
    <t>bioquin forte cream</t>
  </si>
  <si>
    <t>bioquin forte cream krim hydroquinidine mengatasi hiperpigmentasi kulit</t>
  </si>
  <si>
    <t>TI227006271</t>
  </si>
  <si>
    <t>Mebo Salep 20 gr</t>
  </si>
  <si>
    <t>MEBO</t>
  </si>
  <si>
    <t>Rp98.000 - Rp118.800</t>
  </si>
  <si>
    <t>Dioleskan pada bagian yang luka</t>
  </si>
  <si>
    <t>Oleskan setiap 4-6 jam pada luka</t>
  </si>
  <si>
    <t>Luka bakar, luka gores, luka</t>
  </si>
  <si>
    <t>mebo</t>
  </si>
  <si>
    <t>luka bakar , luka gore , luka</t>
  </si>
  <si>
    <t>mebo gr</t>
  </si>
  <si>
    <t>mebo gr  mebo luka bakar  luka gore  luka</t>
  </si>
  <si>
    <t>Scabimite 5% Cream 10 g</t>
  </si>
  <si>
    <t>Rp56.200 - Rp71.000</t>
  </si>
  <si>
    <t>Oleskan scabimite cream merata pada seluruh permukaan kulit mulai dari kepala sampai ke jari-jari kaki, terutama daerah belakang telinga, lipatan bokong dan sela-sela jari. Lama pemakaian selama 8-12 jam. Dianjurkan pengolesan pada malam hari kemudian dicuci pada keesokan harinya.</t>
  </si>
  <si>
    <t>PENGGUNAAN OBAT INI HARUS SESUAI DENGAN PETUNJUK DOKTER. Sekali pemakaian pada malam hari.</t>
  </si>
  <si>
    <t>INFORMASI OBAT INI HANYA UNTUK KALANGAN MEDIS. Terapi Sarcoptes scabiei (Scabies).</t>
  </si>
  <si>
    <t>HARUS DENGAN RESEP DOKTER. Hindari kontak dengan mata</t>
  </si>
  <si>
    <t>terapi sarcoptes scabiei scabies</t>
  </si>
  <si>
    <t>scabimite cream krim permethrin terapi sarcoptes scabiei scabies</t>
  </si>
  <si>
    <t xml:space="preserve">tuderm n cream krim betamethasone valerate neomycin sulfate </t>
  </si>
  <si>
    <t>DKL9906411829A1</t>
  </si>
  <si>
    <t>Salgen Plus Cream 10 g</t>
  </si>
  <si>
    <t>Rp41.400 - Rp45.900</t>
  </si>
  <si>
    <t>Dioleskan tipis-tipis secara merata pada bagian yang sakit.</t>
  </si>
  <si>
    <t>PENGGUNAAN OBAT INI HARUS SESUAI DENGAN PETUNJUK DOKTER. 2 x sehari, pagi dan malam</t>
  </si>
  <si>
    <t>INFORMASI OBAT INI HANYA UNTUK KALANGAN MEDIS. Meringankan inflamasi</t>
  </si>
  <si>
    <t>Hipersensitif terhadap gentamisin.</t>
  </si>
  <si>
    <t>HARUS DENGAN RESEP DOKTER. Hentikan terapi jika terjadi iritasi atau sensasi. Tidak untuk mata dan lapisan mukosa. Tidak untuk digunakan berlebihan dan terus menerus dalam waktu lama.</t>
  </si>
  <si>
    <t>meringankan inflamasi</t>
  </si>
  <si>
    <t>salgen plus cream</t>
  </si>
  <si>
    <t>salgen plus cream krim betamethasone valerate meringankan inflamasi</t>
  </si>
  <si>
    <t>DKL8318800338A1</t>
  </si>
  <si>
    <t>Opimox Forte Dry Sirup 60 ml</t>
  </si>
  <si>
    <t>Rp42.700 - Rp45.600</t>
  </si>
  <si>
    <t>Dapat diberikan bersama makanan. Cara mencampurkan, tambahkan air matang sebanyak 48 ml dan kocok sampai diperoleh suspensi yang homogen</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</si>
  <si>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</si>
  <si>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INFORMASI OBAT INI HANYA UNTUK KALANGAN MEDIS. Mengobati infeksi bakteri</t>
  </si>
  <si>
    <t>HARUS DENGAN RESEP DOKTER. Alergi, gangguan ginjal dan hati, wanita hamil dan menyusui. Katagori kehamilan: Kategori B: Mungkin dapat digunakan oleh wanita hamil. Penelitian pada hewan uji tidak memperlihatkan ada nya risiko terhadap janin, namun belum ada bukti penelitian langsung terhadap wanita hamil.</t>
  </si>
  <si>
    <t>mengobati infeksi bakteri</t>
  </si>
  <si>
    <t>opimox forte</t>
  </si>
  <si>
    <t>opimox forte sirup amoxicillin trihydrate mengobati infeksi bakteri</t>
  </si>
  <si>
    <t>DKL0934608529A1</t>
  </si>
  <si>
    <t>Evalen Cream 10 g</t>
  </si>
  <si>
    <t>Rp45.400 - Rp72.200</t>
  </si>
  <si>
    <t>Oleskan pada area yang sakit</t>
  </si>
  <si>
    <t>PENGGUNAAN OBAT INI HARUS SESUAI DENGAN PETUNJUK DOKTER. Satu kali sehari pada malam hari setelah kulit dibersihkan.</t>
  </si>
  <si>
    <t>INFORMASI OBAT INI HANYA UNTUK KALANGAN MEDIS. Untuk pengobatan acne vulgaris.</t>
  </si>
  <si>
    <t>Hipersensitif terhadap adapalene atau salah satu komponen produk ini.</t>
  </si>
  <si>
    <t>HARUS DENGAN RESEP DOKTER. Tidak untuk aplikasi pada kulit yang rusak, terbakar sinar matahari atau eksim. Kehamilan dan menyusui. Kategori C: Mungkin berisiko. Obat digunakan dengan hati-hati apabila besarnya manfaat yang diperoleh melebihi besarnya risiko terhadap janin. Penelitian pada hewan uji menunjukkan risiko terhadap janin dan belum terdapat penelitian langsung terhadap wanita hamil.</t>
  </si>
  <si>
    <t>untuk pengobatan acne vulgaris</t>
  </si>
  <si>
    <t>evalen cream</t>
  </si>
  <si>
    <t>evalen cream krim adapalene untuk pengobatan acne vulgaris</t>
  </si>
  <si>
    <t>DKI9967600146A1</t>
  </si>
  <si>
    <t>Kary Uni 0.05 mg/ml Eye Drops 5 ml</t>
  </si>
  <si>
    <t>Rp57.700 - Rp62.900</t>
  </si>
  <si>
    <t>PENGGUNAAN OBAT INI HARUS SESUAI DENGAN PETUNJUK DOKTER. 3-5 kali sehari 1-2 tetes</t>
  </si>
  <si>
    <t>Permulaan katarak senilis</t>
  </si>
  <si>
    <t>Dus, 1 Botol @ 5 ml</t>
  </si>
  <si>
    <t>pirenoxine</t>
  </si>
  <si>
    <t>permulaan katarak senilis</t>
  </si>
  <si>
    <t>kary uni eye</t>
  </si>
  <si>
    <t>kary uni eye tetes pirenoxine permulaan katarak senilis</t>
  </si>
  <si>
    <t>chloramphenicol lidocaine hydrochloride</t>
  </si>
  <si>
    <t>colme eye tetes chloramphenicol lidocaine hydrochloride infeksi mata</t>
  </si>
  <si>
    <t>DKL1428207137A1</t>
  </si>
  <si>
    <t>Simdes Sirup 60 ml</t>
  </si>
  <si>
    <t>Rp93.400 - Rp124.900</t>
  </si>
  <si>
    <t>Dapat diberikan dengan atau tanpa makanan.</t>
  </si>
  <si>
    <t>PENGGUNAAN OBAT INI HARUS SESUAI DENGAN PETUNJUK DOKTER. Dewasa &amp; remaja ? 12 tahun: 10 ml sekali sehari Anak 6-11 tahun: 5 ml sekali sehari Anak 1-5 tahun: 2,5 ml sekali sehari Tidak direkomendasikan untuk anak di bawah usia 1 tahun.</t>
  </si>
  <si>
    <t>HARUS DENGAN RESEP DOKTER. Tidak direkomendasikan selama kehamilan dan menyusui.</t>
  </si>
  <si>
    <t>simdes</t>
  </si>
  <si>
    <t>simdes sirup desloratadine  rhinitis alergika  urtikaria idiopatik kronis</t>
  </si>
  <si>
    <t>DKL0615619737A1</t>
  </si>
  <si>
    <t>Proceles Sirup 60 ml</t>
  </si>
  <si>
    <t>Rp30.900 - Rp49.800</t>
  </si>
  <si>
    <t>Diberikan bersama makanan</t>
  </si>
  <si>
    <t>PENGGUNAAN OBAT INI HARUS SESUAI DENGAN PETUNJUK DOKTER. Dewasa dan anak &gt; 12 tahun: 4 x sehari 1-2 sdtk</t>
  </si>
  <si>
    <t>DKL0615619910A1</t>
  </si>
  <si>
    <t>Proceles 10 Tablet</t>
  </si>
  <si>
    <t>Rp15.900 - Rp21.500</t>
  </si>
  <si>
    <t>DKL0916910504A1</t>
  </si>
  <si>
    <t>Omecidal 50 mg 10 Kaplet</t>
  </si>
  <si>
    <t>Rp7.200 - Rp11.000</t>
  </si>
  <si>
    <t>PENGGUNAAN OBAT INI HARUS SESUAI DENGAN PETUNJUK DOKTER. Dewasa : 100 mg-300 mg sehari dalam dosis terbagi. Anak-anak 6-12 tahun : 100 mg-200 mg sehari dalam dosis terbagi. Atau menurut petunjuk dokter</t>
  </si>
  <si>
    <t>INFORMASI OBAT INI HANYA UNTUK KALANGAN MEDIS. Digunakan untuk pengobatan terhadap penyakit alergi</t>
  </si>
  <si>
    <t>Adenoma prostat yang terkait dengan retensi urin, glaukoma sudut sempit, serangan asma akut, bayi prematur.</t>
  </si>
  <si>
    <t>Obat Wajib Apotek, Obat ini dapat dibeli dan diserahkan apoteker tanpa resep dengan maksimum 2 Strip. Pembelian melebihi batas ini WAJIB RESEP DOKTER. Dapat menyebabkan mengurangi kesadaran, disarankan untuk tidak berkendara setelah konsumsi obat tersebut</t>
  </si>
  <si>
    <t>digunakan pengobatan penyakit alergi</t>
  </si>
  <si>
    <t>omecidal</t>
  </si>
  <si>
    <t>omecidal kaplet mebhydrolin napadisilate digunakan pengobatan penyakit alergi</t>
  </si>
  <si>
    <t>DKL9117801937A1</t>
  </si>
  <si>
    <t>Nilacelin Syrup 60 ml</t>
  </si>
  <si>
    <t>Rp30.000 - Rp39.100</t>
  </si>
  <si>
    <t>PENGGUNAAN OBAT INI HARUS SESUAI DENGAN PETUNJUK DOKTER. Anak usia 2 - 6 tahun: diminum 3 x sehari 0.25 - 0.5 sendok takar. Anak Usia 6 - 12 Tahun: diminum 3 x sehari 0.5 - 1 sendok takar. Dewasa: diminum 3-4 x sehari 1 - 2 sendok takar. Maksimal: 8 sendok takar per hari.</t>
  </si>
  <si>
    <t>INFORMASI OBAT INI HANYA UNTUK KALANGAN MEDIS. Alergi pada saluran pernapasan, kulit dan mata</t>
  </si>
  <si>
    <t>HARUS DENGAN RESEP DOKTER. Hentikan terapi bila terjadi iritasi atau sensitisasi. Penggunaan yang lama dan luas, hamil, bayi, anak &lt;12 tahun. Hindari kontak dengan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</si>
  <si>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nilacelin</t>
  </si>
  <si>
    <t>nilacelin sirup betamethasone alergi saluran pernapasan  kulit mata</t>
  </si>
  <si>
    <t>DKL1431535517A1</t>
  </si>
  <si>
    <t>L-Falergi 5 mg 10 Tablet</t>
  </si>
  <si>
    <t>Rp71.200 - Rp85.400</t>
  </si>
  <si>
    <t>Rinitis alergi tahunan dan musiman</t>
  </si>
  <si>
    <t>rinitis alergi tahunan musiman</t>
  </si>
  <si>
    <t>lfalergi</t>
  </si>
  <si>
    <t>lfalergi tablet levocetirizine hydrochloride rinitis alergi tahu musiman</t>
  </si>
  <si>
    <t>TR022617551</t>
  </si>
  <si>
    <t>Ika Sariawan 120 ml</t>
  </si>
  <si>
    <t>IKA SARIAWAN</t>
  </si>
  <si>
    <t>Dapat ditelan. Tuangkan cairan kumur sesuai dosis takaran pada gelas takar dan berkumurlah.</t>
  </si>
  <si>
    <t>Dewasa : 45 ml cairan (3 sendok makan @ 15 mL), 3-4 kali sehari. Anak-anak : 15 ml cairan (1 sendok makan @ 15 mL), 2 kali sehari.</t>
  </si>
  <si>
    <t>Mambantu meringankan sariawan, membantu menyegarkan mulut.</t>
  </si>
  <si>
    <t>Simpan di tempat kering pada suhu dibawah 30 C. Terhindar dari sinar matahari langsung.</t>
  </si>
  <si>
    <t>ika sariawan</t>
  </si>
  <si>
    <t>mambantu meringankan sariawan , membantu menyegarkan mulut</t>
  </si>
  <si>
    <t>ika sariawan  mambantu meringankan sariawan  membantu menyegarkan mulut</t>
  </si>
  <si>
    <t>DKL9905029237A2</t>
  </si>
  <si>
    <t>Colergis Sirup 60 ml</t>
  </si>
  <si>
    <t>Rp62.000 - Rp74.800</t>
  </si>
  <si>
    <t>PENGGUNAAN OBAT INI HARUS SESUAI DENGAN PETUNJUK DOKTER. Dosis dewasa dan anak &gt;12 tahun : 1 sendok takar (5 ml) setiap 4-6 jam, tidak lebih dari 6 sendok takar sehari. Dosis anak 6 - 12 tahun : 1/2 sendok takar (2.5 ml) setiap 4-6 jam, tidak lebih dari 3 sendok takar sehari. Dosis anak 2 - 6 tahun : 1/4 sendok takar (1.25 ml) setiap 4-6 jam, tidak lebih dari 1 sendok takar sehari.</t>
  </si>
  <si>
    <t>INFORMASI OBAT INI HANYA UNTUK KALANGAN MEDIS. Kondisi Alergi yang membutuhkan terapi Kortikosteroid</t>
  </si>
  <si>
    <t>Hipersensitif, tidak untuk bayi baru lahir, premature, infeksi jalur sistemik, imunisasi, tukak peptik, kehamilan dan menyusui.</t>
  </si>
  <si>
    <t>HARUS DENGAN RESEP DOKTER. Hindari penggunaan dosis tinggi jangka panjang terutama pada bayi &amp; anak. Dapat mengganggu kemampuan mengemudi atau mengoperasikan mesin. Hipotiroid/sirosis, infark miokard, asma, psikosis, hipertensi, ggn hati, ggn tromboemboli, insufisiensi ginjal, osteoporesis, herpes simplek okular, peningkatan TIO, kejang, divertikulitis, kolitis ulseratif, anastomosis intestinal</t>
  </si>
  <si>
    <t>DKL9131102604A1</t>
  </si>
  <si>
    <t>Grafachlor 10 Kaplet</t>
  </si>
  <si>
    <t>Rp3.500 - Rp4.200</t>
  </si>
  <si>
    <t>PENGGUNAAN OBAT INI HARUS SESUAI DENGAN PETUNJUK DOKTER. Dosis awal: 0,075-9,0 mg per hari, diikuti dengan pengurangan dosis bertahap hingga dosis minimal. atau menurut petunjuk dokter.</t>
  </si>
  <si>
    <t>INFORMASI OBAT INI HANYA UNTUK KALANGAN MEDIS. Untuk mengatasi kasus alergi di mana diperlukan terapi dengan kortikosteroid</t>
  </si>
  <si>
    <t>hipersensitivitas, hamil, menyusui, tekanan darah sistolik &lt;100 mmhg</t>
  </si>
  <si>
    <t>HARUS DENGAN RESEP DOKTER. Hipertensi, DM (diabetes melitus), gagal ginjal kronik, penyakit infeksi, osteoporosis Kategori Kehamilan : C, D untuk kehamilan semester 1</t>
  </si>
  <si>
    <t>untuk mengatasi alergi terapi kortikosteroid</t>
  </si>
  <si>
    <t>grafachlor</t>
  </si>
  <si>
    <t>grafachlor kaplet dexamethasone untuk mengatasi alergi terapi kortikosteroid</t>
  </si>
  <si>
    <t>lfalergi tablet levocetirizine dihydrochloride rinitis alergi tahu musiman</t>
  </si>
  <si>
    <t>DKI0487101137A1</t>
  </si>
  <si>
    <t>Aerius Sirup 60 ml</t>
  </si>
  <si>
    <t>PENGGUNAAN OBAT INI HARUS SESUAI DENGAN PETUNJUK DOKTER. Dewasa dan anak berusia 12 tahun ke atas : 5 mg sekali sehari.</t>
  </si>
  <si>
    <t>INFORMASI OBAT INI HANYA UNTUK KALANGAN MEDIS. Alergi rinitis, urtikaria idiopatik kronik</t>
  </si>
  <si>
    <t>HARUS DENGAN RESEP DOKTER. Jangan diberikan pada ibu menyusui karena dapat menmbus ke air susu</t>
  </si>
  <si>
    <t>alergi rinitis , urtikaria idiopatik kronik</t>
  </si>
  <si>
    <t>aerius</t>
  </si>
  <si>
    <t>aerius sirup desloratadine alergi rinitis  urtikaria idiopatik kronik</t>
  </si>
  <si>
    <t>DKL9431104210A1</t>
  </si>
  <si>
    <t>Graperide 4 mg 10 Tablet</t>
  </si>
  <si>
    <t>Rp1.900 - Rp2.900</t>
  </si>
  <si>
    <t>PENGGUNAAN OBAT INI HARUS SESUAI DENGAN PETUNJUK DOKTER. Dewasa 4-20 mg, tidak lebih dari 32 mg,, anak 2-6 tahun 3 xsehari 1/2 tab, tidak lebih dari 8 mg, anak 7-12 tahun 3xsehari 1 tab tidak lebih dari 16 mg</t>
  </si>
  <si>
    <t>Alergi seperti pruritis,cold urticaria</t>
  </si>
  <si>
    <t>Bayi baru lahir, prematur, hamil,glaukoma,asma, hipersensitif,ggn pernafasan</t>
  </si>
  <si>
    <t>alergi pruritis , cold urticaria</t>
  </si>
  <si>
    <t>graperide</t>
  </si>
  <si>
    <t>graperide tablet cyproheptadine hydrochloride alergi pruritis  cold urticaria</t>
  </si>
  <si>
    <t>DKL8522204517A1</t>
  </si>
  <si>
    <t>Histapan 50mg 10 Tablet</t>
  </si>
  <si>
    <t>Rp9.000 - Rp11.300</t>
  </si>
  <si>
    <t>INFORMASI OBAT INI HANYA UNTUK KALANGAN MEDIS. Histapan digunakan untuk pengobatan terhadap penyakit alergi</t>
  </si>
  <si>
    <t>Dus, 10 Strip @ 10 Tablet salut selaput</t>
  </si>
  <si>
    <t>Obat Wajib Apotek, Obat ini dapat dibeli dan diserahkan apoteker tanpa resep dengan maksimum 2 Strip. Pembelian melebihi batas ini WAJIB RESEP DOKTER. Mengurangi kesadaran, disarankan untuk tidak berkendara setelah konsumsi obat tersebut</t>
  </si>
  <si>
    <t>histapan pengobatan penyakit alergi</t>
  </si>
  <si>
    <t>histapan</t>
  </si>
  <si>
    <t>histapan tablet mebhydrolin napadisilate histapan pengobatan penyakit alergi</t>
  </si>
  <si>
    <t>DKL9609206704A1</t>
  </si>
  <si>
    <t>Polofar Plus 10 Kaplet</t>
  </si>
  <si>
    <t>Rp5.500 - Rp6.300</t>
  </si>
  <si>
    <t>PENGGUNAAN OBAT INI HARUS SESUAI DENGAN PETUNJUK DOKTER. Dewasa dan anak &gt; 12 tahun : Awal 1 kaplet per hari setiap 4-6 jam setelah makan dan sebelum tidur</t>
  </si>
  <si>
    <t>INFORMASI OBAT INI HANYA UNTUK KALANGAN MEDIS. Untuk alergi yang memerlukan terapi dengan kortikosteroid</t>
  </si>
  <si>
    <t>Penderita osteoporosis, hipersensitif, penderita tukak lambung.</t>
  </si>
  <si>
    <t>HARUS DENGAN RESEP DOKTER. Menderita tukak peptik dan infeksi jamur, riwayat hipertensi, diabetes mellitus, gagal ginjal kronik, penyakit infeksi, osteoporosis, wanita hamil dan menyusui.</t>
  </si>
  <si>
    <t>untuk alergi terapi kortikosteroid</t>
  </si>
  <si>
    <t>polofar plus</t>
  </si>
  <si>
    <t>polofar plus kaplet dexamethasone untuk alergi terapi kortikosteroid</t>
  </si>
  <si>
    <t>QI144509151</t>
  </si>
  <si>
    <t>Strepsil Cool Menthol 8 Tablet</t>
  </si>
  <si>
    <t>Rp21.100 - Rp21.300</t>
  </si>
  <si>
    <t>Dihisap</t>
  </si>
  <si>
    <t>Untuk melegakan tenggorokan</t>
  </si>
  <si>
    <t>Dus, 12 Aluminium Foil @ 8 Tablet Hisap</t>
  </si>
  <si>
    <t>amylmetacresol</t>
  </si>
  <si>
    <t>untuk melegakan tenggorokan</t>
  </si>
  <si>
    <t>strepsil cool menthol</t>
  </si>
  <si>
    <t>strepsil cool menthol tablet amylmetacresol untuk melegakan tenggorokan</t>
  </si>
  <si>
    <t>DBL1433530837A1</t>
  </si>
  <si>
    <t>Constuloz Sirup 120 ml</t>
  </si>
  <si>
    <t>Konstipasi Dewasa: Ensefalopati hepatik Dosis awal: 30-50 ml sebanyak 3 kali/hari Dosis perawatan: 10 ml/hari</t>
  </si>
  <si>
    <t>Konstipasi Kronik dan Ensefalopati Portal Sistemik</t>
  </si>
  <si>
    <t>konstipasi kronik ensefalopati portal sistemik</t>
  </si>
  <si>
    <t>constuloz</t>
  </si>
  <si>
    <t>constuloz sirup lactulose konstipasi kronik ensefalopati portal sistemik</t>
  </si>
  <si>
    <t>DKL1934614746A1</t>
  </si>
  <si>
    <t>Molcin Eye Drops 3 ml</t>
  </si>
  <si>
    <t>Rp110.200 - Rp128.100</t>
  </si>
  <si>
    <t>PENGGUNAAN OBAT INI HARUS SESUAI DENGAN PETUNJUK DOKTER. Diberikan 1 tetes pada mata yang sakit 3 kali sehari selama 7-14 hari. Dapat ditingkatkan sampai 8 kali sehari tergantung dari gejala klinis</t>
  </si>
  <si>
    <t>Terapi keratitis bakterial</t>
  </si>
  <si>
    <t>Dus, 1 botol @ 3 ml</t>
  </si>
  <si>
    <t>terapi keratitis bakterial</t>
  </si>
  <si>
    <t>molcin eye</t>
  </si>
  <si>
    <t>molcin eye tetes moxifloxacin hydrochloride terapi keratitis bakterial</t>
  </si>
  <si>
    <t>DBL8709303937A1</t>
  </si>
  <si>
    <t>Lactulax Sirup 120 ml</t>
  </si>
  <si>
    <t>Rp84.100 - Rp102.900</t>
  </si>
  <si>
    <t>Sebelum atau sesudah makan, dapat diberikan bersama makanan untuk mengurangi ketidak-nyamanan pencernaan. Sebaiknya diminum pada waktu sarapan.</t>
  </si>
  <si>
    <t>Chronic Constipation/Konstipasi khronik : Dosis awal selama 3 hari pertama : Dewasa : 3-9 sendok takar 5 cc, Anak 5-14 tahun : 3 sendok takar 5 cc, Anak 1-5 tahun : 1-2 sendok takar 5 cc, Bayi &lt; 1 tahun : 1 sendok takar 5 cc Dosi</t>
  </si>
  <si>
    <t>Konstipasi kronik dan Ensefalopati Portal Sistemik</t>
  </si>
  <si>
    <t>Galaktosaemia, obstruksi Gastro Intestinal, perforasi pencernaan atau risiko perforasi pencernaan. Pasien dengan diet galaktosa rendah.</t>
  </si>
  <si>
    <t>Diabetes, galaktosemia.</t>
  </si>
  <si>
    <t>lactulax</t>
  </si>
  <si>
    <t>lactulax sirup lactulose konstipasi kronik ensefalopati portal sistemik</t>
  </si>
  <si>
    <t>DKI1867601046A1</t>
  </si>
  <si>
    <t>Diquas 5 ml</t>
  </si>
  <si>
    <t>Diteteskan pada mata yang kering</t>
  </si>
  <si>
    <t>1 tetes, 6 kali sehari</t>
  </si>
  <si>
    <t>Digunakan untuk mengatasi mata kering</t>
  </si>
  <si>
    <t>diquafosol sodium</t>
  </si>
  <si>
    <t>digunakan mengatasi mata kering</t>
  </si>
  <si>
    <t>diquas</t>
  </si>
  <si>
    <t>diquas tetes diquafosol sodium digunakan mengatasi mata kering</t>
  </si>
  <si>
    <t>DKL7803814631A1</t>
  </si>
  <si>
    <t>Cendo Fenicol 1% Salep Mata 3.5 g</t>
  </si>
  <si>
    <t>Rp28.400 - Rp34.400</t>
  </si>
  <si>
    <t>PENGGUNAAN OBAT INI HARUS SESUAI DENGAN PETUNJUK DOKTER. Sesuai petunjuk dokter</t>
  </si>
  <si>
    <t>INFORMASI OBAT INI HANYA UNTUK KALANGAN MEDIS. Konjungtivitis karena infeksi E</t>
  </si>
  <si>
    <t>Tube @ 3.5 g</t>
  </si>
  <si>
    <t>Penderita yang hipersensitif terhadap Chloramphenicol</t>
  </si>
  <si>
    <t>Obat Wajib Apotek, Obat ini dapat dibeli dan diserahkan apoteker tanpa resep dengan maksimum 1 Tube. Pembelian melebihi batas ini WAJIB RESEP DOKTER. menyusui, hamil, fungsi ginjal yang buruk, neonatus, bayi prematur</t>
  </si>
  <si>
    <t>konjungtivitis infeksi e</t>
  </si>
  <si>
    <t>cendo fenicol mata</t>
  </si>
  <si>
    <t>cendo fenicol mata salep chloramphenicol konjungtivitis infeksi e</t>
  </si>
  <si>
    <t>QI144509121</t>
  </si>
  <si>
    <t>Strepsil Vitamin C 8 Tablet</t>
  </si>
  <si>
    <t>Untuk pelega tenggorokan</t>
  </si>
  <si>
    <t>Dus, 2 Aluminium foil @ 8 Tablet</t>
  </si>
  <si>
    <t>untuk pelega tenggorokan</t>
  </si>
  <si>
    <t>strepsil vitamin c</t>
  </si>
  <si>
    <t>strepsil vitamin c tablet amylmetacresol untuk pelega tenggorokan</t>
  </si>
  <si>
    <t>DKL7803809346B1</t>
  </si>
  <si>
    <t>Cendo Fenicol 0.5% Eye Drops 5 ml</t>
  </si>
  <si>
    <t>Rp43.500 - Rp47.900</t>
  </si>
  <si>
    <t>PENGGUNAAN OBAT INI HARUS SESUAI DENGAN PETUNJUK DOKTER. Dewasa dan anak : 1-2 tetes 3 kali sehari</t>
  </si>
  <si>
    <t>Botol 5 ml</t>
  </si>
  <si>
    <t>Obat Wajib Apotek, Obat ini dapat dibeli dan diserahkan apoteker tanpa resep dengan maksimum 1 Botol. Pembelian melebihi batas ini WAJIB RESEP DOKTER. -</t>
  </si>
  <si>
    <t>cendo fenicol eye</t>
  </si>
  <si>
    <t>cendo fenicol eye tetes chloramphenicol konjungtivitis infeksi e</t>
  </si>
  <si>
    <t>visto tetes tetrahydrozoline hydrochloride meringankan iritasi mata merah</t>
  </si>
  <si>
    <t>DKL7803810946A1</t>
  </si>
  <si>
    <t>Cendo Natacen Minidose 0.6 ml</t>
  </si>
  <si>
    <t>Rp37.200 - Rp59.300</t>
  </si>
  <si>
    <t>Teteskan pada mata yang sakit</t>
  </si>
  <si>
    <t>PENGGUNAAN OBAT INI HARUS SESUAI DENGAN PETUNJUK DOKTER. Atas petunjuk dokter</t>
  </si>
  <si>
    <t>Tetes mata steril</t>
  </si>
  <si>
    <t>Minidose 0.6 ml X 5</t>
  </si>
  <si>
    <t>natamycin</t>
  </si>
  <si>
    <t>tetes mata steril</t>
  </si>
  <si>
    <t>cendo natacen minidose</t>
  </si>
  <si>
    <t>cendo natacen minidose tetes natamycin tetes mata steril</t>
  </si>
  <si>
    <t>oxymetazoline hydrochloride</t>
  </si>
  <si>
    <t>cendo asthenof minidose tetes oxymetazoline hydrochloride radang mata</t>
  </si>
  <si>
    <t>DBL0938200537A1</t>
  </si>
  <si>
    <t>Constipen Sirup 120 ml</t>
  </si>
  <si>
    <t>Rp82.100 - Rp105.600</t>
  </si>
  <si>
    <t>PENGGUNAAN OBAT INI HARUS SESUAI DENGAN PETUNJUK DOKTER. Konstipasi kronis Dosis permulaan untuk 3 hari pertama: Dewasa 15-45 ml. Anak 5-14 tahun 15 ml, 1-5 tahun 5-10 ml. Bayi &lt; 1 tahun 5 ml. Dosis pemeliharaan sehari: Dewasa 10-25 ml. Anak 5-14 tahun 10 ml. 1-5 tahun 5-10 ml. Bayi &lt; 1 tahun 5 ml. Ensefalopati portal sistemik Dosis permulaan: 3 x sehari 30-50 ml.</t>
  </si>
  <si>
    <t>Konstipasi kronis,ensefalopati portal sistemik.</t>
  </si>
  <si>
    <t>botol 120 ml</t>
  </si>
  <si>
    <t>konstipasi kronis , ensefalopati portal sistemik</t>
  </si>
  <si>
    <t>constipen</t>
  </si>
  <si>
    <t>constipen sirup lactulose konstipasi kronis  ensefalopati portal sistemik</t>
  </si>
  <si>
    <t>DKL1319930717A1</t>
  </si>
  <si>
    <t>Pro TB-2 28 Tablet</t>
  </si>
  <si>
    <t>Rp199.700 - Rp262.400</t>
  </si>
  <si>
    <t>Sebaiknya diberikan pada saat perut kosong: Berikan sekurang-kurangnya Â½ jam sblm makan.</t>
  </si>
  <si>
    <t>PENGGUNAAN OBAT INI HARUS SESUAI DENGAN PETUNJUK DOKTER. Pasien dalam fase lanjut dengan BB &lt;30 kg Konsultasikan dengan dokter, BB 30-37 kg 2 tab</t>
  </si>
  <si>
    <t>DKL0527804237A1</t>
  </si>
  <si>
    <t>Pyravit Sirup 110 ml</t>
  </si>
  <si>
    <t>Rp47.400 - Rp54.500</t>
  </si>
  <si>
    <t>Paling baik diberikan pada saat perut kosong, 1 jam sblm atau 2 jam sesudah makan. Dpt diberikan bersama makanan untuk mengurangi rasa tidak nyaman pada GI</t>
  </si>
  <si>
    <t>PENGGUNAAN OBAT INI HARUS SESUAI DENGAN PETUNJUK DOKTER. Terapi Dws 5-10 mg/kgBB/hari. Maks: 300 mg/hari. Anak 10-20 mg/kgBB/hari. Maks: 300 mg/hari. Profilaksis 10 mg/kgBB/hari.</t>
  </si>
  <si>
    <t>Pencegahan &amp; pengobatan TB pulmoner &amp; ekstrapulmoner</t>
  </si>
  <si>
    <t>HARUS DENGAN RESEP DOKTER. Gangguan fungsi hati &amp; ginjal. Obat hepatotoksik. Kejang, DM, alkoholisme kronik, hamil, laktasi</t>
  </si>
  <si>
    <t>pencegahan pengobatan tb pulmoner ekstrapulmoner</t>
  </si>
  <si>
    <t>pyravit</t>
  </si>
  <si>
    <t>pyravit sirup isoniazid pencegahan pengobatan tb pulmoner ekstrapulmoner</t>
  </si>
  <si>
    <t>placenta extract cyanocobalamin tribasic calcium phosphate</t>
  </si>
  <si>
    <t xml:space="preserve">milmor tablet placenta extract cyanocobalamin tribasic calcium phosphate </t>
  </si>
  <si>
    <t>TR062363951</t>
  </si>
  <si>
    <t>Borobudur Kattuk 30 Kapsul</t>
  </si>
  <si>
    <t>KATTUK</t>
  </si>
  <si>
    <t>Rp27.000 - Rp63.700</t>
  </si>
  <si>
    <t>3 kali sehari @ 2 kapsul.</t>
  </si>
  <si>
    <t>kattuk</t>
  </si>
  <si>
    <t>borobudur kattuk</t>
  </si>
  <si>
    <t>borobudur kattuk kapsul kattuk membantu melancarkan air susu</t>
  </si>
  <si>
    <t>TR193333871</t>
  </si>
  <si>
    <t>Top Up 30 Kapsul</t>
  </si>
  <si>
    <t>TOP UP</t>
  </si>
  <si>
    <t>3 kali sehari 2 kapsul</t>
  </si>
  <si>
    <t>Secara tradisional digunakan untuk membantu memelihara stamina.</t>
  </si>
  <si>
    <t>top up</t>
  </si>
  <si>
    <t>secara tradisional membantu memelihara stamen</t>
  </si>
  <si>
    <t>top up kapsul secara tradisional membantu memelihara stamen</t>
  </si>
  <si>
    <t>TR192333881</t>
  </si>
  <si>
    <t>Sancoidan 10 Kapsul</t>
  </si>
  <si>
    <t>SANCOIDANÂ®.</t>
  </si>
  <si>
    <t>sancoidanÂ®</t>
  </si>
  <si>
    <t>sancoidan kapsul sancoidan membantu memelihara daya tahan tubuh</t>
  </si>
  <si>
    <t>TR143380571</t>
  </si>
  <si>
    <t>Forsendi 60 Kapsul</t>
  </si>
  <si>
    <t>FORSENDI</t>
  </si>
  <si>
    <t>Rp232.400 - Rp258.500</t>
  </si>
  <si>
    <t>Membantu meredakan pegal linu dan nyeri sendi</t>
  </si>
  <si>
    <t>Tidak untuk wanita hamil dan menyusui</t>
  </si>
  <si>
    <t>forsendi</t>
  </si>
  <si>
    <t>membantu meredakan pegal linu nyeri sendi</t>
  </si>
  <si>
    <t>forsendi kapsul membantu meredakan pegal linu nyeri sendi</t>
  </si>
  <si>
    <t>DBL0204518236A1</t>
  </si>
  <si>
    <t>Naprex Drops 15 ml</t>
  </si>
  <si>
    <t>Rp58.000 - Rp61.200</t>
  </si>
  <si>
    <t>Anak 1-2 tahun: 0.6-1.2 mL. Anak &lt; 1 tahun : 0.6 mL. Diberikan 3-4 x sehari dengan interval 4-6 jam</t>
  </si>
  <si>
    <t>Menurunkan demam dan mengurangi rasa sakit/nyeri</t>
  </si>
  <si>
    <t>Gangguan fungsi hati berat</t>
  </si>
  <si>
    <t>Gangguan ginjal</t>
  </si>
  <si>
    <t>menurunkan demam mengurangi sakit nyeri</t>
  </si>
  <si>
    <t>naprex</t>
  </si>
  <si>
    <t>naprex tetes paracetamol menurunkan demam mengurangi sakit nyeri</t>
  </si>
  <si>
    <t>DBL0332708709A1</t>
  </si>
  <si>
    <t>Rindobion 5000 Kaplet</t>
  </si>
  <si>
    <t>Rp2.300 - Rp3.700</t>
  </si>
  <si>
    <t>Sebaiknya diberikan bersama makanan : Berikan ssdh makan.</t>
  </si>
  <si>
    <t>1 kali sehari 1 kaplet.</t>
  </si>
  <si>
    <t>Defisiensi vitamin B1, B6 dan B12</t>
  </si>
  <si>
    <t>Dus, 10 strip @ 10 Kaplet salut selaput</t>
  </si>
  <si>
    <t>defisiensi vitamin b1 , b6 b12</t>
  </si>
  <si>
    <t>rindobion</t>
  </si>
  <si>
    <t>rindobion kaplet cyanocobalamin defisiensi vitamin b1  b6 b12</t>
  </si>
  <si>
    <t>DBL0435300809B1</t>
  </si>
  <si>
    <t>Nerva 5000 mcg 10 Kaplet</t>
  </si>
  <si>
    <t>Sebelum atau sesudah makan, dapat bersama makanan bila timbul ketidaknyamanan saluran cerna.</t>
  </si>
  <si>
    <t>1 x sehari 1 kaplet</t>
  </si>
  <si>
    <t>Defisiensi vit.B1, B6 &amp; B12</t>
  </si>
  <si>
    <t>Box Isi 5 Strip X 10 Kaplet Salut</t>
  </si>
  <si>
    <t>Tidak dianjurkan untuk pasien yang sedang mendapat terapi levodopa</t>
  </si>
  <si>
    <t>defisiensi vit  b1 , b6 b12</t>
  </si>
  <si>
    <t>nerva</t>
  </si>
  <si>
    <t>nerva kaplet cyanocobalamin defisiensi vit  b1  b6 b12</t>
  </si>
  <si>
    <t>DBL1017624936A1</t>
  </si>
  <si>
    <t>Pamol Drop 15 ml</t>
  </si>
  <si>
    <t>Dosis: Anak 6-12 thn : 3 x sehari 10-20 mL, anak 1-5 thn : 3 x sehari 5-10 mL, anak &lt;1 thn : 3 x sehari 2.5-5 mL.</t>
  </si>
  <si>
    <t>Pereda nyeri dan penurun demam</t>
  </si>
  <si>
    <t>hipersensistif, gangguan fungsi hati dan ginjal.</t>
  </si>
  <si>
    <t>Hentikan penggunaan bila terjadi reaksi alergi. Hati-hati pada pasien yang mempunyai penyakit asma. Hati-hati penggunaan pada pasien dengan gangguan fungsi hati dan ginjal.</t>
  </si>
  <si>
    <t>pereda nyeri penurun demam</t>
  </si>
  <si>
    <t>pamol drop</t>
  </si>
  <si>
    <t>pamol drop tetes paracetamol pereda nyeri penurun demam</t>
  </si>
  <si>
    <t>TR082482031</t>
  </si>
  <si>
    <t>Borobudur Ideal 100 Pil</t>
  </si>
  <si>
    <t>IDEAL</t>
  </si>
  <si>
    <t>Rp5.200 - Rp9.400</t>
  </si>
  <si>
    <t>sebelum tidur malam</t>
  </si>
  <si>
    <t>1 kali sehari @ 5 pil.</t>
  </si>
  <si>
    <t>Membantu mengurangi lemak tubuh</t>
  </si>
  <si>
    <t>Botol @ 100 Pil</t>
  </si>
  <si>
    <t>Penggunaan produk ini harus disertai olahraga teratur dan diet rendah kalori dan rendah lemak.</t>
  </si>
  <si>
    <t>ideal</t>
  </si>
  <si>
    <t>membantu mengurangi lemak tubuh</t>
  </si>
  <si>
    <t>borobudur ideal</t>
  </si>
  <si>
    <t>borobudur ideal pil ideal membantu mengurangi lemak tubuh</t>
  </si>
  <si>
    <t>levonorgestrel ethinylestradiol</t>
  </si>
  <si>
    <t>cyclogynon tablet levonorgestrel ethinylestradiol kontrasepsi oral mencegah kehamilan</t>
  </si>
  <si>
    <t>TR103614241</t>
  </si>
  <si>
    <t>Scorpio Minyak Sereh 60 ml</t>
  </si>
  <si>
    <t>MINYAK SEREH WANGI CAP SCORPIO</t>
  </si>
  <si>
    <t>Rp9.700 - Rp17.400</t>
  </si>
  <si>
    <t>minyak sereh wangi cap scorpio</t>
  </si>
  <si>
    <t>scorpio sereh</t>
  </si>
  <si>
    <t xml:space="preserve">scorpio sereh minyak minyak sereh wangi cap scorpio </t>
  </si>
  <si>
    <t>Scorpio Minyak Sereh 30 ml</t>
  </si>
  <si>
    <t>Rp5.400 - Rp10.300</t>
  </si>
  <si>
    <t>Scorpio Minyak Sereh 100 ml</t>
  </si>
  <si>
    <t>Rp15.700 - Rp26.400</t>
  </si>
  <si>
    <t>QD062606521</t>
  </si>
  <si>
    <t>Param Kocok Pusaka Ekstra Panas 60 ml</t>
  </si>
  <si>
    <t>Rp11.400 - Rp12.000</t>
  </si>
  <si>
    <t>cinnamomi burmannii cortex</t>
  </si>
  <si>
    <t>param kocok pusaka ekstra panas</t>
  </si>
  <si>
    <t xml:space="preserve">param kocok pusaka ekstra panas  cinnamomi burmannii cortex </t>
  </si>
  <si>
    <t>QL202658271</t>
  </si>
  <si>
    <t>Euca Roll On 8 ml</t>
  </si>
  <si>
    <t>- Eucalyptus Oil 80% Globulus</t>
  </si>
  <si>
    <t>Dus, Botol kaca roll on @ 8 ml</t>
  </si>
  <si>
    <t>eucalyptus oil 80% globulus</t>
  </si>
  <si>
    <t>euca roll on</t>
  </si>
  <si>
    <t xml:space="preserve">euca roll on roll eucalyptus oil 80 globulus </t>
  </si>
  <si>
    <t>TR162692061</t>
  </si>
  <si>
    <t>Cap Gajah Minyak Seree 60 ml</t>
  </si>
  <si>
    <t>MINYAK SEREE CAP GAJAH</t>
  </si>
  <si>
    <t>Rp9.300 - Rp12.300</t>
  </si>
  <si>
    <t>minyak seree cap gajah</t>
  </si>
  <si>
    <t>cap gajah seree</t>
  </si>
  <si>
    <t xml:space="preserve">cap gajah seree minyak minyak seree cap gajah </t>
  </si>
  <si>
    <t>Cap Gajah Minyak Seree 50 ml</t>
  </si>
  <si>
    <t>Cap Gajah Minyak Seree 30 ml</t>
  </si>
  <si>
    <t>Rp4.000 - Rp6.200</t>
  </si>
  <si>
    <t>TR162691191</t>
  </si>
  <si>
    <t>Cap Gajah Minyak Cengkeh 50 ml</t>
  </si>
  <si>
    <t>MINYAK CENGKEH CAP GAJAH</t>
  </si>
  <si>
    <t>Rp28.800 - Rp32.200</t>
  </si>
  <si>
    <t>minyak cengkeh cap gajah</t>
  </si>
  <si>
    <t>cap gajah cengkeh</t>
  </si>
  <si>
    <t xml:space="preserve">cap gajah cengkeh minyak minyak cengkeh cap gajah </t>
  </si>
  <si>
    <t>DKL9930409110A1</t>
  </si>
  <si>
    <t>Lioresal 10 mg 10 Tablet</t>
  </si>
  <si>
    <t>PENGGUNAAN OBAT INI HARUS SESUAI DENGAN PETUNJUK DOKTER. Dws Awal 5 mg 3 kali per hari.dapat ditingkatkan bertahap s/d dengan 5 mg tiap 3 jam. Pemeliharaan: 30-75 mg/hr atau 100-120 mg/hr utk pasien wanita.</t>
  </si>
  <si>
    <t>INFORMASI OBAT INI HANYA UNTUK KALANGAN MEDIS. Spastisitas otot rangka pada sklerosis multipel</t>
  </si>
  <si>
    <t>Disfungsi Ginjal, Dysreflexia otonom, Psikosis, Gangguan kejang, Skizofrenia, Penyakit serebrovaskular, Gagal pernapasan.</t>
  </si>
  <si>
    <t>HARUS DENGAN RESEP DOKTER. Hamil dan laktasi. Jangan mengemudi/menjalankan mesin selama terapi Kategori Kehamilan : C</t>
  </si>
  <si>
    <t>baclofen</t>
  </si>
  <si>
    <t>spastisitas otot rangka sklerosis multipel</t>
  </si>
  <si>
    <t>lioresal</t>
  </si>
  <si>
    <t>lioresal tablet baclofen spastisitas otot rangka sklerosis multipel</t>
  </si>
  <si>
    <t>DKL0211635217A1</t>
  </si>
  <si>
    <t>Forres 50 mg 10 Tablet</t>
  </si>
  <si>
    <t>Rp77.300 - Rp87.200</t>
  </si>
  <si>
    <t>INFORMASI OBAT INI HANYA UNTUK KALANGAN MEDIS. Terapi simptomatik pada spasme Muskuloskeletal</t>
  </si>
  <si>
    <t>HARUS DENGAN RESEP DOKTER. Gangguan hepatitik, hamil, laktasi. Mempengaruhi kemampuan mengendarai atau mengoprasikan mesin</t>
  </si>
  <si>
    <t>eperisone hydrochloride</t>
  </si>
  <si>
    <t>terapi simptomatik spasme muskuloskeletal</t>
  </si>
  <si>
    <t>forres</t>
  </si>
  <si>
    <t>forres tablet eperisone hydrochloride terapi simptomatik spasme muskuloskeletal</t>
  </si>
  <si>
    <t>TR062363921</t>
  </si>
  <si>
    <t>Borobudur Senna 100 Kapsul</t>
  </si>
  <si>
    <t>SENNA</t>
  </si>
  <si>
    <t>Rp95.000 - Rp114.800</t>
  </si>
  <si>
    <t>3 kapsul</t>
  </si>
  <si>
    <t>Penggunaan produk ini harus disertai olah raga teratur, diet rendah kalori dan rendah lemak.</t>
  </si>
  <si>
    <t>senna</t>
  </si>
  <si>
    <t>borobudur senna</t>
  </si>
  <si>
    <t>borobudur senna kapsul senna membantu melancarkan buang air</t>
  </si>
  <si>
    <t>TR123363711</t>
  </si>
  <si>
    <t>Albiruni Albisam 40 Kapsul</t>
  </si>
  <si>
    <t>ALBISAM</t>
  </si>
  <si>
    <t>Rp70.400 - Rp95.300</t>
  </si>
  <si>
    <t>Membantu meredakan pegal linu.</t>
  </si>
  <si>
    <t>Botol @ 40 kapsul</t>
  </si>
  <si>
    <t>Wanita hamil dan anak-anakl</t>
  </si>
  <si>
    <t>Simpan ditempat sejuk dan kering</t>
  </si>
  <si>
    <t>albisam</t>
  </si>
  <si>
    <t>membantu meredakan pegal linu</t>
  </si>
  <si>
    <t>albiruni albisam</t>
  </si>
  <si>
    <t>albiruni albisam kapsul albisam membantu meredakan pegal linu</t>
  </si>
  <si>
    <t>TR042536691</t>
  </si>
  <si>
    <t>Sido Muncul Kunyit Putih 30 Kapsul</t>
  </si>
  <si>
    <t>SARI KUNYIT PUTIH</t>
  </si>
  <si>
    <t>Rp59.700 - Rp93.100</t>
  </si>
  <si>
    <t>sari kunyit putih</t>
  </si>
  <si>
    <t>sido muncul kunyit putih</t>
  </si>
  <si>
    <t xml:space="preserve">sido muncul kunyit putih kapsul sari kunyit putih </t>
  </si>
  <si>
    <t>TR182319801</t>
  </si>
  <si>
    <t>Renovate Strip 6 Kapsul</t>
  </si>
  <si>
    <t>RENOVATE</t>
  </si>
  <si>
    <t>Rp47.500 - Rp50.700</t>
  </si>
  <si>
    <t>Memelihara daya tahan tubuh.</t>
  </si>
  <si>
    <t>renovate</t>
  </si>
  <si>
    <t>memelihara daya tahan tubuh</t>
  </si>
  <si>
    <t>renovate strip</t>
  </si>
  <si>
    <t>renovate strip kapsul renovate memelihara daya tahan tubuh</t>
  </si>
  <si>
    <t>TR052550771</t>
  </si>
  <si>
    <t>Rapet Wangi 10 Kaplet</t>
  </si>
  <si>
    <t>RAPET WANGI</t>
  </si>
  <si>
    <t>Rp9.000 - Rp16.300</t>
  </si>
  <si>
    <t>Mengatasi keputihan, mengurangi bau badan</t>
  </si>
  <si>
    <t>Dus, 10 kaplet</t>
  </si>
  <si>
    <t>rapet wangi</t>
  </si>
  <si>
    <t>mengatasi keputihan , mengurangi bau badan</t>
  </si>
  <si>
    <t>rapet wangi kaplet mengatasi keputihan  mengurangi bau badan</t>
  </si>
  <si>
    <t>TI034306371</t>
  </si>
  <si>
    <t>Nutrimax Wild Yam Extract 30 Kapsul</t>
  </si>
  <si>
    <t>NUTRIMAX WILD YAM EXTRACT</t>
  </si>
  <si>
    <t>Rp148.300 - Rp295.800</t>
  </si>
  <si>
    <t>1 kapsul per hari diminum setelah makan malam atau menjelang tidur</t>
  </si>
  <si>
    <t>Simpan di bawah suhu 30 derajat celcius. Jauhkan dari jangkauan anak-anak. Tidak dianjurkan bagi ibu hamil dan manyusui. Tidak dianjurkan untuk anak-anak dan remaja.</t>
  </si>
  <si>
    <t>nutrimax wild yam extract</t>
  </si>
  <si>
    <t>nutrimax wild yam extract kapsul membantu memelihara kesehatan</t>
  </si>
  <si>
    <t>TR192331621</t>
  </si>
  <si>
    <t>Natureline Albusmed 24 Kapsul</t>
  </si>
  <si>
    <t>Rp161.800 - Rp163.600</t>
  </si>
  <si>
    <t>Membantu memelihara kesehatan tubuh.</t>
  </si>
  <si>
    <t>Dus, 2 Blister @ 12 Kapsul</t>
  </si>
  <si>
    <t>natureline albusmed kapsul albusmed membantu memelihara kesehatan tubuh</t>
  </si>
  <si>
    <t>TR183316571</t>
  </si>
  <si>
    <t>Nature's Pride Rumin 30 Kapsul</t>
  </si>
  <si>
    <t>RUMIN</t>
  </si>
  <si>
    <t>Rp55.200 - Rp79.400</t>
  </si>
  <si>
    <t>Membantu meredakan demam.</t>
  </si>
  <si>
    <t>rumin</t>
  </si>
  <si>
    <t>membantu meredakan demam</t>
  </si>
  <si>
    <t>natures pride rumin</t>
  </si>
  <si>
    <t>natures pride rumin kapsul rumin membantu meredakan demam</t>
  </si>
  <si>
    <t>TI044310711</t>
  </si>
  <si>
    <t>Nature's Health Korean Ginseng 500 mg 100 Kapsul</t>
  </si>
  <si>
    <t>NATURES HEALTH KOREAN GINSENG</t>
  </si>
  <si>
    <t>Rp474.100 - Rp711.700</t>
  </si>
  <si>
    <t>1 x sehari 2-4 kapsul</t>
  </si>
  <si>
    <t>Botol Isi 100 Kapsul</t>
  </si>
  <si>
    <t>Hati-hati pada penderita Kardiovaskular dan Diabetes Mellitus. Tidak dianjurkan pada wanita hamil dan menyusui</t>
  </si>
  <si>
    <t>natures health korean ginseng</t>
  </si>
  <si>
    <t>natures health korean ginseng kapsul membantu memelihara stamen</t>
  </si>
  <si>
    <t>TR102310591</t>
  </si>
  <si>
    <t>Ikong Ghenshen Kejibeling 10 Kapsul</t>
  </si>
  <si>
    <t>KEJIBELING KAPSUL (GHENSHEN SEAHORSE)</t>
  </si>
  <si>
    <t>Rp4.100 - Rp7.700</t>
  </si>
  <si>
    <t>kejibeling kapsul (ghenshen seahorse)</t>
  </si>
  <si>
    <t>ikong ghenshen kejibeling</t>
  </si>
  <si>
    <t xml:space="preserve">ikong ghenshen kejibeling kapsul kejibeling kapsul ghenshen seahorse </t>
  </si>
  <si>
    <t>TR142381121</t>
  </si>
  <si>
    <t>Herbana Daun Kelor 60 Kapsul</t>
  </si>
  <si>
    <t>HERBANA DAUN KELOR</t>
  </si>
  <si>
    <t>Rp110.200 - Rp171.900</t>
  </si>
  <si>
    <t>2 X Sehari 2 kapsul</t>
  </si>
  <si>
    <t>herbana daun kelor</t>
  </si>
  <si>
    <t>herbana daun kelor kapsul membantu memelihara kesehatan tubuh</t>
  </si>
  <si>
    <t>TR143279711</t>
  </si>
  <si>
    <t>Daun Hijau Lite 20 Sachet</t>
  </si>
  <si>
    <t>DAUN HIJAU LITE</t>
  </si>
  <si>
    <t>Rp88.900 - Rp108.000</t>
  </si>
  <si>
    <t>Masukan 1 sachet daun hijau lite ke dalam gelas, masukan 200 ml air panas ke dalam cangkir, aduk dan tunggu sekitar 2 menit</t>
  </si>
  <si>
    <t>1 kali sehari</t>
  </si>
  <si>
    <t>Dus, 20 sachet</t>
  </si>
  <si>
    <t>daun hijau lite</t>
  </si>
  <si>
    <t>daun hijau lite sachet membantu mengurangi lemak tubuh</t>
  </si>
  <si>
    <t>TR152383951</t>
  </si>
  <si>
    <t>Herbatia Sari Langsing 30 Kapsul</t>
  </si>
  <si>
    <t>HERBATIA SARI LANGSING</t>
  </si>
  <si>
    <t>Rp54.200 - Rp70.800</t>
  </si>
  <si>
    <t>Dikonsumsi sesudah makan. Untuk hasil optimal : Konsumsi makanan sehat, Kurangi ï¿½ porsi makan, dan Olahraga teratur.</t>
  </si>
  <si>
    <t>2 - 3 kali sehari 1 Kapsul</t>
  </si>
  <si>
    <t>Membantu mengurangi lemak tubuh.</t>
  </si>
  <si>
    <t>Dus, 3 blister @ 10 kapsul</t>
  </si>
  <si>
    <t>- Tidak boleh dikonsumsi oleh wanita hamil dan menyusui. - Tidak untuk penderita diare. - Tidak boleh dikonsumsi oleh anak dibawah usia 12 tahun. - Penggunaan produk ini harus disertai olahraga teratur, diet rendah lemak dan kalori.</t>
  </si>
  <si>
    <t>herbatia sari langsing</t>
  </si>
  <si>
    <t>herbatia sari langsing kapsul membantu mengurangi lemak tubuh</t>
  </si>
  <si>
    <t>HT122300191</t>
  </si>
  <si>
    <t>Borobudur Mastin 60 Kapsul</t>
  </si>
  <si>
    <t>MASTIN</t>
  </si>
  <si>
    <t>Rp56.600 - Rp93.600</t>
  </si>
  <si>
    <t>2 kali sehari @ 2 kapsul</t>
  </si>
  <si>
    <t>mastin</t>
  </si>
  <si>
    <t>borobudur mastin</t>
  </si>
  <si>
    <t>borobudur mastin kapsul mastin membantu memelihara kesehatan tubuh</t>
  </si>
  <si>
    <t>Borobudur Mastin 100 Kapsul</t>
  </si>
  <si>
    <t>Rp80.600 - Rp132.400</t>
  </si>
  <si>
    <t>Botol @ 100 Tablet</t>
  </si>
  <si>
    <t>DKL0433511710B1</t>
  </si>
  <si>
    <t>Velcox 15 mg 10 Tablet</t>
  </si>
  <si>
    <t>Rp133.600 - Rp136.100</t>
  </si>
  <si>
    <t>untuk mengurangi rasa nyeri, bengkak, dan kaku pada sendi</t>
  </si>
  <si>
    <t>mengurangi nyeri , bengkak , kaku sendi</t>
  </si>
  <si>
    <t>velcox tablet meloxicam mengurangi nyeri  bengkak  kaku sendi</t>
  </si>
  <si>
    <t>TR202673341</t>
  </si>
  <si>
    <t>Berto Imunku 15 ml 5 Sachet</t>
  </si>
  <si>
    <t>BERTO IMUNKU</t>
  </si>
  <si>
    <t>Rp21.200 - Rp24.300</t>
  </si>
  <si>
    <t>Dapat diminum langsung atau dicampur ï¿½ gelas air hangat. Kocok dahulu sebelum digunakan.</t>
  </si>
  <si>
    <t>3 kali sehari 1 sachet</t>
  </si>
  <si>
    <t>Box, 5 Sachet @ 15 ml</t>
  </si>
  <si>
    <t>berto imunku</t>
  </si>
  <si>
    <t>berto imunku sachet membantu memelihara daya tahan tubuh</t>
  </si>
  <si>
    <t>TR183318531</t>
  </si>
  <si>
    <t>Habbatussauda 210 Kapsul</t>
  </si>
  <si>
    <t>HABBATUSSAUDA CAP KURMA AJWA</t>
  </si>
  <si>
    <t>Rp45.400 - Rp125.300</t>
  </si>
  <si>
    <t>1-2 kali sehari 1 kapsul</t>
  </si>
  <si>
    <t>Memelihara kesehatan</t>
  </si>
  <si>
    <t>Botol 210 Kapsul</t>
  </si>
  <si>
    <t>habbatussauda cap kurma ajwa</t>
  </si>
  <si>
    <t>memelihara kesehatan</t>
  </si>
  <si>
    <t>habbatussauda</t>
  </si>
  <si>
    <t>habbatussauda kapsul habbatussauda cap kurma ajwa memelihara kesehatan</t>
  </si>
  <si>
    <t>TI174656711</t>
  </si>
  <si>
    <t>Gold-G Bio Sea Cucumber 100 ml</t>
  </si>
  <si>
    <t>GOLD-G BIO SEA CUCUMBER</t>
  </si>
  <si>
    <t>Rp56.700 - Rp75.900</t>
  </si>
  <si>
    <t>gold-g bio sea cucumber</t>
  </si>
  <si>
    <t>goldg bio sea cucumber</t>
  </si>
  <si>
    <t xml:space="preserve">goldg bio sea cucumber  goldg bio sea cucumber </t>
  </si>
  <si>
    <t>TR202338291</t>
  </si>
  <si>
    <t>Albugen 10 Kapsul</t>
  </si>
  <si>
    <t>ALBUGEN.</t>
  </si>
  <si>
    <t>Rp67.200 - Rp87.000</t>
  </si>
  <si>
    <t>3 x sehari 1-2 kapsul</t>
  </si>
  <si>
    <t>Membantu memelihara kesehatan dengan menambah zat gizi</t>
  </si>
  <si>
    <t>albugen</t>
  </si>
  <si>
    <t>membantu memelihara kesehatan menambah zat gizi</t>
  </si>
  <si>
    <t>albugen kapsul membantu memelihara kesehatan menambah zat gizi</t>
  </si>
  <si>
    <t>TL112501741</t>
  </si>
  <si>
    <t>Tebokan 10 Tablet</t>
  </si>
  <si>
    <t>TEBOKAN</t>
  </si>
  <si>
    <t>Rp70.000 - Rp84.300</t>
  </si>
  <si>
    <t>3 kali sehari 1 tablet atau sesuai anjuran dokter</t>
  </si>
  <si>
    <t>Membantu memperbaiki sirkulasi darah perifer dan pusat</t>
  </si>
  <si>
    <t>Dus, 3 &amp; 10 Blister @ 10 Tablet</t>
  </si>
  <si>
    <t>Hipersensitifitas</t>
  </si>
  <si>
    <t>Simpan pada suhu dibawah 25 C, simpan dalam wadah tertutup rapat, terlindung dari cahaya dan kelembaban.</t>
  </si>
  <si>
    <t>tebokan</t>
  </si>
  <si>
    <t>membantu memperbaiki sirkulasi darah perifer pusat</t>
  </si>
  <si>
    <t>tebokan tablet membantu memperbaiki sirkulasi darah perifer pusat</t>
  </si>
  <si>
    <t>TR182321491</t>
  </si>
  <si>
    <t>Nutrimax Livogard 30 Kapsul</t>
  </si>
  <si>
    <t>NUTRIMAX LIVOGARD</t>
  </si>
  <si>
    <t>Rp144.800 - Rp283.100</t>
  </si>
  <si>
    <t>Dikonsumsi setelah makan pagi atau malam.</t>
  </si>
  <si>
    <t>nutrimax livogard</t>
  </si>
  <si>
    <t>nutrimax livogard kapsul membantu memelihara kesehatan fungsi hati</t>
  </si>
  <si>
    <t>TR162395671</t>
  </si>
  <si>
    <t>Hepa-Q 6 Kapsul</t>
  </si>
  <si>
    <t>HEPA - Q</t>
  </si>
  <si>
    <t>Rp35.700 - Rp51.000</t>
  </si>
  <si>
    <t>3-4 x sehari 1 kapsul, Pemeliharaan &amp; kasus ringan : 2-3 x sehari 1 capsul</t>
  </si>
  <si>
    <t>Suplemen untuk membantu fungsi hati</t>
  </si>
  <si>
    <t>hepa q</t>
  </si>
  <si>
    <t>suplemen membantu fungsi hati</t>
  </si>
  <si>
    <t>hepaq</t>
  </si>
  <si>
    <t>hepaq kapsul hepa q suplemen membantu fungsi hati</t>
  </si>
  <si>
    <t>TR142282971</t>
  </si>
  <si>
    <t>Helmigs Curcumin Mangga Isi 5 Sachet</t>
  </si>
  <si>
    <t>HELMIG`S CURCUMIN MANGO</t>
  </si>
  <si>
    <t>Rp10.500 - Rp10.900</t>
  </si>
  <si>
    <t>Dus @ 5 Sachet</t>
  </si>
  <si>
    <t>helmig`s curcumin mango</t>
  </si>
  <si>
    <t>helmigs curcumin mangga isi</t>
  </si>
  <si>
    <t xml:space="preserve">helmigs curcumin mangga isi sachet helmigs curcumin mango </t>
  </si>
  <si>
    <t>Borobudur Mastin 30 Kapsul</t>
  </si>
  <si>
    <t>Rp30.900 - Rp55.400</t>
  </si>
  <si>
    <t>Botol @ 30 Tablet</t>
  </si>
  <si>
    <t>QD111709501</t>
  </si>
  <si>
    <t>Counterpain Cool Gel 120 g</t>
  </si>
  <si>
    <t>Rp83.100 - Rp83.200</t>
  </si>
  <si>
    <t>3-4 kali sehari 1 g pada area yang sakit</t>
  </si>
  <si>
    <t>Nyeri otot dan nyeri sendi.</t>
  </si>
  <si>
    <t>Dus, Tube @ 120 g</t>
  </si>
  <si>
    <t>Hentikan bila nyeri artritis terjadi &gt; 10 hari atau bila terjadi kemerahan kulit. Jangan digunakan bila kulit luka terbuka atau teriritasi</t>
  </si>
  <si>
    <t>Paseo Cleansing Wipes Antibacterial 50 Sheets</t>
  </si>
  <si>
    <t>Rp6.500 - Rp13.500</t>
  </si>
  <si>
    <t>Pack @ 50 Sheets</t>
  </si>
  <si>
    <t>paseo cleansing wipes antibacterial sheets</t>
  </si>
  <si>
    <t xml:space="preserve">paseo cleansing wipes antibacterial sheets tablet tizanidine hydrochloride </t>
  </si>
  <si>
    <t>DKL1315622010A1</t>
  </si>
  <si>
    <t>Pronovir 500 mg 4 Tablet</t>
  </si>
  <si>
    <t>Rp26.300 - Rp45.600</t>
  </si>
  <si>
    <t>PENGGUNAAN OBAT INI HARUS SESUAI DENGAN PETUNJUK DOKTER. Dewasa &amp; anak Rata-rata dosis: 50 mg / kg / hari dalam 3-4 dosis terbagi. Infeksi berat, fase akut 100 mg / kg / hari dalam 4-6 dosis terbagi. Durasi pengobatan yang biasa: 7-10 hari. Lanjutkan pengobatan paling sedikit 2 hari setelah gejala mereda</t>
  </si>
  <si>
    <t>Imunomodulator untuk penyakit virus &amp; untuk kondisi imunodefisiensi.</t>
  </si>
  <si>
    <t>imunomodulator penyakit virus kondisi imunodefisiensi</t>
  </si>
  <si>
    <t>pronovir</t>
  </si>
  <si>
    <t>pronovir tablet methisoprinol imunomodulator penyakit virus kondisi imunodefisiensi</t>
  </si>
  <si>
    <t>DKL0109315833A1</t>
  </si>
  <si>
    <t>Dometa Sirup 60 ml</t>
  </si>
  <si>
    <t>Rp26.400 - Rp38.200</t>
  </si>
  <si>
    <t>15-30 menit sebelum makan</t>
  </si>
  <si>
    <t>PENGGUNAAN OBAT INI HARUS SESUAI DENGAN PETUNJUK DOKTER. Anak : 0.2-0.4 mg/kg BB tiap 4-8 jam</t>
  </si>
  <si>
    <t>Mual dan Muntah, Dispepsia/gangguan pencernaan</t>
  </si>
  <si>
    <t>Perdarahan, obstruksi atau perforasi saluran cerna, prolaktinoma.Anak ( kecuali mual dan muntah pada terapi kanker). Hamil</t>
  </si>
  <si>
    <t>HARUS DENGAN RESEP DOKTER. Gangguan hati dan ginjal, laktasi, penggunaan jangka panjang</t>
  </si>
  <si>
    <t>mual muntah , dispepsia gangguan pencernaan</t>
  </si>
  <si>
    <t>dometa</t>
  </si>
  <si>
    <t>dometa suspensi domperidone mual muntah  dispepsia gangguan pencernaan</t>
  </si>
  <si>
    <t>DKL0612423101B1</t>
  </si>
  <si>
    <t>Kifluzol Kapsul 150 mg</t>
  </si>
  <si>
    <t>PENGGUNAAN OBAT INI HARUS SESUAI DENGAN PETUNJUK DOKTER. Meningitis kriptokokal : 400 mg sebagai dosis tunggal pada hari pertama, diikuti dengan 200 - 400 mg 1 kali sehari. Lama terapi : 6 - 8 minggu. Kandidemia : 400 mg pada hari pertama, diikuti dengan 200 mg per hari pada hari selanjutnya. Dapat diting</t>
  </si>
  <si>
    <t>Meningitis kriptokokal, kandidemia, kandidiasis orofaringeal</t>
  </si>
  <si>
    <t>Dus, 1 Strip @ 10 Kapsul</t>
  </si>
  <si>
    <t>Hipersensitifitas terhadap flukonazol dan derivat azol lain</t>
  </si>
  <si>
    <t>HARUS DENGAN RESEP DOKTER. Ganggunan fungsi hati atau ginjal. Superinfeksi karena candida albicans yang tidak peka. Hamil dan laktasi</t>
  </si>
  <si>
    <t>fluconazole</t>
  </si>
  <si>
    <t>meningitis kriptokokal , kandidemia , kandidiasis orofaringeal</t>
  </si>
  <si>
    <t>kifluzol</t>
  </si>
  <si>
    <t>kifluzol kapsul fluconazole meningitis kriptokokal  kandidemia  kandidiasis orofaringeal</t>
  </si>
  <si>
    <t>DKL8502310617A1</t>
  </si>
  <si>
    <t>Fungistop 500 mg 10 Tablet</t>
  </si>
  <si>
    <t>Rp80.000 - Rp85.400</t>
  </si>
  <si>
    <t>Segera sesudah makan</t>
  </si>
  <si>
    <t>PENGGUNAAN OBAT INI HARUS SESUAI DENGAN PETUNJUK DOKTER. Dewasa : 1 tablet per hari. Anak : 10 mg/kg BB perhari dalam dosis terbagi</t>
  </si>
  <si>
    <t>Infeksi jamur pada Kulit, Rambut, Kuku</t>
  </si>
  <si>
    <t>Hipersensitif. Porfiria. Kegagalan hepatoselular. Systemic lupus erythematosus</t>
  </si>
  <si>
    <t>HARUS DENGAN RESEP DOKTER. - porfiria, kegagalan hepatoseluler, hamil</t>
  </si>
  <si>
    <t>infeksi jamur kulit , rambut , kuku</t>
  </si>
  <si>
    <t>fungistop</t>
  </si>
  <si>
    <t>fungistop tablet griseofulvin infeksi jamur kulit  rambut  kuku</t>
  </si>
  <si>
    <t>DKL0409214736A1</t>
  </si>
  <si>
    <t>Cazetin Drops 15 ml</t>
  </si>
  <si>
    <t>Rp31.900 - Rp42.700</t>
  </si>
  <si>
    <t>di minum dengan atau tanpa makanan</t>
  </si>
  <si>
    <t>PENGGUNAAN OBAT INI HARUS SESUAI DENGAN PETUNJUK DOKTER. Dewasa : 4 kali sehari 1 - 2. Bayi dan anak : 3-4 kali sehari 1 mL</t>
  </si>
  <si>
    <t>INFORMASI OBAT INI HANYA UNTUK KALANGAN MEDIS. Kandidiasis rongga mulut dan saluran pencernaan</t>
  </si>
  <si>
    <t>Hipersensitif terhadap obat ini</t>
  </si>
  <si>
    <t>HARUS DENGAN RESEP DOKTER. Jangan menghentikan pengobatan sebelum masa terapi selesai. Hamil</t>
  </si>
  <si>
    <t>kandidiasis rongga mulut saluran pencernaan</t>
  </si>
  <si>
    <t>cazetin</t>
  </si>
  <si>
    <t>cazetin tetes nystatin kandidiasis rongga mulut saluran pencernaan</t>
  </si>
  <si>
    <t>DKL1124400233A1</t>
  </si>
  <si>
    <t>Mycostatin 30 ml</t>
  </si>
  <si>
    <t>Rp178.100 - Rp195.900</t>
  </si>
  <si>
    <t>INFORMASI OBAT INI HANYA UNTUK KALANGAN MEDIS. Pengobatan infeksi jamur dalam rongga mulut</t>
  </si>
  <si>
    <t>Dus, Botol 30 ml</t>
  </si>
  <si>
    <t>pengobatan infeksi jamur rongga mulut</t>
  </si>
  <si>
    <t>mycostatin</t>
  </si>
  <si>
    <t>mycostatin suspensi nystatin pengobatan infeksi jamur rongga mulut</t>
  </si>
  <si>
    <t>DKI0411100101A1</t>
  </si>
  <si>
    <t>Artrodar 50 mg 10 Kapsul</t>
  </si>
  <si>
    <t>Pada saat makan utama</t>
  </si>
  <si>
    <t>PENGGUNAAN OBAT INI HARUS SESUAI DENGAN PETUNJUK DOKTER. 2 x sehari 1 kapsul selama minimum 6 bulan</t>
  </si>
  <si>
    <t>Meredakan gejala2 OA pada terapi jangka panjang</t>
  </si>
  <si>
    <t>Individu dengan riwayat episode hipersensitif sebelumnya terhadap derivat antrakuinon</t>
  </si>
  <si>
    <t>HARUS DENGAN RESEP DOKTER. Hamil dan laktasi</t>
  </si>
  <si>
    <t>meredakan gejala2 oa terapi jangka</t>
  </si>
  <si>
    <t>artrodar</t>
  </si>
  <si>
    <t>artrodar kapsul diacerein meredakan gejala2 oa terapi jangka</t>
  </si>
  <si>
    <t>Mycostatin Drops 12 ml</t>
  </si>
  <si>
    <t>Rp75.600 - Rp88.700</t>
  </si>
  <si>
    <t>PENGGUNAAN OBAT INI HARUS SESUAI DENGAN PETUNJUK DOKTER. Dewasa dan anak : 4 x sehari 1-6 mL (100,000-600,000 unit), Bayi : 4 x sehari 1-2 mL (100,000-200,000 unit).</t>
  </si>
  <si>
    <t>HARUS DENGAN RESEP DOKTER. Tidak boleh digunakan untuk terapi mikosis sistemik. Hentikan terapi jika timbul iritasi atau sensitiasi. Hamil dan laktasi Kategori Kehamilan : C</t>
  </si>
  <si>
    <t>DKL0435300709A1</t>
  </si>
  <si>
    <t>Vioquin 500 mg 10 Kaplet</t>
  </si>
  <si>
    <t>Rp122.300 - Rp192.000</t>
  </si>
  <si>
    <t>PENGGUNAAN OBAT INI HARUS SESUAI DENGAN PETUNJUK DOKTER. Dewasa ISK ringan/sedang : 250 mg 2 kali sehari. Berat : 500 mg 2 kali sehari. Infeksi sal nafas, tulang, sendi, kulit dan jar lunak ringan/sedang : 250 - 500 mg 2 kali sehari. Berat : 500 - 750 mg 2 kali sehari. Prostatitis kronik : 500 mg 2 kali sehari.</t>
  </si>
  <si>
    <t>Infeksi karena bakteri yang peka terhadap siprofloksasin</t>
  </si>
  <si>
    <t>Kaplet 500 Mg X 3 X 10</t>
  </si>
  <si>
    <t>Hipersensitif terhadap siprofloksasin atau derivat kuinolon lain. Hamil dan laktasi. Anak &lt; 12 tahun</t>
  </si>
  <si>
    <t>HARUS DENGAN RESEP DOKTER. Kerusakan ginjal, lansia, epilepsi, pasien dengan riwayat gangguan SSP. Dapat mengganggu kemampuan mengemudi atau menjalankan mesin. Pertumbuhan berlebihan dari mikroorgnisme (penggunaan jangka lama). Hindari pemaparan sinar matahari yang berlebihan</t>
  </si>
  <si>
    <t>infeksi bakteri peka siprofloksasin</t>
  </si>
  <si>
    <t>vioquin</t>
  </si>
  <si>
    <t>vioquin kaplet ciprofloxacin hydrochloride infeksi bakteri peka siprofloksasin</t>
  </si>
  <si>
    <t>DKL0208507409A1</t>
  </si>
  <si>
    <t>Tibigon 500 mg 10 Tablet</t>
  </si>
  <si>
    <t>Rp12.200 - Rp12.600</t>
  </si>
  <si>
    <t>Berikan bersama dengan makanan</t>
  </si>
  <si>
    <t>PENGGUNAAN OBAT INI HARUS SESUAI DENGAN PETUNJUK DOKTER. Dosis lazim: 15-25 mg/kgBB/ hari sebagai dosis tunggal</t>
  </si>
  <si>
    <t>Antituberkulosis, dikombinasikan dengan rifampisin dan INH</t>
  </si>
  <si>
    <t>Dus, 10 Strip @ 10 Kaplet dalut selaput</t>
  </si>
  <si>
    <t>Hipersensitif, penderita neuritis optik</t>
  </si>
  <si>
    <t>HARUS DENGAN RESEP DOKTER. Gangguan ginjal berat, gout, gangguan daya penglihatan, hamil, dan laktasi.</t>
  </si>
  <si>
    <t>antituberkulosis , dikombinasikan rifampisin inh</t>
  </si>
  <si>
    <t>tibigon</t>
  </si>
  <si>
    <t>tibigon kaplet ethambutol hydrochloride antituberkulosis  dikombinasikan rifampisin inh</t>
  </si>
  <si>
    <t>TB Vit 6 Sirup 120 ml</t>
  </si>
  <si>
    <t>Rp20.300 - Rp42.800</t>
  </si>
  <si>
    <t>PENGGUNAAN OBAT INI HARUS SESUAI DENGAN PETUNJUK DOKTER. Dewasa: pencegahan: 1x1 tablet atau -5 mg/kgBB/hari</t>
  </si>
  <si>
    <t>DKL8320600409B1</t>
  </si>
  <si>
    <t>Rif 600 mg 10 Kaplet</t>
  </si>
  <si>
    <t>Berikan saat perut kosong 1 jam sebelum atau 2 jam sesudah makan.</t>
  </si>
  <si>
    <t>TB/Tuberkulosis Pulmoner dan EkstraPulmoner, Lepra</t>
  </si>
  <si>
    <t>Dus, 10 Blister @ 10 Tablet salut selaput</t>
  </si>
  <si>
    <t>Hipersensitif. Ikterus.</t>
  </si>
  <si>
    <t>HARUS DENGAN RESEP DOKTER. Alkoholik. Kerusakan fungsi hati. Kehamilan trimester-1.</t>
  </si>
  <si>
    <t>tb tuberkulosis pulmoner ekstrapulmoner , lepra</t>
  </si>
  <si>
    <t>rif</t>
  </si>
  <si>
    <t>rif tablet rifampicin tb tuberkulosis pulmoner ekstrapulmoner  lepra</t>
  </si>
  <si>
    <t>DKL8320600409A1</t>
  </si>
  <si>
    <t>Rif 450 mg 10 Kaplet</t>
  </si>
  <si>
    <t>Rp63.600 - Rp68.400</t>
  </si>
  <si>
    <t>rif kaplet rifampicin tb tuberkulosis pulmoner ekstrapulmoner  lepra</t>
  </si>
  <si>
    <t>DBL2111646615A1</t>
  </si>
  <si>
    <t>Vitazym Plus 10 Tablet</t>
  </si>
  <si>
    <t>Rp3.000 - Rp10.600</t>
  </si>
  <si>
    <t>Telan seluruh tablet. Tablet tidak boleh dikunyah atau digerus</t>
  </si>
  <si>
    <t>Dewasa : 3 kali sehari 1 tablet</t>
  </si>
  <si>
    <t>Membantu proses pencernaan</t>
  </si>
  <si>
    <t>Dus, 10 strip @ 10 Tablet</t>
  </si>
  <si>
    <t>Penderita yang hipersensitif terhadap salah satu komponen supplement ini, Penderita dengan kerusakan saluran empedu</t>
  </si>
  <si>
    <t>Jauhkan dari jangkauan anak-anak. Konsultasikan dengan dokter apabila sedang hamil dan menyusui.</t>
  </si>
  <si>
    <t>simethicone kombinasi-pancreatin</t>
  </si>
  <si>
    <t>membantu prose pencernaan</t>
  </si>
  <si>
    <t>vitazym plus</t>
  </si>
  <si>
    <t>vitazym plus tablet simethicone kombinasipancreatin membantu prose pencernaan</t>
  </si>
  <si>
    <t>Pamperindo Adult Diapers Xl 6 Pieces</t>
  </si>
  <si>
    <t>Rp29.900 - Rp57.200</t>
  </si>
  <si>
    <t>Pack @ 6 pieces</t>
  </si>
  <si>
    <t>pamperindo adult diapers xl pieces</t>
  </si>
  <si>
    <t xml:space="preserve">pamperindo adult diapers xl pieces tablet tizanidine hydrochloride </t>
  </si>
  <si>
    <t>menstrucare tablet tizanidine hydrochloride meringankan meredakan nyeri menstruasi</t>
  </si>
  <si>
    <t>Natracare Tampons Organic Super 10 Pads</t>
  </si>
  <si>
    <t>Rp62.700 - Rp107.600</t>
  </si>
  <si>
    <t>Dus @ 10 Pads</t>
  </si>
  <si>
    <t>natracare tampons organic super pads</t>
  </si>
  <si>
    <t xml:space="preserve">natracare tampons organic super pads tablet tizanidine hydrochloride </t>
  </si>
  <si>
    <t>Laurier Pantyliners Non Perfumed 20 Pads</t>
  </si>
  <si>
    <t>Rp5.700 - Rp9.400</t>
  </si>
  <si>
    <t>Pack @ 20 pads</t>
  </si>
  <si>
    <t>laurier pantyliners non perfumed pads</t>
  </si>
  <si>
    <t xml:space="preserve">laurier pantyliners non perfumed pads tablet tizanidine hydrochloride </t>
  </si>
  <si>
    <t>DKL0531525417A1</t>
  </si>
  <si>
    <t>Irbosyd 135 mg 10 Tablet</t>
  </si>
  <si>
    <t>20 menit sebelum makan atau bersamaan dengan makan</t>
  </si>
  <si>
    <t>Irritable Bowel Syndrome/IBS</t>
  </si>
  <si>
    <t>HARUS DENGAN RESEP DOKTER. Hamil, laktasi, anak &lt; 10 tahun, penyakit ginjal stadium lanjut, gangguan jantung, gangguan fungsi hati.</t>
  </si>
  <si>
    <t>mebeverine hydrochloride</t>
  </si>
  <si>
    <t>irritable bowel syndrome ibs</t>
  </si>
  <si>
    <t>irbosyd</t>
  </si>
  <si>
    <t>irbosyd tablet mebeverine hydrochloride irritable bowel syndrome ibs</t>
  </si>
  <si>
    <t>Feminine Comfort Biru Isi 10 Pads</t>
  </si>
  <si>
    <t>Rp31.500 - Rp54.400</t>
  </si>
  <si>
    <t>Pack Isi 10 Pads</t>
  </si>
  <si>
    <t>feminine comfort biru isi pads</t>
  </si>
  <si>
    <t xml:space="preserve">feminine comfort biru isi pads tablet tizanidine hydrochloride </t>
  </si>
  <si>
    <t>Charm Safe Night 35 cm 12 Pads</t>
  </si>
  <si>
    <t>Rp16.400 - Rp30.900</t>
  </si>
  <si>
    <t>Seperti Pembalut biasa</t>
  </si>
  <si>
    <t>digunakan saat menstruasi</t>
  </si>
  <si>
    <t>Pack, @ 12 pads</t>
  </si>
  <si>
    <t>menstruasi</t>
  </si>
  <si>
    <t>charm safe night pads</t>
  </si>
  <si>
    <t>charm safe night pads tablet tizanidine hydrochloride menstruasi</t>
  </si>
  <si>
    <t>DKL1719619533A1</t>
  </si>
  <si>
    <t>Lanpepsa 500 mg/5 ml Sirup 120 ml</t>
  </si>
  <si>
    <t>Sebelum makan dan menjelang tidur malam. Kocok dahulu sebelum diminum.</t>
  </si>
  <si>
    <t>PENGGUNAAN OBAT INI HARUS SESUAI DENGAN PETUNJUK DOKTER. Dewasa: 2 x sendok takar (10ML) 4 x Sehari, sewaktu lambung kosong (sebelum makan dan sebelum tidur) Pengobatan harus dilanjutkan kecuali apabila pemeriksaan endoskopi atau sinar-X telah memperlihatkan kesembuhan.</t>
  </si>
  <si>
    <t>INFORMASI OBAT INI HANYA UNTUK KALANGAN MEDIS. Tukak duodenum dan lambung, gastritis kronik.</t>
  </si>
  <si>
    <t>Hipersensitivitas, penyait ginjal kronik, wanita hamil.</t>
  </si>
  <si>
    <t>HARUS DENGAN RESEP DOKTER. Penderita gangguan ginjal, wanita hamil dan ibu menyusui. Katagori kehamilan : Kategori B: Mungkin dapat digunakan oleh wanita hamil. Penelitian pada hewan uji tidak memperlihatkan ada nya risiko terhadap janin, namun belum ada bukti penelitian langsung terhadap wanita hamil.</t>
  </si>
  <si>
    <t>tukak duodenum lambung , gastritis kronik</t>
  </si>
  <si>
    <t>lanpepsa</t>
  </si>
  <si>
    <t>lanpepsa suspensi sucralfate tukak duodenum lambung  gastritis kronik</t>
  </si>
  <si>
    <t>Carefree Healthy Fresh Pantyliners 20 Pads</t>
  </si>
  <si>
    <t>Rp9.400 - Rp20.500</t>
  </si>
  <si>
    <t>Pack isi 20</t>
  </si>
  <si>
    <t>carefree healthy fresh pantyliners pads</t>
  </si>
  <si>
    <t xml:space="preserve">carefree healthy fresh pantyliners pads tablet tizanidine hydrochloride </t>
  </si>
  <si>
    <t>Blood Corn Extra Heavy 33 cm 10 Pads</t>
  </si>
  <si>
    <t>Pack @ 10 Pads</t>
  </si>
  <si>
    <t>blood corn extra heavy pads</t>
  </si>
  <si>
    <t xml:space="preserve">blood corn extra heavy pads tablet tizanidine hydrochloride </t>
  </si>
  <si>
    <t>Blood Corn 50 cm Size M-L 4 Panty Pads</t>
  </si>
  <si>
    <t>Pack @ 4 Panty Pads</t>
  </si>
  <si>
    <t>blood corn size panty pads</t>
  </si>
  <si>
    <t xml:space="preserve">blood corn size panty pads tablet tizanidine hydrochloride </t>
  </si>
  <si>
    <t>Natracare Tampons Organic Regular 10 Pads</t>
  </si>
  <si>
    <t>Rp67.000 - Rp100.300</t>
  </si>
  <si>
    <t>natracare tampons organic regular pads</t>
  </si>
  <si>
    <t xml:space="preserve">natracare tampons organic regular pads tablet tizanidine hydrochloride </t>
  </si>
  <si>
    <t>Oral-B Sikat Gigi Classic Soft</t>
  </si>
  <si>
    <t>Rp6.100 - Rp13.700</t>
  </si>
  <si>
    <t>oralb sikat gigi classic soft</t>
  </si>
  <si>
    <t xml:space="preserve">oralb sikat gigi classic soft tablet tizanidine hydrochloride </t>
  </si>
  <si>
    <t>Oral B Essential Floss 50 M</t>
  </si>
  <si>
    <t>Rp38.500 - Rp52.000</t>
  </si>
  <si>
    <t>Plastik</t>
  </si>
  <si>
    <t>oral b essential floss m</t>
  </si>
  <si>
    <t xml:space="preserve">oral b essential floss m tablet tizanidine hydrochloride </t>
  </si>
  <si>
    <t>Colgate Toothbrush Premier Clean 3 Pieces</t>
  </si>
  <si>
    <t>Rp15.600 - Rp19.000</t>
  </si>
  <si>
    <t>Pack @ 3 Pieces</t>
  </si>
  <si>
    <t>colgate toothbrush premier clean pieces</t>
  </si>
  <si>
    <t xml:space="preserve">colgate toothbrush premier clean pieces tablet tizanidine hydrochloride </t>
  </si>
  <si>
    <t>Polident 3D Hold Flavour Free 60 g</t>
  </si>
  <si>
    <t>Rp87.100 - Rp90.000</t>
  </si>
  <si>
    <t>Dus, Tube @ 60 g</t>
  </si>
  <si>
    <t>polident d hold flavour free</t>
  </si>
  <si>
    <t xml:space="preserve">polident d hold flavour free tablet tizanidine hydrochloride </t>
  </si>
  <si>
    <t>Polident 3D Hold Flavour Free 20 g</t>
  </si>
  <si>
    <t>Selection Round Facial Cotton 80 Pieces</t>
  </si>
  <si>
    <t>Rp11.200 - Rp20.700</t>
  </si>
  <si>
    <t>Pack isi 80</t>
  </si>
  <si>
    <t>selection round facial cotton pieces</t>
  </si>
  <si>
    <t xml:space="preserve">selection round facial cotton pieces tablet tizanidine hydrochloride </t>
  </si>
  <si>
    <t>Kondom Andalan Isi 12</t>
  </si>
  <si>
    <t>Rp10.900 - Rp20.300</t>
  </si>
  <si>
    <t>Digunakan pada kelamin pria saat berhubungan intim</t>
  </si>
  <si>
    <t>Alat kontrasepsi</t>
  </si>
  <si>
    <t>Dus @ 2 Pieces</t>
  </si>
  <si>
    <t>Alat Kontrasepsi ini tidak memberikan proteksi 100% pada kehamilan, infeksi HIV, dan penyakit menular seksual. Hanya digunakan untuk 1 kali pakai</t>
  </si>
  <si>
    <t>alat kontrasepsi</t>
  </si>
  <si>
    <t>kondom andalan isi</t>
  </si>
  <si>
    <t>kondom andalan isi tablet tizanidine hydrochloride alat kontrasepsi</t>
  </si>
  <si>
    <t>DKL1704217633A1</t>
  </si>
  <si>
    <t>Ulcron 10 Tablet</t>
  </si>
  <si>
    <t>Rp22.800 - Rp25.600</t>
  </si>
  <si>
    <t>PENGGUNAAN OBAT INI HARUS SESUAI DENGAN PETUNJUK DOKTER. Dewasa : 2 tablet, 3-4 x sehari. Maks: 8 tablet per hari.</t>
  </si>
  <si>
    <t>Tukak lambung &amp; duodenum. Gastritis kronik.</t>
  </si>
  <si>
    <t>Hipersensitivitas. Penderita ggn ginjal berat.</t>
  </si>
  <si>
    <t>Obat Wajib Apotek, Obat ini dapat dibeli dan diserahkan apoteker tanpa resep dengan maksimum 2 Strip. Pembelian melebihi batas ini WAJIB RESEP DOKTER. Dapat menyebabkan osteomalasia pada pasien yg menjalani diet fosfor jangka panjang. Ggn fungsi ginjal. Antasida lainnya dapat diberikan dlm 30 menit sebelum atau sesudah konsumsi. Hamil, laktasi. Anak.</t>
  </si>
  <si>
    <t>tukak lambung duodenum  gastritis kronik</t>
  </si>
  <si>
    <t>ulcron</t>
  </si>
  <si>
    <t>ulcron suspensi sucralfate tukak lambung duodenum  gastritis kronik</t>
  </si>
  <si>
    <t>DKL8521001004A1</t>
  </si>
  <si>
    <t>Ulcumaag 500 mg 10 Kaplet</t>
  </si>
  <si>
    <t>Rp22.600 - Rp32.900</t>
  </si>
  <si>
    <t>Dikonsumsi pada perut kosong (1 atau 2 jam sebelum/sesudah makan)</t>
  </si>
  <si>
    <t>PENGGUNAAN OBAT INI HARUS SESUAI DENGAN PETUNJUK DOKTER. 4 x sehari 2 kapsul 1 jam sebelum makan &amp; pada malam hari sebelum tidur. Dilanjutkan selama 4 minggu.</t>
  </si>
  <si>
    <t>Untuk mengobati ulkus duodenum aktif</t>
  </si>
  <si>
    <t>Kaplet 500 Mg X 10 X 10</t>
  </si>
  <si>
    <t>Obat Wajib Apotek, Obat ini dapat dibeli dan diserahkan apoteker tanpa resep dengan maksimum 2 Strip. Pembelian melebihi batas ini WAJIB RESEP DOKTER. Hentikan pemakaian obat ini jika terjadi reaksi alergi, seperti ruam, gatal, sakit tenggorokan, demam, arthralgia, pucat, atau tanda-tanda lainnya, karena bisa berakibat yang lebih fatal. Obat ini bisa menyebabkan pusing, jangan mengemudi atau menyalakan mesin selama menggunakan obat ini. Dilaporkan adanya pembentukan bezoar, oleh sebab itu penggunaan ulcumaag (sucralfate) harus dilakukan secara hati-hati pada pasien dengan penyakit yang serius, terutama jika secara bersamaan juga mendapat nutrisi enteral atau pasien mengalami gangguan pengosongan lambung. Pemberian ulcumaag (sucralfate) dan nutrisi enteral harus berjarak 1 jam, karena ulcumaag (sucralfate) bisa mempengaruhi penyerapan beberapa obat, obat ini harus diberikan secara terpisah dari obat lain ketika perubahan dalam bioavailabilitas dirasakan penting.</t>
  </si>
  <si>
    <t>untuk mengobati ulkus duodenum aktif</t>
  </si>
  <si>
    <t>ulcumaag</t>
  </si>
  <si>
    <t>ulcumaag kaplet sucralfate untuk mengobati ulkus duodenum aktif</t>
  </si>
  <si>
    <t>DBL9004204963B1</t>
  </si>
  <si>
    <t>Ultilox Forte 4 Tablet Kunyah</t>
  </si>
  <si>
    <t>Rp5.200 - Rp6.700</t>
  </si>
  <si>
    <t>ultilox forte kunyah</t>
  </si>
  <si>
    <t xml:space="preserve">ultilox forte kunyah tablet dried aluminium hydroxide gel </t>
  </si>
  <si>
    <t>DTL8606303009A1</t>
  </si>
  <si>
    <t>Parazon 10 Kaplet</t>
  </si>
  <si>
    <t>Rp6.000 - Rp7.900</t>
  </si>
  <si>
    <t>Dewasa dan Anak-anak usia diatas 12 tahun : 1 Kaplet , 3 x sehari. Anak-anak 6-12 tahun: 1/2 Kaplet, 3 x sehari</t>
  </si>
  <si>
    <t>Meringankan sakit kepala, dan sakit gigi.</t>
  </si>
  <si>
    <t>Penderita gangguan fungsi hati dan penderita yang memilki hipersensitif terhadap kandungan</t>
  </si>
  <si>
    <t>meringankan sakit kepala , sakit gigi</t>
  </si>
  <si>
    <t>parazon</t>
  </si>
  <si>
    <t>parazon kaplet caffeine meringankan sakit kepala  sakit gigi</t>
  </si>
  <si>
    <t>TR032326071</t>
  </si>
  <si>
    <t>Ricasid 30 Kapsul</t>
  </si>
  <si>
    <t>RICASID</t>
  </si>
  <si>
    <t>Rp69.000 - Rp104.800</t>
  </si>
  <si>
    <t>3 x 2 kapsul sehari. Atau sesuai petunjuk dokter.</t>
  </si>
  <si>
    <t>Membantu meredakan pegal linu dan nyeri sendi.</t>
  </si>
  <si>
    <t>Kapsul 30 X 1</t>
  </si>
  <si>
    <t>Penderita tukak lambung</t>
  </si>
  <si>
    <t>ricasid</t>
  </si>
  <si>
    <t>ricasid kapsul membantu meredakan pegal linu nyeri sendi</t>
  </si>
  <si>
    <t>GKL1433531717A1</t>
  </si>
  <si>
    <t>Sildenafil Citrate 50 mg 4 Tablet</t>
  </si>
  <si>
    <t>Rp96.500 - Rp168.500</t>
  </si>
  <si>
    <t>Dikonsumsi satu jam sebelum melakukan aktivitas seksual, dapat disesuaikan dengan kebutuhan.</t>
  </si>
  <si>
    <t>PENGGUNAAN OBAT INI HARUS SESUAI DENGAN PETUNJUK DOKTER. Dewasa : 50 mg diberikan sesuai kebutuhan 1 jam sebelum aktivitas seksual, dapat disesuaikan dengan kebutuhan. Maksimal 100 mg/hari</t>
  </si>
  <si>
    <t>INFORMASI OBAT INI HANYA UNTUK KALANGAN MEDIS. Terapi disfungsi ereksi pada pria dewasa</t>
  </si>
  <si>
    <t>Dus, 1 Strip @ 4 Tablet</t>
  </si>
  <si>
    <t>Hipersensitivitas. Pasien yang menggunakan nitrat organik, baik secara reguler dan atau intermiten</t>
  </si>
  <si>
    <t>HARUS DENGAN RESEP DOKTER. Pasien pria yang tidak dianjurkan melakukan aktivitas seksual karena adanya penyakit KV. Pasien infark miokard, stroke, aritmia yang mengancam nyawa dalam 6 bulan terakhir. Hipertensi (TD&gt;170/110) atau hipotensi (TD&lt;90/50) saat istirahat. Riwayat gangguan</t>
  </si>
  <si>
    <t>terapi disfungsi ereksi pria dewasa</t>
  </si>
  <si>
    <t>sildenafil citrate tablet terapi disfungsi ereksi pria dewasa</t>
  </si>
  <si>
    <t>DKI1850700196A1</t>
  </si>
  <si>
    <t>Bifido 50 mg 1 Sachet</t>
  </si>
  <si>
    <t>Rp75.600 - Rp111.100</t>
  </si>
  <si>
    <t>Dus, 1 Blister @ 4 Sachet @ 1 film larut oral</t>
  </si>
  <si>
    <t>Pasien yang menggunakan nitrat organik intermiten dan atau regular.</t>
  </si>
  <si>
    <t>HARUS DENGAN RESEP DOKTER. Pasien pria yang tidak dianjurkan melakukan aktivitas seksual karena adanya penyakit KV. Pasien infark miokard, stroke, aritmia yang mengancam nyawa dalam 6 bulan terakhir. Hipertensi (TD&gt;170/110) atau hipotensi (TD&lt;90/50) saat istirahat.</t>
  </si>
  <si>
    <t>odf</t>
  </si>
  <si>
    <t>sildenafil</t>
  </si>
  <si>
    <t>bifido</t>
  </si>
  <si>
    <t>bifido odf sildenafil terapi disfungsi ereksi pria dewasa</t>
  </si>
  <si>
    <t>TR073670621</t>
  </si>
  <si>
    <t>Sidola Minyak Kayu Putih 60 ml</t>
  </si>
  <si>
    <t>SIDOLA MINYAK KAYU PUTIH</t>
  </si>
  <si>
    <t>Rp35.300 - Rp36.500</t>
  </si>
  <si>
    <t>Oleskan pada bagian badan yang sakit</t>
  </si>
  <si>
    <t>Gunakan sesuai kebutuhan</t>
  </si>
  <si>
    <t>Hanya untuk pemakaian luar</t>
  </si>
  <si>
    <t>sidola minyak kayu putih</t>
  </si>
  <si>
    <t>sidola kayu putih</t>
  </si>
  <si>
    <t xml:space="preserve">sidola kayu putih minyak sidola minyak kayu putih </t>
  </si>
  <si>
    <t>Sidola Minyak Kayu Putih 30 ml</t>
  </si>
  <si>
    <t>Rp17.800 - Rp19.500</t>
  </si>
  <si>
    <t>TR182322231</t>
  </si>
  <si>
    <t>Herbamojo 30 Kapsul</t>
  </si>
  <si>
    <t>HERBA MOJO</t>
  </si>
  <si>
    <t>Rp160.500 - Rp185.000</t>
  </si>
  <si>
    <t>herba mojo</t>
  </si>
  <si>
    <t>herbamojo</t>
  </si>
  <si>
    <t>herbamojo kapsul herba mojo membantu memelihara stamen pria</t>
  </si>
  <si>
    <t>DKL1121635217B1</t>
  </si>
  <si>
    <t>Rozgra 100 mg Tablet</t>
  </si>
  <si>
    <t>Rp72.300 - Rp86.900</t>
  </si>
  <si>
    <t>INFORMASI OBAT INI HANYA UNTUK KALANGAN MEDIS. Untuk terapi disfungsi ereksi</t>
  </si>
  <si>
    <t>Dus, 1 blister @4 tablet</t>
  </si>
  <si>
    <t>Pasien yang menggunakan nitrat organik, pasien yang diketahui hipersensitif</t>
  </si>
  <si>
    <t>HARUS DENGAN RESEP DOKTER. Deformitas anatomi penis seperti angulasi, fibrosis kavernosum atau penyakit Peyronie, pasien dengan predisposisi mengalami priapismus seperti anemia sel sabit, mieloma multipel, leukemia</t>
  </si>
  <si>
    <t>untuk terapi disfungsi ereksi</t>
  </si>
  <si>
    <t>rozgra</t>
  </si>
  <si>
    <t>rozgra tablet sildenafil citrate untuk terapi disfungsi ereksi</t>
  </si>
  <si>
    <t>Colgate Kids Minion Toothbrush 2-5 Years 1 Pieces</t>
  </si>
  <si>
    <t>Rp25.600 - Rp29.500</t>
  </si>
  <si>
    <t>Pack @ 1 Pieces</t>
  </si>
  <si>
    <t>colgate kids minion toothbrush years pieces</t>
  </si>
  <si>
    <t xml:space="preserve">colgate kids minion toothbrush years pieces tablet aminophylline </t>
  </si>
  <si>
    <t>QD192616941</t>
  </si>
  <si>
    <t>Cap Lang Inhaler</t>
  </si>
  <si>
    <t>Gunakan hanya dalam posisi tegak. Hirup dalam-dalam melalui tiap lubang hidung, membuat bernafas terasa lega dan sejuk.</t>
  </si>
  <si>
    <t>Hidung tersumbat karena pilek</t>
  </si>
  <si>
    <t>Plastik @ 1 Piece</t>
  </si>
  <si>
    <t>hidung tersumbat pilek</t>
  </si>
  <si>
    <t>cap lang inhaler</t>
  </si>
  <si>
    <t>cap lang inhaler inhaler camphor hidung tersumbat pilek</t>
  </si>
  <si>
    <t>Rp9.000 - Rp10.600</t>
  </si>
  <si>
    <t>Sidola Minyak Kayu Putih 15 ml</t>
  </si>
  <si>
    <t>Rp6.800 - Rp13.900</t>
  </si>
  <si>
    <t>Colgate Kids Minion Toothbrush 5-9 Years 1 Pieces</t>
  </si>
  <si>
    <t>Rp26.500 - Rp29.500</t>
  </si>
  <si>
    <t>TR082383361</t>
  </si>
  <si>
    <t>Borobudur Em 60 Kapsul</t>
  </si>
  <si>
    <t>EM KAPSUL</t>
  </si>
  <si>
    <t>Sesudah makan, mulai 4-5 hari sebelum datang haid.</t>
  </si>
  <si>
    <t>3 kali sehari @ 2 kapsul</t>
  </si>
  <si>
    <t>Membantu melancarkan haid</t>
  </si>
  <si>
    <t>Dus, 6 Strip @ 10 Kapsul</t>
  </si>
  <si>
    <t>em kapsul</t>
  </si>
  <si>
    <t>membantu melancarkan haid</t>
  </si>
  <si>
    <t>borobudur em</t>
  </si>
  <si>
    <t>borobudur em kapsul em kapsul membantu melancarkan haid</t>
  </si>
  <si>
    <t xml:space="preserve">laurier pantyliners non perfumed pads tablet sildenafil citrate </t>
  </si>
  <si>
    <t>Sildenafil Citrate 100 mg 4 Tablet</t>
  </si>
  <si>
    <t>Rp124.400 - Rp248.700</t>
  </si>
  <si>
    <t>DKL9305011210A1</t>
  </si>
  <si>
    <t>Rhinofed 10 Tablet</t>
  </si>
  <si>
    <t>PENGGUNAAN OBAT INI HARUS SESUAI DENGAN PETUNJUK DOKTER. Dewasa dan anak lebih dari 12 tahun : 3 x per hari, 1-2 tablet.</t>
  </si>
  <si>
    <t>INFORMASI OBAT INI HANYA UNTUK KALANGAN MEDIS. Rhinitis alergika, rhinitis vasomotor</t>
  </si>
  <si>
    <t>Dus, 5 Blister @ 10 tablet</t>
  </si>
  <si>
    <t>Insufisiensi koroner, aritmia &amp; hipertensi berat. Pemberian bersamaan dengan antibiotik makrolid atau anti jamur azole.</t>
  </si>
  <si>
    <t>HARUS DENGAN RESEP DOKTER. Hati-hati penggunaan pada pasien glaukoma sudut sempit, hipertensi, DM, hipertiroid.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</si>
  <si>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pseudoephedrine hydrochloride</t>
  </si>
  <si>
    <t>rhinitis alergika , rhinitis vasomotor</t>
  </si>
  <si>
    <t>rhinofed</t>
  </si>
  <si>
    <t>rhinofed tablet pseudoephedrine hydrochloride rhinitis alergika  rhinitis vasomotor</t>
  </si>
  <si>
    <t>TR132370451</t>
  </si>
  <si>
    <t>Bioprost 160 mg 30 Kapsul</t>
  </si>
  <si>
    <t>BIOPROST</t>
  </si>
  <si>
    <t>Rp80.500 - Rp157.400</t>
  </si>
  <si>
    <t>Sehari 2 kali 1 kapsul lunak selama 12 minggu, Pemeliharaan sehari 1 kapsul lunak.</t>
  </si>
  <si>
    <t>Membantu kelancaran berkemih akibat gangguan prostat</t>
  </si>
  <si>
    <t>Kapsul 160 mg x 30 x 1</t>
  </si>
  <si>
    <t>bioprost</t>
  </si>
  <si>
    <t>membantu kelancaran berkemih akibat gangguan prostat</t>
  </si>
  <si>
    <t>bioprost kapsul membantu kelancaran berkemih akibat gangguan prostat</t>
  </si>
  <si>
    <t>Billy Boy Extra Thin 10 Pieces</t>
  </si>
  <si>
    <t>Rp63.500 - Rp73.100</t>
  </si>
  <si>
    <t>Pack Isi 10 Pcs</t>
  </si>
  <si>
    <t>billy boy extra thin pieces</t>
  </si>
  <si>
    <t xml:space="preserve">billy boy extra thin pieces tablet sildenafil citrate </t>
  </si>
  <si>
    <t>QL031900291</t>
  </si>
  <si>
    <t>Vicks Inhaler</t>
  </si>
  <si>
    <t>Rp18.400 - Rp21.800</t>
  </si>
  <si>
    <t>Gunakan setiap kali dibutuhkan dengan hirup dalam-dalam melalui tiap lubang hidung</t>
  </si>
  <si>
    <t>Melegakan hidung tersumbat karena pilek</t>
  </si>
  <si>
    <t>Tabung @ 0.5 ml</t>
  </si>
  <si>
    <t>melegakan hidung tersumbat pilek</t>
  </si>
  <si>
    <t>vicks inhaler</t>
  </si>
  <si>
    <t>vicks inhaler inhaler camphor melegakan hidung tersumbat pilek</t>
  </si>
  <si>
    <t>paracetamol chlorphenamine maleate guaifenesin pseudoephedrine hydrochloride</t>
  </si>
  <si>
    <t xml:space="preserve">silabat kaplet paracetamol chlorphenamine maleate guaifenesin pseudoephedrine hydrochloride </t>
  </si>
  <si>
    <t>DTL8626000537A1</t>
  </si>
  <si>
    <t>OBH Tropica Extra Rasa Menthol Sirup 60 ml</t>
  </si>
  <si>
    <t>Rp21.000 - Rp23.700</t>
  </si>
  <si>
    <t>obh tropica extra rasa menthol</t>
  </si>
  <si>
    <t xml:space="preserve">obh tropica extra rasa menthol sirup ammonium chloride </t>
  </si>
  <si>
    <t>DTL9231103510A1</t>
  </si>
  <si>
    <t>Bronkris 8 mg 10 Tablet</t>
  </si>
  <si>
    <t>Rp1.500 - Rp2.000</t>
  </si>
  <si>
    <t>Dewasa dan anak &gt;10 tahun : 3 kali sehari 2 sendok takar. Anak 5-10 tahun : 3 kali sehari 1 sendok takar Anak 2-5 tahun : 3 kali sehari sendok takar. Anak 2 tahun : 1/2 sendok takar 3 kali sehari</t>
  </si>
  <si>
    <t>Pengobatan batuk yang memerlukan pengenceran dahak</t>
  </si>
  <si>
    <t>Tablet 8 mg x 10 x 10</t>
  </si>
  <si>
    <t>Hipersensitif, Pasien yang menderita ulkus lambung</t>
  </si>
  <si>
    <t>Penderita tukak lambung. Hamil, terutama trimester 1</t>
  </si>
  <si>
    <t>pengobatan batuk pengenceran dahak</t>
  </si>
  <si>
    <t>bronkris</t>
  </si>
  <si>
    <t>bronkris tablet bromhexine hydrochloride pengobatan batuk pengenceran dahak</t>
  </si>
  <si>
    <t>OBH Tropica Extra Rasa Menthol Sirup 100 ml</t>
  </si>
  <si>
    <t>Rp24.600 - Rp29.800</t>
  </si>
  <si>
    <t>DKI1950700396C1</t>
  </si>
  <si>
    <t>Caliberi 20 mg Odf</t>
  </si>
  <si>
    <t>Rp140.400 - Rp166.300</t>
  </si>
  <si>
    <t>Cara penggunaan Caliberi: 1. Buka kemasan sachet dari bagian atas. 2. Tarik kemasan sachet secara perlahan. 3. Letakan ODF di atas lidah dan biarkan larut, dapat dikonsumsi bersama air atau tanpa air.</t>
  </si>
  <si>
    <t>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</si>
  <si>
    <t>Dus, 2 sachet @ 1 Orodispersible film</t>
  </si>
  <si>
    <t>- Hipersensitivitas terhadap zat aktif atau zat tambahan (eksipien) CALIBERIÂ® - Pasien yang menggunakan nitrat organik - Pasien dengan gangguan jantung termasuk infark miokardial, angina yang tidak stabil atau angina yang terjadi selama coitus/hubungan s</t>
  </si>
  <si>
    <t>Sensitif Vivo 0.03 3 Pieces</t>
  </si>
  <si>
    <t>Digunakan pada kelamin pria saat berhubungan intim.</t>
  </si>
  <si>
    <t>Sesuai kebutuhan. Digunakan saat berhubungan intim.</t>
  </si>
  <si>
    <t>sensitif vivo pieces</t>
  </si>
  <si>
    <t>sensitif vivo pieces tablet sildenafil citrate alat kontrasepsi</t>
  </si>
  <si>
    <t>dextromethorphan hydrobromide phenylpropanolamine hydrochloride chlorphenamine maleate</t>
  </si>
  <si>
    <t xml:space="preserve">tranabat tablet dextromethorphan hydrobromide phenylpropanolamine hydrochloride chlorphenamine maleate </t>
  </si>
  <si>
    <t>phenylpropanolamine hydrochloride chlorphenamine maleate dextromethorphan hydrobromide</t>
  </si>
  <si>
    <t xml:space="preserve">tranabat tablet phenylpropanolamine hydrochloride chlorphenamine maleate dextromethorphan hydrobromide </t>
  </si>
  <si>
    <t>Glyceryl Guaiacolate 100 mg 100 Tablet</t>
  </si>
  <si>
    <t>Rp10.000 - Rp37.700</t>
  </si>
  <si>
    <t>2-4 tablet tiap 4 jam.Maksimal: 24 tablet sehari.</t>
  </si>
  <si>
    <t>Meringankan batuk produktif (sebagai ekspektoran).</t>
  </si>
  <si>
    <t>Tablet 100 Mg X 100'S.</t>
  </si>
  <si>
    <t>Hipersensitif, diabetes, penyakit liver, fenilketouria, hamil dan menyusui.</t>
  </si>
  <si>
    <t>Jangan digunakan pada anak dibawah 6 tahun kecuali secara khusus disarankan oleh dokter.</t>
  </si>
  <si>
    <t>meringankan batuk produktif ekspektoran</t>
  </si>
  <si>
    <t>glyceryl guaiacolate</t>
  </si>
  <si>
    <t>glyceryl guaiacolate tablet guaifenesin meringankan batuk produktif ekspektoran</t>
  </si>
  <si>
    <t>DKL9232000537A1</t>
  </si>
  <si>
    <t>Ventolin Sirup 100 ml</t>
  </si>
  <si>
    <t>Rp53.900 - Rp83.500</t>
  </si>
  <si>
    <t>PENGGUNAAN OBAT INI HARUS SESUAI DENGAN PETUNJUK DOKTER. Dewasa : 3-4 kali sehari 10 mL. Jika bronkodilatasi tidak adekuat, setiap dosis tunggal dapat ditingkatkan secara bertahap sampai 20 mL. Pasien lanjut usia atau yang diketahui sensitif terhadap obat penstimulasi ? adrenergik : Dosis awal : Anak &gt; 12 tahun : 5-10 mL. Anak 6-12 tahun : 5 mL. Anak 2-6 tahun : 2.5-5 mL. Dosis diberikan 3-4 kali sehari</t>
  </si>
  <si>
    <t>INFORMASI OBAT INI HANYA UNTUK KALANGAN MEDIS. Penanganan dan pencegahan serangan asma</t>
  </si>
  <si>
    <t>Abortus yang mengancam selama kehamilan trimester 1 dan 2. Penanganan persalinan prematur seperti plasenta previa, perdarahan antepartum atau toksemia gravidarum</t>
  </si>
  <si>
    <t>Obat Wajib Apotek, Obat ini dapat dibeli dan diserahkan apoteker tanpa resep dengan maksimum 1 Botol. Pembelian melebihi batas ini WAJIB RESEP DOKTER. Hanya untuk pemakaian luar</t>
  </si>
  <si>
    <t>penanganan pencegahan serangan asma</t>
  </si>
  <si>
    <t>ventolin</t>
  </si>
  <si>
    <t>ventolin sirup salbutamol sulfate pega pencegahan serangan asma</t>
  </si>
  <si>
    <t xml:space="preserve">natracare tampons organic regular pads tablet sildenafil citrate </t>
  </si>
  <si>
    <t>DKL0815620537A1</t>
  </si>
  <si>
    <t>Oxoril Sirup 60 ml</t>
  </si>
  <si>
    <t>Rp26.700 - Rp39.900</t>
  </si>
  <si>
    <t>Sebaiknya diberikan pada saat perut kosong</t>
  </si>
  <si>
    <t>PENGGUNAAN OBAT INI HARUS SESUAI DENGAN PETUNJUK DOKTER. Dewasa &amp; anak ( &gt; 12 tahun) : 4 x sehari 10 ml Anak usia 10-12 tahun (30-40 kg) : 3-4 kali sehari 10 ml Anak usia 6-10 tahun (20-30 kg) : 2-3 x sehari 10 ml Anak usia 2-6 tahun (10-20 kg) : 2-3 x sehari 5 ml</t>
  </si>
  <si>
    <t>INFORMASI OBAT INI HANYA UNTUK KALANGAN MEDIS. Mengurangi batuk berdahak dengan reaksi alergi.</t>
  </si>
  <si>
    <t>Hipersensitivitas terhadap antihistamin. Riwayat agranulositosis, risiko retensi urin terkait gangguan uretroprostatik dan glaukoma sudut tertutup. Trimester pertama kehamilan dan laktasi (ibu menyusui)</t>
  </si>
  <si>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</si>
  <si>
    <t>mengurangi batuk berdahak reaksi alergi</t>
  </si>
  <si>
    <t>oxoril</t>
  </si>
  <si>
    <t>oxoril sirup guaifenesin mengurangi batuk berdahak reaksi alergi</t>
  </si>
  <si>
    <t>TR112627931</t>
  </si>
  <si>
    <t>Minyak Kayu Putih Balpirik 60 ml</t>
  </si>
  <si>
    <t>MINYAK KAYU PUTIH BALPIRIK</t>
  </si>
  <si>
    <t>Rp7.400 - Rp28.100</t>
  </si>
  <si>
    <t>minyak kayu putih balpirik</t>
  </si>
  <si>
    <t>kayu putih balpirik</t>
  </si>
  <si>
    <t xml:space="preserve">kayu putih balpirik minyak minyak kayu putih balpirik </t>
  </si>
  <si>
    <t xml:space="preserve">coparcetin kid cough sirup paracetamol guaifenesin chlorphenamine maleate </t>
  </si>
  <si>
    <t>charm safe night pads tablet sildenafil citrate menstruasi</t>
  </si>
  <si>
    <t xml:space="preserve">feminine comfort biru isi pads tablet sildenafil citrate </t>
  </si>
  <si>
    <t>TI104342211</t>
  </si>
  <si>
    <t>Sea-Quill Maxtion 60 Kapsul</t>
  </si>
  <si>
    <t>SEA-QUILL MAXTION</t>
  </si>
  <si>
    <t>Rp693.000 - Rp1.573.900</t>
  </si>
  <si>
    <t>2 kapsul setiap hari.</t>
  </si>
  <si>
    <t>sea-quill maxtion</t>
  </si>
  <si>
    <t>seaquill maxtion</t>
  </si>
  <si>
    <t>seaquill maxtion kapsul seaquill maxtion membantu memelihara stamen</t>
  </si>
  <si>
    <t>oxomemazine hydrochloride guaifenesin</t>
  </si>
  <si>
    <t xml:space="preserve">zemindo rasa coklat vanilla sirup oxomemazine hydrochloride guaifenesin </t>
  </si>
  <si>
    <t>Sensitif Vivo 0.03 12 Pieces</t>
  </si>
  <si>
    <t>Rp59.700 - Rp87.900</t>
  </si>
  <si>
    <t>Box @ 12 Pieces</t>
  </si>
  <si>
    <t>DTL8910901637A1</t>
  </si>
  <si>
    <t>Paraflu 60 ml</t>
  </si>
  <si>
    <t>Rp7.300 - Rp14.100</t>
  </si>
  <si>
    <t>phenylpropanolamine hydrochloride paracetamol guaifenesin chlorphenamine maleate</t>
  </si>
  <si>
    <t>paraflu</t>
  </si>
  <si>
    <t xml:space="preserve">paraflu sirup phenylpropanolamine hydrochloride paracetamol guaifenesin chlorphenamine maleate </t>
  </si>
  <si>
    <t xml:space="preserve">blood corn extra heavy pads tablet sildenafil citrate </t>
  </si>
  <si>
    <t>Vigel Tight 50 g</t>
  </si>
  <si>
    <t>Buka tutup kemasan, keluarkan isi pelumas, ratakan pada organ vital pria dan wanita.</t>
  </si>
  <si>
    <t>Digunakan sebagai lubrican atau pelumas</t>
  </si>
  <si>
    <t>Tube @ 50 gram</t>
  </si>
  <si>
    <t>Vigel tight bukan alat kontrasepsi.</t>
  </si>
  <si>
    <t>digunakan lubrican pelumas</t>
  </si>
  <si>
    <t>vigel tight</t>
  </si>
  <si>
    <t>vigel tight tablet sildenafil citrate digunakan lubrican pelumas</t>
  </si>
  <si>
    <t xml:space="preserve">carefree healthy fresh pantyliners pads tablet sildenafil citrate </t>
  </si>
  <si>
    <t>TR203603121</t>
  </si>
  <si>
    <t>Minyak Kayu Putih Karpos 20 ml</t>
  </si>
  <si>
    <t>KARPOS MINYAK KAYU PUTIH</t>
  </si>
  <si>
    <t>karpos minyak kayu putih</t>
  </si>
  <si>
    <t>kayu putih karpos</t>
  </si>
  <si>
    <t xml:space="preserve">kayu putih karpos minyak karpos minyak kayu putih </t>
  </si>
  <si>
    <t>TR202515841</t>
  </si>
  <si>
    <t>Nutrimax Stamina X 30 Tablet</t>
  </si>
  <si>
    <t>NUTRIMAX STAMINA X</t>
  </si>
  <si>
    <t>Rp464.800 - Rp697.600</t>
  </si>
  <si>
    <t>1-2 tablet per hari</t>
  </si>
  <si>
    <t>Membantu memelihara vitalitas prIa</t>
  </si>
  <si>
    <t>Tidak dianjurkan bagi anak-anak, wanita hamil dan ibu menyusui</t>
  </si>
  <si>
    <t>nutrimax stamina x</t>
  </si>
  <si>
    <t>membantu memelihara vitalitas pria</t>
  </si>
  <si>
    <t>nutrimax stamina x tablet membantu memelihara vitalitas pria</t>
  </si>
  <si>
    <t>Kondom Andalan Isi 3</t>
  </si>
  <si>
    <t>Rp5.200 - Rp10.300</t>
  </si>
  <si>
    <t>Dus @ 3 Pieces</t>
  </si>
  <si>
    <t>kondom andalan isi tablet sildenafil citrate alat kontrasepsi</t>
  </si>
  <si>
    <t>Sensitif Strip</t>
  </si>
  <si>
    <t>Rp21.900 - Rp26.600</t>
  </si>
  <si>
    <t>Pengujian dapat dilakukan minimal 7 hari setelah berhubungan. Tahapnya dapat dilakukan dengan cara menampung urine pertama yang keluar di pagi hari, kemudian strip dicelupkan ke dalamnya. Dalam waktu 1-3 menit hasil tes dapat terlihat. ( Dua garis : Positif, Satu garis : Negatif)</t>
  </si>
  <si>
    <t>Tes Strip untuk mengetahui kehamilan secara dini.</t>
  </si>
  <si>
    <t>Pack @ 1 Strip</t>
  </si>
  <si>
    <t>Alat test ini hanya dapat digunakan sekali pakai.</t>
  </si>
  <si>
    <t>tes strip kehamilan</t>
  </si>
  <si>
    <t>sensitif strip</t>
  </si>
  <si>
    <t>sensitif strip tablet sildenafil citrate tes strip kehamilan</t>
  </si>
  <si>
    <t>DTL7617623910A1</t>
  </si>
  <si>
    <t>Promedex 10 Tablet</t>
  </si>
  <si>
    <t>Rp28.300 - Rp29.200</t>
  </si>
  <si>
    <t>Dewasa dan anak-anak (diatas 12 tahun) : 1 tablet, 3 kali sehari Anak-anak 6-12 tahun : 1/2 tablet, 3 kali sehari</t>
  </si>
  <si>
    <t>Meredakan batuk yang disebabkan alergi.</t>
  </si>
  <si>
    <t>Dus, 10 Amplop @ 1 Strip @ 10 Tablet</t>
  </si>
  <si>
    <t>Hipersensitivitas terhadap salah satu komponen obat tersebut</t>
  </si>
  <si>
    <t>Selama minum obat ini tidak boleh mengendarai kendaraan bermotor atau menjalankan mesin. Tidak dianjurkan untuk anak-anak di bawah 2 tahun kecuali atas petunjuk dokter. Hati-hati untuk penderita dalam keadaan mengantuk dan hipoksia (kekurangan oksigen). Hati-hati bila digunakan pada penderita dengan gangguan fungsi hati. Dapat menyebabkan depresi pernafasan dan susunan saraf pusat pada penggunaan dengan dosis besar atau pada pasien degan gangguan fungsi pernafasan (misal asthma, emfisema). Jika digunakan oleh wanita hamil dan menyusui, harus di bawah pengawasan dokter.</t>
  </si>
  <si>
    <t>meredakan batuk disebabkan alergi</t>
  </si>
  <si>
    <t>promedex</t>
  </si>
  <si>
    <t>promedex tablet chlorphenamine maleate meredakan batuk disebabkan alergi</t>
  </si>
  <si>
    <t>DBL9600702437A1</t>
  </si>
  <si>
    <t>OBH Afiat 100 ml</t>
  </si>
  <si>
    <t>Dewasa : Sehari 3-4 kali, 3 sendok takar (15 ml) Anak-anak: Sehari 3-4 kali, 1 sendok takar (5 ml)</t>
  </si>
  <si>
    <t>Untuk meredakan batuk berdahak</t>
  </si>
  <si>
    <t>Penderita dengan gangguan jantung, diabetes melitus, gangguan fungsi hati berat dan hipersensitif terhadap komponen obat.</t>
  </si>
  <si>
    <t>untuk meredakan batuk berdahak</t>
  </si>
  <si>
    <t>obh afiat</t>
  </si>
  <si>
    <t>obh afiat sirup alcohol untuk meredakan batuk berdahak</t>
  </si>
  <si>
    <t>DTL9908011637A1</t>
  </si>
  <si>
    <t>Hustadin Syrup 60 ml</t>
  </si>
  <si>
    <t>Rp27.300 - Rp28.900</t>
  </si>
  <si>
    <t>Dengan atau tanpa makanan</t>
  </si>
  <si>
    <t>Dewasa dan anak&gt;12 tahun: 3 kali sehari 10ml sendok takar. anak 6-12tahun: 3 kali sehari 5ml sendok takar.</t>
  </si>
  <si>
    <t>Mengatasi gejala batuk dan flu</t>
  </si>
  <si>
    <t>Anak &lt;2 tahun, ibu hamil dan menyusui. pertusis dan asma.</t>
  </si>
  <si>
    <t>mengatasi gejala batuk flu</t>
  </si>
  <si>
    <t>hustadin</t>
  </si>
  <si>
    <t>hustadin sirup chlorphenamine maleate mengatasi gejala batuk flu</t>
  </si>
  <si>
    <t>DTL9609206404A1</t>
  </si>
  <si>
    <t>Bromifar 8 mg 10 Kaplet</t>
  </si>
  <si>
    <t>Rp1.600 - Rp2.700</t>
  </si>
  <si>
    <t>Dewasa dan anak &gt; 10 tahun : 1 kaplet 3 kali sehari. Anak 5-10 tahun : 1/2 kaplet 3 kali sehari. Anak 2-5 tahun : 1/4 kaplet 2 kali sehari</t>
  </si>
  <si>
    <t>Untuk batuk yang memerlukan pengenceran dahak.</t>
  </si>
  <si>
    <t>Bromifar kaplet 8 mg x 10 x 10</t>
  </si>
  <si>
    <t>untuk batuk pengenceran dahak</t>
  </si>
  <si>
    <t>bromifar</t>
  </si>
  <si>
    <t>bromifar kaplet bromhexine hydrochloride untuk batuk pengenceran dahak</t>
  </si>
  <si>
    <t>DKI2045900202A1</t>
  </si>
  <si>
    <t>Utrogestan 100 mg 15 Kapsul</t>
  </si>
  <si>
    <t>Rp230.500 - Rp278.900</t>
  </si>
  <si>
    <t>Sebaiknya diberikan pada saat perut kosong. Telan dengan segelas air diluar waktu makan. Sebaiknya diberikan menjelang tidur</t>
  </si>
  <si>
    <t>PENGGUNAAN OBAT INI HARUS SESUAI DENGAN PETUNJUK DOKTER. Tidak lebih dari 200 mg per asupan. Insufisiensi progesteron : 200-300 mg per hari dalam 1 atau 2 dosis terbagi. Dapat ditingkatkan hingga 600 mg per hari dalam 3 dosis terbagi, pada kasus untuk membantu terjadinya kehamilan.</t>
  </si>
  <si>
    <t>INFORMASI OBAT INI HANYA UNTUK KALANGAN MEDIS. Untuk gangguan yang berhubungan dengan defisiensi progesteron</t>
  </si>
  <si>
    <t>Dus, 2 Blister @ 15 Kapsuk Lunak</t>
  </si>
  <si>
    <t>Hipersensitivitas. Perubahan parah pada fungsi hati.</t>
  </si>
  <si>
    <t>HARUS DENGAN RESEP DOKTER. Siklus menstruasi dapat diperpendek &amp;/atau perdarahan dapat terjadi jika urutan pengobatan dimulai terlalu dini, terutama sebelum hari ke-15 siklus. Tidak boleh diresepkan jika ada perdarahan uterus. Tangguhkan pengobatan pada awal gangguan mata (misalnya, kehilangan penglihatan, diplopia, lesi vaskular retina), tromboemboli vena atau kejadian trombotik, sakit kepala parah. Berikan selama minimal 12 hari/siklus selama HRT yang melibatkan estrogen. Pantau ketat pasien dengan riwayat tromboflebitis. Dapat mempengaruhi kemampuan mengemudi atau mengoperasikan mesin. Penggunaan kapsul lunak Progesteron (Utrogestan) tidak dikontraindikasikan selama kehamilan termasuk beberapa minggu pertama. Seharusnya tidak diresepkan untuk ibu menyusui. Kategori Kehamilan : Kategori B: Mungkin dapat digunakan oleh wanita hamil. Penelitian pada hewan uji tidak memperlihatkan ada nya risiko terhadap janin, namun belum ada bukti penelitian langsung terhadap wanita hamil. Konsultasikan kepada tenaga medis apabila sedang menyusui.</t>
  </si>
  <si>
    <t>progesterone</t>
  </si>
  <si>
    <t>untuk gangguan berhubungan defisiensi progesteron</t>
  </si>
  <si>
    <t>utrogestan</t>
  </si>
  <si>
    <t>utrogestan kapsul progesterone untuk gangguan berhubungan defisiensi progesteron</t>
  </si>
  <si>
    <t>Fiesta Strawberry Lubricant Gel 50 ml</t>
  </si>
  <si>
    <t>Rp42.000 - Rp46.200</t>
  </si>
  <si>
    <t>Tuangkan FIESTA STRAWBERRY LUBRICANT GEL secukupnya pada jari tangan. Untuk pemakaian pada organ intim wanita, oleskan. Untuk pemakaian pada organ intim pria, oleskan. Untuk pemakaian jika menggunakan kondom, oleskan pada bagian luar kondom yang sudah terpasang pada organ intim pria.</t>
  </si>
  <si>
    <t>Produk ini digunakan sebagai pelumas</t>
  </si>
  <si>
    <t>produk pelumas</t>
  </si>
  <si>
    <t>fiesta strawberry lubricant</t>
  </si>
  <si>
    <t>fiesta strawberry lubricant tablet sildenafil citrate produk pelumas</t>
  </si>
  <si>
    <t>DTL1402813237A1</t>
  </si>
  <si>
    <t>Komix OBH Sachet 7 ml</t>
  </si>
  <si>
    <t>Rp1.200 - Rp2.000</t>
  </si>
  <si>
    <t>Dewasa: 3 x sehari 1-2 sachet</t>
  </si>
  <si>
    <t xml:space="preserve">blood corn size panty pads tablet sildenafil citrate </t>
  </si>
  <si>
    <t>DKL8717604710A1</t>
  </si>
  <si>
    <t>Intifen 1 mg 10 Tablet</t>
  </si>
  <si>
    <t>Rp40.900 - Rp65.700</t>
  </si>
  <si>
    <t>PENGGUNAAN OBAT INI HARUS SESUAI DENGAN PETUNJUK DOKTER. Dewasa : 2 x sehari 1 tablet, bila diperlukan dapat ditingkatkan hingga 2 x sehari 2 tablet. Anak &gt; 3 tahun : 2x sehari 0.5</t>
  </si>
  <si>
    <t>Pencegahan jangka panjang untuk asma bronkial.</t>
  </si>
  <si>
    <t>Obat Wajib Apotek, Obat ini dapat dibeli dan diserahkan apoteker tanpa resep dengan maksimum 1 Strip. Pembelian melebihi batas ini WAJIB RESEP DOKTER. Dapat mengganggu kemampuan mengemudi atau menjalankan mesin. Asma, glaukoma sudut sempit, epilepsi, hamil, laktasi, MAOI.</t>
  </si>
  <si>
    <t>ketotifen fumarate</t>
  </si>
  <si>
    <t>pencegahan jangka asma bronkial</t>
  </si>
  <si>
    <t>intifen</t>
  </si>
  <si>
    <t>intifen tablet ketotifen fumarate pencegahan jangka asma bronkial</t>
  </si>
  <si>
    <t>Kondom Sutra Isi 24</t>
  </si>
  <si>
    <t>Rp50.400 - Rp55.500</t>
  </si>
  <si>
    <t>Dus @ 24 Pieces</t>
  </si>
  <si>
    <t>kondom sutra isi</t>
  </si>
  <si>
    <t>kondom sutra isi tablet sildenafil citrate alat kontrasepsi</t>
  </si>
  <si>
    <t>DTL0826009237A1</t>
  </si>
  <si>
    <t>OBH Tropica Expectorant Rasa Madu Sirup 60 ml</t>
  </si>
  <si>
    <t>Rp15.700 - Rp18.300</t>
  </si>
  <si>
    <t>obh tropica expectorant rasa madu</t>
  </si>
  <si>
    <t xml:space="preserve">obh tropica expectorant rasa madu sirup ammonium chloride </t>
  </si>
  <si>
    <t xml:space="preserve">natracare tampons organic super pads tablet sildenafil citrate </t>
  </si>
  <si>
    <t>DTL1821207237A1</t>
  </si>
  <si>
    <t>Bisolvon Kids Sirup 60 ml</t>
  </si>
  <si>
    <t>Rp45.100 - Rp59.700</t>
  </si>
  <si>
    <t>Dewasa dan anak &gt; 10 tahun : 3 kali sehari 10 mL. Anak 5-10 tahun : 3 kali sehari 5 mL. Anak 2-5 tahun : 2 kali sehari 5 mL</t>
  </si>
  <si>
    <t>penderita yang hipersensitif terhadap Bromhexine HCl atau komponen lain dalam formula.</t>
  </si>
  <si>
    <t>Pasien dengan tukak lambung. Tidak boleh dikonsumsi pasien dg intoleransi fruktosa. Efek pencahar ringan. Hindari penggunaan selama kehamilan. Sebaiknya tidak digunakan selama menyusui.</t>
  </si>
  <si>
    <t>bisolvon kids</t>
  </si>
  <si>
    <t>bisolvon kids sirup bromhexine hydrochloride mukolitik batuk produktif</t>
  </si>
  <si>
    <t>DKL9118808810A1</t>
  </si>
  <si>
    <t>Nairet 2.5 mg 10 Tablet</t>
  </si>
  <si>
    <t>Rp14.500 - Rp24.400</t>
  </si>
  <si>
    <t>Berikan bersama makan.</t>
  </si>
  <si>
    <t>PENGGUNAAN OBAT INI HARUS SESUAI DENGAN PETUNJUK DOKTER. Dewasa : 2-3 kali sehari 1-2 tablet, maksimum 15mg sehari. Untuk pemula pengobatan 1 tablet, 2-3 kali sehari. Anak 12- 15 th : 0.5 - 1 tablet, 2-3 kali sehari, maksimum 7,5 mg sehari. Tidak dianjurkan untuk anak dibawah 12 tahun.</t>
  </si>
  <si>
    <t>INFORMASI OBAT INI HANYA UNTUK KALANGAN MEDIS. Untuk mengobati bronkospasme akut.</t>
  </si>
  <si>
    <t>Tokolisis akut dan hipersensitif.</t>
  </si>
  <si>
    <t>Obat Wajib Apotek, Obat ini dapat dibeli dan diserahkan apoteker tanpa resep dengan maksimum 2 Strip. Pembelian melebihi batas ini WAJIB RESEP DOKTER. Gangguan fungsi hati, wanita hamil dan menyusui.</t>
  </si>
  <si>
    <t>untuk mengobati bronkospasme akut</t>
  </si>
  <si>
    <t>nairet</t>
  </si>
  <si>
    <t>nairet tablet terbutaline sulfate untuk mengobati bronkospasme akut</t>
  </si>
  <si>
    <t>DKL1833542337A1</t>
  </si>
  <si>
    <t>Oksovell Sirup 60 ml</t>
  </si>
  <si>
    <t>oksovell</t>
  </si>
  <si>
    <t>oksovell sirup guaifenesin mengurangi batuk berdahak reaksi alergi</t>
  </si>
  <si>
    <t>DTL9930702510A1</t>
  </si>
  <si>
    <t>Oskadon Sp 4 Tablet</t>
  </si>
  <si>
    <t>Rp2.000 - Rp2.200</t>
  </si>
  <si>
    <t>Dewasa : 3-4 kali sehari 1 tablet</t>
  </si>
  <si>
    <t>Meredakan nyeri otot pada punggung dan pinggang</t>
  </si>
  <si>
    <t>Dus, 25 Catch Cover @ 1 Strip @ 4 Tablet</t>
  </si>
  <si>
    <t>Tukak peptik berat dan aktif, gangguan fungsi hati, asma, rinitis atau urtikaria. Hamil trimester 3</t>
  </si>
  <si>
    <t>Porfiria, penyakit ginjal atau gangguan fungsi hati</t>
  </si>
  <si>
    <t>DKI1542000343A1</t>
  </si>
  <si>
    <t>Novorapid Flexpen 3 ml</t>
  </si>
  <si>
    <t>Rp112.300 - Rp228.300</t>
  </si>
  <si>
    <t>Injeksi secara subkutan. Disuntikkann segera sebelum atau setelah makan.</t>
  </si>
  <si>
    <t>PENGGUNAAN OBAT INI HARUS SESUAI DENGAN PETUNJUK DOKTER. Dosis bersifat individual, injeksi subkutan (SC) Dosis lazim : 0.5-1 IU/kg BB perhari</t>
  </si>
  <si>
    <t>INFORMASI OBAT INI HANYA UNTUK KALANGAN MEDIS. Terapi atau pengobatan untuk Diabetes Melitus.</t>
  </si>
  <si>
    <t>Dus, 5 Cartridge @ 3 ml</t>
  </si>
  <si>
    <t>Obat ini tidak boleh diberikan kepada pasien yang mengalami: - Hipoglikemia - Alergi atau hipersensitif terhadap komponen obat ini</t>
  </si>
  <si>
    <t>HARUS DENGAN RESEP DOKTER. - Sebelum digunakan, periksa kembali label untuk memastikan insulin yang tepat. - Selalu gunakan jarum baru setiap penyuntikan untuk menghindari kontaminasi. - Sebaiknya dilakukan rotasi/penggantian lokasi pemberian injeksi secara rutin untuk mengurangi atau mencegah reaksi yang tidak diinginkan. - Dosis yang tidak adekuat atau penghentian pengobatan, terutama pada diabetes tipe 1, dapat menyebabkan hiperglikemia &amp; ketoasidosis diabetikum. - Penyakit yang menyertai, terutama infeksi dan kondisi demam biasanya meningkatkan kebutuhan insulin pasien. Pada penyakit ginjal, hati atau yang mempengaruhi kelenjar adrenal, hipofisis atau tiroid dapat memerlukan perubahan dosis insulin. - Pengurangan jadwal makan atau latihan fisik yang berat dan tidak diperhitungkan dapat menyebabkan hipoglikemia. - Sebagai akibat dari hipoglikemia, kemampuan pasien untuk mengemudi atau menjalankan mesin dapat terganggu. - Pasien harus berkonsultasi dengan dokter sebelum melakukan perjalanan di antara zona waktu yang berbeda. - Kasus gagal jantung kongestif telah dilaporkan ketika thiazolidinediones digunakan dalam kombinasi dengan insulin. Thiazolidinediones harus dihentikan jika terjadi gejala penurunan fungsi jantung. - Belum ada studi penggunaan pada anak-anak usia di bawah 2 tahun. - Pemindahan ke jenis atau merek insulin lain harus dilakukan di bawah pengawasan medis atau dokter.</t>
  </si>
  <si>
    <t>insulin aspart</t>
  </si>
  <si>
    <t>terapi pengobatan diabetes melitus</t>
  </si>
  <si>
    <t>novorapid flexpen</t>
  </si>
  <si>
    <t>novorapid flexpen injeksi insulin aspart terapi pengobatan diabetes melitus</t>
  </si>
  <si>
    <t>DTL7621706810A1</t>
  </si>
  <si>
    <t>Mextril 4 Tablet</t>
  </si>
  <si>
    <t>Rp2.800 - Rp3.400</t>
  </si>
  <si>
    <t>Dewasa : 3-4 sehari 1 tablet</t>
  </si>
  <si>
    <t>Untuk mengatasi semua jenis batuk dan pilek</t>
  </si>
  <si>
    <t>Penderita dengan gangguan jantung dan diabetes mellitus, Penderita dengan gangguan fungsi hati yang berat, Penderita yang hipersensitif terhadap salah satu komponen.</t>
  </si>
  <si>
    <t>Tidak boleh diberikan pada penderita yang peka terhadap obat supatomimetik lain (misal: efedrin, pseudoefedrin, fenilefrin), penderita tekanan darah tinggi berat, dan yang mendapat terapi obat anti depresan tipe penghambat Monoamin Oksidasi (MAO).Tidak boleh melebihi dosis yang dianjurkan.Hati-hati penggunaan pada penderita tekanan darah tinggi atau yang mempunyai potensi tekanan darah tinggi atau stroke, seperti pada penderita dengan berat badan berlebih (over weight) atau penderita usia lanjut.Bila dalam tiga hari gejala-gejala tidak berkurang segera hubungi dokter atau unit pelayanan kesehatan.Hentikan penggunaan obat ini jika terjadi susah tidur, jantung berdebar, dan pusing.</t>
  </si>
  <si>
    <t>untuk mengatasi jenis batuk pilek</t>
  </si>
  <si>
    <t>mextril</t>
  </si>
  <si>
    <t>mextril tablet chlorphenamine maleate untuk mengatasi jenis batuk pilek</t>
  </si>
  <si>
    <t>HT112300071</t>
  </si>
  <si>
    <t>Borobudur Bilon 100 Kapsul</t>
  </si>
  <si>
    <t>BILON</t>
  </si>
  <si>
    <t>Rp104.500 - Rp126.400</t>
  </si>
  <si>
    <t>sesudah atau sebelum makan</t>
  </si>
  <si>
    <t>Membantu meringankan gejala kencing manis</t>
  </si>
  <si>
    <t>bilon</t>
  </si>
  <si>
    <t>borobudur bilon</t>
  </si>
  <si>
    <t>borobudur bilon kapsul bilon membantu meringankan gejala kencing manis</t>
  </si>
  <si>
    <t>DBL7814805548A1</t>
  </si>
  <si>
    <t>Vital Ear Drops 10 ml</t>
  </si>
  <si>
    <t>Rp16.000 - Rp23.100</t>
  </si>
  <si>
    <t>Diteteskan pada telinga yang sakit</t>
  </si>
  <si>
    <t>2 tetes 3 kali sehari</t>
  </si>
  <si>
    <t>Sebagai antiseptik rongga telinga</t>
  </si>
  <si>
    <t>Dus, 12 Dus @ 1 Botol Plastik @ 10 ml</t>
  </si>
  <si>
    <t>Hipersensitif terhadap bahan aktif yang terkandung, dan Perforasi gendang telinga.</t>
  </si>
  <si>
    <t>Cegah kontak dengan mata. Bila keluhan berlanjut, konsultasikan ke dokter</t>
  </si>
  <si>
    <t>camphor oil</t>
  </si>
  <si>
    <t>sebagai antiseptik rongga telinga</t>
  </si>
  <si>
    <t>vital ear</t>
  </si>
  <si>
    <t>vital ear tetes camphor oil sebagai antiseptik rongga telinga</t>
  </si>
  <si>
    <t>Oral-B Sikat Gigi Complete Whitening Soft</t>
  </si>
  <si>
    <t>Rp13.500 - Rp27.500</t>
  </si>
  <si>
    <t>Pack @ 1 Unit</t>
  </si>
  <si>
    <t>oralb sikat gigi complete whitening soft</t>
  </si>
  <si>
    <t xml:space="preserve">oralb sikat gigi complete whitening soft tablet tizanidine hydrochloride </t>
  </si>
  <si>
    <t>DTL1438202146A1</t>
  </si>
  <si>
    <t>Insto Dry Eyes 7.5 ml</t>
  </si>
  <si>
    <t>Rp16.000 - Rp19.800</t>
  </si>
  <si>
    <t>teteskan pada mata yang sakit</t>
  </si>
  <si>
    <t>1-2 tetes pada setiap mata, 3 kali sehari</t>
  </si>
  <si>
    <t>mengatasi kekeringan pada mata dan sebagai pelumas mata</t>
  </si>
  <si>
    <t>Dus, Botol @ 7,5 ml</t>
  </si>
  <si>
    <t>Awas!, obat keras. Hanya untuk bagian luar dari badan.</t>
  </si>
  <si>
    <t>mengatasi kekeringan mata pelumas mata</t>
  </si>
  <si>
    <t>insto eyes</t>
  </si>
  <si>
    <t>insto eyes tetes hypromellose mengatasi kekeringan mata pelumas mata</t>
  </si>
  <si>
    <t>Durex Play Tingle 100 ml</t>
  </si>
  <si>
    <t>Rp63.500 - Rp101.100</t>
  </si>
  <si>
    <t>Dioleskan pada alat kelamin pria</t>
  </si>
  <si>
    <t>Sebagai pelumas pada saat berhubungan</t>
  </si>
  <si>
    <t>Tube 100 ml</t>
  </si>
  <si>
    <t>Jika Anda mengalami iritasi, berhentilah menggunakannya. Jika iritasi masih berlanjut atau Anda ketagihan/kecanduan untuk selalu menggunakannya, segera hubungi dokter.</t>
  </si>
  <si>
    <t>sebagai pelumas berhubungan</t>
  </si>
  <si>
    <t>durex play tingle</t>
  </si>
  <si>
    <t>durex play tingle tablet sildenafil citrate sebagai pelumas berhubungan</t>
  </si>
  <si>
    <t>Carefree Panty Liner Super Dry Unscented 20 Pads</t>
  </si>
  <si>
    <t>Rp11.000 - Rp19.000</t>
  </si>
  <si>
    <t>Pack @ 40 pads</t>
  </si>
  <si>
    <t>carefree panty liner super unscented pads</t>
  </si>
  <si>
    <t xml:space="preserve">carefree panty liner super unscented pads tablet sildenafil citrate </t>
  </si>
  <si>
    <t>Carefree Panty Liner Super Dry Unscented 40 Pads</t>
  </si>
  <si>
    <t>Rp18.700 - Rp30.100</t>
  </si>
  <si>
    <t>Carefree Panty Liners Breathable Unscented 40 Pads</t>
  </si>
  <si>
    <t>Rp16.500 - Rp36.200</t>
  </si>
  <si>
    <t>Gunakan seperti menggunakan liners pada umumnya.</t>
  </si>
  <si>
    <t>Sesuai kebuthan. Untuk kesegaran maksimum, ganti (tukar) panty liner 2 kali sehari.</t>
  </si>
  <si>
    <t>Pack @ 40 Pieces</t>
  </si>
  <si>
    <t>carefree panty liners breathable unscented pads</t>
  </si>
  <si>
    <t xml:space="preserve">carefree panty liners breathable unscented pads tablet sildenafil citrate </t>
  </si>
  <si>
    <t>metamizole sodium thiamine hydrochloride pyridoxine hydrochloride cyanocobalamin</t>
  </si>
  <si>
    <t xml:space="preserve">biropyron kaplet metamizole sodium thiamine hydrochloride pyridoxine hydrochloride cyanocobalamin </t>
  </si>
  <si>
    <t>Oral B Sikat Gigi 123 Medum 3 Pieces</t>
  </si>
  <si>
    <t>Rp12.000 - Rp19.800</t>
  </si>
  <si>
    <t>oral b sikat gigi medum pieces</t>
  </si>
  <si>
    <t xml:space="preserve">oral b sikat gigi medum pieces tablet tizanidine hydrochloride </t>
  </si>
  <si>
    <t>Carefree Breathable Unscented Panty Liners 20 Pads</t>
  </si>
  <si>
    <t>Rp6.900 - Rp18.700</t>
  </si>
  <si>
    <t>Pack @ 20 Pads</t>
  </si>
  <si>
    <t>carefree breathable unscented panty liners pads</t>
  </si>
  <si>
    <t xml:space="preserve">carefree breathable unscented panty liners pads tablet sildenafil citrate </t>
  </si>
  <si>
    <t>DKL7804510629A1</t>
  </si>
  <si>
    <t>Burnazin 10 mg/g Cream 35 g</t>
  </si>
  <si>
    <t>Rp76.600 - Rp96.800</t>
  </si>
  <si>
    <t>Setelah membersihkan &amp; debridement luka, oleskan krim dengan sarung tangan steril pada permukaan yg terbakar, 1-2 x sehari dengan ketebalan 2 mm. Terapi dilanjutkan s/d penyembuhan atau sisi yg terbakar sudah siap untuk dicangkok.</t>
  </si>
  <si>
    <t>PENGGUNAAN OBAT INI HARUS SESUAI DENGAN PETUNJUK DOKTER. 1-2 x sehari oleskan tipis</t>
  </si>
  <si>
    <t>INFORMASI OBAT INI HANYA UNTUK KALANGAN MEDIS. Luka bakar untuk semua tingkat keparahan</t>
  </si>
  <si>
    <t>Dus, 1 tube @ 35 g</t>
  </si>
  <si>
    <t>Hamil, menyusui, hipersensitif, bayi prematur atau bayi berusia 2 bulan</t>
  </si>
  <si>
    <t>Obat Wajib Apotek, Obat ini dapat dibeli dan diserahkan apoteker tanpa resep dengan maksimum 1 Tube. Pembelian melebihi batas ini WAJIB RESEP DOKTER. bersihkan area kulit yang luka sebelum di obati, hindari kontak mata, jangan di telan</t>
  </si>
  <si>
    <t>luka bakar tingkat keparahan</t>
  </si>
  <si>
    <t>burnazin cream krim sulfadiazine silver luka bakar tingkat keparahan</t>
  </si>
  <si>
    <t>DKL9805025715B1</t>
  </si>
  <si>
    <t>Pronalges Suppositoria 100 mg</t>
  </si>
  <si>
    <t>Rp22.200 - Rp24.500</t>
  </si>
  <si>
    <t>Dimasukkan melalui anus/dubur</t>
  </si>
  <si>
    <t>PENGGUNAAN OBAT INI HARUS SESUAI DENGAN PETUNJUK DOKTER. 2 kali sehari 1 suppositoria</t>
  </si>
  <si>
    <t>INFORMASI OBAT INI HANYA UNTUK KALANGAN MEDIS. Nyeri pasca operasi, pasca partum, dan ortopedik</t>
  </si>
  <si>
    <t>Pasien yang akan atau telah menjalani operasi by-pass jantung sebaiknya jangan menggunakan Pronalges (ketoprofen) atau NSAID lainnya. Tidak boleh diberikan kepada pasien yang menderita asma, urtikaria, atau reaksi alergi lain terhadap aspirin atau NSAID lainnya. Hindari menggunakan obat ini pada trimester akhir kehamilan karena dapat menyebabkan penutupan dini duktus arteriosus.</t>
  </si>
  <si>
    <t>HARUS DENGAN RESEP DOKTER. Jangan menggunakan obat ini pada pasien yang memiliki fungsi hati dan ginjal yang buruk, sedang atau pernah memiliki sakit jantung. Jika pasien menderita hipertensi tekanan darah harus dipantau selama pengobatan. Karena NSAID dapat menyebabkan retensi cairan dan edema, perhatian harus diberikan pada pasien dengan gagal jantung atau yang sudah pernah mengalami retensi cairan. Pasien harus cukup terhidrasi (cukup cairan) sebelum menggunakan Pronalges (ketoprofen). Obat ini dapat menyebabkan pusing atau mengantuk, yang akan lebih buruk jika pasien juga mengkonsumsi alkohol. Jangan mengemudi atau menyalakan mesin selama pemakaian obat. Penggunaan pada pasien lanjut usia harus lebih hati ? hati karena mereka lebih sensitif terhadap efek obat ini, terutama perdarahan perut dan masalah ginjal.</t>
  </si>
  <si>
    <t>nyeri pasca operasi , pasca partum , ortopedik</t>
  </si>
  <si>
    <t>pronalges</t>
  </si>
  <si>
    <t>pronalges tablet ketoprofen nyeri pasca operasi  pasca partum  ortopedik</t>
  </si>
  <si>
    <t>Pierrot Mint Expanding Dental Floss 30 m</t>
  </si>
  <si>
    <t>Rp63.300 - Rp75.500</t>
  </si>
  <si>
    <t>Pack @ 30 m</t>
  </si>
  <si>
    <t>pierrot mint expanding dental floss m</t>
  </si>
  <si>
    <t xml:space="preserve">pierrot mint expanding dental floss m tablet tizanidine hydrochloride </t>
  </si>
  <si>
    <t>GKL9805025017A1</t>
  </si>
  <si>
    <t>Spiramycin 500 mg 10 Tablet</t>
  </si>
  <si>
    <t>Rp29.100 - Rp32.100</t>
  </si>
  <si>
    <t>PENGGUNAAN OBAT INI HARUS SESUAI DENGAN PETUNJUK DOKTER. Dewasa : 1 tablet 3 kali sehari selama 5 hari. Anak : 50 - 100 mg/kg BB/hari terbagi dalam 2 - 3 dosis selama 5 hari</t>
  </si>
  <si>
    <t>INFORMASI OBAT INI HANYA UNTUK KALANGAN MEDIS. Tonsilitis, otitis media, sinusitus dan infeksi sal nafas lainnya</t>
  </si>
  <si>
    <t>HARUS DENGAN RESEP DOKTER. Laktasi</t>
  </si>
  <si>
    <t>spiramycin</t>
  </si>
  <si>
    <t>tonsilitis , otitis medium , sinusitus infeksi sal nafas</t>
  </si>
  <si>
    <t>spiramycin tablet tonsilitis  otitis medium  sinusitus infeksi sal nafas</t>
  </si>
  <si>
    <t>Blood Corn 50 cm Size S-M 4 Panty Pads</t>
  </si>
  <si>
    <t>blood corn size sm panty pads</t>
  </si>
  <si>
    <t xml:space="preserve">blood corn size sm panty pads tablet sildenafil citrate </t>
  </si>
  <si>
    <t>Oral B Mint Satin Floss 50 M</t>
  </si>
  <si>
    <t>Rp32.400 - Rp52.000</t>
  </si>
  <si>
    <t>oral b mint satin floss m</t>
  </si>
  <si>
    <t xml:space="preserve">oral b mint satin floss m tablet tizanidine hydrochloride </t>
  </si>
  <si>
    <t>Systema Toothbrush Active Clean Soft Isi 1</t>
  </si>
  <si>
    <t>Rp11.000 - Rp15.000</t>
  </si>
  <si>
    <t>systema toothbrush active clean soft isi</t>
  </si>
  <si>
    <t xml:space="preserve">systema toothbrush active clean soft isi tablet tizanidine hydrochloride </t>
  </si>
  <si>
    <t>TI054515281</t>
  </si>
  <si>
    <t>Nature's Health Cougar 12 Tablet</t>
  </si>
  <si>
    <t>COUGAR</t>
  </si>
  <si>
    <t>1-2 tablet perhari</t>
  </si>
  <si>
    <t>Memelihara memelihara stamina pria</t>
  </si>
  <si>
    <t>Dus, 1 Blister @ 12 tablet</t>
  </si>
  <si>
    <t>cougar</t>
  </si>
  <si>
    <t>memelihara memelihara stamen pria</t>
  </si>
  <si>
    <t>natures health cougar</t>
  </si>
  <si>
    <t>natures health cougar tablet cougar memelihara memelihara stamen pria</t>
  </si>
  <si>
    <t>DBL9316905710A1</t>
  </si>
  <si>
    <t>Omegdiar 10 Tablet</t>
  </si>
  <si>
    <t>Diminum setiap setelah buang air besar.</t>
  </si>
  <si>
    <t>Dewasa dan anak-anak 12 lahun keatas 2 tablet sctiap setelah buang air besar. Maksimum penggunaan 12 tablet dalam 24 jam Anak-anak 6-12 tahun: 1 tablet setiap setelah buang air besar. Maksimum ponggunaan 6 tablet dalam 24 jam.</t>
  </si>
  <si>
    <t>Untuk pengobatan simptomatik pada diare non spesifik.</t>
  </si>
  <si>
    <t>Dus 10 amplop x 1 strip x 10 tablet</t>
  </si>
  <si>
    <t>Jangan diberikan pada pasien dimana konstipasi harus dihindari, Hipersensitifterhadapobatini, Obslruksi usus.</t>
  </si>
  <si>
    <t>Diare dapat menyebabkan kehilangan cairan dan elektrolit karena itu terapi rehidrasi (cairan rehidrasi oral) mungkin diperlukan, Jika diare pada anak-anak diserlai dengan dehidrasi, maka pengobatan awal harus diberikan cairan rehidrasi oral, Jangan diberikan pada anak-anak 3-6 tahun, kecuali alas petunjuk dokter, Dapat mempengaruhi absorpsi saluran pencernaan dari obat-obat lain, karena itu dianjurkan interval waktu 2-3 jam antara pemberian oral obat-obatan lain dengan obat ini.</t>
  </si>
  <si>
    <t>untuk pengobatan simptomatik diare non spesifik</t>
  </si>
  <si>
    <t>omegdiar tablet kaolin untuk pengobatan simptomatik diare non spesifik</t>
  </si>
  <si>
    <t>DKL9603808146A1</t>
  </si>
  <si>
    <t>Cendo Polynel Eye Drop 5 ml</t>
  </si>
  <si>
    <t>Rp28.400 - Rp42.200</t>
  </si>
  <si>
    <t>INFORMASI OBAT INI HANYA UNTUK KALANGAN MEDIS. Konjungtivitis karena infeksi bakteri</t>
  </si>
  <si>
    <t>Botol PE @ 5 ml</t>
  </si>
  <si>
    <t>hipersensitif, herpes simplex keratitis, tb aktif, cacar antibiotik neomycin, infeksi jamur</t>
  </si>
  <si>
    <t>HARUS DENGAN RESEP DOKTER. - penggunaan jangka panjang dapat menyebabkan katarak subkapsular posterior, galukoma - antibiotik bisa menyebabkan superinfeksi - kombinasi kortikosteroid bisa menyebabkan masking effect Kategori Kehamilan : C</t>
  </si>
  <si>
    <t>fluorometholone</t>
  </si>
  <si>
    <t>konjungtivitis infeksi bakteri</t>
  </si>
  <si>
    <t>cendo polynel eye drop</t>
  </si>
  <si>
    <t>cendo polynel eye drop tetes fluorometholone konjungtivitis infeksi bakteri</t>
  </si>
  <si>
    <t>TR192396231</t>
  </si>
  <si>
    <t>Nutrimax Royal Jelly 30 Kapsul</t>
  </si>
  <si>
    <t>NUTRIMAX ROYAL JELLY</t>
  </si>
  <si>
    <t>Rp172.400 - Rp349.000</t>
  </si>
  <si>
    <t>Diminum setelah makan pagi atau siang.</t>
  </si>
  <si>
    <t>1-2 kapsul sehari.</t>
  </si>
  <si>
    <t>- Tidak boleh digunakan pada anak-anak dibawah usia 2 tahun. - Simpan di bawah suhu 30 derjata celcius. - Jauhkan dari jangkauan anak-anak.</t>
  </si>
  <si>
    <t>nutrimax royal jelly</t>
  </si>
  <si>
    <t>nutrimax royal jelly kapsul membantu memelihara daya tahan tubuh</t>
  </si>
  <si>
    <t>DKL9631511933A1</t>
  </si>
  <si>
    <t>Inpepsa Suspensi 100 ml</t>
  </si>
  <si>
    <t>Rp87.700 - Rp108.500</t>
  </si>
  <si>
    <t>Saat perut kosong : 1 jam sebelum makan atau 2 jam sesudah makan dan menjelang tidur malam</t>
  </si>
  <si>
    <t>PENGGUNAAN OBAT INI HARUS SESUAI DENGAN PETUNJUK DOKTER. Dewasa : 4 x sehari 2 sendok takar (10 ml)</t>
  </si>
  <si>
    <t>INFORMASI OBAT INI HANYA UNTUK KALANGAN MEDIS. Tukak Usus, Tukak Lambung, Gastritis kronis</t>
  </si>
  <si>
    <t>Hipersensitivitas, pasien dengan gagal ginjal kronis karena obat ini bisa menyebabkan nefropati yang diinduksi oleh aluminium.</t>
  </si>
  <si>
    <t>HARUS DENGAN RESEP DOKTER. Hati-hati penggunaan pada asien dialisis, hamil, laktasi, anak, gagal ginjal kronik. Sedian suspensi sebaiknya hanya digunakan sampai 1minggu setelah dibuka tutup segel. Kategori kehamilan : Kategori B: Mungkin dapat digunakan oleh wanita hamil. Penelitian pada hewan uji tidak memperlihatkan ada nya risiko terhadap janin, namun belum ada bukti penelitian langsung terhadap wanita hamil.</t>
  </si>
  <si>
    <t>tukak usus , tukak lambung , gastritis kronis</t>
  </si>
  <si>
    <t>inpepsa</t>
  </si>
  <si>
    <t>inpepsa suspensi sucralfate tukak usus  tukak lambung  gastritis kronis</t>
  </si>
  <si>
    <t>Kasa Steril Drc 16 X 16 cm 16 Lembar</t>
  </si>
  <si>
    <t>Rp16.700 - Rp18.000</t>
  </si>
  <si>
    <t>Untuk penutup luka</t>
  </si>
  <si>
    <t>Dus, @ 16 lembar</t>
  </si>
  <si>
    <t>untuk penutup luka</t>
  </si>
  <si>
    <t>steril drc x lembar</t>
  </si>
  <si>
    <t>steril drc x lembar larutan povidoneiodine untuk penutup luka</t>
  </si>
  <si>
    <t>DKL7619916010B1</t>
  </si>
  <si>
    <t>Pehadoxin Forte 10 Tablet</t>
  </si>
  <si>
    <t>Rp11.600 - Rp12.200</t>
  </si>
  <si>
    <t>PENGGUNAAN OBAT INI HARUS SESUAI DENGAN PETUNJUK DOKTER. Dewasa : 1 tablet 3 kali sendiri. Anak : 1/2 tablet 3 kali sehari.</t>
  </si>
  <si>
    <t>INFORMASI OBAT INI HANYA UNTUK KALANGAN MEDIS. Pencegahan dan pengobatan Tuberkulosis Pulmoner dan EkstraPulmoner</t>
  </si>
  <si>
    <t>Penyakit hati yang diinduksi oleh obat</t>
  </si>
  <si>
    <t>HARUS DENGAN RESEP DOKTER. Gangguan fungsi hati dan ginjal pada pasien yang menggunakan obat hepatotoksik lainya. Kejang, diabetes melitus, alkoholik kronik. Hamil, laktasi Kategori Kehamilan : C</t>
  </si>
  <si>
    <t>pencegahan pengobatan tuberkulosis pulmoner ekstrapulmoner</t>
  </si>
  <si>
    <t>pehadoxin forte</t>
  </si>
  <si>
    <t>pehadoxin forte tablet isoniazid pencegahan pengobatan tuberkulosis pulmoner ekstrapulmoner</t>
  </si>
  <si>
    <t>DKL0734606638A1</t>
  </si>
  <si>
    <t>Edotin Dry Sirup 60 ml</t>
  </si>
  <si>
    <t>Rp41.000 - Rp58.700</t>
  </si>
  <si>
    <t>Mukolitik pada gangguan saluran pernafasan akut dan kronik</t>
  </si>
  <si>
    <t>Dus, Botol 2 60 ml</t>
  </si>
  <si>
    <t>mukolitik gangguan saluran pernafasan akut kronik</t>
  </si>
  <si>
    <t>edotin</t>
  </si>
  <si>
    <t>edotin sirup erdosteine mukolitik gangguan saluran pernafasan akut kronik</t>
  </si>
  <si>
    <t>Laurier Healthy Skin Non Wing 22 cm 20 Pads</t>
  </si>
  <si>
    <t>Rp12.800 - Rp23.000</t>
  </si>
  <si>
    <t>laurier healthy skin non wing pads</t>
  </si>
  <si>
    <t xml:space="preserve">laurier healthy skin non wing pads tablet tizanidine hydrochloride </t>
  </si>
  <si>
    <t>TR172306011</t>
  </si>
  <si>
    <t>Snoozzz 4 Kapsul</t>
  </si>
  <si>
    <t>SNOOZZZ</t>
  </si>
  <si>
    <t>Rp17.400 - Rp17.500</t>
  </si>
  <si>
    <t>1-2 Kapsul diminum 30 menit sebelum tidur</t>
  </si>
  <si>
    <t>1-2 Kapsul</t>
  </si>
  <si>
    <t>Secara Trandisional membantu untuk meringankan gangguan sulit tidur.</t>
  </si>
  <si>
    <t>Strip @ 4 Kapsul @ 500 g</t>
  </si>
  <si>
    <t>Penderita Gangguan Hati</t>
  </si>
  <si>
    <t>Cara penyimpanan : Simpan di tempat yang kering dan terhindar dari sinar matahari langsung simpan di bawah suhu 30 C.</t>
  </si>
  <si>
    <t>snoozzz</t>
  </si>
  <si>
    <t>secara trandisional membantu meringankan gangguan sulit tidur</t>
  </si>
  <si>
    <t>snoozzz kapsul secara trandisional membantu meringankan gangguan sulit tidur</t>
  </si>
  <si>
    <t>DKL0734606501A1</t>
  </si>
  <si>
    <t>Edotin 300 mg 10 Kapsul</t>
  </si>
  <si>
    <t>Rp39.800 - Rp66.000</t>
  </si>
  <si>
    <t>Sebelum atau sesudah makan, dapat diberikan bersama makanan untuk mengurangi ketidak-nyamanan pada saluran cerna.</t>
  </si>
  <si>
    <t>PENGGUNAAN OBAT INI HARUS SESUAI DENGAN PETUNJUK DOKTER. 2-3 x sehari 1 kapsul</t>
  </si>
  <si>
    <t>Box Isi 2 Strip @ 10 Kapsul</t>
  </si>
  <si>
    <t>Sirosis hepatik, defisiensi enzim sistationin sintetase, gagal ginjal berat (bersihan kreatinin &lt; 25 mL/menit)</t>
  </si>
  <si>
    <t>HARUS DENGAN RESEP DOKTER. Hamil, laktasi</t>
  </si>
  <si>
    <t>edotin kapsul erdosteine mukolitik gangguan saluran pernafasan akut kronik</t>
  </si>
  <si>
    <t>DTL0113310433A1</t>
  </si>
  <si>
    <t>Rhelafen 100 mg/5ml Sirup 60 ml</t>
  </si>
  <si>
    <t>Rp25.700 - Rp30.800</t>
  </si>
  <si>
    <t>menurunkan demam dan meringankan gejala nyeri ringan dan sedang</t>
  </si>
  <si>
    <t>menurunkan demam meringankan gejala nyeri ringan</t>
  </si>
  <si>
    <t>rhelafen</t>
  </si>
  <si>
    <t>rhelafen suspensi ibuprofen menurunkan demam meringankan gejala nyeri ringan</t>
  </si>
  <si>
    <t>DKL0404128953B1</t>
  </si>
  <si>
    <t>Propyretic Suppositoria 160 mg</t>
  </si>
  <si>
    <t>DKL0819614401A1</t>
  </si>
  <si>
    <t>Recustein 300 mg 10 Kapsul</t>
  </si>
  <si>
    <t>Rp77.300 - Rp88.900</t>
  </si>
  <si>
    <t>Sebaiknya diberikan setelah makan.</t>
  </si>
  <si>
    <t>PENGGUNAAN OBAT INI HARUS SESUAI DENGAN PETUNJUK DOKTER. 2-3 kali sehari 1 kapsul.</t>
  </si>
  <si>
    <t>INFORMASI OBAT INI HANYA UNTUK KALANGAN MEDIS. Mukolitik pada infeksi Saluran Nafas akut dan khronik</t>
  </si>
  <si>
    <t>Tukak lambung, gangguan hati dan ginjal berat.</t>
  </si>
  <si>
    <t>HARUS DENGAN RESEP DOKTER. Wanita hamil dan ibu menyusui. Konsultasikan kepada dokter apabila Anda sedang hamil dan/atau menyusui.</t>
  </si>
  <si>
    <t>mukolitik infeksi saluran nafas akut khronik</t>
  </si>
  <si>
    <t>recustein</t>
  </si>
  <si>
    <t>recustein kapsul erdosteine mukolitik infeksi saluran nafas akut khronik</t>
  </si>
  <si>
    <t>DBL8306404308A1</t>
  </si>
  <si>
    <t>Paranervion 10 Kaplet</t>
  </si>
  <si>
    <t>Rp5.900 - Rp9.600</t>
  </si>
  <si>
    <t>3 kali sehari 1 kaplet salut gula</t>
  </si>
  <si>
    <t>Untuk meringankan rasa sakit yang disebabkan oleh syaraf (neuritis)</t>
  </si>
  <si>
    <t>Dus, 10 Amplop @ 10 Kaplet Salut Gula</t>
  </si>
  <si>
    <t>jangan diberikan untuk pasien yang memiliki riwayat hipersensitif terhadap paracetamol, dan komponen lain obat ini</t>
  </si>
  <si>
    <t>Gangguan hati berat dan gangguan fungsi ginjal.Belum terdapat data keamanan terkait penggunaan obat ini pada wanita hamil dan/atau menyusui. Konsultasikan kepada dokter apabila Anda sedang hamil dan/atau menyusui.</t>
  </si>
  <si>
    <t>untuk meringankan sakit disebabkan syaraf neuritis</t>
  </si>
  <si>
    <t>paranervion</t>
  </si>
  <si>
    <t>paranervion kaplet cyanocobalamin untuk meringankan sakit disebabkan syaraf neuritis</t>
  </si>
  <si>
    <t>paracetamol noscapine guaifenesin chlorphenamine maleate phenylpropanolamine hydrochloride</t>
  </si>
  <si>
    <t xml:space="preserve">flucodin tablet paracetamol noscapine guaifenesin chlorphenamine maleate phenylpropanolamine hydrochloride </t>
  </si>
  <si>
    <t>DKL7221631250A1</t>
  </si>
  <si>
    <t>Albothyl Ovula</t>
  </si>
  <si>
    <t>Rp15.100 - Rp25.900</t>
  </si>
  <si>
    <t>Digunakan pada saat sebelum tidur.</t>
  </si>
  <si>
    <t>PENGGUNAAN OBAT INI HARUS SESUAI DENGAN PETUNJUK DOKTER. 1 kali sehari</t>
  </si>
  <si>
    <t>INFORMASI OBAT INI HANYA UNTUK KALANGAN MEDIS. Membantu menghilangkan kuman dan bakteri pada organ kewanitaan</t>
  </si>
  <si>
    <t>Dus, 1 strip @ 6 Ovula</t>
  </si>
  <si>
    <t>Wanita hamil</t>
  </si>
  <si>
    <t>HARUS DENGAN RESEP DOKTER. Wanita hamil dan menyusui.</t>
  </si>
  <si>
    <t>ovula</t>
  </si>
  <si>
    <t>membantu menghilangkan kuman bakteri organ kewanitaan</t>
  </si>
  <si>
    <t>albothyl</t>
  </si>
  <si>
    <t>albothyl ovula policresulen membantu menghilangkan kuman bakteri organ kewanitaan</t>
  </si>
  <si>
    <t>DTL2032209837B1</t>
  </si>
  <si>
    <t>Nipe Expectorant Kids 60 ml</t>
  </si>
  <si>
    <t>Meredakan gejala batuk berdahak</t>
  </si>
  <si>
    <t>meredakan gejala batuk berdahak</t>
  </si>
  <si>
    <t>nipe expectorant kids</t>
  </si>
  <si>
    <t>nipe expectorant kids sirup guaifenesin meredakan gejala batuk berdahak</t>
  </si>
  <si>
    <t>TR232052411</t>
  </si>
  <si>
    <t>Susu Etawalin 200 g</t>
  </si>
  <si>
    <t>ETAWALIN.</t>
  </si>
  <si>
    <t>Rp80.600 - Rp121.300</t>
  </si>
  <si>
    <t>Campurkan 3 sendok makan susu etawalin dengan 200 ml air matang hangat</t>
  </si>
  <si>
    <t>2 x sehari 2-3 sendok makan</t>
  </si>
  <si>
    <t>Membantu meredakan pegal linu dan nyeri pada persendian</t>
  </si>
  <si>
    <t>Box @ 200 g</t>
  </si>
  <si>
    <t>Petunjuk Penyimpanan. Buka kemasan etawalin. Masukan ke dalam toples. Tutup rapat toples pastikan tidak ada rongga. Ketika mau menyeduh buka tutup toples, ambil Etawalin sesuai kebutuhan. Masukan ke dalam toples. Simpan di tempat kering pada suhu dibawah 30C dan terhindar dari sinar matahari langsung</t>
  </si>
  <si>
    <t>etawalin</t>
  </si>
  <si>
    <t>membantu meredakan pegal linu nyeri persendian</t>
  </si>
  <si>
    <t>susu etawalin</t>
  </si>
  <si>
    <t>susu etawalin  etawalin membantu meredakan pegal linu nyeri persendian</t>
  </si>
  <si>
    <t>Rp80.600 - Rp119.200</t>
  </si>
  <si>
    <t>Ultrafix 10cm x 5M</t>
  </si>
  <si>
    <t>Rp29.500 - Rp44.300</t>
  </si>
  <si>
    <t>direkatkan pada bagian yang luka</t>
  </si>
  <si>
    <t>Menutupi luka luar agar terhindar dari bakteri</t>
  </si>
  <si>
    <t>Pack 1 pieces</t>
  </si>
  <si>
    <t>menutupi luka terhindar bakteri</t>
  </si>
  <si>
    <t>ultrafix x m</t>
  </si>
  <si>
    <t>ultrafix x m larutan povidoneiodine menutupi luka terhindar bakteri</t>
  </si>
  <si>
    <t>QD101709331</t>
  </si>
  <si>
    <t>Jointfit Extra Roller Gel 35 g</t>
  </si>
  <si>
    <t>Dioleskan pada persendian / bagian yang nyeri</t>
  </si>
  <si>
    <t>Oleskan 2-4 kali sehari pada sendi yang sakit.</t>
  </si>
  <si>
    <t>Membantu mengurangi nyeri sendi.</t>
  </si>
  <si>
    <t>Tube 35 G</t>
  </si>
  <si>
    <t>Jangan dioleskan pada kulit yang terluka atau cedera</t>
  </si>
  <si>
    <t>membantu mengurangi nyeri sendi</t>
  </si>
  <si>
    <t>jointfit extra roller</t>
  </si>
  <si>
    <t>jointfit extra roller roll camphora membantu mengurangi nyeri sendi</t>
  </si>
  <si>
    <t>DTL8322202010A1</t>
  </si>
  <si>
    <t>Mucohexin 8 mg 4 Tablet</t>
  </si>
  <si>
    <t>Rp3.100 - Rp3.500</t>
  </si>
  <si>
    <t>Dewasa dan anak &gt; 10 tahun : 3 x sehari 1 tablet. Anak 5-10 tahun : 3 x sehari 0.5 tablet. Anak 2-5 tahun : 2 x sehari 0.5 tablet</t>
  </si>
  <si>
    <t>Bronkhitis &amp; kondisi Paru lainnya yang membutuhkan ekspektoran</t>
  </si>
  <si>
    <t>Dus, 25 Catch cover @ 1 Strip @ 4 Tablet</t>
  </si>
  <si>
    <t>hipersensitif, penderita ulkus pada lambung</t>
  </si>
  <si>
    <t>Tukak lambung</t>
  </si>
  <si>
    <t>bronkhitis kondisi paru membutuhkan ekspektoran</t>
  </si>
  <si>
    <t>mucohexin</t>
  </si>
  <si>
    <t>mucohexin tablet bromhexine hydrochloride bronkhitis kondisi paru membutuhkan ekspektoran</t>
  </si>
  <si>
    <t>Kondom Sutra Gerigi Isi 3</t>
  </si>
  <si>
    <t>Rp12.400 - Rp13.700</t>
  </si>
  <si>
    <t>kondom sutra gerigi isi</t>
  </si>
  <si>
    <t>kondom sutra gerigi isi tablet sildenafil citrate alat kontrasepsi</t>
  </si>
  <si>
    <t>HT182500771</t>
  </si>
  <si>
    <t>Bodrex Herbal Sakit Kepala 4 Tablet</t>
  </si>
  <si>
    <t>BODREX HERBAL SAKIT KEPALA</t>
  </si>
  <si>
    <t>1-2 tablet, diminum 3 kali per hari</t>
  </si>
  <si>
    <t>Membantu meredakan sakit kepala.</t>
  </si>
  <si>
    <t>Dus, 25 Strip @ 4 Tablet</t>
  </si>
  <si>
    <t>bodrex herbal sakit kepala</t>
  </si>
  <si>
    <t>membantu meredakan sakit kepala</t>
  </si>
  <si>
    <t>bodrex herbal sakit kepala tablet membantu meredakan sakit kepala</t>
  </si>
  <si>
    <t>DKL9421008529A1</t>
  </si>
  <si>
    <t>Pyderma 0.25% Cream 10 g</t>
  </si>
  <si>
    <t>Rp44.500 - Rp54.000</t>
  </si>
  <si>
    <t>Oleskan tipis-tipis pada kulit yang terinfeksi.</t>
  </si>
  <si>
    <t>PENGGUNAAN OBAT INI HARUS SESUAI DENGAN PETUNJUK DOKTER. Oleskan 2-3 kali sehari</t>
  </si>
  <si>
    <t>INFORMASI OBAT INI HANYA UNTUK KALANGAN MEDIS. Berbagai masalah kulit seperti ekzema, dermatitis, psoriasis.</t>
  </si>
  <si>
    <t>Hipersensitif terhadap komponen obat</t>
  </si>
  <si>
    <t>Obat Wajib Apotek, Obat ini dapat dibeli dan diserahkan apoteker tanpa resep dengan maksimum 1 Tube. Pembelian melebihi batas ini WAJIB RESEP DOKTER. - Hamil, laktasi, bayi dan anak kecil. - Penggunaan berlebihan, pada area yang luas dan penggunaan jangka panjang. - Hindari penggunaan sekitar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</si>
  <si>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desoximetasone</t>
  </si>
  <si>
    <t>berbagai kulit ekzema , dermatitis , psoriasis</t>
  </si>
  <si>
    <t>pyderma cream</t>
  </si>
  <si>
    <t>pyderma cream krim desoximetasone berbagai kulit ekzema  dermatitis  psoriasis</t>
  </si>
  <si>
    <t>DKL2005063417A1</t>
  </si>
  <si>
    <t>Gluvas M 10 Tablet</t>
  </si>
  <si>
    <t>- GLIMEPIRIDE. KOMBINASI-METFORMIN HCL GRANULES DC 95</t>
  </si>
  <si>
    <t>Rp53.800 - Rp62.500</t>
  </si>
  <si>
    <t>Dikonsumsi bersama makanan : segera sebelum atau pada saat makan. Tablet ditelan utuh tanpa dikunyah dan diminum sekaligus dengan air secukupnya.</t>
  </si>
  <si>
    <t>Hipersensitif terhadap komponen obat, gagal ginjal atau penyakit hati berat. Tidak boleh digunakan pada penderita Diabetes Melitus Tipe 1 atau IDDM.</t>
  </si>
  <si>
    <t>glimepiride kombinasi-metformin hcl granules dc 95</t>
  </si>
  <si>
    <t>gluvas m</t>
  </si>
  <si>
    <t xml:space="preserve">gluvas m tablet glimepiride kombinasimetformin hcl granules dc 95 </t>
  </si>
  <si>
    <t>Kondom Sutra Merah Isi 12</t>
  </si>
  <si>
    <t>Rp28.900 - Rp31.900</t>
  </si>
  <si>
    <t>Dus @ 12 Pieces</t>
  </si>
  <si>
    <t>kondom sutra merah isi</t>
  </si>
  <si>
    <t>kondom sutra merah isi tablet sildenafil citrate alat kontrasepsi</t>
  </si>
  <si>
    <t>DKL9705022510A1</t>
  </si>
  <si>
    <t>Provula 50 mg 10 Tablet</t>
  </si>
  <si>
    <t>Rp203.500 - Rp242.900</t>
  </si>
  <si>
    <t xml:space="preserve">PENGGUNAAN OBAT INI HARUS SESUAI DENGAN PETUNJUK DOKTER. Oligosperma : 1x 1tablet/hari, selama 40-90hari </t>
  </si>
  <si>
    <t>Kondom Sutra Merah Isi 12+3</t>
  </si>
  <si>
    <t>Rp23.800 - Rp26.600</t>
  </si>
  <si>
    <t>Dus, 12 + 3 Pieces</t>
  </si>
  <si>
    <t>Kondom Sutra Merah Isi 3</t>
  </si>
  <si>
    <t>Rp7.700 - Rp9.400</t>
  </si>
  <si>
    <t>Kondom Durex Fetherlite Isi 12</t>
  </si>
  <si>
    <t>Rp82.600 - Rp99.900</t>
  </si>
  <si>
    <t>kondom durex fetherlite isi</t>
  </si>
  <si>
    <t>kondom durex fetherlite isi tablet tizanidine hydrochloride alat kontrasepsi</t>
  </si>
  <si>
    <t>Kondom Durex Fetherlite Isi 3</t>
  </si>
  <si>
    <t>Rp30.500 - Rp33.600</t>
  </si>
  <si>
    <t>Kondom Fiesta Strawberry Isi 3</t>
  </si>
  <si>
    <t>Rp13.400 - Rp19.300</t>
  </si>
  <si>
    <t>kondom fiesta strawberry isi</t>
  </si>
  <si>
    <t>kondom fiesta strawberry isi tablet tizanidine hydrochloride alat kontrasepsi</t>
  </si>
  <si>
    <t>TR193333361</t>
  </si>
  <si>
    <t>Sehat Kandungan 60 Kapsul</t>
  </si>
  <si>
    <t>SEHAT KANDUNGAN</t>
  </si>
  <si>
    <t>Secara tradisional digunakan untuk membantu memelihara kesehatan kandungan</t>
  </si>
  <si>
    <t>sehat kandungan</t>
  </si>
  <si>
    <t>secara tradisional membantu memelihara kesehatan kandungan</t>
  </si>
  <si>
    <t>sehat kandungan kapsul secara tradisional membantu memelihara kesehatan kandungan</t>
  </si>
  <si>
    <t>Laurier Relax Night with Gathers 35 cm 16 Pads</t>
  </si>
  <si>
    <t>Rp19.300 - Rp41.000</t>
  </si>
  <si>
    <t>Pack @ 16 Pads</t>
  </si>
  <si>
    <t>laurier relax night with gathers pads</t>
  </si>
  <si>
    <t xml:space="preserve">laurier relax night with gathers pads tablet sildenafil citrate </t>
  </si>
  <si>
    <t>GKL0933520517A1</t>
  </si>
  <si>
    <t>Ketorolac 10 mg 10 Tablet</t>
  </si>
  <si>
    <t>Rp31.700 - Rp32.600</t>
  </si>
  <si>
    <t>Diberikan segera setelah makan.</t>
  </si>
  <si>
    <t>PENGGUNAAN OBAT INI HARUS SESUAI DENGAN PETUNJUK DOKTER. Dewasa: 10 mg tiap 4-6 jam sesuai yang dibutuhkan. Dosis maximal: 40 mg/hari. Interval dosis yang lebih panjang misalnya 6-8 jam disarankan pada pasien usia lanjut.</t>
  </si>
  <si>
    <t>INFORMASI OBAT INI HANYA UNTUK KALANGAN MEDIS. Manajemen jangka pendek untuk nyeri pasca operasi derajat sedang</t>
  </si>
  <si>
    <t>Dus, 5 strip @ 10 tablet salut selaput</t>
  </si>
  <si>
    <t>Alergi yg diinduksi aspirin atau AINS. tukak peptik akut, perdarahan KV, diatesis hemoragik meliputi ggn pembekuan, sindroma polip nasal, angioedema, bronkospasme, hipovolemia, dehidrasi, kerusakan fungsi ginjal sedang hingga berat, riwayat asma, sindrom Steven-Johnson. Pasien yg mendapat AINS, asam aminosalisilat, probenesid, garam litium, antikoagulan termasuk heparin dosis rendah. Profilaksis sebelum bedah mayor atau intra-operasi. Hamil &amp; laktasi. Anak &lt;16 thn.</t>
  </si>
  <si>
    <t>HARUS DENGAN RESEP DOKTER. Riwayat penyakit Gastrointestinal atau asma, dekompensasi jantung, hipertensi, atau kondisi serupa lain. Kategori kehamilan: C, D (Pada trimester 3 atau mendekati melahirkan).</t>
  </si>
  <si>
    <t>ketorolac</t>
  </si>
  <si>
    <t>manajemen jangka pendek nyeri pasca operasi derajat</t>
  </si>
  <si>
    <t>ketorolac tablet manajemen jangka pendek nyeri pasca operasi derajat</t>
  </si>
  <si>
    <t>Kondom Sutra Gerigi Isi 12</t>
  </si>
  <si>
    <t>Rp41.600 - Rp47.900</t>
  </si>
  <si>
    <t>Dus, 12 Pack</t>
  </si>
  <si>
    <t>GBL9514103110A2</t>
  </si>
  <si>
    <t>Folic Acid 1 mg 10 Tablet</t>
  </si>
  <si>
    <t>Rp2.400 - Rp3.500</t>
  </si>
  <si>
    <t>Anemia megaloblastik: 1 x sehari 1/2-1 tablet. Atau menurut petunjuk Dokter.</t>
  </si>
  <si>
    <t>Anemia megaloblastik yang disebabkan oleh defisiensi Folic Acid</t>
  </si>
  <si>
    <t>Anemia perniciosa. Penderita yang hipersensitif terhadap Folic Acid.</t>
  </si>
  <si>
    <t>Kategori Kehamilan : Kategori A: Secara umum dapat diterima. Penelitian pada wanita hamil menunjukkan tidak adanya risiko terhadap janin dan kecil kemungkinan obat ini dapat membahayakan janin.</t>
  </si>
  <si>
    <t>folic acid</t>
  </si>
  <si>
    <t>anemia megaloblastik disebabkan defisiensi folic acid</t>
  </si>
  <si>
    <t>folic acid tablet anemia megaloblastik disebabkan defisiensi folic acid</t>
  </si>
  <si>
    <t>DTL0433306101A1</t>
  </si>
  <si>
    <t>Simucil 200 mg 10 Kapsul</t>
  </si>
  <si>
    <t>Dapat diberikan bersama atau tanpa makanan : Dpt diberikan sesudah makan untuk mengurangi rasa tidak nyaman pada GI.</t>
  </si>
  <si>
    <t>PENGGUNAAN OBAT INI HARUS SESUAI DENGAN PETUNJUK DOKTER. Dws 1 kapsul 3 x/hari.</t>
  </si>
  <si>
    <t>Terapi tambahan untuk penyakit bronkopulmoner akut &amp; kronik.</t>
  </si>
  <si>
    <t>HARUS DENGAN RESEP DOKTER. Hentikan terapi jika timbul tanda-tanda bronkospasme.</t>
  </si>
  <si>
    <t>acetylcysteine</t>
  </si>
  <si>
    <t>terapi tambahan penyakit bronkopulmoner akut kronik</t>
  </si>
  <si>
    <t>simucil</t>
  </si>
  <si>
    <t>simucil kapsul acetylcysteine terapi tambahan penyakit bronkopulmoner akut kronik</t>
  </si>
  <si>
    <t>DKI1644000129A1</t>
  </si>
  <si>
    <t>Elidel 1% Cream 10 g</t>
  </si>
  <si>
    <t>Rp324.700 - Rp331.300</t>
  </si>
  <si>
    <t>Oleskan tipis pada area yang sakit.</t>
  </si>
  <si>
    <t>PENGGUNAAN OBAT INI HARUS SESUAI DENGAN PETUNJUK DOKTER. Dewasa dan bayi usia lebih dari 3 bulan: Oleskan tipis, 2 kali per hari.</t>
  </si>
  <si>
    <t>INFORMASI OBAT INI HANYA UNTUK KALANGAN MEDIS. Terapi jangka pendek dan panjang pada dermatitis atopik.</t>
  </si>
  <si>
    <t>Pasien dengan gangguan imun.</t>
  </si>
  <si>
    <t>HARUS DENGAN RESEP DOKTER. - Hindari kontak dengan kulit yang terluka atau lecet, mata dan membran mukosa, meningkatkan resiko eksema herpetikum, impotigo. - Jangan terkena paparan sinar matahari atau sinar UV berlebih,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</si>
  <si>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pimecrolimus</t>
  </si>
  <si>
    <t>terapi jangka pendek dermatitis atopik</t>
  </si>
  <si>
    <t>elidel cream</t>
  </si>
  <si>
    <t>elidel cream krim pimecrolimus terapi jangka pendek dermatitis atopik</t>
  </si>
  <si>
    <t>DBL7215807917A1</t>
  </si>
  <si>
    <t>Dolo-Neurobion 10 Tablet</t>
  </si>
  <si>
    <t>Rp23.200 - Rp29.900</t>
  </si>
  <si>
    <t>2-3 x sehari 1 tablet</t>
  </si>
  <si>
    <t>Obat ini digunakan untuk mengurangi rasa nyeri yang disebabkan Neuritis dan Neuralgia.</t>
  </si>
  <si>
    <t>Dus, 10 Strip @ 10 Tablet Salut selaput</t>
  </si>
  <si>
    <t>Gangguan hati berat dan gangguan fungsi ginjal. Belum terdapat data keamanan terkait penggunaan obat ini pada wanita hamil dan/atau menyusui. Konsultasikan kepada dokter apabila Anda sedang hamil dan/atau menyusui.</t>
  </si>
  <si>
    <t>obat mengurangi nyeri disebabkan neuritis neuralgia</t>
  </si>
  <si>
    <t>doloneurobion</t>
  </si>
  <si>
    <t>doloneurobion tablet cyanocobalamin obat mengurangi nyeri disebabkan neuritis neuralgia</t>
  </si>
  <si>
    <t>Kondom Sagami Original 002 Isi 2</t>
  </si>
  <si>
    <t>Rp70.300 - Rp93.100</t>
  </si>
  <si>
    <t>Pack Isi 2 Pcs</t>
  </si>
  <si>
    <t>kondom sagami original isi</t>
  </si>
  <si>
    <t>kondom sagami original isi tablet sildenafil citrate alat kontrasepsi</t>
  </si>
  <si>
    <t>Verban Husada 4Y X 10 cm</t>
  </si>
  <si>
    <t>Bersihkan luka terlebih dahulu. Tutup dengan kasa, lalu gunakan perban agar luka tertutup rapat.</t>
  </si>
  <si>
    <t>untuk menutup luka</t>
  </si>
  <si>
    <t>verban husada y x larutan povidoneiodine untuk menutup luka</t>
  </si>
  <si>
    <t>DBL9513305263A1</t>
  </si>
  <si>
    <t>Lagesil 10 Tablet</t>
  </si>
  <si>
    <t>Rp23.000 - Rp26.800</t>
  </si>
  <si>
    <t>Berikan 1-3 jam sesudah makan dan sebelum tidur malam.</t>
  </si>
  <si>
    <t>Dewasa : 3-4 x sehari 1 tablet, anak : 3-4 x sehari 1/2 tablet</t>
  </si>
  <si>
    <t>Hiperasiditas lambung, ulkus peptik, kembung.</t>
  </si>
  <si>
    <t>Insufisiensi ginjal.</t>
  </si>
  <si>
    <t>hiperasiditas lambung , ulkus peptik , kembung</t>
  </si>
  <si>
    <t>lagesil tablet aluminium hydroxide hiperasiditas lambung  ulkus peptik  kembung</t>
  </si>
  <si>
    <t>TR093604331</t>
  </si>
  <si>
    <t>Zwitsal Baby Minyak Telon Natural 60 ml</t>
  </si>
  <si>
    <t>ZWITSAL NATURAL MINYAK TELON</t>
  </si>
  <si>
    <t>Rp17.000 - Rp30.700</t>
  </si>
  <si>
    <t>zwitsal natural minyak telon</t>
  </si>
  <si>
    <t>zwitsal baby telon natural</t>
  </si>
  <si>
    <t xml:space="preserve">zwitsal baby telon natural minyak zwitsal natural minyak telon </t>
  </si>
  <si>
    <t>DKL2002507009A1</t>
  </si>
  <si>
    <t>Vitafol 5 mg 10 Kaplet</t>
  </si>
  <si>
    <t>Rp34.600 - Rp35.300</t>
  </si>
  <si>
    <t>Digunakan untuk suplementasi asam folat untuk ibu hamil</t>
  </si>
  <si>
    <t>digunakan suplementasi asam folat hamil</t>
  </si>
  <si>
    <t>vitafol</t>
  </si>
  <si>
    <t>vitafol kaplet folic acid digunakan suplementasi asam folat hamil</t>
  </si>
  <si>
    <t>QD122610581</t>
  </si>
  <si>
    <t>Rodeca Lotion 60 ml</t>
  </si>
  <si>
    <t>Rp13.000 - Rp18.300</t>
  </si>
  <si>
    <t>Oleskan secukupnya pada bagian kulit yang gatal dan terdapat biang keringat.</t>
  </si>
  <si>
    <t>Meringankan rasa gatal yang disebabkan biang keringat.</t>
  </si>
  <si>
    <t>meringankan gatal disebabkan biang keringat</t>
  </si>
  <si>
    <t>rodeca lotion</t>
  </si>
  <si>
    <t>rodeca lotion  asam salisilat meringankan gatal disebabkan biang keringat</t>
  </si>
  <si>
    <t>DKL1413319110A1</t>
  </si>
  <si>
    <t>L-Cisin 10 Tablet</t>
  </si>
  <si>
    <t>Rp62.500 - Rp68.700</t>
  </si>
  <si>
    <t>bersama makanan</t>
  </si>
  <si>
    <t>PENGGUNAAN OBAT INI HARUS SESUAI DENGAN PETUNJUK DOKTER. Artritis gout akut Awal 0.5-1.2 mg, dilanjutkan dg 0.5 mg tiap 2 jam hingga nyeri reda atau timbul mual, muntah, diare. Dosis lazim: 4-8 mg. Profilaksis gout 0.5 mg 1 x/minggu hingga 1 x/hr.</t>
  </si>
  <si>
    <t>Digunakan untuk mencegah dan meringankan gejala asam urat.</t>
  </si>
  <si>
    <t>hipersensitivitas dg ggn GI berat, sal kemih, peny jantung, &amp; ggn hematologi. Hamil.</t>
  </si>
  <si>
    <t>HARUS DENGAN RESEP DOKTER. Pasien dengan kerentanan untuk mengalami toksisitas, penyakit jantung, hati, ginjal, dan GI. Injeksi SK atau IM tidak direkomendasikan karena dapat menyebabkan iritasi lokal berat. Lanjut usia.</t>
  </si>
  <si>
    <t>colchicine</t>
  </si>
  <si>
    <t>digunakan mencegah meringankan gejala asam urat</t>
  </si>
  <si>
    <t>lcisin</t>
  </si>
  <si>
    <t>lcisin tablet colchicine digunakan mencegah meringankan gejala asam urat</t>
  </si>
  <si>
    <t>DKL9422710210A1</t>
  </si>
  <si>
    <t>Glicab 80 mg 10 Tablet</t>
  </si>
  <si>
    <t>Rp11.200 - Rp18.400</t>
  </si>
  <si>
    <t>Berikan segera sebelum makan, dosis pertama pada hari tersebut harus diberikan sebelum makan pagi.</t>
  </si>
  <si>
    <t>PENGGUNAAN OBAT INI HARUS SESUAI DENGAN PETUNJUK DOKTER. 1/2 tablet, dapat ditingkatkan 1/2 tablet untuk beberapa hari sampai kadar gula darah terkontrol. Maksimal 2 tablet/hari.</t>
  </si>
  <si>
    <t>DM stabil dimana terapi dengan diet gagal.</t>
  </si>
  <si>
    <t>DM dengan komplikasi asidosis, DM tipe I. Pasien DM yang akan dioperasi, sesudah trauma berat atau selama infeksi. Hamil, laktasi, anak, bayi.</t>
  </si>
  <si>
    <t>HARUS DENGAN RESEP DOKTER. Usia lanjut, kerusakan hati dan ginjal.</t>
  </si>
  <si>
    <t>dm stabil dimana terapi diet gagal</t>
  </si>
  <si>
    <t>glicab</t>
  </si>
  <si>
    <t>glicab tablet gliclazide dm stabil dimana terapi diet gagal</t>
  </si>
  <si>
    <t>DKL9722221010A1</t>
  </si>
  <si>
    <t>Ocuson 10 Tablet</t>
  </si>
  <si>
    <t>Rp18.000 - Rp22.000</t>
  </si>
  <si>
    <t>PENGGUNAAN OBAT INI HARUS SESUAI DENGAN PETUNJUK DOKTER. Dosis disesuaikan dengan kondisi penderita yang diobati dan respons yang diperoleh. Dewasa dan anak-anak di atas 12 tahun: 1 - 2 tablet, 3 - 4 kali sehari, setelah makan dan pada saat akan tidur. Tidak boleh lebih dari 8 tablet sehari. Anak-anak dibawah 12 tahun: Penyesuaian dosis menurut berat/ringannya kondisi penyakit, lebih baik daripada menurut usia atau berat badan.</t>
  </si>
  <si>
    <t>INFORMASI OBAT INI HANYA UNTUK KALANGAN MEDIS. Mengatasi kasus-kasus alergi dan inflamasi yang membutuhkan terapi dengan kortikosteroid</t>
  </si>
  <si>
    <t>hipersensitivitas, untuk cedera otak traumatis denngan mata, herpes simpleks, bayi baru lahir, tukak peptik</t>
  </si>
  <si>
    <t>HARUS DENGAN RESEP DOKTER. Usia lanjut dan anak &lt; 12 thn. Obat ini tidak dianjurkan penggunaan pada anak-anak dibawah 6 tahun. Kategori Kehamilan : C</t>
  </si>
  <si>
    <t>mengatasi - alergi inflamasi membutuhkan terapi kortikosteroid</t>
  </si>
  <si>
    <t>ocuson</t>
  </si>
  <si>
    <t>ocuson tablet betamethasone mengatasi  alergi inflamasi membutuhkan terapi kortikosteroid</t>
  </si>
  <si>
    <t>Kondom Fiesta Banana Isi 3</t>
  </si>
  <si>
    <t>Rp11.100 - Rp21.300</t>
  </si>
  <si>
    <t>kondom fiesta banana isi</t>
  </si>
  <si>
    <t>kondom fiesta baa isi tablet tizanidine hydrochloride alat kontrasepsi</t>
  </si>
  <si>
    <t>Kondom Fiesta Dotted Isi 12</t>
  </si>
  <si>
    <t>Pack Isi 12</t>
  </si>
  <si>
    <t>kondom fiesta dotted isi</t>
  </si>
  <si>
    <t>kondom fiesta dotted isi tablet tizanidine hydrochloride alat kontrasepsi</t>
  </si>
  <si>
    <t>dexamethasone dexchlorpheniramine maleate</t>
  </si>
  <si>
    <t>dexteem plus tablet dexamethasone dexchlorpheniramine maleate alergi terapi kostikosteroid</t>
  </si>
  <si>
    <t>diagit tablet attapulgite pectin terapi simtomatik diare non spesifik</t>
  </si>
  <si>
    <t>Prontosan 350 ml</t>
  </si>
  <si>
    <t>Rp250.900 - Rp259.600</t>
  </si>
  <si>
    <t>alirkan pada kulit yang terluka</t>
  </si>
  <si>
    <t>Digunakan secukupnya sesuai kebutuhan</t>
  </si>
  <si>
    <t>untuk membersihkan luka termasuk luka bakar tingkat pertama dan kedua.</t>
  </si>
  <si>
    <t>Botol 350 ml</t>
  </si>
  <si>
    <t>Penggunaan pada telinga bagian dalam, di dalam mata, hipersensitif</t>
  </si>
  <si>
    <t>Hanya untuk bagian luar dari tubuh, jangan digunakan sebagai infus atau injeksi, jangan ditelan.</t>
  </si>
  <si>
    <t>membersihkan luka luka bakar tingkat</t>
  </si>
  <si>
    <t>prontosan tablet pioglitazone hydrochloride membersihkan luka luka bakar tingkat</t>
  </si>
  <si>
    <t>COSRX Clear Fit Master Patch 18 Patch</t>
  </si>
  <si>
    <t>Rp41.000 - Rp67.300</t>
  </si>
  <si>
    <t>Sachet @ 18 Patch</t>
  </si>
  <si>
    <t>cosrx clear fit master patch patch</t>
  </si>
  <si>
    <t xml:space="preserve">cosrx clear fit master patch patch tablet tizanidine hydrochloride </t>
  </si>
  <si>
    <t>Sensitif Vivo Strawberry Lube 60 g</t>
  </si>
  <si>
    <t>Tuangkan secukupnya dan ratakan pada organ intim Anda atau pada bagian tubuh lain yang Anda kehendaki.</t>
  </si>
  <si>
    <t>Sesuai kebutuhan.</t>
  </si>
  <si>
    <t>Botol @ 60 g</t>
  </si>
  <si>
    <t>sensitif vivo strawberry lube</t>
  </si>
  <si>
    <t>sensitif vivo strawberry lube tablet sildenafil citrate sebagai pelumas</t>
  </si>
  <si>
    <t>DKL0211634010A1</t>
  </si>
  <si>
    <t>V Bloc 25 mg 10 Tablet</t>
  </si>
  <si>
    <t>Rp76.100 - Rp111.200</t>
  </si>
  <si>
    <t>v bloc</t>
  </si>
  <si>
    <t>v bloc tablet carvedilol hipertensi esensial gagal jantung kronik</t>
  </si>
  <si>
    <t>TR162393871</t>
  </si>
  <si>
    <t>Afamed 500 mg 10 Kapsul</t>
  </si>
  <si>
    <t>AFAMED 500</t>
  </si>
  <si>
    <t>Rp135.100 - Rp299.200</t>
  </si>
  <si>
    <t>afamed 500</t>
  </si>
  <si>
    <t>afamed kapsul afamed 500 membantu memelihara daya tahan tubuh</t>
  </si>
  <si>
    <t>Diagit 10 Tablet</t>
  </si>
  <si>
    <t>Rp33.000 - Rp37.500</t>
  </si>
  <si>
    <t>Dewasa dan anak-anak usia lebih dari 12 tahun : Mula-mula 2 tablet, diikuti dengan penambahan 2 tablet lagi setiap selesai buang air besar, maksimum 12 tablet selama 24 jam. Anak-anak 6-12 tahun : Mula-mula 1 tablet kemudian 1 tablet lagi, setiap selesai buang air besar, maksimum 6 tablet.</t>
  </si>
  <si>
    <t>Untuk pengobatan simptomatik pada diare yang tidak diketahui penyebabnya.</t>
  </si>
  <si>
    <t>Jangan diberikan pada pasien di mana konstipasi harus dihindari. Hipersensitif terhadap obat ini.</t>
  </si>
  <si>
    <t>Jangan digunakan lebih dari 2 hari atau dalam keadaan demam tinggi atau untuk bayi atu anak-anak di bawah 6 tahun, kecuali atas petunjuk dokter. Penggunaan pada wanita hamil dan menyusui blum diketahui dengan pasti. Bila diare pada anak-anak menimbulkan dehidrasi maka harus diberikan oralit. Dapat mempengaruhi absorbsi saluran pencernaan dari obat-obatan, karena itu dianjurkan interval waktu 2-3 jam anatara pembeian obatan-obatan lain dengan obat ini. Jika gejala-gejala masih berlangsung terus, konsultasikan ke dokter.</t>
  </si>
  <si>
    <t>untuk pengobatan simptomatik diare tidak penyebabnya</t>
  </si>
  <si>
    <t>diagit tablet attapulgite untuk pengobatan simptomatik diare tidak penyebabnya</t>
  </si>
  <si>
    <t>DKL0211633310B1</t>
  </si>
  <si>
    <t>Frego 10 mg 10 Tablet</t>
  </si>
  <si>
    <t>Rp120.000 - Rp120.100</t>
  </si>
  <si>
    <t>PENGGUNAAN OBAT INI HARUS SESUAI DENGAN PETUNJUK DOKTER. 5-10 mg/hari. Maksimal : 10 mg/hari. Dewasa &lt; 65 tahun : awal 10 mg/hari. Usia &gt; 65 tahun : awal 5 mg/hari. Pemeliharaan : diberikan 5 hari dalam seminggu. Lama pengobatan : 6 bulan. Hentikan setelah 2 bulan jika tidak ada respon.</t>
  </si>
  <si>
    <t>INFORMASI OBAT INI HANYA UNTUK KALANGAN MEDIS. Profilaksis migren, vertigo dan gangguan vestibular.</t>
  </si>
  <si>
    <t>Dus, 5 Strip @ 10 tablet</t>
  </si>
  <si>
    <t>Hipersensitivitas. Riwayat depresi, penyakit parkinson atau gangguan ekstrapiramidal lain, pemberian bersama beta-blocker.</t>
  </si>
  <si>
    <t>HARUS DENGAN RESEP DOKTER. Hipotensi. Gagal ginjal, gangguan fungsi hati, lanjut usia, anak, hamil dan menyusui. Dapat mengganggu kemampuan mengemudi atau menjalankan mesin.</t>
  </si>
  <si>
    <t>profilaksis migren , vertigo gangguan vestibular</t>
  </si>
  <si>
    <t>frego</t>
  </si>
  <si>
    <t>frego tablet flunarizine hydrochloride profilaksis migren  vertigo gangguan vestibular</t>
  </si>
  <si>
    <t>Charm Extra Comfort Maxi 26 cm Wing 16 Pads</t>
  </si>
  <si>
    <t>Rp8.800 - Rp27.500</t>
  </si>
  <si>
    <t>charm extra comfort maxi wing pads</t>
  </si>
  <si>
    <t xml:space="preserve">charm extra comfort maxi wing pads tablet sildenafil citrate </t>
  </si>
  <si>
    <t>DBL9507102110A1</t>
  </si>
  <si>
    <t>Atagip 10 Tablet</t>
  </si>
  <si>
    <t>Dikonsumsi setiap setelah buang air besar</t>
  </si>
  <si>
    <t>Dewasa dan anak-anak diatas 12 tahun : 2 tablet setiap setelah buang air besar maxiumum penggunaakn 12 tablet dalam 24 jam Anak-anak 6-12 tahun : 1 tablet setiap setelah buang air besar maximum penggunaan 6 tablet dalam 24 jam</t>
  </si>
  <si>
    <t>Untuk pengobatan simptomatik pada diare non spesifik</t>
  </si>
  <si>
    <t>Dus, 1 strip @ 10 tablet</t>
  </si>
  <si>
    <t>atagip</t>
  </si>
  <si>
    <t>atagip tablet attapulgite untuk pengobatan simptomatik diare non spesifik</t>
  </si>
  <si>
    <t>GKL1616704304A1</t>
  </si>
  <si>
    <t>Loratadine 10 mg 10 Tablet</t>
  </si>
  <si>
    <t>Rp4.900 - Rp6.100</t>
  </si>
  <si>
    <t>PENGGUNAAN OBAT INI HARUS SESUAI DENGAN PETUNJUK DOKTER. Dewasa dan anak usia lebih dari 12 tahun : 10 mg sekali sehari atau 5 mg dua kali sehari. Anak usia 2-12 tahun : BB kurang dari 30 kg: 5 mg sekali sehari. BB lebih dari 30: 10 mg, sekali sehari.</t>
  </si>
  <si>
    <t>INFORMASI OBAT INI HANYA UNTUK KALANGAN MEDIS. Obat ini digunakan untuk meredakan gejala alergi seperti hay fever, urtikaria.</t>
  </si>
  <si>
    <t>Hipersensitif terhadap Loratadine.</t>
  </si>
  <si>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</si>
  <si>
    <t>loratadine</t>
  </si>
  <si>
    <t>obat meredakan gejala alergi hay fever , urtikaria</t>
  </si>
  <si>
    <t>loratadine kaplet obat meredakan gejala alergi hay fever  urtikaria</t>
  </si>
  <si>
    <t>FF152300621</t>
  </si>
  <si>
    <t>Inlacin 100 mg 6 Kapsul</t>
  </si>
  <si>
    <t>INLACIN 100</t>
  </si>
  <si>
    <t>Rp42.300 - Rp42.400</t>
  </si>
  <si>
    <t>1 kali sehari 1 kapsul.</t>
  </si>
  <si>
    <t>Membantu menurunkan kadar glukosa darah.</t>
  </si>
  <si>
    <t>Hanya untuk penderita kencing manis atas anjuran dokter. Selama penggunaan produk ini konsultasikan pada dokter secara berkala.</t>
  </si>
  <si>
    <t>inlacin 100</t>
  </si>
  <si>
    <t>membantu menurunkan kadar glukosa darah</t>
  </si>
  <si>
    <t>inlacin</t>
  </si>
  <si>
    <t>inlacin kapsul inlacin 100 membantu menurunkan kadar glukosa darah</t>
  </si>
  <si>
    <t>TR152484151</t>
  </si>
  <si>
    <t>Borobudur Kenis 100 Pil</t>
  </si>
  <si>
    <t>KENIS PIL</t>
  </si>
  <si>
    <t>Rp8.100 - Rp22.700</t>
  </si>
  <si>
    <t>2 kali sehari 5 pil</t>
  </si>
  <si>
    <t>Membantu meringankan kencing manis</t>
  </si>
  <si>
    <t>Dus, Botol @ 100 Pil</t>
  </si>
  <si>
    <t>Hanya untuk penderita kencing manis yang telah ditetapkan oleh dokter. Selama penggunaan konsultasikan pada dokter secara berkala. Simpan pada suhu kamar 25 C</t>
  </si>
  <si>
    <t>kenis pil</t>
  </si>
  <si>
    <t>membantu meringankan kencing manis</t>
  </si>
  <si>
    <t>borobudur kenis</t>
  </si>
  <si>
    <t>borobudur kenis pil kenis pil membantu meringankan kencing manis</t>
  </si>
  <si>
    <t>DKL0211633310A1</t>
  </si>
  <si>
    <t>Frego 5 mg 10 Tablet</t>
  </si>
  <si>
    <t>Rp104.300 - Rp106.000</t>
  </si>
  <si>
    <t>PENGGUNAAN OBAT INI HARUS SESUAI DENGAN PETUNJUK DOKTER. 1 x sehari 2 tablet, dapat dikurangi menjadi 1 x sehari 1 tablet bila timbul efek samping.</t>
  </si>
  <si>
    <t>INFORMASI OBAT INI HANYA UNTUK KALANGAN MEDIS. Profilaksis migrain, Vertigo dan gangguan vestibular.</t>
  </si>
  <si>
    <t>Riwayat depresi, gejala penyakit Parkinson yang sudah ada sebelumnya, gangguan ekstrapiramidal lainnya.</t>
  </si>
  <si>
    <t>HARUS DENGAN RESEP DOKTER. Pasien dengan riwayat gangguan ginjal, hypotensi, dan gangguan fungsi hati. Tidak boleh digunakan saat berkendara dapat menimbulkan rasa kantuk. Wanita hamil dan menyusui.</t>
  </si>
  <si>
    <t>profilaksis migrain , vertigo gangguan vestibular</t>
  </si>
  <si>
    <t>frego tablet flunarizine hydrochloride profilaksis migrain  vertigo gangguan vestibular</t>
  </si>
  <si>
    <t xml:space="preserve">benecheck plus in single pack tablet kombinasivalsartan blend 32 </t>
  </si>
  <si>
    <t>Kondom Fiesta Dotted Isi 3</t>
  </si>
  <si>
    <t>Kondom Sutra OK Isi 3</t>
  </si>
  <si>
    <t>kondom sutra ok isi</t>
  </si>
  <si>
    <t>kondom sutra ok isi tablet sildenafil citrate alat kontrasepsi</t>
  </si>
  <si>
    <t>DKL8918806237A1</t>
  </si>
  <si>
    <t>Biolincom Sirup 60 ml</t>
  </si>
  <si>
    <t>Rp49.900 - Rp71.200</t>
  </si>
  <si>
    <t>PENGGUNAAN OBAT INI HARUS SESUAI DENGAN PETUNJUK DOKTER. Dewasa : 3-4 kali sehari 500 mg. Anak berusia lebih dari 1 bulan : 30-60 mg/kg berat badan/hari dalam 3-4 dosis terbagi.</t>
  </si>
  <si>
    <t>INFORMASI OBAT INI HANYA UNTUK KALANGAN MEDIS. Pengobatan alternatif untuk penderita yang alergi terhadap Penicillin.</t>
  </si>
  <si>
    <t>Hipersensitif terhadap lincomycin dan clindamycin, dan bayi baru lahir.</t>
  </si>
  <si>
    <t>HARUS DENGAN RESEP DOKTER. Pasien dengan riwayat asma atau reaksi alergi lain, riwayat penyakit gastrointestinal terutama kolitis, riwayat atopik individual,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</si>
  <si>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lincomycin hydrochloride</t>
  </si>
  <si>
    <t>pengobatan alternatif penderita alergi penicillin</t>
  </si>
  <si>
    <t>biolincom</t>
  </si>
  <si>
    <t>biolincom sirup lincomycin hydrochloride pengobatan alternatif penderita alergi penicillin</t>
  </si>
  <si>
    <t>Kondom Fiesta Strawberry Isi 12</t>
  </si>
  <si>
    <t>Kondom Sutra Rm Isi 12</t>
  </si>
  <si>
    <t>Rp19.100 - Rp32.300</t>
  </si>
  <si>
    <t>kondom sutra rm isi</t>
  </si>
  <si>
    <t>kondom sutra rm isi tablet tizanidine hydrochloride alat kontrasepsi</t>
  </si>
  <si>
    <t>Kondom Sutra Rm Isi 3</t>
  </si>
  <si>
    <t>Rp5.700 - Rp11.400</t>
  </si>
  <si>
    <t>TR173307011</t>
  </si>
  <si>
    <t>Al Afiat VCO 60 Kapsul</t>
  </si>
  <si>
    <t>kapsul vco</t>
  </si>
  <si>
    <t>2-3 kali sehari 1-2 kapsul</t>
  </si>
  <si>
    <t>Dus , botol 60 kapsul</t>
  </si>
  <si>
    <t>al afiat vco</t>
  </si>
  <si>
    <t>al afiat vco kapsul kapsul vco membantu memelihara kesehatan</t>
  </si>
  <si>
    <t>DTL0322718304A1</t>
  </si>
  <si>
    <t>Bodrex Migra 4 Kaplet</t>
  </si>
  <si>
    <t>Rp2.500 - Rp3.400</t>
  </si>
  <si>
    <t>Dewasa : 3 kali sehari 1 kaplet atau menurut petunjuk dokter</t>
  </si>
  <si>
    <t>Meredakan sakit kepala sebelah (migraine)</t>
  </si>
  <si>
    <t>Gangguan fungsi hati berat atau hipersensitif.</t>
  </si>
  <si>
    <t>Hati-hati penggunaan pada penderita porfiria. Bila setelah 5 hari rasa nyeri tidak berkurang, segera hubungi dokter. Penggunaan obat ini pada penderita yang mengkonsumsi alkohol, dapat meningkatkan resiko kerusakan fungsi hati. Hati-hati penggunaan obat ini pada penderita penyakit ginjal.</t>
  </si>
  <si>
    <t>meredakan sakit kepala sebelah migraine</t>
  </si>
  <si>
    <t>bodrex migra</t>
  </si>
  <si>
    <t>bodrex migra kaplet caffeine meredakan sakit kepala sebelah migraine</t>
  </si>
  <si>
    <t>COSRX Acne Pimple Master Patch 24 Patch</t>
  </si>
  <si>
    <t>Rp41.000 - Rp93.500</t>
  </si>
  <si>
    <t>Sachet @ 24 Patch</t>
  </si>
  <si>
    <t>cosrx acne pimple master patch patch</t>
  </si>
  <si>
    <t xml:space="preserve">cosrx acne pimple master patch patch tablet tizanidine hydrochloride </t>
  </si>
  <si>
    <t>DTL0713024246A1</t>
  </si>
  <si>
    <t>Braito Tears 5 ml</t>
  </si>
  <si>
    <t>Rp8.900 - Rp12.700</t>
  </si>
  <si>
    <t>2-3 kali sehari, 1-2 tetes</t>
  </si>
  <si>
    <t>Meredakan mata merah karena iritasi ringan</t>
  </si>
  <si>
    <t>Dus, Botol @ 5 ml</t>
  </si>
  <si>
    <t>Jauhkan dari jangkauan anak-anak. Bila anda memakai lensa kontak, lepaskan lensa tersebut sebelum meneteskan Braito</t>
  </si>
  <si>
    <t>meredakan mata merah iritasi ringan</t>
  </si>
  <si>
    <t>braito tears</t>
  </si>
  <si>
    <t>braito tears tetes hypromellose meredakan mata merah iritasi ringan</t>
  </si>
  <si>
    <t>Omron Blood Pressure Monitor Hem 7156</t>
  </si>
  <si>
    <t>Rp547.300 - Rp1.027.200</t>
  </si>
  <si>
    <t>omron blood pressure monitor hem</t>
  </si>
  <si>
    <t xml:space="preserve">omron blood pressure monitor hem tablet kombinasivalsartan blend 32 </t>
  </si>
  <si>
    <t>Omron Automatic Blood Pressure Hem-7121</t>
  </si>
  <si>
    <t>Rp477.300 - Rp1.097.000</t>
  </si>
  <si>
    <t>omron automatic blood pressure hem</t>
  </si>
  <si>
    <t xml:space="preserve">omron automatic blood pressure hem tablet kombinasivalsartan blend 32 </t>
  </si>
  <si>
    <t>DBL0422239748A1</t>
  </si>
  <si>
    <t>Forumen 5 mg/ml Ear Drops 10 ml</t>
  </si>
  <si>
    <t>Rp35.300 - Rp42.700</t>
  </si>
  <si>
    <t>Diteteskan pada telinga</t>
  </si>
  <si>
    <t>PENGGUNAAN OBAT INI HARUS SESUAI DENGAN PETUNJUK DOKTER. Teteskan secukupnya pada telinga yang mau dibersihkan 1 x sehari pada malam hari, tidak boleh digunakan lebih dari 2 malam berturut-turut.</t>
  </si>
  <si>
    <t>INFORMASI OBAT INI HANYA UNTUK KALANGAN MEDIS. Membantu membersihkan serumen telinga.</t>
  </si>
  <si>
    <t>Perforasi membran timpani atau inflamasi pada telinga</t>
  </si>
  <si>
    <t>HARUS DENGAN RESEP DOKTER. Hentikan penggunaan jika terjadi nyeri atau inflamasi pada telinga. Tidak boleh digunakan lebih dari 2 malam berturut-turut.</t>
  </si>
  <si>
    <t>docusate sodium</t>
  </si>
  <si>
    <t>membantu membersihkan serumen telinga</t>
  </si>
  <si>
    <t>forumen ear</t>
  </si>
  <si>
    <t>forumen ear tetes docusate sodium membantu membersihkan serumen telinga</t>
  </si>
  <si>
    <t>DKL8522201901B1</t>
  </si>
  <si>
    <t>Biothicol 500 mg 10 Kapsul</t>
  </si>
  <si>
    <t>Rp50.100 - Rp56.700</t>
  </si>
  <si>
    <t>INFORMASI OBAT INI HANYA UNTUK KALANGAN MEDIS. Infeksi yang disebabkan oleh Salmonella, H. influenzae (terutama meningokokus)</t>
  </si>
  <si>
    <t>Disfungsi ginjal dan hati berat. Hipersensitif</t>
  </si>
  <si>
    <t>HARUS DENGAN RESEP DOKTER. Kewaspadaan khusus pada Bayi baru lahir dan bayi prematur serta ibu hamil dan menyusui</t>
  </si>
  <si>
    <t>infeksi disebabkan salmonella , h  influenzae meningokokus</t>
  </si>
  <si>
    <t>biothicol</t>
  </si>
  <si>
    <t>biothicol kapsul thiamphenicol infeksi disebabkan salmonella  h  influenzae meningokokus</t>
  </si>
  <si>
    <t>ciprofloxacin hydrochloride monohydrate fluocinolone acetonide</t>
  </si>
  <si>
    <t xml:space="preserve">duoxal ear drop tetes ciprofloxacin hydrochloride monohydrate fluocinolone acetonide </t>
  </si>
  <si>
    <t>promethazine hydrochloride ammonium chloride ephedrine hydrochloride</t>
  </si>
  <si>
    <t xml:space="preserve">bufagan expectorant sirup promethazine hydrochloride ammonium chloride ephedrine hydrochloride </t>
  </si>
  <si>
    <t>DKL8831501237A1</t>
  </si>
  <si>
    <t>Fartolin Expectorant Sirup 100 ml</t>
  </si>
  <si>
    <t>Rp59.300 - Rp65.900</t>
  </si>
  <si>
    <t>Dikonsumsi saat perut kosong yaitu 1 jam sebelum atau 2 jam sesudah makan.</t>
  </si>
  <si>
    <t>PENGGUNAAN OBAT INI HARUS SESUAI DENGAN PETUNJUK DOKTER. - Dewasa &amp; anak di atas usia 12 tahun : 2-4 senok takar (10-20 ml), diberikan 2-3 x sehari. - Anak 6-12 tahun : 2 sendok takar (10 ml), diberikan 2-3 x sehari.</t>
  </si>
  <si>
    <t>INFORMASI OBAT INI HANYA UNTUK KALANGAN MEDIS. Asma Bronkhial, Bronkhitis Khronik, dan Emfisema.</t>
  </si>
  <si>
    <t>Hipersensitif terhadap guaifenesin, salbutamol atau obat agonis adrenoreseptor beta-2 lainnya.</t>
  </si>
  <si>
    <t>HARUS DENGAN RESEP DOKTER. Hipertiroid, penyakit koroner termasuk hipertensi. Gangguan koroner dan diabetes melitus. Pemakaian bersama beta bloker.</t>
  </si>
  <si>
    <t>asma bronkhial , bronkhitis khronik , emfisema</t>
  </si>
  <si>
    <t>fartolin expectorant</t>
  </si>
  <si>
    <t>fartolin expectorant sirup guaifenesin asma bronkhial  bronkhitis khronik  emfisema</t>
  </si>
  <si>
    <t>TR202341451</t>
  </si>
  <si>
    <t>Fatigon Promuno 30 Kapsul</t>
  </si>
  <si>
    <t>FATIGON PROMUNO</t>
  </si>
  <si>
    <t>Rp41.700 - Rp97.000</t>
  </si>
  <si>
    <t>Sebaiknya diminum setelah makan.</t>
  </si>
  <si>
    <t>Dewasa: 3 Kali sehari 1 Kapsul</t>
  </si>
  <si>
    <t>Untuk membantu menjaga daya tahan tubuh.</t>
  </si>
  <si>
    <t>Dus, Botol 30 kapsul</t>
  </si>
  <si>
    <t>Simpan di tempat yang kering, terhindar dari matahari langsung. Simpan pada suhu dibawah 30 derajat Celsius.</t>
  </si>
  <si>
    <t>fatigon promuno</t>
  </si>
  <si>
    <t>untuk membantu menjaga daya tahan tubuh</t>
  </si>
  <si>
    <t>fatigon promuno kapsul untuk membantu menjaga daya tahan tubuh</t>
  </si>
  <si>
    <t>DKL0707917716A1</t>
  </si>
  <si>
    <t>Andalan Pil Kb 56 Tablet</t>
  </si>
  <si>
    <t>Rp9.900 - Rp19.200</t>
  </si>
  <si>
    <t>Segera sebelum makan atau bersama makanan</t>
  </si>
  <si>
    <t>INFORMASI OBAT INI HANYA UNTUK KALANGAN MEDIS. Sebagai kontrasepsi oral untuk mencegah kehamilan</t>
  </si>
  <si>
    <t>Dus, 2 blister @ 28 tablet</t>
  </si>
  <si>
    <t>Hipersensitif, penderita thromboembolisme, gangguan fungsi hati berat, hamil.</t>
  </si>
  <si>
    <t>HARUS DENGAN RESEP DOKTER. Merokok, infark miokardia, tromboembolism, penyakit serebrovaskular, penyakit jantung, gangguan ginjal dan laktasi.</t>
  </si>
  <si>
    <t>sebagai kontrasepsi oral mencegah kehamilan</t>
  </si>
  <si>
    <t>andalan kb</t>
  </si>
  <si>
    <t>andalan kb tablet ethinylestradiol sebagai kontrasepsi oral mencegah kehamilan</t>
  </si>
  <si>
    <t>DTL9408001329A1</t>
  </si>
  <si>
    <t>Fungares 20 mg/g Cream 10 g</t>
  </si>
  <si>
    <t>oleskan tipis pada bagian yang luka</t>
  </si>
  <si>
    <t>Oleskan sehari 2 x pada alesi. Bila seluruh lesi telah hilang (biasanya 2-5 minggu), perpanjangan pengobatan selama 10 hari untuk mencegah kambuh</t>
  </si>
  <si>
    <t>Infeksi jamur pada kulit dan kuku</t>
  </si>
  <si>
    <t>Krim 10 G X 1</t>
  </si>
  <si>
    <t>hentikan pemakaian jika timbul reaksi alergi dan hipersensitivitas</t>
  </si>
  <si>
    <t>miconazole nitrate</t>
  </si>
  <si>
    <t>infeksi jamur kulit kuku</t>
  </si>
  <si>
    <t>fungares cream</t>
  </si>
  <si>
    <t>fungares cream krim miconazole nitrate infeksi jamur kulit kuku</t>
  </si>
  <si>
    <t>Fungares 20 mg/g Cream 5 g</t>
  </si>
  <si>
    <t>Rp20.900 - Rp26.800</t>
  </si>
  <si>
    <t>Krim 5 G X 1</t>
  </si>
  <si>
    <t>DKI1618600517A1</t>
  </si>
  <si>
    <t>Monarin 10 mg 10 Tablet</t>
  </si>
  <si>
    <t>Rp68.100 - Rp109.700</t>
  </si>
  <si>
    <t>PENGGUNAAN OBAT INI HARUS SESUAI DENGAN PETUNJUK DOKTER. Asma : 1 kali sehari saat malam hari.</t>
  </si>
  <si>
    <t>INFORMASI OBAT INI HANYA UNTUK KALANGAN MEDIS. Untuk pencegahan dan terapi asma kronis.</t>
  </si>
  <si>
    <t>HARUS DENGAN RESEP DOKTER. Dapat menyebabkan kantuk. Kategori Kehamilan : Kategori B: Mungkin dapat digunakan oleh wanita hamil. Penelitian pada hewan uji tidak memperlihatkan ada nya risiko terhadap janin, namun belum ada bukti penelitian langsung terhadap wanita hamil.</t>
  </si>
  <si>
    <t>untuk pencegahan terapi asma kronis</t>
  </si>
  <si>
    <t>monarin</t>
  </si>
  <si>
    <t>monarin tablet montelukast sodium untuk pencegahan terapi asma kronis</t>
  </si>
  <si>
    <t>DKL1635805329A1</t>
  </si>
  <si>
    <t>Scabicore Cream 30 g</t>
  </si>
  <si>
    <t>Rp74.900 - Rp99.400</t>
  </si>
  <si>
    <t>Oleskan krim secara merata pada malam hari di seluruh permukaan kulit mulai dari kepala sampai ke jari-jari kaki, terutama pada daerah belakang telinga, lipatan bokong, dan sela-sela jari. Biarkan selama 8-12 jam, kemudian dibilas.</t>
  </si>
  <si>
    <t>Terapi infestasi Sarcoptes scabies (Scabies)</t>
  </si>
  <si>
    <t>Dus, Tube @ 30 gr</t>
  </si>
  <si>
    <t>HARUS DENGAN RESEP DOKTER. Hanya untuk pemakaian luar. Hindari kontak dengan mata. Jika terjadi iritasi, hentikan penggunaan produk ini. Hanya untuk sekali pemakaian. Kategori Kehamilan : B</t>
  </si>
  <si>
    <t>terapi infestasi sarcoptes scabies scabies</t>
  </si>
  <si>
    <t>scabicore cream</t>
  </si>
  <si>
    <t>scabicore cream krim permethrin terapi infestasi sarcoptes scabies scabies</t>
  </si>
  <si>
    <t>Laxing 4 Kapsul</t>
  </si>
  <si>
    <t>Rp4.600 - Rp5.100</t>
  </si>
  <si>
    <t>Membantu melancarkan buang air besar . Membantu melunakkan tinja</t>
  </si>
  <si>
    <t>ibu hamil atau menyusui mengingat data keamanannya belum cukup. Hindari pula penggunaan bagi penderita yang memiliki alergi terhadap salah satu atau beberapa komponen obat.</t>
  </si>
  <si>
    <t>Hati-hati penggunaan melebihi dosis dapat menyebabkan diare.</t>
  </si>
  <si>
    <t>membantu melancarkan buang air  membantu melunakkan tinja</t>
  </si>
  <si>
    <t>laxing kapsul membantu melancarkan buang air  membantu melunakkan tinja</t>
  </si>
  <si>
    <t>TR142381791</t>
  </si>
  <si>
    <t>Hyric 50 Kapsul</t>
  </si>
  <si>
    <t>HYRIC</t>
  </si>
  <si>
    <t>Rp413.300 - Rp645.300</t>
  </si>
  <si>
    <t>Hiperurisemia &amp; Artritis Gout (akibat asam urat) akut</t>
  </si>
  <si>
    <t>Box Isi 5 Strip @ 10 Kapsul</t>
  </si>
  <si>
    <t>hyric</t>
  </si>
  <si>
    <t>hiperurisemia artritis gout akibat asam urat akut</t>
  </si>
  <si>
    <t>hyric kapsul hiperurisemia artritis gout akibat asam urat akut</t>
  </si>
  <si>
    <t>Sensitif Vivo Endurance 3 Pieces</t>
  </si>
  <si>
    <t>Rp14.100 - Rp22.900</t>
  </si>
  <si>
    <t>Pack isi 3</t>
  </si>
  <si>
    <t>sensitif vivo endurance pieces</t>
  </si>
  <si>
    <t>sensitif vivo endurance pieces tablet sildenafil citrate alat kontrasepsi</t>
  </si>
  <si>
    <t>Hansaplast Plastik 10 Lembar</t>
  </si>
  <si>
    <t>Rp6.100 - Rp9.700</t>
  </si>
  <si>
    <t>Bersihkan dan keringkan bagian yang sakit, lepaskan plester dari lapisan filmnya dan tempelkan pada daerah yang sakit</t>
  </si>
  <si>
    <t>Penutup luka, mencegah infeksi</t>
  </si>
  <si>
    <t>Dus, 30 Amplop @ 10 Strips</t>
  </si>
  <si>
    <t>penutup luka , mencegah infeksi</t>
  </si>
  <si>
    <t>hansaplast plastik lembar</t>
  </si>
  <si>
    <t>hansaplast plastik lembar larutan povidoneiodine penutup luka  mencegah infeksi</t>
  </si>
  <si>
    <t>DTL1030705210A1</t>
  </si>
  <si>
    <t>Oskadon Extra 4 Tablet</t>
  </si>
  <si>
    <t>Rp1.900 - Rp2.100</t>
  </si>
  <si>
    <t>Dewasa dan anak &gt; 12 tahun: Sehari 3-4 x 1-2 tablet Anak 6-12 tahun: Sehari 3-4 x 1/2-1 tablet</t>
  </si>
  <si>
    <t>Meredakan sakit kepala.</t>
  </si>
  <si>
    <t>Dus, 25 Catchcover @ 1 Strip @ 4 Tablet</t>
  </si>
  <si>
    <t>Penderita yang hipersensitif terhadap komponen obat ini dan obat anti inflamasi non steroid lannya, penderita dengan tukak lambung atau usus 12 jari yang berat dan aktif, dan wanita hmil pada usia kehamilan tiga bulan terakhir, kecuali atas petunjjuk dokter.</t>
  </si>
  <si>
    <t>ibuprofen caffeine paracetamol</t>
  </si>
  <si>
    <t>meredakan sakit kepala</t>
  </si>
  <si>
    <t>oskadon extra</t>
  </si>
  <si>
    <t>oskadon extra tablet ibuprofen caffeine paracetamol meredakan sakit kepala</t>
  </si>
  <si>
    <t>mirasic plus kaplet caffeine paracetamol meredakan nyeri ringan demam</t>
  </si>
  <si>
    <t>omegdiar suspensi kaolin pectin pengobatan simptomatik diare non spesifik</t>
  </si>
  <si>
    <t>DBL9204302910A2</t>
  </si>
  <si>
    <t>Neo Diaform 10 Tablet</t>
  </si>
  <si>
    <t>Rp2.700 - Rp3.400</t>
  </si>
  <si>
    <t>Dewasa dan Anak &gt; 12 tahun : 2.5 tablet/diare. Maksimal 15 tablet/24 jam. Anak 6-12 tahun : 1.5 tablet/diare. Maksimal 7.5 tablet/24 jam.</t>
  </si>
  <si>
    <t>Dus, 50 Catch cover @ 1 Strip @ 10 Tablet</t>
  </si>
  <si>
    <t>Hipersensitif, obstruksi intestinal.</t>
  </si>
  <si>
    <t>Anak &lt; 6 tahun. Tidak boleh dipergunakan &gt; 2 hari atau disertai demam tinggi</t>
  </si>
  <si>
    <t>neo diaform</t>
  </si>
  <si>
    <t>neo diaform tablet kaolin terapi simtomatik diare non spesifik</t>
  </si>
  <si>
    <t>DKL0613610517A1</t>
  </si>
  <si>
    <t>Myoman 50 mg 10 Tablet</t>
  </si>
  <si>
    <t>Rp39.700 - Rp49.600</t>
  </si>
  <si>
    <t>PENGGUNAAN OBAT INI HARUS SESUAI DENGAN PETUNJUK DOKTER. Dewasa 3 x sehari 1 tablet.</t>
  </si>
  <si>
    <t>Terapi simtomatik untuk keadaan yang berhubungan dengan spasme muskuloskeletal.</t>
  </si>
  <si>
    <t>Tablet 50 Mg X 10'S</t>
  </si>
  <si>
    <t>Pasien dengan riwayat hipersensitivitas/alergi obat Eperisone HCl, ibu menyusui</t>
  </si>
  <si>
    <t>HARUS DENGAN RESEP DOKTER. Dapat mengganggu kemampuan mengemudi atau menjalankan mesin. Gangguan fungsi hati &amp; gagal ginjal. Hentikan pengobatan jika terjadi kelelahan &amp; mulut kering. Hamil, laktasi, lanjut usia, anak.</t>
  </si>
  <si>
    <t>terapi simtomatik berhubungan spasme muskuloskeletal</t>
  </si>
  <si>
    <t>myoman</t>
  </si>
  <si>
    <t>myoman tablet eperisone hydrochloride terapi simtomatik berhubungan spasme muskuloskeletal</t>
  </si>
  <si>
    <t>Kondom Okamoto Aloe isi 2</t>
  </si>
  <si>
    <t>Rp41.900 - Rp59.000</t>
  </si>
  <si>
    <t>Pack @ 2 Pieces</t>
  </si>
  <si>
    <t>kondom okamoto aloe isi</t>
  </si>
  <si>
    <t>kondom okamoto aloe isi tablet sildenafil citrate alat kontrasepsi</t>
  </si>
  <si>
    <t>DKL0205031410B1</t>
  </si>
  <si>
    <t>Mecox 15 mg 10 Tablet</t>
  </si>
  <si>
    <t>Rp114.400 - Rp124.800</t>
  </si>
  <si>
    <t>Mengobati osteoarthritis (OA), Reumatoid Arthritis (RA)</t>
  </si>
  <si>
    <t>1 Dos Isi 2 Strip X 10 Tablet</t>
  </si>
  <si>
    <t>Pasien dengan hipersensitif terhadap meloksikam, asetosal, atau obat anti inflamatori non steroidal lain, penyakit ginjal berat, hamil, menyusui, anak, tukak lambung aktif, selama 6 bulan terakhir, atau ada riwayat tukak lambung berula</t>
  </si>
  <si>
    <t>HARUS DENGAN RESEP DOKTER. Riwayat penyakit GI (pendarahan &amp; tukak), penurunan fungsi ginjal, penyakit hati, gagal hati, dehidrasi, hipertensi, atau asma. Lansia, anak, laktasi</t>
  </si>
  <si>
    <t>mengobati osteoarthritis oa , reumatoid arthritis ra</t>
  </si>
  <si>
    <t>mecox</t>
  </si>
  <si>
    <t>mecox tablet meloxicam mengobati osteoarthritis oa  reumatoid arthritis ra</t>
  </si>
  <si>
    <t>DKL0205031410A1</t>
  </si>
  <si>
    <t>Mecox Tablet 7.5 mg</t>
  </si>
  <si>
    <t>Rp6.900 - Rp8.300</t>
  </si>
  <si>
    <t>Kondom Okamoto Crown Isi 3</t>
  </si>
  <si>
    <t>Rp19.700 - Rp26.900</t>
  </si>
  <si>
    <t>Pack Isi 3 Buah</t>
  </si>
  <si>
    <t>kondom okamoto crown isi</t>
  </si>
  <si>
    <t>kondom okamoto crown isi tablet sildenafil citrate alat kontrasepsi</t>
  </si>
  <si>
    <t>Kondom Okamoto Harmony Isi 10</t>
  </si>
  <si>
    <t>Rp41.100 - Rp79.000</t>
  </si>
  <si>
    <t>Pack Isi 10 Buah</t>
  </si>
  <si>
    <t>kondom okamoto harmony isi</t>
  </si>
  <si>
    <t>kondom okamoto harmony isi tablet sildenafil citrate alat kontrasepsi</t>
  </si>
  <si>
    <t>Kondom Okamoto Harmony Isi 3</t>
  </si>
  <si>
    <t>Rp12.000 - Rp28.500</t>
  </si>
  <si>
    <t>Box 3 x 1</t>
  </si>
  <si>
    <t>Kondom Sagami Original 002 Isi 4</t>
  </si>
  <si>
    <t>Pack isi 4</t>
  </si>
  <si>
    <t>DKL0200202717A1</t>
  </si>
  <si>
    <t>Isoptin 80 mg 10 Tablet</t>
  </si>
  <si>
    <t>Rp160.300 - Rp205.700</t>
  </si>
  <si>
    <t>PENGGUNAAN OBAT INI HARUS SESUAI DENGAN PETUNJUK DOKTER. Dewasa: 240-480 mg per hari dalam 3-4 dosis bagi</t>
  </si>
  <si>
    <t>Pengobatan angina pektoris dan pencegahan aritmia</t>
  </si>
  <si>
    <t>HARUS DENGAN RESEP DOKTER. hipotensi atau syok kardiogenik, gangguan konduksi (av block tingkat 2 dan 3, sa block), sick sinus syndrome, penderita dengan atrial flutter atau fibrasi atrial dan accessory by pass tract, misalnya wolf-parkinson, white, lown-ganong-levine syndrome</t>
  </si>
  <si>
    <t>pengobatan angina pektoris pencegahan aritmia</t>
  </si>
  <si>
    <t>isoptin</t>
  </si>
  <si>
    <t>isoptin tablet verapamil hydrochloride pengobatan angina pektoris pencegahan aritmia</t>
  </si>
  <si>
    <t>DKL0133502517B1</t>
  </si>
  <si>
    <t>Irvell 300 mg 10 Tablet</t>
  </si>
  <si>
    <t>Rp145.400 - Rp160.000</t>
  </si>
  <si>
    <t>PENGGUNAAN OBAT INI HARUS SESUAI DENGAN PETUNJUK DOKTER. Diawali 1 x sehari 0.5 tablet, dapat ditingkatkan sampai 1 x sehari 1 tablet</t>
  </si>
  <si>
    <t>Hipertensi, sebagai terapi tunggal atau kombinasi dengan obat antihipertensi lain.</t>
  </si>
  <si>
    <t>Dus, 2 Blister @ 10 tablet salut selaput</t>
  </si>
  <si>
    <t>HARUS DENGAN RESEP DOKTER. Deplesi vol intravaskular atau Na, pasien yang fungsi ginjalnya tergantung pada aktivitas sistem renin-angiotensin-aldosteron. Kategori Kehamilan : D</t>
  </si>
  <si>
    <t>hipertensi , terapi tunggal kombinasi obat antihipertensi</t>
  </si>
  <si>
    <t>irvell</t>
  </si>
  <si>
    <t>irvell tablet irbesartan hipertensi  terapi tunggal kombinasi obat antihipertensi</t>
  </si>
  <si>
    <t>DKL9822716017A1</t>
  </si>
  <si>
    <t>Myori 50 mg 10 Tablet</t>
  </si>
  <si>
    <t>Rp41.700 - Rp46.500</t>
  </si>
  <si>
    <t>PENGGUNAAN OBAT INI HARUS SESUAI DENGAN PETUNJUK DOKTER. Dewasa : 3 kali sehari 1 tablet</t>
  </si>
  <si>
    <t>Pengobatan simptomatik yang disertai dengan spasme muskuloskeletal</t>
  </si>
  <si>
    <t>Tablet 50 Mg X 5 X 10</t>
  </si>
  <si>
    <t>Gagal hati dan ginjal berat</t>
  </si>
  <si>
    <t>HARUS DENGAN RESEP DOKTER. Jangan digunakan pasien paralisis flaksid, karena menurunkan tonus otot skelet. Hamil dan menyusui. Tidak dianjurkan pada anak. Jangan mengemudikan kendaraan atau menjalankan mesin</t>
  </si>
  <si>
    <t>pengobatan simptomatik disertai spasme muskuloskeletal</t>
  </si>
  <si>
    <t>myori</t>
  </si>
  <si>
    <t>myori tablet eperisone hydrochloride pengobatan simptomatik disertai spasme muskuloskeletal</t>
  </si>
  <si>
    <t>TR103310821</t>
  </si>
  <si>
    <t>Albiruni Fitensi 50 Kapsul</t>
  </si>
  <si>
    <t>FITENSI</t>
  </si>
  <si>
    <t>Rp64.800 - Rp76.800</t>
  </si>
  <si>
    <t>Membantu meringankan tekanan darah tinggi ringan.</t>
  </si>
  <si>
    <t>Kapsul 50 x 1</t>
  </si>
  <si>
    <t>Hanya untuk penderita darah tinggi yang sudah ditetapkan oleh dokter. Selama penggunaan konsultasikan kepada dokter secara berkala.</t>
  </si>
  <si>
    <t>fitensi</t>
  </si>
  <si>
    <t>membantu meringankan tekanan darah ringan</t>
  </si>
  <si>
    <t>albiruni fitensi</t>
  </si>
  <si>
    <t>albiruni fitensi kapsul fitensi membantu meringankan teka darah ringan</t>
  </si>
  <si>
    <t>DKL0133502517A1</t>
  </si>
  <si>
    <t>Irvell 150 mg 10 Tablet</t>
  </si>
  <si>
    <t>Rp104.100 - Rp118.400</t>
  </si>
  <si>
    <t>PENGGUNAAN OBAT INI HARUS SESUAI DENGAN PETUNJUK DOKTER. Awal 150 mg/hari, dapat ditingkatkan sampai 300 mg 1 kali/hari.</t>
  </si>
  <si>
    <t>Terapi hipertensi secara tunggal atau kombinasi dengan obat hipertensi lainnya.</t>
  </si>
  <si>
    <t>terapi hipertensi tunggal kombinasi obat hipertensi</t>
  </si>
  <si>
    <t>irvell tablet irbesartan terapi hipertensi tunggal kombinasi obat hipertensi</t>
  </si>
  <si>
    <t>DKL0811638604B1</t>
  </si>
  <si>
    <t>Irvask 300 mg 10 Tablet</t>
  </si>
  <si>
    <t>Rp149.700 - Rp234.400</t>
  </si>
  <si>
    <t>PENGGUNAAN OBAT INI HARUS SESUAI DENGAN PETUNJUK DOKTER. 1 x sehari 0.5 kaplet, dapat ditingkatkan sampai 1 x sehari 1 kaplet</t>
  </si>
  <si>
    <t>INFORMASI OBAT INI HANYA UNTUK KALANGAN MEDIS. Hipertensi, sebagai terapi tunggal atau kombinasi dengan obat antihipertensi lain.</t>
  </si>
  <si>
    <t>Dus, 3 Strip @ 10 kaplet</t>
  </si>
  <si>
    <t>HARUS DENGAN RESEP DOKTER. Pasien gangguan ginjal atau hati. Kategori Kehamilan : D</t>
  </si>
  <si>
    <t>irvask</t>
  </si>
  <si>
    <t>irvask kaplet irbesartan hipertensi  terapi tunggal kombinasi obat antihipertensi</t>
  </si>
  <si>
    <t>novadiar suspensi kaolin pectin pengobatan simptomatik diare tidak penyebabnya</t>
  </si>
  <si>
    <t>triprolidine hydrochloride pseudoephedrine hydrochloride guaifenesin</t>
  </si>
  <si>
    <t xml:space="preserve">oratifed plus expectorant sirup triprolidine hydrochloride pseudoephedrine hydrochloride guaifenesin </t>
  </si>
  <si>
    <t>Kondom Sagami Original 002 Isi 6</t>
  </si>
  <si>
    <t>Pack Isi 6</t>
  </si>
  <si>
    <t>DKL0009213009A1</t>
  </si>
  <si>
    <t>Mionalgin 10 Kaplet</t>
  </si>
  <si>
    <t>Rp6.500 - Rp9.500</t>
  </si>
  <si>
    <t>metamizole sodium pyridoxine hydrochloride cyanocobalamin thiamine hydrochloride</t>
  </si>
  <si>
    <t>mionalgin</t>
  </si>
  <si>
    <t xml:space="preserve">mionalgin kaplet metamizole sodium pyridoxine hydrochloride cyanocobalamin thiamine hydrochloride </t>
  </si>
  <si>
    <t>paracetamol ibuprofen caffeine</t>
  </si>
  <si>
    <t>oskadon extra tablet paracetamol ibuprofen caffeine meredakan sakit kepala</t>
  </si>
  <si>
    <t>DTL0318817333B1</t>
  </si>
  <si>
    <t>Ostarin Forte 200 mg/5 ml Sirup 60 ml</t>
  </si>
  <si>
    <t>Rp31.000 - Rp35.200</t>
  </si>
  <si>
    <t>Berikan segera sesudah makan.</t>
  </si>
  <si>
    <t>Dewasa &amp; anak &gt; 12 tahun1-2 sendok obat, Anak 8-12 tahun 1 sendok obat, 3-7 tahun 1/2 sendok obat. Diberikan 3 x sehari.</t>
  </si>
  <si>
    <t>Artritis reumatoid &amp; osteoartritis, nyeri ringan sampai sedang</t>
  </si>
  <si>
    <t>Hipersensitivitas terhadap ibuprofen</t>
  </si>
  <si>
    <t>TR102214771</t>
  </si>
  <si>
    <t>Herbadrink Kopi Ginseng 20 g 5 Sachet</t>
  </si>
  <si>
    <t>HERBADRINK SARI JAHE SUGAR FREE</t>
  </si>
  <si>
    <t>Rp11.200 - Rp25.300</t>
  </si>
  <si>
    <t>herbadrink sari jahe sugar free</t>
  </si>
  <si>
    <t>herbadrink kopi ginseng</t>
  </si>
  <si>
    <t xml:space="preserve">herbadrink kopi ginseng sachet herbadrink sari jahe sugar free </t>
  </si>
  <si>
    <t>DKL7815622217A1</t>
  </si>
  <si>
    <t>Procolic Tablet</t>
  </si>
  <si>
    <t>Rp2.800 - Rp3.200</t>
  </si>
  <si>
    <t>Dismenore, kolik empedu dan ginjal</t>
  </si>
  <si>
    <t>Larutan 200 ml x 1</t>
  </si>
  <si>
    <t>Penderita hipersensitif, penderita glaukoma dan anak di bawah umur 1 tahun.</t>
  </si>
  <si>
    <t>Obat Wajib Apotek, Obat ini dapat dibeli dan diserahkan apoteker tanpa resep dengan maksimum 20 Tablet. Pembelian melebihi batas ini WAJIB RESEP DOKTER. Hamil, berencana untuk hamil atau menyusui Hindari konsumsi alkohol, lansia</t>
  </si>
  <si>
    <t>paracetamol hyoscine butylbromide</t>
  </si>
  <si>
    <t>dismenore , kolik empedu ginjal</t>
  </si>
  <si>
    <t>procolic</t>
  </si>
  <si>
    <t>procolic tablet paracetamol hyoscine butylbromide dismenore  kolik empedu ginjal</t>
  </si>
  <si>
    <t>Onemed Dermafix T 10X12 cm</t>
  </si>
  <si>
    <t>Rp9.100 - Rp12.200</t>
  </si>
  <si>
    <t>Untuk penutup luka kecil</t>
  </si>
  <si>
    <t>Dus, 10 Pack @ 1 Pieces</t>
  </si>
  <si>
    <t>onemed dermafix t x</t>
  </si>
  <si>
    <t>onemed dermafix t x larutan povidoneiodine untuk penutup luka</t>
  </si>
  <si>
    <t>ammonium chloride diphenhydramine hydrochloride</t>
  </si>
  <si>
    <t>nichodryl sirup ammonium chloride diphenhydramine hydrochloride menghilangkan batuk alergi</t>
  </si>
  <si>
    <t>DKL0404128953A1</t>
  </si>
  <si>
    <t>Propyretic Suppositoria 80 mg</t>
  </si>
  <si>
    <t>Balance Madia Muscle Ease 10 Kaplet</t>
  </si>
  <si>
    <t>Rp23.100 - Rp32.800</t>
  </si>
  <si>
    <t>balance madia muscle ease</t>
  </si>
  <si>
    <t xml:space="preserve">balance madia muscle ease kaplet balance madia feminine health </t>
  </si>
  <si>
    <t>Kondom Simplex Stallion Isi 3</t>
  </si>
  <si>
    <t>Rp7.700 - Rp17.500</t>
  </si>
  <si>
    <t>Pack Isi 3</t>
  </si>
  <si>
    <t>kondom simplex stallion isi</t>
  </si>
  <si>
    <t>kondom simplex stallion isi tablet sildenafil citrate alat kontrasepsi</t>
  </si>
  <si>
    <t>HEPAGARD AGROMED</t>
  </si>
  <si>
    <t>hepagard agromed</t>
  </si>
  <si>
    <t>hepagard kapsul hepagard agromed membantu memelihara kesehatan fungsi hati</t>
  </si>
  <si>
    <t>DKL8519800729A2</t>
  </si>
  <si>
    <t>Trosyd 1% Cream 10 g</t>
  </si>
  <si>
    <t>oleskan pada bagian yang sakit</t>
  </si>
  <si>
    <t>PENGGUNAAN OBAT INI HARUS SESUAI DENGAN PETUNJUK DOKTER. Oleskan dan pijat pada bagian kulit yang sakit dan sekitarnya 1 atau 2 kali sehari. Lama terapi: Tinea versikolor 7 hari. Tinea pedis berat khususnya hiperkeratotik kronik: 6 minggu. Infeksi dermatofita, kandidiasis, eritrasma: 2-4 minggu</t>
  </si>
  <si>
    <t>Infeksi kulit yang disebabkan oleh jamur yang sensitif</t>
  </si>
  <si>
    <t>Hipersensitif terhadap imidazol</t>
  </si>
  <si>
    <t>Obat Wajib Apotek, Obat ini dapat dibeli dan diserahkan apoteker tanpa resep dengan maksimum 1 Tube. Pembelian melebihi batas ini WAJIB RESEP DOKTER. Jangan digunakan pada mata</t>
  </si>
  <si>
    <t>tioconazole</t>
  </si>
  <si>
    <t>infeksi kulit disebabkan jamur sensitif</t>
  </si>
  <si>
    <t>trosyd cream</t>
  </si>
  <si>
    <t>trosyd cream krim tioconazole infeksi kulit disebabkan jamur sensitif</t>
  </si>
  <si>
    <t>DKL8519800729A1</t>
  </si>
  <si>
    <t>Trosyd 1% Cream 20 g</t>
  </si>
  <si>
    <t>Rp115.500 - Rp166.600</t>
  </si>
  <si>
    <t>Krim dioleskan pada bagian kulit yang terinfeksi</t>
  </si>
  <si>
    <t>PENGGUNAAN OBAT INI HARUS SESUAI DENGAN PETUNJUK DOKTER. Oleskan krim dan pijat pada bagian kulit yang terinfeksi dan sekitarnya 1-2 x sehari. Lama terapi : Tinea Versikolor 7 hari, Tinea Pedis berat khususnya Hiperkeratotik khronis : 6 minggu, Infeksi Dermatofit lainnya, Kandidiasis, Eritrasma : 2-4 minggu</t>
  </si>
  <si>
    <t>Tube 20 G X 1</t>
  </si>
  <si>
    <t>Hansaplast Jumbo 24 Lembar</t>
  </si>
  <si>
    <t>Rp13.800 - Rp17.200</t>
  </si>
  <si>
    <t>bersihkan luka, lalu tempelkan ditempat luka</t>
  </si>
  <si>
    <t>sesuai kebutuhan</t>
  </si>
  <si>
    <t>Dus, @ 24 Strip</t>
  </si>
  <si>
    <t>Hipersensitif terhadap komponen</t>
  </si>
  <si>
    <t>hansaplast jumbo lembar</t>
  </si>
  <si>
    <t>hansaplast jumbo lembar larutan povidoneiodine penutup luka  mencegah infeksi</t>
  </si>
  <si>
    <t>QD091708481</t>
  </si>
  <si>
    <t>Jointfit Roller Gel 35 g</t>
  </si>
  <si>
    <t>Dioleskan pada persendian atau bagian yang nyeri.</t>
  </si>
  <si>
    <t>Gel 35 G X 1</t>
  </si>
  <si>
    <t>menthol crystal</t>
  </si>
  <si>
    <t>jointfit roller</t>
  </si>
  <si>
    <t>jointfit roller roll menthol crystal membantu mengurangi nyeri sendi</t>
  </si>
  <si>
    <t>Kondom Supreme Performax Isi 3</t>
  </si>
  <si>
    <t>Rp12.700 - Rp27.300</t>
  </si>
  <si>
    <t>Dus Isi 3</t>
  </si>
  <si>
    <t>kondom supreme performax isi</t>
  </si>
  <si>
    <t>kondom supreme performax isi tablet sildenafil citrate alat kontrasepsi</t>
  </si>
  <si>
    <t>DKL9228602241A1</t>
  </si>
  <si>
    <t>Regrou Hair Restorer 30 ml</t>
  </si>
  <si>
    <t>Rp83.100 - Rp100.600</t>
  </si>
  <si>
    <t>Teteskan atau semprotkan pada area yang ingin ditumbuhi rambut sebanyak 1 ml. Lakukan 2 kali per hari. Jangan gunakan lebih dari 2 ml per hari, atau sesuai dengan anjuran dokter. Cuci tangan setelah penggunaan. Dalam penggunaan rutin, pertumbuhan rambut terjadi setelah penggunaan 4 bulan keatas.</t>
  </si>
  <si>
    <t>2 x per hari, masing-masing 1 ml</t>
  </si>
  <si>
    <t>Kebotakan androgenetika (Androgenetica Alopecia)</t>
  </si>
  <si>
    <t>Hipersensitif terhadap Minoxidil, Propylene Glycol, atau Alcohol</t>
  </si>
  <si>
    <t>- Berhenti penggunaan apabila mengalami reaksi alergi (hipersensitif). - Hindari penggunaan pada area mata, hidung, mulut atau membran mukosa. - Jangan menggunakan lebih dari yang dianjurkan atau sesuai resep dokter. - Hati hati penggunaan pada pasien ato</t>
  </si>
  <si>
    <t>kebotakan androgenetika androgenetica alopecia</t>
  </si>
  <si>
    <t>regrou hair restorer</t>
  </si>
  <si>
    <t>regrou hair restorer larutan minoxidil kebotakan androgenetika androgenetica alopecia</t>
  </si>
  <si>
    <t>QD195617241</t>
  </si>
  <si>
    <t>Wonder Param Cap Dewi Bulan Spray 100 ml</t>
  </si>
  <si>
    <t>Rp39.900 - Rp49.100</t>
  </si>
  <si>
    <t>Botol Kaca Spray @ 100 ml</t>
  </si>
  <si>
    <t>angelicae sinensis radix</t>
  </si>
  <si>
    <t>wonder param cap dewi bulan</t>
  </si>
  <si>
    <t xml:space="preserve">wonder param cap dewi bulan spray angelicae sinensis radix </t>
  </si>
  <si>
    <t>kondom sutra rm isi tablet sildenafil citrate alat kontrasepsi</t>
  </si>
  <si>
    <t>Kondom Sutra Plus Isi 3</t>
  </si>
  <si>
    <t>Pack @ 3 pieces</t>
  </si>
  <si>
    <t>kondom sutra plus isi</t>
  </si>
  <si>
    <t>kondom sutra plus isi tablet sildenafil citrate alat kontrasepsi</t>
  </si>
  <si>
    <t>Kondom Sutra Plus Isi 12</t>
  </si>
  <si>
    <t>Rp26.900 - Rp46.600</t>
  </si>
  <si>
    <t>Pack @ 12 pieces</t>
  </si>
  <si>
    <t>DKL9105005310A1</t>
  </si>
  <si>
    <t>Dexacap 25 mg 6 Tablet</t>
  </si>
  <si>
    <t>Rp1.300 - Rp3.200</t>
  </si>
  <si>
    <t>Saat perut kosong, 1 jam sebelum makan atau 2 jam setelah makan</t>
  </si>
  <si>
    <t>PENGGUNAAN OBAT INI HARUS SESUAI DENGAN PETUNJUK DOKTER. Hipertensi: Dosis awal adalah 12,5-25 mg, 2-3 kali sehari. Bila setelah 2 minggu belum diperoleh penurunan tekanan darah, maka dosis dapat ditingkatkan sampai 50 mg, 2-3 kali sehari. Gagal jantung: Dosis awal adalah 25 mg 3 kali sehari, sebaiknya dimulai dengan 12,5 mg, 3 kali sehari.</t>
  </si>
  <si>
    <t>Hipertensi sedang sampai berat, terapi tambahan untuk Gagal Jantung.</t>
  </si>
  <si>
    <t>Hipersensitif terhadap captopril dan obat-obat ACE inhibitor lainnya</t>
  </si>
  <si>
    <t>HARUS DENGAN RESEP DOKTER. Neutropenia/agranulositosis, proteinuria/sindrom nefrotik, gagal ginjal akut, morbiditas dan mortilitas pada fetus dan neonatus, pemakaian harus dihentikan bila terjadi kehamilan karena dapat menyebabkan kerusakan organ pada fetus dan neonatus</t>
  </si>
  <si>
    <t>hipertensi berat , terapi tambahan gagal jantung</t>
  </si>
  <si>
    <t>dexacap</t>
  </si>
  <si>
    <t>dexacap tablet captopril hipertensi berat  terapi tambahan gagal jantung</t>
  </si>
  <si>
    <t>DKL9105005310B1</t>
  </si>
  <si>
    <t>Dexacap 50 mg 6 Tablet</t>
  </si>
  <si>
    <t>Rp2.800 - Rp5.300</t>
  </si>
  <si>
    <t>Hipertensi sedang sampai berat, terapi tambahan untuk gagal jantung</t>
  </si>
  <si>
    <t>Dus, 10 Strip @ 6 Tablet</t>
  </si>
  <si>
    <t>DBL1502318204B1</t>
  </si>
  <si>
    <t>Paramol 500 mg 10 Tablet</t>
  </si>
  <si>
    <t>Dewasa: 1-2 kaplet, 3-4 kali per hari. Penggunaan maximum 8 kaplet per hari. Anak 7-12 tahun: 0.5 - 1 kaplet, 3-4 kali per hari. Penggunaan maximum 4 kaplet per hari.</t>
  </si>
  <si>
    <t>Penghilang rasa sakit dan menurunkan suhu tubuh pada waktu demam.</t>
  </si>
  <si>
    <t>Dus, 10 Strip X 10 Tablet</t>
  </si>
  <si>
    <t>Parasetamol jangan diberikan kepada penderita hipersensitif/alergi terhadap Paracetamol.Penderita gangguan fungsi hati berat.</t>
  </si>
  <si>
    <t>Pasien dengan gagal ginjal, gangguan fungsi hati</t>
  </si>
  <si>
    <t>penghilang sakit menurunkan suhu tubuh demam</t>
  </si>
  <si>
    <t>paramol kaplet paracetamol penghilang sakit menurunkan suhu tubuh demam</t>
  </si>
  <si>
    <t>DKL9321006729A1</t>
  </si>
  <si>
    <t>Ociderm-N Cream 5 g</t>
  </si>
  <si>
    <t>Rp26.900 - Rp29.900</t>
  </si>
  <si>
    <t>PENGGUNAAN OBAT INI HARUS SESUAI DENGAN PETUNJUK DOKTER. Oleskan krim 2-3 x sehari</t>
  </si>
  <si>
    <t>Dermatitis yang terinfeksi</t>
  </si>
  <si>
    <t>Tube 5 G Dalam Dus</t>
  </si>
  <si>
    <t>Penyakit virus dan TB, akne vulgaris, skabies, dermatitis perioral, kurap, infeksi bakteri dan jamur. Penggunaan secara berlebihan atau jangka lama pada kehamilan</t>
  </si>
  <si>
    <t>HARUS DENGAN RESEP DOKTER. Jangan diberikan dalam jangka panjang pada bayi dan anak. Hamil</t>
  </si>
  <si>
    <t>fluocinolone acetonide neomycin sulfate</t>
  </si>
  <si>
    <t>dermatitis terinfeksi</t>
  </si>
  <si>
    <t>ocidermn cream</t>
  </si>
  <si>
    <t>ocidermn cream krim fluocinolone acetonide neomycin sulfate dermatitis terinfeksi</t>
  </si>
  <si>
    <t>Kondom Sutra OK Isi 24</t>
  </si>
  <si>
    <t>Dus isi 24</t>
  </si>
  <si>
    <t>Kondom Supreme Sensation Isi 3</t>
  </si>
  <si>
    <t>Rp13.500 - Rp26.100</t>
  </si>
  <si>
    <t>kondom supreme sensation isi</t>
  </si>
  <si>
    <t>kondom supreme sensation isi tablet sildenafil citrate alat kontrasepsi</t>
  </si>
  <si>
    <t>DKL1718830229A1</t>
  </si>
  <si>
    <t>Ottogenta 0.1% Cream 5 g</t>
  </si>
  <si>
    <t>Rp11.800 - Rp21.500</t>
  </si>
  <si>
    <t>Oleskan pada kulit.</t>
  </si>
  <si>
    <t>PENGGUNAAN OBAT INI HARUS SESUAI DENGAN PETUNJUK DOKTER. Oleskan Ottogenta Krim pada bagian kulit yang terinfeksi sebanyak 3-4 kali sehari.</t>
  </si>
  <si>
    <t>INFORMASI OBAT INI HANYA UNTUK KALANGAN MEDIS. Mengobati infeksi akibat bakteri</t>
  </si>
  <si>
    <t>Dus, 1 Tube @ 5 g</t>
  </si>
  <si>
    <t>Obat Wajib Apotek, Obat ini dapat dibeli dan diserahkan apoteker tanpa resep dengan maksimum 1 Tube. Pembelian melebihi batas ini WAJIB RESEP DOKTER. Alergi, wanita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</si>
  <si>
    <t>mengobati infeksi akibat bakteri</t>
  </si>
  <si>
    <t>ottogenta cream</t>
  </si>
  <si>
    <t>ottogenta cream krim gentamicin sulfate mengobati infeksi akibat bakteri</t>
  </si>
  <si>
    <t>DKI0367501817C1</t>
  </si>
  <si>
    <t>Diovan 40 mg 14 Tablet</t>
  </si>
  <si>
    <t>Rp119.800 - Rp168.800</t>
  </si>
  <si>
    <t>PENGGUNAAN OBAT INI HARUS SESUAI DENGAN PETUNJUK DOKTER. Hipertensi : 1 x sehari 1 tablet, dapat ditingkatkan sampai 2 tablet perhari atau dapat ditambahkan Diuretik jika tekanan darah belum dapat terkontrol secara adekuat. Gagal Jantung :</t>
  </si>
  <si>
    <t>diovan</t>
  </si>
  <si>
    <t>diovan tablet valsartan hipertensi  gagal jantung  pasca infark miokard</t>
  </si>
  <si>
    <t>DTL8317601708A1</t>
  </si>
  <si>
    <t>Anadex 4 Tablet</t>
  </si>
  <si>
    <t>3x sehari 1 tablet</t>
  </si>
  <si>
    <t>Flu, selesma, batuk, demam dan nyeri</t>
  </si>
  <si>
    <t>Dus, 25 Catch Cover @ 1 Strip @ 4 Kaplet Salut Gula</t>
  </si>
  <si>
    <t>Hipertiroid, hipertensi, penyakit jantung koroner, MAOI, nefropati</t>
  </si>
  <si>
    <t>Penyakit jantung, DM, glaukoma, gangguan fungsi hati atau ginjal, hamil, mengganggu kemampuan mengemudi atau menjalankan mesin. Anak &lt;2 tahun</t>
  </si>
  <si>
    <t>flu , selesma , batuk , demam nyeri</t>
  </si>
  <si>
    <t>anadex</t>
  </si>
  <si>
    <t>anadex kaplet chlorphenamine maleate flu  selesma  batuk  demam nyeri</t>
  </si>
  <si>
    <t>DKI2197301217B1</t>
  </si>
  <si>
    <t>Diovan 80 mg 14 Tablet</t>
  </si>
  <si>
    <t>Rp180.200 - Rp242.700</t>
  </si>
  <si>
    <t>PENGGUNAAN OBAT INI HARUS SESUAI DENGAN PETUNJUK DOKTER. Hipertensi : 1 kali sehari 80 mg, dapat ditingkatkan sampai 160 mg. Gagal Jantung : Dosis awal 40 mg 2 kali sehari, dapat ditingkatkan sampai 320 mg per hari dalam dosis terbagi. Pasca Infark Miokard : Diberikan 12 jam setelah terjadi infark dengan dosis awal 20 mg 2 kali sehari.</t>
  </si>
  <si>
    <t>Hipersensitivitas, kehamilan, gangguan hati berat, sirosis, gangguan empedu.</t>
  </si>
  <si>
    <t>HARUS DENGAN RESEP DOKTER. Deplesi Na atau vol, pasien dengan stenosis arteri ginjal unilateral atau bilateral, ggn ginjal &amp; hati, ggn obstruktif bilier, gagal jantung atau pasca infark miokard, gagal jantung berat yang fungsi ginjalnya bergantung pada sistem renin-angiotensin-aldosteron, atau kurang dari tiga kali lipat terapi kombinasi ACE inhibitor, -blocker &amp; angiotensin receptor blocker. Dapat mengganggu kemampuan mengemudi atau mengoperasikan mesin. Kategori Kehamilan : Kategori D: Terbukti berisiko terhadap janin. Meski demikian, obat masih dapat digunakan jika obat diperlukan untuk mengatasi keadaan yang mengancam jiwa, atau penyakit serius, dimana obat yang lebih aman tidak dapat digunakan atau tidak efektif.</t>
  </si>
  <si>
    <t xml:space="preserve">laurier healthy skin non wing pads tablet sildenafil citrate </t>
  </si>
  <si>
    <t>DKL0411634010B1</t>
  </si>
  <si>
    <t>V Bloc 6.25 mg 10 Tablet</t>
  </si>
  <si>
    <t>Rp26.900 - Rp52.700</t>
  </si>
  <si>
    <t>DTL9711628129A1</t>
  </si>
  <si>
    <t>Kalpanax Krim 5 g</t>
  </si>
  <si>
    <t>Rp15.800 - Rp19.100</t>
  </si>
  <si>
    <t>oleskan pada kulit setiap selesai mandi dan sebelum tidur malam.</t>
  </si>
  <si>
    <t>Oleskan 2 atau 3 kali sehari</t>
  </si>
  <si>
    <t>Pitiriasis versikolor, dermatofitosis, dan mikosis kulit lain</t>
  </si>
  <si>
    <t>Penderita yang alergi terhadap Mikonazol atau bahan lainnya dalam krim Kalpanax K</t>
  </si>
  <si>
    <t>Untuk pemakaian luar, Bila terjadi reaksi hipersensitivitas atau iritasi, obat harus dihentikan, Tidak boleh kontak dengan mukosa mata, Penggunaan topikal belum pernah dilaporkan diabsorbsi sistemik, namun hati-hati penggunaan pada wanita hamil.</t>
  </si>
  <si>
    <t>pitiriasis versikolor , dermatofitosis , mikosis kulit</t>
  </si>
  <si>
    <t>kalpanax</t>
  </si>
  <si>
    <t>kalpanax krim miconazole nitrate pitiriasis versikolor  dermatofitosis  mikosis kulit</t>
  </si>
  <si>
    <t xml:space="preserve">carefree panty liners breathable unscented pads tablet tizanidine hydrochloride </t>
  </si>
  <si>
    <t>GKL0423407010A1</t>
  </si>
  <si>
    <t>Furosemide 40 mg 10 Tablet</t>
  </si>
  <si>
    <t>Rp2.900 - Rp5.700</t>
  </si>
  <si>
    <t>Sebelum atau sesudah makan. Dapat diberikan bersama makanan untuk mengurangi rasa tidak nyaman pada gastrointestinal.</t>
  </si>
  <si>
    <t>PENGGUNAAN OBAT INI HARUS SESUAI DENGAN PETUNJUK DOKTER. Edema: Dewasa: Dosis Awal: 40 mg per hari, dosis dpat diturunkan menjadi 20 mg perhari. Dalam beberapa kasus, mungkin diperlukan 80 mg atau lebih per hari dalam dosis terbagi. Lansia: dosis awal: 20 mg per hari, dan dapat ditingkatkan jika diperlukan. Hipertensi: Dewasa: 40-80 mg per hari sebagai terapi tunggal atau dikombinasikan dengan antihipertensi lain.</t>
  </si>
  <si>
    <t>INFORMASI OBAT INI HANYA UNTUK KALANGAN MEDIS. Edema akibat gangguan jantung, hati,dan ginjal, serta hipertensi.</t>
  </si>
  <si>
    <t>Obat ini tidak boleh diberikan kepada pasien dengan kondisi: Hipersensitif terhadap Furosemide dan Sulfonamide. Anuria atau gagal ginjal. Memiliki penyakit Addison. Mengalami Hipovolema atau dehidrasi. Keadaan prekomatosa yang berhubungan dengan sirosis hati.</t>
  </si>
  <si>
    <t>HARUS DENGAN RESEP DOKTER. Hati-hati penggunaan obat ini pada pasien dengan kondisi: Pasien dengan pradiabetes atau diabetes mellitus. Sirosis hati. Gout. Gangguan berkemih. Berisiko mengalami penurunan tekanan darah yang parah. Gangguan ginjal dan hati. Lansia, anak, wanita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</si>
  <si>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furosemide</t>
  </si>
  <si>
    <t>edema akibat gangguan jantung , hati , ginjal , hipertensi</t>
  </si>
  <si>
    <t>furosemide tablet edema akibat gangguan jantung  hati  ginjal  hipertensi</t>
  </si>
  <si>
    <t>Kondom Durex Tingle Isi 3</t>
  </si>
  <si>
    <t>Rp20.600 - Rp28.300</t>
  </si>
  <si>
    <t>kondom durex tingle isi</t>
  </si>
  <si>
    <t>kondom durex tingle isi tablet sildenafil citrate alat kontrasepsi</t>
  </si>
  <si>
    <t>Kondom Durex Together Isi 12</t>
  </si>
  <si>
    <t>Rp74.900 - Rp82.300</t>
  </si>
  <si>
    <t>Pack @ 12 Pieces</t>
  </si>
  <si>
    <t>kondom durex together isi</t>
  </si>
  <si>
    <t>kondom durex together isi tablet sildenafil citrate alat kontrasepsi</t>
  </si>
  <si>
    <t>Rp2.000 - Rp5.700</t>
  </si>
  <si>
    <t>DBL7211621217A1</t>
  </si>
  <si>
    <t>Kalbion 10 Tablet</t>
  </si>
  <si>
    <t>Rp4.900 - Rp8.300</t>
  </si>
  <si>
    <t>Diberikan pada saat atau sesudah makan.</t>
  </si>
  <si>
    <t>1 kaplet /hari atau sesuai petunjuk dokter.</t>
  </si>
  <si>
    <t>Pengobatan defisiensi vit B1, B6, B12.</t>
  </si>
  <si>
    <t>Kaplet 10 X 10</t>
  </si>
  <si>
    <t>Terapi bersama dengan levodopa.</t>
  </si>
  <si>
    <t>pengobatan defisiensi vit b1 , b6 , b12</t>
  </si>
  <si>
    <t>kalbion</t>
  </si>
  <si>
    <t>kalbion tablet cyanocobalamin pengobatan defisiensi vit b1  b6  b12</t>
  </si>
  <si>
    <t xml:space="preserve">charm extra comfort maxi wing pads tablet tizanidine hydrochloride </t>
  </si>
  <si>
    <t>TR202341841</t>
  </si>
  <si>
    <t>Maximus 30 Kapsul</t>
  </si>
  <si>
    <t>MAXIMUS</t>
  </si>
  <si>
    <t>Rp47.200 - Rp49.200</t>
  </si>
  <si>
    <t>MAXIMUS cocok digunakan untuk pria dan wanita usia 12 tahun ke atas. Mengatasi konstipasi : Minum 2-5 kapsul malam hari sebelum tidur. Melancarkan Buang Air Besar (BAB) : Minum 1-2 kapsul malam hari sebelum tidur. Mengurangi gangguan hemoroid / wasir : Minum 2 kapsul malam hari sebelum tidur.</t>
  </si>
  <si>
    <t>Membantu melancarkan buang air besar dan membantu meringankan wasir.</t>
  </si>
  <si>
    <t>maximus</t>
  </si>
  <si>
    <t>membantu melancarkan buang air membantu meringankan wasir</t>
  </si>
  <si>
    <t>maximus kapsul membantu melancarkan buang air membantu meringankan wasir</t>
  </si>
  <si>
    <t>paracetamol guaifenesin diphenhydramine hydrochloride dextromethorphan hbr monohydrate</t>
  </si>
  <si>
    <t xml:space="preserve">kontrabat sirup paracetamol guaifenesin diphenhydramine hydrochloride dextromethorphan hbr monohydrate </t>
  </si>
  <si>
    <t>TR185611041</t>
  </si>
  <si>
    <t>Doodle Exclusive Telon Oil 60 ml</t>
  </si>
  <si>
    <t>DOODLE MINYAK TELON PLUS</t>
  </si>
  <si>
    <t>Rp32.000 - Rp39.900</t>
  </si>
  <si>
    <t>doodle minyak telon plus</t>
  </si>
  <si>
    <t>doodle exclusive telon oil</t>
  </si>
  <si>
    <t xml:space="preserve">doodle exclusive telon oil minyak doodle minyak telon plus </t>
  </si>
  <si>
    <t>constuloz sirup lactulose concentrate konstipasi kronik ensefalopati portal sistemik</t>
  </si>
  <si>
    <t>kondom fiesta baa isi tablet sildenafil citrate alat kontrasepsi</t>
  </si>
  <si>
    <t xml:space="preserve">laurier relax night with gathers pads tablet tizanidine hydrochloride </t>
  </si>
  <si>
    <t>GKL0408511410C1</t>
  </si>
  <si>
    <t>Captopril 25 mg 10 Tablet</t>
  </si>
  <si>
    <t>Rp1.500 - Rp4.100</t>
  </si>
  <si>
    <t>Diminum saat perut kosong, 1 jam sebelum makan atau 2 jam setelah makan.</t>
  </si>
  <si>
    <t>PENGGUNAAN OBAT INI HARUS SESUAI DENGAN PETUNJUK DOKTER. Awal : 3 kali sehari 12.5 mg. Ditingkatkan menjadi 25-50 mg 2-3 hari. Hipertensi berat: s/d 450 mg/hari. kategori kehamilan: D</t>
  </si>
  <si>
    <t>INFORMASI OBAT INI HANYA UNTUK KALANGAN MEDIS. Hipertensi, Gagal jantung pasien dengan tekanan darah normal</t>
  </si>
  <si>
    <t>Hamil</t>
  </si>
  <si>
    <t>HARUS DENGAN RESEP DOKTER. Ruam, pruritus, lesi seperti pemfigus yang reversibel, fotosensitivitas. Angioedema pada muka, proteinuria, neutropenia, anemia, trombositopenia.</t>
  </si>
  <si>
    <t>hipertensi , gagal jantung pasien tekanan darah normal</t>
  </si>
  <si>
    <t>captopril tablet hipertensi  gagal jantung pasien teka darah normal</t>
  </si>
  <si>
    <t>TR122365511</t>
  </si>
  <si>
    <t>Borobudur Wasir 12 Kapsul</t>
  </si>
  <si>
    <t>BRD WASIR</t>
  </si>
  <si>
    <t>Rp19.200 - Rp32.400</t>
  </si>
  <si>
    <t>Dus, Blister @ 12 Kapsul</t>
  </si>
  <si>
    <t>brd wasir</t>
  </si>
  <si>
    <t>borobudur wasir</t>
  </si>
  <si>
    <t>borobudur wasir kapsul brd wasir membantu meringankan gejala wasir</t>
  </si>
  <si>
    <t>Kondom Durex Strawberry Isi 3</t>
  </si>
  <si>
    <t>Rp18.000 - Rp29.500</t>
  </si>
  <si>
    <t>kondom durex strawberry isi</t>
  </si>
  <si>
    <t>kondom durex strawberry isi tablet sildenafil citrate alat kontrasepsi</t>
  </si>
  <si>
    <t>diphenhydramine hydrochloride ammonium chloride sodium citrate dihydrate</t>
  </si>
  <si>
    <t xml:space="preserve">licodril sirup diphenhydramine hydrochloride ammonium chloride sodium citrate dihydrate </t>
  </si>
  <si>
    <t xml:space="preserve">carefree panty liner super unscented pads tablet tizanidine hydrochloride </t>
  </si>
  <si>
    <t>DKL9317609037A1</t>
  </si>
  <si>
    <t>Interpec Sirup 15 mg/5 ml 60 ml</t>
  </si>
  <si>
    <t>Rp59.400 - Rp72.600</t>
  </si>
  <si>
    <t>PENGGUNAAN OBAT INI HARUS SESUAI DENGAN PETUNJUK DOKTER. Dewasa dan anak &gt; 10 tahun :30 mg (2 sendok takar) 3 kali sehari. Anak 5-10 tahun: 15 mg (1 sendok takar) 2-3 kali sehari. Anak usia 2-5 tahun : 7,5 mg (setengah sendok takar) 3 kali sehari. Anak &lt;2 tahun: 7,5 mg (setengah sendok takar) 2 kali sehari. Pada terapi jangka panjang dikurangi menjadi 2 kali sehari.</t>
  </si>
  <si>
    <t>Bronkitis asmatis, asma bronkial, bronkitis kronis</t>
  </si>
  <si>
    <t>HARUS DENGAN RESEP DOKTER. Tukak peptik</t>
  </si>
  <si>
    <t>abmroxol</t>
  </si>
  <si>
    <t>bronkitis asmatis , asma bronkial , bronkitis kronis</t>
  </si>
  <si>
    <t>interpec</t>
  </si>
  <si>
    <t>interpec sirup abmroxol bronkitis asmatis  asma bronkial  bronkitis kronis</t>
  </si>
  <si>
    <t>DKL9918213404A1</t>
  </si>
  <si>
    <t>Dorbigot 10 Kaplet</t>
  </si>
  <si>
    <t>Rp23.300 - Rp31.300</t>
  </si>
  <si>
    <t>Dewasa dan anak &gt; 11 tahun : 1 kaplet. Anak 6-11 tahun : 0.5-1 kaplet. Anak 1-5 tahun : 0.25-0.5 kaplet. Diberikan 3 x sehari</t>
  </si>
  <si>
    <t>Meredakan gejala batuk dan demam karena flu</t>
  </si>
  <si>
    <t>Box Isi 10 Strip @ 10 Kaplet</t>
  </si>
  <si>
    <t>Gangguan hati</t>
  </si>
  <si>
    <t>Anemia, gangguan GI, asmatik, gangguan ginjal, hamil</t>
  </si>
  <si>
    <t>meredakan gejala batuk demam flu</t>
  </si>
  <si>
    <t>dorbigot</t>
  </si>
  <si>
    <t>dorbigot kaplet acetyl cysteine meredakan gejala batuk demam flu</t>
  </si>
  <si>
    <t xml:space="preserve">blood corn size sm panty pads tablet tizanidine hydrochloride </t>
  </si>
  <si>
    <t xml:space="preserve">carefree breathable unscented panty liners pads tablet tizanidine hydrochloride </t>
  </si>
  <si>
    <t>Kondom Durex Comfort Isi 3</t>
  </si>
  <si>
    <t>kondom durex comfort isi</t>
  </si>
  <si>
    <t>kondom durex comfort isi tablet sildenafil citrate alat kontrasepsi</t>
  </si>
  <si>
    <t>TR092399571</t>
  </si>
  <si>
    <t>Hemorogard 10 Kapsul</t>
  </si>
  <si>
    <t>HEMOROGARD AGROMED</t>
  </si>
  <si>
    <t>Rp19.000 - Rp25.900</t>
  </si>
  <si>
    <t>2 kali sehari 1 kapsul</t>
  </si>
  <si>
    <t>Meredakan gejala perdarahan dan pelebaran vaskular</t>
  </si>
  <si>
    <t>hemorogard agromed</t>
  </si>
  <si>
    <t>meredakan gejala perdarahan pelebaran vaskular</t>
  </si>
  <si>
    <t>hemorogard</t>
  </si>
  <si>
    <t>hemorogard kapsul hemorogard agromed meredakan gejala perdarahan pelebaran vaskular</t>
  </si>
  <si>
    <t>DBL9608005917A1</t>
  </si>
  <si>
    <t>Neurohax 10 Tablet</t>
  </si>
  <si>
    <t>1 x sehari 1 tablet</t>
  </si>
  <si>
    <t>Kekurangan vitamin B1, B6, B12 seperti pada beri-beri dan polineuritis</t>
  </si>
  <si>
    <t>Vitamin B6 dosis tinggi menurunkan aksi Levodopa.</t>
  </si>
  <si>
    <t>kekurangan vitamin b1 , b6 , b12 - polineuritis</t>
  </si>
  <si>
    <t>neurohax</t>
  </si>
  <si>
    <t>neurohax tablet cyanocobalamin kekurangan vitamin b1  b6  b12  polineuritis</t>
  </si>
  <si>
    <t>paracetamol acetylcysteine</t>
  </si>
  <si>
    <t>dorbigot kaplet paracetamol acetylcysteine meredakan gejala batuk demam flu</t>
  </si>
  <si>
    <t>Kondom Durex Fetherlite 24 Pieces</t>
  </si>
  <si>
    <t>Rp137.500 - Rp138.600</t>
  </si>
  <si>
    <t>Pack @ 24 Piece</t>
  </si>
  <si>
    <t>kondom durex fetherlite pieces</t>
  </si>
  <si>
    <t>kondom durex fetherlite pieces tablet sildenafil citrate alat kontrasepsi</t>
  </si>
  <si>
    <t>Kondom Durex Ribbed Isi 3</t>
  </si>
  <si>
    <t>Rp23.200 - Rp27.900</t>
  </si>
  <si>
    <t>kondom durex ribbed isi</t>
  </si>
  <si>
    <t>kondom durex ribbed isi tablet sildenafil citrate alat kontrasepsi</t>
  </si>
  <si>
    <t>DTL1034010133A1</t>
  </si>
  <si>
    <t>Novaxifen Sirup 60 ml</t>
  </si>
  <si>
    <t>Rp5.100 - Rp12.500</t>
  </si>
  <si>
    <t>penurun panas, pusing, nyeri, sakit kepala</t>
  </si>
  <si>
    <t>penurun panas , pusing , nyeri , sakit kepala</t>
  </si>
  <si>
    <t>novaxifen sirup ibuprofen penurun panas  pusing  nyeri  sakit kepala</t>
  </si>
  <si>
    <t>promethazine hydrochloride sulfogaiacol potassium</t>
  </si>
  <si>
    <t>phenerica sirup promethazine hydrochloride sulfogaiacol potassium menghilangkan gejala batuk</t>
  </si>
  <si>
    <t>novaxifen suspensi ibuprofen penurun panas  pusing  nyeri  sakit kepala</t>
  </si>
  <si>
    <t>DKL1133524915A1</t>
  </si>
  <si>
    <t>Diklovit 10 Tablet</t>
  </si>
  <si>
    <t>Rp36.200 - Rp39.800</t>
  </si>
  <si>
    <t>digunakan sebagai pereda nyeri ringan sampai sedang, terutama yang terkait dengan neuritis dan neuralgia</t>
  </si>
  <si>
    <t>pereda nyeri ringan , terkait neuritis neuralgia</t>
  </si>
  <si>
    <t>diklovit</t>
  </si>
  <si>
    <t>diklovit tablet cyanocobalamin pereda nyeri ringan  terkait neuritis neuralgia</t>
  </si>
  <si>
    <t>DKL2034615417A1</t>
  </si>
  <si>
    <t>Rosufer 10 mg 10 Tablet</t>
  </si>
  <si>
    <t>Rp139.100 - Rp158.300</t>
  </si>
  <si>
    <t>PENGGUNAAN OBAT INI HARUS SESUAI DENGAN PETUNJUK DOKTER. Awal 5 atau 10 mg 1 kali/ hari.</t>
  </si>
  <si>
    <t>INFORMASI OBAT INI HANYA UNTUK KALANGAN MEDIS. Menurunkan kolesterol LDL kolesterol total</t>
  </si>
  <si>
    <t>Hipersensitif, penyakit hati,miopati,wanita hamil dan menyusui.</t>
  </si>
  <si>
    <t>HARUS DENGAN RESEP DOKTER. Pasien dengan riwayat panyakit hati dan atau mengonsumsi miuman beralkohol secara berlebihan. Katagori kehamilan : Katagori X :Kontraindikasi (tidak boleh digunakan). Terdapat hasil penelitian terhadap hewan uji dan manusia yang memperlihatkan abnormalitas terhadap janin. Obat ini dikontraindikasikan untuk wanita hamil dan yang berkemungkinan untuk hamil.</t>
  </si>
  <si>
    <t>menurunkan kolesterol ldl kolesterol total</t>
  </si>
  <si>
    <t>rosufer</t>
  </si>
  <si>
    <t>rosufer tablet rosuvastatin calcium menurunkan kolesterol ldl kolesterol total</t>
  </si>
  <si>
    <t>DKL0110803804A1</t>
  </si>
  <si>
    <t>Dolo Licobion 10 Kaplet</t>
  </si>
  <si>
    <t>- CYANOCOBALAMIN 1%</t>
  </si>
  <si>
    <t>Rp10.000 - Rp15.700</t>
  </si>
  <si>
    <t>PENGGUNAAN OBAT INI HARUS SESUAI DENGAN PETUNJUK DOKTER. Sehari 3 x 1 tablet</t>
  </si>
  <si>
    <t>Menghilangkan rasa sakit karena neuritis dan neuralgia</t>
  </si>
  <si>
    <t>Hipersensitif , penderita dengan tekanan darah &lt;100mmHg</t>
  </si>
  <si>
    <t>cyanocobalamin 1%</t>
  </si>
  <si>
    <t>menghilangkan sakit neuritis neuralgia</t>
  </si>
  <si>
    <t>dolo licobion</t>
  </si>
  <si>
    <t>dolo licobion kaplet cyanocobalamin 1 menghilangkan sakit neuritis neuralgia</t>
  </si>
  <si>
    <t>Kondom Durex Select Isi 3</t>
  </si>
  <si>
    <t>Rp15.000 - Rp38.500</t>
  </si>
  <si>
    <t>kondom durex select isi</t>
  </si>
  <si>
    <t>kondom durex select isi tablet sildenafil citrate alat kontrasepsi</t>
  </si>
  <si>
    <t>DKL9231405610A1</t>
  </si>
  <si>
    <t>Bidium 2 mg 10 Tablet</t>
  </si>
  <si>
    <t>PENGGUNAAN OBAT INI HARUS SESUAI DENGAN PETUNJUK DOKTER. Diare non spesifik: 2-4 mg 1-2 kali sehari. Diare kronik: 4-6 mg sehari</t>
  </si>
  <si>
    <t>diare non spesifik, diare kronik</t>
  </si>
  <si>
    <t>1 Dos isi 10 Strip x 10 Tablet</t>
  </si>
  <si>
    <t>HARUS DENGAN RESEP DOKTER. Tidak boleh digunakan sebagai terapi utama pada pasien dengan disentri akut, ditandai dengan darah dalam tinja dan demam tinggi, ulcerative colitis akut, enterocolitis bakteri.</t>
  </si>
  <si>
    <t>diare non spesifik , diare kronik</t>
  </si>
  <si>
    <t>bidium</t>
  </si>
  <si>
    <t>bidium tablet loperamide hydrochloride diare non spesifik  diare kronik</t>
  </si>
  <si>
    <t>kondom fiesta dotted isi tablet sildenafil citrate alat kontrasepsi</t>
  </si>
  <si>
    <t>DTL8322202037A1</t>
  </si>
  <si>
    <t>Mucohexin Sirup 120 ml</t>
  </si>
  <si>
    <t>Rp24.300 - Rp29.500</t>
  </si>
  <si>
    <t>Dewasa dan anak &gt; 10 tahun : 3 x sehari 2 sendok takar 5 mL, Anak 5-10 tahun : 3 x sehari 1 sendok takar 5 mL, Anak 2-5 tahun : 2 x sehari 1 sendok takar 5 mL,</t>
  </si>
  <si>
    <t>Hipersensitif, penderita ulkus lambung.</t>
  </si>
  <si>
    <t>mucohexin sirup bromhexine hydrochloride bronkhitis kondisi paru membutuhkan ekspektoran</t>
  </si>
  <si>
    <t>TR052352121</t>
  </si>
  <si>
    <t>Borobudur Kunirin 550 mg 100 Kapsul</t>
  </si>
  <si>
    <t>KUNIRIN</t>
  </si>
  <si>
    <t>Rp69.200 - Rp122.100</t>
  </si>
  <si>
    <t>2 kali sehari @ 2 kapsul. Dosis dapat ditingkatkan atau dikurangi sesuai dengan kebutuhan</t>
  </si>
  <si>
    <t>Membantu Memelihara Kesehatan Fungsi Pencernaan</t>
  </si>
  <si>
    <t>Botol Isi 100</t>
  </si>
  <si>
    <t>kunirin</t>
  </si>
  <si>
    <t>membantu memelihara kesehatan fungsi pencernaan</t>
  </si>
  <si>
    <t>borobudur kunirin</t>
  </si>
  <si>
    <t>borobudur kunirin kapsul kunirin membantu memelihara kesehatan fungsi pencernaan</t>
  </si>
  <si>
    <t>DKL8931101104A1</t>
  </si>
  <si>
    <t>Infalgin 500 mg 10 Tablet</t>
  </si>
  <si>
    <t>Rp5.400 - Rp5.600</t>
  </si>
  <si>
    <t>PENGGUNAAN OBAT INI HARUS SESUAI DENGAN PETUNJUK DOKTER. Sehari 1-3 x 1 kaplet</t>
  </si>
  <si>
    <t>Analgetik pada neuralgia, dismenore dan nyeri trauma</t>
  </si>
  <si>
    <t>Hipersensitif derivat pirazolon, granulositopenia, hamil trimester 1 dan 6 minggu terakhir, bayi &lt; 3 bulan atau bobotnya &lt; 5 kg tetapi boleh diberikan dengan pengawasan dokter</t>
  </si>
  <si>
    <t>Obat Wajib Apotek, Obat ini dapat dibeli dan diserahkan apoteker tanpa resep dengan maksimum 2 Strip. Pembelian melebihi batas ini WAJIB RESEP DOKTER. Dapat menimbulkan agranulocytosis,anemia aplastik dan trombocytopenia. Hati-hati pada penderita dengan kelainan darah</t>
  </si>
  <si>
    <t>analgetik neuralgia , dismenore nyeri trauma</t>
  </si>
  <si>
    <t>infalgin</t>
  </si>
  <si>
    <t>infalgin kaplet metamizole sodium analgetik neuralgia  dismenore nyeri trauma</t>
  </si>
  <si>
    <t>DTL1109221804A1</t>
  </si>
  <si>
    <t>Ifarsyl 10 Kaplet</t>
  </si>
  <si>
    <t>Dewasa dan anak diatas 12 tahun : 1 kaplet, 3 kali sehari. Anak-anak 6-12 tahun : 0.5 kaplet, 3 kali sehari.</t>
  </si>
  <si>
    <t>Untuk meredakan batuk yang disebabkan oleh alergi.</t>
  </si>
  <si>
    <t>Dus, 10 Amplop, 1 Strip @ 1o Tablet</t>
  </si>
  <si>
    <t>Dapat menyebabkan kantuk.</t>
  </si>
  <si>
    <t>untuk meredakan batuk disebabkan alergi</t>
  </si>
  <si>
    <t>ifarsyl</t>
  </si>
  <si>
    <t>ifarsyl kaplet chlorphenamine maleate untuk meredakan batuk disebabkan alergi</t>
  </si>
  <si>
    <t>DTL0323406237A1</t>
  </si>
  <si>
    <t>Miravon Sirup 60 ml</t>
  </si>
  <si>
    <t>Dewasa &amp; anak &gt; 10 thn : 10 ml 3 kali sehari, Anak 5-10 th : 5 ml 3 kali sehari, Anak 2-5 th, 5 ml 2 kali sehari</t>
  </si>
  <si>
    <t>Bekerja sebagai mukolitik untuk meredakan batuk berdahak.</t>
  </si>
  <si>
    <t>Pasien dengan riwayat alergi / hipersensitivitas, pasien yang menderita ulkus pada lambung penggunaan obat ini harus dilakukan secara hati-hati.</t>
  </si>
  <si>
    <t>Penggunaan pada ibu menyusui sebaiknya dikonsultasikan dengan dokter. Hati-hati pada penderita tukak lambung.</t>
  </si>
  <si>
    <t>bekerja mukolitik meredakan batuk berdahak</t>
  </si>
  <si>
    <t>miravon</t>
  </si>
  <si>
    <t>miravon sirup bromhexine hydrochloride bekerja mukolitik meredakan batuk berdahak</t>
  </si>
  <si>
    <t>DTL7218804037A1</t>
  </si>
  <si>
    <t>Dextrosin Sirup 120 ml</t>
  </si>
  <si>
    <t>Rp40.600 - Rp50.700</t>
  </si>
  <si>
    <t>Dewasa : 5 mL 3 x sehari. Anak 6-12 thn : 2.5 mL 3 x sehari.</t>
  </si>
  <si>
    <t>Batuk dan gejala lain yang berhubungan dengan saluran napas.</t>
  </si>
  <si>
    <t>Penyakit jantung, hipertiroid, hipertensi.</t>
  </si>
  <si>
    <t>Glaukoma, penykit jantung atau hati, asma, diabetes, wanita hamil.</t>
  </si>
  <si>
    <t>batuk gejala berhubungan saluran napa</t>
  </si>
  <si>
    <t>dextrosin</t>
  </si>
  <si>
    <t>dextrosin sirup dextromethorphan hydrobromide batuk gejala berhubungan saluran napa</t>
  </si>
  <si>
    <t>DKL1433213137A1</t>
  </si>
  <si>
    <t>Oxfezin Sirup 100 ml</t>
  </si>
  <si>
    <t>Rp56.400 - Rp78.300</t>
  </si>
  <si>
    <t>guaifenesin oxomemazine</t>
  </si>
  <si>
    <t>oxfezin</t>
  </si>
  <si>
    <t>oxfezin sirup guaifenesin oxomemazine mengurangi batuk berdahak reaksi alergi</t>
  </si>
  <si>
    <t>Kondom Fiesta Durian Isi 3</t>
  </si>
  <si>
    <t>Rp9.700 - Rp19.900</t>
  </si>
  <si>
    <t>kondom fiesta durian isi</t>
  </si>
  <si>
    <t>kondom fiesta durian isi tablet sildenafil citrate alat kontrasepsi</t>
  </si>
  <si>
    <t>Kondom Fiesta Neon Isi 3</t>
  </si>
  <si>
    <t>Rp11.200 - Rp19.700</t>
  </si>
  <si>
    <t>kondom fiesta neon isi</t>
  </si>
  <si>
    <t>kondom fiesta neon isi tablet sildenafil citrate alat kontrasepsi</t>
  </si>
  <si>
    <t>TR122363811</t>
  </si>
  <si>
    <t>Borobudur Xirat 60 Kapsul</t>
  </si>
  <si>
    <t>XIRAT</t>
  </si>
  <si>
    <t>Rp71.700 - Rp86.000</t>
  </si>
  <si>
    <t>Membantu memelihara kesehatan pada penderita kanker</t>
  </si>
  <si>
    <t>xirat</t>
  </si>
  <si>
    <t>membantu memelihara kesehatan penderita kanker</t>
  </si>
  <si>
    <t>borobudur xirat</t>
  </si>
  <si>
    <t>borobudur xirat kapsul xirat membantu memelihara kesehatan penderita kanker</t>
  </si>
  <si>
    <t>ammonium chloride chlorphenamine maleate succus liquiritiae</t>
  </si>
  <si>
    <t xml:space="preserve">coughs friend sirup ammonium chloride chlorphenamine maleate succus liquiritiae </t>
  </si>
  <si>
    <t>DTL7207918937A1</t>
  </si>
  <si>
    <t>Decadryl Ekspektoran Sirup 60 ml</t>
  </si>
  <si>
    <t>Rp18.500 - Rp24.400</t>
  </si>
  <si>
    <t>Dewasa : 1-2 Sendok takar tiap 3 jam, tidak boleh lebih dari 14 sendok takar per hari. Anak 6-12 tahun : 1/2 - 1 sendok takar tiap 3 jam, tidak boleh lebih dari 6 sendok takar per hari</t>
  </si>
  <si>
    <t>Meringankan batuk berdahak karena alergi.</t>
  </si>
  <si>
    <t>Penderita hipersensitif terhadap salah satu komponen obat ini. Tidak boleh digunakan pada bayi baru lahir atau prematur. Terapi antibiotika yang bersifat ototoksik.</t>
  </si>
  <si>
    <t>Tidak dianjurkan untuk anak-anak dibawah usia 2 tahun, tidak boleh digunakan ketika berkendara, hati-hati pada penderita jantung,glaukoma dan prostatisme.</t>
  </si>
  <si>
    <t>meringankan batuk berdahak alergi</t>
  </si>
  <si>
    <t>decadryl ekspektoran</t>
  </si>
  <si>
    <t>decadryl ekspektoran sirup ammonium chloride meringankan batuk berdahak alergi</t>
  </si>
  <si>
    <t>QI204509631</t>
  </si>
  <si>
    <t>Betadine Lozenges Relieving Orange 8 Tablet</t>
  </si>
  <si>
    <t>Rp17.000 - Rp19.700</t>
  </si>
  <si>
    <t>Hisap 1 butir sampai terlarut perlahan di mulu setiap 2-3 jam atau sesuai kebutuhan. Jangan gunakan lebih dari 12 tablet hisap dalam waktu 24 jam Jika gejala tidak mereda, konsultasikan dengan dokter.</t>
  </si>
  <si>
    <t>Membantu melegakan tenggorokan.</t>
  </si>
  <si>
    <t>Dus, Blister @ 8 Tablet Hisap</t>
  </si>
  <si>
    <t>membantu melegakan tenggorokan</t>
  </si>
  <si>
    <t>betadine lozenges relieving orange</t>
  </si>
  <si>
    <t>betadine lozenges relieving orange tablet amylmetacresol membantu melegakan tenggorokan</t>
  </si>
  <si>
    <t>kondom fiesta strawberry isi tablet sildenafil citrate alat kontrasepsi</t>
  </si>
  <si>
    <t>Kondom Fiesta grape Isi 3</t>
  </si>
  <si>
    <t>Rp16.000 - Rp17.300</t>
  </si>
  <si>
    <t>kondom fiesta grape isi</t>
  </si>
  <si>
    <t>kondom fiesta grape isi tablet sildenafil citrate alat kontrasepsi</t>
  </si>
  <si>
    <t>Decadryl Ekspektoran Sirup 120 ml</t>
  </si>
  <si>
    <t>Rp22.300 - Rp31.400</t>
  </si>
  <si>
    <t>meringankan batuk berdahak karena alergi</t>
  </si>
  <si>
    <t>bayi baru lahir dan prematur, pasien dengan terapi antibiotik ototoksik</t>
  </si>
  <si>
    <t>tidak dianjurkan untuk anak-anak dibawah usia 2 tahun, tidak boleh digunakan ketika berkendara, hati-hati pada penderita jantung,glaukoma dan prostatisme</t>
  </si>
  <si>
    <t>TR153484121</t>
  </si>
  <si>
    <t>Borobudur Wasir 100 Pil</t>
  </si>
  <si>
    <t>Rp26.200 - Rp45.500</t>
  </si>
  <si>
    <t>3 kali sehari @ 2 pil.</t>
  </si>
  <si>
    <t>borobudur wasir pil brd wasir membantu meringankan gejala wasir</t>
  </si>
  <si>
    <t>TR082382171</t>
  </si>
  <si>
    <t>Borobudur Sendi 100 Kapsul</t>
  </si>
  <si>
    <t>SENDI</t>
  </si>
  <si>
    <t>Rp82.100 - Rp115.000</t>
  </si>
  <si>
    <t>Membantu meredakan encok, pegal linu</t>
  </si>
  <si>
    <t>sendi</t>
  </si>
  <si>
    <t>membantu meredakan encok , pegal linu</t>
  </si>
  <si>
    <t>borobudur sendi</t>
  </si>
  <si>
    <t>borobudur sendi kapsul sendi membantu meredakan encok  pegal linu</t>
  </si>
  <si>
    <t>HT172500611</t>
  </si>
  <si>
    <t>Herbapain 6 Tablet</t>
  </si>
  <si>
    <t>HERBAPAIN</t>
  </si>
  <si>
    <t>Rp24.000 - Rp26.700</t>
  </si>
  <si>
    <t>2 x sehari, 1 tablet</t>
  </si>
  <si>
    <t>Membantu meredakan nyeri, seperti nyeri kepala dan nyeri otot</t>
  </si>
  <si>
    <t>Penderita yang hipersensitif terhadap kandungan obat</t>
  </si>
  <si>
    <t>Tidak boleh digunakan oleh Ibu hamil dan menyusui</t>
  </si>
  <si>
    <t>herbapain</t>
  </si>
  <si>
    <t>membantu meredakan nyeri , nyeri kepala nyeri otot</t>
  </si>
  <si>
    <t>herbapain tablet membantu meredakan nyeri  nyeri kepala nyeri otot</t>
  </si>
  <si>
    <t>TR192527101</t>
  </si>
  <si>
    <t>Anadium 10 Kaplet</t>
  </si>
  <si>
    <t>ANADIUM</t>
  </si>
  <si>
    <t>Rp106.500 - Rp117.200</t>
  </si>
  <si>
    <t>Insufisiensi vena kronik 2 kali sehari 1 kaplet. Hemoroid akut : 6 kaplet per hari selama 4 hari, lalau dilanjutkan dengan 4 kaplet/hari selama 3 hari</t>
  </si>
  <si>
    <t>Membantu mengurangi gejala wasir, nyeri pada kaki &amp; udema</t>
  </si>
  <si>
    <t>Dus, 3 Strip @ 10 Kaplet Salut Selaput</t>
  </si>
  <si>
    <t>anadium</t>
  </si>
  <si>
    <t>membantu mengurangi gejala wasir , nyeri kaki udema</t>
  </si>
  <si>
    <t>anadium kaplet membantu mengurangi gejala wasir  nyeri kaki udema</t>
  </si>
  <si>
    <t>DTL0117616933A1</t>
  </si>
  <si>
    <t>Fenris Sirup 60 ml</t>
  </si>
  <si>
    <t>Rp45.700 - Rp52.300</t>
  </si>
  <si>
    <t>Anak: menurunkan demam 20 mg/kgBB/hari dalam dosis terbagi. Meringankan nyeri ringan-sedang dewasa: 200 mg ( 2 sendok takar/10 mL) 3-4 kali sehari</t>
  </si>
  <si>
    <t>Menurunkan deman pada anak dan meringankan nyeri ringan-sedang.</t>
  </si>
  <si>
    <t>Tukak peptik, riwayat asma, gangguan fungsi ginjal, penyakit jantung, hipertensi, penyakit lain yang menyebabkan retensi cairan tubuh, SLE.</t>
  </si>
  <si>
    <t>menurunkan deman anak meringankan nyeri ringan -</t>
  </si>
  <si>
    <t>fenris</t>
  </si>
  <si>
    <t xml:space="preserve">fenris suspensi ibuprofen menurunkan deman anak meringankan nyeri ringan </t>
  </si>
  <si>
    <t>DTL7417609637A1</t>
  </si>
  <si>
    <t>Anadex Sirup 60 ml</t>
  </si>
  <si>
    <t>Rp45.500 - Rp49.500</t>
  </si>
  <si>
    <t>Dewasa : 3-4 kali sehari 2 sendok takar Anak 6-12 tahun : 3-4 kali sehari 2 sendok takar.</t>
  </si>
  <si>
    <t>Sirup 60 ml X 1</t>
  </si>
  <si>
    <t>anadex sirup chlorphenamine maleate flu  selesma  batuk  demam nyeri</t>
  </si>
  <si>
    <t>DKL9002001618A1</t>
  </si>
  <si>
    <t>Canesten SD Tablet Vaginal 500 mg</t>
  </si>
  <si>
    <t>Rp152.500 - Rp167.700</t>
  </si>
  <si>
    <t>Masukkan aplikator yang sudah terdapat tablet ke dalam vagina secara perlahan sejauh yang anda bisa dan rasa nyaman kemudian tekan tombol pada aplikator untuk melepaskan tablet.</t>
  </si>
  <si>
    <t>PENGGUNAAN OBAT INI HARUS SESUAI DENGAN PETUNJUK DOKTER. Canesten SD : 1 tablet vaginal dosis tunggal pada malam hari.</t>
  </si>
  <si>
    <t>INFORMASI OBAT INI HANYA UNTUK KALANGAN MEDIS. Vaginitis karena jamur terutama kandida dan trikomonas</t>
  </si>
  <si>
    <t>Dus 1 Strip @ 1 Vaginal Tablet + Aplikator</t>
  </si>
  <si>
    <t>HARUS DENGAN RESEP DOKTER. Tidak untuk pasien yang pernah mengalami &gt;2 infeksi candida vaginitis selama 6 bulan terakhir, riwayat PMS atau pajanan dengan PMS, perdarahan tidak teratur atau abnormal, ulkus vagina, diare, disuria atau nyeri perut bagian bawah, demam atau kedinginan. Anak. Kategori Kehamilan: Vaginal Kategori B: Mungkin dapat digunakan oleh wanita hamil. Penelitian pada hewan uji tidak memperlihatkan ada nya risiko terhadap janin, namun belum ada bukti penelitian langsung terhadap wanita hamil.</t>
  </si>
  <si>
    <t>vaginitis jamur kandida trikomonas</t>
  </si>
  <si>
    <t>canesten sd vaginal</t>
  </si>
  <si>
    <t>canesten sd vaginal tablet clotrimazole vaginitis jamur kandida trikomonas</t>
  </si>
  <si>
    <t>TR132369581</t>
  </si>
  <si>
    <t>Borobudur Idaman 12 Kapsul</t>
  </si>
  <si>
    <t>IDAMAN</t>
  </si>
  <si>
    <t>Rp10.200 - Rp18.600</t>
  </si>
  <si>
    <t>Minumlah secara teratur 2 kali sehari @ 2 kapsul. Dosis dapat ditingkatkan atau dikurangi sesuai kebutuhan</t>
  </si>
  <si>
    <t>Membantu mengurangi lendir yang berlebihan pada daerah kewanitaan</t>
  </si>
  <si>
    <t>Kapsul 12 x 1</t>
  </si>
  <si>
    <t>Sebaiknya jangan makan ketimun</t>
  </si>
  <si>
    <t>idaman</t>
  </si>
  <si>
    <t>membantu mengurangi lendir daerah kewanitaan</t>
  </si>
  <si>
    <t>borobudur idaman</t>
  </si>
  <si>
    <t>borobudur idaman kapsul idaman membantu mengurangi lendir daerah kewanitaan</t>
  </si>
  <si>
    <t>TR182418231</t>
  </si>
  <si>
    <t>Borobudur Kamal 100 Pil</t>
  </si>
  <si>
    <t>KAMAL</t>
  </si>
  <si>
    <t>Rp6.200 - Rp10.000</t>
  </si>
  <si>
    <t>Dosis dapat ditingkatkan atau dikurangi sesuai kebutuhan. Untuk anak-anak gunakan setengah dari dosis dewasa</t>
  </si>
  <si>
    <t>2 kali sehari @ 5 pil.</t>
  </si>
  <si>
    <t>Membantu mengurangi gatal-gatal pada kulit</t>
  </si>
  <si>
    <t>Tidak boleh digunakan oleh anak dibawah usia 2 tahun, wanita hamil, ibu menyusui dan lansia. Tidak boleh digunakan lebih dari 6 minggu tanpa pengawasan dokter dan penggunaan dihentikan 2 minggu sebelum digunakan kembali.</t>
  </si>
  <si>
    <t>kamal</t>
  </si>
  <si>
    <t>membantu mengurangi gatal - gatal kulit</t>
  </si>
  <si>
    <t>borobudur kamal</t>
  </si>
  <si>
    <t>borobudur kamal pil kamal membantu mengurangi gatal  gatal kulit</t>
  </si>
  <si>
    <t>DTL0616701637A1</t>
  </si>
  <si>
    <t>Pacdin Cough Sirup 60 ml</t>
  </si>
  <si>
    <t>Rp5.100 - Rp22.000</t>
  </si>
  <si>
    <t>Diberikan bersama makan</t>
  </si>
  <si>
    <t>Anak - anak 2 tahun sampai 6 tahun : 3 kali sehari 1 sendok takar (5ml), Anak - anak 6 tahun sampai 12 tahun : 3 kali sehari 2 sendok takar (5ml) atau menurut petunjuk dokter.</t>
  </si>
  <si>
    <t>Demam, batuk berdahak, influenza</t>
  </si>
  <si>
    <t>1 Botol Isi 1 Bungkus</t>
  </si>
  <si>
    <t>Penyakit ginjal</t>
  </si>
  <si>
    <t>demam , batuk berdahak , influenza</t>
  </si>
  <si>
    <t>pacdin cough</t>
  </si>
  <si>
    <t>pacdin cough sirup chlorphenamine maleate demam  batuk berdahak  influenza</t>
  </si>
  <si>
    <t>TR082384911</t>
  </si>
  <si>
    <t>Borobudur Kamal 12 Kapsul</t>
  </si>
  <si>
    <t>Rp8.900 - Rp24.200</t>
  </si>
  <si>
    <t>Dus, Strip @ 12 Kapsul</t>
  </si>
  <si>
    <t>borobudur kamal kapsul kamal membantu mengurangi gatal  gatal kulit</t>
  </si>
  <si>
    <t>Confidence Adult Classic Night M 8 Pieces</t>
  </si>
  <si>
    <t>Rp41.200 - Rp55.900</t>
  </si>
  <si>
    <t>Pack @ 8 pieces</t>
  </si>
  <si>
    <t>confidence adult classic night m pieces</t>
  </si>
  <si>
    <t xml:space="preserve">confidence adult classic night m pieces tablet tizanidine hydrochloride </t>
  </si>
  <si>
    <t>Guardian Hand Wash Sweet Strawberry Refill 450 ml</t>
  </si>
  <si>
    <t>Rp18.000 - Rp22.500</t>
  </si>
  <si>
    <t>Pouch @ 450 ml</t>
  </si>
  <si>
    <t>guardian hand wash sweet strawberry refill</t>
  </si>
  <si>
    <t xml:space="preserve">guardian hand wash sweet strawberry refill tablet tizanidine hydrochloride </t>
  </si>
  <si>
    <t>Sriti Cream 10 g</t>
  </si>
  <si>
    <t>Rp10.200 - Rp40.800</t>
  </si>
  <si>
    <t>Dioleskan secara tipis dan merata pada kulit yang teriritasi 2 - 3 kali sehari</t>
  </si>
  <si>
    <t>Sebagai cream anti septic</t>
  </si>
  <si>
    <t>Tube 10 gram</t>
  </si>
  <si>
    <t>sebagai cream anti septic</t>
  </si>
  <si>
    <t>sriti cream</t>
  </si>
  <si>
    <t>sriti cream krim sulfadiazine silver sebagai cream anti septic</t>
  </si>
  <si>
    <t>DKL9933500810A1</t>
  </si>
  <si>
    <t>Alovell 10 mg 10 Tablet</t>
  </si>
  <si>
    <t>Rp100.300 - Rp149.200</t>
  </si>
  <si>
    <t>Berikan dengan segelas air sekurang-kurangnya 1/2 jam sebelum konsumsi makanan/minuman/obat pertama kali pada hari yang sama dan tetap dalam posisi dudut/tegak selama sekurang-kurangnya 1/2 jam. Telan utuh, jangan dikunyah atau dihancurkan.</t>
  </si>
  <si>
    <t>PENGGUNAAN OBAT INI HARUS SESUAI DENGAN PETUNJUK DOKTER. 1 kali sehari 10 mg</t>
  </si>
  <si>
    <t>Osteoporosis pada wanita pasca menopause.</t>
  </si>
  <si>
    <t>Tablet 10 mg x 3 x 10</t>
  </si>
  <si>
    <t>Abnormalitas esofagus dengan keterlambatan pengosongan seperti striktur atau akalasia</t>
  </si>
  <si>
    <t>Futuro Comfort Lift Ankle Support Size M</t>
  </si>
  <si>
    <t>Rp116.300 - Rp155.500</t>
  </si>
  <si>
    <t>Dos Isi 1 Pcs</t>
  </si>
  <si>
    <t>futuro comfort lift ankle support size m</t>
  </si>
  <si>
    <t xml:space="preserve">futuro comfort lift ankle support size m larutan povidoneiodine </t>
  </si>
  <si>
    <t>TR172607571</t>
  </si>
  <si>
    <t>Bodrexin Herbal Batuk Sachet 7.5 ml</t>
  </si>
  <si>
    <t>Bodrexin Herbal Batuk</t>
  </si>
  <si>
    <t>Rp1.500 - Rp2.500</t>
  </si>
  <si>
    <t>Anak usia 3 - &lt;5 Tahun : 3 x sehari 1/2 sachet Anak usia 5-12 Tahun : 3 x sehari 1 sachet</t>
  </si>
  <si>
    <t>Dus, 5 Sachet @ 7.5 ml</t>
  </si>
  <si>
    <t>bodrexin herbal batuk</t>
  </si>
  <si>
    <t>bodrexin herbal batuk sachet membantu meredakan batuk melegakan tenggorokan</t>
  </si>
  <si>
    <t>Kondom Sutra OK Isi 12</t>
  </si>
  <si>
    <t>Rp44.000 - Rp48.400</t>
  </si>
  <si>
    <t>DKL1033523533A1</t>
  </si>
  <si>
    <t>Peptovell Suspensi 100 ml</t>
  </si>
  <si>
    <t>Rp81.500 - Rp102.500</t>
  </si>
  <si>
    <t>Berikan pada saat perut kosong, 1 jam sebelum makan atau 2 jam sesudah makan, dan menjelang tidur malam</t>
  </si>
  <si>
    <t>PENGGUNAAN OBAT INI HARUS SESUAI DENGAN PETUNJUK DOKTER. 10 mL 4 kali sehari.</t>
  </si>
  <si>
    <t>Terapi gastritis, tukak lambung, &amp; tukak duodenum.</t>
  </si>
  <si>
    <t>HARUS DENGAN RESEP DOKTER. Gagal ginjal kronik, pasien dialisis, hamil, laktasi, anak</t>
  </si>
  <si>
    <t>terapi gastritis , tukak lambung , tukak duodenum</t>
  </si>
  <si>
    <t>peptovell</t>
  </si>
  <si>
    <t>peptovell suspensi sucralfate terapi gastritis  tukak lambung  tukak duodenum</t>
  </si>
  <si>
    <t>TR142681181</t>
  </si>
  <si>
    <t>De Cough Strawberry Sirup 60 ml</t>
  </si>
  <si>
    <t>DE COUGH STRAWBERRY FOR CHILDREN</t>
  </si>
  <si>
    <t>Rp19.400 - Rp31.900</t>
  </si>
  <si>
    <t>de cough strawberry for children</t>
  </si>
  <si>
    <t>de cough strawberry</t>
  </si>
  <si>
    <t xml:space="preserve">de cough strawberry sirup de cough strawberry for children </t>
  </si>
  <si>
    <t>DKL1302505109A1</t>
  </si>
  <si>
    <t>Suvesco 40 mg 10 Tablet</t>
  </si>
  <si>
    <t>Rp67.400 - Rp231.100</t>
  </si>
  <si>
    <t>PENGGUNAAN OBAT INI HARUS SESUAI DENGAN PETUNJUK DOKTER. Untuk pasien dewasa: ï¿½ Dosis awal 5 atau 10 mg sekali sehari, dapat ditingkatkan setelah 4 minggu ï¿½ Dosis maksimal 20 mg sekali sehari Untuk pasien anak-anak: ï¿½ Dengan kelainan genetik yang menyebabkan kolesterol tinggi (HeFH): Dosis awal 5 mg sekali sehari. Untuk dosis biasa: 6-9 tahun 5-10 mg sekali sehari</t>
  </si>
  <si>
    <t>DKL1033521738A1</t>
  </si>
  <si>
    <t>Vostrin Dry Sirup 60 ml</t>
  </si>
  <si>
    <t>PENGGUNAAN OBAT INI HARUS SESUAI DENGAN PETUNJUK DOKTER. Dewasa &amp; Anak &gt; 30 kg BB : 2 x sehari 2 sendok takar 5 mL</t>
  </si>
  <si>
    <t>DKL7603809846A1</t>
  </si>
  <si>
    <t>Cendo Vasacon Minidose 0.6 ml</t>
  </si>
  <si>
    <t>Rp16.700 - Rp19.800</t>
  </si>
  <si>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t>
  </si>
  <si>
    <t>PENGGUNAAN OBAT INI HARUS SESUAI DENGAN PETUNJUK DOKTER. 1-2 tetes 4 kali sehari.</t>
  </si>
  <si>
    <t>Dekongestan mata, konjungtivitas</t>
  </si>
  <si>
    <t>Catch cover, 5 x 0,6 mL Larutan tetes mata</t>
  </si>
  <si>
    <t>HARUS DENGAN RESEP DOKTER. Hanya untuk pemakaian luar.</t>
  </si>
  <si>
    <t>naphazoline hydrochloride</t>
  </si>
  <si>
    <t>dekongestan mata , konjungtivitas</t>
  </si>
  <si>
    <t>cendo vasacon minidose</t>
  </si>
  <si>
    <t>cendo vasacon minidose tetes naphazoline hydrochloride dekongestan mata  konjungtivitas</t>
  </si>
  <si>
    <t>DTL0704519837A1</t>
  </si>
  <si>
    <t>Vicks Formula 44 Anak Sirup 27 ml</t>
  </si>
  <si>
    <t>Rp11.500 - Rp13.600</t>
  </si>
  <si>
    <t>Gunakan setiap 4 jam sesuai kebutuhan. 1 sendok takar = 5 ml Anak-anak : - 2 - 6 tahun: 1 sendok takar (5 mL) - 6 - 12 tahun: 2 sendok takar (10 mL) Dewasa: 12 tahun ke atas : 4 sendok takar (20 mL) Atau gunakan sesuai petunjuk dokter.</t>
  </si>
  <si>
    <t>Untuk meringankan batuk.</t>
  </si>
  <si>
    <t>Dus, Botol @ 27 ml</t>
  </si>
  <si>
    <t>Penderita hipersensitif, penyakit hati atau kegagalan pernafasan</t>
  </si>
  <si>
    <t>Jauhkanlah obat-obatan dari jangkauan anak-anak. Tidak dianjurkan bagi anak-anak dibawah 2 tahun, kecuali atas petunjuk dokter. Tidak dianjurkan untuk penderita demam atau batuk yang terus menerus, seperti pada asma bronkhial atau emphysema. Hati-hati untuk penderita sedasi, hipoksia (kekurangan oksigen) atau kelemahan mental. Jika batuk tidak berkurang, konsultasikan kepada dokter. Simpan pada suhu kamar (25-30 C)</t>
  </si>
  <si>
    <t>vicks formula anak</t>
  </si>
  <si>
    <t>vicks formula anak sirup dextromethorphan hydrobromide untuk meringankan batuk</t>
  </si>
  <si>
    <t>Ultrafix 5cm X 1m</t>
  </si>
  <si>
    <t>Rp4.200 - Rp5.600</t>
  </si>
  <si>
    <t>TR172605161</t>
  </si>
  <si>
    <t>Bodrex Herbal Batuk 15 ml 5 Sachet</t>
  </si>
  <si>
    <t>BODREX HERBAL BATUK</t>
  </si>
  <si>
    <t>Rp10.500 - Rp16.700</t>
  </si>
  <si>
    <t>3 x sehari 1 sachet</t>
  </si>
  <si>
    <t>bodrex herbal batuk</t>
  </si>
  <si>
    <t>bodrex herbal batuk sachet membantu meredakan batuk melegakan tenggorokan</t>
  </si>
  <si>
    <t>dried aluminium hydroxide gel magnesium hydroxide</t>
  </si>
  <si>
    <t xml:space="preserve">ranacid forte kaplet dried aluminium hydroxide gel magnesium hydroxide </t>
  </si>
  <si>
    <t>DKL9833300309A1</t>
  </si>
  <si>
    <t>Merimac 450 mg 10 Kaplet</t>
  </si>
  <si>
    <t>Rp26.500 - Rp48.000</t>
  </si>
  <si>
    <t>Terbaik diberikan saat perut kosong, 1 jam sebelum atau 2 jam sesudah makan</t>
  </si>
  <si>
    <t>PENGGUNAAN OBAT INI HARUS SESUAI DENGAN PETUNJUK DOKTER. Tuberkulosis :Dewasa dengan BB &lt; 50 kg : 1 kaplet perhari.Anak : 10 - 20 mg/kg BB/hari, Maximum 4 kaplet perhari. Lepra : Dewasa : 1 x sebulan 600 mg.</t>
  </si>
  <si>
    <t>TB/Tuberkulosis Pulmoner dan Ekstra Pulmoner, Lepra</t>
  </si>
  <si>
    <t>Box Isi 10 Strip X 10 Kaplet Salut</t>
  </si>
  <si>
    <t>Hipersensitif, ikterus</t>
  </si>
  <si>
    <t>HARUS DENGAN RESEP DOKTER. Resistensi, bayi prematur dan baru lahir, penyakit hati, kurang makanan, alkoholisme, porfiria, hamil, laktasi</t>
  </si>
  <si>
    <t>tb tuberkulosis pulmoner ekstra pulmoner , lepra</t>
  </si>
  <si>
    <t>merimac</t>
  </si>
  <si>
    <t>merimac kaplet rifampicin tb tuberkulosis pulmoner ekstra pulmoner  lepra</t>
  </si>
  <si>
    <t>DKL1328605728A1</t>
  </si>
  <si>
    <t>Palenox 0.1% Gel 15 gr</t>
  </si>
  <si>
    <t>Rp72.800 - Rp74.800</t>
  </si>
  <si>
    <t>Dioleskan tipis dan merata pada seluruh kulit wajah sebelum tidur. Kurangi ketebalan olesan pada bagian kulit yang sensitif (kelopak mata, sekitar mulut dan lipatan hidung).</t>
  </si>
  <si>
    <t>PENGGUNAAN OBAT INI HARUS SESUAI DENGAN PETUNJUK DOKTER. Oleskan 1 kali per hari pada malam hari sebelum tidur.</t>
  </si>
  <si>
    <t>Perawatan jerawat ringan sampai sedang, keratosis pilaris</t>
  </si>
  <si>
    <t>HARUS DENGAN RESEP DOKTER. Gunakan tabir surya atau pakaian pelindung untuk melindungi kulit dari sinar matahari. Hindari kontak dengan mata, bibir, sudut hidung, dan selaput lendir. Hanya untuk pemakaian luar. Hamil dan laktasi. Anak kurang dari 12 tahun. Kategori kehamilan : C</t>
  </si>
  <si>
    <t>perawatan jerawat ringan , keratosis pilaris</t>
  </si>
  <si>
    <t>palenox gr</t>
  </si>
  <si>
    <t>palenox gr gel adapalene perawatan jerawat ringan  keratosis pilaris</t>
  </si>
  <si>
    <t>DKL9721011601A1</t>
  </si>
  <si>
    <t>Prilos 20 mg 4 Kapsul</t>
  </si>
  <si>
    <t>- KOMBINASI-OMEPRAZOLE ENTERIC COATED PELLETS 8.5</t>
  </si>
  <si>
    <t>Rp56.700 - Rp82.500</t>
  </si>
  <si>
    <t>Diberikan segera sebelum makan</t>
  </si>
  <si>
    <t>PENGGUNAAN OBAT INI HARUS SESUAI DENGAN PETUNJUK DOKTER. Untuk tukak duodenum : 20 mg/hari selama 2-4 minggu. Pengobatan akut : 40 mg/hari selama 4 minggu. Pemeliharaan : 10-20 mg/hari Untuk tukak lambung : 20 mg/hari selama 4-8 minggu Untuk eradikasi H pylori : 40 mg/hari dengan 1.5 g amoksisilin/hari dalam dosis terbagi selama 2 minggu atau 40 mg/hari dengan 500 mg klaritromisin 3 kali/hari selama 2 minggu Untuk Zollinger-Ellison : awal 60 mg/hari, kisaran dosis : 10-120 mg/hari. Dosis &gt; 80 mg harus diberika dalam 2 dosis terbagi. Untuk refluks esofagitis : 20 mg/hari selama 4-8 minggu. Kasus berat : 40 mg/hari selama 8 minggu. Terapi jangka panjang : 10-20 mg/hari</t>
  </si>
  <si>
    <t>Dilihat pada dosis</t>
  </si>
  <si>
    <t>Kapsul 20 Mg X 2 X 10</t>
  </si>
  <si>
    <t>Obat Wajib Apotek, Obat ini dapat dibeli dan diserahkan apoteker tanpa resep dengan maksimum 1 Strip. Pembelian melebihi batas ini WAJIB RESEP DOKTER. Keganasan lambung harus disingkirkan. Kehamilan, laktasi, anak-anak di bawah 1 thn.</t>
  </si>
  <si>
    <t>kombinasi-omeprazole enteric coated pellets 85</t>
  </si>
  <si>
    <t>prilos</t>
  </si>
  <si>
    <t>prilos kapsul kombinasiomeprazole enteric coated pellets 85 dilihat dosis</t>
  </si>
  <si>
    <t>DKL1203813646A1</t>
  </si>
  <si>
    <t>Cendo Lentikular Eye Drops 5 ml</t>
  </si>
  <si>
    <t>Rp34.100 - Rp40.900</t>
  </si>
  <si>
    <t>Atas petunjuk dokter</t>
  </si>
  <si>
    <t>Membantu mengatasi kekeringan pada mata</t>
  </si>
  <si>
    <t>membantu mengatasi kekeringan mata</t>
  </si>
  <si>
    <t>cendo lentikular eye</t>
  </si>
  <si>
    <t>cendo lentikular eye tetes pirenoxine membantu mengatasi kekeringan mata</t>
  </si>
  <si>
    <t>Futuro Comfort Lift Knee Support Size S</t>
  </si>
  <si>
    <t>Rp171.000 - Rp195.200</t>
  </si>
  <si>
    <t>futuro comfort lift knee support size s</t>
  </si>
  <si>
    <t xml:space="preserve">futuro comfort lift knee support size s larutan povidoneiodine </t>
  </si>
  <si>
    <t>DKL9922230646A1</t>
  </si>
  <si>
    <t>Flamar 1 mg/ml Eye Drops 5 ml</t>
  </si>
  <si>
    <t>Rp43.200 - Rp59.000</t>
  </si>
  <si>
    <t>PENGGUNAAN OBAT INI HARUS SESUAI DENGAN PETUNJUK DOKTER. 3 x sehari 1 tetes segera sesudah operasi, Pemeliharaan : 3-5 x sehari 1 tetes.</t>
  </si>
  <si>
    <t>Inflamasi paska operasi Katarak</t>
  </si>
  <si>
    <t>Pengguna lensa kontak lunak. Pasien dengan asma, urtikaria, rinitis akut</t>
  </si>
  <si>
    <t>HARUS DENGAN RESEP DOKTER. Pasien dengan kecenderungan perdarahan. Infeksi</t>
  </si>
  <si>
    <t>inflamasi paska operasi katarak</t>
  </si>
  <si>
    <t>flamar eye</t>
  </si>
  <si>
    <t>flamar eye tetes diclofenac sodium inflamasi paska operasi katarak</t>
  </si>
  <si>
    <t>Cendo Lentikular Minidose 0.6 ml</t>
  </si>
  <si>
    <t>Rp37.200 - Rp47.400</t>
  </si>
  <si>
    <t>cendo lentikular minidose</t>
  </si>
  <si>
    <t>cendo lentikular minidose tetes pirenoxine membantu mengatasi kekeringan mata</t>
  </si>
  <si>
    <t>Ultrafix 5cm X 5m</t>
  </si>
  <si>
    <t>Rp25.900 - Rp28.700</t>
  </si>
  <si>
    <t>DTL8106402137A1</t>
  </si>
  <si>
    <t>Erphakaf Plus Sirup 60 ml</t>
  </si>
  <si>
    <t>Rp14.400 - Rp15.000</t>
  </si>
  <si>
    <t>Untuk meringankan batuk dan pilek</t>
  </si>
  <si>
    <t>untuk meringankan batuk pilek</t>
  </si>
  <si>
    <t>erphakaf plus</t>
  </si>
  <si>
    <t>erphakaf plus sirup ammonium chloride untuk meringankan batuk pilek</t>
  </si>
  <si>
    <t>kondom durex fetherlite isi tablet sildenafil citrate alat kontrasepsi</t>
  </si>
  <si>
    <t>DKL1218826317A1</t>
  </si>
  <si>
    <t>Viajoy Kaplet 100 mg</t>
  </si>
  <si>
    <t>Terapi disfungsi ereksi pada pria dewasa.</t>
  </si>
  <si>
    <t>Dus, 1 Strip @ 4 Tablet SAlut Selaput</t>
  </si>
  <si>
    <t>viajoy</t>
  </si>
  <si>
    <t>viajoy tablet sildenafil citrate terapi disfungsi ereksi pria dewasa</t>
  </si>
  <si>
    <t>Vicks Inhaler Twin</t>
  </si>
  <si>
    <t>Rp33.000 - Rp34.000</t>
  </si>
  <si>
    <t>Gunakan setiap kali dibutuhkan dengan hirup dalam-dalam melalui tiap lubang hidung.</t>
  </si>
  <si>
    <t>Melegakan hidung tersumbat karena pilek.</t>
  </si>
  <si>
    <t>Pack @ 2 Tabung @ 0.5 ml</t>
  </si>
  <si>
    <t>vicks inhaler twin</t>
  </si>
  <si>
    <t>vicks inhaler twin inhaler camphor melegakan hidung tersumbat pilek</t>
  </si>
  <si>
    <t>TR192626531</t>
  </si>
  <si>
    <t>Komix Herbal Rasa Peppermint 15 ml 6 Sachet</t>
  </si>
  <si>
    <t>KOMIX HERBAL RASA PEPPERMINT</t>
  </si>
  <si>
    <t>Rp14.100 - Rp15.500</t>
  </si>
  <si>
    <t>komix herbal rasa peppermint</t>
  </si>
  <si>
    <t>komix herbal rasa peppermint sachet membantu meredakan batuk berdahak</t>
  </si>
  <si>
    <t>DKL9603808031A1</t>
  </si>
  <si>
    <t>Cendo Hervis Salep Mata 3.5 g</t>
  </si>
  <si>
    <t>Oleskan tipis pada kulit daerah mata yang sakit</t>
  </si>
  <si>
    <t>INFORMASI OBAT INI HANYA UNTUK KALANGAN MEDIS. Meringankan iritasi ringan yang terjadi pada mata</t>
  </si>
  <si>
    <t>Tube 3,5 G</t>
  </si>
  <si>
    <t>meringankan iritasi ringan mata</t>
  </si>
  <si>
    <t>cendo hervis mata</t>
  </si>
  <si>
    <t>cendo hervis mata salep aciclovir meringankan iritasi ringan mata</t>
  </si>
  <si>
    <t>DKL0516908333A1</t>
  </si>
  <si>
    <t>Omedom Sirup 60 ml</t>
  </si>
  <si>
    <t>Rp6.600 - Rp52.400</t>
  </si>
  <si>
    <t>PENGGUNAAN OBAT INI HARUS SESUAI DENGAN PETUNJUK DOKTER. Dispepsia kronik : Dewasa 10 mg (10 mL sirup), 3 kali sehari. Anak-anak 0,25 mg/kg berat badan, 3 kali sehari. Mual dan muntah : Dewasa 10-20 mg (10-20 mL sirup), 3 kali sehari. Anak-anak 0,25-0,5 mg/kg berat badan, 3 kali sehari</t>
  </si>
  <si>
    <t>Mual, muntah, sendawa, rasa penuh di epigastrik atau abdomen.</t>
  </si>
  <si>
    <t>Sirup 60 mL x 1</t>
  </si>
  <si>
    <t>Hipersensitif terhadap domperidone, penderita prolactinoma tumor hipofise, perdarahan gastrointestinal, gangguan elektrolit yang signifikan</t>
  </si>
  <si>
    <t>HARUS DENGAN RESEP DOKTER. Hentikan penggunaan jika mengalami tanda-tanda atau gejala yang berhubungan dengan aritmia jantung Hindari mengemudi atau mengoperasikan mesin Pasien dengan bradikardia Pasien dengan glukosa atau galaktosa malabsorpsi Pasien dengan hipokalemia, hiperkalemia, atau hipomagnesemia Pasien dengan intoleransi laktosa atau galaktosemia</t>
  </si>
  <si>
    <t>mual , muntah , sendawa , penuh epigastrik abdomen</t>
  </si>
  <si>
    <t>omedom</t>
  </si>
  <si>
    <t>omedom suspensi domperidone mual  muntah  sendawa  penuh epigastrik abdomen</t>
  </si>
  <si>
    <t>DKL2233554519A1</t>
  </si>
  <si>
    <t>Ericfil 50 mg Odf</t>
  </si>
  <si>
    <t>Rp36.500 - Rp44.400</t>
  </si>
  <si>
    <t>Cara penggunaan Ericfil ODF: 1. Buka kemasan dari bagian atas. 2. Tarik kemasan secara perlahan. 3. Letakan ODF di atas lidah dan biarkan larut, dapat dikonsumsi bersama air atau tanpa air. Dikonsumsi satu jam sebelum melakukan aktivitas seksual, atau dapat disesuaikan dengan kebutuhan.</t>
  </si>
  <si>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</si>
  <si>
    <t>Dus, 4 Strip @ 1 ODF</t>
  </si>
  <si>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</si>
  <si>
    <t>Hati-hati penggunaan obat in pada pasien dengan riwayat gangguan kardiovaskular, pasien hipotensi akibat nitrate, pasien dengan riwayat stroke.</t>
  </si>
  <si>
    <t>ericfil</t>
  </si>
  <si>
    <t>ericfil odf sildenafil citrate terapi disfungsi ereksi pria dewasa</t>
  </si>
  <si>
    <t>DKL1600204117A1</t>
  </si>
  <si>
    <t>Febogrel 75 mg 10 Tablet</t>
  </si>
  <si>
    <t>Rp161.100 - Rp183.400</t>
  </si>
  <si>
    <t>Dapat dikonsumsi sesudah atau sebelum makan</t>
  </si>
  <si>
    <t>PENGGUNAAN OBAT INI HARUS SESUAI DENGAN PETUNJUK DOKTER. Profilaksis gangguan tromboemboli: Dewasa: 75 mg sekali sehari. Sindrom koroner akut: Dewasa: Dikombinasikan dengan aspirin: 75 mg 1 x sehari.</t>
  </si>
  <si>
    <t>INFORMASI OBAT INI HANYA UNTUK KALANGAN MEDIS. Mengencerkan darah dan mencegah terjadinya pembekuan darah.</t>
  </si>
  <si>
    <t>Dus 3 Strip @ Tablet Salut Selaput</t>
  </si>
  <si>
    <t>Pasien yang pernah mengalami perdarahan patologis aktif.</t>
  </si>
  <si>
    <t>HARUS DENGAN RESEP DOKTER. Pasien dengan penyakit hati sedang yang mungkin terjadi pendarahan diatesis, gangguan ginjal, stroke iskemia akut. Katagori kehamilan: Kategori B: Mungkin dapat digunakan oleh wanita hamil. Penelitian pada hewan uji tidak memperlihatkan ada nya risiko terhadap janin, namun belum ada bukti penelitian langsung terhadap wanita hamil.</t>
  </si>
  <si>
    <t>mengencerkan darah mencegah pembekuan darah</t>
  </si>
  <si>
    <t>febogrel</t>
  </si>
  <si>
    <t>febogrel tablet clopidogrel bisulfate mengencerkan darah mencegah pembekuan darah</t>
  </si>
  <si>
    <t>DKL1033521601A1</t>
  </si>
  <si>
    <t>Vostrin 300 mg 10 Kapsul</t>
  </si>
  <si>
    <t>Rp46.600 - Rp57.400</t>
  </si>
  <si>
    <t>PENGGUNAAN OBAT INI HARUS SESUAI DENGAN PETUNJUK DOKTER. Dewasa : 2-3 x sehari 1 kapsul, maximum 10 hari</t>
  </si>
  <si>
    <t>Mukolitik pada infeksi Saluran Nafas akut dan khronik</t>
  </si>
  <si>
    <t>Sirosis hepatik dan defisiensi sistationin sintetase</t>
  </si>
  <si>
    <t>DKL0623409737A1</t>
  </si>
  <si>
    <t>Proast Sirup 60 ml</t>
  </si>
  <si>
    <t>Rp6.300 - Rp6.900</t>
  </si>
  <si>
    <t>PENGGUNAAN OBAT INI HARUS SESUAI DENGAN PETUNJUK DOKTER. Anak usia di atas 12 tahun : dosis yang dianjurkan adalah sirup 5 ml -10 ml, diberikan 3 - 4 kali sehari. Anak usia 6 - 12 tahun : dosis yang dianjurkan adalah sirup 5 ml, diberikan 3 - 4 kali sehari. Anak usia 2 - 6 tahun : dosis yang dianjurkan adalah sirup 2,5 ml - 5 ml, diberikan 3 - 4 kali sehari.</t>
  </si>
  <si>
    <t>INFORMASI OBAT INI HANYA UNTUK KALANGAN MEDIS. Asma bronkial, bronkitis kronik, emfisema</t>
  </si>
  <si>
    <t>Dus , Botol @ 60 ml</t>
  </si>
  <si>
    <t>asma bronkial , bronkitis kronik , emfisema</t>
  </si>
  <si>
    <t>proast</t>
  </si>
  <si>
    <t>proast sirup salbutamol sulfate asma bronkial  bronkitis kronik  emfisema</t>
  </si>
  <si>
    <t>DKL9516906504A1</t>
  </si>
  <si>
    <t>Omegtamine 10 Tablet</t>
  </si>
  <si>
    <t>PENGGUNAAN OBAT INI HARUS SESUAI DENGAN PETUNJUK DOKTER. Dewasa 1 -2 tablet diminum 3-4 kali sehari. Maksimal: 8 tablet sehari.</t>
  </si>
  <si>
    <t>INFORMASI OBAT INI HANYA UNTUK KALANGAN MEDIS. Meringankan gejala batuk atau bersin akibat alergi.</t>
  </si>
  <si>
    <t>Dus, 30 Strip @ Kaptab</t>
  </si>
  <si>
    <t>Hipersensitif dan penurunan fungsi pankreas.</t>
  </si>
  <si>
    <t>HARUS DENGAN RESEP DOKTER. Ibu hamil, ibu menyusui, anak dibawah usia 6 tahun. Kepekaan terhadap infeksi</t>
  </si>
  <si>
    <t>meringankan gejala batuk bersin akibat alergi</t>
  </si>
  <si>
    <t>omegtamine</t>
  </si>
  <si>
    <t>omegtamine kaplet dexamethasone meringankan gejala batuk bersin akibat alergi</t>
  </si>
  <si>
    <t>magnesium hydroxide simethicone dried aluminium hydroxide gel</t>
  </si>
  <si>
    <t xml:space="preserve">magnidicon suspensi magnesium hydroxide simethicone dried aluminium hydroxide gel </t>
  </si>
  <si>
    <t>DKL1406416409A1</t>
  </si>
  <si>
    <t>Gramax 100 mg Tablet</t>
  </si>
  <si>
    <t>Rp53.300 - Rp67.600</t>
  </si>
  <si>
    <t>PENGGUNAAN OBAT INI HARUS SESUAI DENGAN PETUNJUK DOKTER. Dewasa : 50 mg diberikan sesuai kebutuhan 1 jam sebelum aktivitas seksual, dapat disesuaikan dengan kebutuhan. Maksimal 100 mg/hari.</t>
  </si>
  <si>
    <t>INFORMASI OBAT INI HANYA UNTUK KALANGAN MEDIS. Terapi disfungsi ereksi pada pria dewasa.</t>
  </si>
  <si>
    <t>Box, 1 Blister @ 4 Kaplet</t>
  </si>
  <si>
    <t>gramax</t>
  </si>
  <si>
    <t>gramax kaplet sildenafil citrate terapi disfungsi ereksi pria dewasa</t>
  </si>
  <si>
    <t>TR173604671</t>
  </si>
  <si>
    <t>Al Afiat VCO 60 ml</t>
  </si>
  <si>
    <t>VCO AL AFIAT</t>
  </si>
  <si>
    <t>Rp14.900 - Rp26.600</t>
  </si>
  <si>
    <t>3 x sehari 1-2 sendok makan</t>
  </si>
  <si>
    <t>Box, Botol @ 60 ml</t>
  </si>
  <si>
    <t>Simpan pada suhu di bawah 30 C dan kering, terlindung dari cahaya</t>
  </si>
  <si>
    <t>vco al afiat</t>
  </si>
  <si>
    <t>al afiat vco  vco al afiat membantu memelihara kesehatan</t>
  </si>
  <si>
    <t>DKL9905028916A1</t>
  </si>
  <si>
    <t>Anvomer B6 6 Tablet</t>
  </si>
  <si>
    <t>Rp22.800 - Rp25.800</t>
  </si>
  <si>
    <t>PENGGUNAAN OBAT INI HARUS SESUAI DENGAN PETUNJUK DOKTER. Dws 1-2 tab/hari, anak 6-12 tahun 1/2 dosis dws. Pencegahan mabuk kendaraan 1 jam sebelum bepergian &amp; diulang jika diperlukan.</t>
  </si>
  <si>
    <t>INFORMASI OBAT INI HANYA UNTUK KALANGAN MEDIS. Mencegah muntah selama hamil, sesudah operasi dan dalam perjalanan</t>
  </si>
  <si>
    <t>Dus, 10 strip @ 6 tablet salut gula</t>
  </si>
  <si>
    <t>HARUS DENGAN RESEP DOKTER. Jangan mengendarai kendaraan atau menjalankan mesin.</t>
  </si>
  <si>
    <t>pyrathiazine-8-chlorotheophyllinate</t>
  </si>
  <si>
    <t>mencegah muntah hamil , operasi perjalanan</t>
  </si>
  <si>
    <t>anvomer b</t>
  </si>
  <si>
    <t>anvomer b tablet pyrathiazine8chlorotheophyllinate mencegah muntah hamil  operasi perjala</t>
  </si>
  <si>
    <t>DKL1011640101A1</t>
  </si>
  <si>
    <t>Vestein 300 mg 10 Kapsul</t>
  </si>
  <si>
    <t>Rp78.100 - Rp86.000</t>
  </si>
  <si>
    <t>PENGGUNAAN OBAT INI HARUS SESUAI DENGAN PETUNJUK DOKTER. Usia lanjut &amp; Dewasa &gt; 18 tahun : 2-3 x sehari 1 kapsul untuk maximum 10 hari</t>
  </si>
  <si>
    <t>INFORMASI OBAT INI HANYA UNTUK KALANGAN MEDIS. Mukolitik untuk gangguan Saluran Nafas akut dan khronik</t>
  </si>
  <si>
    <t>Gangguan hati berat, hipertiroid, gastritis, glaukoma, tukak peptik aktif</t>
  </si>
  <si>
    <t>mukolitik gangguan saluran nafas akut khronik</t>
  </si>
  <si>
    <t>vestein</t>
  </si>
  <si>
    <t>vestein kapsul erdosteine mukolitik gangguan saluran nafas akut khronik</t>
  </si>
  <si>
    <t>DKL8831500510A1</t>
  </si>
  <si>
    <t>Fargoxin 0.25 mg 10 Tablet</t>
  </si>
  <si>
    <t>Rp2.500 - Rp6.300</t>
  </si>
  <si>
    <t>PENGGUNAAN OBAT INI HARUS SESUAI DENGAN PETUNJUK DOKTER. Rapid Digitalization/Digitalisasi cepat (24-36 jam) : Dewasa : 4-6 tablet , dilanjutkan dengan 1 tablet pada interval yang cukup sampai kompensasi dicapai. Anak : 25 mcg/kg BB, ditingkatkan pada interval tertentu sampai kompensasi tercapai.</t>
  </si>
  <si>
    <t>INFORMASI OBAT INI HANYA UNTUK KALANGAN MEDIS. Gagal Jantung Kongestif, Takikardia Supraventrikuler Paroksismal</t>
  </si>
  <si>
    <t>Blok AV komplit dan derajat 2, henti sinus, sinus bradikardi yang berlebihan, takikardi ventrikular dan fibrilasi ventrikular.</t>
  </si>
  <si>
    <t>HARUS DENGAN RESEP DOKTER. Hamil, jantung reumatik, kerusakan fungsi ginjal, blok jantung parsial, miokarditis akut.</t>
  </si>
  <si>
    <t>gagal jantung kongestif , takikardia supraventrikuler paroksismal</t>
  </si>
  <si>
    <t>fargoxin</t>
  </si>
  <si>
    <t>fargoxin tablet digoxin gagal jantung kongestif  takikardia supraventrikuler paroksismal</t>
  </si>
  <si>
    <t>Viajoy Kaplet 50 mg</t>
  </si>
  <si>
    <t>Dus, 1 Blister @ Kaplet Salut Selaput</t>
  </si>
  <si>
    <t>DKL7819913810A1</t>
  </si>
  <si>
    <t>Grivin Forte 500mg 10 Tablet</t>
  </si>
  <si>
    <t>Rp49.200 - Rp65.400</t>
  </si>
  <si>
    <t>PENGGUNAAN OBAT INI HARUS SESUAI DENGAN PETUNJUK DOKTER. Dewasa : diawali 1 tablet perhari, Anak : 10 mg/kg BB/hari dalam dosis terbagi</t>
  </si>
  <si>
    <t>Porfiria atau gangguan fungsi hati. Hamil</t>
  </si>
  <si>
    <t>grivin forte</t>
  </si>
  <si>
    <t>grivin forte tablet griseofulvin infeksi jamur kulit  rambut  kuku</t>
  </si>
  <si>
    <t>DKI1524200118A1</t>
  </si>
  <si>
    <t>Fluomizin 10 mg 6 Tablet Vaginal</t>
  </si>
  <si>
    <t>Digunakan intra vagina 1 x sehari selama 6 hari berturut-turut (malam menjelang tidur)</t>
  </si>
  <si>
    <t>Bacterial vaginosis, Candidiasis, Trikomoniasis</t>
  </si>
  <si>
    <t>Dus, 1 Blister @ 6 Tablet Vaginal</t>
  </si>
  <si>
    <t>Hipersensitivitas. Ulserasi epitelium vag &amp; portio vaginalis uteri. Wanita muda yg belum dewasa secara seksual.</t>
  </si>
  <si>
    <t>Hipersensitif. Ulserasi epitel vagina &amp; portio vaginalis uteri.</t>
  </si>
  <si>
    <t>dequalinium chloride</t>
  </si>
  <si>
    <t>bacterial vaginosis , candidiasis , trikomoniasis</t>
  </si>
  <si>
    <t>fluomizin vaginal</t>
  </si>
  <si>
    <t>fluomizin vaginal tablet dequalinium chloride bacterial vaginosis  candidiasis  trikomoniasis</t>
  </si>
  <si>
    <t>DKL0933520633A1</t>
  </si>
  <si>
    <t>Monell Sirup 60 ml</t>
  </si>
  <si>
    <t>Rp62.700 - Rp63.300</t>
  </si>
  <si>
    <t>15-30 menit sebelum makan dan menjelang tidur malam</t>
  </si>
  <si>
    <t>Mual &amp; Muntah pada anak akibat kemoterapi dan radioterapi</t>
  </si>
  <si>
    <t>Prolaktinoma.Anak ( kecuali mual dan muntah pada terapi kanker).</t>
  </si>
  <si>
    <t>HARUS DENGAN RESEP DOKTER. Terapi jangka panjang. Gangguan fungsi hati dan ginjal. Hamil dan laktasi.</t>
  </si>
  <si>
    <t>mual muntah anak akibat kemoterapi radioterapi</t>
  </si>
  <si>
    <t>monell</t>
  </si>
  <si>
    <t>monell suspensi domperidone mual muntah anak akibat kemoterapi radioterapi</t>
  </si>
  <si>
    <t>Al Afiat VCO 150 ml</t>
  </si>
  <si>
    <t>Rp27.600 - Rp53.900</t>
  </si>
  <si>
    <t>Hansaplast Jumbo 50 Lembar</t>
  </si>
  <si>
    <t>Rp47.600 - Rp50.500</t>
  </si>
  <si>
    <t>Dus, @ 50 Strip</t>
  </si>
  <si>
    <t>TR192630061</t>
  </si>
  <si>
    <t>Komix Herbal Rasa Jahe 15 ml 6 Sachet</t>
  </si>
  <si>
    <t>KOMIX HERBAL RASA JAHE</t>
  </si>
  <si>
    <t>komix herbal rasa jahe</t>
  </si>
  <si>
    <t>komix herbal rasa jahe sachet membantu meredakan batuk berdahak</t>
  </si>
  <si>
    <t>Futuro Comfort Lift Knee Support Size M</t>
  </si>
  <si>
    <t>Rp122.500 - Rp204.400</t>
  </si>
  <si>
    <t>futuro comfort lift knee support size m</t>
  </si>
  <si>
    <t xml:space="preserve">futuro comfort lift knee support size m larutan povidoneiodine </t>
  </si>
  <si>
    <t>TR132670781</t>
  </si>
  <si>
    <t>Woods Naturals Sirup 60 ml</t>
  </si>
  <si>
    <t>WOODS` NATURALS</t>
  </si>
  <si>
    <t>Berikan setelah makan, kocok dahulu sebelum diminum</t>
  </si>
  <si>
    <t>Anak 2 - 5 tahun: 3 x sehari 2.5 ml, 6 - 12 tahun: 3 x sehari 5 ml, Anak &gt; 12 tahun &amp; Dewasa: 3 x sehari 10 ml</t>
  </si>
  <si>
    <t>Mengandung pemanis buatan aspartame. Produk ini mengandung fenilalanin, tidak boleh digunakan pada penderita fenilketonuria dan wanita hamil dengan kadar fenilalanin tinggi. Produk ini tidak boleh digunakan oleh bayi dibawah 1 tahun.</t>
  </si>
  <si>
    <t>woods` naturals</t>
  </si>
  <si>
    <t>woods naturals</t>
  </si>
  <si>
    <t>woods naturals sirup woods naturals membantu meredakan batuk berdahak</t>
  </si>
  <si>
    <t>DKL0222235137A1</t>
  </si>
  <si>
    <t>Alloris Sirup 60 ml</t>
  </si>
  <si>
    <t>Rp73.200 - Rp80.500</t>
  </si>
  <si>
    <t>PENGGUNAAN OBAT INI HARUS SESUAI DENGAN PETUNJUK DOKTER. Dewasa dan Anak &gt; 12 tahun : 10 ml perhari ( 2 sendok takar )</t>
  </si>
  <si>
    <t>TR192626841</t>
  </si>
  <si>
    <t>Silex Sirup 100 ml</t>
  </si>
  <si>
    <t>SILEX</t>
  </si>
  <si>
    <t>Rp80.000 - Rp94.100</t>
  </si>
  <si>
    <t>Kocok dahulu sebelum diminum. Dikonsumsi sesudah makan</t>
  </si>
  <si>
    <t>Dewasa: 1 sendok makan (15 ml), 3-4 kali sehari. Anak-anak : 1 sendok takar (5 ml), 3-4 kali sehari</t>
  </si>
  <si>
    <t>Membantu meredakan batuk berdahak, melegakan tenggorokan dan pilek</t>
  </si>
  <si>
    <t>Simpan pada suhu di bawah 30 C, terlindung dari cahaya.</t>
  </si>
  <si>
    <t>silex</t>
  </si>
  <si>
    <t>membantu meredakan batuk berdahak , melegakan tenggorokan pilek</t>
  </si>
  <si>
    <t>silex sirup membantu meredakan batuk berdahak  melegakan tenggorokan pilek</t>
  </si>
  <si>
    <t>TR142378211</t>
  </si>
  <si>
    <t>Nature's Pride Evening Primrose Oil 30 Kapsul</t>
  </si>
  <si>
    <t>EVENING PRIMROSE OIL</t>
  </si>
  <si>
    <t>Rp112.900 - Rp162.600</t>
  </si>
  <si>
    <t>evening primrose oil</t>
  </si>
  <si>
    <t>natures pride evening primrose oil</t>
  </si>
  <si>
    <t xml:space="preserve">natures pride evening primrose oil kapsul evening primrose oil </t>
  </si>
  <si>
    <t>Docare Wound Dressing Waterproof and Transparent 5 X 20 cm</t>
  </si>
  <si>
    <t>Rp38.000 - Rp40.000</t>
  </si>
  <si>
    <t>docare wound dressing waterproof and transparent x</t>
  </si>
  <si>
    <t xml:space="preserve">docare wound dressing waterproof and transparent x larutan povidoneiodine </t>
  </si>
  <si>
    <t>DKL9604120237A1</t>
  </si>
  <si>
    <t>Comtusi Sirup 60 ml</t>
  </si>
  <si>
    <t>Rp43.000 - Rp55.000</t>
  </si>
  <si>
    <t>comtusi</t>
  </si>
  <si>
    <t>comtusi sirup guaifenesin oxomemazine mengurangi batuk berdahak reaksi alergi</t>
  </si>
  <si>
    <t>DTL0526008937A1</t>
  </si>
  <si>
    <t>OBH Tropica Extra Anak Rasa Strawberry Sirup 60 ml</t>
  </si>
  <si>
    <t>Rp18.700 - Rp24.200</t>
  </si>
  <si>
    <t>obh tropica extra anak rasa strawberry</t>
  </si>
  <si>
    <t xml:space="preserve">obh tropica extra anak rasa strawberry sirup ammonium chloride </t>
  </si>
  <si>
    <t>oxomemazine guaifenesin</t>
  </si>
  <si>
    <t>comtusi sirup oxomemazine guaifenesin mengurangi batuk berdahak reaksi alergi</t>
  </si>
  <si>
    <t>DKL0334600729A1</t>
  </si>
  <si>
    <t>Zelface 20% Cream 10 g</t>
  </si>
  <si>
    <t>Rp38.500 - Rp57.900</t>
  </si>
  <si>
    <t>Krim dioleskan tipis-tipis pada jerawat, gunakan secara teratur.</t>
  </si>
  <si>
    <t>PENGGUNAAN OBAT INI HARUS SESUAI DENGAN PETUNJUK DOKTER. Gunakan 2 kali sehari. Maksimal 6 bulan</t>
  </si>
  <si>
    <t>Jerawat/akne vulgaris ringan hingga sedang</t>
  </si>
  <si>
    <t>Dus, Tube 10 gram</t>
  </si>
  <si>
    <t>Penderita yang hipersensitif terhadap komponen produk</t>
  </si>
  <si>
    <t>HARUS DENGAN RESEP DOKTER. Hindari kontak dengan mulut, mata dan selaput lendir lain. Jangan digunakan pada kulit yang meradang</t>
  </si>
  <si>
    <t>jerawat akne vulgaris ringan</t>
  </si>
  <si>
    <t>zelface cream</t>
  </si>
  <si>
    <t>zelface cream krim azelaic acid jerawat akne vulgaris ringan</t>
  </si>
  <si>
    <t>DKL0535801029A1</t>
  </si>
  <si>
    <t>Aza 20 Cream 10 g</t>
  </si>
  <si>
    <t>Rp62.600 - Rp66.700</t>
  </si>
  <si>
    <t>PENGGUNAAN OBAT INI HARUS SESUAI DENGAN PETUNJUK DOKTER. Gunakan 2 kali sehari (pagi dan malam hari)</t>
  </si>
  <si>
    <t>HARUS DENGAN RESEP DOKTER. Hindari kontak dengan mata. Hamil dan laktasi</t>
  </si>
  <si>
    <t>aza cream</t>
  </si>
  <si>
    <t>aza cream krim azelaic acid pengobatan akne vulgaris ringan</t>
  </si>
  <si>
    <t>Kondom Durex Performa Isi 6</t>
  </si>
  <si>
    <t>Rp68.500 - Rp75.400</t>
  </si>
  <si>
    <t>Pack @ 6 Pieces</t>
  </si>
  <si>
    <t>kondom durex performa isi</t>
  </si>
  <si>
    <t>kondom durex performa isi tablet sildenafil citrate alat kontrasepsi</t>
  </si>
  <si>
    <t>DTL7218819204A1</t>
  </si>
  <si>
    <t>Fluzep 10 Tablet</t>
  </si>
  <si>
    <t>Dimunim setelah makan</t>
  </si>
  <si>
    <t>Dewasa &amp; anak &gt; 12 tahun: 1 kaplet, 3 kali per hari. Anak 6 - 12 tahun: 0.5 kaplet, 3 kali per hari.</t>
  </si>
  <si>
    <t>Untuk meringankan gejala flu dan batuk.</t>
  </si>
  <si>
    <t>Dus, 10 catch cover @ 1 Strip @ 10 Kpset</t>
  </si>
  <si>
    <t>Penderita gangguan jantung dan diabetes melitus, penderita gangguan fungsi hati yang berat.</t>
  </si>
  <si>
    <t>Hati-hati pengguanan pada penderita dengan gangguan fungsi hati dan ginjal, glaukoma, hipertrofi prostat, hipertiroid, dan retensi urin. Tidak dianjurkan penggunaan pada anak dibawah 6 tahun, wanita hamil, menyusui, kecuali atas petunjuk dokter. Hati-hati penggunaan bersamaan dengan obat-obat lain yang menekan saraf pusat.</t>
  </si>
  <si>
    <t>untuk meringankan gejala flu batuk</t>
  </si>
  <si>
    <t>fluzep</t>
  </si>
  <si>
    <t>fluzep tablet dexchlorpheniramine maleate untuk meringankan gejala flu batuk</t>
  </si>
  <si>
    <t>Hansaplast Salep Luka 3.5 g</t>
  </si>
  <si>
    <t>Rp18.000 - Rp21.500</t>
  </si>
  <si>
    <t>Bersihkan luka Anda dari kotoran, bakteri dan partikel terlihat untuk mencegah infeksi. Keringkan kulit sekitar luka dengan lembut. Oleskan lapisan tipis Hansaplast Salep Luka satu sampai dua kali sehari. Untuk mengaja higenitas, pastikan tube salep tidak menyentuh luka atau permukaan lainnya. Ulangi pemakaian hingga luka sembuh secara keseluruhan. Hansaplast Salep Luka dapat digunakan pada setiap tahap penyembuhan luka. Apabila perlu, lindungi luka dengan plester, kasa rol, ataupun kasa steril dari Hansaplast. ganti plester, kasa rol, atau kasa steril setiap hari kecuali direkomendasikan sebaliknya oleh dokter.</t>
  </si>
  <si>
    <t>Untuk perawatan luka dan kulit yang rusak</t>
  </si>
  <si>
    <t>Dus, tube 3,5 g</t>
  </si>
  <si>
    <t>untuk perawatan luka kulit rusak</t>
  </si>
  <si>
    <t>hansaplast luka</t>
  </si>
  <si>
    <t>hansaplast luka larutan povidoneiodine untuk perawatan luka kulit rusak</t>
  </si>
  <si>
    <t>DBL9709207933A1</t>
  </si>
  <si>
    <t>Trianta Suspensi 60 ml</t>
  </si>
  <si>
    <t>Rp6.200 - Rp12.600</t>
  </si>
  <si>
    <t>dried aluminium hydroxide gel simethicone magnesium hydroxide</t>
  </si>
  <si>
    <t>trianta</t>
  </si>
  <si>
    <t xml:space="preserve">trianta suspensi dried aluminium hydroxide gel simethicone magnesium hydroxide </t>
  </si>
  <si>
    <t>DTL8800905901A1</t>
  </si>
  <si>
    <t>Bufabron 100 mg 10 Kapsul</t>
  </si>
  <si>
    <t>Dapat diberikan bersama atau tanpa makanan : Dpt diberikan bersama makanan untuk mengurangi rasa tidak nyaman pada GI.</t>
  </si>
  <si>
    <t>Dewasa: 1 kapsul, 3 x/hari.</t>
  </si>
  <si>
    <t>Untuk meringankan &amp; mengatasi serangan asma bronkial</t>
  </si>
  <si>
    <t>Tukak peptik.</t>
  </si>
  <si>
    <t>Hipoksemia, gagal hati, penyakit pernapasan kronik. Hamil &amp; laktasi. Lanjut usia, bayi &amp; anak.</t>
  </si>
  <si>
    <t>untuk meringankan mengatasi serangan asma bronkial</t>
  </si>
  <si>
    <t>bufabron</t>
  </si>
  <si>
    <t>bufabron kapsul theophylline untuk meringankan mengatasi serangan asma bronkial</t>
  </si>
  <si>
    <t>TR182522281</t>
  </si>
  <si>
    <t>Intihealth Ginkgo Biloba 30 Kaplet</t>
  </si>
  <si>
    <t>INTIHEALTH GINKGO BILOBA</t>
  </si>
  <si>
    <t>Rp93.100 - Rp129.600</t>
  </si>
  <si>
    <t>1-2 Kaplet per hari</t>
  </si>
  <si>
    <t>Botol @ 30 Kaplet</t>
  </si>
  <si>
    <t>Hipersensitf terhadap kandungan dalam obat.</t>
  </si>
  <si>
    <t>Tidak dianjurkan digunakan lebih dari 4 minggu. Hidnari penggunaan pada anak-anak dibuah 4 tahun, wanita hamil dan menyusui. Hentikan penggunaan 2 minggu sebelum operasi karena meningkatkan oendarahan. Konsultasikan dengan dokter jika penggunaan bersama obat lain.</t>
  </si>
  <si>
    <t>intihealth ginkgo biloba</t>
  </si>
  <si>
    <t>intihealth ginkgo biloba kaplet secara tradisional membantu sirkulasi darah</t>
  </si>
  <si>
    <t>DKL9526002501A1</t>
  </si>
  <si>
    <t>Lintropsin 500 mg 10 Kapsul</t>
  </si>
  <si>
    <t>Rp59.900 - Rp113.800</t>
  </si>
  <si>
    <t>PENGGUNAAN OBAT INI HARUS SESUAI DENGAN PETUNJUK DOKTER. Dewasa : 1 kapsul 3 kali sehari. Dapat ditingkatkan samapai dengan 1 kapsul 4 kali sehari. Anak dan bayi &gt; 1 bulan : 30 mg/kg BB/hari dalam 3 - 4 dosis terbagi. Dapat ditingkatkan samapai dengan 60 mg/kg BB/hari dalam dosis terbagi. Infeksi kare</t>
  </si>
  <si>
    <t>Infeksi serius karena staph, strep, pneumokokus</t>
  </si>
  <si>
    <t>Hipersensitif terhadap linkomisin. Gangguan fungsi hati dan ginjal, endokrin dan metabolik. Demam rematik, bayi. Pasien dengan terapi penghambat neuromuskular. Infeksi berat. Infeksi virus dan bakteri. Laktasi</t>
  </si>
  <si>
    <t>HARUS DENGAN RESEP DOKTER. Pasien dengan riwayat asma atau reaksi alergi lain. Riwayat penyakit Gl terutama kolitis. Riwayat atopik individual. Hamil, laktasi. Lakukan pemeriksaan endoskopi usu besar secara berkala, tes fungsi hati dan ginjal, dan tes hitung darah pada penggunaan j</t>
  </si>
  <si>
    <t>infeksi serius staph , strep , pneumokokus</t>
  </si>
  <si>
    <t>lintropsin</t>
  </si>
  <si>
    <t>lintropsin kapsul lincomycin hydrochloride infeksi serius staph  strep  pneumokokus</t>
  </si>
  <si>
    <t>DKI1953300296B1</t>
  </si>
  <si>
    <t>Ciastar Yellow 20 mg Odf</t>
  </si>
  <si>
    <t>Rp122.300 - Rp152.900</t>
  </si>
  <si>
    <t>Cara penggunaan Ciastar Yellow: 1. Buka kemasan pouch dari bagian atas. 2. Tarik kemasan pouch secara perlahan. 3. Letakan ODF di atas lidah dan biarkan larut, dapat dikonsumsi bersama air atau tanpa air.</t>
  </si>
  <si>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</si>
  <si>
    <t>Dus, 4 Pouch @ 1 ODF</t>
  </si>
  <si>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</si>
  <si>
    <t>tadalafil</t>
  </si>
  <si>
    <t>ciastar yellow</t>
  </si>
  <si>
    <t>ciastar yellow odf tadalafil terapi disfungsi ereksi pria dewasa</t>
  </si>
  <si>
    <t>DTL1409223536A1</t>
  </si>
  <si>
    <t>Devosix 7.5 mg Drops 15 ml</t>
  </si>
  <si>
    <t>Rp16.000 - Rp34.300</t>
  </si>
  <si>
    <t>PENGGUNAAN OBAT INI HARUS SESUAI DENGAN PETUNJUK DOKTER. HANYA UNTUK PENGGUNAAAN ORAL, TIDAK UNTUK DIGUNAKAN MELAUI HIDUNG: - Anak-anak 2-5 tahun : 0,8 ml 3 x sehari. Anak-anak &lt;2 tahun : Atas petunjuk Dokter</t>
  </si>
  <si>
    <t>Untuk meirngankan hidung tersumbat karena pilek</t>
  </si>
  <si>
    <t>DUS, 1 BOTOL @ 15 ML</t>
  </si>
  <si>
    <t>untuk meirngankan hidung tersumbat pilek</t>
  </si>
  <si>
    <t>devosix</t>
  </si>
  <si>
    <t>devosix tetes pseudoephedrine hydrochloride untuk meirngankan hidung tersumbat pilek</t>
  </si>
  <si>
    <t>DKL9421007304A1</t>
  </si>
  <si>
    <t>Ulmo 20 mg 10 Kaplet</t>
  </si>
  <si>
    <t>Rp53.600 - Rp58.800</t>
  </si>
  <si>
    <t>PENGGUNAAN OBAT INI HARUS SESUAI DENGAN PETUNJUK DOKTER. Ulkus duodenum aktif : - terapi akut : 1 tablet 2 kali sehari selama 4-8 minggu. - pemeliharaan : 1 tablet sehari. Kondisi hipersekretori patologikal : dimulai dengan 1 tablet tiap 6 jam &amp; dosis disesuaikan kemudian.</t>
  </si>
  <si>
    <t>Ulkus duodenum aktif, kondisi hipersekretori patologikal.</t>
  </si>
  <si>
    <t>Hipersensitif terhadap famotidine, obat golongan antagonis reseptor H2 lainnya.</t>
  </si>
  <si>
    <t>Obat Wajib Apotek, Obat ini dapat dibeli dan diserahkan apoteker tanpa resep dengan maksimum 1 Strip. Pembelian melebihi batas ini WAJIB RESEP DOKTER. Gangguan ginjal</t>
  </si>
  <si>
    <t>famotidine</t>
  </si>
  <si>
    <t>ulkus duodenum aktif , kondisi hipersekretori patologikal</t>
  </si>
  <si>
    <t>ulmo</t>
  </si>
  <si>
    <t>ulmo kaplet famotidine ulkus duodenum aktif  kondisi hipersekretori patologikal</t>
  </si>
  <si>
    <t>ciprofloxacin hydrochloride monohydrate</t>
  </si>
  <si>
    <t>vioquin kaplet ciprofloxacin hydrochloride monohydrate infeksi bakteri peka siprofloksasin</t>
  </si>
  <si>
    <t>Kondom Durex Performa Isi 3</t>
  </si>
  <si>
    <t>Rp30.700 - Rp37.100</t>
  </si>
  <si>
    <t xml:space="preserve">pacdin cough rasa strawberry sirup paracetamol guaifenesin chlorphenamine maleate </t>
  </si>
  <si>
    <t>TI094340271</t>
  </si>
  <si>
    <t>Wellness Celery Complex 30 Kapsul</t>
  </si>
  <si>
    <t>WELLNESS CELERY COMPLEX</t>
  </si>
  <si>
    <t>Rp176.000 - Rp344.100</t>
  </si>
  <si>
    <t>1 kapsul/hari atau sesuai anjuran dokter/ahli.</t>
  </si>
  <si>
    <t>Membantu meringankan tekanan darah tinggi yang ringan</t>
  </si>
  <si>
    <t>wellness celery complex</t>
  </si>
  <si>
    <t>wellness celery complex kapsul membantu meringankan teka darah ringan</t>
  </si>
  <si>
    <t>Wellness Celery Complex 120 Kapsul</t>
  </si>
  <si>
    <t>Rp612.300 - Rp853.400</t>
  </si>
  <si>
    <t>Botol @ 120 Kapsul</t>
  </si>
  <si>
    <t>TR193695711</t>
  </si>
  <si>
    <t>Paramorina OBP Sirup 100 ml</t>
  </si>
  <si>
    <t>PARAMORINA OBP</t>
  </si>
  <si>
    <t>Rp54.900 - Rp70.400</t>
  </si>
  <si>
    <t>Aturan pakai: Usia 1 tahun: 2 x sehari 1 sendok teh sehari. Usia 2-3 tahun: 2 x sehari 2 sendok makan sehari. Usia 4-7 tahun: 3 x sehari 2 sendok makan sehari. Usia 8-12 tahun:3 x sehari 3 sendok makan sehari.</t>
  </si>
  <si>
    <t>Membantu meringankan gejala batuk dan pilek pada anak.</t>
  </si>
  <si>
    <t>paramorina obp</t>
  </si>
  <si>
    <t>membantu meringankan gejala batuk pilek anak</t>
  </si>
  <si>
    <t>paramorina obp sirup membantu meringankan gejala batuk pilek anak</t>
  </si>
  <si>
    <t>DTL7217624737A1</t>
  </si>
  <si>
    <t>Prome Sirup 60 ml</t>
  </si>
  <si>
    <t>Rp38.700 - Rp46.700</t>
  </si>
  <si>
    <t>Dewasa : 3-4 kali sehari 5-10 mL. Anak : 1-4 kali sehari 5 mL</t>
  </si>
  <si>
    <t>Batuk, Bronkhitis, Batuk Rejan/Pertusis</t>
  </si>
  <si>
    <t>Bayi prematur atau neonatus</t>
  </si>
  <si>
    <t>Glaukoma sudut sempit, retensi urin, hipertrofi prostat, mengganggu kemampuan menjalankan kendaraan bermotor atau mesin</t>
  </si>
  <si>
    <t>batuk , bronkhitis , batuk rejan pertusis</t>
  </si>
  <si>
    <t>prome</t>
  </si>
  <si>
    <t>prome sirup promethazine hydrochloride batuk  bronkhitis  batuk rejan pertusis</t>
  </si>
  <si>
    <t>TR236032751</t>
  </si>
  <si>
    <t>Imboost Cough Syrup 60 ml</t>
  </si>
  <si>
    <t>IMBOOST COUGH</t>
  </si>
  <si>
    <t>Rp30.700 - Rp32.100</t>
  </si>
  <si>
    <t>Sehari 3 kali 1-1,5 sendok teh (5-7,5 ml)</t>
  </si>
  <si>
    <t>Meredakan batuk, Memelihara daya tahan tubuh</t>
  </si>
  <si>
    <t>imboost cough</t>
  </si>
  <si>
    <t>meredakan batuk , memelihara daya tahan tubuh</t>
  </si>
  <si>
    <t>imboost cough sirup meredakan batuk  memelihara daya tahan tubuh</t>
  </si>
  <si>
    <t>TR012211321</t>
  </si>
  <si>
    <t>Kunir Asem Plus Sirih 25 g 5 Sachet</t>
  </si>
  <si>
    <t>KUNIR ASEM PLUS SIRIH</t>
  </si>
  <si>
    <t>Rp8.000 - Rp18.000</t>
  </si>
  <si>
    <t>Membantu mengurangi lemak dalam tubuh</t>
  </si>
  <si>
    <t>1 Sachet Isi 5</t>
  </si>
  <si>
    <t>kunir asem plus sirih</t>
  </si>
  <si>
    <t>kunir asem plus sirih sachet membantu mengurangi lemak tubuh</t>
  </si>
  <si>
    <t>TR226018381</t>
  </si>
  <si>
    <t>OB Herbal Habbatussauda 60 ml</t>
  </si>
  <si>
    <t>OB HERBAL HABBATUSSAUDA</t>
  </si>
  <si>
    <t>Dewasa: 3 x 1 Sendok Makan (15 ml) Anak-anak (&gt;2 Tahun): 3 x 1/2 Sendok Makan (7.5 ml)</t>
  </si>
  <si>
    <t>Membantu meredakan batuk dan membantu melegakan tenggorokan.</t>
  </si>
  <si>
    <t>ob herbal habbatussauda</t>
  </si>
  <si>
    <t>ob herbal habbatussauda  membantu meredakan batuk membantu melegakan tenggorokan</t>
  </si>
  <si>
    <t>Futuro Comfort Lift Ankle Support Size L</t>
  </si>
  <si>
    <t>Rp66.400 - Rp155.500</t>
  </si>
  <si>
    <t>futuro comfort lift ankle support size l</t>
  </si>
  <si>
    <t xml:space="preserve">futuro comfort lift ankle support size l larutan povidoneiodine </t>
  </si>
  <si>
    <t>DKL9416106410A1</t>
  </si>
  <si>
    <t>Tismalin 2.5 mg 10 Tablet</t>
  </si>
  <si>
    <t>Rp7.600 - Rp12.600</t>
  </si>
  <si>
    <t xml:space="preserve">PENGGUNAAN OBAT INI HARUS SESUAI DENGAN PETUNJUK DOKTER. Dewasa &amp; anak 7-15 tahun : 1-2 tablet, Anak 3-6 tahun : 0.5 tablet </t>
  </si>
  <si>
    <t>TR123362761</t>
  </si>
  <si>
    <t>Kuramping 90 Kapsul</t>
  </si>
  <si>
    <t>KURAMPING</t>
  </si>
  <si>
    <t>Rp163.000 - Rp213.900</t>
  </si>
  <si>
    <t>Dewasa: 2 x 2 kapsul per hari untuk terapi selama 1 bulan</t>
  </si>
  <si>
    <t>Untuk menurunkan berat badan secara optimal sebaiknya melakukan diet sehat</t>
  </si>
  <si>
    <t>Botol Isi 90</t>
  </si>
  <si>
    <t>kuramping</t>
  </si>
  <si>
    <t>untuk menurunkan berat badan optimal diet sehat</t>
  </si>
  <si>
    <t>kuramping kapsul untuk menurunkan berat badan optimal diet sehat</t>
  </si>
  <si>
    <t>Futuro Comfort Lift Knee Support Size L</t>
  </si>
  <si>
    <t>Rp170.700 - Rp211.400</t>
  </si>
  <si>
    <t>futuro comfort lift knee support size l</t>
  </si>
  <si>
    <t xml:space="preserve">futuro comfort lift knee support size l larutan povidoneiodine </t>
  </si>
  <si>
    <t>GKL1912430716A1</t>
  </si>
  <si>
    <t>Nystatin 500000 IU 10 Tablet</t>
  </si>
  <si>
    <t>PENGGUNAAN OBAT INI HARUS SESUAI DENGAN PETUNJUK DOKTER. - kandidiasis oral: dewasa 4 kali sehari 100.000 IU. lanjutkan selama 48 jam setelah terapi untuk mencegah kambuh. Kandidiasis usus: dewasa 3-4 kali sehari 500.000 atau 1.000.000 IU. profilaksis 1.000.000 IU setiap hari.</t>
  </si>
  <si>
    <t>Pengobatan infeksi jamur dalam rongga mulut</t>
  </si>
  <si>
    <t>Dus, 10 Strip @ 10 Tablet Salut Gula</t>
  </si>
  <si>
    <t>nystatin iu</t>
  </si>
  <si>
    <t>nystatin iu tablet nystatin pengobatan infeksi jamur rongga mulut</t>
  </si>
  <si>
    <t>DKL1133524733A1</t>
  </si>
  <si>
    <t>Constantia Drop 12 ml</t>
  </si>
  <si>
    <t>Rp45.300 - Rp45.700</t>
  </si>
  <si>
    <t>PENGGUNAAN OBAT INI HARUS SESUAI DENGAN PETUNJUK DOKTER. Dewasa &amp; anak : Dosis anjuran: 5 mL (500000 IU). Bayi Dosis anjuran : 1-2 mL (100000-200000 IU). Diberikan 4 x sehari</t>
  </si>
  <si>
    <t>INFORMASI OBAT INI HANYA UNTUK KALANGAN MEDIS. Pengobatan kandidiasis oral, esofageal, &amp; GIT</t>
  </si>
  <si>
    <t>pengobatan kandidiasis oral , esofageal , git</t>
  </si>
  <si>
    <t>constantia drop</t>
  </si>
  <si>
    <t>constantia drop suspensi nystatin pengobatan kandidiasis oral  esofageal  git</t>
  </si>
  <si>
    <t>DKL9521618636A1</t>
  </si>
  <si>
    <t>Candistin Drops 12 ml</t>
  </si>
  <si>
    <t>Rp43.700 - Rp61.600</t>
  </si>
  <si>
    <t>diminum dengan atau tanpa makan</t>
  </si>
  <si>
    <t>PENGGUNAAN OBAT INI HARUS SESUAI DENGAN PETUNJUK DOKTER. Bayi : 4 x 1-2ml sehari. Anak dan dewasa : 4 x 1-6ml sehari, pengobatan dilanjutkan 48 jam setelah gejala menghilang</t>
  </si>
  <si>
    <t>INFORMASI OBAT INI HANYA UNTUK KALANGAN MEDIS. Pengobatan dan pencegahan kandidiasis pada rongga mulut atau usus</t>
  </si>
  <si>
    <t>HARUS DENGAN RESEP DOKTER. Tidak boleh digunakan untuk terapi mikosis sistemik. Hentikan terapi jika timbul iritasi atau sensitiasi. Hamil dan laktasi</t>
  </si>
  <si>
    <t>pengobatan pencegahan kandidiasis rongga mulut usus</t>
  </si>
  <si>
    <t>candistin</t>
  </si>
  <si>
    <t>candistin tetes nystatin pengobatan pencegahan kandidiasis rongga mulut usus</t>
  </si>
  <si>
    <t>Medi-Klin Gel 15 g</t>
  </si>
  <si>
    <t>Rp24.500 - Rp38.000</t>
  </si>
  <si>
    <t>Hanya untuk pemakaian luar. Dioleskan pada jerawat</t>
  </si>
  <si>
    <t>INFORMASI OBAT INI HANYA UNTUK KALANGAN MEDIS. Untuk Pengobatan Acne Vulgaris/Jerawat</t>
  </si>
  <si>
    <t>Dus, Tube @ 15 Gram</t>
  </si>
  <si>
    <t>Hipersensitif terhadap klindamisin atau linkomisin. Pemakaian dengan riwayat enteritis regional atau colitis ulseratif. Penderita dengan riwayat colitis yang disebabkan penggunaan antibiotik.</t>
  </si>
  <si>
    <t>Obat Wajib Apotek, Obat ini dapat dibeli dan diserahkan apoteker tanpa resep dengan maksimum 1 Tube. Pembelian melebihi batas ini WAJIB RESEP DOKTER. Hindari kontak dengan mata dan membran mukosa lain. Hamil, laktasi. Anak &lt;12 tahun. Hati-hati pemberian pada penderita atopik. Jangan digunakan berlebihan kecuali atas anjuran dokter.</t>
  </si>
  <si>
    <t>untuk pengobatan acne vulgaris jerawat</t>
  </si>
  <si>
    <t>mediklin gel clindamycin phosphate untuk pengobatan acne vulgaris jerawat</t>
  </si>
  <si>
    <t>DKL9531511110A1</t>
  </si>
  <si>
    <t>Simarc 2 mg 10 Tablet</t>
  </si>
  <si>
    <t>Rp11.400 - Rp23.100</t>
  </si>
  <si>
    <t>PENGGUNAAN OBAT INI HARUS SESUAI DENGAN PETUNJUK DOKTER. Dosis bersifat individual. Dosis awal: 5-10 mg per hari selama 2 hari. Penyesuaian dosis dilakukan menurut hasil INR (International Normalized Ratio). Dosis pemeliharaan: 2-10 mg per hari.</t>
  </si>
  <si>
    <t>INFORMASI OBAT INI HANYA UNTUK KALANGAN MEDIS. Pencegahan dan pengobatan trombosis vena</t>
  </si>
  <si>
    <t>Kondisi potensial perdarahan, pembedahan segera, anestesi lumbalis, pre eklampsia &amp; eklampsia, ancaman abortus, hamil.</t>
  </si>
  <si>
    <t>HARUS DENGAN RESEP DOKTER. Gangguan hati dan ginjal, baru saja mengalami pembedahan, menyusui, hindari sari buah cranberi. Kategori Kehamilan : X</t>
  </si>
  <si>
    <t>warfarin sodium clathrate</t>
  </si>
  <si>
    <t>pencegahan pengobatan trombosis vena</t>
  </si>
  <si>
    <t>simarc</t>
  </si>
  <si>
    <t>simarc tablet warfarin sodium clathrate pencegahan pengobatan trombosis vena</t>
  </si>
  <si>
    <t>magnesium hydroxide dried aluminium hydroxide gel simethicone</t>
  </si>
  <si>
    <t xml:space="preserve">stromag tablet magnesium hydroxide dried aluminium hydroxide gel simethicone </t>
  </si>
  <si>
    <t>Sismax Sirup 60 ml</t>
  </si>
  <si>
    <t>Rp23.300 - Rp28.900</t>
  </si>
  <si>
    <t xml:space="preserve">Anak 2-6 tahun : 3 x sehari 1-2 sendok makan </t>
  </si>
  <si>
    <t>Kondom Okamoto 003 Platinum Isi 2</t>
  </si>
  <si>
    <t>kondom okamoto platinum isi</t>
  </si>
  <si>
    <t>kondom okamoto platinum isi tablet sildenafil citrate alat kontrasepsi</t>
  </si>
  <si>
    <t>Kondom Durex Pleasuremax Isi 3</t>
  </si>
  <si>
    <t>Rp33.300 - Rp36.700</t>
  </si>
  <si>
    <t>kondom durex pleasuremax isi</t>
  </si>
  <si>
    <t>kondom durex pleasuremax isi tablet sildenafil citrate alat kontrasepsi</t>
  </si>
  <si>
    <t>DKL0607809037A1</t>
  </si>
  <si>
    <t>Hufabethamin Sirup 60 ml</t>
  </si>
  <si>
    <t>Rp7.500 - Rp12.300</t>
  </si>
  <si>
    <t>PENGGUNAAN OBAT INI HARUS SESUAI DENGAN PETUNJUK DOKTER. Dewasa-anak usia di atas 12 tahun : Dosis awal 1-2 sendok takar 4 kali sehari. Anak usia 6 -12 tahun : Dosis awal 0.5 sendok takar 3 kali sehari. Anak 2-6 tahun : Dosis awal 0.25 ï¿½ 0.5 sendok takar 3 kali sehari.</t>
  </si>
  <si>
    <t>INFORMASI OBAT INI HANYA UNTUK KALANGAN MEDIS. Pengobatan alergi dan inflamasi yang membutuhkan terapi kortikosteroid.</t>
  </si>
  <si>
    <t>Hipersensitif terhadap komponen obat.</t>
  </si>
  <si>
    <t>HARUS DENGAN RESEP DOKTER. Dapat menyebabkan kantuk.</t>
  </si>
  <si>
    <t>pengobatan alergi inflamasi membutuhkan terapi kortikosteroid</t>
  </si>
  <si>
    <t>hufabethamin</t>
  </si>
  <si>
    <t>hufabethamin sirup betamethasone pengobatan alergi inflamasi membutuhkan terapi kortikosteroid</t>
  </si>
  <si>
    <t>DKL0605513936A1</t>
  </si>
  <si>
    <t>Dominal Drops 10 ml</t>
  </si>
  <si>
    <t>Rp29.400 - Rp32.900</t>
  </si>
  <si>
    <t>PENGGUNAAN OBAT INI HARUS SESUAI DENGAN PETUNJUK DOKTER. Anak : 0.2-0.4 mg/kg BB tiap 4-8 jam.</t>
  </si>
  <si>
    <t>Mual dan muntah akibat kemoterapi &amp; radioterapi pada anak</t>
  </si>
  <si>
    <t>Prolaktinoma.Anak ( kecuali mual dan muntah pada terapi kanker). Terapi jangka panjang.</t>
  </si>
  <si>
    <t>HARUS DENGAN RESEP DOKTER. Gangguan hati dan ginjal, laktasi, hamil</t>
  </si>
  <si>
    <t>mual muntah akibat kemoterapi radioterapi anak</t>
  </si>
  <si>
    <t>dominal</t>
  </si>
  <si>
    <t>dominal tetes domperidone mual muntah akibat kemoterapi radioterapi anak</t>
  </si>
  <si>
    <t>DKL8822209310A1</t>
  </si>
  <si>
    <t>Sanazet 500 mg 10 Tablet</t>
  </si>
  <si>
    <t>Rp16.500 - Rp19.200</t>
  </si>
  <si>
    <t>PENGGUNAAN OBAT INI HARUS SESUAI DENGAN PETUNJUK DOKTER. Dewasa: 20-35 mg/kgBB/hari. Maksimal 3 g, dibagi dalam 3-4 dosis. Anak: 20 mg/kgBB/hari, dibagi dalam 3-4 dosis.</t>
  </si>
  <si>
    <t>Terapi Tuberkulosis dikombinasikan dengan obat2 anti TB lainnya</t>
  </si>
  <si>
    <t>HARUS DENGAN RESEP DOKTER. Gangguan fungsi ginjal, riwayat gout atau DM</t>
  </si>
  <si>
    <t>terapi tuberkulosis dikombinasikan obat2 anti tb</t>
  </si>
  <si>
    <t>sanazet</t>
  </si>
  <si>
    <t>sanazet tablet pyrazinamide terapi tuberkulosis dikombinasikan obat2 anti tb</t>
  </si>
  <si>
    <t>DKL1021638437A1</t>
  </si>
  <si>
    <t>Oroxin Sirup 60 ml</t>
  </si>
  <si>
    <t>Rp39.500 - Rp40.700</t>
  </si>
  <si>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t>
  </si>
  <si>
    <t>INFORMASI OBAT INI HANYA UNTUK KALANGAN MEDIS. Meredakan batuk berdahak yang disertai kondisi alergi</t>
  </si>
  <si>
    <t>Riwayat agranulositosis, risiko retensi urin yang berhubungan dengan gangguan uretroprostatik dan glaukoma sudut tertutup</t>
  </si>
  <si>
    <t>HARUS DENGAN RESEP DOKTER. Lanjut usia dengan kerentanan mengalami hipotensi ortostatik, vertigo, mengantuk</t>
  </si>
  <si>
    <t>TR092300691</t>
  </si>
  <si>
    <t>Hp Pro Plus 10 Kapsul</t>
  </si>
  <si>
    <t>HP PRO PLUS</t>
  </si>
  <si>
    <t>Rp106.600 - Rp117.300</t>
  </si>
  <si>
    <t>Dapat dikonsumsi sebelum atau sesudah makan</t>
  </si>
  <si>
    <t>Sehari 3 kali 1 kapsul</t>
  </si>
  <si>
    <t>Membantu memelihara kesehatan fungsi hati.</t>
  </si>
  <si>
    <t>Dus, 9 Blister @ 10 Kapsul</t>
  </si>
  <si>
    <t>hp pro plus</t>
  </si>
  <si>
    <t>hp pro plus kapsul membantu memelihara kesehatan fungsi hati</t>
  </si>
  <si>
    <t>DTL7813004710A1</t>
  </si>
  <si>
    <t>Feminax 4 Tablet</t>
  </si>
  <si>
    <t>Rp3.300 - Rp4.000</t>
  </si>
  <si>
    <t>Dewasa : 3 kali sehari 1-2 tablet Anak-anak 10-16 tahun : 3 kali sehari 1 tablet</t>
  </si>
  <si>
    <t>Untuk mengurangi rasa sakit pada waktu haid (Dismenorea) dan pada kolik.</t>
  </si>
  <si>
    <t>Gangguan fungsi hati atau ginjal &amp; hipersensitif terhadap komponen produk.</t>
  </si>
  <si>
    <t>Penyakit ginjal. Dapat meningkatkan risiko kerusakan hati pada pasien yang mengonsumsi alkohol.</t>
  </si>
  <si>
    <t>hyoscyamine</t>
  </si>
  <si>
    <t>untuk mengurangi sakit haid dismenorea kolik</t>
  </si>
  <si>
    <t>feminax</t>
  </si>
  <si>
    <t>feminax tablet hyoscyamine untuk mengurangi sakit haid dismenorea kolik</t>
  </si>
  <si>
    <t>Kondom Durex Love Isi 3</t>
  </si>
  <si>
    <t>Rp17.800 - Rp21.500</t>
  </si>
  <si>
    <t>Box @ 3 Pieces</t>
  </si>
  <si>
    <t>kondom durex love isi</t>
  </si>
  <si>
    <t>kondom durex love isi tablet sildenafil citrate alat kontrasepsi</t>
  </si>
  <si>
    <t>TR092301711</t>
  </si>
  <si>
    <t>Sido Muncul Sari Kunyit 30 Kapsul</t>
  </si>
  <si>
    <t>SIDO MUNCUL SARI KUNYIT</t>
  </si>
  <si>
    <t>Rp71.300 - Rp78.500</t>
  </si>
  <si>
    <t>Untuk pemeliharaan kesehatan: 3 x 1 kapsul sehari. Untuk pengobatan: 3 x 2 kapsul sehari.</t>
  </si>
  <si>
    <t>Membantu memelihara kesehatan pencernaan.</t>
  </si>
  <si>
    <t>Tidak dianjurkan untuk wanita hamil dan menyusui.</t>
  </si>
  <si>
    <t>sido muncul sari kunyit</t>
  </si>
  <si>
    <t>membantu memelihara kesehatan pencernaan</t>
  </si>
  <si>
    <t>sido muncul sari kunyit kapsul membantu memelihara kesehatan pencernaan</t>
  </si>
  <si>
    <t>DKI1690401417B1</t>
  </si>
  <si>
    <t>Viagra 100 mg 1 Tablet</t>
  </si>
  <si>
    <t>Rp196.100 - Rp237.900</t>
  </si>
  <si>
    <t>Dus, 1 Blister @ 4 Tablet Salut Selaput</t>
  </si>
  <si>
    <t>viagra</t>
  </si>
  <si>
    <t>viagra tablet sildenafil citrate terapi disfungsi ereksi pria dewasa</t>
  </si>
  <si>
    <t>Kondom Okamoto 003 Platinum Isi 10</t>
  </si>
  <si>
    <t>Box Isi 10 Buah</t>
  </si>
  <si>
    <t>DKL1333528917A1</t>
  </si>
  <si>
    <t>Ericfil Tablet 100 mg</t>
  </si>
  <si>
    <t>Rp77.100 - Rp104.000</t>
  </si>
  <si>
    <t>INFORMASI OBAT INI HANYA UNTUK KALANGAN MEDIS. Ericfil diindikasikan untuk mengobati disfungsi ereksi</t>
  </si>
  <si>
    <t>Dus, 1 Strip @ 4 Tablet salut selaput</t>
  </si>
  <si>
    <t>Pasien yang menggunakan nitrat organik, baik secara teratur dan atau kadang-kadang. Hipersensitifitas.</t>
  </si>
  <si>
    <t>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</si>
  <si>
    <t>ericfil diindikasikan mengobati disfungsi ereksi</t>
  </si>
  <si>
    <t>ericfil tablet sildenafil citrate ericfil diindikasikan mengobati disfungsi ereksi</t>
  </si>
  <si>
    <t>DKL9709207204A1</t>
  </si>
  <si>
    <t>Acifar 200 mg 10 Kaplet</t>
  </si>
  <si>
    <t>Rp6.000 - Rp15.300</t>
  </si>
  <si>
    <t>PENGGUNAAN OBAT INI HARUS SESUAI DENGAN PETUNJUK DOKTER. Herpes simpleks : Dewasa dan anak &gt;2 tahun : 5 kali sehari 200 mg tiap 4 jam</t>
  </si>
  <si>
    <t>DTL7807811537A1</t>
  </si>
  <si>
    <t>Hufallerzine Sirup 60ml</t>
  </si>
  <si>
    <t>Rp5.200 - Rp8.600</t>
  </si>
  <si>
    <t>Dewasa: 3-4 kali sehari 1-3 sendok takar 5ml. anak &gt;5tahun: 3-4 kali sehari 1-2 sendok takar 5ml. anak &lt;5tahun: 3-4 kali sehari 1/2-1 sendok takar 5ml.</t>
  </si>
  <si>
    <t>Sebagai antihistamin dan ekspektoran, meredakan batuk karena alergi</t>
  </si>
  <si>
    <t>Ibu hamil dan menyusui, anak &lt; 2 tahun</t>
  </si>
  <si>
    <t>sebagai antihistamin ekspektoran , meredakan batuk alergi</t>
  </si>
  <si>
    <t>hufallerzine</t>
  </si>
  <si>
    <t>hufallerzine sirup guaifenesin sebagai antihistamin ekspektoran  meredakan batuk alergi</t>
  </si>
  <si>
    <t>DKL1307919609A1</t>
  </si>
  <si>
    <t>Topgra 100 mg 1 Tablet</t>
  </si>
  <si>
    <t>Rp33.300 - Rp38.800</t>
  </si>
  <si>
    <t>topgra</t>
  </si>
  <si>
    <t>topgra kaplet sildenafil citrate terapi disfungsi ereksi pria dewasa</t>
  </si>
  <si>
    <t>Kondom Durex Love Isi 12</t>
  </si>
  <si>
    <t>Alat Kontrasepsi ini tidak memberikan proteksi 100% pada kehamilan, infeksi HIV, dan penyakit menular seksual. Hanya digunakan untuk 1 kali pakai.</t>
  </si>
  <si>
    <t>DKI1953300296A1</t>
  </si>
  <si>
    <t>Ciastar Yellow 10 mg Odf</t>
  </si>
  <si>
    <t>Rp70.900 - Rp118.100</t>
  </si>
  <si>
    <t>DKL0505513574A1</t>
  </si>
  <si>
    <t>Nitral 500 mcg 30 Tablet</t>
  </si>
  <si>
    <t>Rp91.400 - Rp140.400</t>
  </si>
  <si>
    <t>PENGGUNAAN OBAT INI HARUS SESUAI DENGAN PETUNJUK DOKTER. 1 Tablet diletakkan di bawah lidah lalu biarkan hingga larut</t>
  </si>
  <si>
    <t>Vasodilator pada pencegahan dan pengobatan angina pektoris</t>
  </si>
  <si>
    <t>500 Mg X 10 X 30</t>
  </si>
  <si>
    <t>Anemia,trauma kepala,pendarahan serebal atau glaukoma sudut dekat, thrombosis koroner, pasien yang sensitif terhadap nitrat, kondisi hipotensi dan hipoglikemia, hypertropic obstructive cardhiomyopati, aortic stenosis, cardiac tamponade, constrictive peric</t>
  </si>
  <si>
    <t>HARUS DENGAN RESEP DOKTER. Gangguan fungsi hati dan ginjal yang berat, hipoteroid, mal nutrisi atau hipotemia, hypertripic cardhiomyopathy, anak-anak</t>
  </si>
  <si>
    <t>glyceryl trinitrate</t>
  </si>
  <si>
    <t>vasodilator pencegahan pengobatan angina pektoris</t>
  </si>
  <si>
    <t>nitral</t>
  </si>
  <si>
    <t>nitral tablet glyceryl trinitrate vasodilator pencegahan pengobatan angina pektoris</t>
  </si>
  <si>
    <t>DKL9321614310A1</t>
  </si>
  <si>
    <t>Clinovir 200 mg 10 Tablet</t>
  </si>
  <si>
    <t>Rp44.000 - Rp65.700</t>
  </si>
  <si>
    <t>Kasa Pembalut 4Y X 10 cm</t>
  </si>
  <si>
    <t>Rp3.800 - Rp7.600</t>
  </si>
  <si>
    <t>Bersihkan luka dari kotoran, bakteri dan partikel untuk mencegah infeksi. Keringkan kulit sekitar luka dengan lembut. Tutup luka dari kotoran dan bakteri menggunakan kasa roll.</t>
  </si>
  <si>
    <t>Kasa yang digunakan untuk menutup atau membalut luka</t>
  </si>
  <si>
    <t>Pack @ 10 Roll</t>
  </si>
  <si>
    <t>kasa menutup membalut luka</t>
  </si>
  <si>
    <t>pembalut y x</t>
  </si>
  <si>
    <t>pembalut y x larutan povidoneiodine kasa menutup membalut luka</t>
  </si>
  <si>
    <t>Kondom Fiesta Extreme Isi 3</t>
  </si>
  <si>
    <t>Rp10.300 - Rp18.300</t>
  </si>
  <si>
    <t>kondom fiesta extreme isi</t>
  </si>
  <si>
    <t>kondom fiesta extreme isi tablet sildenafil citrate alat kontrasepsi</t>
  </si>
  <si>
    <t>DKL0615619850A1</t>
  </si>
  <si>
    <t>Provagin Ovula Suppositoria</t>
  </si>
  <si>
    <t>INFORMASI OBAT INI HANYA UNTUK KALANGAN MEDIS. Vaginitis karena Trichomonas vaginalis dan Candida albicans</t>
  </si>
  <si>
    <t>Dus, 2 Rotoplast @ 5 Ovula</t>
  </si>
  <si>
    <t>metronidazole nystatin</t>
  </si>
  <si>
    <t>vaginitis trichomonas vaginalis candida albicans</t>
  </si>
  <si>
    <t>provagin</t>
  </si>
  <si>
    <t>provagin ovula metronidazole nystatin vaginitis trichomonas vaginalis candida albicans</t>
  </si>
  <si>
    <t>DKL9322213610A1</t>
  </si>
  <si>
    <t>Tremenza 10 Tablet</t>
  </si>
  <si>
    <t>PENGGUNAAN OBAT INI HARUS SESUAI DENGAN PETUNJUK DOKTER. Dewasa dan anak &gt;12 tahun: 1 tablet, 3-4 kali sehari. Anak 6 - 12 tahun : 1/2 tablet, 3-4 kali sehari.</t>
  </si>
  <si>
    <t>INFORMASI OBAT INI HANYA UNTUK KALANGAN MEDIS. Obat ini digunakan untuk meringankan gejala-gejala flu</t>
  </si>
  <si>
    <t>Penyakit saluran pernapasan bawah, termasuk asma, hipertensi, glaukoma, diabetes, CAD, terapi MAOI.</t>
  </si>
  <si>
    <t>HARUS DENGAN RESEP DOKTER. Hati-hati penggunaan pada ibu hamil &amp; menyusui, anak &lt;2 tahun. Dapat mempengaruhi kemampuan mengemudikan kendaraan atau mengoperasikan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</si>
  <si>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meringankan gejala - gejala flu</t>
  </si>
  <si>
    <t>tremenza</t>
  </si>
  <si>
    <t>tremenza tablet pseudoephedrine hydrochloride obat meringankan gejala  gejala flu</t>
  </si>
  <si>
    <t>TR092303671</t>
  </si>
  <si>
    <t>Borobudur Daratin 60 Kapsul</t>
  </si>
  <si>
    <t>DARATIN</t>
  </si>
  <si>
    <t>Rp37.800 - Rp64.800</t>
  </si>
  <si>
    <t>Minumlah secara teratur 2 kali sehari @ 2 kapsul. Dosis dapat ditingkatkan atau dikurangi sesuai dengan kebutuhan.</t>
  </si>
  <si>
    <t>Membantu meringankan tekanan darah tinggi yang ringan.</t>
  </si>
  <si>
    <t>daratin</t>
  </si>
  <si>
    <t>borobudur daratin</t>
  </si>
  <si>
    <t>borobudur daratin kapsul daratin membantu meringankan teka darah ringan</t>
  </si>
  <si>
    <t>DKL1931543817A1</t>
  </si>
  <si>
    <t>Isivas 10 mg 10 Tablet</t>
  </si>
  <si>
    <t>Rp88.600 - Rp92.400</t>
  </si>
  <si>
    <t>PENGGUNAAN OBAT INI HARUS SESUAI DENGAN PETUNJUK DOKTER. Asma: Dewasa dan lebih dari 15 tahun 1 tablet 1 kali sehari pada sore atau malam hari. Pencegahan Bronkokonstriksi yg Dipicu oleh Olahraga: Dewasa 1 tablet 2 jam sebelum berolahraga. Penambahan dosis sebaiknya tidak dilakukan dalam waktu 24 jam.</t>
  </si>
  <si>
    <t>HARUS DENGAN RESEP DOKTER. Tidak boleh digunakan untuk mengobati serangan asma akut. Tidak boleh diganti secara mendadak untuk kortikosteroid inhalasi atau kortikosteroid oral. Tidak boleh digunakan sebagai monoterapi &amp; pada penanganan bronkospasme yg dipicu olahraga. Pasien harus menghindari aspirin atau OAINS selama terapi. Hamil &amp; laktasi. Anak &lt;15 tahun. Kategori Kehamilan: B.</t>
  </si>
  <si>
    <t>isivas</t>
  </si>
  <si>
    <t>isivas tablet montelukast sodium untuk pencegahan terapi asma kronis</t>
  </si>
  <si>
    <t>DKL0835306436A1</t>
  </si>
  <si>
    <t>Vomistop Drops 10 ml</t>
  </si>
  <si>
    <t>Rp56.400 - Rp56.900</t>
  </si>
  <si>
    <t>PENGGUNAAN OBAT INI HARUS SESUAI DENGAN PETUNJUK DOKTER. Mual - muntah : Anak (akibat chemotherapy &amp; radiotherapy) : 0.2-0.4 mg/kg BB tiap 4-8 jam.</t>
  </si>
  <si>
    <t>Anak2 : Mual &amp; Muntah akibat kemoterapi &amp; radioterapi</t>
  </si>
  <si>
    <t>Dus, 1 botol @ 10 ml</t>
  </si>
  <si>
    <t>Pasien dengan tumor hipofise yang melepaskan prolaktin.Anak ( kecuali mual dan muntah pada terapi kanker).</t>
  </si>
  <si>
    <t>anak2 mual muntah akibat kemoterapi radioterapi</t>
  </si>
  <si>
    <t>vomistop</t>
  </si>
  <si>
    <t>vomistop tetes domperidone anak2 mual muntah akibat kemoterapi radioterapi</t>
  </si>
  <si>
    <t>GKL0402336610A2</t>
  </si>
  <si>
    <t>Flunarizine 5 mg 10 Tablet</t>
  </si>
  <si>
    <t>Rp14.800 - Rp27.000</t>
  </si>
  <si>
    <t>flunarizine tablet flunarizine hydrochloride profilaksis migren  vertigo gangguan vestibular</t>
  </si>
  <si>
    <t>DKL9004205301A1</t>
  </si>
  <si>
    <t>Lipres 300 mg 10 Kapsul</t>
  </si>
  <si>
    <t>Rp28.200 - Rp34.200</t>
  </si>
  <si>
    <t>30 menit sebelum makan pagi dan makan malam.</t>
  </si>
  <si>
    <t>PENGGUNAAN OBAT INI HARUS SESUAI DENGAN PETUNJUK DOKTER. Sehari 1,2 g (4 kapsul) atau sehari 2 x 2 kapsul. Dosis dapat dikurangi atau ditingkatkan sesuai dengan kondisi penyakit. Tapi umumnya 0,9 ??1,5 g / hari diberikan 30 menit sebelum makanatau sebelum tidur malam</t>
  </si>
  <si>
    <t>Penderita hiperlipidemia yang tidak cukup di atasi dengan diet lemat</t>
  </si>
  <si>
    <t>Kapsul 300 Mg X 10 X 10</t>
  </si>
  <si>
    <t>Penderita hipersensitif gemfibrozil, obstruksi kandung empedu</t>
  </si>
  <si>
    <t>HARUS DENGAN RESEP DOKTER. Sebaiknya di ikuti dengan diet lemak ketat, untuk pemakaian jangka panjang lakukan monitoring profil lipid, fungsi ginjal, dan hati</t>
  </si>
  <si>
    <t>penderita hiperlipidemia tidak atasi diet lemat</t>
  </si>
  <si>
    <t>lipres</t>
  </si>
  <si>
    <t>lipres kapsul gemfibrozil penderita hiperlipidemia tidak atasi diet lemat</t>
  </si>
  <si>
    <t>DKI1690401417A1</t>
  </si>
  <si>
    <t>Viagra 50 mg 1 Tablet</t>
  </si>
  <si>
    <t>Rp156.800 - Rp164.900</t>
  </si>
  <si>
    <t>Kondom Fiesta Delay Isi 3</t>
  </si>
  <si>
    <t>Rp18.000 - Rp19.800</t>
  </si>
  <si>
    <t>kondom fiesta delay isi</t>
  </si>
  <si>
    <t>kondom fiesta delay isi tablet sildenafil citrate alat kontrasepsi</t>
  </si>
  <si>
    <t>Kondom Durex Together Isi 3</t>
  </si>
  <si>
    <t>Ovutest Strip</t>
  </si>
  <si>
    <t>Rp22.300 - Rp25.800</t>
  </si>
  <si>
    <t>Tampung urin dalam wadah yang bersih dan kering. Keluarkan strip alat test dari kemasan. Pegang OVUTEST STRIP pada bagian yang berwarna hijau, celupkan strip pada bagian yang berwarna putih hingga batas tulisan "MAX" selama 3-5 detik. Angkat dan letakkan pada bidang datar. Tunggu 1-5 menit hingga hasil muncul.</t>
  </si>
  <si>
    <t>Alat ini digunakan untuk menguji masa kesuburan wanita</t>
  </si>
  <si>
    <t>Sachet @ 1 lembar</t>
  </si>
  <si>
    <t>alat menguji kesuburan wanita</t>
  </si>
  <si>
    <t>ovutest strip</t>
  </si>
  <si>
    <t>ovutest strip tablet sildenafil citrate alat menguji kesuburan wanita</t>
  </si>
  <si>
    <t>DKL1121635217A1</t>
  </si>
  <si>
    <t>Rozgra 50 mg Tablet</t>
  </si>
  <si>
    <t>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t>
  </si>
  <si>
    <t>rozgra tablet sildenafil citrate terapi disfungsi ereksi pria dewasa</t>
  </si>
  <si>
    <t>paracetamol chlorphenamine maleate phenylpropanolamine hydrochloride dextromethorphan hydrobromide</t>
  </si>
  <si>
    <t xml:space="preserve">fluanza kaplet paracetamol chlorphenamine maleate phenylpropanolamine hydrochloride dextromethorphan hydrobromide </t>
  </si>
  <si>
    <t>DKL0605514037A1</t>
  </si>
  <si>
    <t>Dominal Sirup 60 ml</t>
  </si>
  <si>
    <t>Rp36.000 - Rp36.500</t>
  </si>
  <si>
    <t>dominal sirup domperidone mual muntah akibat kemoterapi radioterapi anak</t>
  </si>
  <si>
    <t>DKI0407000101A1</t>
  </si>
  <si>
    <t>Thromboreductin 0.5 mg 42 Kapsul</t>
  </si>
  <si>
    <t>Rp2.739.000 - Rp3.338.900</t>
  </si>
  <si>
    <t>Pengobatan dengan Thromboreductin (Anagrelide HCl) harus disertai dengan pengawasan medis yang ketat. Terapi harus dimulai dengan dosis 0,5 mg/hari selama 1 minggu, dosis dapat ditingkatkan 0,5 mg/hari setiap minggu sampai efek terapi yang diinginkan tercapai. Secara normal efek terapi tercapai dalam waktu 2 minggu dengan rentang dosis yang digunakan 1 - 3 mg/hari. Total dosis dalam sehari tidak boleh lebih dari 5 mg (total dosis sehari diberikan dalam waktu 8 jam atau 12 jam). Respon terapi harus dimonitoring secara rutin. Perhatian khusus perlu dilakukan ketika Thromboreductin (Anagrelide HCl) diberikan kepada orang lanjut usia dengan penyakit kardiovaskuler. Pada anak-anak usia &lt; 16 tahun tidak ada perbedaan dosis terapi dengan menggunakan Thromboreductin (Anagrelide HCl).</t>
  </si>
  <si>
    <t>Digunakan untuk mengobati kelainan darah tertentu (trombositemia)</t>
  </si>
  <si>
    <t>Dus, Botol @ 42 Kapsul</t>
  </si>
  <si>
    <t>Anagrelide tidak boleh diberikan kepada pasien yang alergi terhadap obat ini.</t>
  </si>
  <si>
    <t>Pasien penyakit liver, penyakit ginjal, gangguan pembekuan darah, rendahnya kadar kalium (hipokalemia), penyakit jantung, atau gangguan irama jantung, seperti pemanjangan interval QT atau bradikardia, ibu hamil menyusui atau sedang merencanakan kehamilan, jangan mengemudikan kendaraan atau melakukan kegiatan yang membutuhkan kewaspadaan, selama menjalani pengobatan dengan anagrelide, karena obat ini dapat menyebabkan pusing, jangan mengonsumsi minuman beralkohol atau grapefruit, selama menjalani pengobatan dengan anagrelide, karena dapat meningkatkan risiko terjadinya efek samping.</t>
  </si>
  <si>
    <t>anagrelide hydrochloride</t>
  </si>
  <si>
    <t>digunakan mengobati kelainan darah trombositemia</t>
  </si>
  <si>
    <t>thromboreductin</t>
  </si>
  <si>
    <t>thromboreductin kapsul anagrelide hydrochloride digunakan mengobati kelai darah trombositemia</t>
  </si>
  <si>
    <t>Transpulmin Sirup 60 ml</t>
  </si>
  <si>
    <t>PENGGUNAAN OBAT INI HARUS SESUAI DENGAN PETUNJUK DOKTER. Dewasa dan anak-anak diatas 12 tahun : 3-4 kali sehari, 2 sendok takar Anak-anak 6-12 tahun : 2-3 kali sehari, 2 sendok takar Anak-anak 2-6 tahun : 2-4 kali sehari, 1 sendok takar</t>
  </si>
  <si>
    <t>INFORMASI OBAT INI HANYA UNTUK KALANGAN MEDIS. Untuk meredakan batuk produktif dan non produktif</t>
  </si>
  <si>
    <t>HARUS DENGAN RESEP DOKTER. Gangguan fungsi hati, glaukoma, hipertrofi prostat. Anak &lt;6 tahun, lanjut usia. Dapat mengganggu kemampuan mengemudi atau menjalankan mesin Kategori Kehamilan : C</t>
  </si>
  <si>
    <t>untuk meredakan batuk produktif non produktif</t>
  </si>
  <si>
    <t>transpulmin sirup guaifenesin untuk meredakan batuk produktif non produktif</t>
  </si>
  <si>
    <t>Herbacold 6 Tablet</t>
  </si>
  <si>
    <t>4 x sehari, 1 tablet</t>
  </si>
  <si>
    <t>Membantu meredakan gejala pilek yang disertai sakit tenggorokan</t>
  </si>
  <si>
    <t>membantu meredakan gejala pilek disertai sakit tenggorokan</t>
  </si>
  <si>
    <t>herbacold tablet membantu meredakan gejala pilek disertai sakit tenggorokan</t>
  </si>
  <si>
    <t>DKL7203810746A1</t>
  </si>
  <si>
    <t>Cendo Carpine 2% Eye Drops 5 ml</t>
  </si>
  <si>
    <t>Rp22.900 - Rp43.500</t>
  </si>
  <si>
    <t>Diteteskan pada mata yang sakit</t>
  </si>
  <si>
    <t>Anti glaukoma simplek kronis</t>
  </si>
  <si>
    <t>HARUS DENGAN RESEP DOKTER. Hanya untuk pemakaian luar, wanita hamil dan menyusui, tidak boleh menggunakan kontak lensa selama penggunaan obat.</t>
  </si>
  <si>
    <t>pilocarpine</t>
  </si>
  <si>
    <t>anti glaukoma simplek kronis</t>
  </si>
  <si>
    <t>cendo carpine eye</t>
  </si>
  <si>
    <t>cendo carpine eye tetes pilocarpine anti glaukoma simplek kronis</t>
  </si>
  <si>
    <t>DTL1009220237A1</t>
  </si>
  <si>
    <t>Ternix Plus Sirup 60 ml</t>
  </si>
  <si>
    <t>Rp10.000 - Rp18.100</t>
  </si>
  <si>
    <t>paracetamol pseudoephedrine hydrochloride chlorphenamine maleate guaifenesin</t>
  </si>
  <si>
    <t>ternix plus</t>
  </si>
  <si>
    <t xml:space="preserve">ternix plus sirup paracetamol pseudoephedrine hydrochloride chlorphenamine maleate guaifenesin </t>
  </si>
  <si>
    <t>DKL7809310130A1</t>
  </si>
  <si>
    <t>Dermasolon 0.025% Salep 10 g</t>
  </si>
  <si>
    <t>Rp31.000 - Rp34.000</t>
  </si>
  <si>
    <t>Dioleskan pada area kulit yang sakit/radang</t>
  </si>
  <si>
    <t>PENGGUNAAN OBAT INI HARUS SESUAI DENGAN PETUNJUK DOKTER. Oleskan 2-3 x sehari</t>
  </si>
  <si>
    <t>Terapi topikal untuk Dermatosis/penyakit2 kulit</t>
  </si>
  <si>
    <t>Dus, 1 Tube @ 10 G</t>
  </si>
  <si>
    <t>Infeksi jamur, bakteri, virus, akne rosasea dan dermatitis perioral</t>
  </si>
  <si>
    <t>HARUS DENGAN RESEP DOKTER. Pemakaian jangka panjang dan berlebihan pada kehamilan. Penggunaan pada wajah</t>
  </si>
  <si>
    <t>terapi topikal dermatosis penyakit2 kulit</t>
  </si>
  <si>
    <t>dermasolon</t>
  </si>
  <si>
    <t>dermasolon salep fluocinolone acetonide terapi topikal dermatosis penyakit2 kulit</t>
  </si>
  <si>
    <t>DKL8320600901B1</t>
  </si>
  <si>
    <t>Conmycin 500 mg 10 Kapsul</t>
  </si>
  <si>
    <t>Rp14.200 - Rp15.000</t>
  </si>
  <si>
    <t>PENGGUNAAN OBAT INI HARUS SESUAI DENGAN PETUNJUK DOKTER. 4 x sehari 1 kapsul. Brucellosis : 4 x sehari 500 mg selama 3 minggu. Sifilis : 30 - 40 gram dalam dosis terbagi selama 15 hari.</t>
  </si>
  <si>
    <t>Infeksi yang disebabkan oleh organisme yang sensitif terhadap Tetrasiklin</t>
  </si>
  <si>
    <t>Kapsul 500 mg x 100.</t>
  </si>
  <si>
    <t>infeksi disebabkan organisme sensitif tetrasiklin</t>
  </si>
  <si>
    <t>conmycin</t>
  </si>
  <si>
    <t>conmycin kapsul tetracycline hydrochloride infeksi disebabkan organisme sensitif tetrasiklin</t>
  </si>
  <si>
    <t>DKL1121641010A1</t>
  </si>
  <si>
    <t>Viridis 500 mg 10 Tablet</t>
  </si>
  <si>
    <t>Rp77.300 - Rp92.600</t>
  </si>
  <si>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t>
  </si>
  <si>
    <t>INFORMASI OBAT INI HANYA UNTUK KALANGAN MEDIS. Sebagai imunomodulator untuk infeksi virus dan kondisi imunodefisiensi.</t>
  </si>
  <si>
    <t>Dus, 1 Blister @ 10 Tablet</t>
  </si>
  <si>
    <t>Hipersensitivitas. Pasien dengan riwayat gout atau kadar asam urat tinggi.</t>
  </si>
  <si>
    <t>HARUS DENGAN RESEP DOKTER. - Pasien dengan riwayat gout atau hiperurisemia (kadar asam urat tinggi). - Pasien dengan riwayat urolithiasis (batu ginjal). - Penderita penyakit jantung. Belum terdapat data keamanan terkait penggunaan obat ini pada wanita hamil dan/atau menyusui. Konsultasikan kepada dokter apabila Anda sedang hamil dan/atau menyusui.</t>
  </si>
  <si>
    <t>sebagai imunomodulator infeksi virus kondisi imunodefisiensi</t>
  </si>
  <si>
    <t>viridis tablet methisoprinol sebagai imunomodulator infeksi virus kondisi imunodefisiensi</t>
  </si>
  <si>
    <t>magnesium trisilicate simethicone dried aluminium hydroxide gel</t>
  </si>
  <si>
    <t xml:space="preserve">konimag suspensi magnesium trisilicate simethicone dried aluminium hydroxide gel </t>
  </si>
  <si>
    <t>TR032624341</t>
  </si>
  <si>
    <t>Tenangin 15 ml Sachet</t>
  </si>
  <si>
    <t>TENANGIN</t>
  </si>
  <si>
    <t>Rp2.200 - Rp4.200</t>
  </si>
  <si>
    <t>Cukup 1 sachet untuk setiap kali minum</t>
  </si>
  <si>
    <t>Untuk masuk angin : 3 kali 1 sachet sehari diminum sesudah makan. Untuk menjaga kesehatan tubuh : 1 sachet diminum setiap hari</t>
  </si>
  <si>
    <t>Meringankan gejala flu dan memelihara daya tahan tubuh</t>
  </si>
  <si>
    <t>Dus, 5 Sachet @ 15 ml</t>
  </si>
  <si>
    <t>tenangin</t>
  </si>
  <si>
    <t>meringankan gejala flu memelihara daya tahan tubuh</t>
  </si>
  <si>
    <t>tegin sachet meringankan gejala flu memelihara daya tahan tubuh</t>
  </si>
  <si>
    <t>TR092303911</t>
  </si>
  <si>
    <t>Sido Muncul Celery 30 Kapsul</t>
  </si>
  <si>
    <t>CELERY</t>
  </si>
  <si>
    <t>Rp62.700 - Rp105.600</t>
  </si>
  <si>
    <t>celery</t>
  </si>
  <si>
    <t>sido muncul celery</t>
  </si>
  <si>
    <t>sido muncul celery kapsul celery membantu menurunkan teka darah</t>
  </si>
  <si>
    <t>simethicone magnesium trisilicate dried aluminium hydroxide gel</t>
  </si>
  <si>
    <t xml:space="preserve">konimag suspensi simethicone magnesium trisilicate dried aluminium hydroxide gel </t>
  </si>
  <si>
    <t>DKL1540402238A1</t>
  </si>
  <si>
    <t>Ethiros 175 mg/5 ml Dry Sirup 60 ml</t>
  </si>
  <si>
    <t>Rp35.800 - Rp45.800</t>
  </si>
  <si>
    <t>PENGGUNAAN OBAT INI HARUS SESUAI DENGAN PETUNJUK DOKTER. Dosis dewasa dan anak dengan berat badan lebih dari 30 kg : 2-3 x sehari 10 mL syrup. Dosis anak dengan berat badan 20-30 kg : 3 x sehari 5 mL syrup (175 mg). Dosis anak dengan berat badan 15-19 kg : 2 x sehari 5 mL syrup (175 mg).</t>
  </si>
  <si>
    <t>Mukolitik untuk gangguan saluran napas akut &amp; kronik.</t>
  </si>
  <si>
    <t>Gangguan hati &amp; ginjal (bersihan kreatinin &lt;25 mL/mnt) berat, sirosis hepatik, &amp; defisiensi enzim sistationin sintetase.</t>
  </si>
  <si>
    <t>HARUS DENGAN RESEP DOKTER. Pasien yang memiliki gangguan hati atau ginjal ringan sampai sedang, ibu menyusui, Pada produk suspensi yang mengandung sukrosa harus digunakan secara hati-hati untuk penderita diabetes mellitus, atau sedang menjalani diet rendah kalori. Sebaiknya dipilih agen mukolitik lain.</t>
  </si>
  <si>
    <t>mukolitik gangguan saluran napa akut kronik</t>
  </si>
  <si>
    <t>ethiros sirup erdosteine mukolitik gangguan saluran napa akut kronik</t>
  </si>
  <si>
    <t>QD202786291</t>
  </si>
  <si>
    <t>Salep Hitam Ichtyol 12 g</t>
  </si>
  <si>
    <t>Oleskan 1-3 kali sehari pada kulit yang terkena bisul</t>
  </si>
  <si>
    <t>Gunakan secukupnya</t>
  </si>
  <si>
    <t>Mengobati eksim, psoriasis, jerawat atau bisul.</t>
  </si>
  <si>
    <t>Pot @ 12 g</t>
  </si>
  <si>
    <t>Obat hanya digunakan untuk pemakaian luar. Penggunaan berlebihan dapat menyebabkan iritasi jaringan. Hindari kontak dengan mata. Kandungan ichthammolum dalam obat ini dapat menyebabkan noda pada kain. Penutup pelindung dapat ditempatkan di atas area pengaplikasian salep untuk menghindari noda pada pakaian dan sprei. Hati-hati menggunakan obat ini pada ibu hamil dan menyusui.</t>
  </si>
  <si>
    <t>mengobati eksim , psoriasis , jerawat bisul</t>
  </si>
  <si>
    <t>hitam ichtyol</t>
  </si>
  <si>
    <t>hitam ichtyol salep ichtammolum mengobati eksim  psoriasis  jerawat bisul</t>
  </si>
  <si>
    <t>TR173603901</t>
  </si>
  <si>
    <t>VCO Palem Mustika 75 ml</t>
  </si>
  <si>
    <t>PALEM MUSTIKA VCO</t>
  </si>
  <si>
    <t>Rp22.000 - Rp39.000</t>
  </si>
  <si>
    <t>1x1 sendok makan sehari</t>
  </si>
  <si>
    <t>Dus, Botol @ 75 ml</t>
  </si>
  <si>
    <t>Simpan pada suhu di bawah 30 derajat Celcius dan terhindar dari sinar matahari langsung.</t>
  </si>
  <si>
    <t>palem mustika vco</t>
  </si>
  <si>
    <t>vco palem mustika</t>
  </si>
  <si>
    <t>vco palem mustika  palem mustika vco membantu memelihara kesehatan</t>
  </si>
  <si>
    <t>TR042240341</t>
  </si>
  <si>
    <t>Bio-Life AHFC Formula 30 Sachet</t>
  </si>
  <si>
    <t>AHFC</t>
  </si>
  <si>
    <t>Rp564.900 - Rp703.800</t>
  </si>
  <si>
    <t>Larutkan dengan air hangat secukupnya</t>
  </si>
  <si>
    <t>Sehari 3 x 1 sachet</t>
  </si>
  <si>
    <t>Memelihara dan melindungi fungsi hati</t>
  </si>
  <si>
    <t>Dus, 30 Sachet @ 3.5 g</t>
  </si>
  <si>
    <t>ahfc</t>
  </si>
  <si>
    <t>memelihara melindungi fungsi hati</t>
  </si>
  <si>
    <t>biolife ahfc formula</t>
  </si>
  <si>
    <t>biolife ahfc formula sachet ahfc memelihara melindungi fungsi hati</t>
  </si>
  <si>
    <t>DKL0710808037A1</t>
  </si>
  <si>
    <t>Dextaco Sirup 60 ml</t>
  </si>
  <si>
    <t>Rp9.000 - Rp19.000</t>
  </si>
  <si>
    <t>Dapat dikonsumsi bersamaan atau tidak dengan makan</t>
  </si>
  <si>
    <t>PENGGUNAAN OBAT INI HARUS SESUAI DENGAN PETUNJUK DOKTER. Sirup: Dewasa dan anak &gt;12 tahun dosis awal 1 sdtk setiap 4-6 jam, anak 6-12 tahun: sehari 3-4x 1/2sdtk</t>
  </si>
  <si>
    <t>INFORMASI OBAT INI HANYA UNTUK KALANGAN MEDIS. Untuk mengatasi kasus-kasus alergi dimana diperlukan terapi dengan kortikosteroid</t>
  </si>
  <si>
    <t>Penderita yang hipertensif terhadap obat dan komponennya, infeksi fungsi sistemik, bayi yang baru lahir dan prematur, penderita yang mendapat terapi MAO, penderita tukak lambung aktif, herpes simplek pada mata</t>
  </si>
  <si>
    <t>HARUS DENGAN RESEP DOKTER. Penderita jantung iskemik,difungsi tiroid, stenosis ulkus peptikum wanita hamil. Kategori Kehamilan : Kategori B: Mungkin dapat digunakan oleh wanita hamil. Penelitian pada hewan uji tidak memperlihatkan ada nya risiko terhadap janin, namun belum ada bukti penelitian langsung terhadap wanita hamil.</t>
  </si>
  <si>
    <t>untuk mengatasi - alergi dimana terapi kortikosteroid</t>
  </si>
  <si>
    <t>dextaco</t>
  </si>
  <si>
    <t>dextaco sirup dexamethasone untuk mengatasi  alergi dimana terapi kortikosteroid</t>
  </si>
  <si>
    <t>Kondom Sagami Original 001 3 Pieces</t>
  </si>
  <si>
    <t>Pack isi 3 pieces</t>
  </si>
  <si>
    <t>kondom sagami original pieces</t>
  </si>
  <si>
    <t>kondom sagami original pieces tablet sildenafil citrate alat kontrasepsi</t>
  </si>
  <si>
    <t>DKL9905029110A1</t>
  </si>
  <si>
    <t>Colergis 10 Tablet</t>
  </si>
  <si>
    <t>Rp39.600 - Rp44.400</t>
  </si>
  <si>
    <t>PENGGUNAAN OBAT INI HARUS SESUAI DENGAN PETUNJUK DOKTER. Dewasa &amp; anak &gt;12 thn: 1 tablet per hari, maks 6 tablet per hari. Anak 6-12 thn: 1/2 tablet, maks 3 tablet, 2-6 thn 1/4 tablet, maks 1 1/2 tablet per hari. Diberikan tiap 4-6 jam</t>
  </si>
  <si>
    <t>INFORMASI OBAT INI HANYA UNTUK KALANGAN MEDIS. Kondisi Alergi yang memerlukan terapi kortikosteroid</t>
  </si>
  <si>
    <t>Hipersensitivitas. Bayi baru lahir &amp; prematur. Infeksi jamur sistemik, terapi MAOI.</t>
  </si>
  <si>
    <t>HARUS DENGAN RESEP DOKTER. Hindari penggunaan jangka panjang. Hipotiroidisme/sirosis, herpes simpleks okular, kolitis ulseratif nonspesifik, kemungkinan perforasi yang akan datang, abses atau infeksi piogenik lainnya, divertikulitis, anastomosis usus segar, tukak peptik aktif atau laten, insufisiensi ginjal, hipertensi, osteoporosis, miastenia gravis. Ketidakstabilan emosional atau kecenderungan psikotik yang ada. Pembatasan garam makanan &amp; suplementasi K harus dipertimbangkan. Cacar air, TB fulminan atau diseminata. Glaukoma sudut sempit, ulkus peptikum stenosis, obstruksi pyroduodenal, hipertrofi prostat atau obstruksi leher kandung kemih, penyakit KV. Dapat mengganggu kemampuan mengemudi atau mengoperasikan mesin. Hamil &amp; menyusui. Anak &lt;2 thn. Lansia &gt;60 tahun. Kategori kehamilan: Belum terdapat data keamanan terkait penggunaan obat ini pada wanita hamil dan/atau menyusui. Konsultasikan kepada dokter apabila Anda sedang hamil dan/atau menyusui.</t>
  </si>
  <si>
    <t>dexchlorpheniramine maleate betamethasone</t>
  </si>
  <si>
    <t>kondisi alergi terapi kortikosteroid</t>
  </si>
  <si>
    <t>colergis</t>
  </si>
  <si>
    <t>colergis tablet dexchlorpheniramine maleate betamethasone kondisi alergi terapi kortikosteroid</t>
  </si>
  <si>
    <t>DKL0717622537A1</t>
  </si>
  <si>
    <t>Cortamine Sirup 60 ml</t>
  </si>
  <si>
    <t>Rp70.000 - Rp79.100</t>
  </si>
  <si>
    <t>Diminum segera setelah makan</t>
  </si>
  <si>
    <t>PENGGUNAAN OBAT INI HARUS SESUAI DENGAN PETUNJUK DOKTER. Dewasa dan anak &gt;12 tahun: 1 sendok takar tiap 4-6 jam. maks. 6 sendok takar/ hari. Anak 6-12 tahun: 1/2 sendok takar tiap 4-6 jam. maks. 3 sendok takar/ hari. Anak 2-6 tahun: 1/4 sendok takar tiap 4-6 jam. maks. 1 1/2 sendok takar/ hari</t>
  </si>
  <si>
    <t>cortamine</t>
  </si>
  <si>
    <t>cortamine sirup betamethasone dexchlorpheniramine maleate kondisi alergi terapi kortikosteroid</t>
  </si>
  <si>
    <t>DKL8818803604B1</t>
  </si>
  <si>
    <t>Opimox 500 mg 10 Kaplet</t>
  </si>
  <si>
    <t>Rp35.700 - Rp44.800</t>
  </si>
  <si>
    <t>Dapat diberikan bersama makanan</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</si>
  <si>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</si>
  <si>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INFORMASI OBAT INI HANYA UNTUK KALANGAN MEDIS. Sebagai antibiotik untuk mengobati infeksi yang disebabkan oleh bakteri.</t>
  </si>
  <si>
    <t>HARUS DENGAN RESEP DOKTER. Alergi, wanita hamil dan menyusui. Kategori kehamilan: Kategori B: Mungkin dapat digunakan oleh wanita hamil. Penelitian pada hewan uji tidak memperlihatkan ada nya risiko terhadap janin, namun belum ada bukti penelitian langsung terhadap wanita hamil.</t>
  </si>
  <si>
    <t>sebagai antibiotik mengobati infeksi disebabkan bakteri</t>
  </si>
  <si>
    <t>opimox</t>
  </si>
  <si>
    <t>opimox kaplet amoxicillin sebagai antibiotik mengobati infeksi disebabkan bakteri</t>
  </si>
  <si>
    <t>TL022500151</t>
  </si>
  <si>
    <t>Tebokan Spesial 10 Tablet</t>
  </si>
  <si>
    <t>TEBOKAN SPESIAL</t>
  </si>
  <si>
    <t>Rp140.500 - Rp142.500</t>
  </si>
  <si>
    <t>2 x sehari 1 tablet atau sesuai anjuran dokter</t>
  </si>
  <si>
    <t>Membantu memperbaiki sirkulasi darah perifer dan pusat.</t>
  </si>
  <si>
    <t>Hamil dan laktasi. Simpan dalam ruang ber AC (suhu di bawah 25 C). Dalam wadah tertutup rapat, terlindung dari cahaya dan kelembaban</t>
  </si>
  <si>
    <t>tebokan spesial</t>
  </si>
  <si>
    <t>tebokan spesial tablet membantu memperbaiki sirkulasi darah perifer pusat</t>
  </si>
  <si>
    <t>Kondom Okamoto Crown Isi 10</t>
  </si>
  <si>
    <t>Rp52.100 - Rp72.900</t>
  </si>
  <si>
    <t>Pack @ 10 Pieces</t>
  </si>
  <si>
    <t>DKL8722207629A1</t>
  </si>
  <si>
    <t>Topcort Cream 10 g</t>
  </si>
  <si>
    <t>Rp30.000 - Rp33.600</t>
  </si>
  <si>
    <t>Krim dioleskan pada bagian kulit yang radang atau gatal/gejala dermatitis secara tipis-tipis setelah kulit dibersihkan.</t>
  </si>
  <si>
    <t>PENGGUNAAN OBAT INI HARUS SESUAI DENGAN PETUNJUK DOKTER. Oleskan krim 2 x sehari pada bagian kulit yang sakit</t>
  </si>
  <si>
    <t>INFORMASI OBAT INI HANYA UNTUK KALANGAN MEDIS. Inflamasi &amp; pruritik pada dermatitis yang responsif terhadap kortikosteroid.</t>
  </si>
  <si>
    <t>Infeksi virus pada kulit, TB kulit</t>
  </si>
  <si>
    <t>Obat Wajib Apotek, Obat ini dapat dibeli dan diserahkan apoteker tanpa resep dengan maksimum 1 Tube. Pembelian melebihi batas ini WAJIB RESEP DOKTER. Terapi jangka lama. Anak. Kategori kehamilan : Belum terdapat data keamanan terkait penggunaan obat ini pada wanita hamil dan/atau menyusui. Konsultasikan kepada dokter apabila Anda sedang hamil dan/atau menyusui.</t>
  </si>
  <si>
    <t>inflamasi pruritik dermatitis responsif kortikosteroid</t>
  </si>
  <si>
    <t>topcort cream</t>
  </si>
  <si>
    <t>topcort cream krim desoximetasone inflamasi pruritik dermatitis responsif kortikosteroid</t>
  </si>
  <si>
    <t>DKL9317606310B1</t>
  </si>
  <si>
    <t>Zoter 400 mg 4 Tablet</t>
  </si>
  <si>
    <t>Rp59.800 - Rp67.500</t>
  </si>
  <si>
    <t>Kasa Husada Premium Steril 16/16 12 Lembar</t>
  </si>
  <si>
    <t>Rp14.300 - Rp16.000</t>
  </si>
  <si>
    <t>Aplikasikan pada luka</t>
  </si>
  <si>
    <t>Sesuai kebutuhan, dapat bertahan selama 6 jam</t>
  </si>
  <si>
    <t>Dus @ 12 Lembar</t>
  </si>
  <si>
    <t>Simpan di tempat sejuk dan kering, terhindar dari sinar matahari langsung</t>
  </si>
  <si>
    <t>husada premium steril lembar</t>
  </si>
  <si>
    <t>husada premium steril lembar larutan povidoneiodine untuk menutup luka</t>
  </si>
  <si>
    <t>DTL9305011837A1</t>
  </si>
  <si>
    <t>Rhinofed Sirup 60 ml</t>
  </si>
  <si>
    <t>Rp25.000 - Rp47.100</t>
  </si>
  <si>
    <t>Dewasa dan anak-anak di atas 12 tahun : 1 sendok takar (5 mL), 3 kali sehari. Anak-anak 6-12 tahun : 1/2 sendok takar (2.5 mL), 3 kali sehari. Tidak dianjurkan untuk anak di bawah 6 tahun.</t>
  </si>
  <si>
    <t>Meringankan pilek dan alergi pernapasan hidung</t>
  </si>
  <si>
    <t>Pasien hipersensitif terhadap tripolidine HCl, pseudoephedrine HCl, acrivastine dan komponen lain dalam obat ini. Insufisiensi koroner, aritmia &amp; hipertensi berat. Pemberian bersamaan dengan antibiotik makrolid atau anti jamur azole.</t>
  </si>
  <si>
    <t>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</si>
  <si>
    <t>meringankan pilek alergi pernapasan hidung</t>
  </si>
  <si>
    <t>rhinofed sirup pseudoephedrine hydrochloride meringankan pilek alergi pernapasan hidung</t>
  </si>
  <si>
    <t>DKL9622218329A1</t>
  </si>
  <si>
    <t>Zeliris 20% Cream 10 g</t>
  </si>
  <si>
    <t>Rp29.100 - Rp61.900</t>
  </si>
  <si>
    <t>Oleskan tipis-tipis pada kulit berjerawat</t>
  </si>
  <si>
    <t>PENGGUNAAN OBAT INI HARUS SESUAI DENGAN PETUNJUK DOKTER. Dioleskan pada bagian yang terinfeksi 2x per hari</t>
  </si>
  <si>
    <t>JINFORMASI OBAT INI HANYA UNTUK KALANGAN MEDIS. Jerawat atau akne vulgaris</t>
  </si>
  <si>
    <t>HARUS DENGAN RESEP DOKTER. Hindari kontak dengan mata, ku</t>
  </si>
  <si>
    <t>TR142576951</t>
  </si>
  <si>
    <t>Biocurkem 10 Kaplet</t>
  </si>
  <si>
    <t>BIOCURKEM 1000</t>
  </si>
  <si>
    <t>Rp119.400 - Rp171.900</t>
  </si>
  <si>
    <t>terapi pendamping untuk kanker, Mencegah terjadinya kanker</t>
  </si>
  <si>
    <t>biocurkem 1000</t>
  </si>
  <si>
    <t>terapi pendamping kanker , mencegah kanker</t>
  </si>
  <si>
    <t>biocurkem</t>
  </si>
  <si>
    <t>biocurkem kaplet biocurkem 1000 terapi pendamping kanker  mencegah kanker</t>
  </si>
  <si>
    <t>amoxicillin trihydrate potassium clavulanate with microcrystalline cellulose</t>
  </si>
  <si>
    <t xml:space="preserve">coyarin kaplet amoxicillin trihydrate potassium clavulanate with microcrystalline cellulose </t>
  </si>
  <si>
    <t>TR092202791</t>
  </si>
  <si>
    <t>Dehaf Granul 6 Sachet</t>
  </si>
  <si>
    <t>DEHAF</t>
  </si>
  <si>
    <t>Rp58.400 - Rp85.400</t>
  </si>
  <si>
    <t>3-4 x sehari 1 sachet</t>
  </si>
  <si>
    <t>Suplemen untuk penderita Demam Berdarah Dengue</t>
  </si>
  <si>
    <t>Box Isi 6 Sachet</t>
  </si>
  <si>
    <t>Penggunaan berlebihan (&gt;8 sachet per hari) dapat menyebabkan konstipasi</t>
  </si>
  <si>
    <t>dehaf</t>
  </si>
  <si>
    <t>suplemen penderita demam berdarah dengue</t>
  </si>
  <si>
    <t>dehaf granul</t>
  </si>
  <si>
    <t>dehaf granul sachet dehaf suplemen penderita demam berdarah dengue</t>
  </si>
  <si>
    <t>Kondom Okamoto 003 Platinum Isi 3</t>
  </si>
  <si>
    <t>DKL9906501104A1</t>
  </si>
  <si>
    <t>Etadexta 10 Kaplet</t>
  </si>
  <si>
    <t>Rp2.000 - Rp3.100</t>
  </si>
  <si>
    <t>Diminum setelah makan dan sebelum tidur</t>
  </si>
  <si>
    <t>PENGGUNAAN OBAT INI HARUS SESUAI DENGAN PETUNJUK DOKTER. Diminum setelah makan dan sebelum tidur</t>
  </si>
  <si>
    <t>Untuk mengatasi kasus alergi dimana diperlukan terapi dengan kortikosteroid</t>
  </si>
  <si>
    <t>untuk mengatasi alergi dimana terapi kortikosteroid</t>
  </si>
  <si>
    <t>etadexta</t>
  </si>
  <si>
    <t>etadexta kaplet dexamethasone untuk mengatasi alergi dimana terapi kortikosteroid</t>
  </si>
  <si>
    <t>DKL0009212929A1</t>
  </si>
  <si>
    <t>Prodermis Cream 5 g</t>
  </si>
  <si>
    <t>Rp5.700 - Rp11.200</t>
  </si>
  <si>
    <t>meringankan inflamasi pada dermatosis yang reponsif terhadap kortikosteroid</t>
  </si>
  <si>
    <t>meringankan inflamasi dermatosis reponsif kortikosteroid</t>
  </si>
  <si>
    <t>prodermis cream</t>
  </si>
  <si>
    <t>prodermis cream krim fluocinolone acetonide meringankan inflamasi dermatosis reponsif kortikosteroid</t>
  </si>
  <si>
    <t>DTL0921636701A1</t>
  </si>
  <si>
    <t>Nytex 200 mg 10 Kapsul</t>
  </si>
  <si>
    <t>PENGGUNAAN OBAT INI HARUS SESUAI DENGAN PETUNJUK DOKTER. Dewasa dan anak &gt; 14 tahun : 2-3 x sehari 1 kapsul. Anak 6-14 tahun : 2 x sehari 1 kapsul, Mukovisidosis Anak &gt; 6 tahun : 3 x sehari 1 kapsul</t>
  </si>
  <si>
    <t>Bronkitis akut dan kronik, Emfisema Paru, Mukovisidosis, Bronkhiektasis</t>
  </si>
  <si>
    <t>Box isi 1 strip @ 10 kapsul</t>
  </si>
  <si>
    <t>HARUS DENGAN RESEP DOKTER. Asma. Anak &lt;6 tahun. Hamil dan laktasi</t>
  </si>
  <si>
    <t>bronkitis akut kronik , emfisema paru , mukovisidosis , bronkhiektasis</t>
  </si>
  <si>
    <t>nytex</t>
  </si>
  <si>
    <t>nytex kapsul acetylcysteine bronkitis akut kronik  emfisema paru  mukovisidosis  bronkhiektasis</t>
  </si>
  <si>
    <t>DKL2003816746A1</t>
  </si>
  <si>
    <t>Cendo Glopac Eye Drops 5 ml</t>
  </si>
  <si>
    <t>Rp216.200 - Rp270.400</t>
  </si>
  <si>
    <t>PENGGUNAAN OBAT INI HARUS SESUAI DENGAN PETUNJUK DOKTER. Teteskan 1 tetes 2-3 kali sehari</t>
  </si>
  <si>
    <t>INFORMASI OBAT INI HANYA UNTUK KALANGAN MEDIS. Hipertensi okular, glaukoma sudut terbuka</t>
  </si>
  <si>
    <t>Botol @ 5 ml</t>
  </si>
  <si>
    <t>Hipersensitivitas terhadap brinzolamida, sulfonamid. Asidosis hiperkloremik.</t>
  </si>
  <si>
    <t>HARUS DENGAN RESEP DOKTER. Hati-hati penggunaan pada pasien dg jumlah sel endotel rendah. Gangguan hati dan ginjal berat (CrCl &lt;30 mL/menit),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</si>
  <si>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brinzolamide</t>
  </si>
  <si>
    <t>hipertensi okular , glaukoma sudut terbuka</t>
  </si>
  <si>
    <t>cendo glopac eye</t>
  </si>
  <si>
    <t>cendo glopac eye tetes brinzolamide hipertensi okular  glaukoma sudut terbuka</t>
  </si>
  <si>
    <t>DKL9331103610B1</t>
  </si>
  <si>
    <t>Grafalin 4 mg 10 Tablet</t>
  </si>
  <si>
    <t>Diberikan 1 jam sebelum atau 2 jam sesudah makan.</t>
  </si>
  <si>
    <t>PENGGUNAAN OBAT INI HARUS SESUAI DENGAN PETUNJUK DOKTER. Dewasa dan anak &gt; 12 tahun : 2-4 mg. Anak 6-12 tahun : 2 mg. Anak 3-6 tahun : 1-2 mg. Semua dosis diberikan 3-4 kali/hari.</t>
  </si>
  <si>
    <t>Bronkodilator pada asma bronkial, bronkitis kronik dan emfisema.</t>
  </si>
  <si>
    <t>Obat Wajib Apotek, Obat ini dapat dibeli dan diserahkan apoteker tanpa resep dengan maksimum 2 Strip. Pembelian melebihi batas ini WAJIB RESEP DOKTER. Hipertensi, infark miokard, hipertiroid, diabetes melitus, usia lanjut, hamil.</t>
  </si>
  <si>
    <t>bronkodilator asma bronkial , bronkitis kronik emfisema</t>
  </si>
  <si>
    <t>grafalin</t>
  </si>
  <si>
    <t>grafalin tablet salbutamol sulfate bronkodilator asma bronkial  bronkitis kronik emfisema</t>
  </si>
  <si>
    <t>DTL0423407237A1</t>
  </si>
  <si>
    <t>Miradryl Sirup 60 ml</t>
  </si>
  <si>
    <t>Rp9.100 - Rp19.600</t>
  </si>
  <si>
    <t>Dewasa &amp; anak &gt; 12 th. : 10 ml 3 - 4 kali sehari Anak-anak (6-12 th.) : 5 ml 3-4 kali sehari</t>
  </si>
  <si>
    <t>Meredakan batuk yang disebabkan alergi yang disertai dahak berlebihan.</t>
  </si>
  <si>
    <t>Sudut tertutup glaukoma, alkalosis metabolik dengan hilangnya natrium bikarbonat, gangguan ginjal yang parah, hipersensitivitas, hipertrofi prostat dengan uropati obstruktif, kerusakan hati yang parah, neonatus jangka penuh prematur atau</t>
  </si>
  <si>
    <t>Jangan ditelan. Informasikan pada dokter untuk pasien gagal hati. Harus diberikan perlahan-lahan untuk mencegah reaksi injeksi. Pasien dengan CO2 yang tinggi dan basis penyangga. Pastikan obat belum mengkristal sebelum pemberian. Bayi. Pasien dengan asma</t>
  </si>
  <si>
    <t>meredakan batuk disebabkan alergi disertai dahak</t>
  </si>
  <si>
    <t>miradryl</t>
  </si>
  <si>
    <t>miradryl sirup ammonium chloride meredakan batuk disebabkan alergi disertai dahak</t>
  </si>
  <si>
    <t>Laurier Relax Night Wing 35 cm 12 Pads</t>
  </si>
  <si>
    <t>Rp18.500 - Rp25.500</t>
  </si>
  <si>
    <t>Buka kemasan produk, lalu ambil pembalut dan lepaskan stiker yang merekat pada pembalut lalu rekatkan pada pakaian dalam.</t>
  </si>
  <si>
    <t>Pembalut menstruasi</t>
  </si>
  <si>
    <t>Pack Isi 12 Pads</t>
  </si>
  <si>
    <t>pembalut menstruasi</t>
  </si>
  <si>
    <t>laurier relax night wing pads</t>
  </si>
  <si>
    <t>laurier relax night wing pads tablet sildenafil citrate pembalut menstruasi</t>
  </si>
  <si>
    <t>DKL8831501110A1</t>
  </si>
  <si>
    <t>Farsix 40 mg 10 Tablet</t>
  </si>
  <si>
    <t>Rp10.700 - Rp17.100</t>
  </si>
  <si>
    <t>farsix</t>
  </si>
  <si>
    <t>farsix tablet furosemide edema akibat gangguan jantung  hati  ginjal  hipertensi</t>
  </si>
  <si>
    <t>DTL0921636838A1</t>
  </si>
  <si>
    <t>Nytex Dry Syrup 100 mg/5 ml 75 ml</t>
  </si>
  <si>
    <t>Rp35.200 - Rp41.400</t>
  </si>
  <si>
    <t>PENGGUNAAN OBAT INI HARUS SESUAI DENGAN PETUNJUK DOKTER. Dewasa dan anak &gt; 14 tahun : 2-3 x sehari 2 sendok takar, anak 6-14 tahun : 2 x sehari 2 sendok takar. Mukovisidosis : Anak &gt; 6 tahun 3 x sehari 2 sendok takar.</t>
  </si>
  <si>
    <t>Brokitis akut dan kronik, emfisema paru, mukovisidosis, bronkiektasis</t>
  </si>
  <si>
    <t>Sirup 75 ml X 1 Botol</t>
  </si>
  <si>
    <t>Pasien yang memiliki riwayat alergi / hipersensitivitas.</t>
  </si>
  <si>
    <t>HARUS DENGAN RESEP DOKTER. Asma, anak &lt; 6 tahun, hamil dan laktasi</t>
  </si>
  <si>
    <t>brokitis akut kronik , emfisema paru , mukovisidosis , bronkiektasis</t>
  </si>
  <si>
    <t>nytex sirup acetylcysteine brokitis akut kronik  emfisema paru  mukovisidosis  bronkiektasis</t>
  </si>
  <si>
    <t>Kondom Simplex Super Safe isi 3</t>
  </si>
  <si>
    <t>Rp8.300 - Rp17.500</t>
  </si>
  <si>
    <t>kondom simplex super safe isi</t>
  </si>
  <si>
    <t>kondom simplex super safe isi tablet sildenafil citrate alat kontrasepsi</t>
  </si>
  <si>
    <t>DKL8804303410A1</t>
  </si>
  <si>
    <t>Imosa 2 mg 6 Tablet</t>
  </si>
  <si>
    <t>Rp7.900 - Rp8.800</t>
  </si>
  <si>
    <t>PENGGUNAAN OBAT INI HARUS SESUAI DENGAN PETUNJUK DOKTER. Untuk diare akut : awal 4 mg, kemudian 1 tablet setiap diare. Untuk diare kronik : awal 2 tablet. Maksimal : 16 mg/hari. Hentikan bila tidak ada perbaikan setelah 48 jam.</t>
  </si>
  <si>
    <t>Pengobatan diare akut non spesifik dan kronik</t>
  </si>
  <si>
    <t>Konstipasi dihindari. Anak &lt; 12 tahun.</t>
  </si>
  <si>
    <t>pengobatan diare akut non spesifik kronik</t>
  </si>
  <si>
    <t>imosa</t>
  </si>
  <si>
    <t>imosa tablet loperamide hydrochloride pengobatan diare akut non spesifik kronik</t>
  </si>
  <si>
    <t>DTL9731106937A1</t>
  </si>
  <si>
    <t>Flucadex Sirup 60 ml</t>
  </si>
  <si>
    <t>Rp7.500 - Rp23.700</t>
  </si>
  <si>
    <t>Anak 6-12 tahun: 3 x sehari 1 sendok takar (5 ml). Dewasa: 3 x sehari 2 sendok takar (10 ml).</t>
  </si>
  <si>
    <t>Untuk meringankan gejala flu yang disertai batuk.</t>
  </si>
  <si>
    <t>Hipersensitif, penderita asma, diabetes, liver, bronkitis kronis, dan emfisema</t>
  </si>
  <si>
    <t>Hentikan penggunaan apabila terjadi reaksi alergi, hati-hati penggunaan pada penderita asma, hati-hati penggunaan pada ibu menyusui, hindari konsumsi alkohol ketika menggunaan obat ini, hati-hati penggunaan pada penderita gangguan fungsi hati dan ginjal, Obat ini dapat menyebabkan kantuk</t>
  </si>
  <si>
    <t>untuk meringankan gejala flu disertai batuk</t>
  </si>
  <si>
    <t>flucadex</t>
  </si>
  <si>
    <t>flucadex sirup chlorphenamine maleate untuk meringankan gejala flu disertai batuk</t>
  </si>
  <si>
    <t>DKL1918218210A1</t>
  </si>
  <si>
    <t>Bronchitin 10 Tablet</t>
  </si>
  <si>
    <t>HARUS DENGAN RESEP DOKTER. Glaukoma sudut sempit, hipertensi, DM, hipertiroid.</t>
  </si>
  <si>
    <t>bronchitin</t>
  </si>
  <si>
    <t>bronchitin tablet pseudoephedrine hydrochloride triprolidine hydrochloride rhinitis alergika  rhinitis vasomotor</t>
  </si>
  <si>
    <t>DKL9209204010A1</t>
  </si>
  <si>
    <t>Farsiretic 40 mg 10 Tablet</t>
  </si>
  <si>
    <t>Rp2.700 - Rp4.400</t>
  </si>
  <si>
    <t>farsiretic</t>
  </si>
  <si>
    <t>farsiretic tablet furosemide edema akibat gangguan jantung  hati  ginjal  hipertensi</t>
  </si>
  <si>
    <t>DKL0731113233A1</t>
  </si>
  <si>
    <t>Grameta Suspensi 30 ml</t>
  </si>
  <si>
    <t>Rp3.700 - Rp5.300</t>
  </si>
  <si>
    <t>Mual - Muntah pada anak2 akibat kemoterapi &amp; radioterapi</t>
  </si>
  <si>
    <t>mual - muntah anak2 akibat kemoterapi radioterapi</t>
  </si>
  <si>
    <t>grameta</t>
  </si>
  <si>
    <t>grameta suspensi domperidone maleate mual  muntah anak2 akibat kemoterapi radioterapi</t>
  </si>
  <si>
    <t>DKL9000902629A1</t>
  </si>
  <si>
    <t>Bravoderm-N Cream 5 g</t>
  </si>
  <si>
    <t>Rp20.800 - Rp30.900</t>
  </si>
  <si>
    <t>PENGGUNAAN OBAT INI HARUS SESUAI DENGAN PETUNJUK DOKTER. Oleskan sedikit cream pada bagian yang sakit sebanyak dua kali atau tiga kali sehari dan gosoklah periahan - lahan dengan seksama agar meresap ke dalam kulit.</t>
  </si>
  <si>
    <t>Dermatitis disebabkan oleh mikroorganisme yang sensitif terhadap Neomycin.</t>
  </si>
  <si>
    <t>HARUS DENGAN RESEP DOKTER. Bila tanda - tanda infeksi sekunder tidak tampak, harap dibuat kultur terlebih dahulu.</t>
  </si>
  <si>
    <t>dermatitis disebabkan mikroorganisme sensitif neomycin</t>
  </si>
  <si>
    <t>bravodermn cream</t>
  </si>
  <si>
    <t>bravodermn cream krim fluocinolone acetonide dermatitis disebabkan mikroorganisme sensitif neomycin</t>
  </si>
  <si>
    <t>TI204559601</t>
  </si>
  <si>
    <t>Himalaya Cystone 100 Tablet</t>
  </si>
  <si>
    <t>HIMALAYA CYSTONE TABLET</t>
  </si>
  <si>
    <t>Rp320.000 - Rp547.700</t>
  </si>
  <si>
    <t>Dapat diberikan dengan atau tanpa makanan</t>
  </si>
  <si>
    <t>Batu Ginjal dan Kristaluria 2 kali sehari 2 tablet sampai batu keluar Pre-ESWL (Sebelum Operasi Batu Ginjal) 2 kali sehari 2 tablet, 1 bulan sebelum ESWL (Operasi Batu Ginjal) Post-ESWL atau Operasi Batu Ginjal 2 kali sehari 1 tablet selama 6 bulan Rasa Panas Saat Berkemih / Infeksi Salutan Kencing 2 kali sehari 2 tablet selama 7 hari</t>
  </si>
  <si>
    <t>Membantu melancarkan buang air kecil</t>
  </si>
  <si>
    <t>1 Dos Isi 100 Tablet</t>
  </si>
  <si>
    <t>Tidak di rekomendasikan untuk Batu Ginjal dgn ukuran di atas &gt; 8mm</t>
  </si>
  <si>
    <t>Pada obstruksi ureter lengkap, tidak disarankan untuk mengkonsumsi tablet Cystone</t>
  </si>
  <si>
    <t>himalaya cystone tablet</t>
  </si>
  <si>
    <t>himalaya cystone</t>
  </si>
  <si>
    <t>himalaya cystone tablet himalaya cystone tablet membantu melancarkan buang air</t>
  </si>
  <si>
    <t>Kondom Simplex Long Love isi 12</t>
  </si>
  <si>
    <t>Rp35.400 - Rp44.600</t>
  </si>
  <si>
    <t>kondom simplex long love isi</t>
  </si>
  <si>
    <t>kondom simplex long love isi tablet sildenafil citrate alat kontrasepsi</t>
  </si>
  <si>
    <t>DKL7206316546A1</t>
  </si>
  <si>
    <t>Erlamycetin Eye Drops 10 ml</t>
  </si>
  <si>
    <t>Rp11.400 - Rp18.000</t>
  </si>
  <si>
    <t>PENGGUNAAN OBAT INI HARUS SESUAI DENGAN PETUNJUK DOKTER. 2 tetes, obat tetes mata 3-4 kali per hari.</t>
  </si>
  <si>
    <t>INFORMASI OBAT INI HANYA UNTUK KALANGAN MEDIS. Pengobatan irittis, uvetis, konjungtivitis, keratitis, dacryocystitis.</t>
  </si>
  <si>
    <t>HARUS DENGAN RESEP DOKTER. Hindari penggunaan untuk anak-anak, kehamilan, menyusui, dan penggunaan jangka panjang. Obat tetes mata dapat menyebabkan penglihatan kabur sementara, jika terpengaruh jangan mengemudi atau mengoperasikan mesin.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</si>
  <si>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irittis , uvetis , konjungtivitis , keratitis , dacryocystitis</t>
  </si>
  <si>
    <t>erlamycetin eye</t>
  </si>
  <si>
    <t>erlamycetin eye tetes chloramphenicol pengobatan irittis  uvetis  konjungtivitis  keratitis  dacryocystitis</t>
  </si>
  <si>
    <t>DKL9331103610A1</t>
  </si>
  <si>
    <t>Grafalin 2mg 10 Tablet</t>
  </si>
  <si>
    <t>Rp1.100 - Rp3.500</t>
  </si>
  <si>
    <t>PENGGUNAAN OBAT INI HARUS SESUAI DENGAN PETUNJUK DOKTER. Dewasa : 3-4 kali sehari 1-2 tablet. Anak-anak berusia 6-12 tahun : 3 kali sehari 1 tablet. Anak berusia 2-6 tahun : 3 kali sehari 1/2 tablet.</t>
  </si>
  <si>
    <t>Bronkospasme pada semua jenis asma bronkial, bronkritis kronik, dan emfisema.</t>
  </si>
  <si>
    <t>hipersensitif, takiaritmia jantung</t>
  </si>
  <si>
    <t>Obat Wajib Apotek, Obat ini dapat dibeli dan diserahkan apoteker tanpa resep dengan maksimum 2 Strip. Pembelian melebihi batas ini WAJIB RESEP DOKTER. Hipertiroidisme, aneurisma, diabetes melitus, glaukoma sudut tertutup. Kategori Kehamilan : C</t>
  </si>
  <si>
    <t>bronkospasme jenis asma bronkial , bronkritis kronik , emfisema</t>
  </si>
  <si>
    <t>grafalin tablet salbutamol bronkospasme jenis asma bronkial  bronkritis kronik  emfisema</t>
  </si>
  <si>
    <t>TR183216051</t>
  </si>
  <si>
    <t>Gentong Mas Gula Aren Instant 200 g</t>
  </si>
  <si>
    <t>GENTONG MAS</t>
  </si>
  <si>
    <t>Rp39.300 - Rp81.500</t>
  </si>
  <si>
    <t>2 sendok makan serbuk dilarutkan dalam segelas air</t>
  </si>
  <si>
    <t>Menjaga kesehatan tubuh</t>
  </si>
  <si>
    <t>Dus @ 200 g</t>
  </si>
  <si>
    <t>Ibu hamil dan menyusui, serta hindari juga penggunaan pada pasien epilepsi, hipertensi menahun atau tekanan intrakranial yang tinggi</t>
  </si>
  <si>
    <t>gentong mas</t>
  </si>
  <si>
    <t>menjaga kesehatan tubuh</t>
  </si>
  <si>
    <t>gentong mas gula aren instant</t>
  </si>
  <si>
    <t>gentong mas gula aren instant  gentong mas menjaga kesehatan tubuh</t>
  </si>
  <si>
    <t>DKL9431104310B1</t>
  </si>
  <si>
    <t>Gralixa 40 mg 10 Tablet</t>
  </si>
  <si>
    <t>Rp2.000 - Rp3.200</t>
  </si>
  <si>
    <t>gralixa</t>
  </si>
  <si>
    <t>gralixa tablet furosemide edema akibat gangguan jantung  hati  ginjal  hipertensi</t>
  </si>
  <si>
    <t>Kondom Simplex Strawberry Fragrance isi 3</t>
  </si>
  <si>
    <t>Rp7.100 - Rp14.300</t>
  </si>
  <si>
    <t>kondom simplex strawberry fragrance isi</t>
  </si>
  <si>
    <t>kondom simplex strawberry fragrance isi tablet sildenafil citrate alat kontrasepsi</t>
  </si>
  <si>
    <t>Softex Celana Menstruasi Pembalut All Size 2 Pieces</t>
  </si>
  <si>
    <t>Rp18.000 - Rp35.200</t>
  </si>
  <si>
    <t>softex celana menstruasi pembalut all size pieces</t>
  </si>
  <si>
    <t xml:space="preserve">softex celana menstruasi pembalut all size pieces tablet sildenafil citrate </t>
  </si>
  <si>
    <t>DKL0622242246A1</t>
  </si>
  <si>
    <t>Levocin 5 mg/ml Eye Drops 5 ml</t>
  </si>
  <si>
    <t>Rp109.000 - Rp111.600</t>
  </si>
  <si>
    <t>Diteteskan pada mata yang sakit/radang</t>
  </si>
  <si>
    <t>PENGGUNAAN OBAT INI HARUS SESUAI DENGAN PETUNJUK DOKTER. 3 x sehari 1 tetes</t>
  </si>
  <si>
    <t>Pengobatan infeksi mata eksternal (di luar bola mata)</t>
  </si>
  <si>
    <t>Hipersensitif terhadap kuinolon</t>
  </si>
  <si>
    <t>HARUS DENGAN RESEP DOKTER. Hindari penggunaan jangka lama. Tidak boleh diberikan secara injeksi SK atau langsung diteteskan pada bilik mata depan. Tidak boleh digunakan untuk infeksi Staphylococcus aureus yang resisten terhadap antibiotik betalaktam. Hamil dan laktasi</t>
  </si>
  <si>
    <t>levofloxacin</t>
  </si>
  <si>
    <t>pengobatan infeksi mata eksternal bola mata</t>
  </si>
  <si>
    <t>levocin eye</t>
  </si>
  <si>
    <t>levocin eye tetes levofloxacin pengobatan infeksi mata eksternal bola mata</t>
  </si>
  <si>
    <t>TR133371881</t>
  </si>
  <si>
    <t>Habbatussaida Kamil Minyak Jinten Hitam 70 Kapsul</t>
  </si>
  <si>
    <t>KAPSUL JINTEN HITAM HABBATUSSAUDA KAMIL</t>
  </si>
  <si>
    <t>Rp44.400 - Rp64.900</t>
  </si>
  <si>
    <t>Botol @ 70 Kapsul</t>
  </si>
  <si>
    <t>kapsul jinten hitam habbatussauda kamil</t>
  </si>
  <si>
    <t>habbatussaida kamil jinten hitam</t>
  </si>
  <si>
    <t xml:space="preserve">habbatussaida kamil jinten hitam kapsul kapsul jinten hitam habbatussauda kamil </t>
  </si>
  <si>
    <t>KAPSUL JINTEN HITAM HABBATUSSAUDA "KAMIL"</t>
  </si>
  <si>
    <t>kapsul jinten hitam habbatussauda "kamil"</t>
  </si>
  <si>
    <t>DKL1934614446A1</t>
  </si>
  <si>
    <t>Lergio Eye Drops 5 ml</t>
  </si>
  <si>
    <t>Satu tetes pada mata yang sakit, dua kali sehari dengan interval 6 sampai 8 jam</t>
  </si>
  <si>
    <t>2 kali sehari 1 tetes pada tiap mata dengan interval 6-8 jam</t>
  </si>
  <si>
    <t>Pengobatan pada tanda dan gejala konjungtivitis alergi</t>
  </si>
  <si>
    <t>Dus, 1 botol @ 5 ml</t>
  </si>
  <si>
    <t>Dikontraindikasikan pada pasien yang diketahui hipersensitif terhadap olopatadine hydrochloride atau komponen lain pada produk</t>
  </si>
  <si>
    <t>Olopatadine hydrochloride tetes mata 0,1% hanya untuk penggunaan topikal dan tidak untuk penggunaan injeksi atau oral.</t>
  </si>
  <si>
    <t>olopatadine hydrochloride</t>
  </si>
  <si>
    <t>pengobatan tanda gejala konjungtivitis alergi</t>
  </si>
  <si>
    <t>lergio eye</t>
  </si>
  <si>
    <t>lergio eye tetes olopatadine hydrochloride pengobatan tanda gejala konjungtivitis alergi</t>
  </si>
  <si>
    <t>GKL1315715538A1</t>
  </si>
  <si>
    <t>Erdosteine Dry Sirup 60 ml</t>
  </si>
  <si>
    <t>Suspensikan terlebih dahulu dengan menambahkan 48 ml air, hingga terbentuk suspensi 60 ml. Setelah disuspensikan obat stabil dalam lemari es (2-8ï¿½C) dan tidak boleh digunakan lebih dari 7 hari.</t>
  </si>
  <si>
    <t>PENGGUNAAN OBAT INI HARUS SESUAI DENGAN PETUNJUK DOKTER. Dewasa &amp; anak &gt; 30 kg : 2 x sehari, 2 sendok teh (10 ml). Anak dengan BB 20-30 kg : 3 x sehari, 1 sendok teh (5ml) Anak dengan BB 15-20 kg : 2 x sehari, 1 sendok teh (5 ml)</t>
  </si>
  <si>
    <t>Mukolitik, pengencer dahak pada penyakit saluran nafas akut dan kronik.</t>
  </si>
  <si>
    <t>Hipersensitivitas individu yang diketahui terhadap produk. Kontraindikasi pada pasien yang menderita sirosis hati dan defisiensi enzim cystathionine-synthase. Pada pasien dengan gagal ginjal berat (klirens kreatinin &lt;25 mL/menit).</t>
  </si>
  <si>
    <t>HARUS DENGAN RESEP DOKTER. Setelah disuspensikan (dilarutkan dengan air) obat stabil dalam lemari es (2-8ï¿½C) dan tidak boleh digunakan lebih dari 7 hari. Hentikan pemberian dan konsultasikan dengan dokter bila terjadi reaksi yang merugikan. Tidak ada efek yang dilaporkan pada kemampuan mengemudi dan menggunakan mesin. Produk mengandung sukrosa (untuk suspensi), pertimbangkan hal ini dalam kasus diabetes atau diet rendah kalori. Kategori kehamilan: Belum terdapat data keamanan terkait penggunaan obat ini pada wanita hamil dan/atau menyusui. Konsultasikan kepada dokter apabila Anda sedang hamil dan/atau menyusui.</t>
  </si>
  <si>
    <t>mukolitik , pengencer dahak penyakit saluran nafas akut kronik</t>
  </si>
  <si>
    <t>erdosteine sirup mukolitik  pengencer dahak penyakit saluran nafas akut kronik</t>
  </si>
  <si>
    <t>gentamicin sulfate betamethasone valerate</t>
  </si>
  <si>
    <t>salgen plus cream krim gentamicin sulfate betamethasone valerate meringankan inflamasi</t>
  </si>
  <si>
    <t>DTL1438202046A1</t>
  </si>
  <si>
    <t>Insto Reguler Eye Drops 15 ml</t>
  </si>
  <si>
    <t>Rp21.400 - Rp24.200</t>
  </si>
  <si>
    <t>Diteteskan pada mata yang merah/teriritasi</t>
  </si>
  <si>
    <t>3-4 x sehari 2-3 tetes</t>
  </si>
  <si>
    <t>Meredakan iritasi &amp; kemerahan pada mata</t>
  </si>
  <si>
    <t>hipersensitif penderita glaukoma</t>
  </si>
  <si>
    <t>Jangan dipakai sesudah dibuka 1 bulan. Tidak boleh diberikan pada penderita glaukoma. Jangan digunakan secara rutin atau jangka panjang. Ketika digunakan, lepaskan lensa kontak. Lensa kontak boleh digunakan minimal 15 menit setelah obat diteteskan.</t>
  </si>
  <si>
    <t>meredakan iritasi kemerahan mata</t>
  </si>
  <si>
    <t>insto reguler eye</t>
  </si>
  <si>
    <t>insto reguler eye tetes tetrahydrozoline hydrochloride meredakan iritasi kemerahan mata</t>
  </si>
  <si>
    <t>Onemed Plesterin Kids 25 Lembar</t>
  </si>
  <si>
    <t>Rp6.000 - Rp8.200</t>
  </si>
  <si>
    <t>Menutupi luka luar agar terhindar dari bakteri.</t>
  </si>
  <si>
    <t>Box @ 25 Strips</t>
  </si>
  <si>
    <t>onemed plesterin kids lembar</t>
  </si>
  <si>
    <t>onemed plesterin kids lembar larutan povidoneiodine menutupi luka terhindar bakteri</t>
  </si>
  <si>
    <t>Verban Husada 4Y X 8 cm</t>
  </si>
  <si>
    <t>Rp5.500 - Rp5.800</t>
  </si>
  <si>
    <t>Bersihkan luka dari kotoran, bakteri dan partikel untuk mencegah infeksi. Keringkan kulit sekitar luka dengan lembut. Tutup luka dari kotoran dan bakteri menggunakan verban.</t>
  </si>
  <si>
    <t>Untuk menutup atau membalut luka</t>
  </si>
  <si>
    <t>Pack Isi 10</t>
  </si>
  <si>
    <t>untuk menutup membalut luka</t>
  </si>
  <si>
    <t>verban husada y x larutan povidoneiodine untuk menutup membalut luka</t>
  </si>
  <si>
    <t>DKL7803810746B1</t>
  </si>
  <si>
    <t>Cendo Carpine 1% Eye Drops 5 ml</t>
  </si>
  <si>
    <t>Rp17.400 - Rp24.400</t>
  </si>
  <si>
    <t>pilocarpine hydrochloride</t>
  </si>
  <si>
    <t>cendo carpine eye tetes pilocarpine hydrochloride anti glaukoma simplek kronis</t>
  </si>
  <si>
    <t>TI164650311</t>
  </si>
  <si>
    <t>Yunnan Baiyao Aerosol 50 g</t>
  </si>
  <si>
    <t>YUNNAN BAIYAO AEROSOL</t>
  </si>
  <si>
    <t>Rp61.800 - Rp96.100</t>
  </si>
  <si>
    <t>Untuk pemakaian luar. Kocoklah dahulu sebelum disemprot dan semprot dengan posisi botol dalam keadaan tegak (tidak terbalik) dengan jarak semprot 5-10 cm. Disemprotkan pada bagian yang sakit, sehari 3 -5 kali.</t>
  </si>
  <si>
    <t>Membantu meredakan pegal linu dan mengurangi bengkak.</t>
  </si>
  <si>
    <t>Botol @ 50 G</t>
  </si>
  <si>
    <t>1. Hanya untuk pemakaian luar. 2. Hindari semprotan ke mulut, lubang hidung dan mata. Jika terkena mata, segera cuci dengan air bersih. 3. Jauhkan dari api dan tekanan udara tinggi.</t>
  </si>
  <si>
    <t>yunnan baiyao aerosol</t>
  </si>
  <si>
    <t>membantu meredakan pegal linu mengurangi bengkak</t>
  </si>
  <si>
    <t>yun baiyao aerosol spray membantu meredakan pegal linu mengurangi bengkak</t>
  </si>
  <si>
    <t>DBL0617206837A1</t>
  </si>
  <si>
    <t>OBH Nellco Batuk Berdahak 100 ml</t>
  </si>
  <si>
    <t>Rp12.900 - Rp21.500</t>
  </si>
  <si>
    <t>Dewasa : 3 sendok takar (15 ml), 3 kali sehari. Anak 6 - 12 tahun : 1.5 sendok takar (7.5 ml), 3 kali sehari.</t>
  </si>
  <si>
    <t>Meringankan batuk berdahak</t>
  </si>
  <si>
    <t>Hipersensitif terhadap obat.</t>
  </si>
  <si>
    <t>Bila gejala tidak membaik, segera konsultasikan ke dokter</t>
  </si>
  <si>
    <t>meringankan batuk berdahak</t>
  </si>
  <si>
    <t>obh nellco batuk berdahak</t>
  </si>
  <si>
    <t>obh nellco batuk berdahak sirup ammonium chloride meringankan batuk berdahak</t>
  </si>
  <si>
    <t>Yunnan Baiyao Aerosol 85 g</t>
  </si>
  <si>
    <t>Rp101.900 - Rp122.700</t>
  </si>
  <si>
    <t>Botol @ 85 G</t>
  </si>
  <si>
    <t>Hansaplast Sensitive 6 Lembar</t>
  </si>
  <si>
    <t>Rp11.200 - Rp12.800</t>
  </si>
  <si>
    <t>Digunakan sesuai kebutuhan</t>
  </si>
  <si>
    <t>Menutup dan melindungi luka dan mencegah infeksi</t>
  </si>
  <si>
    <t>Pack @ 6 Lembar</t>
  </si>
  <si>
    <t>menutup melindungi luka mencegah infeksi</t>
  </si>
  <si>
    <t>hansaplast sensitive lembar</t>
  </si>
  <si>
    <t>hansaplast sensitive lembar larutan povidoneiodine menutup melindungi luka mencegah infeksi</t>
  </si>
  <si>
    <t>DKI1631600517A1</t>
  </si>
  <si>
    <t>Bioprexum Plus 30 Tablet</t>
  </si>
  <si>
    <t>Rp406.800 - Rp496.400</t>
  </si>
  <si>
    <t>Saat perut kosong, sebelum makan</t>
  </si>
  <si>
    <t>Hipertensi esensial yang tidak dapat diatasi secara adekuat oleh Perindopril saja</t>
  </si>
  <si>
    <t>Dus, Botol @ 30 Tablet Salut Selaput</t>
  </si>
  <si>
    <t>Hamil, laktasi, anak dan remaja. Riwayat angioedema, angioedema herediter atau idiopatik, gangguan ginjal (bersihan kreatinin &lt; 30 mL/menit) dan hati berat, ensefalopati hepatik, hipokalemia, pasien dialisis dan pasien dekompensasi jantung yang tidak dite</t>
  </si>
  <si>
    <t>HARUS DENGAN RESEP DOKTER. Usia lanjut. Gangguan keseimbangan eletrolit, diabetes, gout, hipotensi atau diet ketat bebas Natrium, gagal jantung atau ginjal, aterosklerosis, stenosis arteri renalis.</t>
  </si>
  <si>
    <t>hipertensi esensial tidak diatasi adekuat perindopril</t>
  </si>
  <si>
    <t>bioprexum plus</t>
  </si>
  <si>
    <t>bioprexum plus tablet indapamide hipertensi esensial tidak diatasi adekuat perindopril</t>
  </si>
  <si>
    <t>DKL1833534381B1</t>
  </si>
  <si>
    <t>Ondavell ODT 4 mg 10 Tablet</t>
  </si>
  <si>
    <t>Rp226.800 - Rp249.400</t>
  </si>
  <si>
    <t>PENGGUNAAN OBAT INI HARUS SESUAI DENGAN PETUNJUK DOKTER. Chemotherapy yang sangat ataupun kurang emetogenic - Dewasa : diberikan setelah/mengikuti pemberian injeksi/infus Ondansetron, 2 tablet setiap 8 jam selama 5 hari. Anak &gt; 4 tahun : diberikan setelah/mengikuti pemberian injeksi/infus Ondansetron, 1 tablet</t>
  </si>
  <si>
    <t>Mual dan Muntah akibat dari kemoterapi sitotoksik dan radioterapi.</t>
  </si>
  <si>
    <t>Dus, 1 Blister @ 10 Tablet Dispersible</t>
  </si>
  <si>
    <t>Pasien dengan sindrom QT panjang bawaan. Penggunaan bersamaan dari apomorphine.</t>
  </si>
  <si>
    <t>HARUS DENGAN RESEP DOKTER. Gangguan hati sedang atau berat. Hamil dan laktasi.</t>
  </si>
  <si>
    <t>mual muntah akibat kemoterapi sitotoksik radioterapi</t>
  </si>
  <si>
    <t>ondavell odt tablet ondansetron mual muntah akibat kemoterapi sitotoksik radioterapi</t>
  </si>
  <si>
    <t>DKL9610701446A1</t>
  </si>
  <si>
    <t>Reco 0.5% Eye Drops 10 ml</t>
  </si>
  <si>
    <t>Rp9.600 - Rp11.500</t>
  </si>
  <si>
    <t>PENGGUNAAN OBAT INI HARUS SESUAI DENGAN PETUNJUK DOKTER. Awal 3-4 kali sehari 2 tetes</t>
  </si>
  <si>
    <t>Konjungtivitis bakterial dan infeksi mata/okular superfisial lainnya</t>
  </si>
  <si>
    <t>Tetes Mata 0.5% X 10 ml X 1</t>
  </si>
  <si>
    <t>HARUS DENGAN RESEP DOKTER. Pertumbuhan berlebihan dari organisme yang tidak peka termasuk jamur (penggunaan jangka lama)</t>
  </si>
  <si>
    <t>konjungtivitis bakterial infeksi mata okular superfisial</t>
  </si>
  <si>
    <t>reco eye</t>
  </si>
  <si>
    <t>reco eye tetes chloramphenicol konjungtivitis bakterial infeksi mata okular superfisial</t>
  </si>
  <si>
    <t>DKL0515619110A1</t>
  </si>
  <si>
    <t>Clovertil 50 mg 10 Tablet</t>
  </si>
  <si>
    <t>Rp154.500 - Rp184.900</t>
  </si>
  <si>
    <t>PENGGUNAAN OBAT INI HARUS SESUAI DENGAN PETUNJUK DOKTER. Pada wanita: 1x1 tablet selama 5 hari dimulai hari kelima siklus menstruasi, dosis dapat ditingkatkan menjadi 100 mg dosis tunggal selama 5 hari dimulai 30 hari sejak siklus menstruasi. Pria: sehari 1 tablet selama 40-9- hari</t>
  </si>
  <si>
    <t>Infertilitas karena gangguan ovulasi pada wanita dan oligosperma pada pria</t>
  </si>
  <si>
    <t>Tablet 50 mg x 3 x 10</t>
  </si>
  <si>
    <t>Hipersensitif, insufisiensi hati, kehamilan dan kista ovarium, gangguan metabolisme bilirubin, disfungsi adrenal atau tiroid</t>
  </si>
  <si>
    <t>HARUS DENGAN RESEP DOKTER. Perlu pemeriksaan yang baik sebelum pemakaian</t>
  </si>
  <si>
    <t>infertilitas gangguan ovulasi wanita oligosperma pria</t>
  </si>
  <si>
    <t>clovertil</t>
  </si>
  <si>
    <t>clovertil tablet clomifene citrate infertilitas gangguan ovulasi wanita oligosperma pria</t>
  </si>
  <si>
    <t>Hansaplast Marvel Avenger 10 Lembar</t>
  </si>
  <si>
    <t>Rp11.300 - Rp11.800</t>
  </si>
  <si>
    <t>Pack Isi 10 Lembar (7 standar dan 3 jumbo)</t>
  </si>
  <si>
    <t>hansaplast marvel avenger lembar</t>
  </si>
  <si>
    <t>hansaplast marvel avenger lembar larutan povidoneiodine penutup luka  mencegah infeksi</t>
  </si>
  <si>
    <t>TI174356941</t>
  </si>
  <si>
    <t>Renalof 325 mg 30 Kapsul</t>
  </si>
  <si>
    <t>RENALOF</t>
  </si>
  <si>
    <t>Berikan 1/2 jam sebelum makan.</t>
  </si>
  <si>
    <t>1 kapsul tiap 8 jam.</t>
  </si>
  <si>
    <t>Membantu mengeliminasi batu oksalat pada ginjal dan saluran kemih tanpa rasa nyeri.</t>
  </si>
  <si>
    <t>Kapsul 325 Mg X 30</t>
  </si>
  <si>
    <t>renalof</t>
  </si>
  <si>
    <t>membantu mengeliminasi batu oksalat ginjal saluran kemih nyeri</t>
  </si>
  <si>
    <t>renalof kapsul membantu mengeliminasi batu oksalat ginjal saluran kemih nyeri</t>
  </si>
  <si>
    <t>Onemed Plesterin Elastis 100 Lembar</t>
  </si>
  <si>
    <t>Rp22.000 - Rp22.500</t>
  </si>
  <si>
    <t>Box @ 100 Strips</t>
  </si>
  <si>
    <t>onemed plesterin elastis lembar</t>
  </si>
  <si>
    <t>onemed plesterin elastis lembar larutan povidoneiodine menutupi luka terhindar bakteri</t>
  </si>
  <si>
    <t>andalan kb tablet levonorgestrel ethinylestradiol sebagai kontrasepsi oral mencegah kehamilan</t>
  </si>
  <si>
    <t>DKL0721633217A1</t>
  </si>
  <si>
    <t>Rhomuz 2 mg 10 Tablet</t>
  </si>
  <si>
    <t>Rp21.200 - Rp30.700</t>
  </si>
  <si>
    <t>PENGGUNAAN OBAT INI HARUS SESUAI DENGAN PETUNJUK DOKTER. Dewasa : awal 2 tablet kemudian 1 tablet setiap habis defekasi. Maksimal : 8 tablet/hari. Anak &gt;8 tahun : Awal : 1 tablet kemudian sesuai kebutuhan. Maksimal : 4-6 tablet/hari.</t>
  </si>
  <si>
    <t>Diare akut non spesifik &amp; diare kronik</t>
  </si>
  <si>
    <t>Tablet 2 Mg X 3 X 10</t>
  </si>
  <si>
    <t>Anak &lt; 12 tahun, gangguan fungsi hati, kondisi dimana dibutuhkan peristaltik usus.</t>
  </si>
  <si>
    <t>HARUS DENGAN RESEP DOKTER. Gagal ginjal dan hati, tidak dianjurkan untuk diare akut akibat infeksi E Coli, Salmonella dan Shingella, diare disertai demam tinggi atau feses berdarah. Hamil, laktasi, dan Anak.</t>
  </si>
  <si>
    <t>diare akut non spesifik diare kronik</t>
  </si>
  <si>
    <t>rhomuz</t>
  </si>
  <si>
    <t>rhomuz tablet loperamide hydrochloride diare akut non spesifik diare kronik</t>
  </si>
  <si>
    <t>Sensitif Vivo Extra Sensation 12 Pieces</t>
  </si>
  <si>
    <t>Rp66.400 - Rp72.600</t>
  </si>
  <si>
    <t>Dus, 12 Pieces</t>
  </si>
  <si>
    <t>Kemasan yang sudah di buka, harus segera di pakai. Hanya untuk satu kali pemakaian. Hindari benda tajam.</t>
  </si>
  <si>
    <t>sensitif vivo extra sensation pieces</t>
  </si>
  <si>
    <t>sensitif vivo extra sensation pieces tablet sildenafil citrate alat kontrasepsi</t>
  </si>
  <si>
    <t>Tegaderm 1626W 10 cm X 12 cm</t>
  </si>
  <si>
    <t>Rp37.700 - Rp42.200</t>
  </si>
  <si>
    <t>Untuk perawatan luka tusuk infus</t>
  </si>
  <si>
    <t>Dus @ 50 Lembar @ 10 cm X 12 cm</t>
  </si>
  <si>
    <t>untuk perawatan luka tusuk infus</t>
  </si>
  <si>
    <t>tegaderm w x</t>
  </si>
  <si>
    <t>tegaderm w x larutan povidoneiodine untuk perawatan luka tusuk infus</t>
  </si>
  <si>
    <t>DKL0904426629A1</t>
  </si>
  <si>
    <t>Oviskin-N Cream 5 g</t>
  </si>
  <si>
    <t>Rp6.800 - Rp10.000</t>
  </si>
  <si>
    <t>Eksema, dermatitis, psoriasis, intertrigo, alergi</t>
  </si>
  <si>
    <t>Tube 5 Gr Krim</t>
  </si>
  <si>
    <t>Hipersensitif, TB kulit, infeksi jamur dan virus pada kulit .</t>
  </si>
  <si>
    <t>HARUS DENGAN RESEP DOKTER. Tuberkulosis kulit, tidak boleh kontak daerah mata, pemakaian jangka panjang</t>
  </si>
  <si>
    <t>eksema , dermatitis , psoriasis , intertrigo , alergi</t>
  </si>
  <si>
    <t>oviskinn cream</t>
  </si>
  <si>
    <t>oviskinn cream krim betamethasone valerate eksema  dermatitis  psoriasis  intertrigo  alergi</t>
  </si>
  <si>
    <t>DKL9630903610A1</t>
  </si>
  <si>
    <t>Lexadium 2 mg 6 Tablet</t>
  </si>
  <si>
    <t>Rp4.000 - Rp4.200</t>
  </si>
  <si>
    <t>PENGGUNAAN OBAT INI HARUS SESUAI DENGAN PETUNJUK DOKTER. Untuk diare non spesifik : awal 2 tablet/hari. Dosis biasa : 2-4 tablet 1-2 kali/hari. Maksimal : 8 tablet/hari. Untuk diare kronik : 2-4 tablet/hari dalam dosis terbagi. Maksimal : 8 tablet/hari.</t>
  </si>
  <si>
    <t>Kolitis akut. Konstipasi harus dihindari.</t>
  </si>
  <si>
    <t>HARUS DENGAN RESEP DOKTER. Gagal ginjal dan hati, tidak dianjurkan untuk diare akut akibat infeksi E Coli, Salmonella dan Shingella, diare disertai demam tinggi atau feses berdarah. Hamil, laktasi, dan Anak &lt; 12 tahun.</t>
  </si>
  <si>
    <t>lexadium</t>
  </si>
  <si>
    <t>lexadium tablet loperamide hydrochloride pengobatan diare akut non spesifik kronik</t>
  </si>
  <si>
    <t>Hansaplast Kain Elastis 100 Lembar</t>
  </si>
  <si>
    <t>Rp35.000 - Rp35.100</t>
  </si>
  <si>
    <t>Dus @ 100 lembar</t>
  </si>
  <si>
    <t>hansaplast kain elastis lembar</t>
  </si>
  <si>
    <t>hansaplast kain elastis lembar larutan povidoneiodine penutup luka  mencegah infeksi</t>
  </si>
  <si>
    <t>DKL7804407610B1</t>
  </si>
  <si>
    <t>Salbron 2 mg 10 Tablet</t>
  </si>
  <si>
    <t>Rp2.100 - Rp3.500</t>
  </si>
  <si>
    <t>Tablet 2 Mg X 10 X 10</t>
  </si>
  <si>
    <t>Hipersensitif terhadap komponen SALBRON Expectorant.</t>
  </si>
  <si>
    <t>Obat Wajib Apotek, Obat ini dapat dibeli dan diserahkan apoteker tanpa resep dengan maksimum 2 Strip. Pembelian melebihi batas ini WAJIB RESEP DOKTER. Hipertiroidisme, aneurisma, diabetes melitus, glaukoma sudut tertutup.</t>
  </si>
  <si>
    <t>salbron</t>
  </si>
  <si>
    <t>salbron tablet salbutamol bronkospasme jenis asma bronkial  bronkritis kronik  emfisema</t>
  </si>
  <si>
    <t>DTL1413710201A1</t>
  </si>
  <si>
    <t>Nalitik 10 Kapsul</t>
  </si>
  <si>
    <t>Rp30.100 - Rp35.200</t>
  </si>
  <si>
    <t>bersamaan dengan makanan</t>
  </si>
  <si>
    <t>PENGGUNAAN OBAT INI HARUS SESUAI DENGAN PETUNJUK DOKTER. Dewasa &amp; anak &gt;14 tahun: 2-3 x sehari 1 kapsul Anak 6-14 tahun: 2 x sehari 1 kapsul Mukovisidosis Anak &gt;6 tahun: 3 x sehari 1 kapsul</t>
  </si>
  <si>
    <t>Bronkitis akut &amp; kronik, emfisema paru, mukovisidosis, bronkiektasis.</t>
  </si>
  <si>
    <t>HARUS DENGAN RESEP DOKTER. Pasien dengan asma atau riwayat bronkospasme, riwayat penyakit maag peptik. Kehamilan dan menyusui.</t>
  </si>
  <si>
    <t>bronkitis akut kronik , emfisema paru , mukovisidosis , bronkiektasis</t>
  </si>
  <si>
    <t>nalitik</t>
  </si>
  <si>
    <t>nalitik kapsul acetylcysteine bronkitis akut kronik  emfisema paru  mukovisidosis  bronkiektasis</t>
  </si>
  <si>
    <t>tetryzoline hydrochloride</t>
  </si>
  <si>
    <t>insto reguler eye tetes tetryzoline hydrochloride meredakan iritasi kemerahan mata</t>
  </si>
  <si>
    <t>neo diaform tablet kaolin pectin terapi simtomatik diare non spesifik</t>
  </si>
  <si>
    <t>TR092299101</t>
  </si>
  <si>
    <t>Sariayu Pelangsing Tea Slim 30 Kantong</t>
  </si>
  <si>
    <t>SARIAYU MARTHA TILAAR PELANGSING TEASLIM</t>
  </si>
  <si>
    <t>Rp43.100 - Rp44.700</t>
  </si>
  <si>
    <t>Dus, 30 Kantong @ 2 gram</t>
  </si>
  <si>
    <t>sariayu martha tilaar pelangsing teaslim</t>
  </si>
  <si>
    <t>sariayu pelangsing tea slim kantong</t>
  </si>
  <si>
    <t xml:space="preserve">sariayu pelangsing tea slim kantong  sariayu martha tilaar pelangsing teaslim </t>
  </si>
  <si>
    <t>TR193324131</t>
  </si>
  <si>
    <t>Daily Health Ekstrak Ikan Gabus 60 Kapsul</t>
  </si>
  <si>
    <t>DAILY HEALTH EKSTRAK IKAN GABUS</t>
  </si>
  <si>
    <t>Rp186.300 - Rp209.300</t>
  </si>
  <si>
    <t>2x2 kapsul</t>
  </si>
  <si>
    <t>daily health ekstrak ikan gabus</t>
  </si>
  <si>
    <t>daily health ekstrak ikan gabus kapsul membantu memelihara kesehatan tubuh</t>
  </si>
  <si>
    <t>DKL7803812046B1</t>
  </si>
  <si>
    <t>Cendo Tropine 1 % Eye Drop 5 ml</t>
  </si>
  <si>
    <t>Rp16.200 - Rp17.800</t>
  </si>
  <si>
    <t>Sebagai midriatikum dan sikloplegikum</t>
  </si>
  <si>
    <t>atropine sulfate</t>
  </si>
  <si>
    <t>sebagai midriatikum sikloplegikum</t>
  </si>
  <si>
    <t>cendo tropine eye drop</t>
  </si>
  <si>
    <t>cendo tropine eye drop tetes atropine sulfate sebagai midriatikum sikloplegikum</t>
  </si>
  <si>
    <t>Himalaya Cystone 25 Tablet</t>
  </si>
  <si>
    <t>Rp107.800 - Rp136.000</t>
  </si>
  <si>
    <t>bacitracin zinc neomycin sulfate</t>
  </si>
  <si>
    <t>enbatic powder bacitracin zinc neomycin sulfate infeksi kulit membran mukosa</t>
  </si>
  <si>
    <t>thiamine disulfide pyridoxine hydrochloride mecobalamin</t>
  </si>
  <si>
    <t>rebal plus kapsul thiamine disulfide pyridoxine hydrochloride mecobalamin neuropati perifer</t>
  </si>
  <si>
    <t>Oviskin-N Cream 10 g</t>
  </si>
  <si>
    <t>Rp10.700 - Rp18.600</t>
  </si>
  <si>
    <t>Tube 10 Gr Krim</t>
  </si>
  <si>
    <t>HARUS DENGAN RESEP DOKTER. Tuberkulosis kulit, tidak boleh kontak daerah mata, pemakaian jangka panjang Kategori Kehamilan : C</t>
  </si>
  <si>
    <t>DBL0308508637A1</t>
  </si>
  <si>
    <t>Dapyrin Sirup 60 ml</t>
  </si>
  <si>
    <t>Rp7.200 - Rp14.100</t>
  </si>
  <si>
    <t>Sirup: usia 0-1 tahun: sehari 3-4xÂ½ sdtk</t>
  </si>
  <si>
    <t>DKL1124401917A1</t>
  </si>
  <si>
    <t>Imodium 2 mg 10 Tablet</t>
  </si>
  <si>
    <t>Rp95.300 - Rp128.100</t>
  </si>
  <si>
    <t>PENGGUNAAN OBAT INI HARUS SESUAI DENGAN PETUNJUK DOKTER. Dewasa : awal 2 tablet kemudian 1 tablet setiap habis diare/mencret. Maksimal : 8 tablet/hari. Anak &gt;8 tahun : Awal : 1 tablet kemudian sesuai kebutuhan. Maksimal : 4-6 tablet/hari.</t>
  </si>
  <si>
    <t>INFORMASI OBAT INI HANYA UNTUK KALANGAN MEDIS. Diare akut non spesifik &amp; diare kronik</t>
  </si>
  <si>
    <t>Hipersensitivitas. Nyeri perut tanpa diare. Konstipasi. Menghambat peristaltik, gangguan fungsi hati. Anak &lt; 12 tahun</t>
  </si>
  <si>
    <t>HARUS DENGAN RESEP DOKTER. Gagal ginjal dan hati, tidak dianjurkan untuk diare akut akibat infeksi E Coli, Salmonella dan Shingella, diare disertai demam tinggi atau feses berdarah. Hamil, laktasi, dan Anak. Hentikan terapi jika diare tidak membaik setelah 48 jam pengobatan. Jangan mengemudi atau mengoperasikan mesin.</t>
  </si>
  <si>
    <t>imodium</t>
  </si>
  <si>
    <t>imodium tablet loperamide hydrochloride diare akut non spesifik diare kronik</t>
  </si>
  <si>
    <t>DTL0123405337A1</t>
  </si>
  <si>
    <t>Millsen Sirup 60 ml</t>
  </si>
  <si>
    <t>Rp6.500 - Rp7.900</t>
  </si>
  <si>
    <t>Anak-anak : 10 ml 3-4 x sehari</t>
  </si>
  <si>
    <t>Meredakan flu, batuk, dan pilek pada anak-anak.</t>
  </si>
  <si>
    <t>Alergik, hipersensitivitas, kerusakan hati</t>
  </si>
  <si>
    <t>Asma, berencana untuk hamil, bronkitis kronis, empisema, epilepsi, glaukoma, hamil. Hindari alkohol dan obat penenang lainnya saat obat ini. Hindari mengemudi atau mengoperasikan mesin. Hindari menggunakan jika alergi terhadap parasetamol</t>
  </si>
  <si>
    <t>meredakan flu , batuk , pilek anak - anak</t>
  </si>
  <si>
    <t>millsen</t>
  </si>
  <si>
    <t>millsen sirup chlorphenamine maleate meredakan flu  batuk  pilek anak  anak</t>
  </si>
  <si>
    <t>diagit tablet attapulgite pectin untuk pengobatan simptomatik diare tidak penyebabnya</t>
  </si>
  <si>
    <t>DKL8502306429A1</t>
  </si>
  <si>
    <t>Benoson 0.1% Cream 5 g</t>
  </si>
  <si>
    <t>Rp17.300 - Rp23.500</t>
  </si>
  <si>
    <t>oleskan pada tempat yang sakit</t>
  </si>
  <si>
    <t>PENGGUNAAN OBAT INI HARUS SESUAI DENGAN PETUNJUK DOKTER. Oleskan pada tempat kelainan 2-3 kali sehari</t>
  </si>
  <si>
    <t>Meringankan inflamasi dari sermatosis yang responsif terhadap kortikosteroid</t>
  </si>
  <si>
    <t>hipersensitif, Herpes simplex, vaccina, varicella, chickenpox, tuberkulosis kulit, Rosacea, akne vulgaris dan prioral dermatitis, prienal dan gatal pada alat kelamin, erupsi napkin dan infeksi virus</t>
  </si>
  <si>
    <t>Obat Wajib Apotek, Obat ini dapat dibeli dan diserahkan apoteker tanpa resep dengan maksimum 1 Tube. Pembelian melebihi batas ini WAJIB RESEP DOKTER. hamil, kontak dengan mata</t>
  </si>
  <si>
    <t>meringankan inflamasi sermatosis responsif kortikosteroid</t>
  </si>
  <si>
    <t>benoson cream</t>
  </si>
  <si>
    <t>benoson cream krim betamethasone valerate meringankan inflamasi sermatosis responsif kortikosteroid</t>
  </si>
  <si>
    <t>Reflotron Glucose 30 Strip</t>
  </si>
  <si>
    <t>Rp337.400 - Rp364.400</t>
  </si>
  <si>
    <t>Alat untuk menguji gula darah</t>
  </si>
  <si>
    <t>Strip 30 X 1</t>
  </si>
  <si>
    <t>alat menguji gula darah</t>
  </si>
  <si>
    <t>reflotron glucose strip</t>
  </si>
  <si>
    <t>reflotron glucose strip tablet pioglitazone hydrochloride alat menguji gula darah</t>
  </si>
  <si>
    <t>DKL0906413601A1</t>
  </si>
  <si>
    <t>Erphalanz 30 mg 10 Kapsul</t>
  </si>
  <si>
    <t>Rp166.300 - Rp168.100</t>
  </si>
  <si>
    <t>Diberikan sebelum makan</t>
  </si>
  <si>
    <t>PENGGUNAAN OBAT INI HARUS SESUAI DENGAN PETUNJUK DOKTER. Untuk tukak duodenum, refluks esofagitis : 30 mg/hari selama 4 minggu Untuk tukak lambung jinak : 30 mg/hari selama 8 minggu</t>
  </si>
  <si>
    <t>Tukak duodenum, tukak lambung jinak, refluks esofagitis</t>
  </si>
  <si>
    <t>Kapsul 30 Mg X 2 X 10</t>
  </si>
  <si>
    <t>tukak duodenum , tukak lambung jinak , refluks esofagitis</t>
  </si>
  <si>
    <t>erphalanz</t>
  </si>
  <si>
    <t>erphalanz kapsul lansoprazole tukak duodenum  tukak lambung jinak  refluks esofagitis</t>
  </si>
  <si>
    <t>GKL1604133533A1</t>
  </si>
  <si>
    <t>Sucralfate Suspensi 500 mg/5 ml 200 ml</t>
  </si>
  <si>
    <t>Rp35.000 - Rp95.100</t>
  </si>
  <si>
    <t>Diberikan saat perut kosong, 1 jam sebelum atau 2 jam sesudah makan.</t>
  </si>
  <si>
    <t>PENGGUNAAN OBAT INI HARUS SESUAI DENGAN PETUNJUK DOKTER. Dewasa : 4 x sehari 1 g (2 sendok takar)</t>
  </si>
  <si>
    <t>INFORMASI OBAT INI HANYA UNTUK KALANGAN MEDIS. Tukak lambung dan usus, gastritis kronik dan profilaksis perdarahan gastrointestinal</t>
  </si>
  <si>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</si>
  <si>
    <t>tukak lambung usus , gastritis kronik profilaksis perdarahan gastrointestinal</t>
  </si>
  <si>
    <t>sucralfate suspensi tukak lambung usus  gastritis kronik profilaksis perdarahan gastrointestinal</t>
  </si>
  <si>
    <t>DKL9805026810A1</t>
  </si>
  <si>
    <t>Pregnolin 5 mg 10 Tablet</t>
  </si>
  <si>
    <t>Rp55.600 - Rp61.100</t>
  </si>
  <si>
    <t>PENGGUNAAN OBAT INI HARUS SESUAI DENGAN PETUNJUK DOKTER. Abortus mengancam : 3 kali sehari 1 tablet selama 5 - 7 hari. Abortus hebatulasi : 1 - 2 tablet/hari segera setelah kehamilan terdiagnosa, sampai dengan minimal 1 bulan setelah masa kritis. Ancaman kelahiran prematur : dosis tergantung kondisi individual. Maksimal : 40 mg/hari</t>
  </si>
  <si>
    <t>Abortus mengancam, abortus hebatulasi, ancaman kelahiran prematur</t>
  </si>
  <si>
    <t>Tablet 5 Mg X 50</t>
  </si>
  <si>
    <t>HARUS DENGAN RESEP DOKTER. Penderita diabetes melitus</t>
  </si>
  <si>
    <t>abortus mengancam , abortus hebatulasi , ancaman kelahiran prematur</t>
  </si>
  <si>
    <t>pregnolin</t>
  </si>
  <si>
    <t>pregnolin tablet allylestrenol abortus mengancam  abortus hebatulasi  ancaman kelahiran prematur</t>
  </si>
  <si>
    <t>DKL9504413203A1</t>
  </si>
  <si>
    <t>Digest 30 mg 10 Kapsul</t>
  </si>
  <si>
    <t>Rp46.000 - Rp174.200</t>
  </si>
  <si>
    <t>Pagi hari sebelum makan</t>
  </si>
  <si>
    <t>Pengobatan ulkus duodenum, tukak lambung, dan refluks esofagitis</t>
  </si>
  <si>
    <t>Kapsul 30 Mg X 20</t>
  </si>
  <si>
    <t>Lansoprazole jangan diberikan kepada pasien yang hipersensitif atau alergi terhadap lansoprazole.</t>
  </si>
  <si>
    <t>HARUS DENGAN RESEP DOKTER. Gangguan hati, lanjut usia, anak. Hamil dan laktasi</t>
  </si>
  <si>
    <t>pengobatan ulkus duodenum , tukak lambung , refluks esofagitis</t>
  </si>
  <si>
    <t>digest</t>
  </si>
  <si>
    <t>digest kapsul lansoprazole pengobatan ulkus duodenum  tukak lambung  refluks esofagitis</t>
  </si>
  <si>
    <t>Accutrend Glucose 50 Strip</t>
  </si>
  <si>
    <t>Rp210.000 - Rp320.000</t>
  </si>
  <si>
    <t>letakkan darah secukupnya, masukkan ke dalam alat</t>
  </si>
  <si>
    <t>Alat untuk mengecek Gula Darah</t>
  </si>
  <si>
    <t>Strip 50 x 1</t>
  </si>
  <si>
    <t>alat mengecek gula darah</t>
  </si>
  <si>
    <t>accutrend glucose strip</t>
  </si>
  <si>
    <t>accutrend glucose strip tablet pioglitazone hydrochloride alat mengecek gula darah</t>
  </si>
  <si>
    <t>Accutrend Glucose 25 Strip</t>
  </si>
  <si>
    <t>Rp213.400 - Rp327.000</t>
  </si>
  <si>
    <t>Strip 25 x 1</t>
  </si>
  <si>
    <t>simpan ditempat yang sejuk, jauhkan dari jangkauan anak-anak</t>
  </si>
  <si>
    <t>Laurier Relax Night Wing 30 cm 8 Pads</t>
  </si>
  <si>
    <t>Rp8.800 - Rp22.800</t>
  </si>
  <si>
    <t>Buka kemasan produk lalu ambil pembalut dan lepaskan stiker yang merekat pada pembalut lalu rekatkan pada pakaian dalam anda</t>
  </si>
  <si>
    <t>Pembalut untuk menstruasi</t>
  </si>
  <si>
    <t>Laurier Relax Night Wing 35 cm 6 Pads</t>
  </si>
  <si>
    <t>Rp8.800 - Rp13.000</t>
  </si>
  <si>
    <t>Pack Isi 6 Pads</t>
  </si>
  <si>
    <t>DKL9617612529A1</t>
  </si>
  <si>
    <t>Triamcort 0.1% Cream 10 g</t>
  </si>
  <si>
    <t>Rp91.300 - Rp104.600</t>
  </si>
  <si>
    <t>Oleskan tipis pada tempat yang sakit</t>
  </si>
  <si>
    <t>PENGGUNAAN OBAT INI HARUS SESUAI DENGAN PETUNJUK DOKTER. 2- 3 x sehari</t>
  </si>
  <si>
    <t>Untuk mengurangi inflamasi dan pruritus pada dermatitis</t>
  </si>
  <si>
    <t>Tube 10 G X 1</t>
  </si>
  <si>
    <t>Laktasi, Reaksi alergi, kehamilan</t>
  </si>
  <si>
    <t>Obat Wajib Apotek, Obat ini dapat dibeli dan diserahkan apoteker tanpa resep dengan maksimum 1 Tube. Pembelian melebihi batas ini WAJIB RESEP DOKTER. -</t>
  </si>
  <si>
    <t>triamcinolone acetonide</t>
  </si>
  <si>
    <t>untuk mengurangi inflamasi pruritus dermatitis</t>
  </si>
  <si>
    <t>triamcort cream</t>
  </si>
  <si>
    <t>triamcort cream krim triamcinolone acetonide untuk mengurangi inflamasi pruritus dermatitis</t>
  </si>
  <si>
    <t>DKL7604522616A1</t>
  </si>
  <si>
    <t>Moloco Plus B12 10 Tablet</t>
  </si>
  <si>
    <t>Rp43.900 - Rp56.000</t>
  </si>
  <si>
    <t>Setiap habis makan utama, dapat ditelan utuh atau dikunyah</t>
  </si>
  <si>
    <t>PENGGUNAAN OBAT INI HARUS SESUAI DENGAN PETUNJUK DOKTER. 3 x sehari 1 tablet selama masa menyusui</t>
  </si>
  <si>
    <t>INFORMASI OBAT INI HANYA UNTUK KALANGAN MEDIS. Hipogalaksia primer dan sekunder</t>
  </si>
  <si>
    <t>HARUS DENGAN RESEP DOKTER. jangan dilanjutkan jika terjadi reaksi alergi</t>
  </si>
  <si>
    <t>calcium phosphate dibasic</t>
  </si>
  <si>
    <t>hipogalaksia primer sekunder</t>
  </si>
  <si>
    <t>moloco plus b</t>
  </si>
  <si>
    <t>moloco plus b tablet calcium phosphate dibasic hipogalaksia primer sekunder</t>
  </si>
  <si>
    <t>DKL0208507029A1</t>
  </si>
  <si>
    <t>Skizon Cream 5 g</t>
  </si>
  <si>
    <t>Rp7.500 - Rp11.400</t>
  </si>
  <si>
    <t>Oleskan 1-2 kali sehari</t>
  </si>
  <si>
    <t>Inflamasi dan pruritus. Dermatositosis yang responsif terhadap kortikosteroid lain</t>
  </si>
  <si>
    <t>Tube, Krim 5 g X 1</t>
  </si>
  <si>
    <t>Penyakit virus, bakteri, jamur. Akne, rosasea dan dermatitis perioral</t>
  </si>
  <si>
    <t>Obat Wajib Apotek, Obat ini dapat dibeli dan diserahkan apoteker tanpa resep dengan maksimum 1 Tube. Pembelian melebihi batas ini WAJIB RESEP DOKTER. Pemakaian jangka panjang dan luas. Hamil, bayi, anak &lt;4 tahun. Hindari kontak dengan mata</t>
  </si>
  <si>
    <t>inflamasi pruritus  dermatositosis responsif kortikosteroid</t>
  </si>
  <si>
    <t>skizon cream</t>
  </si>
  <si>
    <t>skizon cream krim betamethasone dipropionate inflamasi pruritus  dermatositosis responsif kortikosteroid</t>
  </si>
  <si>
    <t>Benoson 0.1% Cream 15 g</t>
  </si>
  <si>
    <t>Rp38.200 - Rp42.000</t>
  </si>
  <si>
    <t>Oleskan pada bagian yang sakit</t>
  </si>
  <si>
    <t>INFORMASI OBAT INI HANYA UNTUK KALANGAN MEDIS. Meringankan inflamasi dari sermatosis yang responsif terhadap kortikosteroid</t>
  </si>
  <si>
    <t>Obat Wajib Apotek, Obat ini dapat dibeli dan diserahkan apoteker tanpa resep dengan maksimum 1 Tube. Pembelian melebihi batas ini WAJIB RESEP DOKTER. Kategori Kehamilan : D</t>
  </si>
  <si>
    <t>StarCare Adult Pants XL 7 Pieces</t>
  </si>
  <si>
    <t>Rp65.800 - Rp84.600</t>
  </si>
  <si>
    <t>Popok celana dewasa</t>
  </si>
  <si>
    <t>Pack @ 7 Pieces</t>
  </si>
  <si>
    <t>popok celana dewasa</t>
  </si>
  <si>
    <t>starcare adult pants xl pieces</t>
  </si>
  <si>
    <t>starcare adult pants xl pieces larutan povidoneiodine popok celana dewasa</t>
  </si>
  <si>
    <t>DBL0008502633A1</t>
  </si>
  <si>
    <t>Lambucid Suspensi 100 ml</t>
  </si>
  <si>
    <t>Rp10.500 - Rp14.000</t>
  </si>
  <si>
    <t>Diminum 1 jam sebelum makan atau 2 jam setelah makan dan menjelang tidur malam</t>
  </si>
  <si>
    <t>Dewasa: 3-4 kali sehari 5-10 ml. anak 6-12th: 3-4 kali sehari 2,5-5 ml.</t>
  </si>
  <si>
    <t>Meredakan gejala sakit maag</t>
  </si>
  <si>
    <t>Botol 100 ml</t>
  </si>
  <si>
    <t>HIpersensitif</t>
  </si>
  <si>
    <t>Gangguan fungsi ginjal dan diet fosfat</t>
  </si>
  <si>
    <t>meredakan gejala sakit maag</t>
  </si>
  <si>
    <t>lambucid</t>
  </si>
  <si>
    <t>lambucid suspensi dried aluminium hydroxide gel meredakan gejala sakit maag</t>
  </si>
  <si>
    <t>DKL8322203829A1</t>
  </si>
  <si>
    <t>Cinolon Cream 10 g</t>
  </si>
  <si>
    <t>Rp22.300 - Rp27.000</t>
  </si>
  <si>
    <t>Oleskan tipis-tipis Cinolon Krim pada bagian yang diperlukan</t>
  </si>
  <si>
    <t>PENGGUNAAN OBAT INI HARUS SESUAI DENGAN PETUNJUK DOKTER. Oleskan 3-4 kali sehari</t>
  </si>
  <si>
    <t>INFORMASI OBAT INI HANYA UNTUK KALANGAN MEDIS. Dermatosis yang disebabkan Alergi, Inflamasi dan Pruritus</t>
  </si>
  <si>
    <t>Dus, 1 tube @ 10 g</t>
  </si>
  <si>
    <t>Infeksi virus, bakteri dan jamur pada kulit. Akne, rosasea dan dermatitis perioral</t>
  </si>
  <si>
    <t>HARUS DENGAN RESEP DOKTER. Penggunaan jangka panjang dan luas dalam kehamilan. Penggunaan pada muka. Pasien diabetes mellitus, ocular herpes simplex. Anak. Hamil &amp; laktasi.</t>
  </si>
  <si>
    <t>dermatosis disebabkan alergi , inflamasi pruritus</t>
  </si>
  <si>
    <t>cinolon cream</t>
  </si>
  <si>
    <t>cinolon cream krim fluocinolone acetonide dermatosis disebabkan alergi  inflamasi pruritus</t>
  </si>
  <si>
    <t>DKL0717809036A1</t>
  </si>
  <si>
    <t>Vomecho Drops 10 ml</t>
  </si>
  <si>
    <t>Rp36.500 - Rp38.400</t>
  </si>
  <si>
    <t>PENGGUNAAN OBAT INI HARUS SESUAI DENGAN PETUNJUK DOKTER. Untuk mual dan muntah : 2.5-5 mg/10 kg berat badan atau 0.3-0.5 mL/5 kg berat badan 3-4 kali/hari dan sebelum tidur malam.</t>
  </si>
  <si>
    <t>Mual dan muntah karena berbagai sebab termasuk akibat Levodopa/Bromokriptin, Dispepsia fungsional.</t>
  </si>
  <si>
    <t>Tumor yang melepaskan prolaktin, serangan motilitas lambung yang membahayakan misalnya perdarahan saluran cerna, obstruksi mekanik atau perforasi GI.</t>
  </si>
  <si>
    <t>HARUS DENGAN RESEP DOKTER. Pemakaian jangka panjang pada terapi simtomatik dispepsia fungsional, pencegahan muntah pasca operasi.</t>
  </si>
  <si>
    <t>mual muntah akibat levodopa bromokriptin , dispepsia fungsional</t>
  </si>
  <si>
    <t>vomecho</t>
  </si>
  <si>
    <t>vomecho tetes domperidone mual muntah akibat levodopa bromokriptin  dispepsia fungsional</t>
  </si>
  <si>
    <t>DKL8918203117A1</t>
  </si>
  <si>
    <t>Inamid 2 mg 10 Tablet</t>
  </si>
  <si>
    <t>Rp1.200 - Rp3.500</t>
  </si>
  <si>
    <t>Dus, 10 Blister @ 10 tablet salut selaput</t>
  </si>
  <si>
    <t>Konstipasi dihindari. Hipersensitif</t>
  </si>
  <si>
    <t>inamid</t>
  </si>
  <si>
    <t>inamid tablet loperamide hydrochloride diare akut non spesifik diare kronik</t>
  </si>
  <si>
    <t>lagesil suspensi magnesium hydroxide dried aluminium hydroxide gel simethicone sirup</t>
  </si>
  <si>
    <t>DKL1017625001A1</t>
  </si>
  <si>
    <t>Erdobat 300 mg 10 Kapsul</t>
  </si>
  <si>
    <t>Rp110.000 - Rp116.200</t>
  </si>
  <si>
    <t>Dapat diberikan bersamaan makanan untuk mengurangi rasa tidak nyaman pada gastrointestinal</t>
  </si>
  <si>
    <t>PENGGUNAAN OBAT INI HARUS SESUAI DENGAN PETUNJUK DOKTER. 1 Tablet 2-3 kali/hari</t>
  </si>
  <si>
    <t>Mukolitik, sebagai sekretolitik pada gangguan saluran nafas akut dan kronik</t>
  </si>
  <si>
    <t>HARUS DENGAN RESEP DOKTER. Pada gangguan hati yang ringan, dosis yang diberikan tidak boleh lebih dari 300 mg/hari. hamil. laktasi</t>
  </si>
  <si>
    <t>mukolitik , sekretolitik gangguan saluran nafas akut kronik</t>
  </si>
  <si>
    <t>erdobat kapsul erdosteine mukolitik  sekretolitik gangguan saluran nafas akut kronik</t>
  </si>
  <si>
    <t>DKL9909211110B1</t>
  </si>
  <si>
    <t>Latibet 5 mg 10 Tablet</t>
  </si>
  <si>
    <t>Rp2.000 - Rp5.300</t>
  </si>
  <si>
    <t>Diberikan saat makan pagi atau makan pertama.</t>
  </si>
  <si>
    <t>PENGGUNAAN OBAT INI HARUS SESUAI DENGAN PETUNJUK DOKTER. Dosis awal : 2,5-5 mg sehari. Lansia, penderita gangguan hati, ginjal dan penderita yang sensitif : 1,25 mg sehari. Setiap 7 hari ditingkatkan dengan 2,5-5 mg sehari sampai kontrol metabolit optimal tercapai. Dosis pemeliharaan : 1,25-15 mg sehari. Dosis maksimum : 15 mg per hari.</t>
  </si>
  <si>
    <t>Diabetes mellitus tipe 2 yang tidak responsif dengan diet saja.</t>
  </si>
  <si>
    <t>Diebetes mellitus juvenil, prekoma dan koma diabetes, gangguan fungsi ginjal parah, gangguan fungsi hati, gangguan fungsi tiroid atau adrenal, hipersensitif, wanita hamil, pengobatan harus dihentikan 2 minggu sebelum melahirkan. Diabetes mellitus dengan komplikasi, diebetes ketoasidosis.</t>
  </si>
  <si>
    <t>HARUS DENGAN RESEP DOKTER. Tidak boleh digunakan oleh penderita gangguan fungsi hati, ginjal terutama gagal ginjal, dan pasien lanjut usia (di atas 70 tahun). Jika anda sedang hamil atau anda ibu menyusui sebaiknya tidak menggunakan obat ini.</t>
  </si>
  <si>
    <t>diabetes mellitus tipe 2 tidak responsif diet</t>
  </si>
  <si>
    <t>latibet</t>
  </si>
  <si>
    <t>latibet tablet glibenclamide diabetes mellitus tipe 2 tidak responsif diet</t>
  </si>
  <si>
    <t>Nexcare Micropore 1 Inch x 9.1 m</t>
  </si>
  <si>
    <t>Rp29.300 - Rp31.900</t>
  </si>
  <si>
    <t>Tarik Micropore secukupnya lalu potong. Tempel / rekatkan pada bagian tubuh / kassa yang di perlukan,</t>
  </si>
  <si>
    <t>Sebagai plester luka</t>
  </si>
  <si>
    <t>Plastik @ 1 Roll</t>
  </si>
  <si>
    <t>Simpan di tempat yang kering dan bersih. Hanya untuk satu kali pemakaian. Buanglah pada tempatnya setelah digunakan.</t>
  </si>
  <si>
    <t>sebagai plester luka</t>
  </si>
  <si>
    <t>nexcare micropore inch x m</t>
  </si>
  <si>
    <t>nexcare micropore inch x m larutan povidoneiodine sebagai plester luka</t>
  </si>
  <si>
    <t>Onemed Plesterin Aqua 50 Lembar</t>
  </si>
  <si>
    <t>Rp15.000 - Rp22.500</t>
  </si>
  <si>
    <t>Box @ 50 Strips</t>
  </si>
  <si>
    <t>onemed plesterin aqua lembar</t>
  </si>
  <si>
    <t>onemed plesterin aqua lembar larutan povidoneiodine menutupi luka terhindar bakteri</t>
  </si>
  <si>
    <t>StarCare Adult Pants L 8 Pieces</t>
  </si>
  <si>
    <t>Rp54.700 - Rp84.600</t>
  </si>
  <si>
    <t>Pack @ 8 Pieces</t>
  </si>
  <si>
    <t>starcare adult pants l pieces</t>
  </si>
  <si>
    <t>starcare adult pants l pieces larutan povidoneiodine popok celana dewasa</t>
  </si>
  <si>
    <t>cinolonn cream krim fluocinolone acetonide neomycin sulfate dermatitis disertai infeksi</t>
  </si>
  <si>
    <t>StarCare Adult Pants L 9 Pieces</t>
  </si>
  <si>
    <t>Rp67.000 - Rp81.700</t>
  </si>
  <si>
    <t>Pack @ 9 Pieces</t>
  </si>
  <si>
    <t>TR062356961</t>
  </si>
  <si>
    <t>Borobudur Sambiloto 100 Kapsul</t>
  </si>
  <si>
    <t>BRD SAMBILOTO</t>
  </si>
  <si>
    <t>Rp78.400 - Rp153.400</t>
  </si>
  <si>
    <t>Hanya untuk penderita kencing manis yang telah ditetapkan oleh oleh dokter. Selama penggunaan konsultasikan pada dokter secara berkala. Tetap menjaga pola makan yang baik dan sehat, olahraga secara rutin dan teratur.</t>
  </si>
  <si>
    <t>brd sambiloto</t>
  </si>
  <si>
    <t>borobudur sambiloto</t>
  </si>
  <si>
    <t>borobudur sambiloto kapsul brd sambiloto membantu meringankan gejala kencing manis</t>
  </si>
  <si>
    <t>simethicone magnesium hydroxide dried aluminium hydroxide gel</t>
  </si>
  <si>
    <t xml:space="preserve">biomag mps tablet simethicone magnesium hydroxide dried aluminium hydroxide gel </t>
  </si>
  <si>
    <t>GKL0507116517A1</t>
  </si>
  <si>
    <t>Loperamide 2 mg 10 Tablet</t>
  </si>
  <si>
    <t>Rp1.400 - Rp3.400</t>
  </si>
  <si>
    <t>Kondisi dimana peristaltik tidak boleh dihambat. Anak di bawah 4 tahun.</t>
  </si>
  <si>
    <t>HARUS DENGAN RESEP DOKTER. Gagal ginjal dan hati, tidak dianjurkan untuk diare akut akibat infeksi E Coli, Salmonella dan Shingella, diare disertai demam tinggi atau feses berdarah. Tidak dianjurkan untuk penggunaan jangka panjang. Hamil, laktasi, dan anak. Kategori kehamilan: C</t>
  </si>
  <si>
    <t>loperamide tablet loperamide hydrochloride diare akut non spesifik diare kronik</t>
  </si>
  <si>
    <t>DKL0317619410A1</t>
  </si>
  <si>
    <t>Prestrenol 5 mg 10 Tablet</t>
  </si>
  <si>
    <t>Rp68.300 - Rp70.900</t>
  </si>
  <si>
    <t>PENGGUNAAN OBAT INI HARUS SESUAI DENGAN PETUNJUK DOKTER. Abortus mengancam : 3 kali sehari 1 tablet selama 5 - 7 hari. Dosis dapat diturunkan bertahap sesudah gejala mengilang. Abortus habitulasi : 1 - 2 mg/hari segera sesudah diketahui hamil. Pemberian harus diteruskan sampai dengan 1 minggu sesudah akhir masa kritis. persalinan prematur mengancam : menurut kondisi individual (sampai dengan 40 mg/hari)</t>
  </si>
  <si>
    <t>Abortus mengancam, abortus hebatulasi, persalinan prematur mengancam</t>
  </si>
  <si>
    <t>HARUS DENGAN RESEP DOKTER. DM. hentikan terapi segera jika terjadi gangguan visual, ptosis atau lesi vaskular retina atau migren</t>
  </si>
  <si>
    <t>abortus mengancam , abortus hebatulasi , persalinan prematur mengancam</t>
  </si>
  <si>
    <t>prestrenol</t>
  </si>
  <si>
    <t>prestrenol tablet allylestrenol abortus mengancam  abortus hebatulasi  persali prematur mengancam</t>
  </si>
  <si>
    <t>Laurier Super Slimguard 22.5 cm 10 Pads</t>
  </si>
  <si>
    <t>Rp14.000 - Rp18.700</t>
  </si>
  <si>
    <t>Buka kemasan produk, lalu ambil pembalut dan lepaskan stiker yang merekat pada pembalut. Kemudian rekatkan pada pakaian dalam Anda.</t>
  </si>
  <si>
    <t>Pembalut wanita untuk menstruasi</t>
  </si>
  <si>
    <t>Pack @ 10 pads</t>
  </si>
  <si>
    <t>pembalut wanita menstruasi</t>
  </si>
  <si>
    <t>laurier super slimguard pads</t>
  </si>
  <si>
    <t>laurier super slimguard pads tablet sildenafil citrate pembalut wanita menstruasi</t>
  </si>
  <si>
    <t>DKL0431525010A1</t>
  </si>
  <si>
    <t>Pregtenol 5 mg 10 Tablet</t>
  </si>
  <si>
    <t>Rp41.500 - Rp49.800</t>
  </si>
  <si>
    <t>PENGGUNAAN OBAT INI HARUS SESUAI DENGAN PETUNJUK DOKTER. Abortus mengancam : 3 x sehari 1 tablet selama 5 - 7 hari. Abortus habitualis : 1-2 tablet per hari, segera diketahui hamil. Pemberian harus diteruskan sampai dengan 1 minggu sesudah akhir masa kritis. persalinan prematur mengancam : menurut kondisi individual (sampai dengan 40 mg/hari).</t>
  </si>
  <si>
    <t>Abortus mengancam, abortus habitualis, persalinan prematur mengancam.</t>
  </si>
  <si>
    <t>abortus mengancam , abortus habitualis , persalinan prematur mengancam</t>
  </si>
  <si>
    <t>pregtenol</t>
  </si>
  <si>
    <t>pregtenol tablet allylestrenol abortus mengancam  abortus habitualis  persali prematur mengancam</t>
  </si>
  <si>
    <t>DKL0404129133A1</t>
  </si>
  <si>
    <t>Ulsafate Suspensi 100 ml</t>
  </si>
  <si>
    <t>Rp59.900 - Rp65.800</t>
  </si>
  <si>
    <t>Berikan pada saat perut kosong, 1 jam sebelum atau 2 jam sesudah makan</t>
  </si>
  <si>
    <t>PENGGUNAAN OBAT INI HARUS SESUAI DENGAN PETUNJUK DOKTER. 3-4 x sehari 2 sendok takar</t>
  </si>
  <si>
    <t>Gastritis, tukak lambung, tukak usus 12 jari</t>
  </si>
  <si>
    <t>Penderita yang hipersensitif terhadap komponen obat, pasien dengan gagal ginjal kronis, anak usia &lt;15 tahun</t>
  </si>
  <si>
    <t>HARUS DENGAN RESEP DOKTER. Gagal ginjal kronik</t>
  </si>
  <si>
    <t>gastritis , tukak lambung , tukak usus 12 jari</t>
  </si>
  <si>
    <t>ulsafate</t>
  </si>
  <si>
    <t>ulsafate suspensi sucralfate gastritis  tukak lambung  tukak usus 12 jari</t>
  </si>
  <si>
    <t>DKL0905043810A1</t>
  </si>
  <si>
    <t>Eclid 100 mg 10 Tablet</t>
  </si>
  <si>
    <t>Rp25.200 - Rp38.500</t>
  </si>
  <si>
    <t>Dikonsumsi bersama satu suapan pertama makanan atau ditelan utuh dengan sedikit air segera sebelum makan.</t>
  </si>
  <si>
    <t>PENGGUNAAN OBAT INI HARUS SESUAI DENGAN PETUNJUK DOKTER. Dosis awal: 3 kali sehari 50 mg. Dosis selanjutnya: 3 kali sehari 100-200 mg. Dosis dapat ditingkatkan setelah 4-8 minggu, dan bila pasien menunjukkan respon klinis yang inadekuat setelah pengobatan selanjutnya. Dosis rata-rata : 300 mg per hari.</t>
  </si>
  <si>
    <t>INFORMASI OBAT INI HANYA UNTUK KALANGAN MEDIS. Terapi untuk pasien Diabetes Melitus yang tidak dapat diatur hanya dengan diet.</t>
  </si>
  <si>
    <t>Obat ini tidak dianjurkan untuk : - Pasien yang hipersensitif terhadap acarbose dan/atau komponen dalam obat. - Pasien dengan gangguan intestinal kronis yang berhubungan dengan penyerapan dan gangguan pencernaan secara nyata. - Keadaan-keadaan yang dapat menyebabkan perburukan sebagai hasil dari peningkatan pembentukan gas di dalam usus (misalnya Roemheld? syndrome, hernia mayor, obstruksi intestinal, dan ulkus intestinal). - Penderita Inflammatory bowel disease, seperti kolitis ulseratif dan Crohn? disease, obstruksi parsial intestinal atau pada pasien yang mempunyai predisposisi obstruksi intestinal atau ileus. - Pasien dengan gangguan ginjal berat (bersihan kreatinin &lt; 25 ml/menit). - Selama kehamilan. Kategori Kehamilan :</t>
  </si>
  <si>
    <t>HARUS DENGAN RESEP DOKTER. - Diperlukan pemeriksaan kadar enzim hati selama 6-12 bulan pertama pengobatan. Pada kasus yang telah dievaluasi, perubahan ini bersifat reversible setelah penghentian terapi acarbose. - Diet diabetes harus tetap dipatuhi selama pemberian acarbose. Kategori Kehamilan : Kategori B: Mungkin dapat digunakan oleh wanita hamil. Penelitian pada hewan uji tidak memperlihatkan ada nya risiko terhadap janin, namun belum ada bukti penelitian langsung terhadap wanita hamil.</t>
  </si>
  <si>
    <t>terapi pasien diabetes melitus tidak diatur diet</t>
  </si>
  <si>
    <t>eclid</t>
  </si>
  <si>
    <t>eclid tablet acarbose terapi pasien diabetes melitus tidak diatur diet</t>
  </si>
  <si>
    <t>Laurier Super Slimguard Night 30 cm 14 Pads</t>
  </si>
  <si>
    <t>Rp28.700 - Rp44.500</t>
  </si>
  <si>
    <t>Pack Isi 14 Pads</t>
  </si>
  <si>
    <t>laurier super slimguard night pads</t>
  </si>
  <si>
    <t>laurier super slimguard night pads tablet sildenafil citrate pembalut menstruasi</t>
  </si>
  <si>
    <t>TR142379561</t>
  </si>
  <si>
    <t>Herbatia Sari Asi 30 Kapsul</t>
  </si>
  <si>
    <t>HERBATIA SARI ASI</t>
  </si>
  <si>
    <t>Rp20.300 - Rp81.300</t>
  </si>
  <si>
    <t>Dikonsumsi sesudah makan. - Sari ASI dapat mulai dikonsumsi 1-2 minggu menjelang persalinan agar membantu menyiapkan ASI bagi sang bayi. - Minum air putih yang cukup secara berkala semasa menyusui untuk merangsang produksi ASI. - Sari ASI dapat terus dikonsumsi sampai dengan sang ibu merasa ASI nya sudah berlebih untuk bayi dan cadangan stok ASI.</t>
  </si>
  <si>
    <t>3 kali sehari 1 Kapsul</t>
  </si>
  <si>
    <t>Membantu melancarkan Air Susu Ibu (ASI).</t>
  </si>
  <si>
    <t>herbatia sari asi</t>
  </si>
  <si>
    <t>membantu melancarkan air susu ibu asi</t>
  </si>
  <si>
    <t>herbatia sari asi kapsul membantu melancarkan air susu ibu asi</t>
  </si>
  <si>
    <t>DKL9611625310A1</t>
  </si>
  <si>
    <t>Premaston 5 mg 10 Tablet</t>
  </si>
  <si>
    <t>Rp58.800 - Rp71.200</t>
  </si>
  <si>
    <t>Dapat diberikan bersama makanan jika timbul gangguan pada pencernaan / lambung</t>
  </si>
  <si>
    <t xml:space="preserve">PENGGUNAAN OBAT INI HARUS SESUAI DENGAN PETUNJUK DOKTER. Persalinan yang terancam prematur : maksimal 40 mg / hari </t>
  </si>
  <si>
    <t>DKL1108016233A1</t>
  </si>
  <si>
    <t>Nucral Suspensi 500 mg/ 5 ml 200 ml</t>
  </si>
  <si>
    <t>Rp115.900 - Rp117.100</t>
  </si>
  <si>
    <t>Diminum saat perut kosong, 1 jam sebelum atau 2 jam setelah makan</t>
  </si>
  <si>
    <t>PENGGUNAAN OBAT INI HARUS SESUAI DENGAN PETUNJUK DOKTER. 4 kali sehari 2 sendok takar 5ml selama 4-8 minggu</t>
  </si>
  <si>
    <t>Terapi jangka pendek tukak duodenum, hingga 8 minggu.</t>
  </si>
  <si>
    <t>Botol @ 200 ml</t>
  </si>
  <si>
    <t>diabetes, kerusakan ginjal, keracunan aluminium</t>
  </si>
  <si>
    <t>HARUS DENGAN RESEP DOKTER. Gangguan fungsi ginjal dan menjalani dialisis. berikan jarak waktu 30 menit dengan pemberian antasida. ibu hamil, menyusui dan anak.</t>
  </si>
  <si>
    <t>terapi jangka pendek tukak duodenum , 8 minggu</t>
  </si>
  <si>
    <t>nucral</t>
  </si>
  <si>
    <t>nucral suspensi sucralfate terapi jangka pendek tukak duodenum  8 minggu</t>
  </si>
  <si>
    <t>Laurier Super Slimguard Night 35 cm 8 Pads</t>
  </si>
  <si>
    <t>Rp20.000 - Rp30.000</t>
  </si>
  <si>
    <t>Pack Isi 8 Pads</t>
  </si>
  <si>
    <t>dextromethorphan hydrobromide chlorphenamine maleate ammonium chloride guaifenesin</t>
  </si>
  <si>
    <t xml:space="preserve">ifarsyl plus sirup dextromethorphan hydrobromide chlorphenamine maleate ammonium chloride guaifenesin </t>
  </si>
  <si>
    <t>DKL0410805929A1</t>
  </si>
  <si>
    <t>Licosolon 0.025% Cream 5 g</t>
  </si>
  <si>
    <t>Rp13.800 - Rp14.200</t>
  </si>
  <si>
    <t>Oleskan tipis di bagian yang sakit</t>
  </si>
  <si>
    <t>PENGGUNAAN OBAT INI HARUS SESUAI DENGAN PETUNJUK DOKTER. 2-4 x sehari oleskan tipis</t>
  </si>
  <si>
    <t>Manifestasi dan pruritus pada dermatosis yang responsif terhadap kortikosteroid.</t>
  </si>
  <si>
    <t>Hamil, menyusui, reaksi alergi</t>
  </si>
  <si>
    <t>HARUS DENGAN RESEP DOKTER. Licosolone Cream mengandung sodium metabisulfite, sulfit yang dapat menyebabkan reaksi tipe alergi termasuk gejala anafilaksis dan asma yang mengancam jiwa pada orang yang rentan. Jika anafilaksis, asma atau reaksi hipersensitivitas signifikan lainnya terjadi, lakukan terapi yang tepat dan hentikan penggunaan Licosolone. Licosolone Cream mengandung hydroquinone, yang dapat menghasilkan ochronosis eksogen, suatu penggelapan kulit hitam-hitam yang bertahap</t>
  </si>
  <si>
    <t>manifestasi pruritus dermatosis responsif kortikosteroid</t>
  </si>
  <si>
    <t>licosolon cream</t>
  </si>
  <si>
    <t>licosolon cream krim fluocinolone acetonide manifestasi pruritus dermatosis responsif kortikosteroid</t>
  </si>
  <si>
    <t>DKL8307903317A1</t>
  </si>
  <si>
    <t>Lopamid 2 mg 10 Tablet</t>
  </si>
  <si>
    <t>Rp3.000 - Rp4.000</t>
  </si>
  <si>
    <t>Dus, 10 Strip @10 Tablet Salut Selaput</t>
  </si>
  <si>
    <t>DKL7603811646A1</t>
  </si>
  <si>
    <t>Cendo Catarlent Minidose 0.6 ml</t>
  </si>
  <si>
    <t>Rp17.600 - Rp30.300</t>
  </si>
  <si>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Perhatian : Jangan menyentuh ujung penetes obat dengan tangan atau benda lain.</t>
  </si>
  <si>
    <t>PENGGUNAAN OBAT INI HARUS SESUAI DENGAN PETUNJUK DOKTER. 1-2 tetes 3 kali sehari pada mata yang sakit atau sesuai dengan petunjuk dokter</t>
  </si>
  <si>
    <t>Untuk penderita mata katarak</t>
  </si>
  <si>
    <t>Catch Cover, 5 X 0,6 ml Larutan Tetes Mata</t>
  </si>
  <si>
    <t>potassium iodide</t>
  </si>
  <si>
    <t>untuk penderita mata katarak</t>
  </si>
  <si>
    <t>cendo catarlent minidose</t>
  </si>
  <si>
    <t>cendo catarlent minidose tetes potassium iodide untuk penderita mata katarak</t>
  </si>
  <si>
    <t>DKL9302002410A1</t>
  </si>
  <si>
    <t>Glucobay 50 mg 10 Tablet</t>
  </si>
  <si>
    <t>Rp30.200 - Rp41.800</t>
  </si>
  <si>
    <t>glucobay</t>
  </si>
  <si>
    <t>glucobay tablet acarbose terapi pasien diabetes melitus tidak diatur diet</t>
  </si>
  <si>
    <t>DBL9222212033A1</t>
  </si>
  <si>
    <t>Neo Kaolana Suspensi 120 ml</t>
  </si>
  <si>
    <t>Rp18.000 - Rp18.500</t>
  </si>
  <si>
    <t>Diminum setiap kali sesudah buang air besar</t>
  </si>
  <si>
    <t>Dewasa dan Anak &gt; 12 tahun : 30 ml, maksimum 180 ml per hari. Anak 6-12 tahun : 15 ml, maksimum 90 ml per hari. Pemberian setiap kali sesudah buang air besar.</t>
  </si>
  <si>
    <t>Pengobatan simtomatik pada diare non spesifik.</t>
  </si>
  <si>
    <t>Jangan diberikan pada penderita dimana konstipasi harus dihindari, penderita obstruksi usus, hipersensitif terhadap salah satu komponen dalam obat.</t>
  </si>
  <si>
    <t>Diare dapat mengakibatkan kehilangan cairan dan elektrolit karena itu terapi rehidrasi (cairan oral rehidrasi) sebagai pengobatan awal mungkin diperlukan, tertama pada anak-anak. Jangan digunakan lebih dari 2 hari atau pada keadaan demam tinggi. Jangan digunakan pada anak-anak umur 3-6 tahun, kecuali atas petunjuk dokter. Dapat mempengaruhi absorbsi obat-obat lain, oleh karena itu dianjurkan interval waktu 2-3 jam antara pemberian obat-obat oral lain dengan obat ini. Jika gejala-gejala masih berlanjut, segera konsultasi dokter.</t>
  </si>
  <si>
    <t>kaolin  light</t>
  </si>
  <si>
    <t>pengobatan simtomatik diare non spesifik</t>
  </si>
  <si>
    <t>neo kaolana</t>
  </si>
  <si>
    <t>neo kaolana suspensi kaolin  light pengobatan simtomatik diare non spesifik</t>
  </si>
  <si>
    <t>neo kaolana suspensi kaolin pectin pengobatan simtomatik diare non spesifik</t>
  </si>
  <si>
    <t>pectin kaolin</t>
  </si>
  <si>
    <t>neo kaolana suspensi pectin kaolin pengobatan simtomatik diare non spesifik</t>
  </si>
  <si>
    <t>Onemed Ultraone Tes Kehamilan</t>
  </si>
  <si>
    <t>onemed ultraone tes kehamilan</t>
  </si>
  <si>
    <t>onemed ultraone tes kehamilan tablet sildenafil citrate tes strip kehamilan</t>
  </si>
  <si>
    <t>QD182216541</t>
  </si>
  <si>
    <t>Cap Gajah Garam Inggris 30 g</t>
  </si>
  <si>
    <t>Rp1.500 - Rp3.500</t>
  </si>
  <si>
    <t>Larutkan dalam segelas air masak dan diminum sekaligus pada pagi hari sebelum makan</t>
  </si>
  <si>
    <t>Dewasa : 1 kantong (30 g) Anak usia 5-10 tahun : 1/2 kantong (15 g)</t>
  </si>
  <si>
    <t>Pack @ 30 g</t>
  </si>
  <si>
    <t>magnesium sulfat</t>
  </si>
  <si>
    <t>cap gajah garam inggris</t>
  </si>
  <si>
    <t>cap gajah garam inggris  magnesium sulfat membantu melancarkan buang air</t>
  </si>
  <si>
    <t>Andalan Strip Uji Kehamilan</t>
  </si>
  <si>
    <t>Rp4.800 - Rp5.900</t>
  </si>
  <si>
    <t>Pack @ 1 strip</t>
  </si>
  <si>
    <t>andalan strip uji kehamilan</t>
  </si>
  <si>
    <t>andalan strip uji kehamilan tablet sildenafil citrate tes strip kehamilan</t>
  </si>
  <si>
    <t>DKL8522205717A1</t>
  </si>
  <si>
    <t>Lodia 2 mg 10 Tablet</t>
  </si>
  <si>
    <t>Rp13.100 - Rp16.500</t>
  </si>
  <si>
    <t>PENGGUNAAN OBAT INI HARUS SESUAI DENGAN PETUNJUK DOKTER. Diare akut nonspesifik : 2 tab, diikuti 1 tab setelah setiap tinja yang tidak berbentuk. Diare kronis 2-4 tab/hari dalam dosis terbagi. Maks: 8 tab setiap hari.</t>
  </si>
  <si>
    <t>Kasus di mana sembelit harus dihindari. Kolitis akut. Hamil &amp; menyusui. Bayi.</t>
  </si>
  <si>
    <t>HARUS DENGAN RESEP DOKTER. Hentikan setelah 48 jam, jika tidak ada perbaikan. Kolitis akut. Infeksi bakteri atau parasit. Disfungsi hati. Anak &lt;2 thn.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</si>
  <si>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lodia</t>
  </si>
  <si>
    <t>lodia tablet loperamide hydrochloride diare akut non spesifik diare kronik</t>
  </si>
  <si>
    <t>Sensitif Compact</t>
  </si>
  <si>
    <t>Rp33.900 - Rp64.200</t>
  </si>
  <si>
    <t>Pengujian dapat dilakukan minimal 7 hari setelah berhubungan. Tahapnya dapat dilakukan dengan cara menampung urine pertama yang keluar di pagi hari, kemudian teteskan urin pada stick. Dalam waktu 1-3 menit hasil tes dapat terlihat. ( Dua garis : Positif, Satu garis : Negatif)</t>
  </si>
  <si>
    <t>Alat pendeteksi kehamilan melalui air seni.</t>
  </si>
  <si>
    <t>alat pendeteksi kehamilan air seni</t>
  </si>
  <si>
    <t>sensitif compact</t>
  </si>
  <si>
    <t>sensitif compact tablet sildenafil citrate alat pendeteksi kehamilan air seni</t>
  </si>
  <si>
    <t>Serenity Alternating Pressure Pump and Mattress Effect 2500F</t>
  </si>
  <si>
    <t>Rp800.800 - Rp857.200</t>
  </si>
  <si>
    <t>serenity alternating pressure pump and mattress effect f</t>
  </si>
  <si>
    <t xml:space="preserve">serenity alternating pressure pump and mattress effect f larutan povidoneiodine </t>
  </si>
  <si>
    <t>DTL8106412237A1</t>
  </si>
  <si>
    <t>Erphaflu Sirup 60 ml</t>
  </si>
  <si>
    <t>Rp12.700 - Rp15.000</t>
  </si>
  <si>
    <t>Dewasa :3 kali sehari 4 sendok takar Anak 6-12 tahun : 3 kali sehari 2 sendok takar</t>
  </si>
  <si>
    <t>bersin, hidung tersumbat, sakit kepala, demam.</t>
  </si>
  <si>
    <t>bersin , hidung tersumbat , sakit kepala , demam</t>
  </si>
  <si>
    <t>erphaflu</t>
  </si>
  <si>
    <t>erphaflu sirup chlorphenamine maleate bersin  hidung tersumbat  sakit kepala  demam</t>
  </si>
  <si>
    <t>Borobudur Sambiloto 30 Kapsul</t>
  </si>
  <si>
    <t>Rp51.400 - Rp75.900</t>
  </si>
  <si>
    <t>Botol 30 Kapsul</t>
  </si>
  <si>
    <t>Borobudur Sambiloto 60 Kapsul</t>
  </si>
  <si>
    <t>Rp61.800 - Rp104.300</t>
  </si>
  <si>
    <t>DKL0635802129A1</t>
  </si>
  <si>
    <t>Reticor 0.025% Cream 15 g</t>
  </si>
  <si>
    <t>Rp32.400 - Rp35.000</t>
  </si>
  <si>
    <t>Oleskan pada bagian kulit atau bagian yang sakit sesuai dengan aturan pakai. Jangan digunakan untuk luka terbuka kecuali obat memang diperuntukkan pada luka terbuka</t>
  </si>
  <si>
    <t>PENGGUNAAN OBAT INI HARUS SESUAI DENGAN PETUNJUK DOKTER. Gunakan 1 kali sehari pada malam hari</t>
  </si>
  <si>
    <t>Akne vulgaris. Meredakan komedo, papul dan pustul</t>
  </si>
  <si>
    <t>Hipersensitivitas. Eksimakut, rosasea</t>
  </si>
  <si>
    <t>HARUS DENGAN RESEP DOKTER. Hindari kontak dengan mata, hidung, tenggorokan, dan membran mukosa</t>
  </si>
  <si>
    <t>DKL8502000629A1</t>
  </si>
  <si>
    <t>Mycospor 1% Cream 5 g</t>
  </si>
  <si>
    <t>Rp37.000 - Rp65.500</t>
  </si>
  <si>
    <t>Krim dioleskan pada area kulit yang terkena jamur/mikosis</t>
  </si>
  <si>
    <t xml:space="preserve">PENGGUNAAN OBAT INI HARUS SESUAI DENGAN PETUNJUK DOKTER. Oleskan krim 1 x sehari. Lama pengobatan : Mikosis pada kaki, Athlete's foot : 3 minggu </t>
  </si>
  <si>
    <t>DKL0121203710A1</t>
  </si>
  <si>
    <t>Lasix 40 mg 10 Tablet</t>
  </si>
  <si>
    <t>Rp79.900 - Rp97.500</t>
  </si>
  <si>
    <t>lasix</t>
  </si>
  <si>
    <t>lasix tablet furosemide edema akibat gangguan jantung  hati  ginjal  hipertensi</t>
  </si>
  <si>
    <t>TR082382281</t>
  </si>
  <si>
    <t>Borobudur Darsi 12 Kapsul</t>
  </si>
  <si>
    <t>DARSI</t>
  </si>
  <si>
    <t>Rp20.900 - Rp22.900</t>
  </si>
  <si>
    <t>Dianjurkan minum air putih minimal 2.5 liter per hari.</t>
  </si>
  <si>
    <t>Dewasa: 2 x sehari 5 kapsul Anak: Setengah dosis dewasa</t>
  </si>
  <si>
    <t>Membantu mengurangi jerawat, bisul, dan gatal-gatal</t>
  </si>
  <si>
    <t>darsi</t>
  </si>
  <si>
    <t>membantu mengurangi jerawat , bisul , gatal - gatal</t>
  </si>
  <si>
    <t>borobudur darsi</t>
  </si>
  <si>
    <t>borobudur darsi kapsul darsi membantu mengurangi jerawat  bisul  gatal  gatal</t>
  </si>
  <si>
    <t>Physiomer Baby Decongestant 60 ml</t>
  </si>
  <si>
    <t>Semprotkan selama 2-3 detik 2-3x/ hari.</t>
  </si>
  <si>
    <t>Dekongestan, mukolitik pada bayi &gt;1 bln.</t>
  </si>
  <si>
    <t>dekongestan , mukolitik bayi 1 bln</t>
  </si>
  <si>
    <t>physiomer baby decongestant</t>
  </si>
  <si>
    <t>physiomer baby decongestant tablet guaifenesin dekongestan  mukolitik bayi 1 bln</t>
  </si>
  <si>
    <t>DBL0830909117A1</t>
  </si>
  <si>
    <t>Molaneuron 10 Tablet</t>
  </si>
  <si>
    <t>Rp7.800 - Rp14.100</t>
  </si>
  <si>
    <t>Pengobatan kekurangan vitamin B1, B6 dan B12 seperti pada polineuritis.</t>
  </si>
  <si>
    <t>pengobatan kekurangan vitamin b1 , b6 b12 polineuritis</t>
  </si>
  <si>
    <t>molaneuron</t>
  </si>
  <si>
    <t>molaneuron tablet cyanocobalamin pengobatan kekurangan vitamin b1  b6 b12 polineuritis</t>
  </si>
  <si>
    <t>TR142383281</t>
  </si>
  <si>
    <t>Erha Follicore Herbal 60 Kapsul</t>
  </si>
  <si>
    <t>FOLLICORE HERBAL</t>
  </si>
  <si>
    <t>Rp429.500 - Rp439.300</t>
  </si>
  <si>
    <t>Minum 1-2 x sehari 1 kapsul.</t>
  </si>
  <si>
    <t>Membantu mengurangi kerontokan rambut</t>
  </si>
  <si>
    <t>Dus, 6 Blister @ 10 Kapsul</t>
  </si>
  <si>
    <t>follicore herbal</t>
  </si>
  <si>
    <t>membantu mengurangi kerontokan rambut</t>
  </si>
  <si>
    <t>erha follicore herbal</t>
  </si>
  <si>
    <t>erha follicore herbal kapsul follicore herbal membantu mengurangi kerontokan rambut</t>
  </si>
  <si>
    <t>DBL8518201337A1</t>
  </si>
  <si>
    <t>Nufadol Sirup 60 ml</t>
  </si>
  <si>
    <t>Rp4.900 - Rp6.200</t>
  </si>
  <si>
    <t>Anak 6-12 tahun : 3-4 kali sehari 2 sendok takar 5 mL, Anak 3-6 tahun : 3-4 x sehari 1 sendok takar 5 mL, Anak 1-3 tahun : 3-4 x sehari 0.5-1 sendok takar 5 mL, Anak &lt; 1 tahun : 3-4 x sehari 0.5 sendok takar 5 mL.</t>
  </si>
  <si>
    <t>Meredakan sakit Kepala, Mialgia, sakit Gigi &amp; Pilek</t>
  </si>
  <si>
    <t>meredakan sakit kepala , mialgia , sakit gigi pilek</t>
  </si>
  <si>
    <t>nufadol sirup paracetamol meredakan sakit kepala  mialgia  sakit gigi pilek</t>
  </si>
  <si>
    <t>DBL1308005917B1</t>
  </si>
  <si>
    <t>Neurohax 5000 10 Tablet</t>
  </si>
  <si>
    <t>Rp18.700 - Rp37.200</t>
  </si>
  <si>
    <t>Gangguan sistem saraf tepi, kekurangan Vitamin B.</t>
  </si>
  <si>
    <t>1 Dos Isi 5 Strip X 10 Tablet</t>
  </si>
  <si>
    <t>gangguan sistem saraf tepi , kekurangan vitamin b</t>
  </si>
  <si>
    <t>neurohax tablet cyanocobalamin gangguan sistem saraf tepi  kekurangan vitamin b</t>
  </si>
  <si>
    <t>DTL0602812137A1</t>
  </si>
  <si>
    <t>Komix Kids Strawberry 5 ml</t>
  </si>
  <si>
    <t>Rp1.000 - Rp1.900</t>
  </si>
  <si>
    <t>Anak 6-12 tahun 3x sehari 1 sachet.</t>
  </si>
  <si>
    <t>Untuk batuk berdahak dan pilek</t>
  </si>
  <si>
    <t>Hati-hati penggunaan pada penderita dengan gangguan gungsi hati dan ginjal, glaukoma, hipertrofi prostat, hipertiroid, dan retensi urin. Tidak dianjurkan untuk anak &lt; 6 tahun. Hati-hati penggunaan bersamaan dengan obat-obatan lain yang menekan susunan saraf pusat. Selama mengkonsumsi obat ini dilarang mengendarai motor dan menyalakan mesin</t>
  </si>
  <si>
    <t>untuk batuk berdahak pilek</t>
  </si>
  <si>
    <t>komix kids strawberry</t>
  </si>
  <si>
    <t>komix kids strawberry sirup chlorphenamine maleate untuk batuk berdahak pilek</t>
  </si>
  <si>
    <t>GBL1933546558A1</t>
  </si>
  <si>
    <t>Paracetamol Enema 125 mg/2.5 ml</t>
  </si>
  <si>
    <t>Rp12.600 - Rp66.000</t>
  </si>
  <si>
    <t>Obat dalam rectal tube dimasukkan kedalam anus</t>
  </si>
  <si>
    <t>Saat tidak memungkinkan pemberian melalui oral: - Dewasa : 500 mg-1 g. Maksimum 4 g sehari. - Anak-anak : 1-6 tahun: 125 mg, Maksimum 750 mg/hari - Anak-anak : 7-12 tahun: 250 mg. Maksimum 1 g/hari</t>
  </si>
  <si>
    <t>Obat ini digunakan untuk meredakan rasa nyeri ringan sampai sedang dan menurunkan demam.</t>
  </si>
  <si>
    <t>Dus, 5 Alubag @ 1 Rectal Tube @ 2.5 ml</t>
  </si>
  <si>
    <t>Penderita yang hipersensitif terhadap golongan paraminofenol dan penderita dengan gangguan fungsi hati.</t>
  </si>
  <si>
    <t>Pemberian Paracetamol harus hati-hati pada penderita dengan gangguan fungsi ginjal. Dosis di bawah supaya diikuti baik-baik atau menurut petunjuk dokter. Bila setelah 2 hari menggunakan obat ini demam tidak turun atau setelah 5 hari nyeri tidak hilang, segera hubungi dokter atau puskesmas. Penggunaan obat ini pada penderita yang mengonsumsi alkohol, dapat meningkatkan kerusakan hati.</t>
  </si>
  <si>
    <t>enema</t>
  </si>
  <si>
    <t>obat meredakan nyeri ringan menurunkan demam</t>
  </si>
  <si>
    <t>paracetamol enema</t>
  </si>
  <si>
    <t>paracetamol enema enema paracetamol obat meredakan nyeri ringan menurunkan demam</t>
  </si>
  <si>
    <t>TR162390781</t>
  </si>
  <si>
    <t>Nature's Pride Ginkgo Biloba 40 mg 30 Kapsul</t>
  </si>
  <si>
    <t>GINKGO BILOBA</t>
  </si>
  <si>
    <t>Rp72.400 - Rp125.100</t>
  </si>
  <si>
    <t>Membantu sirkulasi darah.</t>
  </si>
  <si>
    <t>ginkgo biloba</t>
  </si>
  <si>
    <t>membantu sirkulasi darah</t>
  </si>
  <si>
    <t>natures pride ginkgo biloba</t>
  </si>
  <si>
    <t>natures pride ginkgo biloba kapsul ginkgo biloba membantu sirkulasi darah</t>
  </si>
  <si>
    <t>DBL9804215337A1</t>
  </si>
  <si>
    <t>Paraco Sirup 120 mg/5 ml 60 ml</t>
  </si>
  <si>
    <t>Rp21.000 - Rp24.000</t>
  </si>
  <si>
    <t>Anak &lt; 1 tahun : 3-4 x sehari 2.5 ml sirup. Anak 1-3 tahun : 3-4 x sehari 2.5 ml sirup. Anak 3-6 tahun : 3-4 x sehari 5 ml sirup. Anak 6-12 tahun : 3-4 x sehari 5-10 ml sirup. Di atas 12 tahun : 3-4 x sehari 15-20 ml sirup.</t>
  </si>
  <si>
    <t>Meringankan sakit kepala, nyeri otot, dan menurunkan panas.</t>
  </si>
  <si>
    <t>Dus, 1 Botol 2 60 ml</t>
  </si>
  <si>
    <t>Hipersensitif terhadap paracetamol dan penderita gangguan fungsi hati.</t>
  </si>
  <si>
    <t>Bila keluhan tidak hilang, segera hubungi dokter.</t>
  </si>
  <si>
    <t>meringankan sakit kepala , nyeri otot , menurunkan panas</t>
  </si>
  <si>
    <t>paraco</t>
  </si>
  <si>
    <t>paraco sirup paracetamol meringankan sakit kepala  nyeri otot  menurunkan panas</t>
  </si>
  <si>
    <t>GKL9005008510A1</t>
  </si>
  <si>
    <t>Propranolol 10 mg 10 Tablet</t>
  </si>
  <si>
    <t>Rp1.200 - Rp1.300</t>
  </si>
  <si>
    <t>PENGGUNAAN OBAT INI HARUS SESUAI DENGAN PETUNJUK DOKTER. Dewasa dan anak &gt; 12 tahun untuk hipertensi : 20 mg, 3-4 kali sehari</t>
  </si>
  <si>
    <t>DBL0231108036A1</t>
  </si>
  <si>
    <t>Grafadon Drops 15 ml</t>
  </si>
  <si>
    <t>Rp10.000 - Rp17.700</t>
  </si>
  <si>
    <t>Anak 1-2 tahun 0.6-1.2 mL, &lt; 1 tahun &lt;0.6 mL. Diberikan 3-4 kali sehari.</t>
  </si>
  <si>
    <t>Pengobatan untuk menurunkan demam dan pereda nyeri pada bayi dan anak.</t>
  </si>
  <si>
    <t>pengobatan menurunkan demam pereda nyeri bayi anak</t>
  </si>
  <si>
    <t>grafadon</t>
  </si>
  <si>
    <t>grafadon tetes paracetamol pengobatan menurunkan demam pereda nyeri bayi anak</t>
  </si>
  <si>
    <t>DKL1513711033A1</t>
  </si>
  <si>
    <t>Ulcera Sirup 100 ml</t>
  </si>
  <si>
    <t>Rp68.500 - Rp71.200</t>
  </si>
  <si>
    <t>INFORMASI OBAT INI HANYA UNTUK KALANGAN MEDIS. Gastritis, tukak lambung, tukak usus 12 jari</t>
  </si>
  <si>
    <t>ulcera</t>
  </si>
  <si>
    <t>ulcera suspensi sucralfate gastritis  tukak lambung  tukak usus 12 jari</t>
  </si>
  <si>
    <t>DKL1433213201A1</t>
  </si>
  <si>
    <t>Medistein Kapsul 300 mg</t>
  </si>
  <si>
    <t>Rp5.600 - Rp6.100</t>
  </si>
  <si>
    <t>Sebagai mukolitik pada gangguan saluran pernapasan akut &amp; kronik.</t>
  </si>
  <si>
    <t>Dus 2 strip x 10 kapsul</t>
  </si>
  <si>
    <t>Hipersensitivitas. Sirosis hati &amp; defisiensi enzim sistationin-sintetase. Gagal ginjal berat (bersihan kreatinin &lt;25 mL/mnt).</t>
  </si>
  <si>
    <t>HARUS DENGAN RESEP DOKTER. Hamil &amp; laktasi.</t>
  </si>
  <si>
    <t>sebagai mukolitik gangguan saluran pernapasan akut kronik</t>
  </si>
  <si>
    <t>medistein</t>
  </si>
  <si>
    <t>medistein kapsul erdosteine sebagai mukolitik gangguan saluran pernapasan akut kronik</t>
  </si>
  <si>
    <t>DKL9610701531A1</t>
  </si>
  <si>
    <t>Reco 1% Salep Mata 5 g</t>
  </si>
  <si>
    <t>Rp6.400 - Rp7.500</t>
  </si>
  <si>
    <t>PENGGUNAAN OBAT INI HARUS SESUAI DENGAN PETUNJUK DOKTER. 3-4 kali sehari dioleskan.</t>
  </si>
  <si>
    <t>Botol 125 ml,Botol 450 ml,Botol 500 gram,Dus 120 gram,Dus 200 ml,Dus 600 gram,Dus 700 gram,Kaleng 480 gram,Kaleng 700 gram,Pack,Pack isi 1,Pack isi 20,Pack isi 21,Pack isi 24,Pack isi 250,pack isi 38,Pack isi 40,Pack isi 52,Pack isi 58,Pack isi 64,Pack isi 70,Pack isi 72,Pack isi 9,Sachet 20 gram</t>
  </si>
  <si>
    <t>Obat Wajib Apotek, Obat ini dapat dibeli dan diserahkan apoteker tanpa resep dengan maksimum 1 Tube. Pembelian melebihi batas ini WAJIB RESEP DOKTER. Pertumbuhan berlebihan dari organisme yang tidak peka termasuk jamur (penggunaan jangka lama)</t>
  </si>
  <si>
    <t>reco mata</t>
  </si>
  <si>
    <t>reco mata salep chloramphenicol konjungtivitis bakterial infeksi mata okular superfisial</t>
  </si>
  <si>
    <t>interpec sirup ambroxol hydrochloride bronkitis asmatis  asma bronkial  bronkitis kronis</t>
  </si>
  <si>
    <t>Sulfadiazine Silver Cream 35 g</t>
  </si>
  <si>
    <t>Dioleskan tipis pada kulit yang sakit.</t>
  </si>
  <si>
    <t>PENGGUNAAN OBAT INI HARUS SESUAI DENGAN PETUNJUK DOKTER. 2-3 kali sehari</t>
  </si>
  <si>
    <t>INFORMASI OBAT INI HANYA UNTUK KALANGAN MEDIS. Merawat dan memulihkan infeksi luka.</t>
  </si>
  <si>
    <t>Dus, Tube @ 35 gram</t>
  </si>
  <si>
    <t>Obat Wajib Apotek, Obat ini dapat dibeli dan diserahkan apoteker tanpa resep dengan maksimum 1 Tube. Pembelian melebihi batas ini WAJIB RESEP DOKTER. Kerusakan hati dan ginjal, kehamilan dan menyusuI.</t>
  </si>
  <si>
    <t>merawat memulihkan infeksi luka</t>
  </si>
  <si>
    <t>sulfadiazine silver cream</t>
  </si>
  <si>
    <t>sulfadiazine silver cream krim sulfadiazine silver merawat memulihkan infeksi luka</t>
  </si>
  <si>
    <t>DTL1422723437A1</t>
  </si>
  <si>
    <t>Bodrexin Flu Dan Batuk Tidak Berdahak Pe Sirup 56 ml</t>
  </si>
  <si>
    <t>Rp12.100 - Rp12.200</t>
  </si>
  <si>
    <t>Dus, Botol @ 56 ml</t>
  </si>
  <si>
    <t>bodrexin flu dan batuk tidak berdahak pe</t>
  </si>
  <si>
    <t xml:space="preserve">bodrexin flu dan batuk tidak berdahak pe sirup chlorphenamine maleate </t>
  </si>
  <si>
    <t>TR092303561</t>
  </si>
  <si>
    <t>Borobudur Darsi 30 Kapsul</t>
  </si>
  <si>
    <t>Rp30.100 - Rp53.600</t>
  </si>
  <si>
    <t>TR153288461</t>
  </si>
  <si>
    <t>Teh Celup Jati Cina 25 Sachet</t>
  </si>
  <si>
    <t>JATI CINA</t>
  </si>
  <si>
    <t>Rp13.500 - Rp34.900</t>
  </si>
  <si>
    <t>Melancarkan buang air besar.</t>
  </si>
  <si>
    <t>Dus, 25 Sachet @ 2 g</t>
  </si>
  <si>
    <t>jati cina</t>
  </si>
  <si>
    <t>melancarkan buang air</t>
  </si>
  <si>
    <t>teh celup jati cina</t>
  </si>
  <si>
    <t>teh celup jati cina sachet jati cina melancarkan buang air</t>
  </si>
  <si>
    <t>DKL1021639633A1</t>
  </si>
  <si>
    <t>Taxilan Suspensi 180 ml</t>
  </si>
  <si>
    <t>Rp91.800 - Rp100.900</t>
  </si>
  <si>
    <t>PENGGUNAAN OBAT INI HARUS SESUAI DENGAN PETUNJUK DOKTER. Dewasa: 1 gram (2 sendok takar) 4 x sehari selama 4 - 8 minggu</t>
  </si>
  <si>
    <t>Dus, Botol @ 180 ml</t>
  </si>
  <si>
    <t>taxilan</t>
  </si>
  <si>
    <t>taxilan suspensi sucralfate gastritis  tukak lambung  tukak usus 12 jari</t>
  </si>
  <si>
    <t>Borobudur Darsi 60 Kapsul</t>
  </si>
  <si>
    <t>Rp75.000 - Rp88.000</t>
  </si>
  <si>
    <t>Sebaiknya minum air putih minimal 2,5 liter per hari.</t>
  </si>
  <si>
    <t>DBL8304300917A1</t>
  </si>
  <si>
    <t>Corsaneuron 10 Tablet</t>
  </si>
  <si>
    <t>Rp5.900 - Rp10.700</t>
  </si>
  <si>
    <t>Bersama makan</t>
  </si>
  <si>
    <t>1 tablet per hari</t>
  </si>
  <si>
    <t>Defisiensi vit B1, B6, B12 seperti pada plineuritis dan neuralgia.</t>
  </si>
  <si>
    <t>defisiensi vit b1 , b6 , b12 plineuritis neuralgia</t>
  </si>
  <si>
    <t>corsaneuron</t>
  </si>
  <si>
    <t>corsaneuron tablet cyanocobalamin defisiensi vit b1  b6  b12 plineuritis neuralgia</t>
  </si>
  <si>
    <t>DKL1315622301A1</t>
  </si>
  <si>
    <t>Dosivec 300 mg 10 Kapsul</t>
  </si>
  <si>
    <t>Rp41.900 - Rp56.900</t>
  </si>
  <si>
    <t>PENGGUNAAN OBAT INI HARUS SESUAI DENGAN PETUNJUK DOKTER. 1 kapsul 2-3 x/hari</t>
  </si>
  <si>
    <t>Mukolitik, untuk mengencerkan lendir pada penyakit pernapasan akut &amp; kronik.</t>
  </si>
  <si>
    <t>Hipersensitivitas. Sirosis hepatik &amp; defisiensi enzim sistationin-sintetase. Gagal ginjal berat (bersihan kreatinin kurang dari 25 mL/mnt).</t>
  </si>
  <si>
    <t>HARUS DENGAN RESEP DOKTER. Tukak peptik aktif. Hamil &amp; laktasi.</t>
  </si>
  <si>
    <t>mukolitik , mengencerkan lendir penyakit pernapasan akut kronik</t>
  </si>
  <si>
    <t>dosivec</t>
  </si>
  <si>
    <t>dosivec kapsul erdosteine mukolitik  mengencerkan lendir penyakit pernapasan akut kronik</t>
  </si>
  <si>
    <t>DKL8502306910A1</t>
  </si>
  <si>
    <t>Antidia 2 mg 10 Tablet</t>
  </si>
  <si>
    <t>Rp4.100 - Rp5.000</t>
  </si>
  <si>
    <t>antidia</t>
  </si>
  <si>
    <t>antidia tablet loperamide hydrochloride diare akut non spesifik diare kronik</t>
  </si>
  <si>
    <t>DKI1953300196A1</t>
  </si>
  <si>
    <t>Viastar Blue 50 mg Odf</t>
  </si>
  <si>
    <t>Rp91.000 - Rp97.300</t>
  </si>
  <si>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</si>
  <si>
    <t>viastar blue</t>
  </si>
  <si>
    <t>viastar blue odf sildenafil citrate terapi disfungsi ereksi pria dewasa</t>
  </si>
  <si>
    <t>DKL1122249733A1</t>
  </si>
  <si>
    <t>Episan Suspensi 100 ml</t>
  </si>
  <si>
    <t>Rp62.100 - Rp79.200</t>
  </si>
  <si>
    <t>Diberikan saat lambung kosong (1 jam sebelum makan dan sebelum tidur)</t>
  </si>
  <si>
    <t>PENGGUNAAN OBAT INI HARUS SESUAI DENGAN PETUNJUK DOKTER. 2 sendok takar (10 mL) 4 kali perhari.</t>
  </si>
  <si>
    <t>INFORMASI OBAT INI HANYA UNTUK KALANGAN MEDIS. Terapi jangka pendek tukak duodenum (hingga 8 minggu).</t>
  </si>
  <si>
    <t>Hipofosfatemia, Reaksi alergi, disfungsi ginjal yang parah</t>
  </si>
  <si>
    <t>HARUS DENGAN RESEP DOKTER. Hati-hati penggunaan pada pasien gagal ginjal dan pasien dialisis dan wanita menyusui. Penggunaan SUkralfate selama kehamilan hanya dilakukan jika benar-benar diperlukan. Jika diperlukan, antasida dapat diberikan dalam jangka waktu setengah jam sebelum atau sesudah pemberian Sukralfat. Keamanan dan efektivitas obat ini pada anak-anak belum diketahui.</t>
  </si>
  <si>
    <t>terapi jangka pendek tukak duodenum 8 minggu</t>
  </si>
  <si>
    <t>episan</t>
  </si>
  <si>
    <t>episan suspensi sucralfate terapi jangka pendek tukak duodenum 8 minggu</t>
  </si>
  <si>
    <t>Vikacare Hearing Aid Diamond Vk-125</t>
  </si>
  <si>
    <t>Rp262.500 - Rp412.500</t>
  </si>
  <si>
    <t>Alat bantu dengar</t>
  </si>
  <si>
    <t>Dus, @ 1 Unit Alat</t>
  </si>
  <si>
    <t>alat bantu dengar</t>
  </si>
  <si>
    <t>vikacare hearing aid diamond vk</t>
  </si>
  <si>
    <t>vikacare hearing aid diamond vk larutan povidoneiodine alat bantu dengar</t>
  </si>
  <si>
    <t>Episan Suspensi 200 ml</t>
  </si>
  <si>
    <t>Rp81.100 - Rp125.400</t>
  </si>
  <si>
    <t>PENGGUNAAN OBAT INI HARUS SESUAI DENGAN PETUNJUK DOKTER. 4 x sehari 2 sendok takar (10 ml)</t>
  </si>
  <si>
    <t>INFORMASI OBAT INI HANYA UNTUK KALANGAN MEDIS. Terapi jangka pendek tukak duodenum (hingga 8 minggu)</t>
  </si>
  <si>
    <t>Vikacare Hearing Aid Golden Vk-115</t>
  </si>
  <si>
    <t>Rp367.500 - Rp385.000</t>
  </si>
  <si>
    <t>vikacare hearing aid golden vk</t>
  </si>
  <si>
    <t>vikacare hearing aid golden vk larutan povidoneiodine alat bantu dengar</t>
  </si>
  <si>
    <t>Carefree Panty Liner Healthy Fresh Super Dry40 Pads</t>
  </si>
  <si>
    <t>Rp28.900 - Rp35.500</t>
  </si>
  <si>
    <t>carefree panty liner healthy fresh super pads</t>
  </si>
  <si>
    <t xml:space="preserve">carefree panty liner healthy fresh super pads tablet sildenafil citrate </t>
  </si>
  <si>
    <t>DKI0351601917C1</t>
  </si>
  <si>
    <t>Levitra Tablet 20 mg</t>
  </si>
  <si>
    <t>Rp148.300 - Rp199.800</t>
  </si>
  <si>
    <t>Diberikan bersama makanan.</t>
  </si>
  <si>
    <t>PENGGUNAAN OBAT INI HARUS SESUAI DENGAN PETUNJUK DOKTER. Dewasa 10 mg, 25-60 menit sebelum beraktivitas seksual. Maksimal 20 mg 1 x/hari. Lansia awal 5 mg, dapat ditingkatkan s/d 10-20 mg, bila perlu. Dosis tidak boleh melebihi 5 mg jika diberikan dalam kombinasi dengan eritromisin.</t>
  </si>
  <si>
    <t>INFORMASI OBAT INI HANYA UNTUK KALANGAN MEDIS. Pengobatan disfungsi ereksi pada pria dewasa</t>
  </si>
  <si>
    <t>Pemberian bersama dengan nitrat oksida, nitrat organik, atau nitrit organik dalam bentuk sediaan apapun, pasien dengan neuropati optik iskemik non-arteritik.</t>
  </si>
  <si>
    <t>HARUS DENGAN RESEP DOKTER. Pasien dengan deformasi anatomis dari penis atau dengan kondisi yang dapat memicu priapismus</t>
  </si>
  <si>
    <t>TR102312741</t>
  </si>
  <si>
    <t>Sido Muncul Prostresa 30 Kapsul</t>
  </si>
  <si>
    <t>PROSTRESA</t>
  </si>
  <si>
    <t>Rp68.900 - Rp69.600</t>
  </si>
  <si>
    <t>Setengah jam sebelum tidur</t>
  </si>
  <si>
    <t>1 Kapsul, 1-2 kali perhari.</t>
  </si>
  <si>
    <t>Membantu meringankan gangguan sulit tidur</t>
  </si>
  <si>
    <t>Penderita gangguang fungsi hati, Wanita hamil dan menyusui, Anak-anak dibawah usia 12 tahun</t>
  </si>
  <si>
    <t>â€¢ Tidak boleh mengemudi atau mengoperasikan mesin yang membutuhkan konsentrasi tinggi. â€¢ Hindari penggunaan bersama dengan alkohol atau sedatif lain.</t>
  </si>
  <si>
    <t>prostresa</t>
  </si>
  <si>
    <t>membantu meringankan gangguan sulit tidur</t>
  </si>
  <si>
    <t>sido muncul prostresa</t>
  </si>
  <si>
    <t>sido muncul prostresa kapsul prostresa membantu meringankan gangguan sulit tidur</t>
  </si>
  <si>
    <t>Carefree Panty Liner Super Dry Long Unscented 20 Pads</t>
  </si>
  <si>
    <t>Rp13.500 - Rp24.000</t>
  </si>
  <si>
    <t>carefree panty liner super long unscented pads</t>
  </si>
  <si>
    <t xml:space="preserve">carefree panty liner super long unscented pads tablet sildenafil citrate </t>
  </si>
  <si>
    <t>DBL0233504936A1</t>
  </si>
  <si>
    <t>Pyrex Drops 15 ml</t>
  </si>
  <si>
    <t>Rp27.600 - Rp35.200</t>
  </si>
  <si>
    <t>Anak 1-2 tahun : 0,6 - 1,2 ml diberikan sehari 3 x</t>
  </si>
  <si>
    <t>Meredakan nyeri demam, sakit kepala, sakit gigi</t>
  </si>
  <si>
    <t>Penyakit hati</t>
  </si>
  <si>
    <t>meredakan nyeri demam , sakit kepala , sakit gigi</t>
  </si>
  <si>
    <t>pyrex</t>
  </si>
  <si>
    <t>pyrex tetes paracetamol meredakan nyeri demam  sakit kepala  sakit gigi</t>
  </si>
  <si>
    <t>DBL8721002137A1</t>
  </si>
  <si>
    <t>Pyridol Sirup 60 ml</t>
  </si>
  <si>
    <t>Rp29.400 - Rp31.000</t>
  </si>
  <si>
    <t>Drop Anak 2-5 tahun 0.6-1.5 ml (12-30 tetes), &lt; 2 tahun 0.3-0.6 ml (6-12 tetes). Diberikan 3-4 x sehari.</t>
  </si>
  <si>
    <t>Sakit gigi, nyeri otot, sakit kepala, demam</t>
  </si>
  <si>
    <t>Peny hati atau ginjal, KV atau kelainan hematologi.</t>
  </si>
  <si>
    <t>sakit gigi , nyeri otot , sakit kepala , demam</t>
  </si>
  <si>
    <t>pyridol</t>
  </si>
  <si>
    <t>pyridol sirup paracetamol sakit gigi  nyeri otot  sakit kepala  demam</t>
  </si>
  <si>
    <t>DKL1303813746A1</t>
  </si>
  <si>
    <t>Cendo Giflox Minidose 0.6 ml</t>
  </si>
  <si>
    <t>PENGGUNAAN OBAT INI HARUS SESUAI DENGAN PETUNJUK DOKTER. 1 minidose tiap 2-4 jam selama 2 hari pertama, kemudian 4 kali sehari selama maksimal 10 hari.</t>
  </si>
  <si>
    <t>Untuk meringankan infeksi pada mata dan okular</t>
  </si>
  <si>
    <t>Catchcover @ 5 Botol @ 0.6 ml</t>
  </si>
  <si>
    <t>HARUS DENGAN RESEP DOKTER. Hipersensitif terhadap komponen obat</t>
  </si>
  <si>
    <t>gatifloxacin</t>
  </si>
  <si>
    <t>untuk meringankan infeksi mata okular</t>
  </si>
  <si>
    <t>cendo giflox minidose</t>
  </si>
  <si>
    <t>cendo giflox minidose tetes gatifloxacin untuk meringankan infeksi mata okular</t>
  </si>
  <si>
    <t>Kasa Husada 4Y X 5 cm 5 Roll</t>
  </si>
  <si>
    <t>Rp15.000 - Rp16.800</t>
  </si>
  <si>
    <t>Pack isi 5 roll</t>
  </si>
  <si>
    <t>husada y x roll</t>
  </si>
  <si>
    <t>husada y x roll larutan povidoneiodine untuk menutup membalut luka</t>
  </si>
  <si>
    <t>DKL9509310830A1</t>
  </si>
  <si>
    <t>Bactoderm 2% Salep 10 g</t>
  </si>
  <si>
    <t>Rp80.600 - Rp88.700</t>
  </si>
  <si>
    <t>PENGGUNAAN OBAT INI HARUS SESUAI DENGAN PETUNJUK DOKTER. Dewasa dan anak : oleskan hingga 3 x sehari selama s/d 10 hari</t>
  </si>
  <si>
    <t>INFORMASI OBAT INI HANYA UNTUK KALANGAN MEDIS. Infeksi Kulit primer akut, misalnya Impetigo, Folikulitis, Furunkulosis</t>
  </si>
  <si>
    <t>HARUS DENGAN RESEP DOKTER. Hindari kontak dengan mata. Hati-hati penggunaan pada gangguan ginjal sedang s/d berat. Hamil, laktasi. Penggunaan jangka panjang Kategori Kehamilan : B</t>
  </si>
  <si>
    <t>infeksi kulit primer akut , impetigo , folikulitis , furunkulosis</t>
  </si>
  <si>
    <t>bactoderm</t>
  </si>
  <si>
    <t>bactoderm salep mupirocin infeksi kulit primer akut  impetigo  folikulitis  furunkulosis</t>
  </si>
  <si>
    <t>DKL7221628724A1</t>
  </si>
  <si>
    <t>Nebacetin Powder 5 g</t>
  </si>
  <si>
    <t>Rp27.200 - Rp32.900</t>
  </si>
  <si>
    <t>Berikan secukupnya di area yang terinfeksi 2-3 kali sehari</t>
  </si>
  <si>
    <t>PENGGUNAAN OBAT INI HARUS SESUAI DENGAN PETUNJUK DOKTER. Gunakan beberapa kali sehari</t>
  </si>
  <si>
    <t>INFORMASI OBAT INI HANYA UNTUK KALANGAN MEDIS. Infeksi kulit dan membran mukosa lokal</t>
  </si>
  <si>
    <t>Dus, Botol @ 5 gram</t>
  </si>
  <si>
    <t>HARUS DENGAN RESEP DOKTER. Pertumbuhan berlebihan dari organisme yang tidak peka Kategori Kehamilan : D</t>
  </si>
  <si>
    <t>bacitracin neomycin sulfate</t>
  </si>
  <si>
    <t>infeksi kulit membran mukosa lokal</t>
  </si>
  <si>
    <t>nebacetin</t>
  </si>
  <si>
    <t>nebacetin powder bacitracin neomycin sulfate infeksi kulit membran mukosa lokal</t>
  </si>
  <si>
    <t>GKL1522724233A2</t>
  </si>
  <si>
    <t>Sucralfate Suspensi 500 mg/5 ml 100 ml</t>
  </si>
  <si>
    <t>Rp11.000 - Rp55.100</t>
  </si>
  <si>
    <t>Dikonsumsi saat perut kosong, yaitu 1 jam sebelum makan atau 2 jam sesudah makan.</t>
  </si>
  <si>
    <t>DTL1224403416A1</t>
  </si>
  <si>
    <t>Theragran-M 4 Tablet</t>
  </si>
  <si>
    <t>Rp28.000 - Rp30.800</t>
  </si>
  <si>
    <t>Saat makan atau sesudah makan</t>
  </si>
  <si>
    <t>Dewasa : 1 tablet sehari atau sesuai anjuran dokter</t>
  </si>
  <si>
    <t>Memenuhi kebutuhan vitamin dan mineral pada masa penyembuhan setelah sakit</t>
  </si>
  <si>
    <t>Dus, 1 Strip @ 4 Tablet Salut Gula</t>
  </si>
  <si>
    <t>Simpan pada suhu di bawah 30 derajat.</t>
  </si>
  <si>
    <t>calcium pantothenate</t>
  </si>
  <si>
    <t>memenuhi kebutuhan vitamin mineral penyembuhan sakit</t>
  </si>
  <si>
    <t>theragranm</t>
  </si>
  <si>
    <t>theragranm tablet calcium pantothenate memenuhi kebutuhan vitamin mineral penyembuhan sakit</t>
  </si>
  <si>
    <t>DKI1953300196B1</t>
  </si>
  <si>
    <t>Viastar Blue 100 mg Odf</t>
  </si>
  <si>
    <t>Rp108.000 - Rp125.100</t>
  </si>
  <si>
    <t>omegdiar tablet kaolin pectin untuk pengobatan simptomatik diare non spesifik</t>
  </si>
  <si>
    <t>TR002410331</t>
  </si>
  <si>
    <t>Borobudur Darsi 100 Pil</t>
  </si>
  <si>
    <t>Rp14.200 - Rp30.300</t>
  </si>
  <si>
    <t>Dewasa: 2 x sehari 5 pil Anak: Setengah dosis dewasa</t>
  </si>
  <si>
    <t>borobudur darsi pil darsi membantu mengurangi jerawat  bisul  gatal  gatal</t>
  </si>
  <si>
    <t>DKL1108016233A2</t>
  </si>
  <si>
    <t>Nucral Suspensi Sachet 10 ml</t>
  </si>
  <si>
    <t>Rp9.600 - Rp10.500</t>
  </si>
  <si>
    <t>PENGGUNAAN OBAT INI HARUS SESUAI DENGAN PETUNJUK DOKTER. 4 kali sehari 1 sachet 10ml selama 4-8 minggu</t>
  </si>
  <si>
    <t>Suspensi 10 ml X 1 Botol</t>
  </si>
  <si>
    <t>Hipofosfatemia Reaksi alergi disfungsi ginjal yang parah</t>
  </si>
  <si>
    <t>DKL1108016410A1</t>
  </si>
  <si>
    <t>Nucral 500 mg 10 Tablet</t>
  </si>
  <si>
    <t>Rp24.400 - Rp27.100</t>
  </si>
  <si>
    <t>PENGGUNAAN OBAT INI HARUS SESUAI DENGAN PETUNJUK DOKTER. 4 kali sehari 2 tablet selama 4-8 minggu</t>
  </si>
  <si>
    <t>1 Dos Isi 6 Strip X 10 Tablet</t>
  </si>
  <si>
    <t>Obat Wajib Apotek, Obat ini dapat dibeli dan diserahkan apoteker tanpa resep dengan maksimum 2 Strip. Pembelian melebihi batas ini WAJIB RESEP DOKTER. Gangguan fungsi ginjal dan menjalani dialisis. berikan jarak waktu 30 menit dengan pemberian antasida. ibu hamil, menyusui dan anak.</t>
  </si>
  <si>
    <t>nucral tablet sucralfate terapi jangka pendek tukak duodenum  8 minggu</t>
  </si>
  <si>
    <t>inpepsa suspensi sucralfate suspension tukak usus  tukak lambung  gastritis kronis</t>
  </si>
  <si>
    <t>Kondom Simplex Deluxe Red isi 3</t>
  </si>
  <si>
    <t>Rp8.600 - Rp16.900</t>
  </si>
  <si>
    <t>kondom simplex deluxe red isi</t>
  </si>
  <si>
    <t>kondom simplex deluxe red isi tablet sildenafil citrate alat kontrasepsi</t>
  </si>
  <si>
    <t>DKL0715620153A1</t>
  </si>
  <si>
    <t>Pyrexin 80 mg Suppositoria</t>
  </si>
  <si>
    <t>PENGGUNAAN OBAT INI HARUS SESUAI DENGAN PETUNJUK DOKTER. anak 4-8 tahun: 4 kali sehari 250mg. anak 2-4 tahun: 4 kali sehari 125mg.</t>
  </si>
  <si>
    <t>untuk meredakan nyeri dan demam pada pasien yang tidak memungkinkan pemberian oral</t>
  </si>
  <si>
    <t>meredakan nyeri demam pasien tidak pemberian oral</t>
  </si>
  <si>
    <t>pyrexin</t>
  </si>
  <si>
    <t>pyrexin suppositoria paracetamol meredakan nyeri demam pasien tidak pemberian oral</t>
  </si>
  <si>
    <t>DKL0921636838A1</t>
  </si>
  <si>
    <t>Nytex Dry Syrup 150 ml</t>
  </si>
  <si>
    <t>Rp42.100 - Rp68.500</t>
  </si>
  <si>
    <t>PENGGUNAAN OBAT INI HARUS SESUAI DENGAN PETUNJUK DOKTER. Dewasa dan anak &gt; 14 tahun : 2-3 x sehari 2 mL, Anak 6-14 tahun : 2 x sehari 2 mL, Mukovisidosis Anak &gt; 6 tahun : 3 x sehari 2 mL.</t>
  </si>
  <si>
    <t>Dus, Botol @ 150 ML</t>
  </si>
  <si>
    <t>Obat Wajib Apotek, Obat ini dapat dibeli dan diserahkan apoteker tanpa resep dengan maksimum 1 Botol. Pembelian melebihi batas ini WAJIB RESEP DOKTER. Asma. Anak &lt;6 tahun. Hamil dan laktasi</t>
  </si>
  <si>
    <t>nytex sirup acetylcysteine bronkitis akut kronik  emfisema paru  mukovisidosis  bronkhiektasis</t>
  </si>
  <si>
    <t>QL071800021</t>
  </si>
  <si>
    <t>Hansaplast Koyo Hangat 10 Lembar</t>
  </si>
  <si>
    <t>Rp6.800 - Rp10.300</t>
  </si>
  <si>
    <t>Bersihkan bagian tubuh yang terasa sakit, lalu tempelkan Hansaplast Koyo. Ganti koyo bila rasa hangat berkurang.</t>
  </si>
  <si>
    <t>Koyo panas pereda nyeri dan pegal</t>
  </si>
  <si>
    <t>Dus, 10 Sachet @ 10 Lembar</t>
  </si>
  <si>
    <t>Jangan digunakan pada kulit yang luka. Bila terjadi iritasi, hentikan pemakaian. Tidak untuk digunakan pada anak dengan usia dibawah 2 tahun. Jangan digunakan langsung di bawah hidung. Simpan di bawah suhu 30 C.</t>
  </si>
  <si>
    <t>koyo panas pereda nyeri pegal</t>
  </si>
  <si>
    <t>hansaplast koyo hangat lembar</t>
  </si>
  <si>
    <t>hansaplast koyo hangat lembar  camphor koyo panas pereda nyeri pegal</t>
  </si>
  <si>
    <t>DKL9422215816A1</t>
  </si>
  <si>
    <t>Eprinoc 50 mg 10 Tablet</t>
  </si>
  <si>
    <t>Rp50.400 - Rp50.600</t>
  </si>
  <si>
    <t>PENGGUNAAN OBAT INI HARUS SESUAI DENGAN PETUNJUK DOKTER. Dewasa : 3 x sehari 1 tablet (50 mg)</t>
  </si>
  <si>
    <t>INFORMASI OBAT INI HANYA UNTUK KALANGAN MEDIS. Terapi simtomatik untuk kondisi yang berhubungan dengan spasme/kram muskuloskeletal</t>
  </si>
  <si>
    <t>Hipersensitivitas, ibu menyusui</t>
  </si>
  <si>
    <t>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</si>
  <si>
    <t>eperisone</t>
  </si>
  <si>
    <t>terapi simtomatik kondisi berhubungan spasme kram muskuloskeletal</t>
  </si>
  <si>
    <t>eprinoc</t>
  </si>
  <si>
    <t>eprinoc tablet eperisone terapi simtomatik kondisi berhubungan spasme kram muskuloskeletal</t>
  </si>
  <si>
    <t>DKL0617621853B1</t>
  </si>
  <si>
    <t>Pamol Suppositoria 250 mg</t>
  </si>
  <si>
    <t>Rp27.500 - Rp32.800</t>
  </si>
  <si>
    <t>Dimasukkan melalui dubur/anus.</t>
  </si>
  <si>
    <t>PENGGUNAAN OBAT INI HARUS SESUAI DENGAN PETUNJUK DOKTER. Anak usia 4-8 tahun : 4 kali sehari 250 mg. Anak usia 2-4 tahun : 4 kali sehari 125 mg.</t>
  </si>
  <si>
    <t>INFORMASI OBAT INI HANYA UNTUK KALANGAN MEDIS. Menghilangkan rasa nyeri dan demam bilamana pemakaian oral tidak memungkinkan.</t>
  </si>
  <si>
    <t>Dus, 2 Blister @ 6 Suppositoria</t>
  </si>
  <si>
    <t>Penderita yang hipersensitif dengan Paracetamol. Penderita yang memiliki gangguan fungsi hati berat.</t>
  </si>
  <si>
    <t>HARUS DENGAN RESEP DOKTER. Hati-hati penggunaannya pada penderita gangguan fungsi hati dan/atau ginjal, dan pengonsumsi alkohol.</t>
  </si>
  <si>
    <t>menghilangkan nyeri demam bilamana pemakaian oral tidak</t>
  </si>
  <si>
    <t>pamol suppositoria paracetamol menghilangkan nyeri demam bilamana pemakaian oral tidak</t>
  </si>
  <si>
    <t>DKL1613320017A1</t>
  </si>
  <si>
    <t>Myonep 50 mg 10 Tablet</t>
  </si>
  <si>
    <t>Rp68.100 - Rp76.900</t>
  </si>
  <si>
    <t>PENGGUNAAN OBAT INI HARUS SESUAI DENGAN PETUNJUK DOKTER. Dewasa : 1 tablet, 3 kali per hari.</t>
  </si>
  <si>
    <t>INFORMASI OBAT INI HANYA UNTUK KALANGAN MEDIS. Terapi simtomatik untuk kondisi yang berhubungan dengan spasme muskuloskeletal</t>
  </si>
  <si>
    <t>Dus, 10 Strip @ 10 Tablet Salut Selaput.</t>
  </si>
  <si>
    <t>Gagal ginjal dan hati, hipersensitivitas terhadap obat.</t>
  </si>
  <si>
    <t>HARUS DENGAN RESEP DOKTER. Hentikan terapi jika timbul kelelahan, pusing, dan mengantuk. Gangguan hati. Hamil dan laktasi. Anak. Dapat menganggu kemempuan untuk mengemudi atau menjalankan mesin.</t>
  </si>
  <si>
    <t>terapi simtomatik kondisi berhubungan spasme muskuloskeletal</t>
  </si>
  <si>
    <t>myonep</t>
  </si>
  <si>
    <t>myonep tablet eperisone hydrochloride terapi simtomatik kondisi berhubungan spasme muskuloskeletal</t>
  </si>
  <si>
    <t>DBL8522700810A1</t>
  </si>
  <si>
    <t>Bodrex 20 Tablet</t>
  </si>
  <si>
    <t>Rp5.100 - Rp12.300</t>
  </si>
  <si>
    <t>Dikonsumsi setelah makanan</t>
  </si>
  <si>
    <t>Dewasa dan anak lebih dari 12 tahun : 1 tablet, 3-4 kali sehari. Anak 6-12 tahun : 0.5 - 1 tablet, 3-4 kali sehari. Atau sesuai petunjuk dokter.</t>
  </si>
  <si>
    <t>Meringankan sakit kepala, sakit gigi dan menurunkan demam.</t>
  </si>
  <si>
    <t>Dus, 2 Blister @ 10 Tablet</t>
  </si>
  <si>
    <t>Gangguan fungsi hati berat, hipersensitif.</t>
  </si>
  <si>
    <t>Simpan ditempat kering, terlindung dari sinar matahari langsung. Simpan pada suhu dibawah 30 C</t>
  </si>
  <si>
    <t>meringankan sakit kepala , sakit gigi menurunkan demam</t>
  </si>
  <si>
    <t>bodrex</t>
  </si>
  <si>
    <t>bodrex tablet caffeine meringankan sakit kepala  sakit gigi menurunkan demam</t>
  </si>
  <si>
    <t>Blood Backheat Sachet</t>
  </si>
  <si>
    <t>Ditempelkan seperti koyo pada umumnya, pad dapat dipotong menjadi 2 bagian.</t>
  </si>
  <si>
    <t>Pad atau koyo pereda nyeri untuk punggung.</t>
  </si>
  <si>
    <t>Dus, 6 Sachet @ 1 Pad</t>
  </si>
  <si>
    <t>pad koyo pereda nyeri punggung</t>
  </si>
  <si>
    <t>blood backheat</t>
  </si>
  <si>
    <t>blood backheat tablet tizanidine hydrochloride pad koyo pereda nyeri punggung</t>
  </si>
  <si>
    <t>TI204359471</t>
  </si>
  <si>
    <t>Himalaya Kapikachhu 60 Kapsul</t>
  </si>
  <si>
    <t>HIMALAYA KAPIKACHHU CAPSULES</t>
  </si>
  <si>
    <t>Rp372.400 - Rp416.300</t>
  </si>
  <si>
    <t>2 kali sehari 1 kapsul selama 3 bulan</t>
  </si>
  <si>
    <t>Perbaikan kualitas dan kuantitas sperma</t>
  </si>
  <si>
    <t>Botol @ 60 kapsul</t>
  </si>
  <si>
    <t>himalaya kapikachhu capsules</t>
  </si>
  <si>
    <t>perbaikan kualitas kuantitas sperma</t>
  </si>
  <si>
    <t>himalaya kapikachhu</t>
  </si>
  <si>
    <t>himalaya kapikachhu kapsul himalaya kapikachhu capsules perbaikan kualitas kuantitas sperma</t>
  </si>
  <si>
    <t>Kondom Durex Extra Safe Isi 12</t>
  </si>
  <si>
    <t>Rp81.400 - Rp89.500</t>
  </si>
  <si>
    <t>Dus @ 12 pieces</t>
  </si>
  <si>
    <t>kondom durex extra safe isi</t>
  </si>
  <si>
    <t>kondom durex extra safe isi tablet tizanidine hydrochloride alat kontrasepsi</t>
  </si>
  <si>
    <t>Kondom Sagami Xtreme Superthin Isi 10</t>
  </si>
  <si>
    <t>Box, @ 10 Piece</t>
  </si>
  <si>
    <t>kondom sagami xtreme superthin isi</t>
  </si>
  <si>
    <t>kondom sagami xtreme superthin isi tablet tizanidine hydrochloride alat kontrasepsi</t>
  </si>
  <si>
    <t>DTL7204509116A1</t>
  </si>
  <si>
    <t>Stop Cold 4 Tablet</t>
  </si>
  <si>
    <t>Rp3.700 - Rp6.000</t>
  </si>
  <si>
    <t>Dewasa : 3 x sheri 1 tablet</t>
  </si>
  <si>
    <t>Meringankan gejala flu yang disertai batuk</t>
  </si>
  <si>
    <t>Dus, 100 Catch Cover @ 1 Strip @ 4 Tablet</t>
  </si>
  <si>
    <t>Penderita yang peka terhadap obat simpatomimetik, penderita tekanan darah tinggi berat dan yang mendapat terapi obat antidepresan MAO</t>
  </si>
  <si>
    <t>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</si>
  <si>
    <t>meringankan gejala flu disertai batuk</t>
  </si>
  <si>
    <t>stop cold</t>
  </si>
  <si>
    <t>stop cold tablet chlorphenamine maleate meringankan gejala flu disertai batuk</t>
  </si>
  <si>
    <t>Kondom Fiesta Max Dotted Isi 12</t>
  </si>
  <si>
    <t>Rp60.200 - Rp66.200</t>
  </si>
  <si>
    <t>kondom fiesta max dotted isi</t>
  </si>
  <si>
    <t>kondom fiesta max dotted isi tablet tizanidine hydrochloride alat kontrasepsi</t>
  </si>
  <si>
    <t>Kondom Fiesta Party Pack Isi 12</t>
  </si>
  <si>
    <t>Rp57.200 - Rp57.900</t>
  </si>
  <si>
    <t>kondom fiesta party pack isi</t>
  </si>
  <si>
    <t>kondom fiesta party pack isi tablet tizanidine hydrochloride alat kontrasepsi</t>
  </si>
  <si>
    <t>Kondom Fiesta Ultra Safe Isi 3</t>
  </si>
  <si>
    <t>Rp17.000 - Rp18.700</t>
  </si>
  <si>
    <t>kondom fiesta ultra safe isi</t>
  </si>
  <si>
    <t>kondom fiesta ultra safe isi tablet tizanidine hydrochloride alat kontrasepsi</t>
  </si>
  <si>
    <t>Kondom Sagami Xtreme Superthin Isi 3</t>
  </si>
  <si>
    <t>Kondom Simplex Black Panther isi 12</t>
  </si>
  <si>
    <t>Rp29.100 - Rp62.900</t>
  </si>
  <si>
    <t>kondom simplex black panther isi</t>
  </si>
  <si>
    <t>kondom simplex black panther isi tablet tizanidine hydrochloride alat kontrasepsi</t>
  </si>
  <si>
    <t>kondom simplex long love isi tablet tizanidine hydrochloride alat kontrasepsi</t>
  </si>
  <si>
    <t>Sensitif Vivo Extra Sensation 3 Pieces</t>
  </si>
  <si>
    <t>Omron Wrist Blood Pressure Monitor Hem 6161</t>
  </si>
  <si>
    <t>Rp484.400 - Rp799.300</t>
  </si>
  <si>
    <t>Box @ 1 Piece</t>
  </si>
  <si>
    <t>omron wrist blood pressure monitor hem</t>
  </si>
  <si>
    <t xml:space="preserve">omron wrist blood pressure monitor hem tablet kombinasivalsartan blend 32 </t>
  </si>
  <si>
    <t>Sensitif Vivo H2O Lube 60 gr</t>
  </si>
  <si>
    <t>Rp38.700 - Rp48.900</t>
  </si>
  <si>
    <t>Tube 60 G</t>
  </si>
  <si>
    <t>sensitif vivo ho lube gr</t>
  </si>
  <si>
    <t>sensitif vivo ho lube gr tablet sildenafil citrate sebagai pelumas</t>
  </si>
  <si>
    <t>Accutrend Triglycerides 25 Strip</t>
  </si>
  <si>
    <t>Rp379.500 - Rp490.300</t>
  </si>
  <si>
    <t>Alat untuk mengecek Trigliserida</t>
  </si>
  <si>
    <t>alat mengecek trigliserida</t>
  </si>
  <si>
    <t>accutrend triglycerides strip</t>
  </si>
  <si>
    <t>accutrend triglycerides strip tablet kombinasivalsartan blend 32 alat mengecek trigliserida</t>
  </si>
  <si>
    <t>Kondom Durex Close Fit Isi 12</t>
  </si>
  <si>
    <t>Rp35.600 - Rp76.500</t>
  </si>
  <si>
    <t>kondom durex close fit isi</t>
  </si>
  <si>
    <t>kondom durex close fit isi tablet tizanidine hydrochloride alat kontrasepsi</t>
  </si>
  <si>
    <t>DKL9106101216A1</t>
  </si>
  <si>
    <t>Myonal 50 mg 10 Tablet</t>
  </si>
  <si>
    <t>Rp97.900 - Rp118.400</t>
  </si>
  <si>
    <t>myonal</t>
  </si>
  <si>
    <t>myonal tablet eperisone terapi simtomatik kondisi berhubungan spasme kram muskuloskeletal</t>
  </si>
  <si>
    <t>kondom sagami xtreme superthin isi tablet sildenafil citrate alat kontrasepsi</t>
  </si>
  <si>
    <t>DBL9424502004A1</t>
  </si>
  <si>
    <t>Panadol Extra 10 Kaplet</t>
  </si>
  <si>
    <t>Rp12.000 - Rp17.100</t>
  </si>
  <si>
    <t>Dewasa dan anak-anak lebih dari 12 tahun : 1 Kaplet, ditelan dengan segelas air, 3-4 kali sehari bila gejala memburuk. Tidak melebihi 8 kaplet dalam 24 jam. Minimum interval penggunaan dosis adalah 4 jam.</t>
  </si>
  <si>
    <t>Obat ini digunakan untuk meringankan sakit kepala dan sakit gigi.</t>
  </si>
  <si>
    <t>Dus, 10 Amplop @ 1 Blister @ 10 Kaplet</t>
  </si>
  <si>
    <t>Wanita hamil dan menyusui. Tidaj dianjurkan untuk digunakan pada anak dibawah usia 12 tahun</t>
  </si>
  <si>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</si>
  <si>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meringankan sakit kepala sakit gigi</t>
  </si>
  <si>
    <t>panadol extra</t>
  </si>
  <si>
    <t>panadol extra kaplet caffeine obat meringankan sakit kepala sakit gigi</t>
  </si>
  <si>
    <t>DKL1131114617A1</t>
  </si>
  <si>
    <t>Norpid 10 mg 10 Tablet</t>
  </si>
  <si>
    <t>Rp9.400 - Rp16.900</t>
  </si>
  <si>
    <t>PENGGUNAAN OBAT INI HARUS SESUAI DENGAN PETUNJUK DOKTER. Awal 5-10 mg/hari. Pemeliharaan : 40 mg/hari. Maksimal 40 mg/hari, diberikan dalam dosis tunggal pada malam hari.</t>
  </si>
  <si>
    <t>INFORMASI OBAT INI HANYA UNTUK KALANGAN MEDIS. Menurunkan kadar kolesterol total dan LDL pada pasien dengan hiperkolesterolemia</t>
  </si>
  <si>
    <t>Dus, 3 Strip @ 10 Tablet Salut Selaut</t>
  </si>
  <si>
    <t>menurunkan kadar kolesterol total ldl pasien hiperkolesterolemia</t>
  </si>
  <si>
    <t>norpid tablet simvastatin menurunkan kadar kolesterol total ldl pasien hiperkolesterolemia</t>
  </si>
  <si>
    <t>DKL2121908917A1</t>
  </si>
  <si>
    <t>Mastatin 10 mg 10 Tablet</t>
  </si>
  <si>
    <t>Sebelum atau sesudah makan pada malam hari, hindari konsumsi jus anggur berlebihan (&gt; 1 L/hari)</t>
  </si>
  <si>
    <t>mastatin</t>
  </si>
  <si>
    <t>mastatin tablet simvastatin menurunkan kadar kolesterol total ldl pasien hiperkolesterolemia</t>
  </si>
  <si>
    <t>DTL1624504037A1</t>
  </si>
  <si>
    <t>Actifed Sirup 60 ml (Kuning)</t>
  </si>
  <si>
    <t>Rp66.700 - Rp75.400</t>
  </si>
  <si>
    <t>Dewasa dan anak-anak di atas 12 tahun: 1 sendok takar (5 ml), 3 kali sehari Anak-anak usia 6-12 tahun: 1/2 sendok takar (2,5 ml), 3 kali sehari Tidak dianjurkan untuk anak di bawah 6 tahun</t>
  </si>
  <si>
    <t>Meredakan pilek dan alergi pernapasan hidung.</t>
  </si>
  <si>
    <t>Penderita yang peka terhadap obat simpatomimetik lain (misalnya efedrin, fenilpropanolamin, fenilefrin), hipertensi berat. Sedang mendapat terapi MAOI dalam 2 minggu terakhir</t>
  </si>
  <si>
    <t>Hipertensi, gangguan fungsi hati, gangguan fungsi ginjal, diabetes melitus, hipertropi prostat, hipertiroid. Hentikan pengobatan jika terjadi insomnia, palpitasi (jantung berdebar abnormal). Penggunaan obat tidak boleh melebihi dosis yang dianjurkan. Obat ini tidak dianjurkan untuk anak-anak usia dibawah 6 tahun, ibu hamil, menyusui kecuali dibawah pengawasan dokter. Hentikan terapi jika mengalami insomnia, palpitasi (jantung berdebar abnormal) atau pusing.</t>
  </si>
  <si>
    <t>meredakan pilek alergi pernapasan hidung</t>
  </si>
  <si>
    <t>actifed kuning</t>
  </si>
  <si>
    <t>actifed kuning sirup pseudoephedrine hydrochloride meredakan pilek alergi pernapasan hidung</t>
  </si>
  <si>
    <t>DTL8515201004A1</t>
  </si>
  <si>
    <t>Alleron 4 mg 10 Kaplet</t>
  </si>
  <si>
    <t>Rp1.800 - Rp2.000</t>
  </si>
  <si>
    <t>Dewasa : 3 kali sehari 1 kaplet Anak-anak : 3 kali sehari 1/2 kaplet</t>
  </si>
  <si>
    <t>Alergi seperti urtikaria, dermatitis, rinitis, hay faver</t>
  </si>
  <si>
    <t>Dus, 20 Strip @ 10 Kaplet</t>
  </si>
  <si>
    <t>jika timbul reaksi alergi hentikan pemakaian obat</t>
  </si>
  <si>
    <t>clorotepine maleate</t>
  </si>
  <si>
    <t>alergi urtikaria , dermatitis , rinitis , hay faver</t>
  </si>
  <si>
    <t>alleron</t>
  </si>
  <si>
    <t>alleron kaplet clorotepine maleate alergi urtikaria  dermatitis  rinitis  hay faver</t>
  </si>
  <si>
    <t>alleron kaplet chlorphenamine maleate alergi urtikaria  dermatitis  rinitis  hay faver</t>
  </si>
  <si>
    <t>Kondom Fiesta Max Dotted Isi 3</t>
  </si>
  <si>
    <t>Rp16.400 - Rp19.800</t>
  </si>
  <si>
    <t>kondom fiesta max dotted isi tablet sildenafil citrate alat kontrasepsi</t>
  </si>
  <si>
    <t>TI204359641</t>
  </si>
  <si>
    <t>Himalaya Ayurslim 60 Kapsul</t>
  </si>
  <si>
    <t>AYURSLIM CAPSULE</t>
  </si>
  <si>
    <t>Rp153.900 - Rp226.900</t>
  </si>
  <si>
    <t>2 x 2 kapsul sehari setelah makan selama 3 sampai 6 bulan</t>
  </si>
  <si>
    <t>Secara tradisional digunakan untuk membantu mengurangi lemak</t>
  </si>
  <si>
    <t>ayurslim capsule</t>
  </si>
  <si>
    <t>secara tradisional membantu mengurangi lemak</t>
  </si>
  <si>
    <t>himalaya ayurslim</t>
  </si>
  <si>
    <t>himalaya ayurslim kapsul ayurslim capsule secara tradisional membantu mengurangi lemak</t>
  </si>
  <si>
    <t>Kondom Fiesta Watermelon Sugar Isi 3</t>
  </si>
  <si>
    <t>kondom fiesta watermelon sugar isi</t>
  </si>
  <si>
    <t>kondom fiesta watermelon sugar isi tablet sildenafil citrate alat kontrasepsi</t>
  </si>
  <si>
    <t>DKL0534603217C1</t>
  </si>
  <si>
    <t>Esvat 20 mg 6 Tablet</t>
  </si>
  <si>
    <t>Rp6.400 - Rp12.500</t>
  </si>
  <si>
    <t>Sebelum atau sesudah makan, hindari konsumsi jus anggur berlebihan (&gt; 1 L/hari)</t>
  </si>
  <si>
    <t>Menurunkan kadar kolesterol total dan LDL pada pasien dengan hiperkolesterolemia.</t>
  </si>
  <si>
    <t>Dus, 5 Strip @ 6 Tablet Salut, Dus, 5 Strip @ 10 Tablet Salut</t>
  </si>
  <si>
    <t>Penyakit hati aktif atau peningkatan transaminase serum yang menetap dan tidak jelas penyebabnya. Hamil dan laktasi.</t>
  </si>
  <si>
    <t>HARUS DENGAN RESEP DOKTER. Anak dan remaja. Lakukan tes kolesterol sebelum terapi dan secara periodik setelah terapi. Konsumsi alkohol, riwayat penyakit hati.</t>
  </si>
  <si>
    <t>esvat</t>
  </si>
  <si>
    <t>esvat tablet simvastatin menurunkan kadar kolesterol total ldl pasien hiperkolesterolemia</t>
  </si>
  <si>
    <t>DKL0534603217B1</t>
  </si>
  <si>
    <t>Esvat 10 mg 6 Tablet</t>
  </si>
  <si>
    <t>Rp4.300 - Rp6.800</t>
  </si>
  <si>
    <t>DKL0511636817A1</t>
  </si>
  <si>
    <t>Cholestat 20 mg 10 Tablet</t>
  </si>
  <si>
    <t>Rp66.600 - Rp137.400</t>
  </si>
  <si>
    <t>Hamil dan laktasi. Penyakit hati aktif atau peningkatan kadar transaminase serum yang menetap.</t>
  </si>
  <si>
    <t>cholestat</t>
  </si>
  <si>
    <t>cholestat kaplet simvastatin menurunkan kadar kolesterol total ldl pasien hiperkolesterolemia</t>
  </si>
  <si>
    <t>DKL0104517109A1</t>
  </si>
  <si>
    <t>Ossopan 800 10 Kaplet</t>
  </si>
  <si>
    <t>Rp60.000 - Rp68.300</t>
  </si>
  <si>
    <t>Osteoporosis: 2 x sehari 2-4 tablet. Fraktur: 1 x sehari 1-2 tablet</t>
  </si>
  <si>
    <t>Terapi pencegahan osteoporosis primer dan sekunder serta fraktur</t>
  </si>
  <si>
    <t>Dus, 6 Blister @ 10 Kaplet Salut Selaput</t>
  </si>
  <si>
    <t>belum di temukan</t>
  </si>
  <si>
    <t>Pasien dengan kecenderungan kristalisasi urin, kerusakan fungsi ginjal, wanita hamil,</t>
  </si>
  <si>
    <t>ossein-hydroxyapatite compound</t>
  </si>
  <si>
    <t>terapi pencegahan osteoporosis primer sekunder fraktur</t>
  </si>
  <si>
    <t>ossopan</t>
  </si>
  <si>
    <t>ossopan kaplet osseinhydroxyapatite compound terapi pencegahan osteoporosis primer sekunder fraktur</t>
  </si>
  <si>
    <t>DKL1602009110A1</t>
  </si>
  <si>
    <t>Claritin 10 mg 10 Tablet</t>
  </si>
  <si>
    <t>Rp103.200 - Rp124.900</t>
  </si>
  <si>
    <t>Dapat dikonsumsi sebelum, bersama atau sesudah makan.</t>
  </si>
  <si>
    <t>PENGGUNAAN OBAT INI HARUS SESUAI DENGAN PETUNJUK DOKTER. Dewasa dan anak usia lebih dari 12 tahun : 10 mg sekali sehari atau 5 mg, 2 x sehari. Anak usia 2-12 tahun : - BB kurang dari 30 kg: 5 mg, 1 x sehari. - BB lebih dari 30: 10 mg, 1 x sehari.</t>
  </si>
  <si>
    <t>Pada pasien yang menunjukan hipersensitifitas terhadap komponen-komponennya</t>
  </si>
  <si>
    <t>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</si>
  <si>
    <t>claritin</t>
  </si>
  <si>
    <t>claritin tablet loratadine obat meredakan gejala alergi hay fever  urtikaria</t>
  </si>
  <si>
    <t>DKL0031520910A1</t>
  </si>
  <si>
    <t>Osteofar 10 Tablet</t>
  </si>
  <si>
    <t>Rp64.200 - Rp90.300</t>
  </si>
  <si>
    <t>Diminum dengan segelas penuh air murni minimum 30 menit sebelum makan/minum/minum obat pertama kali pada hari itu dan tetap dalam posisi duduk tegak selama minimum 30 menit. Telan utuh, jangan dikunyah atau dihancurkan.</t>
  </si>
  <si>
    <t>Osteoporosis paska menopause, penyakit Paget.</t>
  </si>
  <si>
    <t>Hipokalsemia, hamil, laktasi, anak, gangguan ginjal.</t>
  </si>
  <si>
    <t>HARUS DENGAN RESEP DOKTER. Disfagia, penyakit esofageal, gastritis, duodenitis, ulkus GI, insufisiensi ginjal.</t>
  </si>
  <si>
    <t>alendronate sodium trihydrate</t>
  </si>
  <si>
    <t>osteoporosis paska menopause , penyakit paget</t>
  </si>
  <si>
    <t>osteofar</t>
  </si>
  <si>
    <t>osteofar tablet alendronate sodium trihydrate osteoporosis paska menopause  penyakit paget</t>
  </si>
  <si>
    <t>TR226086241</t>
  </si>
  <si>
    <t>Fresh Living Bebio Tummy Essential Oil 9 ml</t>
  </si>
  <si>
    <t>FRESHLIVING BEBIO TUMMY.</t>
  </si>
  <si>
    <t>Rp27.800 - Rp32.800</t>
  </si>
  <si>
    <t>Dus, Botol @ 9 ml</t>
  </si>
  <si>
    <t>freshliving bebio tummy</t>
  </si>
  <si>
    <t>fresh living bebio tummy essential oil</t>
  </si>
  <si>
    <t xml:space="preserve">fresh living bebio tummy essential oil minyak freshliving bebio tummy </t>
  </si>
  <si>
    <t>FRESHLIVING BEBIO TUMMY</t>
  </si>
  <si>
    <t>TR226082331</t>
  </si>
  <si>
    <t>Fresh Living Bebio Itchy Essential Oil 9 ml</t>
  </si>
  <si>
    <t>FRESHLIVING BEBIO ITCHY</t>
  </si>
  <si>
    <t>Rp27.500 - Rp33.400</t>
  </si>
  <si>
    <t>freshliving bebio itchy</t>
  </si>
  <si>
    <t>fresh living bebio itchy essential oil</t>
  </si>
  <si>
    <t xml:space="preserve">fresh living bebio itchy essential oil minyak freshliving bebio itchy </t>
  </si>
  <si>
    <t>TI204359651</t>
  </si>
  <si>
    <t>Himalaya Gokshura 60 Kapsul</t>
  </si>
  <si>
    <t>HIMALAYA GOKSHURA CAPSULES</t>
  </si>
  <si>
    <t>Rp331.300 - Rp387.200</t>
  </si>
  <si>
    <t>2 x 1 kapsul sehari</t>
  </si>
  <si>
    <t>Meningkatkan hasrat dan performa seksual</t>
  </si>
  <si>
    <t>himalaya gokshura capsules</t>
  </si>
  <si>
    <t>meningkatkan hasrat performa seksual</t>
  </si>
  <si>
    <t>himalaya gokshura</t>
  </si>
  <si>
    <t>himalaya gokshura kapsul himalaya gokshura capsules meningkatkan hasrat performa seksual</t>
  </si>
  <si>
    <t>Accutrend Cholesterol 25 Strip</t>
  </si>
  <si>
    <t>Rp357.500 - Rp533.500</t>
  </si>
  <si>
    <t>Alat untuk mengecek kolestrol</t>
  </si>
  <si>
    <t>Box @ 25 Strip</t>
  </si>
  <si>
    <t>alat mengecek kolestrol</t>
  </si>
  <si>
    <t>accutrend cholesterol strip</t>
  </si>
  <si>
    <t>accutrend cholesterol strip tablet kombinasivalsartan blend 32 alat mengecek kolestrol</t>
  </si>
  <si>
    <t>DKL1022247948A1</t>
  </si>
  <si>
    <t>Akilen Ear Drop 5 ml</t>
  </si>
  <si>
    <t>Rp84.400 - Rp102.100</t>
  </si>
  <si>
    <t>Teteskan pada telinga yang sakit</t>
  </si>
  <si>
    <t>PENGGUNAAN OBAT INI HARUS SESUAI DENGAN PETUNJUK DOKTER. Untuk dewasa : 2 x sehari 6-10 tetes telinga. Untuk anak-anak : 2 x sehari 3-5 tetes telinga.</t>
  </si>
  <si>
    <t>Otitis media supuratif dan otitis eksterna</t>
  </si>
  <si>
    <t>HARUS DENGAN RESEP DOKTER. Kemungkinan adanya lesi atau erosis kartilago pada sendi yang menanggung beban dan tanda-tanda lainnya dari artropati Kategori Kehamilan : C</t>
  </si>
  <si>
    <t>otitis medium supuratif otitis eksterna</t>
  </si>
  <si>
    <t>akilen ear drop</t>
  </si>
  <si>
    <t>akilen ear drop tetes ofloxacin otitis medium supuratif otitis eksterna</t>
  </si>
  <si>
    <t>DKL8722207817A1</t>
  </si>
  <si>
    <t>Uresix 40 mg 10 Tablet</t>
  </si>
  <si>
    <t>Rp8.400 - Rp13.500</t>
  </si>
  <si>
    <t>Dus, 10 strip @ 10 tablet salut selaput</t>
  </si>
  <si>
    <t>uresix</t>
  </si>
  <si>
    <t>uresix tablet furosemide edema akibat gangguan jantung  hati  ginjal  hipertensi</t>
  </si>
  <si>
    <t>DKL8315603709A1</t>
  </si>
  <si>
    <t>Arsinal 10 Tablet</t>
  </si>
  <si>
    <t>Rp13.700 - Rp15.700</t>
  </si>
  <si>
    <t>PENGGUNAAN OBAT INI HARUS SESUAI DENGAN PETUNJUK DOKTER. 1-2 kapsul, 3 x sehari</t>
  </si>
  <si>
    <t>Nyeri, demam, anti radang dan nyeri urat saraf</t>
  </si>
  <si>
    <t>Kapsul 10 x 10</t>
  </si>
  <si>
    <t>nyeri , demam , anti radang nyeri urat saraf</t>
  </si>
  <si>
    <t>arsinal</t>
  </si>
  <si>
    <t>arsinal kaplet cyanocobalamin nyeri  demam  anti radang nyeri urat saraf</t>
  </si>
  <si>
    <t>laurier relax night wing pads tablet tizanidine hydrochloride pembalut menstruasi</t>
  </si>
  <si>
    <t>Billy Boy Fun Selection 10 Pieces</t>
  </si>
  <si>
    <t>Rp68.900 - Rp65.500</t>
  </si>
  <si>
    <t>Buka kemasan. Kenakan pada alat kemaluan sebelum melakukan hubungan intim</t>
  </si>
  <si>
    <t>Alat Kontrasepsi.</t>
  </si>
  <si>
    <t>1 pack isi 10</t>
  </si>
  <si>
    <t>billy boy fun selection pieces</t>
  </si>
  <si>
    <t>billy boy fun selection pieces tablet sildenafil citrate alat kontrasepsi</t>
  </si>
  <si>
    <t>Durex K-Y Jelly Personal Lubricant 100 g</t>
  </si>
  <si>
    <t>Sebagai lubricant</t>
  </si>
  <si>
    <t>Tube 100 Gram Gel</t>
  </si>
  <si>
    <t>sebagai lubricant</t>
  </si>
  <si>
    <t>durex ky jelly personal lubricant</t>
  </si>
  <si>
    <t>durex ky jelly personal lubricant tablet sildenafil citrate sebagai lubricant</t>
  </si>
  <si>
    <t xml:space="preserve">softex celana menstruasi pembalut all size pieces tablet tizanidine hydrochloride </t>
  </si>
  <si>
    <t>DKL1702354617B1</t>
  </si>
  <si>
    <t>Selbix 2.5 mg 10 Tablet</t>
  </si>
  <si>
    <t>Rp50.300 - Rp57.000</t>
  </si>
  <si>
    <t>Obat ini ini dapat dikonsumsi sebelum atau sesudah makan,</t>
  </si>
  <si>
    <t>PENGGUNAAN OBAT INI HARUS SESUAI DENGAN PETUNJUK DOKTER. Angina Pektoris, Hipertensi: Dewasa: Dosis awal: 5 mg diminum 1 kali sehari, disesuaikan dengan respons. Dosis umumnya: 10 mg diminum 1 kali sehari. Dosis maksimal: 20 mg setiap hari. Gagal jantung kronis: Dewasa: dosis awal: dosis 1,25 mg diminum 1 kali sehari. Dosis dapat ditingkatkan menjadi 2 kali lipat dengan jarak pemberian 1 minggu dari dosis awal jika ditoleransi, kemudian ditingkatkan secara bertahap dengan jarak pemberian 1-4 minggu. Maksimal dosis: 10 mg sekali sehari.</t>
  </si>
  <si>
    <t>INFORMASI OBAT INI HANYA UNTUK KALANGAN MEDIS. Hipertensi, penyakit jantung koroner, angina pektoris.</t>
  </si>
  <si>
    <t>Dus, 3 blister @ 10 tablet salut selaput</t>
  </si>
  <si>
    <t>Gagal jantung akut, syok kardionergik, blok AV derajat 2 atau 3</t>
  </si>
  <si>
    <t>HARUS DENGAN RESEP DOKTER. Hati-hati penggunaan obat pada pasien ibu hamil dan menyusui, gangguan hati, gangguan ginjal, penyakit jantung, bronkospastik, hipoglikemia, diabetes yang mendapat insulin atau obat hipoglikemik.Kategori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</si>
  <si>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hipertensi , penyakit jantung koroner , angina pektoris</t>
  </si>
  <si>
    <t>selbix</t>
  </si>
  <si>
    <t>selbix tablet bisoprolol fumarate hipertensi  penyakit jantung koroner  angina pektoris</t>
  </si>
  <si>
    <t>DTL0531108937A1</t>
  </si>
  <si>
    <t>Protifed Sirup 60 ml</t>
  </si>
  <si>
    <t>Rp9.100 - Rp10.300</t>
  </si>
  <si>
    <t>Dewasa dan anak &gt;12 : 3x sehari 5 ml, anak-anak 6-12 thn : 3 x sehari 2,5ml , anak 2-6 thn : 3x sehari 1,25 ml</t>
  </si>
  <si>
    <t>Meringankan bersin-bersin dan hidung tersumbat karena pilek</t>
  </si>
  <si>
    <t>Penderita yang peka terhadap obat simpatomimetik lain, penderita tekanan darah tinggi berat</t>
  </si>
  <si>
    <t>meringankan bersin - bersin hidung tersumbat pilek</t>
  </si>
  <si>
    <t>protifed</t>
  </si>
  <si>
    <t>protifed sirup pseudoephedrine hydrochloride meringankan bersin  bersin hidung tersumbat pilek</t>
  </si>
  <si>
    <t>kondom durex close fit isi tablet sildenafil citrate alat kontrasepsi</t>
  </si>
  <si>
    <t>Kondom Durex Excita Ribbed Isi 3</t>
  </si>
  <si>
    <t>Rp18.000 - Rp27.300</t>
  </si>
  <si>
    <t>kondom durex excita ribbed isi</t>
  </si>
  <si>
    <t>kondom durex excita ribbed isi tablet sildenafil citrate alat kontrasepsi</t>
  </si>
  <si>
    <t xml:space="preserve">carefree panty liner healthy fresh super pads tablet tizanidine hydrochloride </t>
  </si>
  <si>
    <t>DBL0524221237A1</t>
  </si>
  <si>
    <t>Solac Sirup 120 ml</t>
  </si>
  <si>
    <t>Rp60.500 - Rp103.500</t>
  </si>
  <si>
    <t>Dapat diberikan bersama makanan untuk mengurangi ketidak-nyamanan pencernaan.</t>
  </si>
  <si>
    <t>Constipation - Dewasa : Berat : 2 x sehari 3 sendok takar 5 cc untuk 3 hari pertama, dilanjutkan dengan 3-5 sendok takar 5 cc perhari. Sedang : 3-6 sendok takar 5 cc perhari untuk 3 hari pertama, dilanjutkan dengan 2-3 sendok takar 5 cc perhari.</t>
  </si>
  <si>
    <t>Konstipasi dan Ensefalopati portal sistemik termasuk prekoma dan koma hepatik</t>
  </si>
  <si>
    <t>Galaktosemia. Obstruksi usus.</t>
  </si>
  <si>
    <t>Hamil, diabetes. Penggunaan jangka panjang (&gt; 1 minggu)</t>
  </si>
  <si>
    <t>konstipasi ensefalopati portal sistemik prekoma koma hepatik</t>
  </si>
  <si>
    <t>solac</t>
  </si>
  <si>
    <t>solac sirup lactulose konstipasi ensefalopati portal sistemik prekoma koma hepatik</t>
  </si>
  <si>
    <t>GKL9005008510B1</t>
  </si>
  <si>
    <t>Propranolol 40 mg 10 Tablet</t>
  </si>
  <si>
    <t>Rp1.500 - Rp3.900</t>
  </si>
  <si>
    <t xml:space="preserve">carefree panty liner super long unscented pads tablet tizanidine hydrochloride </t>
  </si>
  <si>
    <t>DTL9613306910A1</t>
  </si>
  <si>
    <t>Lapisiv-T 10 Tablet</t>
  </si>
  <si>
    <t>Rp23.300 - Rp30.000</t>
  </si>
  <si>
    <t>Dewasa dan anak diatas usia 12 tahun: 3-4 x sehari 1 tablet. Anak usia 6-12 tahun: 3-4 x sehari 0.25-0.5 tablet.</t>
  </si>
  <si>
    <t>Meringankan batuk dan flu yg disertai alergi.</t>
  </si>
  <si>
    <t>Hipertiroid, hipertensi, penyakit jantung koroner, sedang mendapat terapi MAOI, nefropati</t>
  </si>
  <si>
    <t>Gangguan jantung, DM, glaukoma, gangguan fungsi ginjal atau hati</t>
  </si>
  <si>
    <t>DBL8506302209A1</t>
  </si>
  <si>
    <t>Erlagin 10 Kaplet</t>
  </si>
  <si>
    <t>Rp6.700 - Rp6.900</t>
  </si>
  <si>
    <t>Dewasa 3x 1 kapl, anak-anak &gt;6 tahun 3x 1/2 kapl</t>
  </si>
  <si>
    <t>Hipersensitif, ggn fungsi hati.</t>
  </si>
  <si>
    <t>thiamine mononitrate pyridoxine hydrochloride cyanocobalamin paracetamol</t>
  </si>
  <si>
    <t>erlagin</t>
  </si>
  <si>
    <t>erlagin kaplet thiamine mononitrate pyridoxine hydrochloride cyanocobalamin paracetamol neuritis  neuralgia</t>
  </si>
  <si>
    <t>DKL9708007710A1</t>
  </si>
  <si>
    <t>Alerfed 10 Tablet</t>
  </si>
  <si>
    <t>PENGGUNAAN OBAT INI HARUS SESUAI DENGAN PETUNJUK DOKTER. Dewasa dan anak &gt;12 tahun : 3 kali sehari 1 tablet</t>
  </si>
  <si>
    <t>Kondom Fiesta All Night Isi 3</t>
  </si>
  <si>
    <t>Rp9.800 - Rp17.200</t>
  </si>
  <si>
    <t>kondom fiesta all night isi</t>
  </si>
  <si>
    <t>kondom fiesta all night isi tablet sildenafil citrate alat kontrasepsi</t>
  </si>
  <si>
    <t>Kondom Fiesta Black Coffee Isi 3</t>
  </si>
  <si>
    <t>Rp13.500 - Rp17.400</t>
  </si>
  <si>
    <t>kondom fiesta black coffee isi</t>
  </si>
  <si>
    <t>kondom fiesta black coffee isi tablet sildenafil citrate alat kontrasepsi</t>
  </si>
  <si>
    <t>laurier super slimguard pads tablet tizanidine hydrochloride pembalut wanita menstruasi</t>
  </si>
  <si>
    <t>physiomer baby decongestant tetes ofloxacin dekongestan  mukolitik bayi 1 bln</t>
  </si>
  <si>
    <t>Oral-B Sikat Gigi Ultrathin Green Tea 3 Pieces</t>
  </si>
  <si>
    <t>Rp28.500 - Rp64.000</t>
  </si>
  <si>
    <t>oralb sikat gigi ultrathin green tea pieces</t>
  </si>
  <si>
    <t xml:space="preserve">oralb sikat gigi ultrathin green tea pieces tablet tizanidine hydrochloride </t>
  </si>
  <si>
    <t>Polident 3D Hold Freshmint 60 g</t>
  </si>
  <si>
    <t>Langkah penggunaan : 1. Bersihkan dan keringkan gigi tiruan Anda. 2. Aplikasikan Polident secukupnya secara lurus dan pendek, jangan terlalu dekat dengan tepi gigi tiruan. 3. Bersihkan mulut Anda sebelum memasang gigi tiruan. 4. Pasang dan tekan gigi tiruan Anda dengan kencang, lalu gigit selama beberapa detik untuk memestikan gigi tiruan sudah terpasang dengan kencang. 5. Jangan menggunakan produk Polident lebih dari satu kali dalam sehari.</t>
  </si>
  <si>
    <t>Sekali sehari, oleskan secukupnya pada gigi tiruan</t>
  </si>
  <si>
    <t>Perekat gigi tiruan</t>
  </si>
  <si>
    <t>Alergi terhadap salah satu komponen obat</t>
  </si>
  <si>
    <t>perekat gigi tiruan</t>
  </si>
  <si>
    <t>polident d hold freshmint tablet tizanidine hydrochloride perekat gigi tiruan</t>
  </si>
  <si>
    <t>DKL0922246148A1</t>
  </si>
  <si>
    <t>Otilon Ear Drop 8 ml</t>
  </si>
  <si>
    <t>Rp47.900 - Rp62.700</t>
  </si>
  <si>
    <t>PENGGUNAAN OBAT INI HARUS SESUAI DENGAN PETUNJUK DOKTER. 2-4 kali sehari 4-5 tetes. Batasi penggunaannya hingga maksimal 10 hari berturut-turut.</t>
  </si>
  <si>
    <t>INFORMASI OBAT INI HANYA UNTUK KALANGAN MEDIS. Otitis eksterna akut dan kronis</t>
  </si>
  <si>
    <t>Dus, Botol @ 8 ml</t>
  </si>
  <si>
    <t>Hipersensitivitas, gangguan liang telinga eksternal, infeksi virus pada kulit, perforasi membran timpani.</t>
  </si>
  <si>
    <t>HARUS DENGAN RESEP DOKTER. Sensitasi atau iritasi pada kulit, ototoksisitas, penggunaan jangka lama, hipersensitif terhadap sulfit, hamil, bayi prematur.</t>
  </si>
  <si>
    <t>fludrocortisone acetate</t>
  </si>
  <si>
    <t>otitis eksterna akut kronis</t>
  </si>
  <si>
    <t>otilon ear drop</t>
  </si>
  <si>
    <t>otilon ear drop tetes fludrocortisone acetate otitis eksterna akut kronis</t>
  </si>
  <si>
    <t>candesartan cilexetil amlodipine besilate</t>
  </si>
  <si>
    <t>unisia tablet candesartan cilexetil amlodipine besilate pengobatan teka darah hipertensi</t>
  </si>
  <si>
    <t>DKL0615807815A1</t>
  </si>
  <si>
    <t>Neurofenac Plus 50 mg 10 Tablet</t>
  </si>
  <si>
    <t>Rp89.500 - Rp101.200</t>
  </si>
  <si>
    <t>Sesudah makan. Telan utuh, jangan dikunyah atau dihancurkan.</t>
  </si>
  <si>
    <t>PENGGUNAAN OBAT INI HARUS SESUAI DENGAN PETUNJUK DOKTER. 3 x sehari pada hari pertama kemudian 2 x sehari dalam dosis terbagi pada waktu yang sesingkat-singkatnya.</t>
  </si>
  <si>
    <t>INFORMASI OBAT INI HANYA UNTUK KALANGAN MEDIS. Meredakan nyeri sedang sampai dengan berat yang berhubungan dengan neuritis dan atau neuralgia.</t>
  </si>
  <si>
    <t>Dus, 10 Blister @ 10 Tablet Salut Enterik</t>
  </si>
  <si>
    <t>Hipersensitivitas. Polisitemia vera, stadium dini penyakit Leber, tukak gastroduodenum/peptik. Pasien yang mengalami episode asma bronkial, urtikaria, atau rinitis, yang dipicu oleh penggunaan aspirin atau derivatnya, penyakit jantung iskemik, penyakit arteri perifer, penyakit KV, gagal jantung kongestif.</t>
  </si>
  <si>
    <t>HARUS DENGAN RESEP DOKTER. Hindari penggunaanya pada kehamilan trimester tiga. Pasien dehidrasi. Gangguan fungsi hati, ginjal, dan jantung. Tukak atau peradangan saluran cerna. Ibu menyusui, anak, dan lanjut usia.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</si>
  <si>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meredakan nyeri berat berhubungan neuritis neuralgia</t>
  </si>
  <si>
    <t>neurofenac plus</t>
  </si>
  <si>
    <t>neurofenac plus tablet cyanocobalamin meredakan nyeri berat berhubungan neuritis neuralgia</t>
  </si>
  <si>
    <t>DKL9507910809A1</t>
  </si>
  <si>
    <t>Neuropyron V 10 Tablet</t>
  </si>
  <si>
    <t>Rp12.300 - Rp14.900</t>
  </si>
  <si>
    <t>INFORMASI OBAT INI HANYA UNTUK KALANGAN MEDIS. Meredakan nyeri karena neuritis dan neuralgia terutama nyeri berat</t>
  </si>
  <si>
    <t>hipersensitivitas, alergi, agranulositosis, perdarahan ginjal</t>
  </si>
  <si>
    <t>HARUS DENGAN RESEP DOKTER. Penggunaan jangka lama dan terus menerus. Riwayat gangguan pembentukan darah, gangguan fungsi hati dan ginjal.</t>
  </si>
  <si>
    <t>meredakan nyeri neuritis neuralgia nyeri berat</t>
  </si>
  <si>
    <t>neuropyron v</t>
  </si>
  <si>
    <t>neuropyron v kaplet cyanocobalamin meredakan nyeri neuritis neuralgia nyeri berat</t>
  </si>
  <si>
    <t>DKL9502321309A1</t>
  </si>
  <si>
    <t>Zistic 500 mg Kaplet</t>
  </si>
  <si>
    <t>Rp28.200 - Rp42.700</t>
  </si>
  <si>
    <t>PENGGUNAAN OBAT INI HARUS SESUAI DENGAN PETUNJUK DOKTER. Dewasa infeksi nafas atas dan bawah dan infeksi kulit : 500 mg dosis tunggal pada hari 1 diikuti dengan 250 mg dosis tunggal pada 4 hari berikutnya. Alternatifnya, 500mg dosis tunggal selama 3 hari. Uretritis yang tidak terkomplikasi dan servisitis non GO karena Chlamydia Trachomatis : 1 g dosis tunggal</t>
  </si>
  <si>
    <t>INFORMASI OBAT INI HANYA UNTUK KALANGAN MEDIS. Infeksi saluran nafas bawah dan atas, kulit dan jar lunak</t>
  </si>
  <si>
    <t>Dus, 1 Strip @ 10 Kaplet</t>
  </si>
  <si>
    <t>Hipersensitivitas terhadap azitromisin dan antibiotik makrolid lain</t>
  </si>
  <si>
    <t>HARUS DENGAN RESEP DOKTER. Gangguan ginjal dan hati. Hamil dan menyusui. Anak</t>
  </si>
  <si>
    <t>azithromycin dihydrate</t>
  </si>
  <si>
    <t>infeksi saluran nafas , kulit jar lunak</t>
  </si>
  <si>
    <t>zistic</t>
  </si>
  <si>
    <t>zistic kaplet azithromycin dihydrate infeksi saluran nafas  kulit jar lunak</t>
  </si>
  <si>
    <t>DKL9322214710A1</t>
  </si>
  <si>
    <t>Alloris 10 mg 10 Tablet</t>
  </si>
  <si>
    <t>Rp57.300 - Rp69.900</t>
  </si>
  <si>
    <t>alloris</t>
  </si>
  <si>
    <t>alloris tablet loratadine obat meredakan gejala alergi hay fever  urtikaria</t>
  </si>
  <si>
    <t>DBL0022231409A1</t>
  </si>
  <si>
    <t>Poldan Mig 4 Kaplet</t>
  </si>
  <si>
    <t>Rp3.900 - Rp5.300</t>
  </si>
  <si>
    <t>3-4 kali sehari 1-2 kaplet. Maksimal : 8 kaplet/24 jam. Tidak untuk anak &lt;12 thn</t>
  </si>
  <si>
    <t>Meringankan sakit kepala derajat sedang dan migren</t>
  </si>
  <si>
    <t>Dus, 1 Strip @ 4 Kaplet</t>
  </si>
  <si>
    <t>Penderita yang hipersensitif terhadap paracetamol, acetosal atau obat AINS lainnya, pasien yang telah menjalani operasi jantung, pasien dengan gangguan ginjal, gangguan hati, asma, urtikaria, tukak saluran cerna, pasien asam urat</t>
  </si>
  <si>
    <t>Penderita dengan gangguan fungsi hati,Penderita yang hipersensitif terhadap salah satu atau seluruh komponen obat</t>
  </si>
  <si>
    <t>meringankan sakit kepala derajat migren</t>
  </si>
  <si>
    <t>poldan mig</t>
  </si>
  <si>
    <t>poldan mig kaplet acetylsalicylic acid meringankan sakit kepala derajat migren</t>
  </si>
  <si>
    <t>Oral-B Sikat Gigi Ultrathin Black Tea 1 Piece</t>
  </si>
  <si>
    <t>Rp21.500 - Rp26.500</t>
  </si>
  <si>
    <t>oralb sikat gigi ultrathin black tea piece</t>
  </si>
  <si>
    <t xml:space="preserve">oralb sikat gigi ultrathin black tea piece tablet tizanidine hydrochloride </t>
  </si>
  <si>
    <t>DKL9304116010A1</t>
  </si>
  <si>
    <t>Tenazide 10 mg 10 Tablet</t>
  </si>
  <si>
    <t>Rp61.200 - Rp78.200</t>
  </si>
  <si>
    <t>Pagi hari sebelum / sesudah makan</t>
  </si>
  <si>
    <t>PENGGUNAAN OBAT INI HARUS SESUAI DENGAN PETUNJUK DOKTER. Dewasa : 1 x sehari 1-2 tablet.</t>
  </si>
  <si>
    <t>Hipertensi untuk penderita yang memerlukan pengobatan kombinasi dan tidak untuk pengobatan awal</t>
  </si>
  <si>
    <t>Hipersensitif, hamil , riwayat angioedema (herediter atau idiopatik).</t>
  </si>
  <si>
    <t>HARUS DENGAN RESEP DOKTER. Gunakan obat pada pagi hari. Jika dosis anda 2x sehari, dosis kedua harus digunakan sebelum jam 6 pagi, Ibu hamil dan menyusui, anak-anak usia di bawah 12 th, penderita penyakit ginjal berat, atau penyakit hati yang progresif,</t>
  </si>
  <si>
    <t>hipertensi penderita pengobatan kombinasi tidak pengobatan</t>
  </si>
  <si>
    <t>tenazide</t>
  </si>
  <si>
    <t>tenazide tablet enalapril maleate hipertensi penderita pengobatan kombinasi tidak pengobatan</t>
  </si>
  <si>
    <t>DKL9715611210A1</t>
  </si>
  <si>
    <t>TB Vit 6 10 Tablet</t>
  </si>
  <si>
    <t>Rp7.900 - Rp10.800</t>
  </si>
  <si>
    <t>Berikan 1 jam sebelum makan atau 2 jam sesudah makan.</t>
  </si>
  <si>
    <t>Oral-B Sikat Gigi Ultrathin Black Tea 3 Pieces</t>
  </si>
  <si>
    <t>Rp50.500 - Rp64.000</t>
  </si>
  <si>
    <t>oralb sikat gigi ultrathin black tea pieces</t>
  </si>
  <si>
    <t xml:space="preserve">oralb sikat gigi ultrathin black tea pieces tablet tizanidine hydrochloride </t>
  </si>
  <si>
    <t>paracetamol thiamine hydrochloride pyridoxine hydrochloride cyanocobalamin</t>
  </si>
  <si>
    <t>abajos kapsul paracetamol thiamine hydrochloride pyridoxine hydrochloride cyanocobalamin neuritis  neuralgia</t>
  </si>
  <si>
    <t>laurier super slimguard night pads tablet tizanidine hydrochloride pembalut menstruasi</t>
  </si>
  <si>
    <t>Kondom Durex Mutual Pleasure 12 Pieces</t>
  </si>
  <si>
    <t>kondom durex mutual pleasure pieces</t>
  </si>
  <si>
    <t>kondom durex mutual pleasure pieces tablet sildenafil citrate alat kontrasepsi</t>
  </si>
  <si>
    <t>Herba Mojo 60 Kapsul</t>
  </si>
  <si>
    <t>Rp271.600 - Rp338.700</t>
  </si>
  <si>
    <t>Membantu memelihara daya tahan tubuh dan stamina pria.</t>
  </si>
  <si>
    <t>membantu memelihara daya tahan tubuh stamen pria</t>
  </si>
  <si>
    <t>herba mojo kapsul membantu memelihara daya tahan tubuh stamen pria</t>
  </si>
  <si>
    <t>DKL1602009237A1</t>
  </si>
  <si>
    <t>Claritin Sirup 60 ml</t>
  </si>
  <si>
    <t>Rp112.300 - Rp112.400</t>
  </si>
  <si>
    <t>PENGGUNAAN OBAT INI HARUS SESUAI DENGAN PETUNJUK DOKTER. Anak-anak umur 2-12 tahun: - BB lebih dari 30 Kg: 10 mg (2 sendok takar 5 ml), diberikan1 x sehari. - BB kurang dari 30 Kg: 5 mg (1 sendok takar 5 ml), diberikan 1 x sehari. Anak umur lebih dari 12 tahun dan orang dewasa: 5 mg (1 sendok takar 5 ml), diberikan 2 x sehari atau atau 10 mg (2 sendok takar 5 ml), diberikan 1 x sehari.</t>
  </si>
  <si>
    <t>claritin sirup loratadine obat meredakan gejala alergi hay fever  urtikaria</t>
  </si>
  <si>
    <t>DTL2113323436A1</t>
  </si>
  <si>
    <t>Lanos Drops 15 ml</t>
  </si>
  <si>
    <t>Anak 2-5 tahun : 0.8 ml, 3 kali sehari. Anak &lt;2 tahun : atas petunjuk dokter</t>
  </si>
  <si>
    <t>Meringankan gejala hidung tersumbat akibat pilek.</t>
  </si>
  <si>
    <t>Pasien yang hipersensitif terhadap komponen obat ini.</t>
  </si>
  <si>
    <t>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</si>
  <si>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meringankan gejala hidung tersumbat akibat pilek</t>
  </si>
  <si>
    <t>lanos</t>
  </si>
  <si>
    <t>lanos tetes pseudoephedrine hydrochloride meringankan gejala hidung tersumbat akibat pilek</t>
  </si>
  <si>
    <t>TR192333841</t>
  </si>
  <si>
    <t>Sido Muncul VCO 30 Soft Capsule</t>
  </si>
  <si>
    <t>VCO</t>
  </si>
  <si>
    <t>1 x sehari 1 kapsul lunak</t>
  </si>
  <si>
    <t>vco</t>
  </si>
  <si>
    <t>sido muncul vco soft capsule</t>
  </si>
  <si>
    <t>sido muncul vco soft capsule  vco membantu memelihara kesehatan tubuh</t>
  </si>
  <si>
    <t>DKL9821621150A1</t>
  </si>
  <si>
    <t>Trichostatic Ovula</t>
  </si>
  <si>
    <t>Rp13.700 - Rp16.400</t>
  </si>
  <si>
    <t>Malam menjelang tidur, dimasukkan kedalam vagina</t>
  </si>
  <si>
    <t>PENGGUNAAN OBAT INI HARUS SESUAI DENGAN PETUNJUK DOKTER. 1 ovula per hari, digunakan selama 7-10 hari, pada malam hari sebelum tidur.</t>
  </si>
  <si>
    <t>Infeksi Vagina campuran : Trichomonas Vaginalis dan Candida Albicans.</t>
  </si>
  <si>
    <t>Dus, 1 Strip x 6 ovula</t>
  </si>
  <si>
    <t>HARUS DENGAN RESEP DOKTER. Hipersensitif</t>
  </si>
  <si>
    <t>infeksi vagina campuran trichomonas vaginalis candida albicans</t>
  </si>
  <si>
    <t>trichostatic</t>
  </si>
  <si>
    <t>trichostatic ovula metronidazole infeksi vagina campuran trichomonas vaginalis candida albicans</t>
  </si>
  <si>
    <t>DKL8913302137A1</t>
  </si>
  <si>
    <t>Bestalin Sirup 100 ml</t>
  </si>
  <si>
    <t>PENGGUNAAN OBAT INI HARUS SESUAI DENGAN PETUNJUK DOKTER. Dewasa : 3-4 kali sehari 25 mg</t>
  </si>
  <si>
    <t>DKL1634605914A1</t>
  </si>
  <si>
    <t>Arcerin MR 35 mg 10 Tablet</t>
  </si>
  <si>
    <t>Rp36.000 - Rp38.000</t>
  </si>
  <si>
    <t>Diminum bersamaan dengan saat makan.</t>
  </si>
  <si>
    <t>PENGGUNAAN OBAT INI HARUS SESUAI DENGAN PETUNJUK DOKTER. 2 kali sehari 1 tablet.</t>
  </si>
  <si>
    <t>INFORMASI OBAT INI HANYA UNTUK KALANGAN MEDIS. Digunakan untuk membantu mengobati angina pektoris.</t>
  </si>
  <si>
    <t>Dus, 3 Strip @ 10 Tablet Salut Selaput Pelepasan Lambat</t>
  </si>
  <si>
    <t>Ibu menyusui.</t>
  </si>
  <si>
    <t>HARUS DENGAN RESEP DOKTER. wanita hamil dan menyusui, penyakit parkinson.</t>
  </si>
  <si>
    <t>digunakan membantu mengobati angina pektoris</t>
  </si>
  <si>
    <t>arcerin mr</t>
  </si>
  <si>
    <t>arcerin mr tablet trimetazidine hydrochloride digunakan membantu mengobati angina pektoris</t>
  </si>
  <si>
    <t>arcerin mr tablet trimetazidine dihydrochloride digunakan membantu mengobati angina pektoris</t>
  </si>
  <si>
    <t>DKL7219808601A1</t>
  </si>
  <si>
    <t>Lincocin 500 mg 10 Kapsul</t>
  </si>
  <si>
    <t>Berikan dengan segelas air pada saat perut kosong 1 jam sebelum atau 2 jam sesudah makan</t>
  </si>
  <si>
    <t>PENGGUNAAN OBAT INI HARUS SESUAI DENGAN PETUNJUK DOKTER. Infeksi ringan: Dewasa 500 mg 3 kali sehari. Anak &gt; 1 bulan: 30 mg/kgBB/hari dibagi 3-4 dosis. Infeksi berat: Dewasa 500 mg 4 kali sehari. Anak: 60 mg/kgBB/hari dibagi 3-4 dosis.</t>
  </si>
  <si>
    <t>INFORMASI OBAT INI HANYA UNTUK KALANGAN MEDIS. Infeksi oleh bakteri staphylococcus, streptococcus dan psneumokokus yang peka</t>
  </si>
  <si>
    <t>Hipersensitif. Tidak diindikasikan untuk pengobatan infeksi yang ringan atau infeksi yang disebabkan oleh virus.Pada penggunaan untuk infeksi berat digunakan linkomisin parenteral. Jangan digunakan pada bayi baru lahir.</t>
  </si>
  <si>
    <t>HARUS DENGAN RESEP DOKTER. Penyakit pada gastrointestinal, terutama kolitis. Pada proses pembuatannya bersinggungan dengan bahan bersumber babi.</t>
  </si>
  <si>
    <t>infeksi bakteri staphylococcus , streptococcus psneumokokus peka</t>
  </si>
  <si>
    <t>lincocin</t>
  </si>
  <si>
    <t>lincocin kapsul lincomycin hydrochloride infeksi bakteri staphylococcus  streptococcus psneumokokus peka</t>
  </si>
  <si>
    <t>DKL0121203317A1</t>
  </si>
  <si>
    <t>Trental 400 mg 10 Tablet</t>
  </si>
  <si>
    <t>Rp156.000 - Rp204.200</t>
  </si>
  <si>
    <t>Dikonsumsi bersamaan dengan makan</t>
  </si>
  <si>
    <t>PENGGUNAAN OBAT INI HARUS SESUAI DENGAN PETUNJUK DOKTER. 1 kapsul 2-3 kali sehari</t>
  </si>
  <si>
    <t>INFORMASI OBAT INI HANYA UNTUK KALANGAN MEDIS. Klaudikasi intermiten akibat oklusi arteri perifer kronis.</t>
  </si>
  <si>
    <t>Hipersensitif terhadap pentoxifylline, methyl xanthines lainnya. Perdarahan retina serebral dan ekstensif, infark miokard akut, aritmia jantung berat.</t>
  </si>
  <si>
    <t>HARUS DENGAN RESEP DOKTER. Pasien dengan faktor risiko yang dipersulit oleh perdarahan (misalnya operasi baru-baru ini, ulserasi peptikum, perdarahan serebral dan/atau retina), penyakit serebrovaskular, hipotensi, penyakit arteri koroner berat. Gangguan ginjal dan hati berat. Kehamilan dan menyusui. Kategori Kehamilan : Kategori C :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</si>
  <si>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pentoxifylline</t>
  </si>
  <si>
    <t>klaudikasi intermiten akibat oklusi arteri perifer kronis</t>
  </si>
  <si>
    <t>trental</t>
  </si>
  <si>
    <t>trental tablet pentoxifylline klaudikasi intermiten akibat oklusi arteri perifer kronis</t>
  </si>
  <si>
    <t>TR236032741</t>
  </si>
  <si>
    <t>Imboost Force Cough Kids Syrup 60 ml</t>
  </si>
  <si>
    <t>IMBOOST FORCE COUGH KIDS</t>
  </si>
  <si>
    <t>Rp39.600 - Rp53.800</t>
  </si>
  <si>
    <t>Anak (2-5 tahun): 3 x sehari 1/2 sendok teh (2.5ml) Anak &amp; remaja (6-17 tahun): 3 x sehari 1 sendok teh (5 ml)</t>
  </si>
  <si>
    <t>Untuk membantu meredakan batuk berdahak.</t>
  </si>
  <si>
    <t>Simpan dibawah suhu 30 C</t>
  </si>
  <si>
    <t>imboost force cough kids</t>
  </si>
  <si>
    <t>untuk membantu meredakan batuk berdahak</t>
  </si>
  <si>
    <t>imboost force cough kids sirup untuk membantu meredakan batuk berdahak</t>
  </si>
  <si>
    <t>Komix Herbal 15 ml 4 Botol</t>
  </si>
  <si>
    <t>Rp12.700 - Rp14.900</t>
  </si>
  <si>
    <t>Dewasa : 3 x sehari 1 tube botol Anak-anak : 1/2 dosis dewasa</t>
  </si>
  <si>
    <t>Dus, 4 Tube @ 15 ml</t>
  </si>
  <si>
    <t>komix herbal botol</t>
  </si>
  <si>
    <t>komix herbal botol  komix herbal original membantu meredakan batuk berdahak</t>
  </si>
  <si>
    <t>DKL9321613715A1</t>
  </si>
  <si>
    <t>Ascardia 80 mg 10 Tablet</t>
  </si>
  <si>
    <t>Rp8.900 - Rp13.500</t>
  </si>
  <si>
    <t>Diberikan setelah makan. Telan utuh, jangan dikunyah, dipotong, atau dihancurkan.</t>
  </si>
  <si>
    <t>PENGGUNAAN OBAT INI HARUS SESUAI DENGAN PETUNJUK DOKTER. Dosis yang dianjurkan: 80-160 mg/hari. Untuk infark miokard : sampai dengan 300 mg/hari. Untuk TIA : sampai dengan 1000 mg/hari.</t>
  </si>
  <si>
    <t>INFORMASI OBAT INI HANYA UNTUK KALANGAN MEDIS. Pengobatan dan pencegahan angina pektoris dan Infark Miokard</t>
  </si>
  <si>
    <t>Dus, 10 Strip @ 10 Tablet Salut Enterik</t>
  </si>
  <si>
    <t>Hipersensitivitas terhadap aspirin atau NSAID lainnya. Ulkus peptikum, penyakit hemoragik, gangguan koagulasi (misalnya hemofilia, trombositopenia), asam urat. Gangguan hati dan ginjal yang parah. Anak-anak &lt;16 tahun dan pulih dari infeksi virus. Kehamilan (dosis &gt;100 mg setiap hari selama trimester ke-3) dan menyusui. Penggunaan bersamaan dengan NSAID lain dan metotreksat.</t>
  </si>
  <si>
    <t>HARUS DENGAN RESEP DOKTER. Perhatian khusus pada pasien: Pasien dengan dispepsia atau lesi pada mukosa GI, asma atau gangguan alergi, anemia, dehidrasi, menoragia, hipertensi yang tidak terkontrol, defisiensi G6PD, tirotoksikosis. Pasien yang menjalani prosedur pembedahan. Gangguan hati dan ginjal sedang. Kehamilan. Kategori kehamilan : Dibawah trimester ketiga. Kategori C: Mungkin berisiko. Obat digunakan dengan hati-hati apabila besarnya manfaat yang diperoleh melebihi besarnya risiko terhadap janin. Penelitian pada hewan uji menunjukkan risiko terhadap janin dan belum terdapat penelitian langsung terhadap wanita hamil. Trimester ketiga Kategori D: Terbukti berisiko terhadap janin. Meski demikian, obat masih dapat digunakan jika obat diperlukan untuk mengatasi keadaan yang mengancam jiwa, atau penyakit serius, dimana obat yang lebih aman tidak dapat digunakan atau tidak efektif.</t>
  </si>
  <si>
    <t>pengobatan pencegahan angina pektoris infark miokard</t>
  </si>
  <si>
    <t>ascardia</t>
  </si>
  <si>
    <t>ascardia tablet acetylsalicylic acid pengobatan pencegahan angina pektoris infark miokard</t>
  </si>
  <si>
    <t>DKL0917624109A1</t>
  </si>
  <si>
    <t>Zycin 500 mg 3 Kaplet</t>
  </si>
  <si>
    <t>Rp212.900 - Rp226.200</t>
  </si>
  <si>
    <t>PENGGUNAAN OBAT INI HARUS SESUAI DENGAN PETUNJUK DOKTER. Dewasa, lanjut usia, dan anak &gt; 16 tahun infeksi sal nafas, kulit dan struktur kulit : hari ke 1 : 550 mg/hari sebagai dosis tunggal. Hari ke 2 - 5 : 250 mg/hari. Uretritis dan servisitis non GO : 100 mg/hari sebagai dosis tunggal</t>
  </si>
  <si>
    <t>INFORMASI OBAT INI HANYA UNTUK KALANGAN MEDIS. Infeksi saluran nafas dan bawah, kulit dan jaringan lunak</t>
  </si>
  <si>
    <t>Dus, 1 Blister @ 3 Kaplet Salut Selaput</t>
  </si>
  <si>
    <t>Hipersensitif terhadap eritromisin, azitromisin dan makrolid lain. Gangguan fungsi hati</t>
  </si>
  <si>
    <t>HARUS DENGAN RESEP DOKTER. Anak &lt; 16 tahun</t>
  </si>
  <si>
    <t>infeksi saluran nafas , kulit jaringan lunak</t>
  </si>
  <si>
    <t>zycin</t>
  </si>
  <si>
    <t>zycin kaplet azithromycin dihydrate infeksi saluran nafas  kulit jaringan lunak</t>
  </si>
  <si>
    <t>DKL9016105033A1</t>
  </si>
  <si>
    <t>Kandistatin Drops 12 ml</t>
  </si>
  <si>
    <t>Rp48.700 - Rp63.600</t>
  </si>
  <si>
    <t>PENGGUNAAN OBAT INI HARUS SESUAI DENGAN PETUNJUK DOKTER. Bayi: Dosis yang direkomendasikan 1 ï¿½ 2 ml 4 kali sehari. Pada bayi prematur, bayi bobot lahir rendah dosis. Dapat diberikan 1 ml 4 kali sehari. Anak-anak dan Dewasa dosis: 1 ï¿½ 6 ml 4 kali sehari.</t>
  </si>
  <si>
    <t>INFORMASI OBAT INI HANYA UNTUK KALANGAN MEDIS. Terapi kandidiasis pada rongga mulut, kerongkongan &amp; saluran cerna.</t>
  </si>
  <si>
    <t>terapi kandidiasis rongga mulut , kerongkongan saluran cerna</t>
  </si>
  <si>
    <t>kandistatin</t>
  </si>
  <si>
    <t>kandistatin suspensi nystatin terapi kandidiasis rongga mulut  kerongkongan saluran cerna</t>
  </si>
  <si>
    <t>dextromethorphan hydrobromide guaifenesin</t>
  </si>
  <si>
    <t>vicks formula anak sirup dextromethorphan hydrobromide guaifenesin untuk meringankan batuk</t>
  </si>
  <si>
    <t>TR213603191</t>
  </si>
  <si>
    <t>Madu Biomag 280 g</t>
  </si>
  <si>
    <t>PROBIOMAG</t>
  </si>
  <si>
    <t>Rp186.500 - Rp224.900</t>
  </si>
  <si>
    <t>Meringankan gangguan pencernaan, perut mual dan kembung.</t>
  </si>
  <si>
    <t>probiomag</t>
  </si>
  <si>
    <t>meringankan gangguan pencernaan , perut mual kembung</t>
  </si>
  <si>
    <t>madu biomag</t>
  </si>
  <si>
    <t>madu biomag madu probiomag meringankan gangguan pencernaan  perut mual kembung</t>
  </si>
  <si>
    <t>DKL1615624937A1</t>
  </si>
  <si>
    <t>Oxoril Rasa Strawberry Sirup 60 ml</t>
  </si>
  <si>
    <t>PENGGUNAAN OBAT INI HARUS SESUAI DENGAN PETUNJUK DOKTER. Dewasa dan anak usia dengan berat badan &gt; 40 kg (umur lebih dari 12 tahun) adalah sebanyak 10 mL (sendok takar) yang diminum 4 kali sehari. Anak usia 10-12 tahun (30-40 kg) adalah sebanyak 10 mL (2 sendok takar) yang diminum 3-4 kali sehari.Anak usia 6-10 tahun (20-30 kg) adalah sebanyak 10 mL (2 sendok takar) yang diminum 2-3 kali sehari. Anak usia 2-6 tahun (10-20 kg) adalah sebanyak 5 ml (1 sendok takar) yang diminum 3 kali sehari.</t>
  </si>
  <si>
    <t>INFORMASI OBAT INI HANYA UNTUK KALANGAN MEDIS. Meredakan batuk kering yang disertai dengan alergi.</t>
  </si>
  <si>
    <t>meredakan batuk kering disertai alergi</t>
  </si>
  <si>
    <t>oxoril rasa strawberry</t>
  </si>
  <si>
    <t>oxoril rasa strawberry sirup guaifenesin meredakan batuk kering disertai alergi</t>
  </si>
  <si>
    <t>QL031700281</t>
  </si>
  <si>
    <t>Vicks Vaporub 50 g</t>
  </si>
  <si>
    <t>Rp32.900 - Rp37.600</t>
  </si>
  <si>
    <t>Gunakan setiap kali diperlukan pada dada, leher dan punggung untuk usia 2 tahun ke atas.</t>
  </si>
  <si>
    <t>Digunakan sesuai dengan kebutuhan</t>
  </si>
  <si>
    <t>Obat gosok untuk meringankan gejala pilek dan batuk karena flu</t>
  </si>
  <si>
    <t>Pot Plastik @ 50 g</t>
  </si>
  <si>
    <t>obat gosok meringankan gejala pilek batuk flu</t>
  </si>
  <si>
    <t>vicks vaporub</t>
  </si>
  <si>
    <t>vicks vaporub  camphor obat gosok meringankan gejala pilek batuk flu</t>
  </si>
  <si>
    <t>DKL7206100910A1</t>
  </si>
  <si>
    <t>Homoclomin 10 mg 10 Tablet</t>
  </si>
  <si>
    <t>Rp42.500 - Rp49.200</t>
  </si>
  <si>
    <t>PENGGUNAAN OBAT INI HARUS SESUAI DENGAN PETUNJUK DOKTER. Dewasa : 1-2 tablet 3 kali sehari.</t>
  </si>
  <si>
    <t>INFORMASI OBAT INI HANYA UNTUK KALANGAN MEDIS. Gatal pada kulit, urtikaria (biduran), rinitis alergi</t>
  </si>
  <si>
    <t>Glaukoma, Obstruksi saluran kemih bagian bawah.</t>
  </si>
  <si>
    <t>Obat Wajib Apotek, Obat ini dapat dibeli dan diserahkan apoteker tanpa resep dengan maksimum 2 Strip. Pembelian melebihi batas ini WAJIB RESEP DOKTER. Hamil, Gangguan mengemudi dan mengoperasikan mesin.</t>
  </si>
  <si>
    <t>homochlorcyclyzine hydrochloride</t>
  </si>
  <si>
    <t>gatal kulit , urtikaria biduran , rinitis alergi</t>
  </si>
  <si>
    <t>homoclomin</t>
  </si>
  <si>
    <t>homoclomin tablet homochlorcyclyzine hydrochloride gatal kulit  urtikaria biduran  rinitis alergi</t>
  </si>
  <si>
    <t>pyravit sirup isoniazid pyridoxine hydrochloride pencegahan pengobatan tb pulmoner ekstrapulmoner</t>
  </si>
  <si>
    <t>TR183314531</t>
  </si>
  <si>
    <t>Garlicia 500 mg 30 Kapsul</t>
  </si>
  <si>
    <t>GARLICIA</t>
  </si>
  <si>
    <t>Rp55.300 - Rp76.700</t>
  </si>
  <si>
    <t>1 kali sehari 2 kapsul. Bila perlu dapat ditingkatkan menjadi 3 kali sehari 2 kapsul</t>
  </si>
  <si>
    <t>Melancarkan peredaran darah, menurunkan tekanan darah tinggi dan menurunkan kolesterol</t>
  </si>
  <si>
    <t>Tidak untuk penderita tekanan darah rendah</t>
  </si>
  <si>
    <t>garlicia</t>
  </si>
  <si>
    <t>melancarkan peredaran darah , menurunkan tekanan darah menurunkan kolesterol</t>
  </si>
  <si>
    <t>garlicia kapsul melancarkan peredaran darah  menurunkan teka darah menurunkan kolesterol</t>
  </si>
  <si>
    <t>Vicks Vaporub 10 g</t>
  </si>
  <si>
    <t>Dus, Pot @ 10 g</t>
  </si>
  <si>
    <t>DKL9221003901B1</t>
  </si>
  <si>
    <t>Promixin 500 mg 10 Kapsul</t>
  </si>
  <si>
    <t>Rp56.100 - Rp60.600</t>
  </si>
  <si>
    <t>PENGGUNAAN OBAT INI HARUS SESUAI DENGAN PETUNJUK DOKTER. Dewasa : 250 - 500 mg 3 kali sehari, anak : 30 - 50 mg/kg BB/hari. GO : 1 - 2 dosis tunggal. Demam tifoid : 1 - 2 g/hari terbagi dalam 3 - 4 dosis</t>
  </si>
  <si>
    <t>Infeksi sal nafas, hepatobilier, enterik, dan sal kemih</t>
  </si>
  <si>
    <t>Kapsul 500 Mg X 100</t>
  </si>
  <si>
    <t>Hamil dan laktasi. Gangguan hati berat, anemia. Hipersensitivitas</t>
  </si>
  <si>
    <t>HARUS DENGAN RESEP DOKTER. Bayi prematur dan cukup bulan. Panggunaan jangka lama. Gangguan ginjal atau hati</t>
  </si>
  <si>
    <t>infeksi sal nafas , hepatobilier , enterik , sal kemih</t>
  </si>
  <si>
    <t>promixin</t>
  </si>
  <si>
    <t>promixin kapsul thiamphenicol infeksi sal nafas  hepatobilier  enterik  sal kemih</t>
  </si>
  <si>
    <t>Vicks Vaporub 25 g</t>
  </si>
  <si>
    <t>Rp19.300 - Rp20.200</t>
  </si>
  <si>
    <t>Pot @ 25 g</t>
  </si>
  <si>
    <t>DKL8318800338B1</t>
  </si>
  <si>
    <t>Opimox Dry Sirup 60 ml</t>
  </si>
  <si>
    <t>Rp28.100 - Rp31.400</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</si>
  <si>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</si>
  <si>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INFORMASI OBAT INI HANYA UNTUK KALANGAN MEDIS. Digunakan sebagai antibiotik untuk mengobati infeksi yang disebabkan oleh bakteri.</t>
  </si>
  <si>
    <t>HARUS DENGAN RESEP DOKTER. Wanita hamil dan menyusui, gangguan fungsi ginjal dan hati. Katagori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</si>
  <si>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digunakan antibiotik mengobati infeksi disebabkan bakteri</t>
  </si>
  <si>
    <t>opimox sirup amoxicillin trihydrate digunakan antibiotik mengobati infeksi disebabkan bakteri</t>
  </si>
  <si>
    <t>QD212625301</t>
  </si>
  <si>
    <t>lemon oil</t>
  </si>
  <si>
    <t>physiomer baby decongestant  lemon oil dekongestan  mukolitik bayi 1 bln</t>
  </si>
  <si>
    <t>DKL9806411637A1</t>
  </si>
  <si>
    <t>Lorihis Sirup 60ml</t>
  </si>
  <si>
    <t>Rp22.000 - Rp40.000</t>
  </si>
  <si>
    <t>PENGGUNAAN OBAT INI HARUS SESUAI DENGAN PETUNJUK DOKTER. Dewasa dan anak usia lebih dari 12 tahun : 1 x sehari 10 ml, anak usia 6 - 12 tahun dengan berat badan lebih 30 kg : 1 x sehari 10 ml, nak usia 6 - 12 tahun dengan berat badan kurang 30 kg : 1 x sehari 5 ml</t>
  </si>
  <si>
    <t>Rinitis alergi, urtikaria kronik, reaksi alergi lain pada kulit.</t>
  </si>
  <si>
    <t>Bayi prematur dan bayi baru lahir, atau penderita asma aku</t>
  </si>
  <si>
    <t>HARUS DENGAN RESEP DOKTER. Hamil, laktasi, anak &lt; 6 tahun. Tidak mengemudi atau menyalakan mesin</t>
  </si>
  <si>
    <t>rinitis alergi , urtikaria kronik , reaksi alergi kulit</t>
  </si>
  <si>
    <t>lorihis</t>
  </si>
  <si>
    <t>lorihis sirup loratadine rinitis alergi  urtikaria kronik  reaksi alergi kulit</t>
  </si>
  <si>
    <t>DKL0334001610A1</t>
  </si>
  <si>
    <t>Novagyl 500 mg 10 Tablet</t>
  </si>
  <si>
    <t>Rp17.300 - Rp17.600</t>
  </si>
  <si>
    <t>INFORMASI OBAT INI HANYA UNTUK KALANGAN MEDIS. Obat ini digunakan untuk pengobatan amubiasis, trikomoniasis, dan infeksi bakteri anaerob.</t>
  </si>
  <si>
    <t>obat pengobatan amubiasis , trikomoniasis , infeksi bakteri anaerob</t>
  </si>
  <si>
    <t>novagyl</t>
  </si>
  <si>
    <t>novagyl tablet metronidazole obat pengobatan amubiasis  trikomoniasis  infeksi bakteri anaerob</t>
  </si>
  <si>
    <t>DKL9221006001B1</t>
  </si>
  <si>
    <t>Tamcocin 500 mg 10 Kapsul</t>
  </si>
  <si>
    <t>Rp68.600 - Rp78.600</t>
  </si>
  <si>
    <t>PENGGUNAAN OBAT INI HARUS SESUAI DENGAN PETUNJUK DOKTER. Dewasa : 500 mg, infeksi ringan : 3 kali sehari</t>
  </si>
  <si>
    <t>DKL1940404943A1</t>
  </si>
  <si>
    <t>Isorbid 10 mg 10 Tablet</t>
  </si>
  <si>
    <t>Rp7.300 - Rp11.500</t>
  </si>
  <si>
    <t>PENGGUNAAN OBAT INI HARUS SESUAI DENGAN PETUNJUK DOKTER. Untuk mengendalikan serangan angina : 1 tablet sublingual. Untuk pencegahan serangan angina : 1 tablet 3-4 kali/hari ditelan.</t>
  </si>
  <si>
    <t>Angina pektoris, Gangguan angina setelah infark miokard</t>
  </si>
  <si>
    <t>Hindari sildenafil, tadalafil, vardenafil. Trauma kepala, perdarahan serebral, anemia, hipotensi berat, hipovolemia berat. Hipotensi berat dan kegagalan sirkulasi akut, infark miokard dengan tekanan pengisian yang rendah.</t>
  </si>
  <si>
    <t>HARUS DENGAN RESEP DOKTER. Anak. Glaukoma sudut tertutup, hipotiroid, malnutrisi, hipotermia, sirkulasi darah yang tidak stabil.</t>
  </si>
  <si>
    <t>angina pektoris , gangguan angina infark miokard</t>
  </si>
  <si>
    <t>isorbid</t>
  </si>
  <si>
    <t>isorbid injeksi isosorbide dinitrate angina pektoris  gangguan angina infark miokard</t>
  </si>
  <si>
    <t>DKL9114803410A1</t>
  </si>
  <si>
    <t>Polacel 10 Tablet</t>
  </si>
  <si>
    <t>Rp11.300 - Rp18.000</t>
  </si>
  <si>
    <t>PENGGUNAAN OBAT INI HARUS SESUAI DENGAN PETUNJUK DOKTER. Dewasa : 3-4 kali sehari 1-2 tablet, maksimum : 8 tablet/hari. Anak berusia 6-12 tahun : 3 kali sehari 1/2-1 tablet. Anak berusia 2-6 tahun : 3 kali sehari 1/4 1/2 tablet.</t>
  </si>
  <si>
    <t>Meredakan gejala-gejala alergi pada pernafasan, kulit &amp; mata</t>
  </si>
  <si>
    <t>HARUS DENGAN RESEP DOKTER. Kehamilan, gangguan psikosis, tuberkulosa, &amp; sirosis.</t>
  </si>
  <si>
    <t>meredakan gejala - gejala alergi pernafasan , kulit mata</t>
  </si>
  <si>
    <t>polacel</t>
  </si>
  <si>
    <t>polacel tablet betamethasone meredakan gejala  gejala alergi pernafasan  kulit mata</t>
  </si>
  <si>
    <t>Kondom Durex Extra Safe Isi 3</t>
  </si>
  <si>
    <t>Rp25.000 - Rp27.400</t>
  </si>
  <si>
    <t>kondom durex extra safe isi tablet sildenafil citrate alat kontrasepsi</t>
  </si>
  <si>
    <t>TR192628191</t>
  </si>
  <si>
    <t>Tresnojoyo Madu Kurma 150 g</t>
  </si>
  <si>
    <t>MADU KURMA TJ</t>
  </si>
  <si>
    <t>Rp17.200 - Rp28.900</t>
  </si>
  <si>
    <t>Bisa diminum langsung atau dicampur dengan air.</t>
  </si>
  <si>
    <t>3 kali sehari, 1-2 sendok makan. Selanjutnya, 3 kali sehari, 2-3 sendok makan.</t>
  </si>
  <si>
    <t>Botol @ 150 g</t>
  </si>
  <si>
    <t>Simpan di tempat kering, terlindung dari sinar matahari langsung, pada suhu dibawah 30 C</t>
  </si>
  <si>
    <t>madu kurma tj</t>
  </si>
  <si>
    <t>tresnojoyo madu kurma</t>
  </si>
  <si>
    <t>tresnojoyo madu kurma madu madu kurma tj membantu memelihara kesehatan</t>
  </si>
  <si>
    <t>DKL9909211504A1</t>
  </si>
  <si>
    <t>Winatin 10 mg 10 Tablet</t>
  </si>
  <si>
    <t>Rp4.000 - Rp11.500</t>
  </si>
  <si>
    <t>winatin</t>
  </si>
  <si>
    <t>winatin kaplet loratadine obat meredakan gejala alergi hay fever  urtikaria</t>
  </si>
  <si>
    <t>TR152688091</t>
  </si>
  <si>
    <t>Obana Sirup 60 ml</t>
  </si>
  <si>
    <t>OBANA</t>
  </si>
  <si>
    <t>Rp12.700 - Rp16.000</t>
  </si>
  <si>
    <t>Dewasa : 3 x 1 sendok makan (15 ml)</t>
  </si>
  <si>
    <t>Untuk membantu meredakan Batuk, Masuk Angin, dan melegakan tenggorokan</t>
  </si>
  <si>
    <t>obana</t>
  </si>
  <si>
    <t>untuk membantu meredakan batuk , masuk angin , melegakan tenggorokan</t>
  </si>
  <si>
    <t>obana sirup untuk membantu meredakan batuk  masuk angin  melegakan tenggorokan</t>
  </si>
  <si>
    <t>DTL9326001437A1</t>
  </si>
  <si>
    <t>Tropidryl Plus Sirup 60 ml</t>
  </si>
  <si>
    <t>Rp9.900 - Rp12.600</t>
  </si>
  <si>
    <t>Dewasa: 2 sendok takar (10 ml) setiap 4-6 jam. Anak-anak: 4-11 tahun: 1 sendok takar (5 ml) setiap 6 jam. 2-4 tahun: ï¿½ sendok takar (2,5 ml) setiap 6 jam.</t>
  </si>
  <si>
    <t>Meringankan batuk yang disertai pilek karena alergi.</t>
  </si>
  <si>
    <t>meringankan batuk disertai pilek alergi</t>
  </si>
  <si>
    <t>tropidryl plus</t>
  </si>
  <si>
    <t>tropidryl plus sirup ammonium chloride meringankan batuk disertai pilek alergi</t>
  </si>
  <si>
    <t>DKL0713313336A1</t>
  </si>
  <si>
    <t>Nystin Drops 12 ml</t>
  </si>
  <si>
    <t>PENGGUNAAN OBAT INI HARUS SESUAI DENGAN PETUNJUK DOKTER. Dewasa : 4 x sehari 1-2 mL, Anak : 3-4 x sehari 1 mL, Pencegahan pada bayi baru lahir : 1 mL perhari</t>
  </si>
  <si>
    <t>Pengobatan dan pencegahan Kandidiasis Saluran Cerna atau Rongga Mulut</t>
  </si>
  <si>
    <t>HARUS DENGAN RESEP DOKTER. Jangan digunakan untuk pengobatan mikosis sistemik. Hentikan pengobatan bila terjadi iritasi atau sensitisasi. Dianjurkan untuk melakukan KOH smear, kultur atau metoda diagnosis lainnya.</t>
  </si>
  <si>
    <t>pengobatan pencegahan kandidiasis saluran cerna rongga mulut</t>
  </si>
  <si>
    <t>nystin</t>
  </si>
  <si>
    <t>nystin tetes nystatin pengobatan pencegahan kandidiasis saluran cerna rongga mulut</t>
  </si>
  <si>
    <t>DKL1234609937A1</t>
  </si>
  <si>
    <t>Histrine Sirup 60ml</t>
  </si>
  <si>
    <t>Rp68.700 - Rp70.100</t>
  </si>
  <si>
    <t>Dapat diberikan bersamaan dengan makanan atau tidak</t>
  </si>
  <si>
    <t>PENGGUNAAN OBAT INI HARUS SESUAI DENGAN PETUNJUK DOKTER. Dewasa &amp; Anak-anak &gt;12 tahun: 10 mg per hari atau 2 sendok teh sirup</t>
  </si>
  <si>
    <t>DKL2040813936A1</t>
  </si>
  <si>
    <t>Sytin Drop 12 ml</t>
  </si>
  <si>
    <t>PENGGUNAAN OBAT INI HARUS SESUAI DENGAN PETUNJUK DOKTER. Bayi: 4 x 1-2 ml sehari. Anak dan dewasa: 4 x 1-6ml sehari, pengobatan dilanjutkan 48 jam setelah gejala menghilang.</t>
  </si>
  <si>
    <t>INFORMASI OBAT INI HANYA UNTUK KALANGAN MEDIS. Pengobatan dan pencegahan kandidiasis pada rongga mulut atau usus.</t>
  </si>
  <si>
    <t>Botol @ 12 ml</t>
  </si>
  <si>
    <t>HARUS DENGAN RESEP DOKTER. Tidak boleh digunakan untuk terapi mikosis sistemik. Hentikan terapi jika timbul iritasi atau sensitiasi. Hamil dan laktasi.</t>
  </si>
  <si>
    <t>sytin drop</t>
  </si>
  <si>
    <t>sytin drop tetes nystatin pengobatan pencegahan kandidiasis rongga mulut usus</t>
  </si>
  <si>
    <t>TR152688101</t>
  </si>
  <si>
    <t>Obasa Sirup 60 ml</t>
  </si>
  <si>
    <t>OBASA</t>
  </si>
  <si>
    <t>Rp9.000 - Rp17.500</t>
  </si>
  <si>
    <t>obasa</t>
  </si>
  <si>
    <t>obasa sirup untuk membantu meredakan batuk  masuk angin  melegakan tenggorokan</t>
  </si>
  <si>
    <t>DKL1302505017A1</t>
  </si>
  <si>
    <t>Suvesco 10 mg 10 Tablet</t>
  </si>
  <si>
    <t>Rp36.900 - Rp88.900</t>
  </si>
  <si>
    <t>PENGGUNAAN OBAT INI HARUS SESUAI DENGAN PETUNJUK DOKTER. 1 kali sehari 1 tablet,. Jika diperlukan, dosis dapat ditingkatkan sesuai dengan kondisi pasien maksimal 40mg/hari.</t>
  </si>
  <si>
    <t>INFORMASI OBAT INI HANYA UNTUK KALANGAN MEDIS. Digunakan untuk pengobatan hiperkolesterolemia primer atau dislipidemia campuran</t>
  </si>
  <si>
    <t>Dus, 2 Strip @ 10 Tablet Salut Selaput</t>
  </si>
  <si>
    <t>Penyakit hati aktif,miopati,gangguan ginjal berat, wanita hamil dan menyusui.</t>
  </si>
  <si>
    <t>HARUS DENGAN RESEP DOKTER. Wanita hamil dan menyusui, gangguan ginjal,gagal nafas berat,miopati. Kategori kehamilan: Kategori X: Kontraindikasi (tidak boleh digunakan). Terdapat hasil penelitian terhadap hewan uji dan manusia yang memperlihatkan abnormalitas terhadap janin. Obat ini dikontraindikasikan untuk wanita hamil dan yang berkemungkinan untuk hamil.</t>
  </si>
  <si>
    <t>digunakan pengobatan hiperkolesterolemia primer dislipidemia campuran</t>
  </si>
  <si>
    <t>suvesco</t>
  </si>
  <si>
    <t>suvesco tablet rosuvastatin calcium digunakan pengobatan hiperkolesterolemia primer dislipidemia campuran</t>
  </si>
  <si>
    <t>DKL0212519210A1</t>
  </si>
  <si>
    <t>Statcol 10 mg 10 Tablet</t>
  </si>
  <si>
    <t>PENGGUNAAN OBAT INI HARUS SESUAI DENGAN PETUNJUK DOKTER. Awal : 1 x 10 mg sehari sebagai anti hiperkolesterol ringan 5 mg sehari maksimal 40 mg sehari</t>
  </si>
  <si>
    <t>statcol</t>
  </si>
  <si>
    <t>statcol tablet simvastatin menurunkan kadar kolesterol total ldl pasien hiperkolesterolemia</t>
  </si>
  <si>
    <t>DKL1306314810A1</t>
  </si>
  <si>
    <t>Trisela 10 mg 10 Tablet</t>
  </si>
  <si>
    <t>Rp5.200 - Rp14.700</t>
  </si>
  <si>
    <t>rinitis alergi musiman dan tahunan, urtikaria kronik</t>
  </si>
  <si>
    <t>rinitis alergi musiman tahunan , urtikaria kronik</t>
  </si>
  <si>
    <t>trisela</t>
  </si>
  <si>
    <t>trisela tablet cetirizine hydrochloride rinitis alergi musiman tahu  urtikaria kronik</t>
  </si>
  <si>
    <t>DTL2102009810A1</t>
  </si>
  <si>
    <t>Claritin 10 mg 5 Tablet</t>
  </si>
  <si>
    <t>Rp39.200 - Rp59.000</t>
  </si>
  <si>
    <t>Dus, 1 Blister @ 5 Tablet</t>
  </si>
  <si>
    <t>DKL2101604917B1</t>
  </si>
  <si>
    <t>Simvasto 20 mg 10 Tablet</t>
  </si>
  <si>
    <t>Rp3.000 - Rp12.500</t>
  </si>
  <si>
    <t>PENGGUNAAN OBAT INI HARUS SESUAI DENGAN PETUNJUK DOKTER. Diawali 1x sehari 1 tablet. Pada Hiperkolesterolemia ringan sampai sedang : dapat diawali dengan 0.5 tablet perhari, maximum 4 tablet perhari. Diberikan sebagai dosis tunggal malam hari.</t>
  </si>
  <si>
    <t>Dus, 10 Strip @10 Tablet</t>
  </si>
  <si>
    <t>simvasto</t>
  </si>
  <si>
    <t>simvasto tablet simvastatin menurunkan kadar kolesterol total ldl pasien hiperkolesterolemia</t>
  </si>
  <si>
    <t>DKL1009221117A1</t>
  </si>
  <si>
    <t>Selvim 20 mg 10 Tablet</t>
  </si>
  <si>
    <t>Rp5.000 - Rp17.100</t>
  </si>
  <si>
    <t>Sebelum / sesudah makan malam</t>
  </si>
  <si>
    <t>INFORMASI OBAT INI HANYA UNTUK KALANGAN MEDIS. Menurunkan kadar kolesterol total dan LDL pada pasien dengan hiperkolesterolemia.</t>
  </si>
  <si>
    <t>Dus, 5 Strip @10 Tablet Salut Selaput</t>
  </si>
  <si>
    <t>selvim</t>
  </si>
  <si>
    <t>selvim tablet simvastatin menurunkan kadar kolesterol total ldl pasien hiperkolesterolemia</t>
  </si>
  <si>
    <t>DKL0409214304A1</t>
  </si>
  <si>
    <t>Selvim 10 mg 10 Kaplet</t>
  </si>
  <si>
    <t>Rp4.200 - Rp11.700</t>
  </si>
  <si>
    <t>Dus, 5 strip @ 10 Kablet</t>
  </si>
  <si>
    <t>Penyakit hati aktif, peningkatan persisten serum transaminase yang tidak dapat dijelaskan. Hamil dan laktasi. Hipersensitif.</t>
  </si>
  <si>
    <t>HARUS DENGAN RESEP DOKTER. Anak dan remaja. Lakukan tes kolesterol sebelum terapi dan secara periodik setelah terapi. Konsumsi alkohol, riwayat penyakit hati. Kategori Kehamilan : X</t>
  </si>
  <si>
    <t>selvim kaplet simvastatin menurunkan kadar kolesterol total ldl pasien hiperkolesterolemia</t>
  </si>
  <si>
    <t>Durex Play Massage 2 In 1 200 ml</t>
  </si>
  <si>
    <t>Rp148.300 - Rp163.200</t>
  </si>
  <si>
    <t>Buka tutup kemasan, tekan botol secara perlahan dan ratakan pada organ intim Anda atau pada bagian tubuh lain yang Anda kehendaki.</t>
  </si>
  <si>
    <t>Tube @ 200 ml</t>
  </si>
  <si>
    <t>Jika Anda mengalami iritasi, berhentilah menggunakannya. Jika iritasi masih berlanjut atau Anda kecanduan untuk selalu menggunakannya, segera hubungi dokter.</t>
  </si>
  <si>
    <t>durex play massage in</t>
  </si>
  <si>
    <t>durex play massage in tablet sildenafil citrate sebagai pelumas berhubungan</t>
  </si>
  <si>
    <t>Kondom Durex Close Fit Isi 3</t>
  </si>
  <si>
    <t>DKL9521618017B1</t>
  </si>
  <si>
    <t>Rechol 10 mg 10 Tablet</t>
  </si>
  <si>
    <t>Rp67.200 - Rp93.500</t>
  </si>
  <si>
    <t>Peny hati aktif atau kenaikan kadar transaminase yg persisten &amp; tdk diketahui sebabnya. Hamil &amp; laktasi.</t>
  </si>
  <si>
    <t>rechol</t>
  </si>
  <si>
    <t>rechol tablet simvastatin menurunkan kadar kolesterol total ldl pasien hiperkolesterolemia</t>
  </si>
  <si>
    <t>DBL0410806837A1</t>
  </si>
  <si>
    <t>OBH Berlico Jeruk Nipis Sirup 100 ml</t>
  </si>
  <si>
    <t>Rp7.900 - Rp13.800</t>
  </si>
  <si>
    <t>Untuk batuk berdahak.</t>
  </si>
  <si>
    <t>Tidak boleh melebihi dosis yang di anjurkan, hentikan penggunaan obat ini jika terjadi mual dan muntah</t>
  </si>
  <si>
    <t>untuk batuk berdahak</t>
  </si>
  <si>
    <t>obh berlico jeruk nipis</t>
  </si>
  <si>
    <t>obh berlico jeruk nipis sirup ammonium chloride untuk batuk berdahak</t>
  </si>
  <si>
    <t>TR192625961</t>
  </si>
  <si>
    <t>Komix Herbal Rasa Jeruk Nipis 15 ml 6 Sachet</t>
  </si>
  <si>
    <t>KOMIX HERBAL RASA JERUK NIPIS</t>
  </si>
  <si>
    <t>Rp14.000 - Rp15.300</t>
  </si>
  <si>
    <t>komix herbal rasa jeruk nipis</t>
  </si>
  <si>
    <t>komix herbal rasa jeruk nipis sachet membantu meredakan batuk berdahak</t>
  </si>
  <si>
    <t>Durex Play Feel 100 ml</t>
  </si>
  <si>
    <t>Rp102.900 - Rp117.400</t>
  </si>
  <si>
    <t>Buka tutup kemasan. Pencet botol hingga pelumas keluar, arahkan ke telapak tangan. Ratakan pada organ vital pria dan wanita.</t>
  </si>
  <si>
    <t>Pelumas tambahan saat berhubungan intim.</t>
  </si>
  <si>
    <t>Hindari terkena mata. Apabila terjadi iritasi, hentikan pemakaian. Jika iritasi berlanjut, hubungi dokter. Simpan di tempat kering dan sejuk. Gunakan maksimal 3 bulan sejak kemasan dibuka. Jauhkan dari jangkauan anak-anak. Bukan produk kontrasepsi, tetap gunakan kondom sebagai alat kontrasepsi.</t>
  </si>
  <si>
    <t>pelumas tambahan berhubungan intim</t>
  </si>
  <si>
    <t>durex play feel</t>
  </si>
  <si>
    <t>durex play feel tablet sildenafil citrate pelumas tambahan berhubungan intim</t>
  </si>
  <si>
    <t>DKL9622218217A1</t>
  </si>
  <si>
    <t>Valemia 5 mg 6 Tablet</t>
  </si>
  <si>
    <t>Rp32.700 - Rp49.500</t>
  </si>
  <si>
    <t>Dus, 5 Strip @ 6 Tablet Salut</t>
  </si>
  <si>
    <t>valemia</t>
  </si>
  <si>
    <t>valemia tablet simvastatin menurunkan kadar kolesterol total ldl pasien hiperkolesterolemia</t>
  </si>
  <si>
    <t>TR212649431</t>
  </si>
  <si>
    <t>Vicks Formula Jahe Madu 105 ml</t>
  </si>
  <si>
    <t>VICKS FORMULA JAHE MADU</t>
  </si>
  <si>
    <t>Sesydah makan</t>
  </si>
  <si>
    <t>Dewasa dan anak diatas 12 tahun : 3 x sehari 7 ml. Anak 6-12 tahun : 3 x sehari 7 ml.</t>
  </si>
  <si>
    <t>Botol @ 105 ml</t>
  </si>
  <si>
    <t>vicks formula jahe madu</t>
  </si>
  <si>
    <t>vicks formula jahe madu madu membantu meredakan batuk melegakan tenggorokan</t>
  </si>
  <si>
    <t>Vicks Formula Jahe Madu 28 ml</t>
  </si>
  <si>
    <t>dewasa dan anak diatas 12 tahun : 3 x Sehari, 7 ml anak 6-12 tahun : 3 x Sehari, 7 ml</t>
  </si>
  <si>
    <t>Dus, Botol @ 28 ml</t>
  </si>
  <si>
    <t>DKL2022258337A1</t>
  </si>
  <si>
    <t>Sanazol Sirup 60 ml</t>
  </si>
  <si>
    <t>Dewasa dan anak-anak &gt;12 tahun: 4 x sehari 10 ml Anak-anak berdasarkan berat badan: 10-20 kg (2-6 tahun): 2-3 kali sehari 5 ml 20-30 kg (6-10 tahun): 2-3 kali sehari 10 ml 30-40 kg (10-12 tahun) 3-4 kali sehari 10 ml</t>
  </si>
  <si>
    <t>Meringankan gejala batuk berdahak karena alergi.</t>
  </si>
  <si>
    <t>guaifenesin oxomemazine hydrochloride</t>
  </si>
  <si>
    <t>meringankan gejala batuk berdahak alergi</t>
  </si>
  <si>
    <t>sanazol</t>
  </si>
  <si>
    <t>sanazol sirup guaifenesin oxomemazine hydrochloride meringankan gejala batuk berdahak alergi</t>
  </si>
  <si>
    <t>Tresnojoyo Madu Kurma 250 g</t>
  </si>
  <si>
    <t>Rp25.400 - Rp42.500</t>
  </si>
  <si>
    <t>Tresnojoyo Madu Kurma 500 g</t>
  </si>
  <si>
    <t>Rp54.000 - Rp67.800</t>
  </si>
  <si>
    <t>Botol @ 500 g</t>
  </si>
  <si>
    <t>DKL0519610117A1</t>
  </si>
  <si>
    <t>Valansim 10 mg 10 Tablet</t>
  </si>
  <si>
    <t>Rp7.200 - Rp12.000</t>
  </si>
  <si>
    <t>Diminum pada malam hari</t>
  </si>
  <si>
    <t>PENGGUNAAN OBAT INI HARUS SESUAI DENGAN PETUNJUK DOKTER. Hyperlipidaemia Dosis awal: 1-2 tablet diminum sekali sehari di malam hari. Dosis dapat di sesuaikan setelah pemberian obat minimal selama 4 minggu. Maksimal: 8 tablet / hari. Mengurangi risiko penyakit jantung Pasien berisiko tinggi: 2-4 tablet diminum sekali sehari. Pasien berisiko sedang: 1 tablet diminum sekali sehari.</t>
  </si>
  <si>
    <t>INFORMASI OBAT INI HANYA UNTUK KALANGAN MEDIS. Digunakan untuk mengurangi risiko penyakit jantung dan mengobati hiperlipidaemia.</t>
  </si>
  <si>
    <t>Dus, Strip @10 Tablet</t>
  </si>
  <si>
    <t>Penyakit hati akut dan hipersensitif</t>
  </si>
  <si>
    <t>HARUS DENGAN RESEP DOKTER. Wanita hamil dan menyusui. Kategori kehamilan : Kategori X: Kontraindikasi (tidak boleh digunakan). Terdapat hasil penelitian terhadap hewan uji dan manusia yang memperlihatkan abnormalitas terhadap janin. Obat ini dikontraindikasikan untuk wanita hamil dan yang berkemungkinan untuk hamil.</t>
  </si>
  <si>
    <t>digunakan mengurangi risiko penyakit jantung mengobati hiperlipidaemia</t>
  </si>
  <si>
    <t>valansim</t>
  </si>
  <si>
    <t>valansim tablet simvastatin digunakan mengurangi risiko penyakit jantung mengobati hiperlipidaemia</t>
  </si>
  <si>
    <t>TR142679381</t>
  </si>
  <si>
    <t>Bintang Toedjoe Masuk Angin 15 ml 12 Sachet</t>
  </si>
  <si>
    <t>BINTANG TOEDJOE MASUK ANGIN PLUS</t>
  </si>
  <si>
    <t>Rp22.400 - Rp36.800</t>
  </si>
  <si>
    <t>Dus, 12 Sachet @ 15 ml</t>
  </si>
  <si>
    <t>bintang toedjoe masuk angin plus</t>
  </si>
  <si>
    <t>bintang toedjoe masuk angin</t>
  </si>
  <si>
    <t xml:space="preserve">bintang toedjoe masuk angin sachet bintang toedjoe masuk angin plus </t>
  </si>
  <si>
    <t>Kondom Fiesta Ultra Thin Isi 3</t>
  </si>
  <si>
    <t>Rp16.000 - Rp20.800</t>
  </si>
  <si>
    <t>kondom fiesta ultra thin isi</t>
  </si>
  <si>
    <t>kondom fiesta ultra thin isi tablet sildenafil citrate alat kontrasepsi</t>
  </si>
  <si>
    <t>DKL1008516217B1</t>
  </si>
  <si>
    <t>Svt 20 mg 10 Tablet</t>
  </si>
  <si>
    <t>Rp15.000 - Rp34.200</t>
  </si>
  <si>
    <t>Tablet 20 Mg X 3 X 10</t>
  </si>
  <si>
    <t>Penyakit hati aktif atau peningkatan persisten transaminase serum idiopatik.</t>
  </si>
  <si>
    <t>svt</t>
  </si>
  <si>
    <t>svt tablet simvastatin menurunkan kadar kolesterol total ldl pasien hiperkolesterolemia</t>
  </si>
  <si>
    <t>DKL0621631710A1</t>
  </si>
  <si>
    <t>Inversyn 10 mg 10 Tablet</t>
  </si>
  <si>
    <t>inversyn</t>
  </si>
  <si>
    <t>inversyn tablet loratadine obat meredakan gejala alergi hay fever  urtikaria</t>
  </si>
  <si>
    <t>grafachlor kaplet dexamethasone dexchlorpheniramine maleate untuk mengatasi alergi terapi kortikosteroid</t>
  </si>
  <si>
    <t>TR093604841</t>
  </si>
  <si>
    <t>Cap Ayam Minyak Kayu Putih 25 ml</t>
  </si>
  <si>
    <t>MINYAK KAYU PUTIH CAP AYAM</t>
  </si>
  <si>
    <t>Botol @ 25 ml</t>
  </si>
  <si>
    <t>minyak kayu putih cap ayam</t>
  </si>
  <si>
    <t>cap ayam kayu putih</t>
  </si>
  <si>
    <t xml:space="preserve">cap ayam kayu putih minyak minyak kayu putih cap ayam </t>
  </si>
  <si>
    <t>DKL7822228133A1</t>
  </si>
  <si>
    <t>Sanprima Suspensi 60 ml</t>
  </si>
  <si>
    <t>Rp34.000 - Rp41.200</t>
  </si>
  <si>
    <t>PENGGUNAAN OBAT INI HARUS SESUAI DENGAN PETUNJUK DOKTER. Anak usia 6 - 12 tahun : 2 kali per hari, 2 sendok teh. Anak usia 6 bulan - 5 tahun : 2 kali per hari, 1 sendok teh. Anak usia 6 minggu - 5 bulan : 2 kali per hari,1/2 sendok teh.</t>
  </si>
  <si>
    <t>INFORMASI OBAT INI HANYA UNTUK KALANGAN MEDIS. Infeksi saluran pernapasan, GIT, GUT, otitis media.</t>
  </si>
  <si>
    <t>Gangguan fungsi hati dan ginjal yang berat, hipersensitif terhadap sulfonamid. Diskrasia darah. Hamil dan laktasi, bayi &lt; 2 bulan. Profiria</t>
  </si>
  <si>
    <t>HARUS DENGAN RESEP DOKTER. Penderita dengan defisiensi asam folat. Penderita dengan status gizi buruk. Penderita defisiensi enzim G6PD. Manula dan Penderita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</si>
  <si>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infeksi saluran pernapasan , git , gut , otitis medium</t>
  </si>
  <si>
    <t>sanprima</t>
  </si>
  <si>
    <t>sanprima suspensi sulfamethoxazole infeksi saluran pernapasan  git  gut  otitis medium</t>
  </si>
  <si>
    <t>DKL0715620153B1</t>
  </si>
  <si>
    <t>Pyrexin 160 mg Suppositoria</t>
  </si>
  <si>
    <t>Rp11.000 - Rp11.400</t>
  </si>
  <si>
    <t>DKL8707801309A1</t>
  </si>
  <si>
    <t>Hufralgin 10 Kaplet</t>
  </si>
  <si>
    <t>Rp5.700 - Rp9.800</t>
  </si>
  <si>
    <t>PENGGUNAAN OBAT INI HARUS SESUAI DENGAN PETUNJUK DOKTER. 3 kali sehari 1 kaplet salut selaput.</t>
  </si>
  <si>
    <t>Meringankan rasa sakit yang disebabkan oleh neuritis dan neuralgia, terutama pada keadaan rasa sakit yang berat.</t>
  </si>
  <si>
    <t>hipersensitif, pasien yang akan atau telah menjalani operasi by-pass jantung, pasien dengan masalah ginjal, hati, asma, urtikaria atau radang/tukak pada lambung atau usus, pasien DBD</t>
  </si>
  <si>
    <t>meringankan sakit disebabkan neuritis neuralgia , sakit berat</t>
  </si>
  <si>
    <t>hufralgin</t>
  </si>
  <si>
    <t>hufralgin kaplet cyanocobalamin meringankan sakit disebabkan neuritis neuralgia  sakit berat</t>
  </si>
  <si>
    <t>DTL0617206737A1</t>
  </si>
  <si>
    <t>OBH Nellco Plus Sirup 100 ml</t>
  </si>
  <si>
    <t>Rp20.500 - Rp29.200</t>
  </si>
  <si>
    <t>6-12 thn : sehari, 3 x 2 sendok takar (@ 5 ml</t>
  </si>
  <si>
    <t>Ekspektoran pada gangguan batuk berdahak</t>
  </si>
  <si>
    <t>Hipersensitif, gangguan fungsi hati dan ginjal, glaukoma, hipertrofi prostat, hipertiroid, anak usia di bawah 2 tahun, hamil</t>
  </si>
  <si>
    <t>ekspektoran gangguan batuk berdahak</t>
  </si>
  <si>
    <t>obh nellco plus</t>
  </si>
  <si>
    <t>obh nellco plus sirup ammonium chloride ekspektoran gangguan batuk berdahak</t>
  </si>
  <si>
    <t>Oxfezin Sirup 60 ml</t>
  </si>
  <si>
    <t>Rp46.400 - Rp54.000</t>
  </si>
  <si>
    <t>PENGGUNAAN OBAT INI HARUS SESUAI DENGAN PETUNJUK DOKTER. Dewasa &amp; anak &gt;12 tahun (BB&gt;40 kg) 10 mL 4 x perhari. Anak 10-12 tahun (BB 30-40 kg) 10 mL 3-4 x perhari, 6-10 tahun (BB 20-30 kg) 10 mL 2-3 x perhari, 2-6 tahun (BB 10-20 kg) 5 mL 2-3 x perhari.</t>
  </si>
  <si>
    <t>Meredakan batuk produktif yang disertai dengan kondisi alergi.</t>
  </si>
  <si>
    <t>Riwayat agranulositosis, risiko retensi urin yang berhubungan dengan uretroprostatik, glaukoma sudut tertutup.</t>
  </si>
  <si>
    <t>HARUS DENGAN RESEP DOKTER. Lanjut usia dengan kerentanan untuk mengalami hipotensi ortostatik, gangguan fungsi hati &amp; ginjal. Anak &lt;2 tahun.</t>
  </si>
  <si>
    <t>meredakan batuk produktif disertai kondisi alergi</t>
  </si>
  <si>
    <t>oxfezin sirup guaifenesin oxomemazine meredakan batuk produktif disertai kondisi alergi</t>
  </si>
  <si>
    <t>DKL9904126050A1</t>
  </si>
  <si>
    <t>Vagistin 5 Ovula</t>
  </si>
  <si>
    <t>Rp99.500 - Rp101.000</t>
  </si>
  <si>
    <t>Dimasukkan jauh ke dalam vagina</t>
  </si>
  <si>
    <t>PENGGUNAAN OBAT INI HARUS SESUAI DENGAN PETUNJUK DOKTER. 1 Ovula/ per hari, selama 7 hingga 10 hari. Dapat dikonsumsi bersama dengan tablet oral Flagyl 250 mg 2 x sehari selama periode yang sama.</t>
  </si>
  <si>
    <t>INFORMASI OBAT INI HANYA UNTUK KALANGAN MEDIS. Infeksi vagina campuran karena Trichomonas vaginalis dan Candida albicans</t>
  </si>
  <si>
    <t>Dus, 2 Strip @ 5 tablet vaginal</t>
  </si>
  <si>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</si>
  <si>
    <t>vagistin</t>
  </si>
  <si>
    <t>vagistin ovula metronidazole infeksi vagina campuran trichomonas vaginalis candida albicans</t>
  </si>
  <si>
    <t>DBL0233504837A1</t>
  </si>
  <si>
    <t>Pyrex Sirup 60 ml</t>
  </si>
  <si>
    <t>Rp18.200 - Rp38.800</t>
  </si>
  <si>
    <t>Anak 6-12 thn : 5ml diberikan 3 x sehari</t>
  </si>
  <si>
    <t>pyrex sirup paracetamol meredakan nyeri demam  sakit kepala  sakit gigi</t>
  </si>
  <si>
    <t>DTL2038202646A1</t>
  </si>
  <si>
    <t>Insto Cool Eye Drops 7.5 ml</t>
  </si>
  <si>
    <t>Rp18.200 - Rp20.100</t>
  </si>
  <si>
    <t>Diteteskan pada mata yang merah atau teriritasi.</t>
  </si>
  <si>
    <t>2-3 tetes pada setiap mata 3-4 kali sehari atau sesuai anjuran dokter</t>
  </si>
  <si>
    <t>Botol @ 7.5 ml</t>
  </si>
  <si>
    <t>Hipersensitif terhadap komponen dalam produk. Glaukoma sudut sempit, kerusakan kornea, iritis akut dan penyakit mata serius lainnya.</t>
  </si>
  <si>
    <t>Jangan dipakai sesudah dibuka 1 bulan. Jangan digunakan bila larutan berubah warna atau keruh. Jauhkan dari jangkauan anak-anak. Tidak boleh diberikan pada penderita glaukoma. Jangan digunakan secara rutin atau jangka panjang. Ketika digunakan, lepaskan lensa kontak. Lensa kontak boleh digunakan minimal 15 menit setelah obat diteteskan.</t>
  </si>
  <si>
    <t>insto cool eye</t>
  </si>
  <si>
    <t>insto cool eye tetes naphazoline hydrochloride meredakan iritasi kemerahan mata</t>
  </si>
  <si>
    <t>Kondom Sagami Original 002L isi 12</t>
  </si>
  <si>
    <t>Rp344.900 - Rp415.900</t>
  </si>
  <si>
    <t>kondom sagami original l isi</t>
  </si>
  <si>
    <t>kondom sagami original l isi tablet sildenafil citrate alat kontrasepsi</t>
  </si>
  <si>
    <t>dextromethorphan hydrobromide chlorphenamine maleate guaifenesin</t>
  </si>
  <si>
    <t>konidin tablet dextromethorphan hydrobromide chlorphenamine maleate guaifenesin untuk meringankan batuk</t>
  </si>
  <si>
    <t>Cap Ayam Minyak Kayu Putih 40 ml</t>
  </si>
  <si>
    <t>Rp18.400 - Rp19.700</t>
  </si>
  <si>
    <t>Oleskan secukupnya</t>
  </si>
  <si>
    <t>DBL7610906137A1</t>
  </si>
  <si>
    <t>OBH Surya Itrasal 100 ml</t>
  </si>
  <si>
    <t>Rp8.200 - Rp11.300</t>
  </si>
  <si>
    <t>Dewasa dan anak &gt;12 tahun: sehari 3-4 kali 3 sendok teh (15 ml). Anak-anak umur 6 - 12 tahun: sehari 3-4 kali 1 sendok teh (5 ml), Anak-anak &lt;6 tahun : Sesuai petunjuk dokter.</t>
  </si>
  <si>
    <t>Sebagai ekspektoran untuk batuk berdahak.</t>
  </si>
  <si>
    <t>Jangan digunakan pada pasien yang hipersensitif terhadap komposisi obat. Harap ke dokter apabila gejala batuk belum sembuh selama 3 hari.</t>
  </si>
  <si>
    <t>sebagai ekspektoran batuk berdahak</t>
  </si>
  <si>
    <t>obh surya itrasal</t>
  </si>
  <si>
    <t>obh surya itrasal sirup ammonium chloride sebagai ekspektoran batuk berdahak</t>
  </si>
  <si>
    <t>Kondom Sagami Xtreme Dotted Isi 10</t>
  </si>
  <si>
    <t>Rp50.800 - Rp84.400</t>
  </si>
  <si>
    <t>kondom sagami xtreme dotted isi</t>
  </si>
  <si>
    <t>kondom sagami xtreme dotted isi tablet sildenafil citrate alat kontrasepsi</t>
  </si>
  <si>
    <t>TI164550761</t>
  </si>
  <si>
    <t>Golden Throat Lozenges 12 Tablet</t>
  </si>
  <si>
    <t>GOLDEN THROAT LOZENGES</t>
  </si>
  <si>
    <t>Hisap satu tablet perlahan-lahan hingga larut dalam mulut.</t>
  </si>
  <si>
    <t>Dihisap sehari 6 kali 1 tablet.</t>
  </si>
  <si>
    <t>Membantu meredakan panas dalam yang disertai tenggorokan kering.</t>
  </si>
  <si>
    <t>Dus, 1 Sachet @ 12 tablet hisap</t>
  </si>
  <si>
    <t>Simpan di tempat yang kering, sejuk dan terhindar sinar matahari langsung.</t>
  </si>
  <si>
    <t>golden throat lozenges</t>
  </si>
  <si>
    <t>membantu meredakan panas disertai tenggorokan kering</t>
  </si>
  <si>
    <t>golden throat lozenges tablet membantu meredakan panas disertai tenggorokan kering</t>
  </si>
  <si>
    <t>DKL9717613417A1</t>
  </si>
  <si>
    <t>Insaar 50 mg 10 Tablet</t>
  </si>
  <si>
    <t>Rp146.700 - Rp209.700</t>
  </si>
  <si>
    <t>Penggunaan bersamaan dengan aliskiren pada pasien dengan diabetes dan gangguan ginjal (GFR &lt;60 mL / menit). Kerusakan hati berat. Kehamilan.</t>
  </si>
  <si>
    <t>HARUS DENGAN RESEP DOKTER. Hamil dan deplesi vol intravaskular.</t>
  </si>
  <si>
    <t>insaar</t>
  </si>
  <si>
    <t>insaar tablet losartan potassium hipertensi  terapi tunggal kombinasi obat antihipertensi</t>
  </si>
  <si>
    <t>GKL8912510010A1</t>
  </si>
  <si>
    <t>Isoniazid 300 mg 10 Tablet</t>
  </si>
  <si>
    <t>Rp3.200 - Rp6.600</t>
  </si>
  <si>
    <t>Sebaiknya diberikan saat kondisi perut kosong: 1 jam sebelum makan atau 2 jam setelah makan.</t>
  </si>
  <si>
    <t>PENGGUNAAN OBAT INI HARUS SESUAI DENGAN PETUNJUK DOKTER. Sehari 5 mg/kgBB sampai 300 mg sebagai dosis tunggal.</t>
  </si>
  <si>
    <t>INFORMASI OBAT INI HANYA UNTUK KALANGAN MEDIS. Terapi penyakit Tuberculosis (TB) dalam kombinasi dengan obat anti Tuberculosis lain.</t>
  </si>
  <si>
    <t>Hepatitis atau penyakit hati yang dinduksi oleh obat, epilepsi, gangguan ginjal.</t>
  </si>
  <si>
    <t>HARUS DENGAN RESEP DOKTER. - Pasien yang mengkonsumsi alkohol, penderita diabetes, penyakit hati kronis atau disfungsi ginjal berat. - Lakukan pemeriksaan mata secara berkala sebelum dan sesudah terapi. -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</si>
  <si>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terapi penyakit tuberculosis tb kombinasi obat anti tuberculosis</t>
  </si>
  <si>
    <t>isoniazid tablet terapi penyakit tuberculosis tb kombinasi obat anti tuberculosis</t>
  </si>
  <si>
    <t>QD061706811</t>
  </si>
  <si>
    <t>Levertran Salep 15G</t>
  </si>
  <si>
    <t>Rp3.700 - Rp6.200</t>
  </si>
  <si>
    <t>dioleskan pada bagian yang sakit</t>
  </si>
  <si>
    <t>Membantu proses penyembuhan luka dan luka bakar</t>
  </si>
  <si>
    <t>pot 15 gr</t>
  </si>
  <si>
    <t>oleum iecors aselli</t>
  </si>
  <si>
    <t>membantu prose penyembuhan luka luka bakar</t>
  </si>
  <si>
    <t>levertran</t>
  </si>
  <si>
    <t>levertran  oleum iecors aselli membantu prose penyembuhan luka luka bakar</t>
  </si>
  <si>
    <t>propyphenazone caffeine paracetamol</t>
  </si>
  <si>
    <t>parazon kaplet propyphenazone caffeine paracetamol meringankan sakit kepala  sakit gigi</t>
  </si>
  <si>
    <t>DKL0305033810C1</t>
  </si>
  <si>
    <t>Hyperil 5 mg 6 Tablet</t>
  </si>
  <si>
    <t>Rp50.300 - Rp68.300</t>
  </si>
  <si>
    <t>PENGGUNAAN OBAT INI HARUS SESUAI DENGAN PETUNJUK DOKTER. Untuk hipertensi : awal tanpa diuretik 2.5 mg 1 kali/hari disesuaikan respon TD. Pemeliharaan : 2.5-5 mg/hari terbagi dalam 1-2 dosis. Jika respon TD berkurang dengan pemberian 1 kali/hari pada akhir ienterval pemberian obat, dosis ditingkatkan atau pemberian obat 2 kali/hari. Bila TD tidak dapat dikontrol hanya dengan ramipril, dapat ditambah dengan diuretik.</t>
  </si>
  <si>
    <t>INFORMASI OBAT INI HANYA UNTUK KALANGAN MEDIS. Hipertensi, gagal jantung kongesti dengan miokardinal infark akut</t>
  </si>
  <si>
    <t>Riwayat angioedema, hipersensitif.</t>
  </si>
  <si>
    <t>HARUS DENGAN RESEP DOKTER. Anak, laktasi, kerusakan fungsi hati, gagal jantung kongestif berat dengan fungsi ginjal terganggu, pasien dialisis, pada dosis awal atau pada peningkatan dosis, gangguan ginjal, hamil</t>
  </si>
  <si>
    <t>hipertensi , gagal jantung kongesti miokardinal infark akut</t>
  </si>
  <si>
    <t>hyperil</t>
  </si>
  <si>
    <t>hyperil tablet ramipril hipertensi  gagal jantung kongesti miokardinal infark akut</t>
  </si>
  <si>
    <t>DBL0309317237A1</t>
  </si>
  <si>
    <t>Lactulax Rasa Coklat Sirup 200 ml</t>
  </si>
  <si>
    <t>Rp122.700 - Rp148.500</t>
  </si>
  <si>
    <t>Sebelum atau sesudah makan, dapat diberikan bersama makanan untuk mengurangi ketidak-nyamanan pencernaan.</t>
  </si>
  <si>
    <t>Galaktosaemia, obstruksi GI, perforasi pencernaan atau risiko perforasi pencernaan. Pasien dengan diet galaktosa rendah.</t>
  </si>
  <si>
    <t>lactulax rasa coklat</t>
  </si>
  <si>
    <t>lactulax rasa coklat sirup lactulose konstipasi kronik ensefalopati portal sistemik</t>
  </si>
  <si>
    <t>DKL1025202503B1</t>
  </si>
  <si>
    <t>Herbesser CD 200 mg 10 Kapsul</t>
  </si>
  <si>
    <t>Rp197.900 - Rp200.300</t>
  </si>
  <si>
    <t>Telan utuh, jangan dikunyah atau dihancurkan.</t>
  </si>
  <si>
    <t>PENGGUNAAN OBAT INI HARUS SESUAI DENGAN PETUNJUK DOKTER. Untuk hipertensi esensial : 100-200 mg 1 kali/hari. Untuk angina pektoris, angina pektoris varian : awal 100 mg 1 kali/hari. Jika perlu dapar ditingkatkan sampai 200 mg 1 kali/hari.</t>
  </si>
  <si>
    <t>INFORMASI OBAT INI HANYA UNTUK KALANGAN MEDIS. Hipertensi esensial (ringan hingga sedang), angina pektoris.</t>
  </si>
  <si>
    <t>Dus, 3 Blister @ 10 Kapsul Pelepasan Lambat</t>
  </si>
  <si>
    <t>Blok AV derajat 2 atau 3, sick sinus syndrome, gagal jantung kongestif berat, hipersensitif, wanita hamil atau yang mungkin hamil..</t>
  </si>
  <si>
    <t>HARUS DENGAN RESEP DOKTER. Blok AV derajat 1, gangguan fungsi ginjal atau hati berat, hipotensi berat, bradikardi berat, gagal jantung kongestif.</t>
  </si>
  <si>
    <t>hipertensi esensial ringan , angina pektoris</t>
  </si>
  <si>
    <t>herbesser cd</t>
  </si>
  <si>
    <t>herbesser cd kapsul diltiazem hydrochloride hipertensi esensial ringan  angina pektoris</t>
  </si>
  <si>
    <t>kondom fiesta ultra safe isi tablet sildenafil citrate alat kontrasepsi</t>
  </si>
  <si>
    <t>DKL8718802717A1</t>
  </si>
  <si>
    <t>Trogyl 500 mg 10 Tablet</t>
  </si>
  <si>
    <t xml:space="preserve">PENGGUNAAN OBAT INI HARUS SESUAI DENGAN PETUNJUK DOKTER. - Amubiasis Dewasa: amubiasis intestinal 750mg, 3 kali sehari selama 5-1- hari </t>
  </si>
  <si>
    <t>DKL9621010617A1</t>
  </si>
  <si>
    <t>Epsonal 50 mg 10 Tablet</t>
  </si>
  <si>
    <t>Rp38.900 - Rp65.200</t>
  </si>
  <si>
    <t>Terapi simtomatik untuk kondisi yang berhubungan dengan Spasme Muskuloskeletal</t>
  </si>
  <si>
    <t>HARUS DENGAN RESEP DOKTER. Gangguan hati</t>
  </si>
  <si>
    <t>epsonal</t>
  </si>
  <si>
    <t>epsonal tablet eperisone hydrochloride terapi simtomatik kondisi berhubungan spasme muskuloskeletal</t>
  </si>
  <si>
    <t>Pyrex Enema 125 mg/2.5 ml</t>
  </si>
  <si>
    <t>Rp10.700 - Rp14.000</t>
  </si>
  <si>
    <t>Obat dalam rectal tube dimasukkan kedalam anus.</t>
  </si>
  <si>
    <t>pyrex enema</t>
  </si>
  <si>
    <t>pyrex enema sirup paracetamol obat meredakan nyeri ringan menurunkan demam</t>
  </si>
  <si>
    <t>DBL9913018737A1</t>
  </si>
  <si>
    <t>Konidin OBH Sachet 7 ml</t>
  </si>
  <si>
    <t>Rp900 - Rp1.200</t>
  </si>
  <si>
    <t>Anak-anak &gt;12th atau dewasa = 1-2 sachet 3-4x sehari, Anak-anak 6-12th = 1 sachet 3-4x sehari</t>
  </si>
  <si>
    <t>Sachet 7 ml x 30</t>
  </si>
  <si>
    <t>Pastikan obat belum mengkristal sebelum pemberian berhati-hati saat menggunakan asam glycyrrhetinic untuk pengobatan hipokalemia</t>
  </si>
  <si>
    <t>ammonium chloride succus liquiritiae</t>
  </si>
  <si>
    <t>konidin obh</t>
  </si>
  <si>
    <t>konidin obh sirup ammonium chloride succus liquiritiae meredakan batuk berdahak</t>
  </si>
  <si>
    <t>kondom fiesta party pack isi tablet sildenafil citrate alat kontrasepsi</t>
  </si>
  <si>
    <t>DKL0234000209A1</t>
  </si>
  <si>
    <t>Novapyron 10 Kaplet</t>
  </si>
  <si>
    <t>Rp9.900 - Rp15.000</t>
  </si>
  <si>
    <t>3.d.d. 1 caps p.c</t>
  </si>
  <si>
    <t>Untuk meringankan rasa sakit yang disebabkan oleh neuritis terutama pada keadaan rasa sakit yang berat</t>
  </si>
  <si>
    <t>untuk meringankan sakit disebabkan neuritis sakit berat</t>
  </si>
  <si>
    <t>novapyron</t>
  </si>
  <si>
    <t>novapyron kaplet cyanocobalamin untuk meringankan sakit disebabkan neuritis sakit berat</t>
  </si>
  <si>
    <t>Kondom Simplex Black Panther isi 3</t>
  </si>
  <si>
    <t>Rp9.700 - Rp14.200</t>
  </si>
  <si>
    <t>kondom simplex black panther isi tablet sildenafil citrate alat kontrasepsi</t>
  </si>
  <si>
    <t>DKL9508003117A1</t>
  </si>
  <si>
    <t>Goflex 500 mg 6 Tablet</t>
  </si>
  <si>
    <t>Rp63.500 - Rp85.400</t>
  </si>
  <si>
    <t>PENGGUNAAN OBAT INI HARUS SESUAI DENGAN PETUNJUK DOKTER. Dewasa: 2 tablet (1 gram) sekali minum di malam hari. Untuk keadaan yang berat, gejala-gejala yang menatap dan dalam keadaan akut: diberikan penambahan 1-2 tablet 500 mg ??1 gram dipagi hari. Orang tua: dosis jangan melebihi sehari 1 gram. Ada kebanyakan</t>
  </si>
  <si>
    <t>Osteoartritis, rematoid artritis dan keadaan yang memerlukan terapi dengan preparat anti inflamasi</t>
  </si>
  <si>
    <t>Tablet 5 X 6</t>
  </si>
  <si>
    <t>nabumetone</t>
  </si>
  <si>
    <t>osteoartritis , rematoid artritis terapi preparat anti inflamasi</t>
  </si>
  <si>
    <t>goflex</t>
  </si>
  <si>
    <t>goflex tablet nabumetone osteoartritis  rematoid artritis terapi preparat anti inflamasi</t>
  </si>
  <si>
    <t>Kondom Simplex Deluxe Red isi 12</t>
  </si>
  <si>
    <t>Rp29.800 - Rp50.600</t>
  </si>
  <si>
    <t>DKI0975704356A1</t>
  </si>
  <si>
    <t>Avamys Nasal Spray</t>
  </si>
  <si>
    <t>Rp192.400 - Rp298.200</t>
  </si>
  <si>
    <t>kocok perlahan terlebih dahulu lalu semprotkan pada lubang hidung. Tutup lubang hidung yang sebelah kiri jika lubang hidung sebelah kanan akan disemprot, begitu juga sebaliknya. Setelah di semprot hirup dalam-dalam</t>
  </si>
  <si>
    <t>PENGGUNAAN OBAT INI HARUS SESUAI DENGAN PETUNJUK DOKTER. Dewasa dan remaja =12 th dosis awal 2 sprays sekali sehari. dosis pemeliharaan: 1 spray sekali sehari. anak 2-11 th 1 spray sekali sehari, dosis pemeliharaan: 1 spray sekali sehari.</t>
  </si>
  <si>
    <t>INFORMASI OBAT INI HANYA UNTUK KALANGAN MEDIS. Rhinorrhea, hidung tersumbat/gatal, &amp; alergi rinitis</t>
  </si>
  <si>
    <t>Dus, Botol @ 120 Spray</t>
  </si>
  <si>
    <t>gangguan hati, tuberkulosis, operasi nasa, glaukoma, Ibu Hamil dan menyusui,katarak</t>
  </si>
  <si>
    <t>HARUS DENGAN RESEP DOKTER. glaukoma, asma akut, imunosupresi</t>
  </si>
  <si>
    <t>fluticasone furoate</t>
  </si>
  <si>
    <t>rhinorrhea , hidung tersumbat gatal , alergi rinitis</t>
  </si>
  <si>
    <t>avamys nasal</t>
  </si>
  <si>
    <t>avamys nasal suspensi fluticasone furoate rhinorrhea  hidung tersumbat gatal  alergi rinitis</t>
  </si>
  <si>
    <t>gatifloxacin sesquihydrate</t>
  </si>
  <si>
    <t>cendo giflox minidose tetes gatifloxacin sesquihydrate untuk meringankan infeksi mata okular</t>
  </si>
  <si>
    <t>Testpack The Real Testpack</t>
  </si>
  <si>
    <t>Rp9.000 - Rp10.900</t>
  </si>
  <si>
    <t>Tampung sample urine dalam cawan bersih. Disarankan urine pagi hari, karena konsentrasi HCG pada urine paling tinggi. Buka kemasan aluminium foil, keluarkan strip dan celupkan ke dalam sample urine sampai batas garis biru selama 30 detik. Dalam waktu 1-3 menit hasil tes dapat terlihat (Dua garis : Positif, Satu garis : Negatif)</t>
  </si>
  <si>
    <t>Alat tes kehamilan strip</t>
  </si>
  <si>
    <t>Simpan pada suhu 2-30 C, hanya untuk sekali pakai.</t>
  </si>
  <si>
    <t>alat te kehamilan strip</t>
  </si>
  <si>
    <t>testpack the real testpack</t>
  </si>
  <si>
    <t>testpack the real testpack tablet sildenafil citrate alat te kehamilan strip</t>
  </si>
  <si>
    <t>DKL1832005939A1</t>
  </si>
  <si>
    <t>Ventolin Inhaler 100 mcg 200 Doses</t>
  </si>
  <si>
    <t>Rp147.200 - Rp178.100</t>
  </si>
  <si>
    <t>Duduk atau berdiri tegak saat menggunakan inhaler. Kocok inhaler dengan baik sebelum menghirupsnya. Langsung tarik napas perlahan begitu Anda menekan inhaler. Tahan napas selama minimal 10 detik setelah menghirupnya. Tarik dan buang napas perlahan diantara setiap isapan.</t>
  </si>
  <si>
    <t>PENGGUNAAN OBAT INI HARUS SESUAI DENGAN PETUNJUK DOKTER. Dewasa : - Menghilangkan bronkospam akut : 100 atau 200 mcg - Pencegahan alergen atau bronkospasme akibat olahraga : 200 mcg - Terapi kronis : 200 mcg, 4 kali/hari Anak-anak : - Menghilangkan bronkospam akut : 100 mcg - Pencegahan alergen atau bronkospame akibat olahraga : 100 mcg - Terapi kronis : 200 mcg, 4 kali/hari</t>
  </si>
  <si>
    <t>INFORMASI OBAT INI HANYA UNTUK KALANGAN MEDIS. Meredakan serangan atau pencegahan asma ringan, sedang atau berat</t>
  </si>
  <si>
    <t>Dus, Botol @ 200 Dosis</t>
  </si>
  <si>
    <t>Hipersensitivitas.Tdk dapat digunakan utk mengatasi abortus yg mengancam.</t>
  </si>
  <si>
    <t>Obat Wajib Apotek, Obat ini dapat dibeli dan diserahkan apoteker tanpa resep dengan maksimum 1 Botol. Pembelian melebihi batas ini WAJIB RESEP DOKTER. Thyrotoxicosis, hypokalemia. Terutama pd asma akut berat pd penggunaan bersama derivat xantin, steroid, &amp; diuretik. Monitor kadar K serum. Ibu hamil dan menyusui. Kategori kehamilan : A</t>
  </si>
  <si>
    <t>meredakan serangan pencegahan asma ringan , berat</t>
  </si>
  <si>
    <t>ventolin inhaler</t>
  </si>
  <si>
    <t>ventolin inhaler spray salbutamol sulfate meredakan serangan pencegahan asma ringan  berat</t>
  </si>
  <si>
    <t>De-Cough Jeruk Sirup 60 ml</t>
  </si>
  <si>
    <t>Rp24.100 - Rp31.900</t>
  </si>
  <si>
    <t>Anak usia 1-3 tahun : 3 x sehari 1/2 sendok takar Anak usia 3-6 tahun : 3 x sehari 1 sendok takar Anak usia &gt; 6 tahun : 3 x sehari 2 sendok takar</t>
  </si>
  <si>
    <t>decough jeruk sirup de cough orange for children membantu meredakan batuk</t>
  </si>
  <si>
    <t>DKL0516908410A1</t>
  </si>
  <si>
    <t>Omekur 200 mg 10 Tablet</t>
  </si>
  <si>
    <t>Rp4.000 - Rp6.100</t>
  </si>
  <si>
    <t>Sebelum tidur atau sebelum sarapan</t>
  </si>
  <si>
    <t>PENGGUNAAN OBAT INI HARUS SESUAI DENGAN PETUNJUK DOKTER. Dewasa: 3 x sehari 1 tablet. Anak: 2 x sehari 1-2 tablet</t>
  </si>
  <si>
    <t>Pengobatan jangka pendek tukak usus 12 jari yang aktif</t>
  </si>
  <si>
    <t>kanker perut, masalah hati, gangguan ginjal berat, alergi terhadap penghambat H2</t>
  </si>
  <si>
    <t>pengobatan jangka pendek tukak usus 12 jari aktif</t>
  </si>
  <si>
    <t>omekur</t>
  </si>
  <si>
    <t>omekur tablet cimetidine pengobatan jangka pendek tukak usus 12 jari aktif</t>
  </si>
  <si>
    <t>DKI0087100256A1</t>
  </si>
  <si>
    <t>Nasonex Nasal Spray 60 Dosis</t>
  </si>
  <si>
    <t>Rp239.100 - Rp293.700</t>
  </si>
  <si>
    <t>Kocok sebelum digunakan, aplikasikan 2 semprot tiap hidung satu kali sehari, untuk hasil maksimal gunakan setiap hari.</t>
  </si>
  <si>
    <t>PENGGUNAAN OBAT INI HARUS SESUAI DENGAN PETUNJUK DOKTER. Rhinitis alergi musiman atau perenial Dewasa (termasuk lansia) &amp; remaja 2 semprotan di setiap lubang hidung sekali sehari. Pemeliharaan: 1 semprotan di setiap lubang hidung. Maks: 4 semprotan di setiap lubang hidung sekali sehari. Anak 2-11 thn 1 semprot di setiap lubang hidung sekali sehari. Polip hidung Dewasa (termasuk lansia) &amp; remaja 18 thn 2 semprotan di setiap lubang hidung. Setelah gejala cukup terkontrol, kurangi menjadi 2 semprotan di setiap lubang hidung sekali sehari. Rinosinusitis akut 2 semprotan di setiap lubang hidung. Terapi tambahan untuk sinusitis akut Dws (termasuk manula) &amp; remaja 12 thn 2 semprotan di setiap lubang hidung, dapat ditingkatkan menjadi 4 semprotan di setiap lubang hidung jika gejala tidak terkontrol secara memadai.</t>
  </si>
  <si>
    <t>INFORMASI OBAT INI HANYA UNTUK KALANGAN MEDIS. Profilaksis dan terapi rinitis alergi</t>
  </si>
  <si>
    <t>Dus, Botol @ 60 dosis</t>
  </si>
  <si>
    <t>HARUS DENGAN RESEP DOKTER. Jangan digunakan bila ada infeksi lokal dan tidak diobati menyangkut mukosa hidung, jangan menggunakan kortikosteroid nassal.</t>
  </si>
  <si>
    <t>mometasone furoate monohydrate</t>
  </si>
  <si>
    <t>profilaksis terapi rinitis alergi</t>
  </si>
  <si>
    <t>nasonex nasal dosis</t>
  </si>
  <si>
    <t>nasonex nasal dosis spray mometasone furoate monohydrate profilaksis terapi rinitis alergi</t>
  </si>
  <si>
    <t>DKL0334600529A1</t>
  </si>
  <si>
    <t>Dermovel 0.1% Cream 5 g</t>
  </si>
  <si>
    <t>Rp47.500 - Rp59.100</t>
  </si>
  <si>
    <t>Oleskan tipis-tipis pada area yang sakit</t>
  </si>
  <si>
    <t>INFORMASI OBAT INI HANYA UNTUK KALANGAN MEDIS. Meredakan inflamasi dan gatal pada dermatosis yang memberi respon terhadap kortikosteroid</t>
  </si>
  <si>
    <t>HARUS DENGAN RESEP DOKTER. - Kategori Kehamilan : C</t>
  </si>
  <si>
    <t>mometasone furoate</t>
  </si>
  <si>
    <t>meredakan inflamasi gatal dermatosis respon kortikosteroid</t>
  </si>
  <si>
    <t>dermovel cream</t>
  </si>
  <si>
    <t>dermovel cream krim mometasone furoate meredakan inflamasi gatal dermatosis respon kortikosteroid</t>
  </si>
  <si>
    <t>DKL0205030938A1</t>
  </si>
  <si>
    <t>Vectrine Dry Sirup 60 ml</t>
  </si>
  <si>
    <t>Rp68.700 - Rp78.100</t>
  </si>
  <si>
    <t>PENGGUNAAN OBAT INI HARUS SESUAI DENGAN PETUNJUK DOKTER. Dewasa dan anak &gt; 30 kg : 2 x sehari 2 sendok takar 5 mL</t>
  </si>
  <si>
    <t>DKL9910706029A1</t>
  </si>
  <si>
    <t>Mytaderm Cream 5 g</t>
  </si>
  <si>
    <t>Rp6.900 - Rp8.800</t>
  </si>
  <si>
    <t>Krim dioleskan pada area kulit yang sakit/terinfeksi</t>
  </si>
  <si>
    <t>Dermatitis dimana terjadi, diduga atau cenderung terjadi infeksi sekunder</t>
  </si>
  <si>
    <t>Cream 5 Gr X 1 Tube</t>
  </si>
  <si>
    <t>Rosasea, akne vulgaris, dermatitis perioral. Infeksi virus kutaneus primer, infeksi kulit bakteri dan jamur</t>
  </si>
  <si>
    <t>HARUS DENGAN RESEP DOKTER. Penggunaan lama atau berlebihan. Hamil, bayi dan anak &lt; 4 tahun. Hindari kontak dengan mata</t>
  </si>
  <si>
    <t>dermatitis dimana , diduga cenderung infeksi sekunder</t>
  </si>
  <si>
    <t>mytaderm cream</t>
  </si>
  <si>
    <t>mytaderm cream krim betamethasone valerate dermatitis dimana  diduga cenderung infeksi sekunder</t>
  </si>
  <si>
    <t>- DRIED ALUMINIUM HYDROXIDE GEL. SIMETHICONE EMULSION 30%. MAGNESIUM HYDROXIDE</t>
  </si>
  <si>
    <t>dried aluminium hydroxide gel simethicone emulsion 30% magnesium hydroxide</t>
  </si>
  <si>
    <t xml:space="preserve">berlosid suspensi dried aluminium hydroxide gel simethicone emulsion 30 magnesium hydroxide </t>
  </si>
  <si>
    <t>TR202670531</t>
  </si>
  <si>
    <t>Herbakof Stick Pack 15 ml</t>
  </si>
  <si>
    <t>HERBAKOF RASA JAHE</t>
  </si>
  <si>
    <t>Rp3.000 - Rp3.600</t>
  </si>
  <si>
    <t>3 x sehari, 1 stick pack</t>
  </si>
  <si>
    <t>Dus, 5 Stick @ 15 ml</t>
  </si>
  <si>
    <t>herbakof rasa jahe</t>
  </si>
  <si>
    <t>herbakof stick pack</t>
  </si>
  <si>
    <t>herbakof stick pack  herbakof rasa jahe membantu meredakan batuk melegakan tenggorokan</t>
  </si>
  <si>
    <t>DBL2106421563A1</t>
  </si>
  <si>
    <t>Nogaze 40 mg 10 Tablet Kunyah</t>
  </si>
  <si>
    <t>Diberikan sesudah makan. Dikunyah sampai halus.</t>
  </si>
  <si>
    <t>Dewasa : 3 x sehari 2 tablet dikunyah sesudah makan dan sebelum tidur sesuai kebutuhan atau sesuai petunjuk dokter. Dosis maksimal: 500 mg/24 jam dengan anjuran dan pengawasan dokter.</t>
  </si>
  <si>
    <t>Meredakan kembung dan rasa tidak nyaman diperut karena gas yang berlebihan.</t>
  </si>
  <si>
    <t>Dus, 10 Amplop @ 1 Strip @ 10 Tablet Kunyah</t>
  </si>
  <si>
    <t>kombinasi-simethicone powder</t>
  </si>
  <si>
    <t>meredakan kembung tidak nyaman diperut gas</t>
  </si>
  <si>
    <t>nogaze kunyah</t>
  </si>
  <si>
    <t>nogaze kunyah tablet kombinasisimethicone powder meredakan kembung tidak nyaman diperut gas</t>
  </si>
  <si>
    <t>DKL8804203529A1</t>
  </si>
  <si>
    <t>Fasolon Cream 10 g</t>
  </si>
  <si>
    <t>Rp13.000 - Rp30.300</t>
  </si>
  <si>
    <t>PENGGUNAAN OBAT INI HARUS SESUAI DENGAN PETUNJUK DOKTER. Oleskan sehari 2-3x</t>
  </si>
  <si>
    <t>Peradangan lokal, pruritis dan gangguan kulit karena alergi</t>
  </si>
  <si>
    <t>Hipersensitifitas pada komponen obat, penyakit virus dan TBC, infeksi bakteri dan jamur</t>
  </si>
  <si>
    <t>HARUS DENGAN RESEP DOKTER. Penggunaan jangka panjang menyebabkan atrofi local, hidari pemakaian luas dan absorbsi yang besar</t>
  </si>
  <si>
    <t>peradangan lokal , pruritis gangguan kulit alergi</t>
  </si>
  <si>
    <t>fasolon cream</t>
  </si>
  <si>
    <t>fasolon cream krim fluocinolone acetonide peradangan lokal  pruritis gangguan kulit alergi</t>
  </si>
  <si>
    <t>DKL1005044510A1</t>
  </si>
  <si>
    <t>Hytroz 1 mg 10 Tablet</t>
  </si>
  <si>
    <t>Rp39.600 - Rp49.800</t>
  </si>
  <si>
    <t>PENGGUNAAN OBAT INI HARUS SESUAI DENGAN PETUNJUK DOKTER. BPH : Dosis Awal (Dewas): 1x sehari 1 tablet, diminum menjelang tidur malam. Dosis pemeliharaan: 5 mg - 10 mg sekali sehari. Hipertensi: Dosis Awal (Dewas): 1x sehari 1 tablet, diminum menjelang tidur malam</t>
  </si>
  <si>
    <t>INFORMASI OBAT INI HANYA UNTUK KALANGAN MEDIS. Terapi simtomatik Hiperplasia Prostat Jinak (BPH) danHipertensi.</t>
  </si>
  <si>
    <t>HARUS DENGAN RESEP DOKTER. Dapat mengganggu kemampuan mengemudi kendaraan atau menjalankan mesin . Laktasi.</t>
  </si>
  <si>
    <t>terazosin hydrochloride</t>
  </si>
  <si>
    <t>terapi simtomatik hiperplasia prostat jinak bph danhipertensi</t>
  </si>
  <si>
    <t>hytroz</t>
  </si>
  <si>
    <t>hytroz tablet terazosin hydrochloride terapi simtomatik hiperplasia prostat jinak bph danhipertensi</t>
  </si>
  <si>
    <t>- DRIED ALUMINIUM HYDROXIDE GEL. MAGNESIUM HYDROXIDE. SIMETHICONE EMULSION 30%</t>
  </si>
  <si>
    <t>dried aluminium hydroxide gel magnesium hydroxide simethicone emulsion 30%</t>
  </si>
  <si>
    <t xml:space="preserve">berlosid suspensi dried aluminium hydroxide gel magnesium hydroxide simethicone emulsion 30 </t>
  </si>
  <si>
    <t>DKL8513300201A1</t>
  </si>
  <si>
    <t>Lasal 2 mg 10 Kapsul</t>
  </si>
  <si>
    <t>Rp19.800 - Rp21.800</t>
  </si>
  <si>
    <t>Hipersensitif terhadap salbutamol atau obat agonis adrenoreseptor beta-2 lainnya.</t>
  </si>
  <si>
    <t>lasal</t>
  </si>
  <si>
    <t>lasal kapsul salbutamol sulfate bronkospasme jenis asma bronkial  bronkritis kronik  emfisema</t>
  </si>
  <si>
    <t>Transofix</t>
  </si>
  <si>
    <t>Sambungkan transofix ke botol cairan infus dengan cara menusuk tutup pada cairan infus</t>
  </si>
  <si>
    <t>Sebagai transfer set untuk cairan steril atau alat penyambung Plabot</t>
  </si>
  <si>
    <t>Dus @ 50 Piece</t>
  </si>
  <si>
    <t>sebagai transfer set cairan steril alat penyambung plabot</t>
  </si>
  <si>
    <t>transofix</t>
  </si>
  <si>
    <t>transofix larutan povidoneiodine sebagai transfer set cairan steril alat penyambung plabot</t>
  </si>
  <si>
    <t>DKL1015620937A1</t>
  </si>
  <si>
    <t>Rinocet Sirup 60 ml</t>
  </si>
  <si>
    <t>Rp68.900 - Rp72.200</t>
  </si>
  <si>
    <t>Dewasa dan Anak &gt;12th : 1 kali sehari 2 sendok takar (5ml). Anak 2-6th : 1 kali sehari 1 sendok takar (5ml).</t>
  </si>
  <si>
    <t>Rinitis alergi seasonal dan perenial, urticaria idiopatik kronik.</t>
  </si>
  <si>
    <t>Botol 60 ml X 1</t>
  </si>
  <si>
    <t>Pasien yang hipersensitif terhadap cetirizine dan komponen obat ini.</t>
  </si>
  <si>
    <t>Ibu hamil dan menyusui, Pengurangan dosis dianjurkan untuk pasien dengan kerusakan hati dan ginjal.</t>
  </si>
  <si>
    <t>rinitis alergi seasonal perenial , urticaria idiopatik kronik</t>
  </si>
  <si>
    <t>rinocet</t>
  </si>
  <si>
    <t>rinocet sirup cetirizine hydrochloride rinitis alergi seasonal perenial  urticaria idiopatik kronik</t>
  </si>
  <si>
    <t>DKL0121201550A1</t>
  </si>
  <si>
    <t>Flagystatin 5 Ovula</t>
  </si>
  <si>
    <t>Rp116.400 - Rp132.600</t>
  </si>
  <si>
    <t>Dus, 2 Strip @ 5 Ovula</t>
  </si>
  <si>
    <t>flagystatin</t>
  </si>
  <si>
    <t>flagystatin ovula metronidazole nystatin infeksi vagina campuran trichomonas vaginalis candida albicans</t>
  </si>
  <si>
    <t>Hansaplast Kain Elastis Fun 10 Lembar</t>
  </si>
  <si>
    <t>Pack isi 10 lembar</t>
  </si>
  <si>
    <t>hansaplast kain elastis fun lembar</t>
  </si>
  <si>
    <t>hansaplast kain elastis fun lembar larutan povidoneiodine penutup luka  mencegah infeksi</t>
  </si>
  <si>
    <t>DKI1406000310A1</t>
  </si>
  <si>
    <t>Rupafin 10 mg 10 Tablet</t>
  </si>
  <si>
    <t>Dapat dikonsumsi bersamaan / tanpa makanan.</t>
  </si>
  <si>
    <t>PENGGUNAAN OBAT INI HARUS SESUAI DENGAN PETUNJUK DOKTER. 1 tablet sehari sekali.</t>
  </si>
  <si>
    <t>INFORMASI OBAT INI HANYA UNTUK KALANGAN MEDIS. Mengatasi gejala alergi pada remaja mulai dari usia 12 tahun ke atas dan dewasa</t>
  </si>
  <si>
    <t>10 Tablet / Box</t>
  </si>
  <si>
    <t>HARUS DENGAN RESEP DOKTER. Ibu hamil dan menyusui, kecuali diindikasikan/diresepkan oleh dokter, pasien dengan riwayat intoleransi laktosa, pasien dengan Insufisiensi ginjal atau hati, anak dibawah 12 tahun, lansia</t>
  </si>
  <si>
    <t>rupatadine fumarate</t>
  </si>
  <si>
    <t>mengatasi gejala alergi remaja usia 12 dewasa</t>
  </si>
  <si>
    <t>rupafin</t>
  </si>
  <si>
    <t>rupafin tablet rupatadine fumarate mengatasi gejala alergi remaja usia 12 dewasa</t>
  </si>
  <si>
    <t>DKL0122232010A1</t>
  </si>
  <si>
    <t>Preabor 5 mg 10 Tablet</t>
  </si>
  <si>
    <t>Rp43.200 - Rp53.300</t>
  </si>
  <si>
    <t>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t>
  </si>
  <si>
    <t>Mencegah ancaman abortus, ancaman kelahiran prematur, dan abortus habitulasi</t>
  </si>
  <si>
    <t>HARUS DENGAN RESEP DOKTER. Penderita diabetes</t>
  </si>
  <si>
    <t>mencegah ancaman abortus , ancaman kelahiran prematur , abortus habitulasi</t>
  </si>
  <si>
    <t>preabor</t>
  </si>
  <si>
    <t>preabor tablet allylestrenol mencegah ancaman abortus  ancaman kelahiran prematur  abortus habitulasi</t>
  </si>
  <si>
    <t>DKL8603805546A1</t>
  </si>
  <si>
    <t>Cendo Polypred Minidose 0.6ml</t>
  </si>
  <si>
    <t>Rp21.300 - Rp24.800</t>
  </si>
  <si>
    <t>PENGGUNAAN OBAT INI HARUS SESUAI DENGAN PETUNJUK DOKTER. 4-5 kali sehari 1-2 tetes pada mata yang sakit, memasang lensa kontak 1-2 tetes di bagian dalam lensa kontak</t>
  </si>
  <si>
    <t>Tetes mata steril untuk infeksi mata.</t>
  </si>
  <si>
    <t>neomycin sulfate</t>
  </si>
  <si>
    <t>tetes mata steril infeksi mata</t>
  </si>
  <si>
    <t>cendo polypred minidose</t>
  </si>
  <si>
    <t>cendo polypred minidose tetes neomycin sulfate tetes mata steril infeksi mata</t>
  </si>
  <si>
    <t>DKL0633208233A1</t>
  </si>
  <si>
    <t>Profat 500 mg/5 ml Suspensi 100 ml</t>
  </si>
  <si>
    <t>Rp55.700 - Rp84.000</t>
  </si>
  <si>
    <t>1 jam sblm makan &amp; menjelang tidur</t>
  </si>
  <si>
    <t>PENGGUNAAN OBAT INI HARUS SESUAI DENGAN PETUNJUK DOKTER. Dewasa 2 sdt 4 x/hr. Lama terapi: 4-8 minggu.</t>
  </si>
  <si>
    <t>Tukak/ulkus usus halus untuk terapi maksimal 8 minggu</t>
  </si>
  <si>
    <t>HARUS DENGAN RESEP DOKTER. Gagal ginjal kronik, pasien dialisis. Hamil, laktasi. Bila perlu, antasid dapat diberikan dalam waktu 1/2 jam sebelum atau sesudah pemberian dosis. Anak.</t>
  </si>
  <si>
    <t>tukak ulkus usus halus terapi maksimal 8 minggu</t>
  </si>
  <si>
    <t>profat</t>
  </si>
  <si>
    <t>profat suspensi sucralfate tukak ulkus usus halus terapi maksimal 8 minggu</t>
  </si>
  <si>
    <t>DKL9931519403A1</t>
  </si>
  <si>
    <t>Prazotec 30 mg 10 Kapsul</t>
  </si>
  <si>
    <t>Rp168.900 - Rp191.900</t>
  </si>
  <si>
    <t>hipersensitif terhadap lansoprazol</t>
  </si>
  <si>
    <t>lansoprazole pellet</t>
  </si>
  <si>
    <t>prazotec</t>
  </si>
  <si>
    <t>prazotec kapsul lansoprazole pellet pengobatan ulkus duodenum  tukak lambung  refluks esofagitis</t>
  </si>
  <si>
    <t>DKL1932720510A1</t>
  </si>
  <si>
    <t>Vergo 24 mg 10 Tablet</t>
  </si>
  <si>
    <t>Rp101.700 - Rp118.600</t>
  </si>
  <si>
    <t>INFORMASI OBAT INI HANYA UNTUK KALANGAN MEDIS. Mengobati Vertigo, Tinitus, serta ketulian yang berhubungan dengan sindrom Meniere</t>
  </si>
  <si>
    <t>Dus, 3 blister @ 10 tablet</t>
  </si>
  <si>
    <t>betahistine hydrochloride</t>
  </si>
  <si>
    <t>mengobati vertigo , tinitus , ketulian berhubungan sindrom meniere</t>
  </si>
  <si>
    <t>vergo</t>
  </si>
  <si>
    <t>vergo tablet betahistine hydrochloride mengobati vertigo  tinitus  ketulian berhubungan sindrom meniere</t>
  </si>
  <si>
    <t>DKL0828604829A1</t>
  </si>
  <si>
    <t>Refaquin Cream 15 g</t>
  </si>
  <si>
    <t>Rp75.800 - Rp107.700</t>
  </si>
  <si>
    <t>Oleskan tipis-tipis pada bagian wajah</t>
  </si>
  <si>
    <t>PENGGUNAAN OBAT INI HARUS SESUAI DENGAN PETUNJUK DOKTER. Oleskan tipis-tipis 1 kali sehari pada daerah melasma, 30 menit sebelum tidur malam</t>
  </si>
  <si>
    <t>INFORMASI OBAT INI HANYA UNTUK KALANGAN MEDIS. Terapi jangka pendek untuk Melasma derajat sedang hingga berat</t>
  </si>
  <si>
    <t>Dus, Tube @ 15 g</t>
  </si>
  <si>
    <t>hipersensitif, hamil, anak usia di bawah 12 tahun penderita herpes simplex, varicella, TB kulit, dan dermatitis yang disebabkan oleh sifilis</t>
  </si>
  <si>
    <t>HARUS DENGAN RESEP DOKTER. Tidak untuk terapi pemeliharaan melasma. Hindari paparan terhadap sinar matahari, kontak dengan mata, hidung, atau mulut. Penggunaan bersama dengan kontrasepsi oral Kategori Kehamilan : C</t>
  </si>
  <si>
    <t>terapi jangka pendek melasma derajat berat</t>
  </si>
  <si>
    <t>refaquin cream</t>
  </si>
  <si>
    <t>refaquin cream krim fluocinolone acetonide terapi jangka pendek melasma derajat berat</t>
  </si>
  <si>
    <t>Omron Compressor Nebulizer Ne-C101</t>
  </si>
  <si>
    <t>Rp582.200 - Rp730.200</t>
  </si>
  <si>
    <t>Baca buku petunjuk pemakaian</t>
  </si>
  <si>
    <t>Alat bantu untuk terapi kesehatan pernapasan</t>
  </si>
  <si>
    <t>Dus @ 1 Unit</t>
  </si>
  <si>
    <t>Simpan dalam wadah kering yang tertutup pada suhu ruangan dan terhindar dari sinar matahari langsung</t>
  </si>
  <si>
    <t>alat bantu terapi kesehatan pernapasan</t>
  </si>
  <si>
    <t>omron compressor nebulizer nec</t>
  </si>
  <si>
    <t>omron compressor nebulizer nec larutan povidoneiodine alat bantu terapi kesehatan pernapasan</t>
  </si>
  <si>
    <t>DKL1812429217A1</t>
  </si>
  <si>
    <t>Kifovir/Ricovir 300 mg 30 Tablet</t>
  </si>
  <si>
    <t>Rp725.200 - Rp725.900</t>
  </si>
  <si>
    <t>PENGGUNAAN OBAT INI HARUS SESUAI DENGAN PETUNJUK DOKTER. 300 mg 1 x/hari.</t>
  </si>
  <si>
    <t>Monoterapi atau dalam kombinasi dengan virus hepatitis B kronik.</t>
  </si>
  <si>
    <t>HARUS DENGAN RESEP DOKTER. Wanita hamil.</t>
  </si>
  <si>
    <t>tenofovir disoproxil fumarate</t>
  </si>
  <si>
    <t>monoterapi kombinasi virus hepatitis b kronik</t>
  </si>
  <si>
    <t>kifovirricovir</t>
  </si>
  <si>
    <t>kifovirricovir tablet tenofovir disoproxil fumarate monoterapi kombinasi virus hepatitis b kronik</t>
  </si>
  <si>
    <t>Refaquin cream 10 g</t>
  </si>
  <si>
    <t>Rp54.800 - Rp66.500</t>
  </si>
  <si>
    <t>Hipersensitif, hamil, anak usia di bawah 12 tahun penderita herpes simplex, varicella, TB kulit, dan dermatitis yang disebabkan oleh sifilis</t>
  </si>
  <si>
    <t>TR153387421</t>
  </si>
  <si>
    <t>Kapsida Kembang Bulan 12 Kapsul</t>
  </si>
  <si>
    <t>KAPSIDA KEMBANG BULAN</t>
  </si>
  <si>
    <t>Rp16.600 - Rp18.700</t>
  </si>
  <si>
    <t>Membantu meringankan gatal-gatal, bisul, koreng dan jerawat</t>
  </si>
  <si>
    <t>Dus, Botol @ 12 Kapsul</t>
  </si>
  <si>
    <t>simpan ditempat sejuk, tidak untuk anak-anak</t>
  </si>
  <si>
    <t>kapsida kembang bulan</t>
  </si>
  <si>
    <t>membantu meringankan gatal - gatal , bisul , koreng jerawat</t>
  </si>
  <si>
    <t>kapsida kembang bulan kapsul membantu meringankan gatal  gatal  bisul  koreng jerawat</t>
  </si>
  <si>
    <t>Woman Choice Test Kehamilan Strip</t>
  </si>
  <si>
    <t>Keluarkan alat tes dari pembungkus. Tampung urine dalam wadah urine yang anda dapatkan satu paket dengan Women Choice Strip dan celupkan strip kedalam urine. Jangan melebih batas maksimal (Garis dibawah tanda panah). Angkat strip setelah 10 detik. Letakkan pada bidang datar yang bersih dan kering. Baca hasil tes dalam waktu 40 detik. Untuk memastikan hasil negatif tunggu hingga 5 menit. Tidak dianjurkan membaca hasil tes jika telah lebih dari 30 menit.</t>
  </si>
  <si>
    <t>Alat tes kehamilan.</t>
  </si>
  <si>
    <t>alat te kehamilan</t>
  </si>
  <si>
    <t>woman choice test kehamilan strip</t>
  </si>
  <si>
    <t>woman choice test kehamilan strip tablet sildenafil citrate alat te kehamilan</t>
  </si>
  <si>
    <t>DBL8106401137A1</t>
  </si>
  <si>
    <t>Erphamol Sirup 60 ml</t>
  </si>
  <si>
    <t>Rp16.300 - Rp17.500</t>
  </si>
  <si>
    <t>Demam, sakit kepala, sakit gigi, dismenore, nyeri otot</t>
  </si>
  <si>
    <t>demam , sakit kepala , sakit gigi , dismenore , nyeri otot</t>
  </si>
  <si>
    <t>erphamol</t>
  </si>
  <si>
    <t>erphamol sirup paracetamol demam  sakit kepala  sakit gigi  dismenore  nyeri otot</t>
  </si>
  <si>
    <t>TR202391971</t>
  </si>
  <si>
    <t>Ultihealth Habbatussauda 500 mg 30 Kapsul Lunak</t>
  </si>
  <si>
    <t>ULTIHEALTH HABBATUSSAUDA 500 MG</t>
  </si>
  <si>
    <t>Rp75.200 - Rp93.700</t>
  </si>
  <si>
    <t>3 x sehari 1-3 kapsul lunak</t>
  </si>
  <si>
    <t>Membantu menjaga kesehatan.</t>
  </si>
  <si>
    <t>Botol @ 30 Kapsul Lunak</t>
  </si>
  <si>
    <t>ultihealth habbatussauda 500 mg</t>
  </si>
  <si>
    <t>membantu menjaga kesehatan</t>
  </si>
  <si>
    <t>ultihealth habbatussauda lunak</t>
  </si>
  <si>
    <t>ultihealth habbatussauda lunak kapsul ultihealth habbatussauda 500 mg membantu menjaga kesehatan</t>
  </si>
  <si>
    <t>GKL1605052210A1</t>
  </si>
  <si>
    <t>Methisoprinol 500 mg 10 Tablet</t>
  </si>
  <si>
    <t>Rp37.100 - Rp42.500</t>
  </si>
  <si>
    <t>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t>
  </si>
  <si>
    <t>INFORMASI OBAT INI HANYA UNTUK KALANGAN MEDIS. Imunomodulator pada infeksi virus &amp; untuk kondisi sistem imun/daya tahan tubuh yang kurang baik</t>
  </si>
  <si>
    <t>Dus, 5 strip @ 10 tablet</t>
  </si>
  <si>
    <t>HARUS DENGAN RESEP DOKTER. Pantau kadar asam urat serum pada pasien dengan/ gout, urolitiasis dan disfungsi ginjal. Hati-hati penggunaan pada pasien dengan penyakit jantung yang mendapat terapi digitalis</t>
  </si>
  <si>
    <t>imunomodulator infeksi virus kondisi sistem imun daya tahan tubuh</t>
  </si>
  <si>
    <t>methisoprinol tablet imunomodulator infeksi virus kondisi sistem imun daya tahan tubuh</t>
  </si>
  <si>
    <t>Hansaplast Rol Kain 1,25 cm x 4,5 m</t>
  </si>
  <si>
    <t>Rp9.000 - Rp12.300</t>
  </si>
  <si>
    <t>Perban dianjurkan untuk digunakan pada kulit yang kering dan bersih. Sebelum pemakaian, bersihkan kulit dari kotoran dan keringkan dengan perlahan. Selanjutnya, perban dapat merekat dengan kuat dan aman. Jangan digunakan dibawah tekanan. Lepas plester searah dengan pertumbuhan rambut untuk mencegah rasa sakit.</t>
  </si>
  <si>
    <t>Perekat verban penutup luka</t>
  </si>
  <si>
    <t>Roll 1,25Cm X 4,4 M</t>
  </si>
  <si>
    <t>perekat verban penutup luka</t>
  </si>
  <si>
    <t>hansaplast rol kain x m</t>
  </si>
  <si>
    <t>hansaplast rol kain x m larutan povidoneiodine perekat verban penutup luka</t>
  </si>
  <si>
    <t>Sensi Underpad 10 Pieces</t>
  </si>
  <si>
    <t>Rp40.100 - Rp51.500</t>
  </si>
  <si>
    <t>Gunakan seperti perlak pada umumnya</t>
  </si>
  <si>
    <t>Alas yang dapat menyerap dan menahan cairan dengan cepat dan mudah.</t>
  </si>
  <si>
    <t>Pack isi 10</t>
  </si>
  <si>
    <t>alas menyerap menahan cairan cepat mudah</t>
  </si>
  <si>
    <t>sensi underpad pieces</t>
  </si>
  <si>
    <t>sensi underpad pieces larutan povidoneiodine alas menyerap menahan cairan cepat mudah</t>
  </si>
  <si>
    <t>DKL9017606410B1</t>
  </si>
  <si>
    <t>Internolol 50 mg 10 Tablet</t>
  </si>
  <si>
    <t>Rp30.000 - Rp55.000</t>
  </si>
  <si>
    <t>PENGGUNAAN OBAT INI HARUS SESUAI DENGAN PETUNJUK DOKTER. Aritmia dan Angina : 1 tablet perhari, dapat ditingkatkan hingga 2-4 tablet perhari. HTN/Hipertensi : 0.5 tablet perhari, dapat ditingkat</t>
  </si>
  <si>
    <t>Hipertensi, Angina Pektoris &amp; disritmia kordis, Infark Miokard akut</t>
  </si>
  <si>
    <t>Blok jantung derajat 2 dan 3, syok kardiogenik.</t>
  </si>
  <si>
    <t>HARUS DENGAN RESEP DOKTER. Hamil dan laktasi, gagal jantung, penyakit obstruksi jalan nafas pada anestesi kronik atau asma.</t>
  </si>
  <si>
    <t>hipertensi , angina pektoris disritmia kordis , infark miokard akut</t>
  </si>
  <si>
    <t>internolol</t>
  </si>
  <si>
    <t>internolol tablet atenolol hipertensi  angina pektoris disritmia kordis  infark miokard akut</t>
  </si>
  <si>
    <t>DKL9916109617A1</t>
  </si>
  <si>
    <t>Xepalium 5 mg 10 Tablet</t>
  </si>
  <si>
    <t>Rp68.400 - Rp78.300</t>
  </si>
  <si>
    <t>PENGGUNAAN OBAT INI HARUS SESUAI DENGAN PETUNJUK DOKTER. 10 mg/hari, dosis tunggal atau terbagi.</t>
  </si>
  <si>
    <t>Profilaxis Migren, gangguan vaskular Vestibular, Serebral &amp; Periferal.</t>
  </si>
  <si>
    <t>Dus, 5 Strip @ 10 Tablet salut selaput</t>
  </si>
  <si>
    <t>Penderita dengan riwayat depresi, parkinson, atau sdg menjalani terapi dengan penyekat ?.</t>
  </si>
  <si>
    <t>HARUS DENGAN RESEP DOKTER. Hamil.</t>
  </si>
  <si>
    <t>profilaxis migren , gangguan vaskular vestibular , serebral periferal</t>
  </si>
  <si>
    <t>xepalium</t>
  </si>
  <si>
    <t>xepalium tablet flunarizine hydrochloride profilaxis migren  gangguan vaskular vestibular  serebral periferal</t>
  </si>
  <si>
    <t>DKL0633207503A1</t>
  </si>
  <si>
    <t>Lagas 30 mg 10 Kapsul</t>
  </si>
  <si>
    <t>Rp125.500 - Rp227.300</t>
  </si>
  <si>
    <t>patah tulang, kekurangan vitamin B12, gangguan hati serius, kekurangan magnesium dalam darah, osteoporosis.</t>
  </si>
  <si>
    <t>HARUS DENGAN RESEP DOKTER. Singkirkan kemungkinan adanya keganasan lambung sebelum terapi. Hamil, laktasi,anak, Sirosis hati. Dosis tidak boleh &gt; 30 mg/hari</t>
  </si>
  <si>
    <t>lagas</t>
  </si>
  <si>
    <t>lagas kapsul lansoprazole pellet tukak duodenum  tukak lambung jinak  refluks esofagitis</t>
  </si>
  <si>
    <t>DKL0203808346A1</t>
  </si>
  <si>
    <t>Cendo Tobroson Eye Drops 5 ml</t>
  </si>
  <si>
    <t>Rp63.800 - Rp72.500</t>
  </si>
  <si>
    <t>teteskan pada kantung konjungtiva</t>
  </si>
  <si>
    <t>PENGGUNAAN OBAT INI HARUS SESUAI DENGAN PETUNJUK DOKTER. 1-2 tetes, setiap 4-6 jam, dapat ditingkatkan tiap 2 jamselama 24-48 jam pertama</t>
  </si>
  <si>
    <t>INFORMASI OBAT INI HANYA UNTUK KALANGAN MEDIS. Infeksi mata yang disebabkan bakteri yang membutuhkan kortikosteroid</t>
  </si>
  <si>
    <t>hipersensitif, infeksi jamur sistemik</t>
  </si>
  <si>
    <t>HARUS DENGAN RESEP DOKTER. diabetes, kehamilan, menyusui, hipertensi, jantung</t>
  </si>
  <si>
    <t>infeksi mata disebabkan bakteri membutuhkan kortikosteroid</t>
  </si>
  <si>
    <t>cendo tobroson eye</t>
  </si>
  <si>
    <t>cendo tobroson eye tetes dexamethasone infeksi mata disebabkan bakteri membutuhkan kortikosteroid</t>
  </si>
  <si>
    <t>Dermovel 0.1% Cream 10 g</t>
  </si>
  <si>
    <t>Rp96.900 - Rp107.200</t>
  </si>
  <si>
    <t>Dioles pada bagian yang sakit</t>
  </si>
  <si>
    <t>Dus, 1 tube @ 5 g</t>
  </si>
  <si>
    <t>Hipersensitif, pasien yang memiliki penyakit infeksi virus kulit seperti campak, cacar dan herpes. Pasien yang memiliki penyakit infeksi jamur kulit seperti candisiasis kulit, panu, kurap. Pasien yang memiliki tuberculisis kulit.</t>
  </si>
  <si>
    <t>hufallerzine sirup promethazine hydrochloride guaifenesin sebagai antihistamin ekspektoran  meredakan batuk alergi</t>
  </si>
  <si>
    <t>DKL1211642333A1</t>
  </si>
  <si>
    <t>Kalpepsa 500 mg Suspensi 100 ml</t>
  </si>
  <si>
    <t>kalpepsa</t>
  </si>
  <si>
    <t>kalpepsa suspensi sucralfate suspension gastritis  tukak lambung  tukak usus 12 jari</t>
  </si>
  <si>
    <t>DKL1818831417B1</t>
  </si>
  <si>
    <t>Vomigo 8 mg 10 Tablet</t>
  </si>
  <si>
    <t>Rp243.900 - Rp298.400</t>
  </si>
  <si>
    <t>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t>
  </si>
  <si>
    <t>Mual dan muntah akibat kemoterapi dan radioterapi serta operasi</t>
  </si>
  <si>
    <t>Box, 1 Strip @ 10 Tablet</t>
  </si>
  <si>
    <t>Hipersensitivitas. Sindrom QT panjang bawaan. Penggunaan bersamaan dengan apomorphine.</t>
  </si>
  <si>
    <t>ondansetron hydrochloride dihydrate</t>
  </si>
  <si>
    <t>mual muntah akibat kemoterapi radioterapi operasi</t>
  </si>
  <si>
    <t>vomigo</t>
  </si>
  <si>
    <t>vomigo tablet ondansetron hydrochloride dihydrate mual muntah akibat kemoterapi radioterapi operasi</t>
  </si>
  <si>
    <t>TR173306581</t>
  </si>
  <si>
    <t>Menses 18 Kapsul</t>
  </si>
  <si>
    <t>MENSES</t>
  </si>
  <si>
    <t>Rp24.200 - Rp44.800</t>
  </si>
  <si>
    <t>Membantu Melancarkan Haid dan Meredakan Rasa Nyeri Pada Saat Haid</t>
  </si>
  <si>
    <t>menses</t>
  </si>
  <si>
    <t>membantu melancarkan haid meredakan rasa nyeri pada saat haid</t>
  </si>
  <si>
    <t>menses kapsul membantu melancarkan haid meredakan rasa nyeri pada saat haid</t>
  </si>
  <si>
    <t>TR212365441</t>
  </si>
  <si>
    <t>Air Mancur Prolinu 500 mg 4 Kapsul</t>
  </si>
  <si>
    <t>AIR MANCUR PROLINU</t>
  </si>
  <si>
    <t>1 x sehari 2 kapsul</t>
  </si>
  <si>
    <t>Membantu meredakan pegal linu dan membantu menyegarkan badan.</t>
  </si>
  <si>
    <t>Dus, 10 Catch Cover @ Strip @ 4 Kapsul</t>
  </si>
  <si>
    <t>air mancur prolinu</t>
  </si>
  <si>
    <t>membantu meredakan pegal linu membantu menyegarkan badan</t>
  </si>
  <si>
    <t>air mancur prolinu kapsul membantu meredakan pegal linu membantu menyegarkan badan</t>
  </si>
  <si>
    <t>Air Mancur Prolinu 500 mg 40 Kapsul</t>
  </si>
  <si>
    <t>Rp48.000 - Rp49.100</t>
  </si>
  <si>
    <t>DTL0209316637A1</t>
  </si>
  <si>
    <t>Obhdryl Sirup 100 ml</t>
  </si>
  <si>
    <t>Rp14.900 - Rp16.100</t>
  </si>
  <si>
    <t>bersama atau tanpa makanan.</t>
  </si>
  <si>
    <t>Dws 2 sendok teh 3 - 4 x/hari. Anak 6-10 thn 1 sdt 3 x/hari.</t>
  </si>
  <si>
    <t>Ekspektoran untuk batuk yang disebabkan krn dahak berlebihan &amp; batuk krn alergi.</t>
  </si>
  <si>
    <t>Botol Sirup 100 ml x 1</t>
  </si>
  <si>
    <t>Gangguan ginjal. Hamil, laktasi, anak &lt;2 tahun. Dpt mengganggu kemampuan mengemudi atau menjalankan mesin.</t>
  </si>
  <si>
    <t>ekspektoran batuk disebabkan krn dahak batuk krn alergi</t>
  </si>
  <si>
    <t>obhdryl</t>
  </si>
  <si>
    <t>obhdryl sirup alcohol ekspektoran batuk disebabkan krn dahak batuk krn alergi</t>
  </si>
  <si>
    <t>DTL9408001965A1</t>
  </si>
  <si>
    <t>Fungasol Ss 2% Shampoo 80 ml</t>
  </si>
  <si>
    <t>Usapkan kurang lebih 5 ml FUNGASOL SS 2% tiap kali pemakaian dan biarkan 3 sampai 5 menit sebelum dibilas.</t>
  </si>
  <si>
    <t>Tahap pengobatan : Gunakan 2 kali seminggu selama 2 sampai 4 minggu. Untuk perawatan : Gunakan 1 kali setiap 1 atau 2 minggu.</t>
  </si>
  <si>
    <t>membantu menangani infeksi jamur serta mengatasi ketombe.</t>
  </si>
  <si>
    <t>Dus, Botol @ 80 ml</t>
  </si>
  <si>
    <t>Penyakit hati akut, meningitis kriptokokus.</t>
  </si>
  <si>
    <t>Kategori Kehamilan : C</t>
  </si>
  <si>
    <t>membantu menangani infeksi jamur mengatasi ketombe</t>
  </si>
  <si>
    <t>fungasol ss shampoo</t>
  </si>
  <si>
    <t>fungasol ss shampoo krim ketoconazole membantu megani infeksi jamur mengatasi ketombe</t>
  </si>
  <si>
    <t>DKL1818831417A1</t>
  </si>
  <si>
    <t>Vomigo 4 mg 10 Tablet</t>
  </si>
  <si>
    <t>Rp154.000 - Rp213.200</t>
  </si>
  <si>
    <t>Oto Underpad 10 Pieces</t>
  </si>
  <si>
    <t>Alas untuk menyerap cairan dari tubuh terhadap kebocoran di tempat tidur.</t>
  </si>
  <si>
    <t>Pack isi 12</t>
  </si>
  <si>
    <t>alas menyerap cairan tubuh kebocoran tidur</t>
  </si>
  <si>
    <t>oto underpad pieces</t>
  </si>
  <si>
    <t>oto underpad pieces larutan povidoneiodine alas menyerap cairan tubuh kebocoran tidur</t>
  </si>
  <si>
    <t>Confidence Adult Classic Night XL 6 Pieces</t>
  </si>
  <si>
    <t>confidence adult classic night xl pieces</t>
  </si>
  <si>
    <t>confidence adult classic night xl pieces larutan povidoneiodine popok celana dewasa</t>
  </si>
  <si>
    <t>hufabethamin sirup betamethasone dexchlorpheniramine maleate pengobatan alergi inflamasi membutuhkan terapi kortikosteroid</t>
  </si>
  <si>
    <t>TR142380091</t>
  </si>
  <si>
    <t>Herbatia Sari Putih 30 Kapsul</t>
  </si>
  <si>
    <t>HERBATIA-SARI PUTIH</t>
  </si>
  <si>
    <t>Rp54.200 - Rp68.900</t>
  </si>
  <si>
    <t>Dikonsumsi sesudah makan. - Penggunaan Sari Putih dapat dihentikan sementara selama periode menstruasi.</t>
  </si>
  <si>
    <t>Membantu mengurangi lendir yang berlebihan pada daerah kewanitaan.</t>
  </si>
  <si>
    <t>Tidak untuk digunakan oleh wanita hamil</t>
  </si>
  <si>
    <t>Tidak dianjurkan untuk digunakan oleh wanita hamil. Untuk kasus keputihan tingkat lanjut yang serius harap konsultasi dengan dokter.</t>
  </si>
  <si>
    <t>herbatia-sari putih</t>
  </si>
  <si>
    <t>herbatia sari putih</t>
  </si>
  <si>
    <t>herbatia sari putih kapsul herbatiasari putih membantu mengurangi lendir daerah kewanitaan</t>
  </si>
  <si>
    <t>TR162398021</t>
  </si>
  <si>
    <t>Hibumin 30 Kapsul</t>
  </si>
  <si>
    <t>HIBUMIN</t>
  </si>
  <si>
    <t>Rp211.200 - Rp235.100</t>
  </si>
  <si>
    <t>1-2 kapsul, diminum 3 kali sehari.</t>
  </si>
  <si>
    <t>Membantu memelihara kesehatan tubuh dan membantu mempercepat proses penyembuhan luka.</t>
  </si>
  <si>
    <t>Dus, 3 Strip @ 10 kapsul</t>
  </si>
  <si>
    <t>hibumin</t>
  </si>
  <si>
    <t>membantu memelihara kesehatan tubuh membantu mempercepat prose penyembuhan luka</t>
  </si>
  <si>
    <t>hibumin kapsul membantu memelihara kesehatan tubuh membantu mempercepat prose penyembuhan luka</t>
  </si>
  <si>
    <t>DKL1032404103A1</t>
  </si>
  <si>
    <t>Caprazol 30 mg 10 Kapsul</t>
  </si>
  <si>
    <t>Rp106.400 - Rp177.600</t>
  </si>
  <si>
    <t>Diberikan sebelum atau 1 jam sesudah makaan</t>
  </si>
  <si>
    <t>Dus, 2 Strip @ 10 Kapsul Lepas Lambat</t>
  </si>
  <si>
    <t>HARUS DENGAN RESEP DOKTER. Pasien dengan gangguan hati, lanjut usia, wanita hamil dan menyusui, anak. Kemungkinan adanya keganasan harus disingkirkan dahulu jika ada dugaan tukak lambung</t>
  </si>
  <si>
    <t>caprazol</t>
  </si>
  <si>
    <t>caprazol kapsul lansoprazole pellet tukak duodenum  tukak lambung jinak  refluks esofagitis</t>
  </si>
  <si>
    <t>TI204559521</t>
  </si>
  <si>
    <t>Himalaya Septilin 100 Tablet</t>
  </si>
  <si>
    <t>HIMALAYA SEPTILIN TABLET</t>
  </si>
  <si>
    <t>Rp154.900 - Rp181.100</t>
  </si>
  <si>
    <t>Anak-anak: 2 x 1 tablet sehari, Dewasa: 2 x 2 tablet sehari sampai gejala mereda dan dapat dilanjutkan 2 x 1 tablet sehari untuk terapi pemeliharaan</t>
  </si>
  <si>
    <t>Dus, Botol @ 100 tablet</t>
  </si>
  <si>
    <t>Tidak dianjurkan untuk wanita hamil trimester awal</t>
  </si>
  <si>
    <t>himalaya septilin tablet</t>
  </si>
  <si>
    <t>himalaya septilin</t>
  </si>
  <si>
    <t>himalaya septilin tablet himalaya septilin tablet membantu memelihara daya tahan tubuh</t>
  </si>
  <si>
    <t>DKL1011640438A1</t>
  </si>
  <si>
    <t>Vestein 175 mg/5 ml Dry Syrup 60 ml</t>
  </si>
  <si>
    <t>Rp74.100 - Rp91.300</t>
  </si>
  <si>
    <t>Untuk merekonstitusi, kocok botol yang mengandung serbuk VESTEIN DS dan secara perlahan tambahkan air ke dalam botol sampai batas, lalu tutup kembali dan kocok dengan baik sampai seluruh serbuk larut. Selalu kocok dengan baik sebelum digunakan. VESTEIN DS yang telah direkonstitusi untuk suspensi oral stabil selama 7 hari pada suhu di bawah 30 C dan terlindung dari cahaya. Simpan botol dalam kondisi tertutup rapat. Buang larutan yang tidak digunakan setelah 7 hari.</t>
  </si>
  <si>
    <t>PENGGUNAAN OBAT INI HARUS SESUAI DENGAN PETUNJUK DOKTER. Dewasa dan anak dengan berat badan di bawah 30 kg: 10 mL (2 sendok takar), diberikan 2 kali per hari. Anak dengan berat badan 20 - 30 kg: 5 mL (1 sendok takar), diberikan 3 kali per hari. Anak dengan berat badan 15 - 19 kg : 5 mL (1 sendok takar), diberikan 2 kali per hari.</t>
  </si>
  <si>
    <t>INFORMASI OBAT INI HANYA UNTUK KALANGAN MEDIS. Mukolitik, pengencer dahak pada penyakit saluran nafas akut dan kronik.</t>
  </si>
  <si>
    <t>- Alergi terhadap salah satu komponen obat ini. - Penderita kelainan hati berat. - Pasien dengan bersihan kreatinin &lt; 25 ml/menit, penderita penurunan fungsi ginjal parah. - Penderita ulserasi peptik aktif.</t>
  </si>
  <si>
    <t>HARUS DENGAN RESEP DOKTER. - Pemakaian pada penderita kelainan hati ringan sebaiknya tidak melebihi dosis 300 mg per hari. - Tidak direkomendasikan untuk diberikan pada ibu hamil atau ibu menyusui kecuali atas petunjuk dokter. - Hentikan pengobatan bila timbul efek samping obat dan segera konsultasi ke dokter. - Erdosteine memiliki pengaruh yang sangat kecil terhadap kemampuan mengemudi.</t>
  </si>
  <si>
    <t>vestein sirup erdosteine mukolitik  pengencer dahak penyakit saluran nafas akut kronik</t>
  </si>
  <si>
    <t>DKL0717809133A1</t>
  </si>
  <si>
    <t>Vomecho 5mg/5ml Suspensi 60ml</t>
  </si>
  <si>
    <t>Rp33.700 - Rp39.900</t>
  </si>
  <si>
    <t>vomecho mgml</t>
  </si>
  <si>
    <t>vomecho mgml suspensi domperidone mual muntah akibat levodopa bromokriptin  dispepsia fungsional</t>
  </si>
  <si>
    <t>DKL0315616110B1</t>
  </si>
  <si>
    <t>X-Cam 15 mg 10 Tablet</t>
  </si>
  <si>
    <t>Rp92.700 - Rp117.400</t>
  </si>
  <si>
    <t>Pengobatan jangka pendek gejala-gejala eksaserbasi akut osteoarthritis.</t>
  </si>
  <si>
    <t>pengobatan jangka pendek gejala - gejala eksaserbasi akut osteoarthritis</t>
  </si>
  <si>
    <t>xcam tablet meloxicam pengobatan jangka pendek gejala  gejala eksaserbasi akut osteoarthritis</t>
  </si>
  <si>
    <t>DBL8306301433A1</t>
  </si>
  <si>
    <t>Maag Gel Suspensi 60 ml</t>
  </si>
  <si>
    <t>Rp8.400 - Rp15.900</t>
  </si>
  <si>
    <t>5-10 ml 3-4 kali sehari</t>
  </si>
  <si>
    <t>Hiperasiditas, gastritis, tukak lambung, peptik esofagitis, antiflatulen.</t>
  </si>
  <si>
    <t>Kelainan ginjal dapat menyebabkan alkaliurea.</t>
  </si>
  <si>
    <t>Jangan meminum obat ini dengan susu, tidak dianjurkan digunakan terus menerus lebih dari 2 minggu kecuali atas petunjuk dokter, tidak dianjurkan pemberian pada anak-anak dibawah 6 tahun kecuali atas petunjuk dokter</t>
  </si>
  <si>
    <t>calcium carbonate</t>
  </si>
  <si>
    <t>hiperasiditas , gastritis , tukak lambung , peptik esofagitis , antiflatulen</t>
  </si>
  <si>
    <t>maag</t>
  </si>
  <si>
    <t>maag suspensi calcium carbonate hiperasiditas  gastritis  tukak lambung  peptik esofagitis  antiflatulen</t>
  </si>
  <si>
    <t>Fasolon Cream 5 g</t>
  </si>
  <si>
    <t>Rp18.800 - Rp22.900</t>
  </si>
  <si>
    <t>DTL9818815037A1</t>
  </si>
  <si>
    <t>Trifedrin Sirup 60 ml</t>
  </si>
  <si>
    <t>Rp28.800 - Rp34.400</t>
  </si>
  <si>
    <t>Dewasa &amp; Anak-anak &gt;12 tahun: 3 x sehari 2 sendok takar (10 ml). Anak 6-12 tahun: 3 x sehari 1 sendok takar (5 ml). Anak 4-6 tahun: 3 x sehari 3/4 sendok takar (3.75 ml). Anak 2-4 tahun: 3 x sehari 1/2 sendok takar (2.5 ml).</t>
  </si>
  <si>
    <t>Meringankan gejala yang berhubungan dengan flu, seperti sinusitis, dan kondisi alergi.</t>
  </si>
  <si>
    <t>Hipersensitif, penderita hipertensi, glaukoma, diabetes, jantung koroner.</t>
  </si>
  <si>
    <t>Penggunaan untuk ibu hamil dan menyusui harus berkonsultasi dengan dokter terlebih dahulu, Hati - hati jika digunakan untuk anak - anak dibawah 2 tahun dan harus sesuai petunjuk dokter.Obat ini dapat menyebabkan kantuk, jangan mengemudi atau mengoperasikan mesin.</t>
  </si>
  <si>
    <t>meringankan gejala berhubungan flu , sinusitis , kondisi alergi</t>
  </si>
  <si>
    <t>trifedrin</t>
  </si>
  <si>
    <t>trifedrin sirup pseudoephedrine hydrochloride meringankan gejala berhubungan flu  sinusitis  kondisi alergi</t>
  </si>
  <si>
    <t>Urine Collector Pediatric 200 ml</t>
  </si>
  <si>
    <t>Rp6.000 - Rp7.700</t>
  </si>
  <si>
    <t>Tiup sedikit urine collector agar mengembang sebelum digunakan, dengan tujuan agar urine pada bayi yang keluar dapat langsung masuk kedalam kantong. Pastikan area tempelan yang diberi stiker kuning melekat sempurna pada kemaluan bayi, termasuk bagian bawahnya. Setelah menempel, pakaikan celana kain.</t>
  </si>
  <si>
    <t>Digunakan untuk menampung urine pada bayi atau anak-anak</t>
  </si>
  <si>
    <t>digunakan menampung urine bayi anak - anak</t>
  </si>
  <si>
    <t>urine collector pediatric</t>
  </si>
  <si>
    <t>urine collector pediatric larutan povidoneiodine digunakan menampung urine bayi anak  anak</t>
  </si>
  <si>
    <t>Kondom Sagami Xtreme Dotty G Mint Isi 10</t>
  </si>
  <si>
    <t>Pack isi 10 pieces</t>
  </si>
  <si>
    <t>kondom sagami xtreme dotty mint isi</t>
  </si>
  <si>
    <t>kondom sagami xtreme dotty mint isi tablet sildenafil citrate alat kontrasepsi</t>
  </si>
  <si>
    <t>Urine Collector Pediatric 100 ml</t>
  </si>
  <si>
    <t>Rp12.500 - Rp13.800</t>
  </si>
  <si>
    <t>DKL0009315129D1</t>
  </si>
  <si>
    <t>Trentin 0.1% Cream 10 g</t>
  </si>
  <si>
    <t>Krim dioleskan pada jerawat/komedo/papula/pustula</t>
  </si>
  <si>
    <t>PENGGUNAAN OBAT INI HARUS SESUAI DENGAN PETUNJUK DOKTER. Oleskan krim 1 x sehari sebelum tidur malam</t>
  </si>
  <si>
    <t>Pengobatan Akne Vulgaris/Jerawat, Komedo, Papula &amp; Pustula</t>
  </si>
  <si>
    <t>HARUS DENGAN RESEP DOKTER. Hamil. Penggunaan bersama dengan sabun yang mengandung bat atau yang bersifat abrasif, pembersih wajah, atau kosmetik</t>
  </si>
  <si>
    <t>pengobatan akne vulgaris jerawat , komedo , papula pustula</t>
  </si>
  <si>
    <t>trentin cream</t>
  </si>
  <si>
    <t>trentin cream krim tretinoin pengobatan akne vulgaris jerawat  komedo  papula pustula</t>
  </si>
  <si>
    <t>panadol extra kaplet paracetamol caffeine obat meringankan sakit kepala sakit gigi</t>
  </si>
  <si>
    <t>panadol extra kaplet caffeine paracetamol obat meringankan sakit kepala sakit gigi</t>
  </si>
  <si>
    <t>DKL0521630901A1</t>
  </si>
  <si>
    <t>Lanpracid 30 mg 10 Kapsul</t>
  </si>
  <si>
    <t>lanpracid</t>
  </si>
  <si>
    <t>lanpracid kapsul lansoprazole pellet pengobatan ulkus duodenum  tukak lambung  refluks esofagitis</t>
  </si>
  <si>
    <t>kombinasi-lansoprazole pellets</t>
  </si>
  <si>
    <t>digest kapsul kombinasilansoprazole pellets pengobatan ulkus duodenum  tukak lambung  refluks esofagitis</t>
  </si>
  <si>
    <t>Himalaya Septilin 25 Tablet</t>
  </si>
  <si>
    <t>Rp48.300 - Rp56.400</t>
  </si>
  <si>
    <t>Anak-anak: 2 x 1 tablet sehari Dewasa: 2 x 2 tablet sehari sampai gejala mereda dan dapat dilanjutkan 2 x 1 tablet sehari untuk terapi pemeliharaan</t>
  </si>
  <si>
    <t>Dus, Botol @ 25 tablet</t>
  </si>
  <si>
    <t>TR182312651</t>
  </si>
  <si>
    <t>Herbatia Sari Oxyfit 30 Kapsul</t>
  </si>
  <si>
    <t>HERBATIA SARI OXYFIT</t>
  </si>
  <si>
    <t>Rp59.700 - Rp70.600</t>
  </si>
  <si>
    <t>Di konsumsi 3x sehari 1 kapsul</t>
  </si>
  <si>
    <t>Membantu menjaga kesehatan tubuh serta memelihara kecantikan kulit.</t>
  </si>
  <si>
    <t>Dus, 3 blister @ 10 Kapsul</t>
  </si>
  <si>
    <t>Dapat dikonsumsi oleh ibu menyusui dan wanita hamil Trimester ke-3</t>
  </si>
  <si>
    <t>herbatia sari oxyfit</t>
  </si>
  <si>
    <t>membantu menjaga kesehatan tubuh memelihara kecantikan kulit</t>
  </si>
  <si>
    <t>herbatia sari oxyfit kapsul membantu menjaga kesehatan tubuh memelihara kecantikan kulit</t>
  </si>
  <si>
    <t>DKL9828602728A1</t>
  </si>
  <si>
    <t>Niacef 4% Gel 15 g</t>
  </si>
  <si>
    <t>Rp28.700 - Rp48.600</t>
  </si>
  <si>
    <t>Gel dioleskan pada jerawat/lesi-lesi peradangan setelah wajah dibersihkan.</t>
  </si>
  <si>
    <t>PENGGUNAAN OBAT INI HARUS SESUAI DENGAN PETUNJUK DOKTER. Oleskan gel 2 x sehari</t>
  </si>
  <si>
    <t>INFORMASI OBAT INI HANYA UNTUK KALANGAN MEDIS. Akne Vulgaris/jerawat terutama yang berupa lesi-lesi peradangan dengan papula dan pustula yang sedang.</t>
  </si>
  <si>
    <t>HARUS DENGAN RESEP DOKTER. Hanya untuk pemakaian luar. Hindari kontak dengan mata, hidung, dan membran mukosa lain. Hamil trimester ke-1. Kategori Kehamilan : C</t>
  </si>
  <si>
    <t>nicotinamide</t>
  </si>
  <si>
    <t>akne vulgaris jerawat lesi - lesi peradangan papula pustula</t>
  </si>
  <si>
    <t>niacef</t>
  </si>
  <si>
    <t>niacef gel nicotinamide akne vulgaris jerawat lesi  lesi peradangan papula pustula</t>
  </si>
  <si>
    <t>DKL7815618438A1</t>
  </si>
  <si>
    <t>Supramox Sirup 60 ml</t>
  </si>
  <si>
    <t>Rp23.500 - Rp28.500</t>
  </si>
  <si>
    <t>PENGGUNAAN OBAT INI HARUS SESUAI DENGAN PETUNJUK DOKTER. Dewasa : 250 - 500 mg 3 - 4 kalil sehari. Anak &lt; 20 kg : 20 - 40 mg/kg BB/hari dibagi 3 dosis</t>
  </si>
  <si>
    <t>Pengobatan pada infeksi pernafasan dan ISK karena mikroorganisme yang sensitif terhadap amoksilin</t>
  </si>
  <si>
    <t>Hipersensitif terhadap penisilin. Infeksi mononukleosis</t>
  </si>
  <si>
    <t>HARUS DENGAN RESEP DOKTER. Hipersensitif terhadap sefalosporin. Gangguan ginjal. Leukemia limfatik</t>
  </si>
  <si>
    <t>pengobatan infeksi pernafasan isk mikroorganisme sensitif amoksilin</t>
  </si>
  <si>
    <t>supramox</t>
  </si>
  <si>
    <t>supramox sirup amoxicillin trihydrate pengobatan infeksi pernafasan isk mikroorganisme sensitif amoksilin</t>
  </si>
  <si>
    <t>DKL1131530917A1</t>
  </si>
  <si>
    <t>Miozidine MR 35 mg 10 Tablet</t>
  </si>
  <si>
    <t>Rp48.200 - Rp53.000</t>
  </si>
  <si>
    <t>Di berikan bersama dengan makanan</t>
  </si>
  <si>
    <t>PENGGUNAAN OBAT INI HARUS SESUAI DENGAN PETUNJUK DOKTER. 1 Tablet pada -pagi dan sore hari.</t>
  </si>
  <si>
    <t>INFORMASI OBAT INI HANYA UNTUK KALANGAN MEDIS. Sebagai tambahan terapi anti angina yang sudah di tentukan.</t>
  </si>
  <si>
    <t>Tablet 35 Mg X 3 X 10</t>
  </si>
  <si>
    <t>HARUS DENGAN RESEP DOKTER. Tidak untuk di gunakan sebagai monoterapi, tidak untuk serangan angina maupun terapi awal untuk angina tak stabil atau infark miokard, tidak untuk digunakan pada fase sebelum rawat inap di rumah sakit ataupun pada periode awal rawat inap rumah sakit. Gaga</t>
  </si>
  <si>
    <t>sebagai tambahan terapi anti angina tentukan</t>
  </si>
  <si>
    <t>miozidine mr</t>
  </si>
  <si>
    <t>miozidine mr tablet trimetazidine dihydrochloride sebagai tambahan terapi anti angina tentukan</t>
  </si>
  <si>
    <t>TR203638571</t>
  </si>
  <si>
    <t>Madu Emte 280 g</t>
  </si>
  <si>
    <t>MADU EMTE</t>
  </si>
  <si>
    <t>Rp46.300 - Rp75.900</t>
  </si>
  <si>
    <t>Membantu meringankan gejala salesma, seperti: demam, hidung tersumbat, dan batuk.</t>
  </si>
  <si>
    <t>Dus, Botol 280 g</t>
  </si>
  <si>
    <t>Tidak boleh diberikan untuk anak di bawah usia 2 tahun. Konsultasikan dengan Dokter apabila gejala berulang atau berlanjut.</t>
  </si>
  <si>
    <t>madu emte</t>
  </si>
  <si>
    <t>membantu meringankan gejala salesma , demam , hidung tersumbat , batuk</t>
  </si>
  <si>
    <t>madu emte madu membantu meringankan gejala salesma  demam  hidung tersumbat  batuk</t>
  </si>
  <si>
    <t>nytex sirup acetyl cysteine bronkitis akut kronik  emfisema paru  mukovisidosis  bronkhiektasis</t>
  </si>
  <si>
    <t>guaifenesin salbutamol sulfate</t>
  </si>
  <si>
    <t>fartolin expectorant sirup guaifenesin salbutamol sulfate asma bronkhial  bronkhitis khronik  emfisema</t>
  </si>
  <si>
    <t>Hansaplast Rol Kain 7.5cm x 4.5m</t>
  </si>
  <si>
    <t>Rp39.700 - Rp65.500</t>
  </si>
  <si>
    <t>hansaplast rol kain x m larutan povidoneiodine penutup luka  mencegah infeksi</t>
  </si>
  <si>
    <t>omegtamine kaplet dexamethasone dexchlorpheniramine maleate meringankan gejala batuk bersin akibat alergi</t>
  </si>
  <si>
    <t>DKL0809218509A1</t>
  </si>
  <si>
    <t>Odanostin 4 mg 10 Kaplet</t>
  </si>
  <si>
    <t>Rp12.500 - Rp21.600</t>
  </si>
  <si>
    <t>PENGGUNAAN OBAT INI HARUS SESUAI DENGAN PETUNJUK DOKTER. Mual - Muntah paska operasi : Diawali 2 tablet 1 jam sebelum anestesi, dilanjutkan 2 dosis @ 2 tablet tiap 8 jam. Pencegahan Mual-Muntah akibat kemoterapi sangat/ highly emetogenic - Dewasa :</t>
  </si>
  <si>
    <t>Mual dan Muntah akibat kemoterapi atau radioterapi atau paska operasi</t>
  </si>
  <si>
    <t>Box Isi 3 Strip @ 10 Kaplet Salut</t>
  </si>
  <si>
    <t>HARUS DENGAN RESEP DOKTER. Hamil, terutama trimester pertama.</t>
  </si>
  <si>
    <t>ondansetron hydrochloride</t>
  </si>
  <si>
    <t>mual muntah akibat kemoterapi radioterapi paska operasi</t>
  </si>
  <si>
    <t>odanostin</t>
  </si>
  <si>
    <t>odanostin kaplet ondansetron hydrochloride mual muntah akibat kemoterapi radioterapi paska operasi</t>
  </si>
  <si>
    <t>DTL0705042436A1</t>
  </si>
  <si>
    <t>Rhinos Neo Drops 10 ml</t>
  </si>
  <si>
    <t>Rp67.300 - Rp85.800</t>
  </si>
  <si>
    <t>Anak 2-5 tahun: 3 x sehari 0.8 ml</t>
  </si>
  <si>
    <t>Meringankan gejala hidung tersumbat krn flu.</t>
  </si>
  <si>
    <t>Pasien yang sensitif terhadap simpatomimetik &amp; menerima MAOI, hipertensi berat atau berpotensi hipertensi dan stroke.</t>
  </si>
  <si>
    <t>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</si>
  <si>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meringankan gejala hidung tersumbat krn flu</t>
  </si>
  <si>
    <t>rhinos neo</t>
  </si>
  <si>
    <t>rhinos neo tetes pseudoephedrine hydrochloride meringankan gejala hidung tersumbat krn flu</t>
  </si>
  <si>
    <t>- ISOSORBIDE DINITRATE 40 WITH LACTOSE</t>
  </si>
  <si>
    <t>isosorbide dinitrate 40 with lactose</t>
  </si>
  <si>
    <t>farsorbid tablet isosorbide dinitrate 40 with lactose terapi profilaksis angina pektoris</t>
  </si>
  <si>
    <t>- KOMBINASI-ISOSORBIDE DINITRATE 40 WITH LACTOSE</t>
  </si>
  <si>
    <t>kombinasi-isosorbide dinitrate 40 with lactose</t>
  </si>
  <si>
    <t>farsorbid tablet kombinasiisosorbide dinitrate 40 with lactose terapi profilaksis angina pektoris</t>
  </si>
  <si>
    <t>Perban Husada 4Y X 5 cm 10 Roll</t>
  </si>
  <si>
    <t>perban husada y x roll larutan povidoneiodine untuk menutup membalut luka</t>
  </si>
  <si>
    <t>DTL9610700537A1</t>
  </si>
  <si>
    <t>Coredryl Ekspektoran Sirup 100 ml</t>
  </si>
  <si>
    <t>Rp6.700 - Rp11.900</t>
  </si>
  <si>
    <t>Dewasa: 3 kali sehari 5ml. anak 6-12 tahun: 3 kali sehari 2,5ml</t>
  </si>
  <si>
    <t>Meredakan gejala batuk yang disebabkan oleh alergi</t>
  </si>
  <si>
    <t>Hipersensitif, ibu menyusui, dan bayi prematur atau bayi baru lahir.</t>
  </si>
  <si>
    <t>Pasien dengan glaukoma, epilepsi, sedang menjalani terapi depresan SSP, dapat menggangu kemampuan mengemudi dan menjalankan mesin.</t>
  </si>
  <si>
    <t>diphenhydramine hydrochloride guaifenesin</t>
  </si>
  <si>
    <t>meredakan gejala batuk disebabkan alergi</t>
  </si>
  <si>
    <t>coredryl ekspektoran</t>
  </si>
  <si>
    <t>coredryl ekspektoran sirup diphenhydramine hydrochloride guaifenesin meredakan gejala batuk disebabkan alergi</t>
  </si>
  <si>
    <t>salbron tablet salbutamol sulfate bronkospasme jenis asma bronkial  bronkritis kronik  emfisema</t>
  </si>
  <si>
    <t>Comtusi Sirup 100 ml</t>
  </si>
  <si>
    <t>Rp63.400 - Rp82.500</t>
  </si>
  <si>
    <t>PENGGUNAAN OBAT INI HARUS SESUAI DENGAN PETUNJUK DOKTER. Dewasa dan anak-anak dengan berat badan lebih dari 40 kg (umur &gt; 12 tahun ) : 4 kali sehari 2 sendok takar (10 ml) Anak-anak berdasarkan berat badan ( 1ml sirup per kg bb/hari) yaitu : - Berat 10-20 kg (umur 2 s/d 6 tahun) 2-3 kali sehari 1 sendok takar (5 ml) - Berat 20-30 kg (umur 6 s/d 10 tahun): 2-3 kali sehari 2 sendok takar ( 10 ml) - Berat 30-40 kg (umur 10 s/d 12 tahun): 3-4 kali sehari 2 sendok takar (10 ml)</t>
  </si>
  <si>
    <t>INFORMASI OBAT INI HANYA UNTUK KALANGAN MEDIS. Untuk meringankan gejala batuk karena alergi, batuk berdahak</t>
  </si>
  <si>
    <t>Tidak boleh digunakan pada penderita yang alergi terhadap obat ini. Glaukoma sudut tertutup, adenoma prostat, Penyakit Paru Obstruktif Kronis (PPOK).</t>
  </si>
  <si>
    <t>HARUS DENGAN RESEP DOKTER. Jangan mengkonsumsi obat ini bersamaan dengan alkohol. Jangan berkendara atau menjalankan mesin berat saat mengkonsumsi obat ini karena dapat menyebabkan kantuk. Konsultasikan dengan dokter apabila memiliki gangguan fungsi ginjal dan hati. Tidak boleh di gunakan untuk anak-anak di bawah 2 tahun, tidak boleh melebihi dosis yang dianjurkan karena dapat menyebabkan kerusakan hati.</t>
  </si>
  <si>
    <t>untuk meringankan gejala batuk alergi , batuk berdahak</t>
  </si>
  <si>
    <t>comtusi sirup oxomemazine guaifenesin untuk meringankan gejala batuk alergi  batuk berdahak</t>
  </si>
  <si>
    <t>Madurasa Original 12 Sachet</t>
  </si>
  <si>
    <t>Rp9.000 - Rp16.700</t>
  </si>
  <si>
    <t>Langsung diminum atau di campur dengan 1/2 gelas (100ml) air matang</t>
  </si>
  <si>
    <t>sulfogaiacol potassium promethazine hydrochloride</t>
  </si>
  <si>
    <t>prome sirup sulfogaiacol potassium promethazine hydrochloride batuk  bronkhitis  batuk rejan pertusis</t>
  </si>
  <si>
    <t>GKL0902341009A1</t>
  </si>
  <si>
    <t>Ondansetron 8 mg 10 Tablet</t>
  </si>
  <si>
    <t>Rp14.300 - Rp44.800</t>
  </si>
  <si>
    <t>Obat ini bisa dikonsumsi dengan atau tanpa makanan.</t>
  </si>
  <si>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</si>
  <si>
    <t>INFORMASI OBAT INI HANYA UNTUK KALANGAN MEDIS. Penatalaksanaan mual dan muntah karena kemoterapi dan radioterapi, mual dan muntah paska operasi</t>
  </si>
  <si>
    <t>Dus, 3 Blister @ 10 Kaplet</t>
  </si>
  <si>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</si>
  <si>
    <t>penatalaksanaan mual muntah kemoterapi radioterapi , mual muntah paska operasi</t>
  </si>
  <si>
    <t>ondansetron kaplet penatalaksanaan mual muntah kemoterapi radioterapi  mual muntah paska operasi</t>
  </si>
  <si>
    <t>comtusi sirup guaifenesin oxomemazine untuk meringankan gejala batuk alergi  batuk berdahak</t>
  </si>
  <si>
    <t>DBL1402008804A1</t>
  </si>
  <si>
    <t>Saridon Extra 10 Tablet</t>
  </si>
  <si>
    <t>Diberikan sesuadah makan</t>
  </si>
  <si>
    <t>Dewasa dan Anak-anak di atas usia 12 tahun : 1 Kaplet 3-4 kali sehari. Anak-anak 6-12 tahun : 1/2 Kaplet 3-4 kali sehari. Atau sesuai petunjuk dokter.</t>
  </si>
  <si>
    <t>Untuk meringankan sakit kepala, dan sakit gigi</t>
  </si>
  <si>
    <t>Penderita gangguan fungsi hati yang berat. Penderita Hipersensitif</t>
  </si>
  <si>
    <t>Bila sebelah 5 hari rasa sakit tidak berkunrang segera hubungi dokter. Penggunaan obat ini pada penderita yang mengkonsumsi alkohol dapat menigkatkan resiko kerusakan fusngsi ahti. Hati-hati penggunaan obat ini pada penderita ginjal.</t>
  </si>
  <si>
    <t>untuk meringankan sakit kepala , sakit gigi</t>
  </si>
  <si>
    <t>saridon extra</t>
  </si>
  <si>
    <t>saridon extra kaplet paracetamol caffeine untuk meringankan sakit kepala  sakit gigi</t>
  </si>
  <si>
    <t>DTL1904529336A1</t>
  </si>
  <si>
    <t>Disudrin-Ped Oral Drops 10 ml</t>
  </si>
  <si>
    <t>Rp49.000 - Rp57.500</t>
  </si>
  <si>
    <t>Meringankan gejala flu, seperti bersin dan hidung tersumbat.</t>
  </si>
  <si>
    <t>Hipersensitivitas terhadap simpatomimetik lain (seperti efedrin, fenilpropanolamin HCl, fenilefrin). Hipertensi berat, penggunaan bersama dengan terapi MAOI.</t>
  </si>
  <si>
    <t>meringankan gejala flu , bersin hidung tersumbat</t>
  </si>
  <si>
    <t>disudrinped oral</t>
  </si>
  <si>
    <t>disudrinped oral tetes pseudoephedrine hydrochloride meringankan gejala flu  bersin hidung tersumbat</t>
  </si>
  <si>
    <t>TR236025311</t>
  </si>
  <si>
    <t>Imboost Cough Kids Syrup 60 ml</t>
  </si>
  <si>
    <t>IMBOOST COUGH KIDS</t>
  </si>
  <si>
    <t>Rp27.000 - Rp32.100</t>
  </si>
  <si>
    <t>Anak (2-5 tahun) : Sehari 3 kali 1/2 sendok teh (2.5 ml) Anak &amp; remaja (6-17 tahun) : Sehari 3 kali 1 sendok teh (5ml)</t>
  </si>
  <si>
    <t>Membantu meredakan batuk, memelihara daya tahan tubuh.</t>
  </si>
  <si>
    <t>imboost cough kids</t>
  </si>
  <si>
    <t>membantu meredakan batuk , memelihara daya tahan tubuh</t>
  </si>
  <si>
    <t>imboost cough kids sirup membantu meredakan batuk  memelihara daya tahan tubuh</t>
  </si>
  <si>
    <t>Vicks Formula 44 Anak Sirup 54 ml</t>
  </si>
  <si>
    <t>Rp21.600 - Rp25.600</t>
  </si>
  <si>
    <t>Gunakan setiap 4 jam sesuai kebutuhan. Anak 2 - 6 tahun: 1 sdth, 6 - 12 tahun: 2 sdth. Dewasa: 4 sdth</t>
  </si>
  <si>
    <t>Meredakan batuk yang disebabkan oleh flu dan pilek</t>
  </si>
  <si>
    <t>Dus, Botol @ 54 ml</t>
  </si>
  <si>
    <t>Hipersensitivitas. Penyakit hati atau kegagalan pernafasan</t>
  </si>
  <si>
    <t>Jauhkan dari jangkauan anak-anak. Tidak dianjurkan untuk anak &lt;2 thn kecuali jika ada petunjuk khusus dari dokter. Jangan mengemudi atau mengoperasikan mesin saat menggunakan produk ini.</t>
  </si>
  <si>
    <t>meredakan batuk disebabkan flu pilek</t>
  </si>
  <si>
    <t>vicks formula anak sirup dextromethorphan hydrobromide meredakan batuk disebabkan flu pilek</t>
  </si>
  <si>
    <t>Kondom Simplex Extra Long Love Isi 3</t>
  </si>
  <si>
    <t>Rp9.700 - Rp13.700</t>
  </si>
  <si>
    <t>kondom simplex extra long love isi</t>
  </si>
  <si>
    <t>kondom simplex extra long love isi tablet sildenafil citrate alat kontrasepsi</t>
  </si>
  <si>
    <t>DTL0317619136A1</t>
  </si>
  <si>
    <t>Alco Drops 15 ml</t>
  </si>
  <si>
    <t>Rp114.500 - Rp133.700</t>
  </si>
  <si>
    <t>Anak 2-5 tahun : 3 x sehari 0.8 mL</t>
  </si>
  <si>
    <t>Meredakan gejala bersin-bersin dan hidung tersumbat karena Flu</t>
  </si>
  <si>
    <t>Dus, botol @ 15 ml</t>
  </si>
  <si>
    <t>Hipertensi, stroke, palpitasi, insomnia</t>
  </si>
  <si>
    <t>Hipertensi, punya potensi hipertensi atau stroke, gangguan fungsi hati/ ginjal, hipertrofi prostat, hipertiroid, glaukoma, gangguan jantung, DM, anak &lt;2 tahun. Hamil dan laktasi.</t>
  </si>
  <si>
    <t>meredakan gejala bersin - bersin hidung tersumbat flu</t>
  </si>
  <si>
    <t>alco</t>
  </si>
  <si>
    <t>alco tetes pseudoephedrine hydrochloride meredakan gejala bersin  bersin hidung tersumbat flu</t>
  </si>
  <si>
    <t>DTL2118833709A1</t>
  </si>
  <si>
    <t>Stinopi 10 Kaplet</t>
  </si>
  <si>
    <t>Rp26.300 - Rp28.600</t>
  </si>
  <si>
    <t xml:space="preserve">PENGGUNAAN OBAT INI HARUS SESUAI DENGAN PETUNJUK DOKTER. Dewasa &amp; anak &gt; 11 tahun : 1 kaplet Anak 6-11 tahun : 0.5-1 kaplet </t>
  </si>
  <si>
    <t>miozidine mr tablet trimetazidine hydrochloride sebagai tambahan terapi anti angina tentukan</t>
  </si>
  <si>
    <t>etadexta kaplet dexamethasone dexchlorpheniramine maleate untuk mengatasi alergi dimana terapi kortikosteroid</t>
  </si>
  <si>
    <t>Betadine Waterproof Transparent Plester 5 Lembar</t>
  </si>
  <si>
    <t>Rp10.300 - Rp11.600</t>
  </si>
  <si>
    <t>betadine waterproof transparent plester lembar</t>
  </si>
  <si>
    <t>betadine waterproof transparent plester lembar larutan povidoneiodine penutup luka  mencegah infeksi</t>
  </si>
  <si>
    <t>Pyravit Sirup 225 ml</t>
  </si>
  <si>
    <t>Rp66.700 - Rp71.200</t>
  </si>
  <si>
    <t>PENGGUNAAN OBAT INI HARUS SESUAI DENGAN PETUNJUK DOKTER. Dewasa: 5-10 mg/kgBB/hari</t>
  </si>
  <si>
    <t>QD202717741</t>
  </si>
  <si>
    <t>Balsem Tolak Angin 20 g</t>
  </si>
  <si>
    <t>Rp13.400 - Rp18.500</t>
  </si>
  <si>
    <t>Gosokkan pada bagian tengkuk, leher, dada, punggung, atau pada bagian sakit/nyeri</t>
  </si>
  <si>
    <t>Sesuai Kebutuhan</t>
  </si>
  <si>
    <t>Meredakan nyeri dan sakit dengan cara menghangatkan sekaligus merilekskan tubuh.</t>
  </si>
  <si>
    <t>Dus, Pot kaca 20 g</t>
  </si>
  <si>
    <t>Hanya untuk pemakaian luar. Tidak digunakan untuk anak berusia dibawah 2 tahun. Jangan digunakan langsung pada lubang hidung.</t>
  </si>
  <si>
    <t>meredakan nyeri sakit menghangatkan merilekskan tubuh</t>
  </si>
  <si>
    <t>balsem tolak angin</t>
  </si>
  <si>
    <t>balsem tolak angin balsam camphor meredakan nyeri sakit menghangatkan merilekskan tubuh</t>
  </si>
  <si>
    <t>Herbana Relief Temulawak 30 Kapsul</t>
  </si>
  <si>
    <t>Rp133.300 - Rp140.700</t>
  </si>
  <si>
    <t>herbana relief temulawak</t>
  </si>
  <si>
    <t>herbana relief temulawak kapsul herbana temulawak membantu memelihara kesehatan fungsi hati</t>
  </si>
  <si>
    <t>Cuticell Classic 10cm x 10cm</t>
  </si>
  <si>
    <t>Rp19.100 - Rp21.600</t>
  </si>
  <si>
    <t>1. Bersihkan luka, keringkan. 2. Tempelkan atau rekatkan pada daerah yang luka</t>
  </si>
  <si>
    <t>Melindungi, menenangkan dan membantu proses penyembuhan luka</t>
  </si>
  <si>
    <t>Sachet @ 1 piece</t>
  </si>
  <si>
    <t>melindungi , menenangkan membantu prose penyembuhan luka</t>
  </si>
  <si>
    <t>cuticell classic x</t>
  </si>
  <si>
    <t>cuticell classic x larutan povidoneiodine melindungi  menegkan membantu prose penyembuhan luka</t>
  </si>
  <si>
    <t>DTL9922229146A1</t>
  </si>
  <si>
    <t>Santo Eye Drops 10 ml</t>
  </si>
  <si>
    <t>Rp18.600 - Rp23.600</t>
  </si>
  <si>
    <t>PENGGUNAAN OBAT INI HARUS SESUAI DENGAN PETUNJUK DOKTER. Berikan 1-2 tetes ke mata yang sakit sampai 4 kali sehari</t>
  </si>
  <si>
    <t>Meredakan mata merah akibat iritasi ringan</t>
  </si>
  <si>
    <t>Glaukoma, kecuali jika diberikan atas petunjuk dan pengawasan dokter</t>
  </si>
  <si>
    <t>HARUS DENGAN RESEP DOKTER. Hentikan penggunaan jika terjadi nyeri pada mata, gangguan penglihatan, gejala mata merah berlanjut, iritasi mata, atau kondisi memburuk atau menetap sesudah diberikan obat selama 48 jam</t>
  </si>
  <si>
    <t>meredakan mata merah akibat iritasi ringan</t>
  </si>
  <si>
    <t>santo eye</t>
  </si>
  <si>
    <t>santo eye tetes tetrahydrozoline hydrochloride meredakan mata merah akibat iritasi ringan</t>
  </si>
  <si>
    <t>DTL8717204910A1</t>
  </si>
  <si>
    <t>Flukol X-Tra 4 Tablet</t>
  </si>
  <si>
    <t>Rp1.700 - Rp1.900</t>
  </si>
  <si>
    <t>Dan sebagai anti radikal bebas atau anti oksidan.</t>
  </si>
  <si>
    <t>Dus, 25 Catch cover @ 1 Strip 2 4 Tablet</t>
  </si>
  <si>
    <t>dan anti radikal bebas anti oksidan</t>
  </si>
  <si>
    <t>flukol xtra</t>
  </si>
  <si>
    <t>flukol xtra tablet chlorphenamine maleate dan anti radikal bebas anti oksidan</t>
  </si>
  <si>
    <t>TR132571781</t>
  </si>
  <si>
    <t>Herbavomitz 6 Tablet</t>
  </si>
  <si>
    <t>DEXANTA HERBAL MUAL DAN KEMBUNG</t>
  </si>
  <si>
    <t>Rp25.400 - Rp28.700</t>
  </si>
  <si>
    <t>1-3 Tablet sehari, sampai gejala hilang</t>
  </si>
  <si>
    <t>Untuk meredakan kembung dan mual</t>
  </si>
  <si>
    <t>Dus, 5 strip @ 6 tablet</t>
  </si>
  <si>
    <t>dexanta herbal mual dan kembung</t>
  </si>
  <si>
    <t>untuk meredakan kembung mual</t>
  </si>
  <si>
    <t>herbavomitz tablet dexanta herbal mual dan kembung untuk meredakan kembung mual</t>
  </si>
  <si>
    <t>Herbavomitz 4 Tablet</t>
  </si>
  <si>
    <t>Rp4.600 - Rp9.600</t>
  </si>
  <si>
    <t>1-3 tablet sehari sampai gejala hilang. Aman jika digunakan pada dosis yang disarankan</t>
  </si>
  <si>
    <t>Membantu meredakan kembung dan mual.</t>
  </si>
  <si>
    <t>Box Isi 10 Strip @ 4 Tablet</t>
  </si>
  <si>
    <t>membantu meredakan kembung mual</t>
  </si>
  <si>
    <t>herbavomitz tablet dexanta herbal mual dan kembung membantu meredakan kembung mual</t>
  </si>
  <si>
    <t>DKL1718829917A1</t>
  </si>
  <si>
    <t>Granopi 1 mg 10 Tablet</t>
  </si>
  <si>
    <t>Rp250.500 - Rp284.500</t>
  </si>
  <si>
    <t>PENGGUNAAN OBAT INI HARUS SESUAI DENGAN PETUNJUK DOKTER. Kemoterapi Dewasa : 1-2 mg sebelum di mulai kemoterapi, lalu 2 mg per hari dalam dosis tunggal, maksimal 9 mg/hari Terapi Radiasi 2 mg 1 hari sekali, sebelum radias</t>
  </si>
  <si>
    <t>INFORMASI OBAT INI HANYA UNTUK KALANGAN MEDIS. Digunakan untuk mengatasi mual dan muntah karena kemoterapi, terapi radiasi.</t>
  </si>
  <si>
    <t>HARUS DENGAN RESEP DOKTER. Pasien dengan komorbid jantung, kemoterapi kardiotoksik, anak, menyusi. Kategori Kehamilan :Kategori B: Mungkin dapat digunakan oleh wanita hamil. Penelitian pada hewan uji tidak memperlihatkan ada nya risiko terhadap janin, namun belum ada bukti penelitian langsung terhadap wanita hamil.</t>
  </si>
  <si>
    <t>granisetron hydrochloride</t>
  </si>
  <si>
    <t>digunakan mengatasi mual muntah kemoterapi , terapi radiasi</t>
  </si>
  <si>
    <t>granopi</t>
  </si>
  <si>
    <t>granopi tablet granisetron hydrochloride digunakan mengatasi mual muntah kemoterapi  terapi radiasi</t>
  </si>
  <si>
    <t>DKL0033202017A1</t>
  </si>
  <si>
    <t>Provamed 500 mg 10 Tablet</t>
  </si>
  <si>
    <t>Rp66.400 - Rp69.700</t>
  </si>
  <si>
    <t>PENGGUNAAN OBAT INI HARUS SESUAI DENGAN PETUNJUK DOKTER. Dewasa : 4 - 6 tablet/hari dalam 2 - 3 dosis terbagi</t>
  </si>
  <si>
    <t>Infeksi sal nafas atas dan kulit, bronkitis pneumonia, otitis media</t>
  </si>
  <si>
    <t>Dus, 5 blister 2 10 Tablet</t>
  </si>
  <si>
    <t>HARUS DENGAN RESEP DOKTER. Penyakit ginjal. Superinfeksi atau reaksi alergi (hentikan terapi). Disfungsi hati. Hamil dan laktasi</t>
  </si>
  <si>
    <t>infeksi sal nafas kulit , bronkitis pneumonia , otitis medium</t>
  </si>
  <si>
    <t>provamed</t>
  </si>
  <si>
    <t>provamed tablet spiramycin infeksi sal nafas kulit  bronkitis pneumonia  otitis medium</t>
  </si>
  <si>
    <t>DKI0367600646A1</t>
  </si>
  <si>
    <t>Alegysal 0.1% Eye Drops 5 ml</t>
  </si>
  <si>
    <t>Rp86.100 - Rp146.100</t>
  </si>
  <si>
    <t>PENGGUNAAN OBAT INI HARUS SESUAI DENGAN PETUNJUK DOKTER. 2 kali sehari 1 tetes (pagi dan sore)</t>
  </si>
  <si>
    <t>INFORMASI OBAT INI HANYA UNTUK KALANGAN MEDIS. Konjungtivitis alergi dan konjungtivitis vernal (peradangan selaput mata)</t>
  </si>
  <si>
    <t>Dus, Botol Plastik @ 5 ml</t>
  </si>
  <si>
    <t>HARUS DENGAN RESEP DOKTER. Hanya untuk tetes mata. Hamil, laktasi, bayi prematur, neonatus, bayi &lt;1 tahun Kategori Kehamilan : C</t>
  </si>
  <si>
    <t>pemirolast</t>
  </si>
  <si>
    <t>konjungtivitis alergi konjungtivitis vernal peradangan selaput mata</t>
  </si>
  <si>
    <t>alegysal eye</t>
  </si>
  <si>
    <t>alegysal eye tetes pemirolast konjungtivitis alergi konjungtivitis vernal peradangan selaput mata</t>
  </si>
  <si>
    <t>DKL7803809346C1</t>
  </si>
  <si>
    <t>Cendo Fenicol 0.25% Eye Drops 5 ml</t>
  </si>
  <si>
    <t>Rp29.200 - Rp34.400</t>
  </si>
  <si>
    <t>INFORMASI OBAT INI HANYA UNTUK KALANGAN MEDIS. Konjungtivitis karena infeksi bakteri gram positif dan negatif.</t>
  </si>
  <si>
    <t>Obat Wajib Apotek, Obat ini dapat dibeli dan diserahkan apoteker tanpa resep dengan maksimum 1 Botol. Pembelian melebihi batas ini WAJIB RESEP DOKTER. Menyusui, hamil, fungsi ginjal yang buruk, neonatus, bayi prematur. Penggunaan jangka panjang dapat menyebabkan pertumbuhan berlebihan dari mikroorganisme yang tidak peka, seperti fungi. Bila terjadi segera hentikan pengobatan. Tidak boleh digunakan 30 hari setelah dibuka. Hindari menyetir atau mengoperasikan mesin selama penggunaan obat ini.</t>
  </si>
  <si>
    <t>konjungtivitis infeksi bakteri gram positif negatif</t>
  </si>
  <si>
    <t>cendo fenicol eye tetes chloramphenicol konjungtivitis infeksi bakteri gram positif negatif</t>
  </si>
  <si>
    <t>DKL9817808010A1</t>
  </si>
  <si>
    <t>Nichofed 10 Tablet</t>
  </si>
  <si>
    <t>PENGGUNAAN OBAT INI HARUS SESUAI DENGAN PETUNJUK DOKTER. Dewasa &amp; anak &gt; 12 thn: 3 x sehari 1 tablet</t>
  </si>
  <si>
    <t>Meringankan gejala yang berhubungan dengan flu, sinusitis, rinitis alergi</t>
  </si>
  <si>
    <t>Hipertensi berat atau penyakit koroner berat. Asma.</t>
  </si>
  <si>
    <t>HARUS DENGAN RESEP DOKTER. Hamil, gangguan fungsi hati &amp; ginjal, diabetes melitus, hipertensi, glaukoma, hipertrofi prostat</t>
  </si>
  <si>
    <t>meringankan gejala berhubungan flu , sinusitis , rinitis alergi</t>
  </si>
  <si>
    <t>nichofed</t>
  </si>
  <si>
    <t>nichofed tablet pseudoephedrine hydrochloride meringankan gejala berhubungan flu  sinusitis  rinitis alergi</t>
  </si>
  <si>
    <t>DKL8512404203B1</t>
  </si>
  <si>
    <t>Nitrokaf Retard Forte 5 mg 10 Kapsul</t>
  </si>
  <si>
    <t>Rp27.700 - Rp49.800</t>
  </si>
  <si>
    <t>Diberikan 1 jam sebelum makan</t>
  </si>
  <si>
    <t>PENGGUNAAN OBAT INI HARUS SESUAI DENGAN PETUNJUK DOKTER. 2 x sehari 1 kapsul</t>
  </si>
  <si>
    <t>Pencegahan dan terapi jangka panjang angina pektoris.</t>
  </si>
  <si>
    <t>Dus, 10 Blister @ 10 Kapsul Lepas Lambat</t>
  </si>
  <si>
    <t>Glaukoma, syok kardiogenik, anemia berat, trauma kepala, peningkatan tekanan intrakranial, pendarahan otak, insipien, kegagalan sirkulasi akut, hipotensi</t>
  </si>
  <si>
    <t>HARUS DENGAN RESEP DOKTER. Hamil dan laktasi, alkoholisme, dapat mengganggu kemapuan mengemudi atau menjalankan mesin</t>
  </si>
  <si>
    <t>pencegahan terapi jangka angina pektoris</t>
  </si>
  <si>
    <t>nitrokaf retard forte</t>
  </si>
  <si>
    <t>nitrokaf retard forte kapsul glyceryl trinitrate pencegahan terapi jangka angina pektoris</t>
  </si>
  <si>
    <t>TR143383111</t>
  </si>
  <si>
    <t>Habbatussauda Oil Extra Propolis Trigona 100 Kapsul</t>
  </si>
  <si>
    <t>HABBATUSSAUDA OIL EXTRA PROPOLIS TRIGONA</t>
  </si>
  <si>
    <t>Dewasa : 2-3 kapsul sehari. Anak-anak : 1-2 kapsul sehari. Pagi dan sore</t>
  </si>
  <si>
    <t>Dus, Botol @ 100 Kapsul</t>
  </si>
  <si>
    <t>Simpan ditempat kering dan sejuk serta terhindar dari sinar matahari langsung</t>
  </si>
  <si>
    <t>habbatussauda oil extra propolis trigona</t>
  </si>
  <si>
    <t>habbatussauda oil extra propolis trigona kapsul membantu memelihara daya tahan tubuh</t>
  </si>
  <si>
    <t>DKL9519916204A1</t>
  </si>
  <si>
    <t>Pehamoxil Forte 500 mg 10 Tablet</t>
  </si>
  <si>
    <t>Rp8.800 - Rp9.000</t>
  </si>
  <si>
    <t>Bersama makanan.</t>
  </si>
  <si>
    <t>PENGGUNAAN OBAT INI HARUS SESUAI DENGAN PETUNJUK DOKTER. Dewasa 1 x sehari 1 tablet</t>
  </si>
  <si>
    <t>Pencegahan &amp; pengobatan TBC paru &amp; ekstra paru.</t>
  </si>
  <si>
    <t>Botol Isi 350 Tablet</t>
  </si>
  <si>
    <t>Penyakit hati yg diinduksi oleh obat.</t>
  </si>
  <si>
    <t>HARUS DENGAN RESEP DOKTER. Gangguan fungsi hati &amp; ginjal pd pasien yg menggunakan obat hepatotoksik lainnya. Kejang, DM, alkoholik kronik. Hamil, laktasi.</t>
  </si>
  <si>
    <t>pencegahan pengobatan tbc paru ekstra paru</t>
  </si>
  <si>
    <t>pehamoxil forte</t>
  </si>
  <si>
    <t>pehamoxil forte kaplet amoxicillin trihydrate pencegahan pengobatan tbc paru ekstra paru</t>
  </si>
  <si>
    <t>DKL0835306537A1</t>
  </si>
  <si>
    <t>Estin Sirup 60 ml</t>
  </si>
  <si>
    <t>Rp58.700 - Rp74.000</t>
  </si>
  <si>
    <t>PENGGUNAAN OBAT INI HARUS SESUAI DENGAN PETUNJUK DOKTER. Dewasa dan anak di atas 12 tahun : 1 kali sehari 1 ml Anak 6-12 tahun : 1 kali sehari 1 ml atau diberikan secara dosis terbagi 0,5 ml setiap 12 jam. Anak 2-6 tahun : 1 kali sehari 0,5 ml atau diberikan secara dosis terbagi 0,25 ml setiap 12 jam.</t>
  </si>
  <si>
    <t>Rinitis menahun, rinitis alergi, urtikaria idiopatik kronik.</t>
  </si>
  <si>
    <t>rinitis menahun , rinitis alergi , urtikaria idiopatik kronik</t>
  </si>
  <si>
    <t>estin</t>
  </si>
  <si>
    <t>estin sirup cetirizine dihydrochloride rinitis menahun  rinitis alergi  urtikaria idiopatik kronik</t>
  </si>
  <si>
    <t>DKL0704128701B1</t>
  </si>
  <si>
    <t>Comtusi Forte 10 Kapsul</t>
  </si>
  <si>
    <t>Rp29.100 - Rp32.000</t>
  </si>
  <si>
    <t>PENGGUNAAN OBAT INI HARUS SESUAI DENGAN PETUNJUK DOKTER. Dewasa dan anak &gt;12 tahun 3-4 kali sehari 1 kapsul</t>
  </si>
  <si>
    <t>INFORMASI OBAT INI HANYA UNTUK KALANGAN MEDIS. Untuk meringankan gejala batuk karena alergi dan batuk berdahak</t>
  </si>
  <si>
    <t>Dus, 3 Strip @ 10 Kapsul</t>
  </si>
  <si>
    <t>Hipersensitivitas, anak-anak, adenoma prostat, glaukoma sudut tertutup, ileus paralitik, stenosis pilorus, miastenia, status asmatikus, PPOK, kesulitan bernapas, Wanita hamil dan menyusui.</t>
  </si>
  <si>
    <t>HARUS DENGAN RESEP DOKTER. Gangguan ginjal dan hati. Hamil dan laktasi. Dapat mengganggu kemampuan mengemudi atau menjalankan mesin Kategori Kehamilan : C</t>
  </si>
  <si>
    <t>untuk meringankan gejala batuk alergi batuk berdahak</t>
  </si>
  <si>
    <t>comtusi forte</t>
  </si>
  <si>
    <t>comtusi forte kapsul guaifenesin untuk meringankan gejala batuk alergi batuk berdahak</t>
  </si>
  <si>
    <t>DTL9817808137A1</t>
  </si>
  <si>
    <t>Nichofed Sirup 60 ml</t>
  </si>
  <si>
    <t>Rp23.700 - Rp28.500</t>
  </si>
  <si>
    <t>Dewasa dan anak &gt; 12 tahun : 2 sendok takar (10 ml), Anak 5-12 tahun : 1 sendok takar (5 ml), Anak 2-5 tahun : 1/2 sendok takar. Diberikan 3 kali sehari</t>
  </si>
  <si>
    <t>Hipertensi berat atau penyakit arteri koroner berat. Asma</t>
  </si>
  <si>
    <t>Hamil, gangguan fungsi hati dan ginjal, DM, hipertensi, glaukoma, hipertrofi prostat</t>
  </si>
  <si>
    <t>nichofed sirup pseudoephedrine hydrochloride meringankan gejala berhubungan flu  sinusitis  rinitis alergi</t>
  </si>
  <si>
    <t>DKL0934608236A1</t>
  </si>
  <si>
    <t>Histrine Drop 10ml</t>
  </si>
  <si>
    <t>Rp100.000 - Rp100.700</t>
  </si>
  <si>
    <t>Sebelum dan Sesudah makan</t>
  </si>
  <si>
    <t>PENGGUNAAN OBAT INI HARUS SESUAI DENGAN PETUNJUK DOKTER. Dewasa &amp; Anak-anak &gt;12 tahun: 10 mgper hari atau 1 mL tetes sehari</t>
  </si>
  <si>
    <t>DKL9407909410A1</t>
  </si>
  <si>
    <t>Enakur 10 mg 10 Tablet</t>
  </si>
  <si>
    <t>Rp3.200 - Rp5.800</t>
  </si>
  <si>
    <t>Sebaiknya diberikan pada saat perut kosong : Berikan sblm makan.</t>
  </si>
  <si>
    <t>PENGGUNAAN OBAT INI HARUS SESUAI DENGAN PETUNJUK DOKTER. Dewasa 1- 1/2 tablet 3 x/hari. Anak lebih dari 6 thn 0.5 mg/kg BB/hari dalam 2 dosis terbagi.</t>
  </si>
  <si>
    <t>Gangguan GI seperti mual, muntah, intoleransi obat, radiasi.</t>
  </si>
  <si>
    <t>dus 5 x 10 tab</t>
  </si>
  <si>
    <t>Epilepsi, gangguan perdarahan, obstruksi mekanik atau perforasi GI, feokromositoma.</t>
  </si>
  <si>
    <t>Obat Wajib Apotek, Obat ini dapat dibeli dan diserahkan apoteker tanpa resep dengan maksimum 2 Strip. Pembelian melebihi batas ini WAJIB RESEP DOKTER. Gangguan ginjal, DM, depresi, penggunaan bersama obat-obat yang menyebabkan reaksi ekstrapiramidal. Hamil dan laktasi.</t>
  </si>
  <si>
    <t>gangguan gi mual , muntah , intoleransi obat , radiasi</t>
  </si>
  <si>
    <t>enakur</t>
  </si>
  <si>
    <t>enakur tablet metoclopramide hydrochloride gangguan gi mual  muntah  intoleransi obat  radiasi</t>
  </si>
  <si>
    <t>TI204359831</t>
  </si>
  <si>
    <t>Legalon 140 Madaus 30 Tablet</t>
  </si>
  <si>
    <t>LEGALON 140 MADAUS</t>
  </si>
  <si>
    <t>Rp175.400 - Rp309.200</t>
  </si>
  <si>
    <t>legalon 140 madaus</t>
  </si>
  <si>
    <t>legalon madaus</t>
  </si>
  <si>
    <t>legalon madaus tablet legalon 140 madaus membantu memelihara kesehatan fungsi hati</t>
  </si>
  <si>
    <t>DKL0834607481B1</t>
  </si>
  <si>
    <t>Histrine FT 10 mg 10 Tablet</t>
  </si>
  <si>
    <t>PENGGUNAAN OBAT INI HARUS SESUAI DENGAN PETUNJUK DOKTER. Dewasa dan anak berusia &gt; 12 tahun 10 mg setiap hari. Anak-anak 6-11 tahun: 5-10 mg.</t>
  </si>
  <si>
    <t>Rinitis alergi musiman dan perennial Urtikaria kronik</t>
  </si>
  <si>
    <t>Dus, 3 Strip @ 10 Tablet Cepat Larut</t>
  </si>
  <si>
    <t>Obat Wajib Apotek, Obat ini dapat dibeli dan diserahkan apoteker tanpa resep dengan maksimum 1 Strip. Pembelian melebihi batas ini WAJIB RESEP DOKTER. Kehamilan,lanjut usia,anak usia kurang dari 2 tahun,dapat mengganggu kemampuan untuk mengendarai kendaraan atau mengoperasikan mesin,mengurangi fungsi ginjal. Kategori Kehamilan : B</t>
  </si>
  <si>
    <t>rinitis alergi musiman perennial urtikaria kronik</t>
  </si>
  <si>
    <t>histrine ft</t>
  </si>
  <si>
    <t>histrine ft tablet cetirizine dihydrochloride rinitis alergi musiman perennial urtikaria kronik</t>
  </si>
  <si>
    <t>DKL0131521317A1</t>
  </si>
  <si>
    <t>Pregvomit 10 Tablet</t>
  </si>
  <si>
    <t>Rp28.100 - Rp29.900</t>
  </si>
  <si>
    <t>PENGGUNAAN OBAT INI HARUS SESUAI DENGAN PETUNJUK DOKTER. Dewasa : 1-2 tablet/hari 1 jam sebelum bepergian. Anak 6-12 tahun : 1/2 dosis dewasa.</t>
  </si>
  <si>
    <t>Profilaksis muntah paska operasi, Muntah pada kehamilan, Mabuk perjalanan.</t>
  </si>
  <si>
    <t>Pasien yang sedang terapi levodopa.</t>
  </si>
  <si>
    <t>HARUS DENGAN RESEP DOKTER. Dapat mengganggu kemampuan mengemudi atau menjalankan mesin.</t>
  </si>
  <si>
    <t>parathiazine</t>
  </si>
  <si>
    <t>profilaksis muntah paska operasi , muntah kehamilan , mabuk perjalanan</t>
  </si>
  <si>
    <t>pregvomit</t>
  </si>
  <si>
    <t>pregvomit tablet parathiazine profilaksis muntah paska operasi  muntah kehamilan  mabuk perjala</t>
  </si>
  <si>
    <t>GKL9832705374A1</t>
  </si>
  <si>
    <t>Isosorbide Dinitrate 5 mg 10 Tablet</t>
  </si>
  <si>
    <t>Rp1.500 - Rp2.800</t>
  </si>
  <si>
    <t>Dihisap dibawah lidah</t>
  </si>
  <si>
    <t>PENGGUNAAN OBAT INI HARUS SESUAI DENGAN PETUNJUK DOKTER. Dosis awal: 5 mg, dapat ditingkatkan 10 mg pada hari ke-2 atau ke-3 sesuai anjuran dokter. Dosis pemeliharaan: 1 tablet 2 kali per hari.</t>
  </si>
  <si>
    <t>INFORMASI OBAT INI HANYA UNTUK KALANGAN MEDIS. Pencegahan dan pengobatan angina pektoris yang disebabkan penyakit jantung koroner</t>
  </si>
  <si>
    <t>Dus, 6 Strip @ 10 Tablet.</t>
  </si>
  <si>
    <t>Infark miokard akut, hipotensi, syok, hipovolemia, trauma serebral, anemia.</t>
  </si>
  <si>
    <t>HARUS DENGAN RESEP DOKTER. - Glaukoma sudut tertutup, hipotiroid, malnutrisi, hipotermia, sirkulasi darah yang tidak stabil. - Anak-anak.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</si>
  <si>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pencegahan pengobatan angina pektoris disebabkan penyakit jantung koroner</t>
  </si>
  <si>
    <t>isosorbide dinitrate tablet pencegahan pengobatan angina pektoris disebabkan penyakit jantung koroner</t>
  </si>
  <si>
    <t>DTL9222221204A1</t>
  </si>
  <si>
    <t>Sanaflu 4 Kaplet</t>
  </si>
  <si>
    <t>Rp2.900 - Rp5.300</t>
  </si>
  <si>
    <t>Dewasa : 3 kali sehari 1 kaplet. Anak 6-12 tahun : 3 kali sehari 1/2 kaplet</t>
  </si>
  <si>
    <t>Meredakan gejala2 Flu, Demam, sakit Kepala &amp; Hidung tersumbat</t>
  </si>
  <si>
    <t>Dus, 25 Catch Cover @ 4 Kaplet</t>
  </si>
  <si>
    <t>Pasien yang memiliki riwayat hipersensitif terhadap salah satu komponen obat ini. Pasien yang memiliki kepekaan terhadap obat simpatomimetik lain seperti efedrin, pseudoefedrin, fenilefrin juga dikontraindikasikan menggunakan obat ini. Pasien penderita hipertensi parah, penyakit jantung, diabetes mellitus, dan gangguan fungsi hati yang parah tidak boleh menggunakan obat ini. Kontraindikasi juga bagi pasien yang sedang menggunakan obat-obat golongan monoamine oksidase (MAO) inhibitors, karena bisa meningkatkan tekanan darah.</t>
  </si>
  <si>
    <t>Hipertensi, punya potensi hipertensi atau stroke, gangguan fungsi hati/ ginjal, glaukoma, hipertrofi prostat, retensi urin, gagal jantung dan DM. Anak &lt;6 tahun. Hamil dan laktasi.</t>
  </si>
  <si>
    <t>meredakan gejala2 flu , demam , sakit kepala hidung tersumbat</t>
  </si>
  <si>
    <t>sanaflu</t>
  </si>
  <si>
    <t>sanaflu kaplet paracetamol meredakan gejala2 flu  demam  sakit kepala hidung tersumbat</t>
  </si>
  <si>
    <t>DKL9617612217A1</t>
  </si>
  <si>
    <t>Tilidon 10 mg 10 Tablet</t>
  </si>
  <si>
    <t>Rp77.300 - Rp77.400</t>
  </si>
  <si>
    <t>Dikonsumsi pada perut kosong (15 sampai 30 menit sebelum makan).</t>
  </si>
  <si>
    <t>INFORMASI OBAT INI HANYA UNTUK KALANGAN MEDIS. Pengobatan jangka pendek untuk mual dan muntah. Gejala dispepsia fungsional.</t>
  </si>
  <si>
    <t>Prolactinoma</t>
  </si>
  <si>
    <t>HARUS DENGAN RESEP DOKTER. Tidak untuk pengobatan jangka panjang mual dan muntah. Konsultasikan terlebih dahulu kepada dokter jika akan dikonsumsi pada anak usia di bawah 2 tahun. Hati-hati penggunaanya pada pasien lansia dengan riwayar penyakit jantung. Hati-hati penggunaanya pada ibu hamil dan menyusui.</t>
  </si>
  <si>
    <t>pengobatan jangka pendek mual muntah  gejala dispepsia fungsional</t>
  </si>
  <si>
    <t>tilidon</t>
  </si>
  <si>
    <t>tilidon tablet domperidone pengobatan jangka pendek mual muntah  gejala dispepsia fungsional</t>
  </si>
  <si>
    <t>DKI0167600346A1</t>
  </si>
  <si>
    <t>Tarivid Ophtalmic Solution 5 ml</t>
  </si>
  <si>
    <t>Rp115.700 - Rp119.600</t>
  </si>
  <si>
    <t>PENGGUNAAN OBAT INI HARUS SESUAI DENGAN PETUNJUK DOKTER. Konjungtivitis bakterial : hari 1 &amp; 2 : 1-2 tetes tiap 2-4 jam, hari 3-7 : 4 x sehari 1-2 tetes. Ulkus Kornea bakterial : hari 1 &amp; 2 : 1-2 tetes tiap 30 menit dan 1-2 tetes tiap 4-6 jam sesudah bangun tidur, hari 3-9 : 1-2 tetes tiap jam atau pada hari</t>
  </si>
  <si>
    <t>INFORMASI OBAT INI HANYA UNTUK KALANGAN MEDIS. Infeksi mata yang disebabkan organisme yang sensitif terhadap Ofloxacin</t>
  </si>
  <si>
    <t>Hipersensitif terhadap ofloksasin atau kuinolon</t>
  </si>
  <si>
    <t>HARUS DENGAN RESEP DOKTER. Jangan digunakan untuk waktu lama. Pengendapan dapat terjadi selama ulkus kornea. Hentikan terapi saat pertama kali terjadi ruam kulit atau reaksi alergi lain. Penggunaan jangka lama dapat mengakibatkan pertumbuhan berlebihan dari organisme yang tidak pek</t>
  </si>
  <si>
    <t>infeksi mata disebabkan organisme sensitif ofloxacin</t>
  </si>
  <si>
    <t>tarivid ophtalmic solution</t>
  </si>
  <si>
    <t>tarivid ophtalmic solution tetes ofloxacin infeksi mata disebabkan organisme sensitif ofloxacin</t>
  </si>
  <si>
    <t>DKL1121602210B1</t>
  </si>
  <si>
    <t>Salbuven 4 mg 10 Tablet</t>
  </si>
  <si>
    <t>Rp16.200 - Rp23.800</t>
  </si>
  <si>
    <t>Tidak boleh digunakan untuk mengatasi abortus yang mengancam selama kehamilan trimester ke-1 dan ke-2 pada pasien dengan riwayat hipersensitivitas terhadap komponen obat ini</t>
  </si>
  <si>
    <t>salbuven</t>
  </si>
  <si>
    <t>salbuven tablet salbutamol sulfate bronkospasme jenis asma bronkial  bronkritis kronik  emfisema</t>
  </si>
  <si>
    <t>DKL9930906509A1</t>
  </si>
  <si>
    <t>Pritagesic 10 Kaplet</t>
  </si>
  <si>
    <t>Rp5.200 - Rp14.300</t>
  </si>
  <si>
    <t>Untuk menghilangkan rasa sakit yang disebabkan oleh neuritis dan neuralgia, terutama pada keadaan rasa sakit yang bera</t>
  </si>
  <si>
    <t>untuk menghilangkan sakit disebabkan neuritis neuralgia , sakit bera</t>
  </si>
  <si>
    <t>pritagesic</t>
  </si>
  <si>
    <t>pritagesic kaplet cyanocobalamin untuk menghilangkan sakit disebabkan neuritis neuralgia  sakit bera</t>
  </si>
  <si>
    <t>TR152383791</t>
  </si>
  <si>
    <t>Konilife Urafit 30 Kapsul</t>
  </si>
  <si>
    <t>KONILIFE URAFIT</t>
  </si>
  <si>
    <t>Rp92.600 - Rp131.300</t>
  </si>
  <si>
    <t>1 kapsul 3 kali per hari</t>
  </si>
  <si>
    <t>Menurunkan asam urat, serta meredakan pegal linu dan nyeri sendi.</t>
  </si>
  <si>
    <t>Box Isi 30 Kapsul</t>
  </si>
  <si>
    <t>konilife urafit</t>
  </si>
  <si>
    <t>menurunkan asam urat , meredakan pegal linu nyeri sendi</t>
  </si>
  <si>
    <t>konilife urafit kapsul menurunkan asam urat  meredakan pegal linu nyeri sendi</t>
  </si>
  <si>
    <t>DKI0186101046A1</t>
  </si>
  <si>
    <t>Xalatan Eye Drop 2.5 ml</t>
  </si>
  <si>
    <t>Rp352.100 - Rp618.700</t>
  </si>
  <si>
    <t>digunakan untuk membantu menurunkan tekanan pada isi bola mata.</t>
  </si>
  <si>
    <t>Dus, Botol plastik @ 2.5 ml</t>
  </si>
  <si>
    <t>latanoprost</t>
  </si>
  <si>
    <t>membantu menurunkan tekanan isi bola mata</t>
  </si>
  <si>
    <t>xalatan eye drop</t>
  </si>
  <si>
    <t>xalatan eye drop tetes latanoprost membantu menurunkan teka isi bola mata</t>
  </si>
  <si>
    <t>DKL0908515703A1</t>
  </si>
  <si>
    <t>Tamezol 20 mg 10 Kapsul</t>
  </si>
  <si>
    <t>Diberikan segera sebelum makan pagi</t>
  </si>
  <si>
    <t>Tukak duodenum,tukak lambung,refluks esofagitis, hipersekresi patologis</t>
  </si>
  <si>
    <t>Kapsul 20 Mg X 3 X 10</t>
  </si>
  <si>
    <t>Hipersensitif terhadap omeprazole.</t>
  </si>
  <si>
    <t>HARUS DENGAN RESEP DOKTER. Hamil, laktasi.</t>
  </si>
  <si>
    <t>omeprazole</t>
  </si>
  <si>
    <t>tukak duodenum , tukak lambung , refluks esofagitis , hipersekresi patologis</t>
  </si>
  <si>
    <t>tamezol</t>
  </si>
  <si>
    <t>tamezol kapsul omeprazole tukak duodenum  tukak lambung  refluks esofagitis  hipersekresi patologis</t>
  </si>
  <si>
    <t>TR162297841</t>
  </si>
  <si>
    <t>Herbadrink Kunyit Asam 25 g 5 Sachet</t>
  </si>
  <si>
    <t>HERBADRINK KUNYIT ASAM</t>
  </si>
  <si>
    <t>Rp10.500 - Rp19.300</t>
  </si>
  <si>
    <t>Larutkan 1 saset Herbadrink Kunyit Asam kedalam +/- 150 ml air panas atau dingin, sajikan dan nikmati manfaat alaminya segera</t>
  </si>
  <si>
    <t>Membantu melancarkan haid dan membantu mengurangi bau badan</t>
  </si>
  <si>
    <t>Dus, 5 Sachet @ 25 g</t>
  </si>
  <si>
    <t>herbadrink kunyit asam</t>
  </si>
  <si>
    <t>membantu melancarkan haid membantu mengurangi bau badan</t>
  </si>
  <si>
    <t>herbadrink kunyit asam sachet membantu melancarkan haid membantu mengurangi bau badan</t>
  </si>
  <si>
    <t>DTL8710800637A1</t>
  </si>
  <si>
    <t>Combicitrine Sirup 10 ml</t>
  </si>
  <si>
    <t>Rp3.800 - Rp5.000</t>
  </si>
  <si>
    <t>Cacing gelang dewasa dan anak &gt; 6 tahun 15 ml, anak 3-6 tahun 10 ml, anak 1-3 tahun 5 ml, bayi 2,5 ml. untuk cacing kremi dewasa dan anak &gt; 6 tahun 3x5 ml, anak 3-6 tahun sehari 2x 5 ml, anak 1-3 tahun sehari 2x2,5 ml, bayi 0,5 ml/kgBB diminum 4 hari berturut-turut.</t>
  </si>
  <si>
    <t>Untuk mengatasi cacing gelang dn cacing kremi</t>
  </si>
  <si>
    <t>Dus, 12 Botol @ 10 ml</t>
  </si>
  <si>
    <t>Penderita dengan ggn ginjal atau anak pernah mengalami kejang-kejang</t>
  </si>
  <si>
    <t>gangguan fungsi ginjal , gangguan fungsi hati, epilepsi, kehamilan, menyusui.</t>
  </si>
  <si>
    <t>piperazine citrate</t>
  </si>
  <si>
    <t>untuk mengatasi cacing gelang dn cacing kremi</t>
  </si>
  <si>
    <t>combicitrine</t>
  </si>
  <si>
    <t>combicitrine sirup piperazine citrate untuk mengatasi cacing gelang dn cacing kremi</t>
  </si>
  <si>
    <t>DKL7214703063A1</t>
  </si>
  <si>
    <t>Aspilets 10 Tablet Kunyah</t>
  </si>
  <si>
    <t>Rp5.400 - Rp9.000</t>
  </si>
  <si>
    <t>Diberikan setelah makan pagi/siang/malam, dapat ditelan utuh atau dikunyah.</t>
  </si>
  <si>
    <t>aspilets kunyah</t>
  </si>
  <si>
    <t>aspilets kunyah tablet acetylsalicylic acid pengobatan pencegahan angina pektoris infark miokard</t>
  </si>
  <si>
    <t>GKL1808519001B1</t>
  </si>
  <si>
    <t>Celecoxib 100 mg 10 Kapsul</t>
  </si>
  <si>
    <t>Rp44.800 - Rp57.900</t>
  </si>
  <si>
    <t>PENGGUNAAN OBAT INI HARUS SESUAI DENGAN PETUNJUK DOKTER. OA &amp; Spondilitis ankilosa : 200mg, 1 kali sehari 1 kapsul atau 100mg, 2 kali sehari 1 kapsul AR : 100-200mg 2 kali sehari</t>
  </si>
  <si>
    <t>INFORMASI OBAT INI HANYA UNTUK KALANGAN MEDIS. Meredakan tanda2 &amp; gejala2 OA, RA &amp; Ankilosing Spondilitis pada orang dewasa</t>
  </si>
  <si>
    <t>Dus, 5 Blister @ 10 Kapsul</t>
  </si>
  <si>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</si>
  <si>
    <t>HARUS DENGAN RESEP DOKTER. Pasien dengan riwayat komplikasi gastrointestinal (misalnya ulserasi dan perdarahan), hipertensi, diabetes mellitus, hiperlipidemia.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</si>
  <si>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celecoxib</t>
  </si>
  <si>
    <t>meredakan tanda2 gejala2 oa , ra ankilosing spondilitis orang dewasa</t>
  </si>
  <si>
    <t>celecoxib kapsul meredakan tanda2 gejala2 oa  ra ankilosing spondilitis orang dewasa</t>
  </si>
  <si>
    <t>TR172203411</t>
  </si>
  <si>
    <t>Herbana Relief Sari Jinten Hitam 30 Kapsul</t>
  </si>
  <si>
    <t>HERBANA RELIEF SARI JINTEN HITAM</t>
  </si>
  <si>
    <t>Rp94.400 - Rp124.600</t>
  </si>
  <si>
    <t>herbana relief sari jinten hitam</t>
  </si>
  <si>
    <t>herbana relief sari jinten hitam kapsul membantu memelihara daya tahan tubuh</t>
  </si>
  <si>
    <t>Hansaplast Kain Elastis Fun 8 Lembar</t>
  </si>
  <si>
    <t>Rp3.500 - Rp4.100</t>
  </si>
  <si>
    <t>Pack isi 8 lembar</t>
  </si>
  <si>
    <t>DBL7615808729A1</t>
  </si>
  <si>
    <t>Biocream Cream 20 g</t>
  </si>
  <si>
    <t>Rp38.000 - Rp41.800</t>
  </si>
  <si>
    <t>Oleskan tipis pada bagian tubuh yang diinginkan</t>
  </si>
  <si>
    <t>Oleskan 2-3 kali sehari.</t>
  </si>
  <si>
    <t>Pelembab untuk kulit kering. Krim pelindung kulit selama radioterapi (penyinaran).</t>
  </si>
  <si>
    <t>Konsultasikan ke dokter jika terjadi efek samping yang parah.</t>
  </si>
  <si>
    <t>pelembab kulit kering  krim pelindung kulit radioterapi penyinaran</t>
  </si>
  <si>
    <t>biocream cream</t>
  </si>
  <si>
    <t>biocream cream krim  pelembab kulit kering  krim pelindung kulit radioterapi penyinaran</t>
  </si>
  <si>
    <t>Kondom Fiesta Bubble Gum Isi 3</t>
  </si>
  <si>
    <t>Sebagai alat kontrasepsi</t>
  </si>
  <si>
    <t>sebagai alat kontrasepsi</t>
  </si>
  <si>
    <t>kondom fiesta bubble gum isi</t>
  </si>
  <si>
    <t>kondom fiesta bubble gum isi tablet sildenafil citrate sebagai alat kontrasepsi</t>
  </si>
  <si>
    <t>GKL1604526310A1</t>
  </si>
  <si>
    <t>Griseofulvin 500 mg 10 Tablet</t>
  </si>
  <si>
    <t>Rp17.000 - Rp26.600</t>
  </si>
  <si>
    <t>Sesudah makan atau bersama dengan susu</t>
  </si>
  <si>
    <t>PENGGUNAAN OBAT INI HARUS SESUAI DENGAN PETUNJUK DOKTER. Dewasa: dosis tunggal 500 mg per hari, anak: 10 mg/kgBB dalam dosis tunggal atau terbagi.</t>
  </si>
  <si>
    <t>INFORMASI OBAT INI HANYA UNTUK KALANGAN MEDIS. Infeksi jamur pada kulit, kulit kepala dan kuku apabila pengobatan secara topikal gagal</t>
  </si>
  <si>
    <t>Porfiria, kerusakan selhati, lupus eritematosus, hamil.</t>
  </si>
  <si>
    <t>HARUS DENGAN RESEP DOKTER. Penggunaan jangka panjang, reaksi sensitivitas silang dengan penisilin, reaksi fotosensitivitas. Kategori kehamilan: X</t>
  </si>
  <si>
    <t>infeksi jamur kulit , kulit kepala kuku pengobatan topikal gagal</t>
  </si>
  <si>
    <t>griseofulvin tablet infeksi jamur kulit  kulit kepala kuku pengobatan topikal gagal</t>
  </si>
  <si>
    <t>TR212343191</t>
  </si>
  <si>
    <t>Sido Muncul Sari Kunyit 50 Kapsul</t>
  </si>
  <si>
    <t>SARI KUNYIT</t>
  </si>
  <si>
    <t>Pemeliharaan : 3 x sea\hari 1 kapsul, pengobatan : 3 x sehari 2 kapsul</t>
  </si>
  <si>
    <t>Membantu memelihara kesehatan pencernaan</t>
  </si>
  <si>
    <t>Botol Isi 50</t>
  </si>
  <si>
    <t>Tidak dianjurkan untuk wanita hamil dan menyusui</t>
  </si>
  <si>
    <t>sari kunyit</t>
  </si>
  <si>
    <t>sido muncul sari kunyit kapsul sari kunyit membantu memelihara kesehatan pencernaan</t>
  </si>
  <si>
    <t>Rp66.000 - Rp78.900</t>
  </si>
  <si>
    <t>Kondom Durex Invisible Extra Thin Isi 2</t>
  </si>
  <si>
    <t>Rp43.000 - Rp47.300</t>
  </si>
  <si>
    <t>kondom durex invisible extra thin isi</t>
  </si>
  <si>
    <t>kondom durex invisible extra thin isi tablet sildenafil citrate alat kontrasepsi</t>
  </si>
  <si>
    <t>DTL7223404837A1</t>
  </si>
  <si>
    <t>Coparcetin Sirup 60 ml</t>
  </si>
  <si>
    <t>Rp8.700 - Rp24.000</t>
  </si>
  <si>
    <t>Anak (6-12 tahun): 3 kali sehari 1 sendok takar (5 ml) atau menurut petunjuk dokter</t>
  </si>
  <si>
    <t>Bekerja sebagai analgetik-antipiretik, antihistamin, ekspektoran, dan dekongestan hidung.</t>
  </si>
  <si>
    <t>bekerja analgetik - antipiretik , antihistamin , ekspektoran , dekongestan hidung</t>
  </si>
  <si>
    <t>coparcetin</t>
  </si>
  <si>
    <t>coparcetin sirup chlorphenamine maleate bekerja analgetik  antipiretik  antihistamin  ekspektoran  dekongestan hidung</t>
  </si>
  <si>
    <t>metamizole sodium monohydrate hyoscine butylbromide</t>
  </si>
  <si>
    <t>procolic tablet metamizole sodium monohydrate hyoscine butylbromide dismenore  kolik empedu ginjal</t>
  </si>
  <si>
    <t>dried aluminium hydroxide gel magnesium hydroxide simethicone</t>
  </si>
  <si>
    <t xml:space="preserve">ultilox forte kunyah tablet dried aluminium hydroxide gel magnesium hydroxide simethicone </t>
  </si>
  <si>
    <t>Dermatix Wound Care 20 g</t>
  </si>
  <si>
    <t>Rp105.000 - Rp114.000</t>
  </si>
  <si>
    <t>Membentuk lapisan pelindun dan mendinginkan luka secara langsung.</t>
  </si>
  <si>
    <t>Tube @ 20 g</t>
  </si>
  <si>
    <t>Jangan menggunakan Dermatix Wound Care pada wajah, mata, kelopak mata atau mukosa. Hanya untuk pemakaian luar. Jauhkan dari jangkauan anak-anak.</t>
  </si>
  <si>
    <t>membentuk lapisan pelindun mendinginkan luka langsung</t>
  </si>
  <si>
    <t>dermatix wound care</t>
  </si>
  <si>
    <t>dermatix wound care larutan povidoneiodine membentuk lapisan pelindun mendinginkan luka langsung</t>
  </si>
  <si>
    <t>DKL0203808646A1</t>
  </si>
  <si>
    <t>Cendo Ulcori Minidose 0.6 ml</t>
  </si>
  <si>
    <t>Rp25.300 - Rp28.000</t>
  </si>
  <si>
    <t>PENGGUNAAN OBAT INI HARUS SESUAI DENGAN PETUNJUK DOKTER. Atas anjuran dokter</t>
  </si>
  <si>
    <t>Tetes mata steril untuk infeksi dan iritasi mata.</t>
  </si>
  <si>
    <t>tetes mata steril infeksi iritasi mata</t>
  </si>
  <si>
    <t>cendo ulcori minidose</t>
  </si>
  <si>
    <t>cendo ulcori minidose tetes ciprofloxacin tetes mata steril infeksi iritasi mata</t>
  </si>
  <si>
    <t>TR062356251</t>
  </si>
  <si>
    <t>Borobudur Jati Belanda 100 Kapsul</t>
  </si>
  <si>
    <t>BRD JATI BELANDA</t>
  </si>
  <si>
    <t>Rp79.900 - Rp121.400</t>
  </si>
  <si>
    <t>Dapat dikonsumsi setelah makan.</t>
  </si>
  <si>
    <t>Penggunaan produk ini harus disertai dengan olahraga teratur, diet rendah kalori dan rendah lemak. Cara penyimpanan: Simpan di tempat yang kering dan terhindar dari sinar matahari langsung. Simpan pada suhu dibawah 30ï¿½C.</t>
  </si>
  <si>
    <t>brd jati belanda</t>
  </si>
  <si>
    <t>borobudur jati belanda</t>
  </si>
  <si>
    <t>borobudur jati belanda kapsul brd jati belanda membantu mengurangi lemak tubuh</t>
  </si>
  <si>
    <t>Borobudur Jati Belanda 60 Kapsul</t>
  </si>
  <si>
    <t>Rp55.900 - Rp91.000</t>
  </si>
  <si>
    <t>Betadine 10% Salep 20 g</t>
  </si>
  <si>
    <t>Rp36.400 - Rp45.700</t>
  </si>
  <si>
    <t>Dioleskan pada daerah luka atau luka bakar serta area sekitarnya.</t>
  </si>
  <si>
    <t>Oleskan 1- 2 kali per hari pada luka dan luka bakar.</t>
  </si>
  <si>
    <t>Mencegah infeksi pada kulit yang luka dan sebagai terapi untuk infeksi kulit karena mikroba.</t>
  </si>
  <si>
    <t>Hipersensitivitas terhadap iodine</t>
  </si>
  <si>
    <t>Hati-hati pada penderita yang hipersensitif terhadap iodium.</t>
  </si>
  <si>
    <t>mencegah infeksi kulit luka terapi infeksi kulit mikroba</t>
  </si>
  <si>
    <t>betadine</t>
  </si>
  <si>
    <t>betadine larutan povidoneiodine mencegah infeksi kulit luka terapi infeksi kulit mikroba</t>
  </si>
  <si>
    <t>levocin eye tetes levofloxacin hemihydrate pengobatan infeksi mata eksternal bola mata</t>
  </si>
  <si>
    <t>TR082383481</t>
  </si>
  <si>
    <t>Borobudur Susut Perut 30 Kapsul</t>
  </si>
  <si>
    <t>BRD SUSUT PERUT</t>
  </si>
  <si>
    <t>Rp35.300 - Rp49.800</t>
  </si>
  <si>
    <t>Minumlah secara teratur 2 kali sehari @ 2 Kapsul.</t>
  </si>
  <si>
    <t>brd susut perut</t>
  </si>
  <si>
    <t>borobudur susut perut</t>
  </si>
  <si>
    <t>borobudur susut perut kapsul brd susut perut membantu mengurangi lemak tubuh</t>
  </si>
  <si>
    <t>DKL9004406337A1</t>
  </si>
  <si>
    <t>Salbron Expectorant 100 ml</t>
  </si>
  <si>
    <t>Rp15.900 - Rp25.700</t>
  </si>
  <si>
    <t>Berikan 1 jam sebelum atau 2 jam sesudah makan.</t>
  </si>
  <si>
    <t>PENGGUNAAN OBAT INI HARUS SESUAI DENGAN PETUNJUK DOKTER. Dewasa dan anak &gt; 12 tahun : 1-2 sendok takar 3-4 kali sehari. Anak 6-12 tahun : 1 sendok takar 3-4 kali sehari. Anak 2-6 tahun : 1/2-1 sendok takar 3-4 kali sehari. i. Dosis anak : 0.3 mg/kg BB/hari terbagi dalam 3-4 dosis.</t>
  </si>
  <si>
    <t>Asma Bronkhial, Bronkitis Khronis, Emfisema &amp; kondisi2 Bronkhospastik lainnya</t>
  </si>
  <si>
    <t>HARUS DENGAN RESEP DOKTER. Hipertiroid, penyakit KV, aneurisma, DM, glaukoma sudut sempit. Pasien yang menerima antihipertensi atau menggunakan anestesi halogen.</t>
  </si>
  <si>
    <t>asma bronkhial , bronkitis khronis , emfisema kondisi2 bronkhospastik</t>
  </si>
  <si>
    <t>salbron expectorant</t>
  </si>
  <si>
    <t>salbron expectorant sirup glycerol asma bronkhial  bronkitis khronis  emfisema kondisi2 bronkhospastik</t>
  </si>
  <si>
    <t>- DRIED ALUMINIUM HYDROXIDE GEL. MAGNESIUM HYDROXIDE. SIMETHICONE EMULSION 30</t>
  </si>
  <si>
    <t>dried aluminium hydroxide gel magnesium hydroxide simethicone emulsion 30</t>
  </si>
  <si>
    <t xml:space="preserve">ultilox tablet dried aluminium hydroxide gel magnesium hydroxide simethicone emulsion 30 </t>
  </si>
  <si>
    <t>DKL0209316433A1</t>
  </si>
  <si>
    <t>Ulsicral Suspensi 200 ml</t>
  </si>
  <si>
    <t>Rp60.700 - Rp93.100</t>
  </si>
  <si>
    <t>Saat perut kosong : 1 jam sebelum makan atau 2 jam sesudah makan</t>
  </si>
  <si>
    <t>PENGGUNAAN OBAT INI HARUS SESUAI DENGAN PETUNJUK DOKTER. Dewasa : 4 x sehari 2 sendok takar 5 cc, bila dalam 1-2 minggu belum sembuh dapat dilanjutkan sampai 4-8 minggu.</t>
  </si>
  <si>
    <t>HARUS DENGAN RESEP DOKTER. Gagal ginjal kronik, pasien dialisis, hamil, laktasi, Anak</t>
  </si>
  <si>
    <t>ulsicral</t>
  </si>
  <si>
    <t>ulsicral suspensi sucralfate tukak ulkus usus halus terapi maksimal 8 minggu</t>
  </si>
  <si>
    <t>DKL9914706715A1</t>
  </si>
  <si>
    <t>Thrombo Aspilets 80 mg 30 Tablet</t>
  </si>
  <si>
    <t>Rp25.700 - Rp40.100</t>
  </si>
  <si>
    <t>Diberikan setelah makan. Telan utuh, jangan dikunyak, dipotong, atau dihancurkan.</t>
  </si>
  <si>
    <t>Dus, 5 Blister @ 30 Tablet salut enterik</t>
  </si>
  <si>
    <t>thrombo aspilets</t>
  </si>
  <si>
    <t>thrombo aspilets tablet acetylsalicylic acid pengobatan pencegahan angina pektoris infark miokard</t>
  </si>
  <si>
    <t>GKL1415721097A1</t>
  </si>
  <si>
    <t>Trimetazidine 35 mg 10 Tablet</t>
  </si>
  <si>
    <t>Rp22.200 - Rp32.200</t>
  </si>
  <si>
    <t>Obat diminum bersamaan dengan makanan</t>
  </si>
  <si>
    <t>PENGGUNAAN OBAT INI HARUS SESUAI DENGAN PETUNJUK DOKTER. 2 x 1 tabket</t>
  </si>
  <si>
    <t>INFORMASI OBAT INI HANYA UNTUK KALANGAN MEDIS. Tambahan untuk terapo antiangina dan terapi jangka panjang untuk angina pektoris</t>
  </si>
  <si>
    <t>Hipersensitif , menyusui</t>
  </si>
  <si>
    <t>HARUS DENGAN RESEP DOKTER. Kehamilan dan menyusui. Katagori kehamilan : Belum terdapat data keamanan terkait penggunaan obat ini pada wanita hamil dan/atau menyusui. Konsultasikan kepada dokter apabila Anda sedang hamil dan/atau menyusui.</t>
  </si>
  <si>
    <t>tambahan terapo antiangina terapi jangka angina pektoris</t>
  </si>
  <si>
    <t>trimetazidine</t>
  </si>
  <si>
    <t>trimetazidine tablet trimetazidine dihydrochloride tambahan terapo antiangina terapi jangka angina pektoris</t>
  </si>
  <si>
    <t>obh afiat sirup succus liquiritiae ammonium chloride untuk meredakan batuk berdahak</t>
  </si>
  <si>
    <t>TI104344331</t>
  </si>
  <si>
    <t>Sea-Quill Evening Primrose Oil 1000 mg 50 Kapsul</t>
  </si>
  <si>
    <t>SEA-QUILL EVENING PRIMROSE OIL 1000 MG</t>
  </si>
  <si>
    <t>Rp363.000 - Rp787.300</t>
  </si>
  <si>
    <t>sea-quill evening primrose oil 1000 mg</t>
  </si>
  <si>
    <t>seaquill evening primrose oil</t>
  </si>
  <si>
    <t xml:space="preserve">seaquill evening primrose oil kapsul seaquill evening primrose oil 1000 mg </t>
  </si>
  <si>
    <t>grafalin tablet salbutamol sulfate bronkospasme jenis asma bronkial  bronkritis kronik  emfisema</t>
  </si>
  <si>
    <t>Ulsicral Suspensi 100 ml</t>
  </si>
  <si>
    <t>Rp36.300 - Rp61.000</t>
  </si>
  <si>
    <t>GKL1319617710A1</t>
  </si>
  <si>
    <t>Methisoprinol 500 mg 4 Tablet</t>
  </si>
  <si>
    <t>Rp22.400 - Rp28.500</t>
  </si>
  <si>
    <t>Dus, 2 Strip @ 4 Tablet</t>
  </si>
  <si>
    <t>HARUS DENGAN RESEP DOKTER. - Pasien dengan riwayat gout atau hiperurisemia (kadar asam urat tinggi) - Pasien dengan riwayat urolithiasis (batu ginjal) - Penderita penyakit jantung.Belum terdapat data keamanan terkait penggunaan obat ini pada wanita hamil dan/atau menyusui Konsultasikan kepada dokter apabila Anda sedang hamil dan/atau menyusui.</t>
  </si>
  <si>
    <t>pantoprazole sodium sesquihydrate</t>
  </si>
  <si>
    <t>methisoprinol tablet pantoprazole sodium sesquihydrate sebagai imunomodulator infeksi virus kondisi imunodefisiensi</t>
  </si>
  <si>
    <t>GKL8912409704B2</t>
  </si>
  <si>
    <t>Ampicillin 500 mg 10 Tablet</t>
  </si>
  <si>
    <t>Rp9.700 - Rp13.200</t>
  </si>
  <si>
    <t>Diberikan _ sampai 1 jam sebelum makan.</t>
  </si>
  <si>
    <t>PENGGUNAAN OBAT INI HARUS SESUAI DENGAN PETUNJUK DOKTER. Infeksi saluran pernafasan : 250?500 mg setiap 6 jam. Infeksi saluran pencernaan, saluran kemih dan kelamin : 500 mg setiap 6 jam. Anak-anak dengan berat badan 20 kg atau kurang : 50?100 mg/kg BB sehari diberikan dalam dosis terbagi setiap 6 jam. Pada infeksi yang berat dianjurkan diberikan dosis yang lebih tinggi.</t>
  </si>
  <si>
    <t>INFORMASI OBAT INI HANYA UNTUK KALANGAN MEDIS. Infeksi saluran pernafasan,seperti pneumonia faringitis, bronkitis, laringitis</t>
  </si>
  <si>
    <t>Hipersensitif terhadap penisilin.</t>
  </si>
  <si>
    <t>HARUS DENGAN RESEP DOKTER. Bagi wanita hamil, merencanakan kehamilan, atau sedang menyusui, tanyakan pada dokter sebelum mengonsumsi obat ini.Harap berhati-hati bagi yang menderita gangguan ginjal dan demam kelenjar dalam mengonsumsi obat ini.</t>
  </si>
  <si>
    <t>infeksi saluran pernafasan , pneumonia faringitis , bronkitis , laringitis</t>
  </si>
  <si>
    <t>ampicillin</t>
  </si>
  <si>
    <t>ampicillin kaplet ampicillin trihydrate infeksi saluran pernafasan  pneumonia faringitis  bronkitis  laringitis</t>
  </si>
  <si>
    <t>DKL9609205504B1</t>
  </si>
  <si>
    <t>Faxiden 20 mg 10 Kaplet</t>
  </si>
  <si>
    <t>PENGGUNAAN OBAT INI HARUS SESUAI DENGAN PETUNJUK DOKTER. Pemakaian FAXIDEN harus dikonsultasikan dengan dokter anda. Berikan sesudah makan</t>
  </si>
  <si>
    <t>FAXIDEN merupakan obat yang digunakan untuk membantu mengurangi rasa sakit, pembengkakan, dan kekakuan sendi.</t>
  </si>
  <si>
    <t>Dus,10 Strip@ 10 tablet</t>
  </si>
  <si>
    <t>hipersensitivitas, tukak GI</t>
  </si>
  <si>
    <t>HARUS DENGAN RESEP DOKTER. Kategori Kehamilan : C untuk semester 1 &amp; 2, D untuk semester 3</t>
  </si>
  <si>
    <t>faxiden obat membantu mengurangi sakit , pembengkakan , kekakuan sendi</t>
  </si>
  <si>
    <t>faxiden kaplet piroxicam faxiden obat membantu mengurangi sakit  pembengkakan  kekakuan sendi</t>
  </si>
  <si>
    <t>DBL7222708910A1</t>
  </si>
  <si>
    <t>Bodrexin 80 mg 16 Tablet Kunyah</t>
  </si>
  <si>
    <t>Tablet harus diminum atau dihisap setelah makan</t>
  </si>
  <si>
    <t>Anak 2-3 Tahun : 1 tablet. Anak 4-5 Tahun : 2 tablet. Anak 6-8 Tahun : 3 tablet. Jika perlu bisa diulang tiap 4 jam atau menurut petunjuk dokter.</t>
  </si>
  <si>
    <t>Menurunkan demam dan meringankan rasa nyeri pada anak-anak</t>
  </si>
  <si>
    <t>Dus, 4 Strip @ 4 tablet</t>
  </si>
  <si>
    <t>Ulkus peptikum, asma dan penggunaan bersama antikoagulan, penderita hemofilia dan trombositopenia, hipersensitif terhadap salisilat</t>
  </si>
  <si>
    <t>Jangan melebihi dosis yang dianjurkan karena dapat menyebabkan kerusakan hati, kecuali atas petunjuk dokter. Penggunaan obat harus hati-hati pada penderita penyakit ginjal.</t>
  </si>
  <si>
    <t>menurunkan demam meringankan nyeri anak - anak</t>
  </si>
  <si>
    <t>bodrexin kunyah</t>
  </si>
  <si>
    <t>bodrexin kunyah tablet acetylsalicylic acid menurunkan demam meringankan nyeri anak  anak</t>
  </si>
  <si>
    <t>Laurier Active Day Super Maxi Non Wing 8 Pads</t>
  </si>
  <si>
    <t>Rp4.200 - Rp9.300</t>
  </si>
  <si>
    <t>laurier active day super maxi non wing pads</t>
  </si>
  <si>
    <t xml:space="preserve">laurier active day super maxi non wing pads tablet sildenafil citrate </t>
  </si>
  <si>
    <t>tegaderm w x tablet pioglitazone hydrochloride untuk perawatan luka tusuk infus</t>
  </si>
  <si>
    <t>TR212314861</t>
  </si>
  <si>
    <t>Nutrimax Echinacea 30 Kapsul</t>
  </si>
  <si>
    <t>NUTRIMAX ECHINACEA EXTRACT</t>
  </si>
  <si>
    <t>Rp142.500 - Rp279.600</t>
  </si>
  <si>
    <t>Diminum setelah makan, selama 2 minggu berturut-turut, kemudian hentikan penggunaan suplemen ini selama 1 minggu. Pemberian suplemen dapat dilanjutkan kembali dengan dosis rendah, maksimum 8 minggu.</t>
  </si>
  <si>
    <t>1-2 kapsul per hari selama 2 minggu berturut-turut. Kemudian hentikan pemakaian selama 1 minggu. Pemberian suplemen dapat dilanjutkan kembali dengan dosis rendah, maksimum 8 minggu.</t>
  </si>
  <si>
    <t>Simpan di bawah suhu 30 derajat celcius. Jauhkan dari jangkauan anak-anak.</t>
  </si>
  <si>
    <t>nutrimax echinacea extract</t>
  </si>
  <si>
    <t>nutrimax echinacea</t>
  </si>
  <si>
    <t>nutrimax echinacea kapsul nutrimax echinacea extract membantu memelihara daya tahan tubuh</t>
  </si>
  <si>
    <t>Accu Chek Softclix 25 Lancets</t>
  </si>
  <si>
    <t>Rp29.300 - Rp55.000</t>
  </si>
  <si>
    <t>Untuk cek glukosa darah</t>
  </si>
  <si>
    <t>Gunakan sesuai dengan kebutuhan</t>
  </si>
  <si>
    <t>Mendeteksi kadar glukosa darah</t>
  </si>
  <si>
    <t>Dus @ 25 Piece</t>
  </si>
  <si>
    <t>mendeteksi kadar glukosa darah</t>
  </si>
  <si>
    <t>accu chek softclix lancets</t>
  </si>
  <si>
    <t>accu chek softclix lancets tablet pioglitazone hydrochloride mendeteksi kadar glukosa darah</t>
  </si>
  <si>
    <t>Valsartan 160 mg 6 Tablet</t>
  </si>
  <si>
    <t>Rp14.200 - Rp55.400</t>
  </si>
  <si>
    <t>Hipertensi, gagal jantung, dan pasca infark miokard</t>
  </si>
  <si>
    <t>Tablet salut selaput 160 mg x 3 x 10</t>
  </si>
  <si>
    <t>Hamil, laktasi, gagal hati yang berat, sirosis hati, obstruksi saluran empedu.</t>
  </si>
  <si>
    <t>HARUS DENGAN RESEP DOKTER. Deplesi Na atau vol cairan tubuh, stenosis arteri ginjal, gangguan ginjal (bersihan kreatinin &lt;= 10 mL/menit). Pasien gagal jantaung.</t>
  </si>
  <si>
    <t>valsartan tablet kombinasivalsartan blend 32 hipertensi  gagal jantung  pasca infark miokard</t>
  </si>
  <si>
    <t>DBL9509204704A1</t>
  </si>
  <si>
    <t>Fasidol 500 mg 10 Kaplet</t>
  </si>
  <si>
    <t>Rp5.000 - Rp5.800</t>
  </si>
  <si>
    <t>Meringankan rasa sakit pada keadaan sakit kepala, sakit gigi dan menurunkan demam</t>
  </si>
  <si>
    <t>Hati-hati penggunaan obat ini pada penderita penyakit ginjal. Bila setelah 2 hari demam tidak menurun atau setelah 5 hari nyeri tidak menghilang, segera hubungi unit pelayan kesehatan</t>
  </si>
  <si>
    <t>meringankan sakit sakit kepala , sakit gigi menurunkan demam</t>
  </si>
  <si>
    <t>fasidol</t>
  </si>
  <si>
    <t>fasidol kaplet paracetamol meringankan sakit sakit kepala  sakit gigi menurunkan demam</t>
  </si>
  <si>
    <t>- DRIED ALUMINIUM HYDROXIDE GEL. MAGNESIUM TRISILICATE. SIMETHICONE EMULSION 30</t>
  </si>
  <si>
    <t>dried aluminium hydroxide gel magnesium trisilicate simethicone emulsion 30</t>
  </si>
  <si>
    <t xml:space="preserve">alumy tablet dried aluminium hydroxide gel magnesium trisilicate simethicone emulsion 30 </t>
  </si>
  <si>
    <t>Nexcare Acne Cover Fun Pack</t>
  </si>
  <si>
    <t>Rp26.200 - Rp47.000</t>
  </si>
  <si>
    <t>Tempelkan pada bagian jerawat</t>
  </si>
  <si>
    <t>Membantu menghilangkan jerawat</t>
  </si>
  <si>
    <t>membantu menghilangkan jerawat</t>
  </si>
  <si>
    <t>nexcare acne cover fun pack</t>
  </si>
  <si>
    <t>nexcare acne cover fun pack tablet tizanidine hydrochloride membantu menghilangkan jerawat</t>
  </si>
  <si>
    <t>Aloclair Plus Mouthwash 60 ml</t>
  </si>
  <si>
    <t>Rp105.700 - Rp137.400</t>
  </si>
  <si>
    <t>10 ml Aloclair plus mouthwash dikumur selama 1 menit. Diulang 3-4 kali sehari atau sesuai kebutuhan. Aman jika tertelan. Hindari makan / minum minimal 1 jam setelah berkumur.</t>
  </si>
  <si>
    <t>Sehari: 3-4 kali sehari atau sesuai kebutuhan.</t>
  </si>
  <si>
    <t>Stomatitis (sariawan) dan lesi traumatik di mulut.</t>
  </si>
  <si>
    <t>Hipersensitif terhadap salah satu komponen Aloclair plus.</t>
  </si>
  <si>
    <t>Sebaiknya tidak di berikan pada anak-anak yang belum bisa berkumur, meskipun cukup aman di telan tetapi sebaiknya hindari menelan produk ini. Terasa lengket di dalam mulut</t>
  </si>
  <si>
    <t>stomatitis sariawan lesi traumatik mulut</t>
  </si>
  <si>
    <t>aloclair plus mouthwash</t>
  </si>
  <si>
    <t>aloclair plus mouthwash tablet tizanidine hydrochloride stomatitis sariawan lesi traumatik mulut</t>
  </si>
  <si>
    <t>Frezza Medicated Mouth Ulcer Spray 13 ml</t>
  </si>
  <si>
    <t>Semprotkan 3 kali atau sesuai kebutuhan pada daerah yang sakit.</t>
  </si>
  <si>
    <t>3 - 4 x sehari.</t>
  </si>
  <si>
    <t>Untuk membantu penyembuhan sariawan.</t>
  </si>
  <si>
    <t>Botol @ 13 ml</t>
  </si>
  <si>
    <t>untuk membantu penyembuhan sariawan</t>
  </si>
  <si>
    <t>frezza medicated mouth ulcer</t>
  </si>
  <si>
    <t>frezza medicated mouth ulcer tablet tizanidine hydrochloride untuk membantu penyembuhan sariawan</t>
  </si>
  <si>
    <t>diphenhydramine hydrochloride ammonium chloride sulfogaiacol potassium sodium citrate dihydrate</t>
  </si>
  <si>
    <t xml:space="preserve">phenacold sirup diphenhydramine hydrochloride ammonium chloride sulfogaiacol potassium sodium citrate dihydrate </t>
  </si>
  <si>
    <t>Perban Husada 4Y X 8 cm 10 Roll</t>
  </si>
  <si>
    <t>Rp34.800 - Rp46.800</t>
  </si>
  <si>
    <t>GKL9832707710A1</t>
  </si>
  <si>
    <t>Salbutamol 2 mg 10 Tablet</t>
  </si>
  <si>
    <t>PENGGUNAAN OBAT INI HARUS SESUAI DENGAN PETUNJUK DOKTER. Dewasa : 3-4 kali sehari 2-4 mg tablet. Anak-anak berusia 6-12 tahun : 2 kali sehari 2 mg. Anak berusia 2-6 tahun : 3 kali sehari 1-2 mg.</t>
  </si>
  <si>
    <t>INFORMASI OBAT INI HANYA UNTUK KALANGAN MEDIS. Bronkospasme pada semua jenis asma bronkial, bronkritis kronik, dan emfisema</t>
  </si>
  <si>
    <t>Hipersensitif salbutamol</t>
  </si>
  <si>
    <t>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</si>
  <si>
    <t>salbutamol tablet salbutamol sulfate bronkospasme jenis asma bronkial  bronkritis kronik  emfisema</t>
  </si>
  <si>
    <t>DTL9708009410A1</t>
  </si>
  <si>
    <t>Iremax 200 mg 10 Tablet</t>
  </si>
  <si>
    <t>Rp15.000 - Rp16.900</t>
  </si>
  <si>
    <t>1 tablet 3-4 kali sehari bila diperlukan</t>
  </si>
  <si>
    <t>Meringankan nyeri ringan sampai sedang pada otot, nyeri haid dan nyeri sesudah pembedahan</t>
  </si>
  <si>
    <t>Hipersensitif terhadap ibuprofen, paracetamol, asetosal dan NSAID lainnya, ulkus peptikum berat dan aktif. penderita polip hidung</t>
  </si>
  <si>
    <t>Hati-hati terhadap penderita bronkospasme, 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 Hati-hati terhadap penderita bronkospasme,alergi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t>
  </si>
  <si>
    <t>meringankan nyeri ringan otot , nyeri haid nyeri pembedahan</t>
  </si>
  <si>
    <t>iremax</t>
  </si>
  <si>
    <t>iremax tablet ibuprofen meringankan nyeri ringan otot  nyeri haid nyeri pembedahan</t>
  </si>
  <si>
    <t>Colgate Toothbrush Flex Clean Slim Soft Charcoal 2 Pieces</t>
  </si>
  <si>
    <t>Rp46.500 - Rp55.000</t>
  </si>
  <si>
    <t>colgate toothbrush flex clean slim soft charcoal pieces</t>
  </si>
  <si>
    <t xml:space="preserve">colgate toothbrush flex clean slim soft charcoal pieces tablet tizanidine hydrochloride </t>
  </si>
  <si>
    <t>Laurier Relax Night Celana Menstruasi Size M-XL 2 Pieces</t>
  </si>
  <si>
    <t>Rp25.500 - Rp30.000</t>
  </si>
  <si>
    <t>laurier relax night celana menstruasi size mxl pieces</t>
  </si>
  <si>
    <t xml:space="preserve">laurier relax night celana menstruasi size mxl pieces tablet sildenafil citrate </t>
  </si>
  <si>
    <t>decadryl ekspektoran sirup diphenhydramine hydrochloride ammonium chloride meringankan batuk berdahak alergi</t>
  </si>
  <si>
    <t>thymol camphor peppermint oil</t>
  </si>
  <si>
    <t>vital ear tetes thymol camphor peppermint oil sebagai antiseptik rongga telinga</t>
  </si>
  <si>
    <t>DBL1940404763A1</t>
  </si>
  <si>
    <t>Disflatyl 40 mg 10 Tablet</t>
  </si>
  <si>
    <t>- SIMETHICONE EMULSION 30</t>
  </si>
  <si>
    <t>Hipersensitif, Aritmia, Hipokalsemia, Hipomagnesia, CHF, Jantung Iskemik</t>
  </si>
  <si>
    <t>Konsultasikan dengan dokter sebelum menggunakan Disflatyl tablet untuk ibu hamil atau menyusui</t>
  </si>
  <si>
    <t>simethicone emulsion 30</t>
  </si>
  <si>
    <t>disflatyl</t>
  </si>
  <si>
    <t>disflatyl tablet simethicone emulsion 30 meredakan kembung tidak nyaman diperut gas</t>
  </si>
  <si>
    <t>DKL9602322929A1</t>
  </si>
  <si>
    <t>Benoson M Cream 5 g</t>
  </si>
  <si>
    <t>Rp70.000 - Rp93.100</t>
  </si>
  <si>
    <t>Oleskan tipis pada bagian yang infeksi.</t>
  </si>
  <si>
    <t>PENGGUNAAN OBAT INI HARUS SESUAI DENGAN PETUNJUK DOKTER. Oleskan krim pada bagian kulit yang sakit/radang 2-3 x sehari</t>
  </si>
  <si>
    <t>INFORMASI OBAT INI HANYA UNTUK KALANGAN MEDIS. Infeksi jamur pada kulit dengan inflamasi/peradangan</t>
  </si>
  <si>
    <t>TB kulit, infeksi virus pada kulit, infeksi bakteri gram negatif</t>
  </si>
  <si>
    <t>HARUS DENGAN RESEP DOKTER. Hindari kontak dengan mata. Hamil dan menyusui. Anak &lt;12 tahun. Jangan dibalut atau diperban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</si>
  <si>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infeksi jamur kulit inflamasi peradangan</t>
  </si>
  <si>
    <t>benoson m cream</t>
  </si>
  <si>
    <t>benoson m cream krim betamethasone valerate infeksi jamur kulit inflamasi peradangan</t>
  </si>
  <si>
    <t>Oral B Sikat Gigi Cross Pro-Health Medium 2 Pieces</t>
  </si>
  <si>
    <t>Rp37.500 - Rp53.800</t>
  </si>
  <si>
    <t>1 Pack Isi 2 Pieces</t>
  </si>
  <si>
    <t>oral b sikat gigi cross prohealth medium pieces</t>
  </si>
  <si>
    <t xml:space="preserve">oral b sikat gigi cross prohealth medium pieces tablet tizanidine hydrochloride </t>
  </si>
  <si>
    <t>GKL1405047810A1</t>
  </si>
  <si>
    <t>Lisinopril 5 mg 10 Tablet</t>
  </si>
  <si>
    <t>Rp3.000 - Rp6.500</t>
  </si>
  <si>
    <t>PENGGUNAAN OBAT INI HARUS SESUAI DENGAN PETUNJUK DOKTER. Hipertensi : Dosis Awal : 1 kali sehari 1 tablet</t>
  </si>
  <si>
    <t>TR152389251</t>
  </si>
  <si>
    <t>Diabemed 24 Kapsul</t>
  </si>
  <si>
    <t>DIABEMED</t>
  </si>
  <si>
    <t>Rp17.900 - Rp56.200</t>
  </si>
  <si>
    <t>bersama dengan makanan atau sesudah makan.</t>
  </si>
  <si>
    <t>Penderita Diabetes 3 kali 1 kapsul sehari Jika masih konsumsi obat dokter beri selang waktu 30 menit Penurunan dosis obat dokter dapat dilakukan dengan pantauan secara rutin kadar gula darah. Pencegahan Diabetes 1 kali 1 kapsul sehari</t>
  </si>
  <si>
    <t>Mengatasi dan mencegah Diabetes, menurunkan kadar gula di dalam darah dan menjaganya tetap stabil.</t>
  </si>
  <si>
    <t>1 Dos Isi 24</t>
  </si>
  <si>
    <t>Hanya untuk penderita kencing manis yang telah ditetapkan oleh dokter, Selama penggunaan konsultasikan pada dokter secara berkala, Tidak dianjurkan untuk wanita hamil atau menyusui.</t>
  </si>
  <si>
    <t>diabemed</t>
  </si>
  <si>
    <t>mengatasi mencegah diabetes , menurunkan kadar gula darah menjaganya stabil</t>
  </si>
  <si>
    <t>diabemed kapsul mengatasi mencegah diabetes  menurunkan kadar gula darah menjaganya stabil</t>
  </si>
  <si>
    <t>Kapas 25 gr</t>
  </si>
  <si>
    <t>Rp1.800 - Rp6.800</t>
  </si>
  <si>
    <t>Ambil kapas secukupnya dan bersihkan area tubuh yang mengalami luka Dapat juga dijadikan sebagai alas perban sebelum luka ditutup plester perekat</t>
  </si>
  <si>
    <t>Digunakan untuk membersihkan dan membalut luka terbuka agar tidak terjadi infeksi.</t>
  </si>
  <si>
    <t>Pack @ 25 g</t>
  </si>
  <si>
    <t>digunakan membersihkan membalut luka terbuka tidak infeksi</t>
  </si>
  <si>
    <t>kapas gr</t>
  </si>
  <si>
    <t>kapas gr larutan povidoneiodine digunakan membersihkan membalut luka terbuka tidak infeksi</t>
  </si>
  <si>
    <t>DKL8513300201B1</t>
  </si>
  <si>
    <t>Lasal 4 mg 10 Kapsul</t>
  </si>
  <si>
    <t>Rp28.300 - Rp28.400</t>
  </si>
  <si>
    <t>Accu Chek Performa 50 Strip</t>
  </si>
  <si>
    <t>Rp391.500 - Rp522.500</t>
  </si>
  <si>
    <t>Box, Strip @ 50 Pieces</t>
  </si>
  <si>
    <t>accu chek performa strip</t>
  </si>
  <si>
    <t>accu chek performa strip tablet pioglitazone hydrochloride alat mengecek gula darah</t>
  </si>
  <si>
    <t>DKL0731527317A1</t>
  </si>
  <si>
    <t>Farpain 10 mg 10 Tablet</t>
  </si>
  <si>
    <t>farpain</t>
  </si>
  <si>
    <t>farpain tablet ketorolac trometamol manajemen jangka pendek nyeri pasca operasi derajat</t>
  </si>
  <si>
    <t>DBL0521631433A1</t>
  </si>
  <si>
    <t>Praxion Suspensi 60 ml</t>
  </si>
  <si>
    <t>Rp27.300 - Rp36.400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</si>
  <si>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t>
  </si>
  <si>
    <t>Menurunkan demam, meredakan nyeri seperti pada sakit kepala dan sakit gigi.</t>
  </si>
  <si>
    <t>Penderita gangguan fungsi hati yang berat. Penderita hipersensitif terhadap obat ini.</t>
  </si>
  <si>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</si>
  <si>
    <t>menurunkan demam , meredakan nyeri sakit kepala sakit gigi</t>
  </si>
  <si>
    <t>praxion</t>
  </si>
  <si>
    <t>praxion suspensi paracetamol menurunkan demam  meredakan nyeri sakit kepala sakit gigi</t>
  </si>
  <si>
    <t>DKL8805004810A1</t>
  </si>
  <si>
    <t>Teosal 10 Tablet</t>
  </si>
  <si>
    <t>Rp1.500 - Rp2.900</t>
  </si>
  <si>
    <t>PENGGUNAAN OBAT INI HARUS SESUAI DENGAN PETUNJUK DOKTER. Dewasa :3 kali sehari, 1 tablet. Anak-anak 6-12 tahun: 3 kali sehari, 1/2 tablet.</t>
  </si>
  <si>
    <t>INFORMASI OBAT INI HANYA UNTUK KALANGAN MEDIS. Sebagai bronkodilator pada penderita asma bronkial dan bronkitis kronis.</t>
  </si>
  <si>
    <t>Hipertiroidisme. Tirotoksikasi. Penderita tukak lambung. Penderita yang hipersensitif terhadap salah satu komponen obat.</t>
  </si>
  <si>
    <t>HARUS DENGAN RESEP DOKTER. - Hati-hati penggunaan pada penderita dengan hipertiroidisme, penyakit jantung, dan hipertensi berat. - Hati-hati penggunaan pada penderita penyakit hati, epilepsi dan laktasi, wanita hamil, anak-anak di bawah 6 tahun, penderita usia di atas 55 tahun terutama pria dan pada penderita penyakit paru-paru kronik. - Jangan diberikan bersama-sama obat dari golongan Beta-bloker. - Hati-hati pemberian pada hipoksemia. - Dapat terjadi retensi urin pada penderita hipertrofi prostat. - Dapat mengiritasi saluran gastrointestinal. Kategori Kehamilan : C</t>
  </si>
  <si>
    <t>sebagai bronkodilator penderita asma bronkial bronkitis kronis</t>
  </si>
  <si>
    <t>teosal</t>
  </si>
  <si>
    <t>teosal tablet salbutamol sulfate sebagai bronkodilator penderita asma bronkial bronkitis kronis</t>
  </si>
  <si>
    <t>GKL8912512010B1</t>
  </si>
  <si>
    <t>Salbutamol 4 mg 10 Tablet</t>
  </si>
  <si>
    <t>Rp2.100 - Rp3.100</t>
  </si>
  <si>
    <t>ocuson tablet dexchlorpheniramine maleate betamethasone mengatasi  alergi inflamasi membutuhkan terapi kortikosteroid</t>
  </si>
  <si>
    <t>DKL7617611210A1</t>
  </si>
  <si>
    <t>Antrain 500 mg 10 Tablet</t>
  </si>
  <si>
    <t>Rp24.000 - Rp30.300</t>
  </si>
  <si>
    <t>PENGGUNAAN OBAT INI HARUS SESUAI DENGAN PETUNJUK DOKTER. Dewasa : 1 tablet jika sakit timbul, berikutnya 1 tablet tiap 6-8 jam, maksimum 4 tablet sehari.</t>
  </si>
  <si>
    <t>Antrain dapat meringankan rasa sakit, terutama nyeri kolik dan sakit setelah operasi.</t>
  </si>
  <si>
    <t>Tablet 500 Mg X 10 X 10</t>
  </si>
  <si>
    <t>antrain meringankan sakit , nyeri kolik sakit operasi</t>
  </si>
  <si>
    <t>antrain</t>
  </si>
  <si>
    <t>antrain tablet metamizole sodium antrain meringankan sakit  nyeri kolik sakit operasi</t>
  </si>
  <si>
    <t>DKL0730908304A1</t>
  </si>
  <si>
    <t>Lexagin 500 mg 10 Kaplet</t>
  </si>
  <si>
    <t>Rp3.200 - Rp4.000</t>
  </si>
  <si>
    <t>PENGGUNAAN OBAT INI HARUS SESUAI DENGAN PETUNJUK DOKTER. 1 x sehari 1 kaplet</t>
  </si>
  <si>
    <t>Untuk meringankan rasa sakit, terutama nyeri kolik dan sakit setelah operasi.</t>
  </si>
  <si>
    <t>Tekanan darah &lt; 100 mmHg.Kehamilan &amp; menyusui</t>
  </si>
  <si>
    <t>Obat Wajib Apotek, Obat ini dapat dibeli dan diserahkan apoteker tanpa resep dengan maksimum 2 Strip. Pembelian melebihi batas ini WAJIB RESEP DOKTER. Tidak untuk pengobatan pada nyeri otot pada flu, rematik, lumbago, nyeri punggung, bursitis, sindrom arm-shoulder. Pengobatan jangka panjang. Riwayat penyakit hematologikal, kerusakan fungsi hati atau ginjal.</t>
  </si>
  <si>
    <t>untuk meringankan sakit , nyeri kolik sakit operasi</t>
  </si>
  <si>
    <t>lexagin</t>
  </si>
  <si>
    <t>lexagin kaplet metamizole sodium untuk meringankan sakit  nyeri kolik sakit operasi</t>
  </si>
  <si>
    <t>DBL9418811836A1</t>
  </si>
  <si>
    <t>Ottopan Drops 15 ml</t>
  </si>
  <si>
    <t>- Dibawah 1 tahun : 0.6 ml, 3-4 kali sehari - 1-2 tahun : 0.6-1.2 ml, 3-4 kali sehari Atau menurut petunjuk dokter</t>
  </si>
  <si>
    <t>Meringankan rasa sakit pada keadaan sakit kepala, sakit gigi, dan menurunkan demam</t>
  </si>
  <si>
    <t>Penderita gangguan fungsi hati berat, penderita hipersensitif terhadap obat ini</t>
  </si>
  <si>
    <t>- Hati-hati penggunaan obat pada penderita penyakit ginjal - Bila setelah 2 hari demam tidak menurun atau setelah 5 hari nyeri tidak menghilang, segera hubungi unit pelayanan kesehatan</t>
  </si>
  <si>
    <t>meringankan sakit sakit kepala , sakit gigi , menurunkan demam</t>
  </si>
  <si>
    <t>ottopan</t>
  </si>
  <si>
    <t>ottopan tetes paracetamol meringankan sakit sakit kepala  sakit gigi  menurunkan demam</t>
  </si>
  <si>
    <t>DBL0521631536A1</t>
  </si>
  <si>
    <t>Praxion Drops 15 ml</t>
  </si>
  <si>
    <t>Rp29.800 - Rp36.000</t>
  </si>
  <si>
    <t>Di bawah 1 tahun : 0.6 ml, 3-4 kali sehari 1-2 tahun : 0.6-1.2 ml, 3-4 kali sehari</t>
  </si>
  <si>
    <t>Meredakan demam, meredakan rasa sakit seperti pada sakit Kepala dan sakit gigi</t>
  </si>
  <si>
    <t>Penderita dengan gangguan fungsi hati yang berat, hipersensitifitas</t>
  </si>
  <si>
    <t>Hati-hati penggunaan pada penderita penyakit ginjal. Bila setelah 2 hari demam tidak menurun atau setelah 5 hari nyeri tidak menghilang, segera hubungi unit pelayanan kesehatan. Jauhkan dari jangkauan anak-anak. Simpan di tempat yang sejuk (15-25 C) dan kering, terhindar dari cahaya.</t>
  </si>
  <si>
    <t>meredakan demam , meredakan sakit sakit kepala sakit gigi</t>
  </si>
  <si>
    <t>praxion tetes paracetamol meredakan demam  meredakan sakit sakit kepala sakit gigi</t>
  </si>
  <si>
    <t>kondom simplex extra long love isi tablet tizanidine hydrochloride alat kontrasepsi</t>
  </si>
  <si>
    <t>DKL0009315529A1</t>
  </si>
  <si>
    <t>Bactoderm 2% Cream 5 g</t>
  </si>
  <si>
    <t>Rp44.400 - Rp52.800</t>
  </si>
  <si>
    <t>Dus, 1 Tube @ 5</t>
  </si>
  <si>
    <t>HARUS DENGAN RESEP DOKTER. Hindari kontak dengan mata. Hati-hati penggunaan pada gangguan ginjal sedang s/d berat. Hamil, laktasi. Penggunaan jangka panjang Kategori kehamilan : Kategori B: Mungkin dapat digunakan oleh wanita hamil. Penelitian pada hewan uji tidak memperlihatkan ada nya risiko terhadap janin, namun belum ada bukti penelitian langsung terhadap wanita hamil.</t>
  </si>
  <si>
    <t>bactoderm cream</t>
  </si>
  <si>
    <t>bactoderm cream krim mupirocin infeksi kulit primer akut  impetigo  folikulitis  furunkulosis</t>
  </si>
  <si>
    <t>DKL8817605529A1</t>
  </si>
  <si>
    <t>Digenta Cream 10 g</t>
  </si>
  <si>
    <t>Rp111.700 - Rp138.100</t>
  </si>
  <si>
    <t>Krim dioleskan pada area kulit yang radang/sakit</t>
  </si>
  <si>
    <t>PENGGUNAAN OBAT INI HARUS SESUAI DENGAN PETUNJUK DOKTER. Oleskan krim 2 x sehari</t>
  </si>
  <si>
    <t>INFORMASI OBAT INI HANYA UNTUK KALANGAN MEDIS. Dermatosis yang responsif terhadap Kortikosteroid dengan komplikasi infeksi sekunder</t>
  </si>
  <si>
    <t>Infeksi virus dan TBC. Hipersensitivitas terhadap komponen dalam produk.</t>
  </si>
  <si>
    <t>HARUS DENGAN RESEP DOKTER. Jangan terkena mata, mulut dan membran mukosa lain. Hindari pemakaian yang luas atau lama pada kehamilan &amp; menyusui. Pada penggunaan yang lama dari preparat yang mengandung antibiotika dapat menimbulkan pertumbuhan organisme yang tidak peka terutama jamur. Bila terjadi superinfeksi selama pengobatan, maka harus disertai dengan terapi yang tepat. Bila terjadi reaksi iritasi atau sensitisasi, hentikan pengobatannya.</t>
  </si>
  <si>
    <t>dermatosis responsif kortikosteroid komplikasi infeksi sekunder</t>
  </si>
  <si>
    <t>digenta cream</t>
  </si>
  <si>
    <t>digenta cream krim betamethasone dipropionate dermatosis responsif kortikosteroid komplikasi infeksi sekunder</t>
  </si>
  <si>
    <t>DKL8528601129A1</t>
  </si>
  <si>
    <t>Erymed 2% Cream 20 g</t>
  </si>
  <si>
    <t>Rp36.100 - Rp45.000</t>
  </si>
  <si>
    <t>Dioleskan pada daerah yang berjerawat</t>
  </si>
  <si>
    <t>PENGGUNAAN OBAT INI HARUS SESUAI DENGAN PETUNJUK DOKTER. Oleskan 1 kali sehari pada jerawat terutama yang terinfeksi</t>
  </si>
  <si>
    <t>Jerawat, terutama lesi yang meradang disertai dengan papula/papel &amp; pustula.</t>
  </si>
  <si>
    <t>kehamilan pada trisemester pertama, ibu menyusui, sedang mengonsumsi vitamin A</t>
  </si>
  <si>
    <t>Obat Wajib Apotek, Obat ini dapat dibeli dan diserahkan apoteker tanpa resep dengan maksimum 1 Tube. Pembelian melebihi batas ini WAJIB RESEP DOKTER. Hindari kontak dengan mata, hidung, &amp; membran mukosa lainnya. Kategori Kehamilan : C</t>
  </si>
  <si>
    <t>erythromycin</t>
  </si>
  <si>
    <t>jerawat , lesi meradang disertai papula papel pustula</t>
  </si>
  <si>
    <t>erymed cream</t>
  </si>
  <si>
    <t>erymed cream krim erythromycin jerawat  lesi meradang disertai papula papel pustula</t>
  </si>
  <si>
    <t>paracetamol propyphenazone caffeine</t>
  </si>
  <si>
    <t>bodrex migra kaplet paracetamol propyphenazone caffeine meredakan sakit kepala sebelah migraine</t>
  </si>
  <si>
    <t>TR183316701</t>
  </si>
  <si>
    <t>Al Afiat Angkak 60 Kapsul</t>
  </si>
  <si>
    <t>ANGKAK AL AFIAT</t>
  </si>
  <si>
    <t>Rp51.800 - Rp67.800</t>
  </si>
  <si>
    <t>Dus, Botol plastik @ 60 Kapsul</t>
  </si>
  <si>
    <t>Penggunaan produk harus disertasi dengan olahraga teratur dan diet rendah lemak</t>
  </si>
  <si>
    <t>angkak al afiat</t>
  </si>
  <si>
    <t>al afiat angkak</t>
  </si>
  <si>
    <t>al afiat angkak kapsul angkak al afiat membantu mengurangi lemak darah</t>
  </si>
  <si>
    <t>DKL1727806330A1</t>
  </si>
  <si>
    <t>Haemocaine Salep 15 g</t>
  </si>
  <si>
    <t>Rp98.700 - Rp129.300</t>
  </si>
  <si>
    <t>oleskan tipis-tipis pada tempat yanng sakit</t>
  </si>
  <si>
    <t>PENGGUNAAN OBAT INI HARUS SESUAI DENGAN PETUNJUK DOKTER. Oleskan tipis-tipis 2-4 kali sehari</t>
  </si>
  <si>
    <t>INFORMASI OBAT INI HANYA UNTUK KALANGAN MEDIS. Hemoroid akut internal dan eksternal, fisura anal, proktitis</t>
  </si>
  <si>
    <t>Kelainan kulit karena tuberkulosis atau virus</t>
  </si>
  <si>
    <t>HARUS DENGAN RESEP DOKTER. -Hindari penghentian terapi secara mendadak, lakukan secara bertahap. -Untuk mencegah kekabuhan terapi sebaiknya di lanjutkan selama sekurang-kurangnya 1 minggu -Hentikan penggunaan jika terjadi iritasi atau perdarahan rektum Kategori Kehamilan : C</t>
  </si>
  <si>
    <t>hemoroid akut internal eksternal , fisura anal , proktitis</t>
  </si>
  <si>
    <t>haemocaine</t>
  </si>
  <si>
    <t>haemocaine salep hydrocortisone acetate hemoroid akut internal eksternal  fisura anal  proktitis</t>
  </si>
  <si>
    <t>QI144509161</t>
  </si>
  <si>
    <t>Strepsil Honey Lemon Isi 8</t>
  </si>
  <si>
    <t>- 2.4 Dichtorobenzyl alcohol (dyhenat)</t>
  </si>
  <si>
    <t>Rp21.100 - Rp23.400</t>
  </si>
  <si>
    <t>Dapat dikonsumsi setiap 2-3 jam sekali. Tidak lebih dari 12 tablet hisap per hari</t>
  </si>
  <si>
    <t>Dus, 2 Alumunium foil @ 8 Tablet hisap</t>
  </si>
  <si>
    <t>Jangan digunakan jika alergi terhadap salah satu kandungan produk. Tidak boleh digunakan untuk anak dibawah umur 6 tahun.</t>
  </si>
  <si>
    <t>24 dichtorobenzyl alcohol (dyhenat)</t>
  </si>
  <si>
    <t>strepsil honey lemon isi</t>
  </si>
  <si>
    <t>strepsil honey lemon isi  24 dichtorobenzyl alcohol dyhenat membantu melegakan tenggorokan</t>
  </si>
  <si>
    <t>MULTICAREIN Triglycerides 25 Strips</t>
  </si>
  <si>
    <t>Strip yang digunakan untuk mengukur kadar trigliserida</t>
  </si>
  <si>
    <t>Box @ 25 Pieces</t>
  </si>
  <si>
    <t>Simpan pada suhu 10-40 C</t>
  </si>
  <si>
    <t>strip mengukur kadar trigliserida</t>
  </si>
  <si>
    <t>multicarein triglycerides strips</t>
  </si>
  <si>
    <t>multicarein triglycerides strips tablet kombinasivalsartan blend 32 strip mengukur kadar trigliserida</t>
  </si>
  <si>
    <t>DKI1252502910A1</t>
  </si>
  <si>
    <t>Twynsta 40 mg/5 mg 7 Tablet</t>
  </si>
  <si>
    <t>Rp170.100 - Rp184.500</t>
  </si>
  <si>
    <t>PENGGUNAAN OBAT INI HARUS SESUAI DENGAN PETUNJUK DOKTER. 1 x sehari 1 tablet, dapat dititrasi hingga maximum 80/10 mg</t>
  </si>
  <si>
    <t>Sebagai terapi pengganti atau terapi tambahan untuk Hipertensi Esensial.</t>
  </si>
  <si>
    <t>Dus, 4 Blister @ 7 Tablet</t>
  </si>
  <si>
    <t>Hipersensitif terhadap derivat dihidropirin, gangguan obstruksi sel empedu,gangguan hati berat,syok kardiogenik,hipotensi berat,obstruksi aliran keluar ventrikel kiri.</t>
  </si>
  <si>
    <t>HARUS DENGAN RESEP DOKTER. Gangguan hati dan ginjal, transplantasi ginjal,hipertensi renovaskuler,hipovolemia Kategori Kehamilan : D</t>
  </si>
  <si>
    <t>sebagai terapi pengganti terapi tambahan hipertensi esensial</t>
  </si>
  <si>
    <t>twynsta</t>
  </si>
  <si>
    <t>twynsta tablet amlodipine besilate sebagai terapi pengganti terapi tambahan hipertensi esensial</t>
  </si>
  <si>
    <t>DBL9933400237A1</t>
  </si>
  <si>
    <t>Kamolas Sirup 60 ml</t>
  </si>
  <si>
    <t>Rp3.900 - Rp7.300</t>
  </si>
  <si>
    <t>Anak berusia kurang dari 1 tahun : 3-4 kali sehari 1/2 -1 sendok teh. Anak berusia 1-5 tahun : 3-4 kali sehari 1-1.5 sendok teh. Anak berusia 6-12 tahun : 3-4 kali sehari 2-4 sendok teh.</t>
  </si>
  <si>
    <t>Meredakan sakit kepala, sakit gigi, nyeri sesudah operasi, dan demam.</t>
  </si>
  <si>
    <t>meredakan sakit kepala , sakit gigi , nyeri operasi , demam</t>
  </si>
  <si>
    <t>kamolas</t>
  </si>
  <si>
    <t>kamolas sirup paracetamol meredakan sakit kepala  sakit gigi  nyeri operasi  demam</t>
  </si>
  <si>
    <t>Selection Cotton Bud 100 Pieces</t>
  </si>
  <si>
    <t>Rp4.000 - Rp10.400</t>
  </si>
  <si>
    <t>Usapkan cotton bud di area daun telinga atau bagian lain yang akan di bersihkan</t>
  </si>
  <si>
    <t>Memudahkan membersihkan kotoran telinga</t>
  </si>
  <si>
    <t>Pack isi 100</t>
  </si>
  <si>
    <t>memudahkan membersihkan kotoran telinga</t>
  </si>
  <si>
    <t>selection cotton bud pieces</t>
  </si>
  <si>
    <t>selection cotton bud pieces tablet tizanidine hydrochloride memudahkan membersihkan kotoran telinga</t>
  </si>
  <si>
    <t>Bactoderm 2% Cream 10 g</t>
  </si>
  <si>
    <t>Rp84.600 - Rp102.300</t>
  </si>
  <si>
    <t>hipersensitif, polietilen glikol.</t>
  </si>
  <si>
    <t>HARUS DENGAN RESEP DOKTER. Hindari kontak dengan mata. Hati-hati penggunaan pada gangguan ginjal sedang s/d berat. Hamil, laktasi. Penggunaan jangka panjang</t>
  </si>
  <si>
    <t>DKI1252502910B1</t>
  </si>
  <si>
    <t>Twynsta 40 mg/10 mg 7 Tablet</t>
  </si>
  <si>
    <t>PENGGUNAAN OBAT INI HARUS SESUAI DENGAN PETUNJUK DOKTER. 40/10 mg , dapat dititrasi hingga maksimal 80/10 mg</t>
  </si>
  <si>
    <t>INFORMASI OBAT INI HANYA UNTUK KALANGAN MEDIS. Sebagai terapi pengganti atau terapi tambahan untuk hipertensi esential.</t>
  </si>
  <si>
    <t>HARUS DENGAN RESEP DOKTER. Gangguan hati dan ginjal, transplantasi ginjal,hipertensi renovaskuler,hipovolemia</t>
  </si>
  <si>
    <t>sebagai terapi pengganti terapi tambahan hipertensi esential</t>
  </si>
  <si>
    <t>twynsta tablet amlodipine besilate sebagai terapi pengganti terapi tambahan hipertensi esential</t>
  </si>
  <si>
    <t>DTL0033401404A1</t>
  </si>
  <si>
    <t>Lodecon 10 Kaplet</t>
  </si>
  <si>
    <t>Rp5.200 - Rp12.000</t>
  </si>
  <si>
    <t>Dewasa : 3 x sehari 2 kaplet, Anak 6-12 tahun : 3 x sehari 1 kaplet</t>
  </si>
  <si>
    <t>Terapi gejala2 Flu, Pilek, Nyeri, Demam &amp; Alergi</t>
  </si>
  <si>
    <t>Dus, 10 Catch Cover @ 1 Strip @ 10 Kaplet</t>
  </si>
  <si>
    <t>Hipertensi, penyakit koroner, MAOI, nefropati, hipertiroidisme</t>
  </si>
  <si>
    <t>Dapat mengganggu kemampuan mengemudi atau menjalankan mesin. Diabetes, glaukoma. Hamil</t>
  </si>
  <si>
    <t>terapi gejala2 flu , pilek , nyeri , demam alergi</t>
  </si>
  <si>
    <t>lodecon</t>
  </si>
  <si>
    <t>lodecon kaplet chlorphenamine maleate terapi gejala2 flu  pilek  nyeri  demam alergi</t>
  </si>
  <si>
    <t>Oral B Toothbrush Ultra Thin Gum Care 1 Pieces</t>
  </si>
  <si>
    <t>Rp13.400 - Rp25.200</t>
  </si>
  <si>
    <t>Dus @ 1 pieces</t>
  </si>
  <si>
    <t>oral b toothbrush ultra thin gum care pieces</t>
  </si>
  <si>
    <t xml:space="preserve">oral b toothbrush ultra thin gum care pieces tablet tizanidine hydrochloride </t>
  </si>
  <si>
    <t>DBL2028209336A1</t>
  </si>
  <si>
    <t>Turpas Drops 100 mg/ml 15 ml</t>
  </si>
  <si>
    <t>Rp25.200 - Rp36.100</t>
  </si>
  <si>
    <t>Anak usia dibawah 1 tahun: Dosis 60 mg (alat tetes 0,6 mL) diberikan 3 - 4 kali sehari Anak usia 1 - 2 tahun : Dosis 60 - 120 mg (alat tetes 0,6 - 1,2 mL) diberikan 3 - 4 kali sehari</t>
  </si>
  <si>
    <t>- Menurunkan demam, Meringankan sakit kepala, Meringankan sakit gigi</t>
  </si>
  <si>
    <t>- menurunkan demam , meringankan sakit kepala , meringankan sakit gigi</t>
  </si>
  <si>
    <t>turpas</t>
  </si>
  <si>
    <t>turpas tetes paracetamol  menurunkan demam  meringankan sakit kepala  meringankan sakit gigi</t>
  </si>
  <si>
    <t>Hansaplast Aqua Protect 6 Lembar</t>
  </si>
  <si>
    <t>Rp12.800 - Rp13.800</t>
  </si>
  <si>
    <t>Bersihkan luka dan keringkan kulit disekitae luka sebelum menempelkan plester. Tutup luka dengan plester tanpa direganggkan. Gantilah plester secra teratur.</t>
  </si>
  <si>
    <t>Produk ini digunakan untuk perlindungan kedap air untuk luka</t>
  </si>
  <si>
    <t>produk perlindungan kedap air luka</t>
  </si>
  <si>
    <t>hansaplast aqua protect lembar</t>
  </si>
  <si>
    <t>hansaplast aqua protect lembar larutan povidoneiodine produk perlindungan kedap air luka</t>
  </si>
  <si>
    <t>DKL0711637550A1</t>
  </si>
  <si>
    <t>Neo Gynoxa 5 Ovula</t>
  </si>
  <si>
    <t>Dus, 2 Blister @ 5 Ovula</t>
  </si>
  <si>
    <t>neo gynoxa</t>
  </si>
  <si>
    <t>neo gynoxa ovula metronidazole infeksi vagina campuran trichomonas vaginalis candida albicans</t>
  </si>
  <si>
    <t>DTL0333507712A1</t>
  </si>
  <si>
    <t>Efisol-C 10 Tablet</t>
  </si>
  <si>
    <t>Rp18.300 - Rp21.300</t>
  </si>
  <si>
    <t>Tablet dibiarkan larut perlahan-lahan dalam mulut</t>
  </si>
  <si>
    <t>Tiap Efisol C sebaiknya dibiarkan larut perlahan-lahan dalam mulut setiap 3 jam, tidak lebih dari 8 tablet sehari. Bila infeksi sudah mereda, digunakan setiap 5 jam sekali.</t>
  </si>
  <si>
    <t>Untuk infeksi ringan sampai sedang yang disebabkan oleh jamur dan bakteri pada mulut.</t>
  </si>
  <si>
    <t>Dus, 2 strip @ 10 tablet</t>
  </si>
  <si>
    <t>Penderita yang hipersensitivitas terhadap Dequalinium chloride.</t>
  </si>
  <si>
    <t>Sebaiknya hindari penggunaan jangka panjang dan berulang-ulang. Belum terdapat data keamanan terkait penggunaan obat ini pada wanita hamil dan/atau menyusui. Konsultasikan kepada dokter apabila Anda sedang hamil dan/atau menyusui.</t>
  </si>
  <si>
    <t>ascorbic acid</t>
  </si>
  <si>
    <t>untuk infeksi ringan disebabkan jamur bakteri mulut</t>
  </si>
  <si>
    <t>efisolc</t>
  </si>
  <si>
    <t>efisolc tablet ascorbic acid untuk infeksi ringan disebabkan jamur bakteri mulut</t>
  </si>
  <si>
    <t xml:space="preserve">laurier relax night celana menstruasi size mxl pieces tablet tizanidine hydrochloride </t>
  </si>
  <si>
    <t>Refresh Contacs 15 ml</t>
  </si>
  <si>
    <t>1 hingga 2 tetes ke setiap</t>
  </si>
  <si>
    <t>Membersihkan partikel yang dapat menyebakan iritasi dan tidak nyaman pada mata.</t>
  </si>
  <si>
    <t>Hipersensitif terhadap salah satu bahan</t>
  </si>
  <si>
    <t>Biarkan botol tertutup rapat saat tidak digunakan. Hanya untuk digunakan di mata. Jangan gunakan dalam kotak lensa. Simpan pada suhu kamar 590-860F (150-300C). Gunakan sebelum tanggal kedaluwarsa yang ditandai pada label botol dan karton. Jika solusi berubah warna atau menjadi keruh, jangan gunakan. Jauhkan dari jangkauan anak-anak.</t>
  </si>
  <si>
    <t>membersihkan partikel menyebakan iritasi tidak nyaman mata</t>
  </si>
  <si>
    <t>refresh contacs</t>
  </si>
  <si>
    <t>refresh contacs tetes ofloxacin membersihkan partikel menyebakan iritasi tidak nyaman mata</t>
  </si>
  <si>
    <t>vagistin ovula metronidazole nystatin infeksi vagina campuran trichomonas vaginalis candida albicans</t>
  </si>
  <si>
    <t>fluorometholone neomycin sulfate</t>
  </si>
  <si>
    <t>cendo polynel eye drop tetes fluorometholone neomycin sulfate konjungtivitis infeksi bakteri</t>
  </si>
  <si>
    <t>DTL0531407610A1</t>
  </si>
  <si>
    <t>Bimacyl 10 Tablet</t>
  </si>
  <si>
    <t>Rp4.000 - Rp8.800</t>
  </si>
  <si>
    <t>Sakit kepala, nyeri, dan demam yang berkaitan dengan flu dan masuk angin.</t>
  </si>
  <si>
    <t>sakit kepala , nyeri , demam berkaitan flu masuk angin</t>
  </si>
  <si>
    <t>bimacyl</t>
  </si>
  <si>
    <t>bimacyl tablet ibuprofen sakit kepala  nyeri  demam berkaitan flu masuk angin</t>
  </si>
  <si>
    <t>TR163698241</t>
  </si>
  <si>
    <t>Al Afiat Madu Pahit 350 ml</t>
  </si>
  <si>
    <t>MADU PAHIT</t>
  </si>
  <si>
    <t>Rp94.300 - Rp103.800</t>
  </si>
  <si>
    <t>2 x Sehari 1 Sendok makan</t>
  </si>
  <si>
    <t>Membantu menjaga kesehatan badan</t>
  </si>
  <si>
    <t>Dus, Botol Plastik @ 350 ML</t>
  </si>
  <si>
    <t>madu pahit</t>
  </si>
  <si>
    <t>membantu menjaga kesehatan badan</t>
  </si>
  <si>
    <t>al afiat madu pahit</t>
  </si>
  <si>
    <t>al afiat madu pahit madu madu pahit membantu menjaga kesehatan badan</t>
  </si>
  <si>
    <t>DTL8721002237A1</t>
  </si>
  <si>
    <t>Pyridryl Plus Sirup 60 ml</t>
  </si>
  <si>
    <t>Rp25.300 - Rp25.400</t>
  </si>
  <si>
    <t>Anak 2-4 thn : 1/2 sendok takar tiap 6 jam, anak 4-12 thn : 1 sdk takar tiap 6 jam, dewasa : 2 sendok takar tiap 6 jam</t>
  </si>
  <si>
    <t>Batuk produktif dan Batuk yang menyertai Pilek dan Alergi</t>
  </si>
  <si>
    <t>batuk produktif batuk menyertai pilek alergi</t>
  </si>
  <si>
    <t>pyridryl plus</t>
  </si>
  <si>
    <t>pyridryl plus sirup ammonium chloride batuk produktif batuk menyertai pilek alergi</t>
  </si>
  <si>
    <t>Ofloxacin Tetes Telinga 3 mg/ml 5 ml</t>
  </si>
  <si>
    <t>Rp37.500 - Rp41.200</t>
  </si>
  <si>
    <t>Teteskan pada telinga yang sakit.</t>
  </si>
  <si>
    <t>PENGGUNAAN OBAT INI HARUS SESUAI DENGAN PETUNJUK DOKTER. 2 kali sehari, 6 - 10 tetes pada telinga yang sakit.</t>
  </si>
  <si>
    <t>INFORMASI OBAT INI HANYA UNTUK KALANGAN MEDIS. Otitis media supuratif kronik, otitis eksterna.</t>
  </si>
  <si>
    <t>HARUS DENGAN RESEP DOKTER. Setelah dibuka gunakan dalam waktu 9 hari. Hanya untuk penggunaan luar. Simpan dibawah suhu 30 C.</t>
  </si>
  <si>
    <t>otitis medium supuratif kronik , otitis eksterna</t>
  </si>
  <si>
    <t>ofloxacin tetes telinga</t>
  </si>
  <si>
    <t>ofloxacin tetes telinga tetes ofloxacin otitis medium supuratif kronik  otitis eksterna</t>
  </si>
  <si>
    <t>DBL0327803837A1</t>
  </si>
  <si>
    <t>Laxadilac Sirup 60 ml</t>
  </si>
  <si>
    <t>Rp42.500 - Rp61.100</t>
  </si>
  <si>
    <t>Dewasa : 1-2 sendok makan (15-30 mL) setiap hari. Bila diperlukan dosis dapat ditingkatkan menjadi 45 mL. - Berdasarkan informasi yang ada disarankan sebagai berikut: Anak-anak usia 6-14 tahun : 10-15 mL sehari. Anak-anak usia 1-6 tahun : 5-10 mL sehari. Bayi : 5 mL sehari.</t>
  </si>
  <si>
    <t>Konstipasi kronik, sistemik ensepalopati, termasuk keadaan pre-koma dan koma hepatik.</t>
  </si>
  <si>
    <t>Galaktosemia, obstruksi GI.</t>
  </si>
  <si>
    <t>Hamil, laktasi. DM. Intoleransi laktosa.</t>
  </si>
  <si>
    <t>konstipasi kronik , sistemik ensepalopati , pre - koma koma hepatik</t>
  </si>
  <si>
    <t>laxadilac</t>
  </si>
  <si>
    <t>laxadilac sirup lactulose konstipasi kronik  sistemik ensepalopati  pre  koma koma hepatik</t>
  </si>
  <si>
    <t>DKL2118833637A1</t>
  </si>
  <si>
    <t>Oxopi Sirup 60 ml</t>
  </si>
  <si>
    <t>Rp44.600 - Rp46.900</t>
  </si>
  <si>
    <t>INFORMASI OBAT INI HANYA UNTUK KALANGAN MEDIS. Meredakan batuk akibat alergi &amp; batuk produktif.</t>
  </si>
  <si>
    <t>meredakan batuk akibat alergi batuk produktif</t>
  </si>
  <si>
    <t>oxopi</t>
  </si>
  <si>
    <t>oxopi sirup oxomemazine hydrochloride guaifenesin meredakan batuk akibat alergi batuk produktif</t>
  </si>
  <si>
    <t>DBL0533206017A1</t>
  </si>
  <si>
    <t>Neuromed 5000 mcg 10 Tablet</t>
  </si>
  <si>
    <t>Rp20.100 - Rp33.800</t>
  </si>
  <si>
    <t>Pengobatan defisiensi vit.B1, B6, dan B12 seperti pada Polineuritis, Beriberi</t>
  </si>
  <si>
    <t>Pasien yang sedang mendapat terapi levodopa</t>
  </si>
  <si>
    <t>pengobatan defisiensi vit  b1 , b6 , b12 polineuritis , beriberi</t>
  </si>
  <si>
    <t>neuromed</t>
  </si>
  <si>
    <t>neuromed tablet cyanocobalamin pengobatan defisiensi vit  b1  b6  b12 polineuritis  beriberi</t>
  </si>
  <si>
    <t>DTL8913004429A1</t>
  </si>
  <si>
    <t>Fungiderm 1% Cream 10 g</t>
  </si>
  <si>
    <t>Rp28.100 - Rp34.000</t>
  </si>
  <si>
    <t>Oleskan (krim) / taburkan (bedak) secukupnya 2-3 x pada bagian yang sakit selama 10-14 hari secara teratur dan tidak berhenti. Infeksi disela jari kaku membutuhkan waktu 1 bulan</t>
  </si>
  <si>
    <t>Infeksi jamur pada kulit dan kuku karena dermatofit, ragi dan jamur lainnya</t>
  </si>
  <si>
    <t>Jangan menggunakan obat ini untuk pasien yang memiliki riwayat hipersensitif pada clotrimazole atau obat golongan imidazole lainnya.</t>
  </si>
  <si>
    <t>infeksi jamur kulit kuku dermatofit , ragi jamur</t>
  </si>
  <si>
    <t>fungiderm cream</t>
  </si>
  <si>
    <t>fungiderm cream krim clotrimazole infeksi jamur kulit kuku dermatofit  ragi jamur</t>
  </si>
  <si>
    <t>DBL0627508337A1</t>
  </si>
  <si>
    <t>Pacetik Sirup 120 mg/5ml 60 ml</t>
  </si>
  <si>
    <t>0-1 tahun : 1/2 sendok takar (2,5 ml) 3-4 kali sehari 1-2 tahun : 1 sendok takar (5 ml) 2-6 tahun : 1-2 sendok takar (5-10 ml) 3-4 kali sehari 6-9 tahun : 2-3 sendok takar (10-15 ml) 3-4 kali sehari 9-12 tahun : 3-4 sendok takar (15-20 ml) 3-4 kali sehari Atau sesuai petunjuk dokter</t>
  </si>
  <si>
    <t>Meringankan rasa sakit pada sakit kepala, sakit gigi, menurunkan demam.</t>
  </si>
  <si>
    <t>Jangan diberikan untuk pasien yang memiliki riwayat hipersensitif.</t>
  </si>
  <si>
    <t>Hati-hati penggunaan obat ini pada penderita penyakit ginjal, Bila setelah 2 hari demam tidak menurun atau setelah 5 hari nyeri tidak menghilang, segera hubungi unit pelayan kesehatan</t>
  </si>
  <si>
    <t>pacetik</t>
  </si>
  <si>
    <t>pacetik sirup paracetamol meringankan sakit sakit kepala  sakit gigi  menurunkan demam</t>
  </si>
  <si>
    <t>DKI9855600148A1</t>
  </si>
  <si>
    <t>Tarivid Ear Drop 0.3% 5 ml</t>
  </si>
  <si>
    <t>Rp119.600 - Rp131.600</t>
  </si>
  <si>
    <t>Teteskan ke dalam telinga yang sakit.</t>
  </si>
  <si>
    <t>PENGGUNAAN OBAT INI HARUS SESUAI DENGAN PETUNJUK DOKTER. 2 kali sehari, 6 - 10 tetes di telinga yang sakit.</t>
  </si>
  <si>
    <t>HARUS DENGAN RESEP DOKTER. Gunakan selama maksimal 4 minggu, hanya untuk penggunaan luar, bila suhu larutan dingin dapat menyebabkan pusing. Kadar sistemik pada penggunaan luar sangat rendah. Hanya untuk penggunaan luar.</t>
  </si>
  <si>
    <t>tarivid ear drop</t>
  </si>
  <si>
    <t>tarivid ear drop tetes ofloxacin otitis medium supuratif kronik  otitis eksterna</t>
  </si>
  <si>
    <t>DBL0721015109A1</t>
  </si>
  <si>
    <t>Neuraxon-5000 10 Kaplet</t>
  </si>
  <si>
    <t>Rp30.100 - Rp39.800</t>
  </si>
  <si>
    <t>bersama dengan makanan.</t>
  </si>
  <si>
    <t>Pengobatan defisiensi vit.B1, B6, dan B12 (Polineuritis, Beriberi)</t>
  </si>
  <si>
    <t>Box Isi 10 Strip X 10 Kaplet</t>
  </si>
  <si>
    <t>neuraxon</t>
  </si>
  <si>
    <t>neuraxon kaplet cyanocobalamin pengobatan defisiensi vit  b1  b6  b12 polineuritis  beriberi</t>
  </si>
  <si>
    <t>Fungiderm 1% Cream 5 g</t>
  </si>
  <si>
    <t>Rp15.400 - Rp17.000</t>
  </si>
  <si>
    <t>neomycin sulfate fluorometholone</t>
  </si>
  <si>
    <t>cendo polynel eye drop tetes neomycin sulfate fluorometholone konjungtivitis infeksi bakteri</t>
  </si>
  <si>
    <t>paracetamol chlorphenamine maleate guaifenesin</t>
  </si>
  <si>
    <t>pacdin cough sirup paracetamol chlorphenamine maleate guaifenesin demam  batuk berdahak  influenza</t>
  </si>
  <si>
    <t>DKL0203809046A1</t>
  </si>
  <si>
    <t>Cendo Noncort Eye Drop 5 ml</t>
  </si>
  <si>
    <t>Rp40.500 - Rp53.400</t>
  </si>
  <si>
    <t>PENGGUNAAN OBAT INI HARUS SESUAI DENGAN PETUNJUK DOKTER. Teteskan satu tetes pada mata dimulai 24 jam setelah operasi katarak dan dianjurkan selama 2 minggu setelah operasi.</t>
  </si>
  <si>
    <t>Pengobatan inflamasi setelah operasi katarak.</t>
  </si>
  <si>
    <t>pengobatan inflamasi operasi katarak</t>
  </si>
  <si>
    <t>cendo noncort eye drop</t>
  </si>
  <si>
    <t>cendo noncort eye drop tetes diclofenac sodium pengobatan inflamasi operasi katarak</t>
  </si>
  <si>
    <t>DBL2128209533A1</t>
  </si>
  <si>
    <t>Turpas Sirup 60 ml</t>
  </si>
  <si>
    <t>Rp39.100 - Rp41.600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</si>
  <si>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petunjuk dokter.</t>
  </si>
  <si>
    <t>Menurunkan demam, meringankan rasa sakit pada keadaan sakit kepala dan sakit gigi.</t>
  </si>
  <si>
    <t>menurunkan demam , meringankan sakit sakit kepala sakit gigi</t>
  </si>
  <si>
    <t>turpas suspensi paracetamol menurunkan demam  meringankan sakit sakit kepala sakit gigi</t>
  </si>
  <si>
    <t>TR212524641</t>
  </si>
  <si>
    <t>Nutrimax Lingzhi Plus 60 Kapsul</t>
  </si>
  <si>
    <t>NUTRIMAX LINGZHI  PLUS</t>
  </si>
  <si>
    <t>Rp315.000 - Rp924.300</t>
  </si>
  <si>
    <t>Dapat diminum setelah makan pagi atau malam.</t>
  </si>
  <si>
    <t>1-2 kapsul sehari setelah makan pagi atau malam.</t>
  </si>
  <si>
    <t>membantu melancarkan sirkulasi darah</t>
  </si>
  <si>
    <t>Tidak dianjurkan untuk wanita hamil dan menyusui. Tidak dianjurkan untuk anak - anak. Apabila gejala berlanjut konsultasikan kepada dokter.</t>
  </si>
  <si>
    <t>nutrimax lingzhi  plus</t>
  </si>
  <si>
    <t>nutrimax lingzhi plus</t>
  </si>
  <si>
    <t>nutrimax lingzhi plus kapsul nutrimax lingzhi  plus membantu melancarkan sirkulasi darah</t>
  </si>
  <si>
    <t>TI164549791</t>
  </si>
  <si>
    <t>Sanjin Watermelon Frost Lozenges 12 Tablet</t>
  </si>
  <si>
    <t>SANJIN WATERMELON FROST LOZENGES</t>
  </si>
  <si>
    <t>Rp18.700 - Rp20.500</t>
  </si>
  <si>
    <t>1-2 tablet, dihisap 3 kali per hari.</t>
  </si>
  <si>
    <t>Dus, Strip @ 12 tablet</t>
  </si>
  <si>
    <t>sanjin watermelon frost lozenges</t>
  </si>
  <si>
    <t>sanjin watermelon frost lozenges tablet membantu meredakan panas disertai tenggorokan kering</t>
  </si>
  <si>
    <t>Oral-B Sikat Gigi All Rounder 123 Clean Medium 3S</t>
  </si>
  <si>
    <t>Rp8.400 - Rp19.200</t>
  </si>
  <si>
    <t>oralb sikat gigi all rounder clean medium s</t>
  </si>
  <si>
    <t xml:space="preserve">oralb sikat gigi all rounder clean medium s tablet tizanidine hydrochloride </t>
  </si>
  <si>
    <t>TR152386521</t>
  </si>
  <si>
    <t>Herbana Relief Sambiloto 30 Kapsul</t>
  </si>
  <si>
    <t>Herbana Sambiloto</t>
  </si>
  <si>
    <t>Rp94.400 - Rp98.100</t>
  </si>
  <si>
    <t>herbana sambiloto</t>
  </si>
  <si>
    <t>herbana relief sambiloto</t>
  </si>
  <si>
    <t>herbana relief sambiloto kapsul herbana sambiloto membantu meringankan gejala kencing manis</t>
  </si>
  <si>
    <t>TR133672711</t>
  </si>
  <si>
    <t>Jamsi Jamu Obat Diabetes 100 ml</t>
  </si>
  <si>
    <t>JAMSI</t>
  </si>
  <si>
    <t>Rp96.200 - Rp126.400</t>
  </si>
  <si>
    <t>2 x sehari 2 sendok makan</t>
  </si>
  <si>
    <t>Membantu mengontrol kencing manis secara alami</t>
  </si>
  <si>
    <t>Botol 250 ml</t>
  </si>
  <si>
    <t>Obat medis tetap bisa diminum tapi beri jarak waktu 1 jam untuk meminum JAMSI</t>
  </si>
  <si>
    <t>jamu</t>
  </si>
  <si>
    <t>jamsi</t>
  </si>
  <si>
    <t>membantu mengontrol kencing manis alami</t>
  </si>
  <si>
    <t>jamsi jamu obat diabetes</t>
  </si>
  <si>
    <t>jamsi jamu obat diabetes jamu jamsi membantu mengontrol kencing manis alami</t>
  </si>
  <si>
    <t>DBL2032209736A1</t>
  </si>
  <si>
    <t>Nipe Fever Drops 15 ml</t>
  </si>
  <si>
    <t>Rp37.100 - Rp42.300</t>
  </si>
  <si>
    <t>Di bawah usia 3 bulan: atas anjuran dokter. - Usia 3-9 bulan: 0.8 ml, 3-4 kali sehari - Usia 10-24 bulan: 1.2 ml, 3-4 kali sehari - Usia 2-3 tahun: 1.6 ml, 3-4 kali sehari - Usia 3 tahun ke atas: gunakan Nipe Fever Sirup Interval pemberian dosis adalah tiap 4 jam, dan tidak melebihi 4 kali dalam 24 jam.</t>
  </si>
  <si>
    <t>Menurunkan demam, Meredakan sakit kepalan dan sakit gigi</t>
  </si>
  <si>
    <t>menurunkan demam , meredakan sakit kepalan sakit gigi</t>
  </si>
  <si>
    <t>nipe fever</t>
  </si>
  <si>
    <t>nipe fever tetes paracetamol menurunkan demam  meredakan sakit kepalan sakit gigi</t>
  </si>
  <si>
    <t>DBL8730700110A1</t>
  </si>
  <si>
    <t>Oskadon 4 Tablet</t>
  </si>
  <si>
    <t>Rp2.000 - Rp2.500</t>
  </si>
  <si>
    <t>Dewasa : 3 kali sehari 1 tablet.</t>
  </si>
  <si>
    <t>Mengurangi sakit kepala, pusing, menghilangkan segala macam rasa nyeri, dan menghilangkan demam.</t>
  </si>
  <si>
    <t>Dus, 50 Strip @ 4 Tablet</t>
  </si>
  <si>
    <t>Penderita dengan riwayat penyakit ginjal atau gangguan fungsi hati. Wanita hamil dan menyusui.</t>
  </si>
  <si>
    <t>mengurangi sakit kepala , pusing , menghilangkan nyeri , menghilangkan demam</t>
  </si>
  <si>
    <t>oskadon</t>
  </si>
  <si>
    <t>oskadon tablet caffeine mengurangi sakit kepala  pusing  menghilangkan nyeri  menghilangkan demam</t>
  </si>
  <si>
    <t>DBL9933400104A2</t>
  </si>
  <si>
    <t>Kamolas 500 mg 10 Kaplet</t>
  </si>
  <si>
    <t>Dewasa : 3-4 x sehari 1-2 kaplet. Maximum : 8 kaplet perhari. Anak : 3-4 x sehari 0.5-1 kaplet</t>
  </si>
  <si>
    <t>Gagal hati dan ginjal</t>
  </si>
  <si>
    <t>kamolas kaplet paracetamol meredakan sakit kepala  sakit gigi  nyeri operasi  demam</t>
  </si>
  <si>
    <t>DKL9711628215B1</t>
  </si>
  <si>
    <t>Kaltrofen 100 mg 10 Tablet</t>
  </si>
  <si>
    <t>Berikan segera sesudah makan. Telan utuh, jangan dikunyah/dihancurkan</t>
  </si>
  <si>
    <t>PENGGUNAAN OBAT INI HARUS SESUAI DENGAN PETUNJUK DOKTER. 2-3 kali sehari 100 mg</t>
  </si>
  <si>
    <t>Pengobatan simptomatis pada artritis rheumatoid, gout akut, dan spondilitis ankilosa</t>
  </si>
  <si>
    <t>Tablet 100 Mg X 30</t>
  </si>
  <si>
    <t>Hipersensitif terhadap AINS. Penderita tukak peptik aktif atau penyakit inflamasi aktif pada saluran cerna. Bronkospasme berat atau penderita dengan riwayat asma bronkial atau penyakit alergi</t>
  </si>
  <si>
    <t>HARUS DENGAN RESEP DOKTER. Hamil dan laktasi. Lakukan pengawasan terhadap penderita dengan gangguan fungsi ginjal dan hipertensi</t>
  </si>
  <si>
    <t>TR042538951</t>
  </si>
  <si>
    <t>Kumis Kucing 500 mg 60 Kaplet</t>
  </si>
  <si>
    <t>KUMIS KUCING</t>
  </si>
  <si>
    <t>Rp47.300 - Rp67.900</t>
  </si>
  <si>
    <t>3-4 kaplet 3 kali sehari</t>
  </si>
  <si>
    <t>Membantu menjaga kesehatan prostat dan melancarkan buang air seni</t>
  </si>
  <si>
    <t>Dus, botol @ 60 kaplet</t>
  </si>
  <si>
    <t>kumis kucing</t>
  </si>
  <si>
    <t>membantu menjaga kesehatan prostat melancarkan buang air seni</t>
  </si>
  <si>
    <t>kumis kucing kaplet membantu menjaga kesehatan prostat melancarkan buang air seni</t>
  </si>
  <si>
    <t>TR062263331</t>
  </si>
  <si>
    <t>Vegeta Herbal 6 Sachet</t>
  </si>
  <si>
    <t>VEGETA HERBAL RASA ANGGUR</t>
  </si>
  <si>
    <t>Rp21.000 - Rp23.100</t>
  </si>
  <si>
    <t>Larutkan satu sachet ke dalam segelas air, aduk hingga rata kemudian segera diminum. Sebaiknya diminum setelah makan. Akan mengental jika tidak segera diminum. Tidak untuk digunakan setiap hari lebih dari 1 minggu.</t>
  </si>
  <si>
    <t>1 sachet, 1 kali per hari. Dapat ditingkatkan menjadi 2 kali sehari.</t>
  </si>
  <si>
    <t>Membantu melancarkan buang air besar.</t>
  </si>
  <si>
    <t>Dus, 6 Sachet @ 5 g</t>
  </si>
  <si>
    <t>Penderita gangguan ginjal, jantung, sumbatan (obstruksi) usus, radang usus, usus buntu, nyeri perut yang tidak diketahui penyebabnya, kondisi dehidrasi dan gangguan elektrolit.</t>
  </si>
  <si>
    <t>Konsultasikan dengan dokter jika digunakan bersama obat lain. Jika digunakan bersama obat lain, dianjurkan diberikan dengan selang waktu 2-3 jam antara pemberian oral obat lain dengan produk ini karena dapat mempengaruhi absorpsi obat lain. Tidak boleh diberikan pada penderita gangguan pencernaan seperti nyeri perut, mual dan muntah. Hindari penggunaan pada anak-anak dibawah 12 tahun, wanita hamil atau menyusui. Hubungi dokter jika BAB tidak teratasi. Penggunaan harus disertai minum air putih minimum 8 gelas sehari. Tidak boleh digunakan tanpa air. Tidak boleh makan dalam bentuk serbuk. Hentikan pemakaian jika terjadi reaksi alergi.</t>
  </si>
  <si>
    <t>vegeta herbal rasa anggur</t>
  </si>
  <si>
    <t>vegeta herbal</t>
  </si>
  <si>
    <t>vegeta herbal sachet vegeta herbal rasa anggur membantu melancarkan buang air</t>
  </si>
  <si>
    <t>DKL1318826950A1</t>
  </si>
  <si>
    <t>Trogystatin Ovula</t>
  </si>
  <si>
    <t>Rp20.700 - Rp21.100</t>
  </si>
  <si>
    <t>Dimasukkan ke dalam vagina.</t>
  </si>
  <si>
    <t>PENGGUNAAN OBAT INI HARUS SESUAI DENGAN PETUNJUK DOKTER. 1 ovula sekali sehari selama 7-10 hari. Jika selama 10 hari pengobatan tidak ada perbaikan, pengobatan harus diperpanjang selama 10 hari. Dapat dikombinasi dengan metronidazol oral 250 mg dua kali sehari.</t>
  </si>
  <si>
    <t>INFORMASI OBAT INI HANYA UNTUK KALANGAN MEDIS. Infeksi vagina campuran karena Trichomonas vaginalis dan Candida albicans.</t>
  </si>
  <si>
    <t>Box, 2 Blister @ 5 Ovula</t>
  </si>
  <si>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</si>
  <si>
    <t>trogystatin</t>
  </si>
  <si>
    <t>trogystatin ovula metronidazole nystatin infeksi vagina campuran trichomonas vaginalis candida albicans</t>
  </si>
  <si>
    <t>TR202635551</t>
  </si>
  <si>
    <t>Enkasari Herbal 120 ml</t>
  </si>
  <si>
    <t>ENKASARI HERBAL</t>
  </si>
  <si>
    <t>Rp24.000 - Rp29.200</t>
  </si>
  <si>
    <t>Tuangkan Enkasari herbal obat kumur 15 ml pada tutup botol dan kumurlah selama 30 - 60 detik.</t>
  </si>
  <si>
    <t>Dewasa: 3 kali sehari 2 gelas takar. Anak - anak &gt; 5tahun : 2 kali sehari 1 gelas takar. (1 gelas takar = 15ml). Dikumur tidak untuk ditelan.</t>
  </si>
  <si>
    <t>Membantu mengurangi sariawan, membantu menyegarkan mulut dan mengurangi bau mulut.</t>
  </si>
  <si>
    <t>OBAT KUMUR TIDAK UNTUK DITELAN. Simpan pada suhu dibawah 30 C dan terlindung dari cahaya</t>
  </si>
  <si>
    <t>enkasari herbal</t>
  </si>
  <si>
    <t>membantu mengurangi sariawan , membantu menyegarkan mulut mengurangi bau mulut</t>
  </si>
  <si>
    <t>enkasari herbal  membantu mengurangi sariawan  membantu menyegarkan mulut mengurangi bau mulut</t>
  </si>
  <si>
    <t>DKL1734606910B1</t>
  </si>
  <si>
    <t>Telsat 80 mg 10 Tablet</t>
  </si>
  <si>
    <t>Rp95.400 - Rp160.000</t>
  </si>
  <si>
    <t>PENGGUNAAN OBAT INI HARUS SESUAI DENGAN PETUNJUK DOKTER. 1 x sehari 20-80 mg.</t>
  </si>
  <si>
    <t>INFORMASI OBAT INI HANYA UNTUK KALANGAN MEDIS. Membantu menurunkan tekanan darah, membantu mencegah penyakit kardiovaskular</t>
  </si>
  <si>
    <t>Riwayat alergi, kehamilan</t>
  </si>
  <si>
    <t>HARUS DENGAN RESEP DOKTER. Ibu hamil. Kategori kehamilan : Trimester pertama: Kategori C. Kategori C: Mungkin berisiko. Obat digunakan dengan hati-hati apabila besarnya manfaat yang diperoleh melebihi besarnya risiko terhadap janin. Penelitian pada hewan uji menunjukkan risiko terhadap janin dan belum terdapat penelitian langsung terhadap wanita hamil. Trimester kedua dan ketiga: Kategori D : Terbukti berisiko terhadap janin. Meski demikian, obat masih dapat digunakan jika obat diperlukan untuk mengatasi keadaan yang mengancam jiwa, atau penyakit serius, dimana obat yang lebih aman tidak dapat digunakan atau tidak efektif.</t>
  </si>
  <si>
    <t>membantu menurunkan tekanan darah , membantu mencegah penyakit kardiovaskular</t>
  </si>
  <si>
    <t>telsat</t>
  </si>
  <si>
    <t>telsat tablet telmisartan membantu menurunkan teka darah  membantu mencegah penyakit kardiovaskular</t>
  </si>
  <si>
    <t>Sanoskin Oxy Gel 30 g</t>
  </si>
  <si>
    <t>Oleskan gel pada langsung pada yang luka, tutup luka dengan kasa pembalut</t>
  </si>
  <si>
    <t>Gunakan pada luka superfisial dan luka dalam misalnya tukak dalam tungkai</t>
  </si>
  <si>
    <t>gunakan luka superfisial luka tukak tungkai</t>
  </si>
  <si>
    <t>sanoskin oxy</t>
  </si>
  <si>
    <t>sanoskin oxy krim sulfadiazine silver gunakan luka superfisial luka tukak tungkai</t>
  </si>
  <si>
    <t>DTL7827909637A1</t>
  </si>
  <si>
    <t>Zenirex Expectorant Sirup 60 ml</t>
  </si>
  <si>
    <t>Rp21.100 - Rp25.600</t>
  </si>
  <si>
    <t>Koco terlebih dahulu</t>
  </si>
  <si>
    <t xml:space="preserve">Dewasa : sehari 2 - 4 sendok teh tiap 4 jam. Anak-anak </t>
  </si>
  <si>
    <t>TR142382961</t>
  </si>
  <si>
    <t>Borobudur Mastin Gold 30 Kapsul</t>
  </si>
  <si>
    <t>MASTIN GOLD</t>
  </si>
  <si>
    <t>Rp65.900 - Rp102.500</t>
  </si>
  <si>
    <t>Membantu memelihara kesehatan tubuh dan kulit</t>
  </si>
  <si>
    <t>mastin gold</t>
  </si>
  <si>
    <t>membantu memelihara kesehatan tubuh kulit</t>
  </si>
  <si>
    <t>borobudur mastin gold</t>
  </si>
  <si>
    <t>borobudur mastin gold kapsul mastin gold membantu memelihara kesehatan tubuh kulit</t>
  </si>
  <si>
    <t>sanprima suspensi trimethoprim sulfamethoxazole infeksi saluran pernapasan  git  gut  otitis medium</t>
  </si>
  <si>
    <t>Oral B Sikat Gigi Stages 2 2-4 Years Extra Soft 1 Piece</t>
  </si>
  <si>
    <t>Rp20.500 - Rp27.500</t>
  </si>
  <si>
    <t>oral b sikat gigi stages years extra soft piece</t>
  </si>
  <si>
    <t xml:space="preserve">oral b sikat gigi stages years extra soft piece tablet aminophylline </t>
  </si>
  <si>
    <t>TR152387881</t>
  </si>
  <si>
    <t>Borobudur Mastin Neem 30 Kapsul</t>
  </si>
  <si>
    <t>MASTIN NEEM</t>
  </si>
  <si>
    <t>Rp49.900 - Rp55.700</t>
  </si>
  <si>
    <t>Membantu Meringankan Jerawat dan gatal-gatal</t>
  </si>
  <si>
    <t>mastin neem</t>
  </si>
  <si>
    <t>membantu meringankan jerawat gatal - gatal</t>
  </si>
  <si>
    <t>borobudur mastin neem</t>
  </si>
  <si>
    <t>borobudur mastin neem kapsul mastin neem membantu meringankan jerawat gatal  gatal</t>
  </si>
  <si>
    <t>TI174557051</t>
  </si>
  <si>
    <t>Blackmores Grape Seed 12000 30 Tablet</t>
  </si>
  <si>
    <t>BLACKMORES GRAPE SEED 12000</t>
  </si>
  <si>
    <t>Rp198.300 - Rp300.000</t>
  </si>
  <si>
    <t>Dewasa: 2 tablet sehari setelah makan atau sesuai petunjuk dokter.</t>
  </si>
  <si>
    <t>Botol @ 30 Tablet Salut Selaput</t>
  </si>
  <si>
    <t>Konsultasikan dengan dokter untuk penggunaan pada ibu hamil dan menyusui.</t>
  </si>
  <si>
    <t>blackmores grape seed 12000</t>
  </si>
  <si>
    <t>blackmores grape seed</t>
  </si>
  <si>
    <t>blackmores grape seed tablet blackmores grape seed 12000 membantu memelihara kesehatan</t>
  </si>
  <si>
    <t>DKL1213317517A1</t>
  </si>
  <si>
    <t>Tofedex 25 mg 10 Tablet</t>
  </si>
  <si>
    <t>Rp76.600 - Rp104.100</t>
  </si>
  <si>
    <t>Berikan 30 menit sebelum makan, terutama pada nyeri akut</t>
  </si>
  <si>
    <t>PENGGUNAAN OBAT INI HARUS SESUAI DENGAN PETUNJUK DOKTER. Dewasa: 12.5 mg tiap 4-6 jam, atau 25 mg tiap 8 jam. Dosis maks: 75 mg/hari.</t>
  </si>
  <si>
    <t>INFORMASI OBAT INI HANYA UNTUK KALANGAN MEDIS. Nyeri muskuloskeletal akut, nyeri pasca operasi, dismenore</t>
  </si>
  <si>
    <t>Hamil &amp; laktasi. Riwayat serangan asma, asma bronkial, bronkospasme, rinitis akut, polip nasal, urtikaria, edema angioneurotik</t>
  </si>
  <si>
    <t>TR142380691</t>
  </si>
  <si>
    <t>Borobudur Mastin Plus 60 Kapsul</t>
  </si>
  <si>
    <t>MASTIN PLUS</t>
  </si>
  <si>
    <t>Rp56.500 - Rp104.300</t>
  </si>
  <si>
    <t>mastin plus</t>
  </si>
  <si>
    <t>borobudur mastin plus</t>
  </si>
  <si>
    <t>borobudur mastin plus kapsul mastin plus membantu memelihara daya tahan tubuh</t>
  </si>
  <si>
    <t xml:space="preserve">laurier active day super maxi non wing pads tablet tizanidine hydrochloride </t>
  </si>
  <si>
    <t>DKL0435302433A1</t>
  </si>
  <si>
    <t>Propepsa Suspensi 100 ml</t>
  </si>
  <si>
    <t>Rp66.000 - Rp90.800</t>
  </si>
  <si>
    <t>Diberikan saat perut kosong 1 jam sebelum makan atau 2 jam sesudah makan, dan menjelang tidur</t>
  </si>
  <si>
    <t>propepsa</t>
  </si>
  <si>
    <t>propepsa suspensi sucralfate tukak lambung usus  gastritis kronik profilaksis perdarahan gastrointestinal</t>
  </si>
  <si>
    <t>DKL8822209037A1</t>
  </si>
  <si>
    <t>Astharol Sirup 60 ml</t>
  </si>
  <si>
    <t>Rp21.400 - Rp22.600</t>
  </si>
  <si>
    <t>Saat perut kosong</t>
  </si>
  <si>
    <t>PENGGUNAAN OBAT INI HARUS SESUAI DENGAN PETUNJUK DOKTER. Dewasa : 1-2 sendok takar 5 mL, Anak 6-12 tahun : 1 sendok takar 5 mL, Anak 2-6 tahun : 0.5-1 sendok takar 5 mL, Semua dosis diberikan 3-4 x sehari.</t>
  </si>
  <si>
    <t>Bronkhospasme pada semua jenis Asma Bronkhial, Bronkhitis Khronik dan Emfisema.</t>
  </si>
  <si>
    <t>IV (dalam pengobatan persalinan prematur): Faktor risiko yang sudah ada sebelumnya atau risiko untuk penyakit jantung iskemik, usia kehamilan &lt;22 minggu, kondisi di mana perpanjangan kehamilan berbahaya (misalnya toksemia berat, infeksi intrauterin, perdarahan vag akibat plasenta pravia, eclampsia atau preeklamsia berat, abrupsi plasenta, kompresi tali pusat, penggunaan aborsi terancam.</t>
  </si>
  <si>
    <t>Obat Wajib Apotek, Obat ini dapat dibeli dan diserahkan apoteker tanpa resep dengan maksimum 1 Botol. Pembelian melebihi batas ini WAJIB RESEP DOKTER. Tirotoksikosis, hipertensi, gangguan fungsi kardio vaskular, hipertiroid dan diabetes melitus, hamil dan laktasi. Anak &lt;2 tahun</t>
  </si>
  <si>
    <t>bronkhospasme jenis asma bronkhial , bronkhitis khronik emfisema</t>
  </si>
  <si>
    <t>astharol</t>
  </si>
  <si>
    <t>astharol sirup salbutamol sulfate bronkhospasme jenis asma bronkhial  bronkhitis khronik emfisema</t>
  </si>
  <si>
    <t>DTL8708101024A1</t>
  </si>
  <si>
    <t>Neo Ultracyn Powder 75 g</t>
  </si>
  <si>
    <t>Rp7.400 - Rp12.000</t>
  </si>
  <si>
    <t>Taburkan atau gosokkan pada bagian kulit yang dikehendaki sehari 2-3 kali atau sehabis mandi.</t>
  </si>
  <si>
    <t>Biang keringat, gatal, mencegah kulit lecet karena terlalu lama berbaring.</t>
  </si>
  <si>
    <t>Botol @ 75G, Serbuk Obat Luar 5Mg/G</t>
  </si>
  <si>
    <t>chlorphenesin</t>
  </si>
  <si>
    <t>biang keringat , gatal , mencegah kulit lecet berbaring</t>
  </si>
  <si>
    <t>neo ultracyn</t>
  </si>
  <si>
    <t>neo ultracyn powder chlorphenesin biang keringat  gatal  mencegah kulit lecet berbaring</t>
  </si>
  <si>
    <t>Calcusol 50 Kapsul</t>
  </si>
  <si>
    <t>Rp55.000 - Rp86.900</t>
  </si>
  <si>
    <t>Dewasa : 3 kali sehari 2 kapsul selama 5 hari, selanjutnya diturunkan jadi 2 kapsul sekali minum 2 kali sehari selama 1 - 3 minggu hingga rasa sakit akibat batu ginjal reda</t>
  </si>
  <si>
    <t>meluruhkan batu ginjal, dan dapat di gunakan untuk mengatasi anyang-anyangan dan memperlancar buang air kecil</t>
  </si>
  <si>
    <t>meluruhkan batu ginjal , mengatasi anyang - anyangan memperlancar buang air</t>
  </si>
  <si>
    <t>calcusol kapsul meluruhkan batu ginjal  mengatasi anyang  anyangan memperlancar buang air</t>
  </si>
  <si>
    <t>DKL1213706615B1</t>
  </si>
  <si>
    <t>Pepzol Tablet 40 mg</t>
  </si>
  <si>
    <t>Rp23.600 - Rp24.400</t>
  </si>
  <si>
    <t>Bersama makanan. Telan utuh, jangan dikunyah/dihancurkan</t>
  </si>
  <si>
    <t>PENGGUNAAN OBAT INI HARUS SESUAI DENGAN PETUNJUK DOKTER. Penatalaksanaan jangka panjang dan terapi pemeliharaan untuk refluks esofagitis sedang hingga berat: 20 mg/hari. Tukak duodenum, tukak lambung, dan refluks esofagitis sedang dan berat: 40 mg/ hari. Terapi eradikasi pada pasien dengan tukak duodenum atau tukak lambung 40 mg 2 kali sehari dalam terapi kombinasi. Sindrom Zollinger-Ellison: awal 80 mg kemudian disesuaikan secara individual berdasarkan sekresi asam lambung.</t>
  </si>
  <si>
    <t>INFORMASI OBAT INI HANYA UNTUK KALANGAN MEDIS. Tukak lambung &amp; duodenum, refluks esofagitis, sindrom Zollinger-Ellison</t>
  </si>
  <si>
    <t>HARUS DENGAN RESEP DOKTER. Ibu hamil dan menyusui. Kategori Kehamilan : B</t>
  </si>
  <si>
    <t>pantoprazole</t>
  </si>
  <si>
    <t>tukak lambung duodenum , refluks esofagitis , sindrom zollinger - ellison</t>
  </si>
  <si>
    <t>pepzol</t>
  </si>
  <si>
    <t>pepzol tablet pantoprazole tukak lambung duodenum  refluks esofagitis  sindrom zollinger  ellison</t>
  </si>
  <si>
    <t>DKL0535800628A1</t>
  </si>
  <si>
    <t>Esinol 0.25 mg/g Gel 10 g</t>
  </si>
  <si>
    <t>Rp23.800 - Rp31.800</t>
  </si>
  <si>
    <t>Meredakan manifestasi peradangan dan pruritus dari dermatosis yang responsif terhadap kortikosteroid</t>
  </si>
  <si>
    <t>Gel 0.25 Mg/G X 10 G</t>
  </si>
  <si>
    <t>Infeksi primer bakteri, jamur, atau virus pada kulit. Rosasea, akne, dermatitis perioral, kemerahan karena pembalut, pruritus anogenital. Anak &lt;2 tahun</t>
  </si>
  <si>
    <t>HARUS DENGAN RESEP DOKTER. Hentikan penggunaan jika terjadiiritasi. Hindari kontak dengan mata. Absorpsi sistemik kortikosteroid topikal dapat menyebabkan penekanan aksis hipotalamus-pituitari-adrenal, penekanan pada sendi, sindrom Cushing, hiperglikemia, glukosuria. Penggunaan jan</t>
  </si>
  <si>
    <t>meredakan manifestasi peradangan pruritus dermatosis responsif kortikosteroid</t>
  </si>
  <si>
    <t>esinol</t>
  </si>
  <si>
    <t>esinol gel fluocinolone acetonide meredakan manifestasi peradangan pruritus dermatosis responsif kortikosteroid</t>
  </si>
  <si>
    <t>DBL9306409536A1</t>
  </si>
  <si>
    <t>Erphamol Drops 15 ml</t>
  </si>
  <si>
    <t>Rp20.900 - Rp30.300</t>
  </si>
  <si>
    <t>Anak 7-12 tahun : 2.4 mL.\ Anak 4-6 tahun : 1.2 mL. Anak 1-3 tahun : 0.6-1.2 mL. Anak &lt; 1 tahun : 0.6 mL. Diberikan 3-4 kali sehari</t>
  </si>
  <si>
    <t>Drop 60 Mg/0.6 ml X 15 ml X 1</t>
  </si>
  <si>
    <t>Gangguan fungsi hati atau ginjal</t>
  </si>
  <si>
    <t>Penyakit ginjal. Dapat meningkatkan risiko kerusakan hati pada pasien yangmengonsumsi alkohol.</t>
  </si>
  <si>
    <t>erphamol tetes paracetamol demam  sakit kepala  sakit gigi  dismenore  nyeri otot</t>
  </si>
  <si>
    <t>DKL2105065610A1</t>
  </si>
  <si>
    <t>Canderin Duo 8 mg/5 mg 10 Tablet</t>
  </si>
  <si>
    <t>Rp104.900 - Rp127.900</t>
  </si>
  <si>
    <t>canderin duo</t>
  </si>
  <si>
    <t>canderin duo tablet candesartan cilexetil amlodipine besilate pengobatan teka darah hipertensi</t>
  </si>
  <si>
    <t>DKL1817113133A1</t>
  </si>
  <si>
    <t>Lipepsa Suspensi 500 mg/5 ml 100 ml</t>
  </si>
  <si>
    <t>Rp18.600 - Rp21.600</t>
  </si>
  <si>
    <t>INFORMASI OBAT INI HANYA UNTUK KALANGAN MEDIS. Tukak lambung dan usus, gastritis kronik dan profilaksis perdarahan gastrointestinal.</t>
  </si>
  <si>
    <t>lipepsa</t>
  </si>
  <si>
    <t>lipepsa suspensi sucralfate tukak lambung usus  gastritis kronik profilaksis perdarahan gastrointestinal</t>
  </si>
  <si>
    <t>Mycospor 1% Cream 15 g</t>
  </si>
  <si>
    <t>Rp131.800 - Rp150.400</t>
  </si>
  <si>
    <t>PENGGUNAAN OBAT INI HARUS SESUAI DENGAN PETUNJUK DOKTER. Oleskan krim 1 x sehari. Lama pengobatan: Mikosis pada kaki, Athlete's foot : 3 minggu. Mikosis pada badan, tangan, dan lipatan kulit : 2-3 minggu. Pitiriasis versikolor dan Eritrasma: 2 minggu.</t>
  </si>
  <si>
    <t>INFORMASI OBAT INI HANYA UNTUK KALANGAN MEDIS. Mikosis pada kulit yang disebabkan oleh Dermatofit, ragi dan jamur-jamur lainnya</t>
  </si>
  <si>
    <t>Dus, 1 Tube @ 15 g</t>
  </si>
  <si>
    <t>HARUS DENGAN RESEP DOKTER. Riwayat reaksi hipersensitivitas terhadap antijamur imidazol lain (misalnya ekonazol, mikonazol, klotrimazol). Hati-hati penggunaan pada ibu hamil atau menyusui.</t>
  </si>
  <si>
    <t>bifonazole</t>
  </si>
  <si>
    <t>mikosis kulit disebabkan dermatofit , ragi jamur - jamur</t>
  </si>
  <si>
    <t>mycospor cream</t>
  </si>
  <si>
    <t>mycospor cream krim bifonazole mikosis kulit disebabkan dermatofit  ragi jamur  jamur</t>
  </si>
  <si>
    <t>DKL1411643509A1</t>
  </si>
  <si>
    <t>Osteonate Oaw 35 mg Kaplet</t>
  </si>
  <si>
    <t>Rp51.200 - Rp117.300</t>
  </si>
  <si>
    <t>Osteonate OAW harus diminum sekali seminggu, minimal 30 menit sebelum makan pagi. Tablet harus diminum pada hari yang sama setiap minggu.</t>
  </si>
  <si>
    <t>PENGGUNAAN OBAT INI HARUS SESUAI DENGAN PETUNJUK DOKTER. Untuk terapi dan pencegahan osteoporosis pasca-menopause: dosis yang dianjurkan adalah 35 mg sekali seminggu.</t>
  </si>
  <si>
    <t>membantu mengobati dan mencegah ostoroposis pada tulang</t>
  </si>
  <si>
    <t>Box, 4 kaplet</t>
  </si>
  <si>
    <t>Pasien dengan hipokalsemia, hipersensitivitas, dan pasien yang tidak dapat berdiri atau duduk tegak selama minimal 30 menit.</t>
  </si>
  <si>
    <t>risedronate sodium hemipentahydrate</t>
  </si>
  <si>
    <t>membantu mengobati mencegah ostoroposis tulang</t>
  </si>
  <si>
    <t>osteonate oaw</t>
  </si>
  <si>
    <t>osteonate oaw kaplet risedronate sodium hemipentahydrate membantu mengobati mencegah ostoroposis tulang</t>
  </si>
  <si>
    <t>DTL0113310337A1</t>
  </si>
  <si>
    <t>Lapifed Sirup 60 ml</t>
  </si>
  <si>
    <t>lapifed</t>
  </si>
  <si>
    <t>lapifed sirup pseudoephedrine hydrochloride meringankan gejala berhubungan flu  sinusitis  rinitis alergi</t>
  </si>
  <si>
    <t>DKL1921647829A1</t>
  </si>
  <si>
    <t>Dexosyn Cream 5 g</t>
  </si>
  <si>
    <t>Rp21.100 - Rp26.700</t>
  </si>
  <si>
    <t>Krim dioleskan pada area kulit yang radang/gatal</t>
  </si>
  <si>
    <t>PENGGUNAAN OBAT INI HARUS SESUAI DENGAN PETUNJUK DOKTER. Oleskan krim 1-2 x sehari</t>
  </si>
  <si>
    <t>Meredakan inflamasi dan gejala Pruritus pada Dermatosis yang responsif terhadap Kortikosteroid</t>
  </si>
  <si>
    <t>Tidak boleh digunakan pada mata. Pasien dengan reaksi kulit yang diakibatkan oleh vaksinasi, manifestasi TB pada kulit, sifilis, infeksi virus, rosasea dan dermatitis perioral. Hamil dan laktasi</t>
  </si>
  <si>
    <t>Obat Wajib Apotek, Obat ini dapat dibeli dan diserahkan apoteker tanpa resep dengan maksimum 1 Tube. Pembelian melebihi batas ini WAJIB RESEP DOKTER. Bayi atau anak &lt;6 tahun. Penggunaan jangka lama atau pada area tubuh yang luas</t>
  </si>
  <si>
    <t>meredakan inflamasi gejala pruritus dermatosis responsif kortikosteroid</t>
  </si>
  <si>
    <t>dexosyn cream</t>
  </si>
  <si>
    <t>dexosyn cream krim desoximetasone meredakan inflamasi gejala pruritus dermatosis responsif kortikosteroid</t>
  </si>
  <si>
    <t>DBL7214707908A2</t>
  </si>
  <si>
    <t>Obimin-Af 10 Tablet</t>
  </si>
  <si>
    <t>Rp25.000 - Rp31.900</t>
  </si>
  <si>
    <t>Sebelum atau sesudah makan, dapat diberikan bersama makanan untuk absorpsi yang lebih baik atau bila timbul ketidak-nyamanan pada saluran cerna.</t>
  </si>
  <si>
    <t>Suplemen nutrisi untuk sebelum dan sesudah melahirkan dan untuk mengatasi gangguan yang sering timbul selama kehamilan</t>
  </si>
  <si>
    <t>Dus, 3 Blister @ 10 Kaplet salut gula</t>
  </si>
  <si>
    <t>Hati-hati penggunaan pada penderita gangguan fungsi hati, hati-hati bagi penderita yang memiliki riwayat hipersensitif</t>
  </si>
  <si>
    <t>suplemen nutrisi melahirkan mengatasi gangguan timbul kehamilan</t>
  </si>
  <si>
    <t>obiminaf</t>
  </si>
  <si>
    <t>obiminaf kaplet ascorbic acid suplemen nutrisi melahirkan mengatasi gangguan timbul kehamilan</t>
  </si>
  <si>
    <t>Nucral Suspensi 500 mg/ 5 ml 100 ml</t>
  </si>
  <si>
    <t>Rp52.700 - Rp76.200</t>
  </si>
  <si>
    <t>INFORMASI OBAT INI HANYA UNTUK KALANGAN MEDIS. Vertigo dan pusing pada penyakit Meniere, sindroma Meniere, vertigo perifer</t>
  </si>
  <si>
    <t>HARUS DENGAN RESEP DOKTER. Tukak peptik, asma bronkial, feokromositosima</t>
  </si>
  <si>
    <t>vertigo pusing penyakit meniere , sindroma meniere , vertigo perifer</t>
  </si>
  <si>
    <t>nucral suspensi sucralfate vertigo pusing penyakit meniere  sindroma meniere  vertigo perifer</t>
  </si>
  <si>
    <t>DTL9506308546A1</t>
  </si>
  <si>
    <t>Ailin Tetes Mata 10 ml</t>
  </si>
  <si>
    <t>Rp8.500 - Rp9.000</t>
  </si>
  <si>
    <t>Teteskan pada mata kanan dan kiri atau pada mata yang sakit.</t>
  </si>
  <si>
    <t>Teteskan 1-2 tetes pada masing - masing mata. Obat diteteskan 3-4 kali sehari, kecuali bila ada petunjuk dokter.</t>
  </si>
  <si>
    <t>Meredakan mata merah karena iritasi mata ringan.</t>
  </si>
  <si>
    <t>meredakan mata merah iritasi mata ringan</t>
  </si>
  <si>
    <t>ailin tetes mata</t>
  </si>
  <si>
    <t>ailin tetes mata tetes tetryzoline meredakan mata merah iritasi mata ringan</t>
  </si>
  <si>
    <t>DBL9531105237A1</t>
  </si>
  <si>
    <t>Grafadon Sirup 60 ml</t>
  </si>
  <si>
    <t>Dewasa 15-20 ml. Anak 6-12 tahun 10-15 ml, 1-6 tahun 5-7.5 ml, Bayi &gt; 1 tahun 2.5 ml. Semua dosis diberikan 3-4 x sehari.</t>
  </si>
  <si>
    <t>Meringankan nyeri pada sakit kepala, sakit gigi dan meringankan demam.</t>
  </si>
  <si>
    <t>meringankan nyeri sakit kepala , sakit gigi meringankan demam</t>
  </si>
  <si>
    <t>grafadon sirup paracetamol meringankan nyeri sakit kepala  sakit gigi meringankan demam</t>
  </si>
  <si>
    <t>Kondom Sagami Xtreme Amino Gold Isi 10</t>
  </si>
  <si>
    <t>kondom sagami xtreme amino gold isi</t>
  </si>
  <si>
    <t>kondom sagami xtreme amino gold isi tablet sildenafil citrate alat kontrasepsi</t>
  </si>
  <si>
    <t>ossein hydroxyapatite compound</t>
  </si>
  <si>
    <t>ossopan kaplet ossein hydroxyapatite compound terapi pencegahan osteoporosis primer sekunder fraktur</t>
  </si>
  <si>
    <t>DKL1315621937A1</t>
  </si>
  <si>
    <t>Pronovir Sirup 250 mg/5 ml 60 ml</t>
  </si>
  <si>
    <t>Rp68.800 - Rp99.600</t>
  </si>
  <si>
    <t>PENGGUNAAN OBAT INI HARUS SESUAI DENGAN PETUNJUK DOKTER. Dws &amp; anak Kisaran dosis: 50 mg/kg BB/hr dibagi dlm 3-4 dosis. Infeksi berat, fase akut 100 mg/kg BB/hr dibagi dlm 4-6 dosis terbagi. Lama terapi yg lazim: 7-10 hr. Lanjutkan pengobatan selama sekurang-kurangnya 2 hr ssdh gejala-gejala mereda.</t>
  </si>
  <si>
    <t>Imunomodulator utk peny virus &amp; kondisi defisiensi sistem imun.</t>
  </si>
  <si>
    <t>Syr 250 Mg/5 ml X 60 ml</t>
  </si>
  <si>
    <t>imunomodulator utk peny virus kondisi defisiensi sistem imun</t>
  </si>
  <si>
    <t>pronovir sirup methisoprinol imunomodulator utk peny virus kondisi defisiensi sistem imun</t>
  </si>
  <si>
    <t>paracetamol hyoscyamine extract</t>
  </si>
  <si>
    <t>feminax tablet paracetamol hyoscyamine extract untuk mengurangi sakit haid dismenorea kolik</t>
  </si>
  <si>
    <t>Kondom Sagami Xtreme Dotted S Isi 3</t>
  </si>
  <si>
    <t>kondom sagami xtreme dotted s isi</t>
  </si>
  <si>
    <t>kondom sagami xtreme dotted s isi tablet sildenafil citrate alat kontrasepsi</t>
  </si>
  <si>
    <t>DBL8305501304A1</t>
  </si>
  <si>
    <t>Dumin 500 mg 10 Kaplet</t>
  </si>
  <si>
    <t>Rp8.000 - Rp9.600</t>
  </si>
  <si>
    <t>Dewasa: 1 kaplet, 3 sampai 4 kali per hari. Penggunaan maximum 8 kaplet per hari. Anak (6 - 12 tahun): 1/2 - 1 kaplet, 3 sampai 4 kali per hari. Penggunaan maximum 4 kaplet per hari.</t>
  </si>
  <si>
    <t>Meredakan nyeri pada keadaan sakit kepala, sakit gigi dan menurunkan demam.</t>
  </si>
  <si>
    <t>Dus, 10 Blister @ 10 kaplet</t>
  </si>
  <si>
    <t>Penderita hipersensitif/alergi terhadap Paracetamol, penderita gangguan fungsi hati berat.</t>
  </si>
  <si>
    <t>Pasien dengan gagal ginjal, gangguan fungsi hati. Bila setelah 2 hari demam tidak menurun atau setelah 5 hari nyeri tidak hilang, segera hubungi dokter atau unit pelayanan kesehatan.</t>
  </si>
  <si>
    <t>meredakan nyeri sakit kepala , sakit gigi menurunkan demam</t>
  </si>
  <si>
    <t>dumin</t>
  </si>
  <si>
    <t>dumin kaplet paracetamol meredakan nyeri sakit kepala  sakit gigi menurunkan demam</t>
  </si>
  <si>
    <t>DKL1804430217A1</t>
  </si>
  <si>
    <t>TKV 0.5 mg 10 Tablet</t>
  </si>
  <si>
    <t>Rp318.800 - Rp426.700</t>
  </si>
  <si>
    <t>Dapat dikonsumsi dengan atau tanpa makanan.</t>
  </si>
  <si>
    <t>PENGGUNAAN OBAT INI HARUS SESUAI DENGAN PETUNJUK DOKTER. Sehari 1 kali 1 tablet.</t>
  </si>
  <si>
    <t>INFORMASI OBAT INI HANYA UNTUK KALANGAN MEDIS. Terapi infeksi virus hepatitis B kronik pada dewasa</t>
  </si>
  <si>
    <t>Hipersensitivitas terhadap Entecavir atau komponen dari produk</t>
  </si>
  <si>
    <t>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</si>
  <si>
    <t>entecavir monohydrate</t>
  </si>
  <si>
    <t>terapi infeksi virus hepatitis b kronik dewasa</t>
  </si>
  <si>
    <t>tkv</t>
  </si>
  <si>
    <t>tkv tablet entecavir monohydrate terapi infeksi virus hepatitis b kronik dewasa</t>
  </si>
  <si>
    <t>DBL7822221817A1</t>
  </si>
  <si>
    <t>Neurosanbe 10 Tablet</t>
  </si>
  <si>
    <t>Rp15.300 - Rp20.700</t>
  </si>
  <si>
    <t>1 kali sehari, 1 tablet</t>
  </si>
  <si>
    <t>Untuk pengobatan kekurangan Vitamin B1, B6 dan B12 seperti pada polineuritis.</t>
  </si>
  <si>
    <t>Penderita yang hipersensitif dengan komponen obat ini</t>
  </si>
  <si>
    <t>Sebaiknya tidak digunakan untuk pasien yang sedang menerima terapi levodopa</t>
  </si>
  <si>
    <t>untuk pengobatan kekurangan vitamin b1 , b6 b12 polineuritis</t>
  </si>
  <si>
    <t>neurosanbe</t>
  </si>
  <si>
    <t>neurosanbe tablet cyanocobalamin untuk pengobatan kekurangan vitamin b1  b6 b12 polineuritis</t>
  </si>
  <si>
    <t>GBL9819920623A1</t>
  </si>
  <si>
    <t>Oralit 200 4.1 g 1 Sachet</t>
  </si>
  <si>
    <t>Rp900 - Rp1.300</t>
  </si>
  <si>
    <t>Dilarutkan dengan air matang. Larutan ini tidak dapat digunakan apabila lebih dari 24 jam. Jika terjadi muntah hentikan sementara, 2 sampai 5 menit, berikan oralit dengan sendok sedikit demi sedikit.</t>
  </si>
  <si>
    <t>Dibawah 1 tahun : 3 jam pertama 1.5 gelas, selanjutnya 1/2 gelas tiap kali mencret. Anak 1 - 5 tahun: 3 jam pertama 3 gelas, selanjutnya 1 gelas tiap kali mencret. Anak 5 - 12 tahun : 3 jam pertama 6 gelas, selanjutnya 1.5 gelas tiap kali mencret. Anak lebih dari 12 tahun : 3 jam pertama 12 gelas, selanjutnya 2 gelas tiap kali mencret.</t>
  </si>
  <si>
    <t>Obat ini digunakan untuk mencegah dan mengobati dehidrasi akibat diare dan muntah.</t>
  </si>
  <si>
    <t>Dus, 100 Sachet @ 4 g</t>
  </si>
  <si>
    <t>Penderita gangguan fungsi ginjal, malabsorpsi glukosa, serta dehidrasi parah</t>
  </si>
  <si>
    <t>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</si>
  <si>
    <t>anhydrous dextrose</t>
  </si>
  <si>
    <t>obat mencegah mengobati dehidrasi akibat diare muntah</t>
  </si>
  <si>
    <t>oralit</t>
  </si>
  <si>
    <t>oralit powder anhydrous dextrose obat mencegah mengobati dehidrasi akibat diare muntah</t>
  </si>
  <si>
    <t>DKL0209213829A1</t>
  </si>
  <si>
    <t>Clonaderm 0.05% Cream 5 g</t>
  </si>
  <si>
    <t>Rp8.800 - Rp23.800</t>
  </si>
  <si>
    <t>di oleskan pada bagian yang sakit</t>
  </si>
  <si>
    <t>PENGGUNAAN OBAT INI HARUS SESUAI DENGAN PETUNJUK DOKTER. Oleskan tipis-tipis pada bagian yang sakit 1-2 kali sehari. Lama terapi maksimal 2 minggu. Dosis maksimal: 50 g/minggu</t>
  </si>
  <si>
    <t>Dermatosis dengan peradangan dan gejala Pruritus yang responsif terhadap Kortikosteroid</t>
  </si>
  <si>
    <t>Riwayat hipersensitif terhadap obat</t>
  </si>
  <si>
    <t>HARUS DENGAN RESEP DOKTER. Tidak untuk terapi rosasea atau dermatitis perioral. Hindari kontak penggunaan pada wajah, daerah berambut, paha. Hindari kontak dengan mata. Hentikan pemberian segera jika terjadi infeksi atau iritasi. Hamil, laktasi, anak &lt;12 tahun Kategori Kehamilan : C</t>
  </si>
  <si>
    <t>dermatosis peradangan gejala pruritus responsif kortikosteroid</t>
  </si>
  <si>
    <t>clonaderm cream</t>
  </si>
  <si>
    <t>clonaderm cream krim clobetasol propionate dermatosis peradangan gejala pruritus responsif kortikosteroid</t>
  </si>
  <si>
    <t>DKL8920603710B1</t>
  </si>
  <si>
    <t>Azmacon 2 mg 10 Tablet</t>
  </si>
  <si>
    <t>Rp4.600 - Rp7.900</t>
  </si>
  <si>
    <t>Saat perut kosong, 1 jam sebelum atau 2 jam sesudah makan.</t>
  </si>
  <si>
    <t>PENGGUNAAN OBAT INI HARUS SESUAI DENGAN PETUNJUK DOKTER. Dewasa : 3-4 x sehari 2 tablet, Anak &gt; 12 tahun : 3-4 x sehari 1-2 tablet, Anak 6-12 tahun : 3-4 x sehari 1 tablet, Anak 2-6 tahun : 3-4 x sehari 0.5-1 tablet.</t>
  </si>
  <si>
    <t>Asma, Bronkhitis Khronis, Emfisema dan gangguan Bronkhopulmoner termasuk Bronkhospasme.</t>
  </si>
  <si>
    <t>Hipertensi, insufisiensi miokardial, hipertiroid, diabetes, gangguan kardio vaskular, hipersensitif terhadap salbutamol sulfat.</t>
  </si>
  <si>
    <t>Obat Wajib Apotek, Obat ini dapat dibeli dan diserahkan apoteker tanpa resep dengan maksimum 2 Strip. Pembelian melebihi batas ini WAJIB RESEP DOKTER. Tirotoksikosis, hamil trimester-1. Tidak boleh digunakan bersama obat ? bloker seperti propanolol.</t>
  </si>
  <si>
    <t>asma , bronkhitis khronis , emfisema gangguan bronkhopulmoner bronkhospasme</t>
  </si>
  <si>
    <t>azmacon</t>
  </si>
  <si>
    <t>azmacon tablet salbutamol sulfate asma  bronkhitis khronis  emfisema gangguan bronkhopulmoner bronkhospasme</t>
  </si>
  <si>
    <t>Neo Ultracyn Powder 150 g</t>
  </si>
  <si>
    <t>Rp19.200 - Rp21.600</t>
  </si>
  <si>
    <t>Taburkan secara merata pada kulit bayi dan gosok dengan lembut.</t>
  </si>
  <si>
    <t>Dus 12 Pot</t>
  </si>
  <si>
    <t>dextromethorphan hydrobromide guaifenesin chlorphenamine maleate</t>
  </si>
  <si>
    <t>promedex tablet dextromethorphan hydrobromide guaifenesin chlorphenamine maleate meredakan batuk disebabkan alergi</t>
  </si>
  <si>
    <t>Nexcare Micropore Plester Roll 1 Inch x 5 m</t>
  </si>
  <si>
    <t>Rp27.200 - Rp30.300</t>
  </si>
  <si>
    <t>Rekatkan pada kulit yang luka dengan diaplikasi bersama kasa steril</t>
  </si>
  <si>
    <t>Plester luka</t>
  </si>
  <si>
    <t>plester luka</t>
  </si>
  <si>
    <t>nexcare micropore plester roll inch x m</t>
  </si>
  <si>
    <t>nexcare micropore plester roll inch x m larutan povidoneiodine plester luka</t>
  </si>
  <si>
    <t>DKL8909304429A1</t>
  </si>
  <si>
    <t>Dermasolon 0.025% Cream 5 g</t>
  </si>
  <si>
    <t>Rp18.000 - Rp25.500</t>
  </si>
  <si>
    <t>Dioleskan pada area kulit yang sakit atau radang</t>
  </si>
  <si>
    <t>INFORMASI OBAT INI HANYA UNTUK KALANGAN MEDIS. Terapi topikal untuk dermatosis dan penyakit-penyakit kulit.</t>
  </si>
  <si>
    <t>Tube @ 5 g</t>
  </si>
  <si>
    <t>HARUS DENGAN RESEP DOKTER. - Pemakaian jangka panjang dan berlebihan pada kehamilan. - Penggunaan pada wajah.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</si>
  <si>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terapi topikal dermatosis penyakit - penyakit kulit</t>
  </si>
  <si>
    <t>dermasolon cream</t>
  </si>
  <si>
    <t>dermasolon cream krim fluocinolone acetonide terapi topikal dermatosis penyakit  penyakit kulit</t>
  </si>
  <si>
    <t>DKI1952000115A1</t>
  </si>
  <si>
    <t>Prosogan FD 15 mg 14 Tablet</t>
  </si>
  <si>
    <t>PENGGUNAAN OBAT INI HARUS SESUAI DENGAN PETUNJUK DOKTER. Ulkus duodenum : 1 kali sehari 30 mg selama 4 minggu. Benigna ulkus gaster : 1 kali sehari 30 mg selama 8 minggu. Refluks esofagitis : 1 kali sehari 30 mg selama 4 minggu.</t>
  </si>
  <si>
    <t>Dus, 2 Blister @ 14 Tablet</t>
  </si>
  <si>
    <t>prosogan fd</t>
  </si>
  <si>
    <t>prosogan fd tablet lansoprazole pengobatan ulkus duodenum  tukak lambung  refluks esofagitis</t>
  </si>
  <si>
    <t>TR212674501</t>
  </si>
  <si>
    <t>Siladex Cough Herbal Sirup 60 ml</t>
  </si>
  <si>
    <t>SILADEX COUGH HERBAL</t>
  </si>
  <si>
    <t>Dewasa dan anak-anak di atas 12 tahun : 3 x sehari 2 sendok takar (10 ml) Anak-anak 6-12 tahun : 3 x sehari 1 sendok takar (5 ml) Anak-anak 2-5 tahun : 3 x sehari 1/2 sendok takar (2.5 ml)</t>
  </si>
  <si>
    <t>Membantu meredakan batuk, membantu menghangatkan dan melegakan tenggorokan.</t>
  </si>
  <si>
    <t>Wanita hamil dan menyusui. Penderita hipersensitif terhadap salah satu bahan yang terkandung dalam sediaan ini. Penderita Glaukoma.</t>
  </si>
  <si>
    <t>Hati-hati pada pasien peminum alkohol atau obat-obat penenang. Selama pemakaian jangan mengemudikan kendaraan bermotor atau menjalankan mesin.</t>
  </si>
  <si>
    <t>siladex cough herbal</t>
  </si>
  <si>
    <t>membantu meredakan batuk , membantu menghangatkan melegakan tenggorokan</t>
  </si>
  <si>
    <t>siladex cough herbal sirup membantu meredakan batuk  membantu menghangatkan melegakan tenggorokan</t>
  </si>
  <si>
    <t>DBL0008502563A1</t>
  </si>
  <si>
    <t>Lambucid 10 Tablet</t>
  </si>
  <si>
    <t>Rp3.000 - Rp3.400</t>
  </si>
  <si>
    <t>Dewasa : 3 x sehari 1-2 tablet, anak-anak : 3 x sehari 1/2-1 tablet</t>
  </si>
  <si>
    <t>Nyeri pada ulu hati, gangguan lambung, dan kembung.</t>
  </si>
  <si>
    <t>tablet kunyah 1 x 10</t>
  </si>
  <si>
    <t>Hipersensitif, gangguan fungsi ginjal yang berat,</t>
  </si>
  <si>
    <t>Hati-hati penggunaan oleh penderita dengan diet rendah Phosphor dan pemakaian lama karena dapat mengurangi kadar Phosphor dalam darah, Tidak dianjurkan untuk digunakan terus-menerus (lebih dari 2 minggu).Tidak dianjurkan untuk anak-anak di bawah umur 6 tahun</t>
  </si>
  <si>
    <t>aluminium hydroxide gel</t>
  </si>
  <si>
    <t>nyeri ulu hati , gangguan lambung , kembung</t>
  </si>
  <si>
    <t>lambucid tablet aluminium hydroxide gel nyeri ulu hati  gangguan lambung  kembung</t>
  </si>
  <si>
    <t>DKL8922209510A1</t>
  </si>
  <si>
    <t>Astharol 4 mg 10 Tablet</t>
  </si>
  <si>
    <t>Rp13.100 - Rp17.800</t>
  </si>
  <si>
    <t>Tablet 4 Mg X 10 X 10</t>
  </si>
  <si>
    <t>astharol tablet salbutamol sulfate bronkospasme jenis asma bronkial  bronkritis kronik  emfisema</t>
  </si>
  <si>
    <t>DBL8318800137A1</t>
  </si>
  <si>
    <t>Ottopan Sirup 60 ml</t>
  </si>
  <si>
    <t>Rp29.100 - Rp35.200</t>
  </si>
  <si>
    <t>- 0-1 th : 0.5 sendok takar (2.5 ml), 3-4 kali sehari - 1-2 th : 1 sendok takar (5 ml), 3-4 kali sehari - 2-6 th : 1-2 sendok takar (5-10 ml), 3-4 kali sehari - 6-9 th : 2-3 sendok takar (10-15 ml), 3-4 kali sehari - 9-12 th : 3-4 sendok takar (15-20 ml),</t>
  </si>
  <si>
    <t>- Hati-hati penggunaan obat pada penderita penyakit ginjal - Bila setelah 2 hari demam tidak menurun atau setelah 5 hari nyeri tidak menghilang, segera hubungi unit pelayanan kesehatan - Penggunaan obat ini pada penderita yang mengonsumsi alkohol, dapat m</t>
  </si>
  <si>
    <t>ottopan sirup paracetamol meringankan sakit sakit kepala  sakit gigi  menurunkan demam</t>
  </si>
  <si>
    <t>DKL0308012917A1</t>
  </si>
  <si>
    <t>Forelax 50 mg 10 Tablet</t>
  </si>
  <si>
    <t>Rp60.900 - Rp66.900</t>
  </si>
  <si>
    <t>PENGGUNAAN OBAT INI HARUS SESUAI DENGAN PETUNJUK DOKTER. Dewasa: 1 tablet 3 kali sehari sesudah makan.</t>
  </si>
  <si>
    <t>Terapi simtomatis terhadap kondisi-kondisi yang berhubungan dengan spasme muskuloskeletal.</t>
  </si>
  <si>
    <t>Tablet Salut Selaput 50 Mg X 5 X 10'S</t>
  </si>
  <si>
    <t>terapi simtomatis kondisi - kondisi berhubungan spasme muskuloskeletal</t>
  </si>
  <si>
    <t>forelax</t>
  </si>
  <si>
    <t>forelax tablet eperisone hydrochloride terapi simtomatis kondisi  kondisi berhubungan spasme muskuloskeletal</t>
  </si>
  <si>
    <t>TR212548631</t>
  </si>
  <si>
    <t>Nutrimax Ultra Garlic 30 Tablet</t>
  </si>
  <si>
    <t>NUTRIMAX   ULTRA  GARLIC</t>
  </si>
  <si>
    <t>Rp165.500 - Rp303.000</t>
  </si>
  <si>
    <t>1-2 tablet sehari</t>
  </si>
  <si>
    <t>Membantu melancarkan sirkulasi darah</t>
  </si>
  <si>
    <t>Hentikan penggunaan 2 minggu sebelum operasi karena meningkatkan risiko pendarahan. Tidak dianjurkan pada pasien yang hipersensitif terhadap bawang putih. Selama penggunaan konsultasikan pada dokter secara berkala. Simpan di bawah suhu 30 derajat C Jauhkan dari jangkauan anak - anak</t>
  </si>
  <si>
    <t>nutrimax   ultra  garlic</t>
  </si>
  <si>
    <t>nutrimax ultra garlic</t>
  </si>
  <si>
    <t>nutrimax ultra garlic tablet nutrimax   ultra  garlic membantu melancarkan sirkulasi darah</t>
  </si>
  <si>
    <t>dextromethorphan hydrobromide chlorphenamine maleate ammonium chloride</t>
  </si>
  <si>
    <t>dexyl sirup dextromethorphan hydrobromide chlorphenamine maleate ammonium chloride batuk  flu  bronkitis</t>
  </si>
  <si>
    <t>Nutrimax Ultra Garlic 60 Tablet</t>
  </si>
  <si>
    <t>Rp303.400 - Rp513.300</t>
  </si>
  <si>
    <t>Botol @ 60 Tablet</t>
  </si>
  <si>
    <t>DKL9719919510A1</t>
  </si>
  <si>
    <t>Vapril 12.5 mg 10 Tablet</t>
  </si>
  <si>
    <t>Rp1.900 - Rp2.200</t>
  </si>
  <si>
    <t>PENGGUNAAN OBAT INI HARUS SESUAI DENGAN PETUNJUK DOKTER. Diawali 2-3 x sehari 1 tablet, dapat ditingkatkan menjadi 2-3 x sehari 2 tablet CHF/Gagal Jantung Kongestif : biasanya diawali 3 x sehari 0.5-1 tablet</t>
  </si>
  <si>
    <t>INFORMASI OBAT INI HANYA UNTUK KALANGAN MEDIS. Hipertensi (tunggal atau kombinasi dengan obat antihipertensi lain), Gagal Jantung Kongestif.</t>
  </si>
  <si>
    <t>Jangan menggunakan obat ini pada pasien yang memiliki riwayat hipersensitif terhadap Captopril atau obat-obat yang termasuk ACE inhibitor. Kontraindikasi untuk pasien angioedema yang terkait dengan penggunaan ACE inhibitor. Kontraindikasi untuk pasien hereditary atau idiopathic angioneurotic oedema. Tidak boleh digunakan bersamaan dengan aliskiren pada pasien diabetes. Jangan menggunakan obat ini pada penderita stenosis arteri renalis bilateral. Tidak boleh digunakan oleh wanita hamil.</t>
  </si>
  <si>
    <t>HARUS DENGAN RESEP DOKTER. TIdak digunakan pada wanita hamil, menyusi. Digunakan dalam pengawasan dokter, terutama pada permulaan terapi untuk antisipasi terjadinya penurunan tekanan darah yang drastis. Jika mengalami tanda-tanda atau gejala angioedema seperti : pembengkakan wajah, mata, bibir, lidah, laring dan ekstremitas, kesulitan dalam menelan atau bernapas, suara serak segera hubungi dokter anda. Sebaiknya jangan menggunakan obat diuretik hemat kalium atau suplemen yang mengandung kalium atau pengganti garam kalium selama menggunakan Vapril (Captopril). Berkonsultasi dengan dokter jika anda berkeringat secara berlebihan, dehidrasi, muntah, atau diare karena dapat menyebabkan penurunan tekanan darah yang drastis akibat berkurangnya cairan tubuh. Jangan menghentikan pemakaian obat tanpa diketahui dokter.</t>
  </si>
  <si>
    <t>hipertensi tunggal kombinasi obat antihipertensi , gagal jantung kongestif</t>
  </si>
  <si>
    <t>vapril</t>
  </si>
  <si>
    <t>vapril tablet captopril hipertensi tunggal kombinasi obat antihipertensi  gagal jantung kongestif</t>
  </si>
  <si>
    <t>DBL7210906233A1</t>
  </si>
  <si>
    <t>Guanistrep Suspensi 60 ml</t>
  </si>
  <si>
    <t>Rp10.000 - Rp18.400</t>
  </si>
  <si>
    <t>Dapat diminum bersama makan atau tidak</t>
  </si>
  <si>
    <t>Obat diminum setelah buang air besar pada kasus diare Dewasa &amp; anak &gt; 12 tahun : 2 sendok takar (10 ml). Maksimal 60 ml dalam 24 jam. Anak 6-12 tahun : 1-2 sendok takar (5-10 ml). Maksimal 30 ml dalam 24 jam. Anak 3-6 tahun : 1-2 sendok takar (5-10 ml). Maksimal 15 ml dalam 24 jam. Anak usia &lt; 3 tahun : Sesuai petunjuk dokter</t>
  </si>
  <si>
    <t>Untuk pengobatan simtomatik pada diare dimana tidak diketahui penyebabnya dengan jelas</t>
  </si>
  <si>
    <t>Hipersensitif, Penderita obstruksi usus, Penderita yang harus menghindari konstipasi.</t>
  </si>
  <si>
    <t>Hati-hati pada penderita yang hipersensitif. Minum setelah buang air besar pada kasus diare. Kocok dahulu sebelum diminum. Dapat mempengaruhi absorpsi obat lain di dalam saluran pencernaan, dianjurkan memberi jarak waktu 2-3 jam antara pemberian oral obat lain dengan obat ini. Jangan digunakan &gt;2 hari atau pada keadaan demam tinggi. Jika gejala masih berlangsung &gt; 2 hari, segera konsultasi ke dokter.</t>
  </si>
  <si>
    <t>untuk pengobatan simtomatik diare dimana tidak penyebabnya</t>
  </si>
  <si>
    <t>guanistrep</t>
  </si>
  <si>
    <t>guanistrep suspensi kaolin pectin untuk pengobatan simtomatik diare dimana tidak penyebabnya</t>
  </si>
  <si>
    <t>DTL0818821337A1</t>
  </si>
  <si>
    <t>Dextrosin Sirup 60 ml</t>
  </si>
  <si>
    <t>Rp15.400 - Rp29.600</t>
  </si>
  <si>
    <t>Mengobati batuk dan gejala lain yang berhubungan dngan saluran napas.</t>
  </si>
  <si>
    <t>Hipertensi parah, diabetes melitus,asma, gangguan fungsi hati yang parah.</t>
  </si>
  <si>
    <t>Penyakit jantung, diabetes mellitus, wanita hamil, anak kurang dari 2 tahun .</t>
  </si>
  <si>
    <t>diphenhydramine hydrochloride</t>
  </si>
  <si>
    <t>mengobati batuk gejala berhubungan dngan saluran napa</t>
  </si>
  <si>
    <t>dextrosin sirup diphenhydramine hydrochloride mengobati batuk gejala berhubungan dngan saluran napa</t>
  </si>
  <si>
    <t>Blood Neckheat Sachet</t>
  </si>
  <si>
    <t>Pad atau koyo pereda nyeri pundak dan leher.</t>
  </si>
  <si>
    <t>Box @ 6 Sachet @ 1 Pad</t>
  </si>
  <si>
    <t>pad koyo pereda nyeri pundak leher</t>
  </si>
  <si>
    <t>blood neckheat</t>
  </si>
  <si>
    <t>blood neckheat tablet tizanidine hydrochloride pad koyo pereda nyeri pundak leher</t>
  </si>
  <si>
    <t>Rp17.500 - Rp19.300</t>
  </si>
  <si>
    <t>kondom fiesta bubble gum isi tablet tizanidine hydrochloride sebagai alat kontrasepsi</t>
  </si>
  <si>
    <t>GKL1733537417A1</t>
  </si>
  <si>
    <t>Etoricoxib 60 mg 10 Tablet</t>
  </si>
  <si>
    <t>Rp47.200 - Rp62.700</t>
  </si>
  <si>
    <t>etoricoxib tablet meredakan tanda2 gejala2 oa  ra ankilosing spondilitis orang dewasa</t>
  </si>
  <si>
    <t>DTL8304104337A1</t>
  </si>
  <si>
    <t>OB Combi Batuk Pilek 60 ml</t>
  </si>
  <si>
    <t>Dapat diminum sebelum atau sesudah makan</t>
  </si>
  <si>
    <t>Dewasa : 2 sendok takar (10 mL) 3 kali sehari. Anak-anak usia 6-12 tahun : 1 sendok takar (5 mL) 3 kali sehari.</t>
  </si>
  <si>
    <t>Untuk meringankan batuk dan pilek.</t>
  </si>
  <si>
    <t>Hipersensitifas terhadap komponen obat.</t>
  </si>
  <si>
    <t>Dapat menyebabkan kantuk. Tidak boleh diberikan pada penderita yang peka terhadap obat simpatomimetik lain (misal Efedrin, Pseudoefedrin, Fenilpropanolamin HCl), penderita tekanan darah tinggi berat dan yang mendapat terapi obat anti depresan tipe penghambat Monoamine Oksidase (MAO). Tidak boleh melebihi dosis yang dianjurkan. Hati-hati penggunaan pada penderita tekanan darah tinggi atau yang mempunyai potensi tekanan darah tinggi atau stroke, seperti pada penderita dengan berat badan berlebih atau pada penderita usia lanjut. Bila dalam tiga hari gejala tidak berkurang, segera hubungi dokter atau unit pelayanan kesehatan. Hentikan penggunaan bila terjadi susah tidur, jantung berdebar dan pusing.</t>
  </si>
  <si>
    <t>ob combi batuk pilek</t>
  </si>
  <si>
    <t>ob combi batuk pilek sirup ammonium chloride untuk meringankan batuk pilek</t>
  </si>
  <si>
    <t>TR213337751</t>
  </si>
  <si>
    <t>Mom Uung Asi Booster 30 Kapsul</t>
  </si>
  <si>
    <t>MOM UUNG ASI BOOSTER</t>
  </si>
  <si>
    <t>Rp74.300 - Rp80.000</t>
  </si>
  <si>
    <t>Membantu melancarkan Air Susu Ibu (ASI)</t>
  </si>
  <si>
    <t>mom uung asi booster</t>
  </si>
  <si>
    <t>mom uung asi booster kapsul membantu melancarkan air susu ibu asi</t>
  </si>
  <si>
    <t>Oral B Sikat Gigi Stages 4-24 Month Baby Soft 1 Piece</t>
  </si>
  <si>
    <t>Rp16.700 - Rp24.200</t>
  </si>
  <si>
    <t>Pieces</t>
  </si>
  <si>
    <t>oral b sikat gigi stages month baby soft piece</t>
  </si>
  <si>
    <t xml:space="preserve">oral b sikat gigi stages month baby soft piece tablet aminophylline </t>
  </si>
  <si>
    <t>Accu Check Active</t>
  </si>
  <si>
    <t>Rp405.600 - Rp701.300</t>
  </si>
  <si>
    <t>1. Siapkan jarum dan alat penusuk. 2. Masukkan jarum penusuk steril ke dalam alat penusuk. 3. Masukkan strip ke dalam alat pengukur gula darah untuk memulai pengukuran. 4. Sebelum pengukuran, cuci tangan Anda secara menyeluruh dengan air sabun hangat. Bilas dan keringkan sepenuhnya. 5. Usapkan salah satu jari dengan alkohol swab dan tunggu hingga mengering. 6. Tusuk jari tersebut dengan alat penusuk dan sejajarkan strip tes dengan tetesan darah sehingga saluran sempit di tepi strip tes hampir menyentuh tepi tetesan darah. 7. Hasil pengukuran kadar glukosa darah akan muncul di tampilan layar.</t>
  </si>
  <si>
    <t>Alat untuk mengukur kadar gula darah</t>
  </si>
  <si>
    <t>Box @ 1 Pack</t>
  </si>
  <si>
    <t>Hanya dapat digunakan dengan mesin dan test strip yang sama. Simpan di tempat yang sejuk dan terhindar dari sinar matahari secara langsung.</t>
  </si>
  <si>
    <t>alat mengukur kadar gula darah</t>
  </si>
  <si>
    <t>accu check active</t>
  </si>
  <si>
    <t>accu check active tablet pioglitazone hydrochloride alat mengukur kadar gula darah</t>
  </si>
  <si>
    <t>Mom Uung Asi Booster 60 Kapsul</t>
  </si>
  <si>
    <t>Rp130.000 - Rp132.000</t>
  </si>
  <si>
    <t>DTL0322717909A1</t>
  </si>
  <si>
    <t>Neo Rheumacyl Neuro 10 Kaplet</t>
  </si>
  <si>
    <t>Rp10.600 - Rp12.800</t>
  </si>
  <si>
    <t>1 kaplet 3 kali sehari</t>
  </si>
  <si>
    <t>Meringankan rasa nyeri yang disertai kebas, kesemutan dan kram</t>
  </si>
  <si>
    <t>Dus, 12 Amplop @ 1 Blister @ 10 Kaplet Salut Selaput</t>
  </si>
  <si>
    <t>Hindari penggunaan pada pasien dengan kondisi: - Hipersensitif terhadap parasetamol, ibuprofen, atau AINS lainnya. - Ulkus peptikum akut. - Pasien yang asetosal atau NSAID lainnya menginduksi gejala asma, rinitis, atau urtikaria. - Trimester ketiga kehamilan.</t>
  </si>
  <si>
    <t>Jangan melebihi dosis yang dianjurkan Bila perlu konsultasikan kepada dokter Anda sebelum mengkonsumsi obat ini apabila pernah menderita atau ada riwayat penyakit sebagai berikut: penyakit saluran cerna bagian atas, gagal jantung, hipertensi, dan keadaan lain yang berhubungan dengan retensi cairan tubuh dan gangguan koagulasi intrinsik serta lupus eritematosus sistemik. Hati-hati terhadap penderita bronkospasme dan hindarkan penggunaan bersama dengan asetosal, obat lain yang mengandung ibuprofen atau obat anti koagulan golongan warfarin. Hubungi dokter bila selama menggunakan obat ini terjadi efek yang tidak diinginkan atau setelah 5 hari nyeri tidak menghilang Tidak dianjurkan untuk wanita hamil dan menyusui</t>
  </si>
  <si>
    <t>meringankan nyeri disertai kebas , kesemutan kram</t>
  </si>
  <si>
    <t>neo rheumacyl neuro</t>
  </si>
  <si>
    <t>neo rheumacyl neuro kaplet cyanocobalamin meringankan nyeri disertai kebas  kesemutan kram</t>
  </si>
  <si>
    <t>Propepsa Suspensi 200 ml</t>
  </si>
  <si>
    <t>Rp84.400 - Rp130.800</t>
  </si>
  <si>
    <t>DKL8721607010A1</t>
  </si>
  <si>
    <t>Glikamel 80 mg 10 Tablet</t>
  </si>
  <si>
    <t>Rp14.500 - Rp19.500</t>
  </si>
  <si>
    <t>Segera sebelum makan. Dosis pertama pada hari itu harus bersamaan dengan makan utama pertama pada hari itu.</t>
  </si>
  <si>
    <t>PENGGUNAAN OBAT INI HARUS SESUAI DENGAN PETUNJUK DOKTER. 0.5-1 tablet perhari, dapat ditingkatkan hingga 4 tablet perhari. Dosis &gt; 2 tablet perhari harus diberikan terbagi dalam 2 dosis.</t>
  </si>
  <si>
    <t>Diabetes Melitus tipe-2 (NIDDM) yang tidak dapat dikontrol hanya dengan diet saja.</t>
  </si>
  <si>
    <t>IDDM, diabetes dengan asidosis dan komplikasi ketosis, diabetes juvenilis. Penderita diabetes yang akan menjalani bedah, koma diabetik. Sesudah trauma berat atau infeksi berat. Insufisiensi ginjal atau hati berat. Hamil dan laktasi, anak.</t>
  </si>
  <si>
    <t>HARUS DENGAN RESEP DOKTER. Insufisiensi ginjal, disfungsi hati.</t>
  </si>
  <si>
    <t>diabetes melitus tipe - 2 niddm tidak dikontrol diet</t>
  </si>
  <si>
    <t>glikamel</t>
  </si>
  <si>
    <t>glikamel tablet gliclazide diabetes melitus tipe  2 niddm tidak dikontrol diet</t>
  </si>
  <si>
    <t>GKL1802356816A1</t>
  </si>
  <si>
    <t>Eperisone 50 mg 10 Tablet</t>
  </si>
  <si>
    <t>Rp10.000 - Rp28.900</t>
  </si>
  <si>
    <t>PENGGUNAAN OBAT INI HARUS SESUAI DENGAN PETUNJUK DOKTER. 1 tablet, diminum 3 kali per hari</t>
  </si>
  <si>
    <t>INFORMASI OBAT INI HANYA UNTUK KALANGAN MEDIS. Untuk pengobatan simtomatik pada kondisi yang berhubungan dengan spasme muskuloskeletal</t>
  </si>
  <si>
    <t>Ibu menyusui. Myasthenia gravis (keadaan melemahnya otot tubuh akibat gangguan pada saraf dan otot).</t>
  </si>
  <si>
    <t>HARUS DENGAN RESEP DOKTER. Gangguan hati, kehamilan, lanjut usia.</t>
  </si>
  <si>
    <t>untuk pengobatan simtomatik kondisi berhubungan spasme muskuloskeletal</t>
  </si>
  <si>
    <t>eperisone tablet eperisone hydrochloride untuk pengobatan simtomatik kondisi berhubungan spasme muskuloskeletal</t>
  </si>
  <si>
    <t>DBL8814702510A3</t>
  </si>
  <si>
    <t>Biogesic 500 mg 4 Tablet</t>
  </si>
  <si>
    <t>Rp2.200 - Rp2.400</t>
  </si>
  <si>
    <t>Dewasa: 1 - 3 kaplet, 3 sampai 4 kali per hari. Anak (6 - 12 tahun): 0.5 - 1 kaplet, 3 sampai 4 kali per hari. Atau sesuai petunjuk dokter</t>
  </si>
  <si>
    <t>Meringankan rasa sakit pada sakit kepala, sakit gigi, dan menurunkan demam.</t>
  </si>
  <si>
    <t>Dus, 25 Blister @ 4 Tablet</t>
  </si>
  <si>
    <t>Jangan diberikan kepada penderita hipersensitif/alergi terhadap Paracetamol. Penderita gangguan fungsi hati berat.</t>
  </si>
  <si>
    <t>Hati-hati penggunaan pada pasien dengan penyakit ginjal. Bila setelah 2 hari demam tidak menurun atau setelah 5 hari nyeri tidak menghilang segerea hubungi unit pelayanan kesehatan.</t>
  </si>
  <si>
    <t>biogesic</t>
  </si>
  <si>
    <t>biogesic tablet paracetamol meringankan sakit sakit kepala  sakit gigi  menurunkan demam</t>
  </si>
  <si>
    <t>Cendo Tobroson Minidose 0.6 ml</t>
  </si>
  <si>
    <t>Rp37.700 - Rp45.600</t>
  </si>
  <si>
    <t>PENGGUNAAN OBAT INI HARUS SESUAI DENGAN PETUNJUK DOKTER. 1-2 tetes setiap 4-6 jam, dapat ditingkatkan tiap 2 jam selama 24-48 jam pertama. Kemudian frekuensi harus diturunkan bertahap sesuai tanda-tanda perbaikan klinis.</t>
  </si>
  <si>
    <t>Catch Cover, 5 Botol @ 0,6 ml</t>
  </si>
  <si>
    <t>Hipersensitif terhadap komponen obat. Penyakit virus pada kornea dan konjungtiva, infeksi mata mikobakteri, penyakit jamur pada struktur mata, infeksi mata parasit yang tidak diobati, dan infeksi mata purulen yang tidak diobati.</t>
  </si>
  <si>
    <t>HARUS DENGAN RESEP DOKTER. Pasien glaukoma, diabetes, anak, hamil &amp; laktasi. Jangan dipergunakan 3 x 24 jam setelah dibuka. Hindari menyetir atau mengoperasikan mesin selama penggunaan obat. Simpan di tempat sejuk dan kering, terhindar dari sinar matahari langsung Kategori Kehamilan : B</t>
  </si>
  <si>
    <t>cendo tobroson minidose</t>
  </si>
  <si>
    <t>cendo tobroson minidose tetes dexamethasone infeksi mata disebabkan bakteri membutuhkan kortikosteroid</t>
  </si>
  <si>
    <t>DKL1124402029A1</t>
  </si>
  <si>
    <t>Kenacort-A 0.1% Cream 10 g</t>
  </si>
  <si>
    <t>Rp116.800 - Rp145.900</t>
  </si>
  <si>
    <t>PENGGUNAAN OBAT INI HARUS SESUAI DENGAN PETUNJUK DOKTER. Oleskan krim 2-3 x sehari, digosokkan dengan lembut</t>
  </si>
  <si>
    <t>INFORMASI OBAT INI HANYA UNTUK KALANGAN MEDIS. Dermatosis yang sensitif terhadap Kortikosteroid yang menunjukkan gejala inflamasi/peradangan</t>
  </si>
  <si>
    <t>TBC kulit</t>
  </si>
  <si>
    <t>DKL0205031117A1</t>
  </si>
  <si>
    <t>Permyo 50 mg 10 Tablet</t>
  </si>
  <si>
    <t>PENGGUNAAN OBAT INI HARUS SESUAI DENGAN PETUNJUK DOKTER. Dewasa : 3 kali sehari 1 tablet.</t>
  </si>
  <si>
    <t>Terapi simtomatik untuk kondisi yang berhubungan dengan spasme/kram muskuloskeletal</t>
  </si>
  <si>
    <t>Box Isi 5 Strip X 10 Tablet</t>
  </si>
  <si>
    <t>HARUS DENGAN RESEP DOKTER. Gangguan hati, hamil, dapat mengganggu kemampuan mengemudi atau menjalankan mesin</t>
  </si>
  <si>
    <t>permyo</t>
  </si>
  <si>
    <t>permyo tablet eperisone hydrochloride terapi simtomatik kondisi berhubungan spasme kram muskuloskeletal</t>
  </si>
  <si>
    <t>DTL8930700610A1</t>
  </si>
  <si>
    <t>Oskadryl 4 Tablet</t>
  </si>
  <si>
    <t>Rp1.500 - Rp1.600</t>
  </si>
  <si>
    <t>Meredakan batuk, hidung tersumbat, pilek &amp; bersin-bersin</t>
  </si>
  <si>
    <t>Dus, 25 catch cover @ 1 Strip @ 4 Tablet</t>
  </si>
  <si>
    <t>meredakan batuk , hidung tersumbat , pilek bersin - bersin</t>
  </si>
  <si>
    <t>oskadryl</t>
  </si>
  <si>
    <t>oskadryl tablet dextromethorphan hydrobromide meredakan batuk  hidung tersumbat  pilek bersin  bersin</t>
  </si>
  <si>
    <t>DTL1706317810A1</t>
  </si>
  <si>
    <t>Codela 10 Tablet</t>
  </si>
  <si>
    <t>Meredakan gejala batuk tidak berdahak dan gejala alergi.</t>
  </si>
  <si>
    <t>Simpan di tempat kering dan terhindar dari cahaya matahari langsung (suhu 25-30ËšC)</t>
  </si>
  <si>
    <t>meredakan gejala batuk tidak berdahak gejala alergi</t>
  </si>
  <si>
    <t>codela</t>
  </si>
  <si>
    <t>codela tablet chlorphenamine maleate meredakan gejala batuk tidak berdahak gejala alergi</t>
  </si>
  <si>
    <t>QD161614411</t>
  </si>
  <si>
    <t>Borax Glycerine Gom 10% Cito 8 ml</t>
  </si>
  <si>
    <t>Rp4.500 - Rp5.000</t>
  </si>
  <si>
    <t>Dioleskan pada bagian yang mengalami sariawan</t>
  </si>
  <si>
    <t>Sariawan, bibir kering, bibir pecah-pecah</t>
  </si>
  <si>
    <t>Botol @ 8 ml</t>
  </si>
  <si>
    <t>wanita hamil dan menyusui</t>
  </si>
  <si>
    <t>boraks</t>
  </si>
  <si>
    <t>sariawan , bibir kering , bibir pecah - pecah</t>
  </si>
  <si>
    <t>borax glycerine gom cito</t>
  </si>
  <si>
    <t>borax glycerine gom cito  boraks sariawan  bibir kering  bibir pecah  pecah</t>
  </si>
  <si>
    <t>QD071707091</t>
  </si>
  <si>
    <t>Nostren Cream 15 g</t>
  </si>
  <si>
    <t>Rp15.500 - Rp28.700</t>
  </si>
  <si>
    <t>Oleskan secara merata pada kulit sehingga meresap 3-4 kali sehari.</t>
  </si>
  <si>
    <t>Meredakan nyeri otot dan sendi, nyeri punggung, dan keseleo</t>
  </si>
  <si>
    <t>capsaicin</t>
  </si>
  <si>
    <t>meredakan nyeri otot sendi , nyeri punggung , keseleo</t>
  </si>
  <si>
    <t>nostren cream</t>
  </si>
  <si>
    <t>nostren cream krim capsaicin meredakan nyeri otot sendi  nyeri punggung  keseleo</t>
  </si>
  <si>
    <t>DKL0817623817A1</t>
  </si>
  <si>
    <t>Myobat 50 mg 10 Tablet</t>
  </si>
  <si>
    <t>Rp62.000 - Rp90.300</t>
  </si>
  <si>
    <t>Box Isi 5 Strip @ 10 Tablet Salut</t>
  </si>
  <si>
    <t>HARUS DENGAN RESEP DOKTER. Hentikan terapi jika timbul kelelahan, pusing, dan mengantuk. Gangguan hati. Hamil dan laktasi. Anak. Dapat menganggu kemempuan untuk mengemudi atau menjalankan mesin</t>
  </si>
  <si>
    <t>myobat</t>
  </si>
  <si>
    <t>myobat tablet eperisone hydrochloride terapi simtomatik kondisi berhubungan spasme kram muskuloskeletal</t>
  </si>
  <si>
    <t>DKL0433510817A1</t>
  </si>
  <si>
    <t>Rizonax 50 mg 10 Tablet</t>
  </si>
  <si>
    <t>Berikan sesudah makan.</t>
  </si>
  <si>
    <t>Tablet 50 Mg X 3 X 10</t>
  </si>
  <si>
    <t>Laktasi.</t>
  </si>
  <si>
    <t>HARUS DENGAN RESEP DOKTER. Gangguan hati. Hamil. Anak. Dapat mengganggu kemampuan mengemudi atau menjalankan mesin.</t>
  </si>
  <si>
    <t>rizonax</t>
  </si>
  <si>
    <t>rizonax tablet eperisone hydrochloride terapi simtomatik kondisi berhubungan spasme kram muskuloskeletal</t>
  </si>
  <si>
    <t>Cendo Vasacon Eye Drops 15 ml</t>
  </si>
  <si>
    <t>Rp21.100 - Rp23.200</t>
  </si>
  <si>
    <t>PENGGUNAAN OBAT INI HARUS SESUAI DENGAN PETUNJUK DOKTER. Dekongestan mata, konjungtivitas</t>
  </si>
  <si>
    <t>Meredakan gejala konjungtivitis karena bakteri, alergi, udara.</t>
  </si>
  <si>
    <t>Tetes Mata 15 ml X 1</t>
  </si>
  <si>
    <t>Hipersensitif terhadap gejal kemerahan pada mata serta mengurangi rasa tidak nyaman karena iritasi mata</t>
  </si>
  <si>
    <t>HARUS DENGAN RESEP DOKTER. simpan ditempat sejuk, jauhkan dari jangkauan anak, hentikan pemakaian jika timbul reaksi iritasi</t>
  </si>
  <si>
    <t>meredakan gejala konjungtivitis bakteri , alergi , udara</t>
  </si>
  <si>
    <t>cendo vasacon eye</t>
  </si>
  <si>
    <t>cendo vasacon eye tetes naphazoline hydrochloride meredakan gejala konjungtivitis bakteri  alergi  udara</t>
  </si>
  <si>
    <t>Cendo Polynel Minidose 0.6 ml</t>
  </si>
  <si>
    <t>Rp25.500 - Rp31.400</t>
  </si>
  <si>
    <t>INFORMASI OBAT INI HANYA UNTUK KALANGAN MEDIS. Membantu meredakan alergi dan peradangan mata yang disebabkan oleh bakteri.</t>
  </si>
  <si>
    <t>Catch Cover , 5 Botol @ 0,6 ml</t>
  </si>
  <si>
    <t>Hipersensitif terhadap komponen obat. Hamil &amp; laktasi. Penyakit virus pada kornea dan konjungtiva (misalnya keratitis herpes simpleks epitel [keratitis dendritik], vaccinia, varicella)</t>
  </si>
  <si>
    <t>DTL9708007637A1</t>
  </si>
  <si>
    <t>Alerfed Sirup 60 ml</t>
  </si>
  <si>
    <t>Dewasa dan anak &gt;12 tahun: 3 kali sehari 2 sendok takar (10ml). anak 6-12 tahun: 3 kali sehari 1 sendok takar (5ml).</t>
  </si>
  <si>
    <t>Meringankan gejala gangguan saluran nafas atas seperti rhinitis alergi dan vasomotor</t>
  </si>
  <si>
    <t>Hipertensi, penyakit jantung, diabetes mellitus, hipertiroid, peningkatan tekanan intraokuler, pembesaran prostat, mengganggu kemampuan mengemudi dan menjalankan mesin</t>
  </si>
  <si>
    <t>meringankan gejala gangguan saluran nafas rhinitis alergi vasomotor</t>
  </si>
  <si>
    <t>alerfed</t>
  </si>
  <si>
    <t>alerfed sirup pseudoephedrine hydrochloride meringankan gejala gangguan saluran nafas rhinitis alergi vasomotor</t>
  </si>
  <si>
    <t>Betadine Plester 10 Lembar</t>
  </si>
  <si>
    <t>Rp3.600 - Rp5.200</t>
  </si>
  <si>
    <t>Bersihkan luka dari benda asing. Gunakan antiseptik untuk mencegah infeksi. Tutup luka dengan plester.</t>
  </si>
  <si>
    <t>Ganti plester secara teratur.</t>
  </si>
  <si>
    <t>Plester penutup luka untuk mencegah timbulnya infeksi pada luka.</t>
  </si>
  <si>
    <t>Amplop @ 10 Lembar</t>
  </si>
  <si>
    <t>Hanya untuk 1 kali penggunaan. Hentikan penggunaan apabila terjadi iritasi.</t>
  </si>
  <si>
    <t>plester penutup luka mencegah timbulnya infeksi luka</t>
  </si>
  <si>
    <t>betadine plester lembar</t>
  </si>
  <si>
    <t>betadine plester lembar larutan povidoneiodine plester penutup luka mencegah timbulnya infeksi luka</t>
  </si>
  <si>
    <t>DBL2000207837A1</t>
  </si>
  <si>
    <t>Duphalac Sirup 200 ml</t>
  </si>
  <si>
    <t>Diberikan bersamaan makanan</t>
  </si>
  <si>
    <t>Untuk konstipasi kronik dibagi dalam dosis awal (3 hari) dan dosis penunjang. Dewasa : Berat : awal 30-45 mL kemudian 15-25 mL. Sedang : awal 15-30 mL kemudian 10-15 mL. Ringan : awal 15 mL kemudian 10 mL. Anak 6-14 tahun : awal 15 mL kemudian 10 mL. Anak 1-6 tahun : 5-10 mL (awal dan penunjang). Bayi : 5 mL (awal dan penunjang). Untuk pre-koma dan koma hepatik : awal 30-50 mL 3 kali/hari. Penunjang disesuaikan dengan pasien dan harus dicegah diare.</t>
  </si>
  <si>
    <t>Konstipasi kronik dan ensefalopati portal sistemik kronik termasuk prekoma dan koma hepatik.</t>
  </si>
  <si>
    <t>Sirup 3.335 G/5 ml X 120 ml X 1</t>
  </si>
  <si>
    <t>Galaktosemia. Diet rendah galaktosa.</t>
  </si>
  <si>
    <t>Diabetes.</t>
  </si>
  <si>
    <t>konstipasi kronik ensefalopati portal sistemik kronik prekoma koma hepatik</t>
  </si>
  <si>
    <t>duphalac</t>
  </si>
  <si>
    <t>duphalac sirup lactulose konstipasi kronik ensefalopati portal sistemik kronik prekoma koma hepatik</t>
  </si>
  <si>
    <t>DTL7603810346A1</t>
  </si>
  <si>
    <t>Cendo Vision Eye Drop 15 ml</t>
  </si>
  <si>
    <t>Rp21.100 - Rp28.000</t>
  </si>
  <si>
    <t>Atas anjuran dokter</t>
  </si>
  <si>
    <t>Tetes mata steril untuk mengatasi iritasi mata.</t>
  </si>
  <si>
    <t>tetes mata steril mengatasi iritasi mata</t>
  </si>
  <si>
    <t>cendo vision eye drop</t>
  </si>
  <si>
    <t>cendo vision eye drop tetes tetryzoline tetes mata steril mengatasi iritasi mata</t>
  </si>
  <si>
    <t>DTL9810801504A1</t>
  </si>
  <si>
    <t>Dehista 4 mg 10 Kaplet</t>
  </si>
  <si>
    <t>Rp1.300 - Rp2.000</t>
  </si>
  <si>
    <t>Dewasa : 1 Tablet, diminum 3-4 kali per hari. Anak-anak : 0.5 Tablet, diminum 3-4 kali per hari.</t>
  </si>
  <si>
    <t>Obat ini digunakan untuk mengatasi gejala alergi seperti pada rhinitis, urtikaria, hay fever.</t>
  </si>
  <si>
    <t>Hipersensitif terhadap komponen obat ini</t>
  </si>
  <si>
    <t>Peringatan : Awas, Obat Keras Bacalah Aturan Pakainya. Selama minum obat ini tidak boleh mengendarai kendaraan bermotor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</si>
  <si>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mengatasi gejala alergi rhinitis , urtikaria , hay fever</t>
  </si>
  <si>
    <t>dehista</t>
  </si>
  <si>
    <t>dehista kaplet chlorphenamine maleate obat mengatasi gejala alergi rhinitis  urtikaria  hay fever</t>
  </si>
  <si>
    <t>TR212355161</t>
  </si>
  <si>
    <t>Air Mancur Sehat Pria 4 Kapsul</t>
  </si>
  <si>
    <t>AIR MANCUR SEHAT PRIA</t>
  </si>
  <si>
    <t>Membantu memelihara kesehatan pria dan membantu menyegarkan badan.</t>
  </si>
  <si>
    <t>air mancur sehat pria</t>
  </si>
  <si>
    <t>membantu memelihara kesehatan pria membantu menyegarkan badan</t>
  </si>
  <si>
    <t>air mancur sehat pria kapsul membantu memelihara kesehatan pria membantu menyegarkan badan</t>
  </si>
  <si>
    <t>DKL1733214637A1</t>
  </si>
  <si>
    <t>Mefoz Sirup 60 ml</t>
  </si>
  <si>
    <t>Penanggulangan mual dan muntah karena kemoterapi dan radioterapi serta pasca pembedahan.</t>
  </si>
  <si>
    <t>Dus,Botol @ 60 ml</t>
  </si>
  <si>
    <t>penanggulangan mual muntah kemoterapi radioterapi pasca pembedahan</t>
  </si>
  <si>
    <t>mefoz</t>
  </si>
  <si>
    <t>mefoz sirup ondansetron hydrochloride dihydrate peggulangan mual muntah kemoterapi radioterapi pasca pembedahan</t>
  </si>
  <si>
    <t>Air Mancur Sehat Pria 40 Kapsul</t>
  </si>
  <si>
    <t>HT162300571</t>
  </si>
  <si>
    <t>Borobudur Keling 12 Kapsul</t>
  </si>
  <si>
    <t>KELING</t>
  </si>
  <si>
    <t>Rp11.200 - Rp28.400</t>
  </si>
  <si>
    <t>Membantu meluruhkan batu oksalat dan membantu melancarkan buang air kecil</t>
  </si>
  <si>
    <t>Hanya untuk penderita batu ginjal dan batu kandung kemih yang telah ditetapkan oleh dokter. Selama penggunaan konsultasikan pada dokter secara berkala. Bila tidak ada perubahan gejala, hubungi dokter.</t>
  </si>
  <si>
    <t>keling</t>
  </si>
  <si>
    <t>membantu meluruhkan batu oksalat membantu melancarkan buang air</t>
  </si>
  <si>
    <t>borobudur keling</t>
  </si>
  <si>
    <t>borobudur keling kapsul keling membantu meluruhkan batu oksalat membantu melancarkan buang air</t>
  </si>
  <si>
    <t>Rp48.000 - Rp49.600</t>
  </si>
  <si>
    <t>Bactigras 10 cm X 10 cm</t>
  </si>
  <si>
    <t>Rp19.100 - Rp22.500</t>
  </si>
  <si>
    <t>Letakkan selembar dressing pada luka. Tutup dengan dressing sekunder seperti Melolin, Allevyn Adhesive/Allevyn Non-Adhesive, Opsite Post-Op. Ganti dressing setelah 3 hari.</t>
  </si>
  <si>
    <t>Mengurangi terjadinya infeksi pada pembedahan, luka traumatik dan ulseratif, serta kondisi kulit yang lain.</t>
  </si>
  <si>
    <t>mengurangi infeksi pembedahan , luka traumatik ulseratif , kondisi kulit</t>
  </si>
  <si>
    <t>bactigras x</t>
  </si>
  <si>
    <t>bactigras x larutan povidoneiodine mengurangi infeksi pembedahan  luka traumatik ulseratif  kondisi kulit</t>
  </si>
  <si>
    <t>DKL8513300237A1</t>
  </si>
  <si>
    <t>Lasal Sirup 100 ml</t>
  </si>
  <si>
    <t>Rp25.600 - Rp48.900</t>
  </si>
  <si>
    <t>PENGGUNAAN OBAT INI HARUS SESUAI DENGAN PETUNJUK DOKTER. Dewasa : 2-3 x sehari 1-2 sendok takar 5 mL, Anak 6-12 tahun : 2-3 x sehari 1 sendok takar 5 mL, Anak &lt; 6 tahun : 2-3 x sehari 0.5-1 sendok takar 5 mL.</t>
  </si>
  <si>
    <t>INFORMASI OBAT INI HANYA UNTUK KALANGAN MEDIS. Meringankan Asma Bronkhial, Bronkhitis khronik, Emfisema, dan kondisi bronkhospastik lain</t>
  </si>
  <si>
    <t>Obat Wajib Apotek, Obat ini dapat dibeli dan diserahkan apoteker tanpa resep dengan maksimum 1 Botol. Pembelian melebihi batas ini WAJIB RESEP DOKTER. Hipertiroidisme, aneurisma, diabetes melitus, glaukoma sudut tertutup.</t>
  </si>
  <si>
    <t>meringankan asma bronkhial , bronkhitis khronik , emfisema , kondisi bronkhospastik</t>
  </si>
  <si>
    <t>lasal sirup salbutamol sulfate meringankan asma bronkhial  bronkhitis khronik  emfisema  kondisi bronkhospastik</t>
  </si>
  <si>
    <t>QI054701151</t>
  </si>
  <si>
    <t>Venosmil Gel</t>
  </si>
  <si>
    <t>Gel dioleskan tipis-tipis</t>
  </si>
  <si>
    <t>3-4 x sehari diaplikasikan pada area terkait</t>
  </si>
  <si>
    <t>meredakan gejala gangguan pembuluh darah vena seperti wasir, varises</t>
  </si>
  <si>
    <t>Tube 60 G Dalam Dus</t>
  </si>
  <si>
    <t>Hipersensitivitas. Asma, alergi terhadap aspirin.</t>
  </si>
  <si>
    <t>Hamil dan laktasi</t>
  </si>
  <si>
    <t>aqua destilata</t>
  </si>
  <si>
    <t>meredakan gejala gangguan pembuluh darah vena wasir , varises</t>
  </si>
  <si>
    <t>venosmil</t>
  </si>
  <si>
    <t>venosmil gel aqua destilata meredakan gejala gangguan pembuluh darah vena wasir  varises</t>
  </si>
  <si>
    <t>DKL0835306236A1</t>
  </si>
  <si>
    <t>Estin Drop 10 ml</t>
  </si>
  <si>
    <t>Rp61.100 - Rp85.400</t>
  </si>
  <si>
    <t>HARUS DENGAN RESEP DOKTER. Hamil, laktasi. Anak &lt;2 tahun. Dpt mengganggu kemampuan mengemudi atau menjalankan mesin. Kategori Kehamilan : B</t>
  </si>
  <si>
    <t>estin drop</t>
  </si>
  <si>
    <t>estin drop tetes cetirizine dihydrochloride rinitis menahun  rinitis alergi  urtikaria idiopatik kronik</t>
  </si>
  <si>
    <t>DKL9608004810A1</t>
  </si>
  <si>
    <t>Loran 10 mg 10 Tablet</t>
  </si>
  <si>
    <t>Rp47.900 - Rp74.700</t>
  </si>
  <si>
    <t>Mengurangi gejala yang berhubungan dengan rinitis alergika, urtikaria kronis &amp; penyakit dermatologik lain.</t>
  </si>
  <si>
    <t>Dus, 3 Strip X 10 Tablet</t>
  </si>
  <si>
    <t>Hipersensitif terhadap loratadine.</t>
  </si>
  <si>
    <t>HARUS DENGAN RESEP DOKTER. hati-hati penggunaan pada wanita hamil, menyusui, penderita gangguan hati dan ginjal, dan lansia</t>
  </si>
  <si>
    <t>mengurangi gejala berhubungan rinitis alergika , urtikaria kronis penyakit dermatologik</t>
  </si>
  <si>
    <t>loran</t>
  </si>
  <si>
    <t>loran tablet loratadine mengurangi gejala berhubungan rinitis alergika  urtikaria kronis penyakit dermatologik</t>
  </si>
  <si>
    <t>DKL9417609210A1</t>
  </si>
  <si>
    <t>Inclarin 10 mg 10 Tablet</t>
  </si>
  <si>
    <t>Dus, 5 Strip X 10 Tablet</t>
  </si>
  <si>
    <t>inclarin</t>
  </si>
  <si>
    <t>inclarin tablet loratadine mengurangi gejala berhubungan rinitis alergika  urtikaria kronis penyakit dermatologik</t>
  </si>
  <si>
    <t>Borobudur Em 12 Kapsul</t>
  </si>
  <si>
    <t>Rp21.600 - Rp35.800</t>
  </si>
  <si>
    <t>Minumlah secara teratur 2 kali @ 2 kapsul mulai 4-5 hari sebelum datang haid. Dosis dapat ditingkatkan atau dikurangi sesuai dengan kebutuhan</t>
  </si>
  <si>
    <t>Membantu melancarkan haid dan membantu meredakan nyeri haid</t>
  </si>
  <si>
    <t>Simpan di tempat yang kering dan terhindar dari sinar matahari langsung. Simpan dibawah suhu 30 C.</t>
  </si>
  <si>
    <t>membantu melancarkan haid membantu meredakan nyeri haid</t>
  </si>
  <si>
    <t>borobudur em kapsul em kapsul membantu melancarkan haid membantu meredakan nyeri haid</t>
  </si>
  <si>
    <t>DTL0203808846A1</t>
  </si>
  <si>
    <t>Cendo Eyefresh Eye Drops 5 ml</t>
  </si>
  <si>
    <t>- DEXTRAN 70</t>
  </si>
  <si>
    <t>Rp37.400 - Rp47.700</t>
  </si>
  <si>
    <t>Meringankan gejala iritasi ringan dan infeksi mata</t>
  </si>
  <si>
    <t>hentikan pemakaian jika muncul reaksi yang tidak diinginkan</t>
  </si>
  <si>
    <t>dextran 70</t>
  </si>
  <si>
    <t>meringankan gejala iritasi ringan infeksi mata</t>
  </si>
  <si>
    <t>cendo eyefresh eye</t>
  </si>
  <si>
    <t>cendo eyefresh eye tetes dextran 70 meringankan gejala iritasi ringan infeksi mata</t>
  </si>
  <si>
    <t>DKL1733214417A1</t>
  </si>
  <si>
    <t>Mefoz 4 mg 10 Tablet</t>
  </si>
  <si>
    <t>Rp120.000 - Rp171.900</t>
  </si>
  <si>
    <t>mefoz tablet ondansetron hydrochloride dihydrate peggulangan mual muntah kemoterapi radioterapi pasca pembedahan</t>
  </si>
  <si>
    <t>DKL0835803317A1</t>
  </si>
  <si>
    <t>Loracor 10 mg 10 Tablet</t>
  </si>
  <si>
    <t>Rp45.100 - Rp47.900</t>
  </si>
  <si>
    <t>loracor</t>
  </si>
  <si>
    <t>loracor tablet loratadine mengurangi gejala berhubungan rinitis alergika  urtikaria kronis penyakit dermatologik</t>
  </si>
  <si>
    <t>polacel tablet betamethasone dexchlorpheniramine maleate meredakan gejala  gejala alergi pernafasan  kulit mata</t>
  </si>
  <si>
    <t>DTL9202805837A1</t>
  </si>
  <si>
    <t>Komix Rasa Jahe Sachet 7 ml</t>
  </si>
  <si>
    <t>Rp1.500 - Rp1.900</t>
  </si>
  <si>
    <t>Dewasa : 3 x sehari 1 sachet</t>
  </si>
  <si>
    <t>Untuk meredakan batuk.</t>
  </si>
  <si>
    <t>Hipersensitif terhadap salah satu komponen obat ini.</t>
  </si>
  <si>
    <t>- Hati - hati penggunaan pada penderita dengan gangguan fungsi hati dan ginjal, glaukoma, hipertrofi prostat, hipertiroid dan retensi urine. - Tidak dianjurkan penggunaan pada anak usia dibawah 6 tahun. - Hati - hati penggunaan bersamaan dengan obat - oba</t>
  </si>
  <si>
    <t>untuk meredakan batuk</t>
  </si>
  <si>
    <t>komix rasa jahe</t>
  </si>
  <si>
    <t>komix rasa jahe sirup dextromethorphan hydrobromide guaifenesin chlorphenamine maleate untuk meredakan batuk</t>
  </si>
  <si>
    <t>Kasa Steril 16 X 16 cm 12 Lembar</t>
  </si>
  <si>
    <t>Rp4.400 - Rp13.500</t>
  </si>
  <si>
    <t>Terapkan pada daerah yang luka</t>
  </si>
  <si>
    <t>Kasa untuk membersihkan luka, menutup luka, membalut luka</t>
  </si>
  <si>
    <t>kasa membersihkan luka , menutup luka , membalut luka</t>
  </si>
  <si>
    <t>steril x lembar</t>
  </si>
  <si>
    <t>steril x lembar larutan povidoneiodine kasa membersihkan luka  menutup luka  membalut luka</t>
  </si>
  <si>
    <t>ailin tetes mata tetes tetrahydrozoline hydrochloride meredakan mata merah iritasi mata ringan</t>
  </si>
  <si>
    <t>DTL0810808237A1</t>
  </si>
  <si>
    <t>Anacetine Plus Sirup 60 ml</t>
  </si>
  <si>
    <t>Rp10.000 - Rp15.000</t>
  </si>
  <si>
    <t>Anak usia 6 - 12 tahun: 3 x sehari, 2 sendok takar (10 ml) Dewasa: 3 x sehari, 4 sendok takar (20 ml)</t>
  </si>
  <si>
    <t>Meringankan gejala flu.</t>
  </si>
  <si>
    <t>Penderita gangguan jantung, penderita gangguan fungsi hati yang berat, penderita hipersensitif terhadap komponen obat ini.</t>
  </si>
  <si>
    <t>Gangguan fungsi hati dan ginjal, glaukoma, hipertrofi prostat, hipertiroid, dan retensi urin.</t>
  </si>
  <si>
    <t>paracetamol guaifenesin chlorphenamine maleate phenylpropanolamine hydrochloride</t>
  </si>
  <si>
    <t>meringankan gejala flu</t>
  </si>
  <si>
    <t>anacetine plus</t>
  </si>
  <si>
    <t>anacetine plus sirup paracetamol guaifenesin chlorphenamine maleate phenylpropanolamine hydrochloride meringankan gejala flu</t>
  </si>
  <si>
    <t>DKL0631523017B1</t>
  </si>
  <si>
    <t>Onetic 4 mg 10 Tablet</t>
  </si>
  <si>
    <t>Rp174.100 - Rp194.900</t>
  </si>
  <si>
    <t>PENGGUNAAN OBAT INI HARUS SESUAI DENGAN PETUNJUK DOKTER. Mencegah Mual - Muntah paska operasi : Diawali 2 tablet 1 jam sebelum anestesi, dilanjutkan 2 dosis @ 2 tablet tiap 8 jam. Mual - Muntah akibat radioterapi : 3</t>
  </si>
  <si>
    <t>Mual dan Muntah akibat kemoterapi, radioterapi atau paska operasi</t>
  </si>
  <si>
    <t>Box Isi 10 Tablet Salut</t>
  </si>
  <si>
    <t>HARUS DENGAN RESEP DOKTER. Hamil trimester 1, laktasi.</t>
  </si>
  <si>
    <t>mual muntah akibat kemoterapi , radioterapi paska operasi</t>
  </si>
  <si>
    <t>onetic</t>
  </si>
  <si>
    <t>onetic tablet ondansetron hydrochloride dihydrate mual muntah akibat kemoterapi  radioterapi paska operasi</t>
  </si>
  <si>
    <t>TR092303921</t>
  </si>
  <si>
    <t>Sido Muncul Lingzhi 30 Kapsul</t>
  </si>
  <si>
    <t>LINGZHI</t>
  </si>
  <si>
    <t>Rp62.000 - Rp75.900</t>
  </si>
  <si>
    <t>1 kapsul 2 - 3 x sehari atau sesuai petunjuk dokter</t>
  </si>
  <si>
    <t>Membantu memelihara kesehatan dan secara tradisional membantu sirkulasi darah</t>
  </si>
  <si>
    <t>Tidak dianjurkan untuk wanita hamil dan menyusui serta anak-anak. Bila terjadi efek yang tidak diinginkan, maka penggunaan produk ini harus segera dihentikan atau hubungi dokter. Konsultasikan dengan dokter jika digunakan bersamaan obat lain</t>
  </si>
  <si>
    <t>lingzhi</t>
  </si>
  <si>
    <t>membantu memelihara kesehatan tradisional membantu sirkulasi darah</t>
  </si>
  <si>
    <t>sido muncul lingzhi</t>
  </si>
  <si>
    <t>sido muncul lingzhi kapsul lingzhi membantu memelihara kesehatan tradisional membantu sirkulasi darah</t>
  </si>
  <si>
    <t>DTL8106402004A1</t>
  </si>
  <si>
    <t>Erphaflu 10 Tablet</t>
  </si>
  <si>
    <t>Rp6.500 - Rp6.600</t>
  </si>
  <si>
    <t>Dewasa: sehari 3 x 4 sdtk sirup atau sehari 3-4 x 1 dragee</t>
  </si>
  <si>
    <t>DTL1017810037A1</t>
  </si>
  <si>
    <t>Zanic Sirup 100 ml</t>
  </si>
  <si>
    <t>Rp29.700 - Rp35.600</t>
  </si>
  <si>
    <t>Sesudah BAB</t>
  </si>
  <si>
    <t>Anak 6 bulan-5 tahun : 5 mL. Bayi 2-6 bulan : 2.5 mL. Semua dosis diberikan 1 kali/hari selama 10 hari(walaupun diare sudah berhenti)</t>
  </si>
  <si>
    <t>Terapi penunjang diare pada anak, dikombinasikan dengan garam rehidrasi oral</t>
  </si>
  <si>
    <t>Hipersensitivitas terhadap komponen obat</t>
  </si>
  <si>
    <t>Ibu menyusui hrs melanjutkan atau meningkatkan frekuensi pemberian ASI selama &amp; sesudah diare.</t>
  </si>
  <si>
    <t>zinc sulfate</t>
  </si>
  <si>
    <t>terapi penunjang diare anak , dikombinasikan garam rehidrasi oral</t>
  </si>
  <si>
    <t>zanic</t>
  </si>
  <si>
    <t>zanic sirup zinc sulfate terapi penunjang diare anak  dikombinasikan garam rehidrasi oral</t>
  </si>
  <si>
    <t>DKL0713703910A1</t>
  </si>
  <si>
    <t>Vometron 4 mg 10 Tablet</t>
  </si>
  <si>
    <t>Rp170.800 - Rp192.000</t>
  </si>
  <si>
    <t>PENGGUNAAN OBAT INI HARUS SESUAI DENGAN PETUNJUK DOKTER. Mencegah Mual - Muntah paska operasi : Diawali 2 tablet 1 jam sebelum anestesi, dilanjutkan 2 dosis @ 2 tablet tiap 8 jam. Mual - Muntah akibat radioterapi : 2</t>
  </si>
  <si>
    <t>Mual dan Muntah akibat kemoterapi, radioterapi &amp; paska operasi</t>
  </si>
  <si>
    <t>Box Isi 10 Tablet</t>
  </si>
  <si>
    <t>vometron</t>
  </si>
  <si>
    <t>vometron tablet ondansetron hydrochloride dihydrate mual muntah akibat kemoterapi  radioterapi paska operasi</t>
  </si>
  <si>
    <t>DBL0804130437A1</t>
  </si>
  <si>
    <t>OBH Combi Batuk Berdahak Jahe Sirup 100 ml</t>
  </si>
  <si>
    <t>Rp16.400 - Rp18.200</t>
  </si>
  <si>
    <t>Untuk meredakan batuk berdahak.</t>
  </si>
  <si>
    <t>Dus, Botol Plastik @ 100 ml</t>
  </si>
  <si>
    <t>obh combi batuk berdahak jahe</t>
  </si>
  <si>
    <t>obh combi batuk berdahak jahe sirup ammonium chloride untuk meredakan batuk berdahak</t>
  </si>
  <si>
    <t>DKL7621609553A1</t>
  </si>
  <si>
    <t>Faktu Suppositoria</t>
  </si>
  <si>
    <t>Rp10.000 - Rp13.100</t>
  </si>
  <si>
    <t>Dimasukan dalam dubur</t>
  </si>
  <si>
    <t>PENGGUNAAN OBAT INI HARUS SESUAI DENGAN PETUNJUK DOKTER. 2-3 x sehari aplikasi 1 suppositoria</t>
  </si>
  <si>
    <t>INFORMASI OBAT INI HANYA UNTUK KALANGAN MEDIS. Hemoroid/wasir internal dan eksternal yang disertai peradangan dan perdarahan</t>
  </si>
  <si>
    <t>HARUS DENGAN RESEP DOKTER. - Hanya untuk pemakaian pada dubur. - penggunaan pada ibu menyusui dan hamil sebaiknya di konsultasikan dengan dokter. - gunakan obat sesuai petunjuk. - hindari pemakaian dalam jangka panjang. - bila terjadi reaksi alergi segera hubungi dokter.</t>
  </si>
  <si>
    <t>cinchocaine hydrochloride policresulen</t>
  </si>
  <si>
    <t>hemoroid wasir internal eksternal disertai peradangan perdarahan</t>
  </si>
  <si>
    <t>faktu</t>
  </si>
  <si>
    <t>faktu suppositoria cinchocaine hydrochloride policresulen hemoroid wasir internal eksternal disertai peradangan perdarahan</t>
  </si>
  <si>
    <t>DTL8706407137A1</t>
  </si>
  <si>
    <t>Codecon Sirup 60 ml</t>
  </si>
  <si>
    <t>Dewasa : 2 sendok takar. Anak 6-12 tahun : 1 sendok takar. Dosis diberikan 3-4 kali sehari</t>
  </si>
  <si>
    <t>Meredakan batuk nonproduktif/tidak berdahak &amp; Hidung Tersumbat karena Flu</t>
  </si>
  <si>
    <t>Hipersensitivitas, gangguan KV, DM, terapi bersama dengan MAOI, nefropati</t>
  </si>
  <si>
    <t>Penyakit jantung, diabetes, glaukoma, gangguan fungsi ginjal atau hati. Hamil. Anak &lt;6 tahun</t>
  </si>
  <si>
    <t>meredakan batuk nonproduktif tidak berdahak hidung tersumbat flu</t>
  </si>
  <si>
    <t>codecon sirup dextromethorphan hydrobromide meredakan batuk nonproduktif tidak berdahak hidung tersumbat flu</t>
  </si>
  <si>
    <t>DKL0203809246A1</t>
  </si>
  <si>
    <t>Cendo Floxa Eye Drops 5 ml</t>
  </si>
  <si>
    <t>Rp39.600 - Rp43.600</t>
  </si>
  <si>
    <t>Eteskan pada mata yang sakit</t>
  </si>
  <si>
    <t>PENGGUNAAN OBAT INI HARUS SESUAI DENGAN PETUNJUK DOKTER. Teteskan 1-2 tetes setiap 4-6 jam. Dosis dapat ditingkatkan 1-2 tetes tiap 2 jam selama 24-48 jam pertama. Kemudian frekuensi harus diturunkan bertahap sesuai tanda-tanda perbaikan klinis.</t>
  </si>
  <si>
    <t>INFORMASI OBAT INI HANYA UNTUK KALANGAN MEDIS. Untuk mengobati infeksi pada mata yang disebabkan oleh bakteri yang sensitif</t>
  </si>
  <si>
    <t>HARUS DENGAN RESEP DOKTER. Alergi pada komponen obat</t>
  </si>
  <si>
    <t>untuk mengobati infeksi mata disebabkan bakteri sensitif</t>
  </si>
  <si>
    <t>cendo floxa eye</t>
  </si>
  <si>
    <t>cendo floxa eye tetes ofloxacin untuk mengobati infeksi mata disebabkan bakteri sensitif</t>
  </si>
  <si>
    <t>DTL9504210737A1</t>
  </si>
  <si>
    <t>Collerin Sirup 60 ml</t>
  </si>
  <si>
    <t>Rp26.600 - Rp26.800</t>
  </si>
  <si>
    <t>Dewasa: 2 sendok takar 3 kali sehari, anak 6-12 tahun: 1 sendok takar 3 kali sehari.</t>
  </si>
  <si>
    <t>Meredakan batuk berdahak, batuk alergi &amp; batuk lainnya yang berhubungan dengan pilek</t>
  </si>
  <si>
    <t>Terapi dihentikan bila insomnia, palpitasi atau pusing. Anak &lt; 6 tahun. Hamil dan laktasi. Dapat mengganggu kemampuan mengemudi kendaraan atau menjalankan mesin.</t>
  </si>
  <si>
    <t>meredakan batuk berdahak , batuk alergi batuk berhubungan pilek</t>
  </si>
  <si>
    <t>collerin</t>
  </si>
  <si>
    <t>collerin sirup diphenhydramine hydrochloride meredakan batuk berdahak  batuk alergi batuk berhubungan pilek</t>
  </si>
  <si>
    <t>Betadine Plester 5 Lembar</t>
  </si>
  <si>
    <t>Rp5.400 - Rp6.000</t>
  </si>
  <si>
    <t>Bersihkan luka dari benda asing. Gunakan antiseptik untuk mencegah infeksi. Tutup luka dengan plester dan ganti secara teratur.</t>
  </si>
  <si>
    <t>Hindari dari sinar matahari langsung. Hanya untuk 1 kali penggunaan.</t>
  </si>
  <si>
    <t>Hansaplast Kain Elastis 20 Lembar</t>
  </si>
  <si>
    <t>Rp10.000 - Rp13.300</t>
  </si>
  <si>
    <t>Bersihkan luka dari kotoran, bakteri dan partikel untuk mencegah infeksi. Keringkan kulit sekitar luka dengan lembut. Lindungi luka dari kotoran dan bakteri menggunakan Hansaplast Kain Elastis dengan ukuran yang tepat. Ganti plester setiap hari untuk hasil yang maksimal.</t>
  </si>
  <si>
    <t>Sebagai plester untuk melindungi luka dari kotoran dan bakteri.</t>
  </si>
  <si>
    <t>Box, 20 Lembar (16 Lembar ukuran Standar, 4 Lembar ukuran Jumbo)</t>
  </si>
  <si>
    <t>sebagai plester melindungi luka kotoran bakteri</t>
  </si>
  <si>
    <t>hansaplast kain elastis lembar larutan povidoneiodine sebagai plester melindungi luka kotoran bakteri</t>
  </si>
  <si>
    <t>Hansaplast Kasa Steril 7,5 cm x 7,5 cm 2 Lembar</t>
  </si>
  <si>
    <t>Sebagai kasa steril untuk membersihkan dan melindungi luka</t>
  </si>
  <si>
    <t>Pack @ 2 Lembar</t>
  </si>
  <si>
    <t>sebagai kasa steril membersihkan melindungi luka</t>
  </si>
  <si>
    <t>hansaplast steril x lembar</t>
  </si>
  <si>
    <t>hansaplast steril x lembar larutan povidoneiodine sebagai kasa steril membersihkan melindungi luka</t>
  </si>
  <si>
    <t>DKL0617621636A1</t>
  </si>
  <si>
    <t>Intrizin Drops 15 ml</t>
  </si>
  <si>
    <t>PENGGUNAAN OBAT INI HARUS SESUAI DENGAN PETUNJUK DOKTER. Tetes : dewasa dan anak &gt; 12 tahun : sehari 1x1 ml, 6-12 tahun : sehari 1x 1 ml atau sehari 2 x 0,5 ml, 2-6 tahun : sehari 1x 0,5 ml atau 2 x 0,25 ml</t>
  </si>
  <si>
    <t>INFORMASI OBAT INI HANYA UNTUK KALANGAN MEDIS. Pengobatan rinitis musiman, urtikaria idiopatik kronik, konjungtivitis alergi</t>
  </si>
  <si>
    <t>Menyusui</t>
  </si>
  <si>
    <t>HARUS DENGAN RESEP DOKTER. Hamil, dapat mengganggu kemampuan mengemudi atau menjalankan mesin. Anak &lt; 2 tahun Kategori Kehamilan : B</t>
  </si>
  <si>
    <t>pengobatan rinitis musiman , urtikaria idiopatik kronik , konjungtivitis alergi</t>
  </si>
  <si>
    <t>intrizin</t>
  </si>
  <si>
    <t>intrizin tetes cetirizine hydrochloride pengobatan rinitis musiman  urtikaria idiopatik kronik  konjungtivitis alergi</t>
  </si>
  <si>
    <t>DKL9709207704A1</t>
  </si>
  <si>
    <t>Bronchosal 4 mg 10 Tablet</t>
  </si>
  <si>
    <t>Rp1.800 - Rp3.800</t>
  </si>
  <si>
    <t>Dewasa dan anak &gt; 12 tahun : dosis awal 3-4 x sehari 2-4 mg. dosis dapat dinaikkan secara bertahap sampai maksimum 4 x sehari 8 mg. dosis maksimal harian : 32 mg /hari (dalam dosis bagi). Anak 6-12 tahun : 3 x sehari 2 mg. dosis dapat dinaikkan secara bertahap sampai dosis maksimal harian : 24 mg /hari (dalam dosis bagi). Anak 2-6 tahun : 3 x sehari 1 mg. Pasien usia lanjut atau pasien yang sensitif terhadap stimulan beta adrenergik : dosis awal : 3-4 x sehari 2 mg. dosis dapat dinaikkan secara bertahap sampai maksimum 4 x sehari 8 mg.</t>
  </si>
  <si>
    <t>Kejang bronkus pada semua jenis asma bronkial, bronkitis kronis dan emphysema.</t>
  </si>
  <si>
    <t>kejang bronkus jenis asma bronkial , bronkitis kronis emphysema</t>
  </si>
  <si>
    <t>bronchosal</t>
  </si>
  <si>
    <t>bronchosal kaplet salbutamol sulfate kejang bronkus jenis asma bronkial  bronkitis kronis emphysema</t>
  </si>
  <si>
    <t>TI204359681</t>
  </si>
  <si>
    <t>Himalaya Tentex Royal 10 Kapsul</t>
  </si>
  <si>
    <t>HIMALAYA TENTEX ROYAL CAPSULES</t>
  </si>
  <si>
    <t>Rp160.000 - Rp210.700</t>
  </si>
  <si>
    <t>1 kali sehari 2 kapsul satu jam sebelum tidur selama 6 sampai 12 minggu</t>
  </si>
  <si>
    <t>Dus, blister @ 10 kapsul</t>
  </si>
  <si>
    <t>himalaya tentex royal capsules</t>
  </si>
  <si>
    <t>himalaya tentex royal</t>
  </si>
  <si>
    <t>himalaya tentex royal kapsul himalaya tentex royal capsules membantu memelihara stamen pria</t>
  </si>
  <si>
    <t>TR162698561</t>
  </si>
  <si>
    <t>Tresnojoyo Madu TJ Lemon 150 g</t>
  </si>
  <si>
    <t>MADU TJ LEMON</t>
  </si>
  <si>
    <t>Rp18.700 - Rp27.600</t>
  </si>
  <si>
    <t>3 kali sehari, 2-3 sendok makan</t>
  </si>
  <si>
    <t>madu tj lemon</t>
  </si>
  <si>
    <t>tresnojoyo madu tj lemon</t>
  </si>
  <si>
    <t>tresnojoyo madu tj lemon madu madu tj lemon membantu memelihara kesehatan tubuh</t>
  </si>
  <si>
    <t>DTL1815626781A1</t>
  </si>
  <si>
    <t>Zircum Kid 10 Tablet</t>
  </si>
  <si>
    <t>Rp19.200 - Rp21.200</t>
  </si>
  <si>
    <t>Suplemen selama diare, diberikan bersama dengan cairan rehidrasi oral, pada anak.</t>
  </si>
  <si>
    <t>Dsu, 3 strip @ q0 tablet</t>
  </si>
  <si>
    <t>suplemen diare , cairan rehidrasi oral , anak</t>
  </si>
  <si>
    <t>zircum kid</t>
  </si>
  <si>
    <t>zircum kid tablet zinc sulfate monohydrate suplemen diare  cairan rehidrasi oral  anak</t>
  </si>
  <si>
    <t>TR226035211</t>
  </si>
  <si>
    <t>Tresnojoyo Madu TJ OBH 150 g</t>
  </si>
  <si>
    <t>TJ OBH</t>
  </si>
  <si>
    <t>Rp22.400 - Rp31.200</t>
  </si>
  <si>
    <t>Membantu meredakan batuk dan melegakan tenggorokan.</t>
  </si>
  <si>
    <t>tj obh</t>
  </si>
  <si>
    <t>tresnojoyo madu tj obh</t>
  </si>
  <si>
    <t>tresnojoyo madu tj obh sirup tj obh membantu meredakan batuk melegakan tenggorokan</t>
  </si>
  <si>
    <t>DKL9304411010A1</t>
  </si>
  <si>
    <t>Allohex 10 Tablet</t>
  </si>
  <si>
    <t>Rp10.000 - Rp11.100</t>
  </si>
  <si>
    <t>INFORMASI OBAT INI HANYA UNTUK KALANGAN MEDIS. Mengurangi gejala yang berhubungan dengan rinitis alergika, urtikaria kronis dan penyakit dermatologik lain.</t>
  </si>
  <si>
    <t>HARUS DENGAN RESEP DOKTER. Hati-hati penggunaan pada wanita hamil, menyusui, penderita gangguan hati dan ginjal, dan lansia</t>
  </si>
  <si>
    <t>allohex</t>
  </si>
  <si>
    <t>allohex tablet loratadine mengurangi gejala berhubungan rinitis alergika  urtikaria kronis penyakit dermatologik</t>
  </si>
  <si>
    <t>TR112323141</t>
  </si>
  <si>
    <t>Sido Muncul Sari Daun Pepaya 50 Kapsul</t>
  </si>
  <si>
    <t>SARI DAUN PEPAYA</t>
  </si>
  <si>
    <t>Rp60.000 - Rp87.100</t>
  </si>
  <si>
    <t>Minum 2 x sehari, 1 kapsul</t>
  </si>
  <si>
    <t>Menambah berat badan</t>
  </si>
  <si>
    <t>Kapsul 50 X 1</t>
  </si>
  <si>
    <t>Tidak dianjurkan bagi ibu hamil dan menyusui.</t>
  </si>
  <si>
    <t>sari daun pepaya</t>
  </si>
  <si>
    <t>menambah berat badan</t>
  </si>
  <si>
    <t>sido muncul sari daun pepaya</t>
  </si>
  <si>
    <t>sido muncul sari daun pepaya kapsul sari daun pepaya menambah berat badan</t>
  </si>
  <si>
    <t>TR173608251</t>
  </si>
  <si>
    <t>Vitabumin Madu Ikan Gabus Sirup 130 ml</t>
  </si>
  <si>
    <t>VITABUMIN MADU IKAN GABUS</t>
  </si>
  <si>
    <t>Rp55.200 - Rp78.300</t>
  </si>
  <si>
    <t>Kocok dahulu sebelum diminum. Baik diminum sebelum makan. Madu vitabumin bisa diminum langsung ataupun dicampur minuman seperti susu, jus, teh maupun lainnya yang disukai anak.</t>
  </si>
  <si>
    <t>1-3 tahun : 3 sendok teh 2x sehari 4-12 tahun: 1-2 sendok makan 2x sehari</t>
  </si>
  <si>
    <t>Sebagai suplemen/Vtamin untuk menjaga daya tahan tubuh</t>
  </si>
  <si>
    <t>Dus, Botol @ 130 ml</t>
  </si>
  <si>
    <t>vitabumin madu ikan gabus</t>
  </si>
  <si>
    <t>sebagai suplemen vtamin menjaga daya tahan tubuh</t>
  </si>
  <si>
    <t>vitabumin madu ikan gabus madu sebagai suplemen vtamin menjaga daya tahan tubuh</t>
  </si>
  <si>
    <t>obh berlico jeruk nipis sirup succus liquiritiae ammonium chloride untuk batuk berdahak</t>
  </si>
  <si>
    <t>DKL1221205217C1</t>
  </si>
  <si>
    <t>Telfast 180 mg 10 Tablet</t>
  </si>
  <si>
    <t>Rp132.200 - Rp137.000</t>
  </si>
  <si>
    <t>Sesudah/ sebelum makan, jangan diberikan bersama jus buah</t>
  </si>
  <si>
    <t>PENGGUNAAN OBAT INI HARUS SESUAI DENGAN PETUNJUK DOKTER. Dewasa dan anak &gt;= 12 thn : 1 x sehari 1 tablet</t>
  </si>
  <si>
    <t>INFORMASI OBAT INI HANYA UNTUK KALANGAN MEDIS. Meredakan gejala2 yang berhubungan dengan Rinitis Alergi pada dewasa &amp; anak &gt;= 12 tahun</t>
  </si>
  <si>
    <t>HARUS DENGAN RESEP DOKTER. Perhatian khusus pada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</si>
  <si>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meredakan gejala2 berhubungan rinitis alergi dewasa anak 12</t>
  </si>
  <si>
    <t>telfast</t>
  </si>
  <si>
    <t>telfast tablet fexofenadine hydrochloride meredakan gejala2 berhubungan rinitis alergi dewasa anak 12</t>
  </si>
  <si>
    <t>Bactigras 15 cm X 20 cm</t>
  </si>
  <si>
    <t>DKL0713703910B1</t>
  </si>
  <si>
    <t>Vometron Tablet 8 mg</t>
  </si>
  <si>
    <t>Rp14.600 - Rp27.000</t>
  </si>
  <si>
    <t>PENGGUNAAN OBAT INI HARUS SESUAI DENGAN PETUNJUK DOKTER. Pencegahan mual &amp; muntah pasca operasi: Awal 1 tablet 1 jam sblm anestesi, diikuti dengan 2 dosis dr 1 tablet tiap 8 jam. Mual &amp; muntah yang diinduksi oleh radioterapi 8 mg per oral tiap 8 jam. Dosis pertama hrs diminum 1-2 jam sblm radioterapi.</t>
  </si>
  <si>
    <t>Bawaan sindrom QT panjang, hipersensitivitas</t>
  </si>
  <si>
    <t>DKL0312419617A1</t>
  </si>
  <si>
    <t>Alergine 10 mg 10 Tablet</t>
  </si>
  <si>
    <t>Pengobatan rinitis parenial, rinitis alergi, urtikaria idiopatik kronis.</t>
  </si>
  <si>
    <t>Dus, 5 strip @10 tablet</t>
  </si>
  <si>
    <t>Obat Wajib Apotek, Obat ini dapat dibeli dan diserahkan apoteker tanpa resep dengan maksimum 1 Strip. Pembelian melebihi batas ini WAJIB RESEP DOKTER. Kategori Kehamilan : B</t>
  </si>
  <si>
    <t>pengobatan rinitis parenial , rinitis alergi , urtikaria idiopatik kronis</t>
  </si>
  <si>
    <t>alergine</t>
  </si>
  <si>
    <t>alergine tablet cetirizine hydrochloride pengobatan rinitis parenial  rinitis alergi  urtikaria idiopatik kronis</t>
  </si>
  <si>
    <t>TR183617081</t>
  </si>
  <si>
    <t>Menses Plus 15 ml 5 Sachet</t>
  </si>
  <si>
    <t>MENSES PLUS</t>
  </si>
  <si>
    <t>menses plus</t>
  </si>
  <si>
    <t>menses plus sachet membantu melancarkan haid meredakan rasa nyeri pada saat haid</t>
  </si>
  <si>
    <t>DKL7217617148A1</t>
  </si>
  <si>
    <t>Otopain Ear Drop 8 ml</t>
  </si>
  <si>
    <t>Rp109.800 - Rp126.000</t>
  </si>
  <si>
    <t>Tetes telinga</t>
  </si>
  <si>
    <t>PENGGUNAAN OBAT INI HARUS SESUAI DENGAN PETUNJUK DOKTER. 2-4 x sehari 4-5 tetes</t>
  </si>
  <si>
    <t>INFORMASI OBAT INI HANYA UNTUK KALANGAN MEDIS. Otitis eksterna akut, otitis media kronis</t>
  </si>
  <si>
    <t>Dus, 1 Botol @ 8 ml</t>
  </si>
  <si>
    <t>Hipersensitif terhadap salah satu komponen obat, pasien dengan infeksi yang disebabkan oleh virus dan pasien dengan perforasi membran tympani.</t>
  </si>
  <si>
    <t>HARUS DENGAN RESEP DOKTER. Infeksi bakteri purulen akut dan tidak diterapi. Infeksi virus atau jamur pada telinga. Perforasi membran timpani. Anak. Wanita hamil. Tidak boleh digunakan lebih dari 10 hari.</t>
  </si>
  <si>
    <t>otitis eksterna akut , otitis medium kronis</t>
  </si>
  <si>
    <t>otopain ear drop</t>
  </si>
  <si>
    <t>otopain ear drop tetes fludrocortisone acetate otitis eksterna akut  otitis medium kronis</t>
  </si>
  <si>
    <t>DKL7821630809A1</t>
  </si>
  <si>
    <t>Euphyllin Retard 250 mg 10 Tablet</t>
  </si>
  <si>
    <t>Rp26.200 - Rp43.500</t>
  </si>
  <si>
    <t>Sebelum atau sesudah makan, dapat bersama makanan untuk mengurangi ketidak-nyamanan saluran cerna.</t>
  </si>
  <si>
    <t>PENGGUNAAN OBAT INI HARUS SESUAI DENGAN PETUNJUK DOKTER. Dewasa : 2 x sehari 1 tablet</t>
  </si>
  <si>
    <t>Penyakit2 Obstruksi Saluran Nafas seperti Asma Bronkhial, Bronkhitis Khronis.</t>
  </si>
  <si>
    <t>Tukat peptik.</t>
  </si>
  <si>
    <t>HARUS DENGAN RESEP DOKTER. Tukak peptik, glaukoma, angina pektoris, hipertiroid, diabetes melitus, hipoksemia berat, hipertensi, infark miokard akut.</t>
  </si>
  <si>
    <t>penyakit2 obstruksi saluran nafas asma bronkhial , bronkhitis khronis</t>
  </si>
  <si>
    <t>euphyllin retard</t>
  </si>
  <si>
    <t>euphyllin retard kaplet theophylline penyakit2 obstruksi saluran nafas asma bronkhial  bronkhitis khronis</t>
  </si>
  <si>
    <t>Betadine Cold Defence Nasal Spray 20 ml</t>
  </si>
  <si>
    <t>Rp150.800 - Rp170.100</t>
  </si>
  <si>
    <t>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t>
  </si>
  <si>
    <t>Anak: 3 x sehari, 2-3 semprotan setiap lubang hidung. Dewasa: 3 x sehari, 3 semprotan setiap lubang hidung.</t>
  </si>
  <si>
    <t>Membantu mengurangi durasi gejala pilek dan flu.</t>
  </si>
  <si>
    <t>Dus, Botol @ 20 ml.</t>
  </si>
  <si>
    <t>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</si>
  <si>
    <t>membantu mengurangi durasi gejala pilek flu</t>
  </si>
  <si>
    <t>betadine cold defence nasal</t>
  </si>
  <si>
    <t>betadine cold defence nasal tetes ofloxacin membantu mengurangi durasi gejala pilek flu</t>
  </si>
  <si>
    <t>TI054316781</t>
  </si>
  <si>
    <t>Nutrimax Bee-Healthy 60 Tablet</t>
  </si>
  <si>
    <t>NUTRIMAX BEE PROPOLIS PLUS BEE POLLEN</t>
  </si>
  <si>
    <t>Rp249.000 - Rp477.700</t>
  </si>
  <si>
    <t>Dewasa : 2-3 tablet per hari. Anak-anak : 1-2 tablet per hari.</t>
  </si>
  <si>
    <t>- Simpan di bawah suhu 30 derajat celcius. - Jauhkan dari jangkauan anak - anak.</t>
  </si>
  <si>
    <t>nutrimax bee propolis plus bee pollen</t>
  </si>
  <si>
    <t>nutrimax beehealthy</t>
  </si>
  <si>
    <t>nutrimax beehealthy tablet nutrimax bee propolis plus bee pollen membantu memelihara kesehatan</t>
  </si>
  <si>
    <t>DKL0103808246A1</t>
  </si>
  <si>
    <t>Cendo Tobro Minidose 0.6 ml</t>
  </si>
  <si>
    <t>Rp21.800 - Rp27.300</t>
  </si>
  <si>
    <t>Untuk mengatasi iritasi mata akibat infeksi bakteri</t>
  </si>
  <si>
    <t>tobramycin</t>
  </si>
  <si>
    <t>untuk mengatasi iritasi mata akibat infeksi bakteri</t>
  </si>
  <si>
    <t>cendo tobro minidose</t>
  </si>
  <si>
    <t>cendo tobro minidose tetes tobramycin untuk mengatasi iritasi mata akibat infeksi bakteri</t>
  </si>
  <si>
    <t>Enovid Daily Nose Sanitizer</t>
  </si>
  <si>
    <t>Rp461.200 - Rp691.800</t>
  </si>
  <si>
    <t>Bersihkan rongga hidung sebelum penggunaan. Semprotkan sebanyak 2 semprotan untuk setiap rongga hidung. Tutup kembali dengan rapat.</t>
  </si>
  <si>
    <t>Maksimum 5 x sehari 2 semprotan</t>
  </si>
  <si>
    <t>Membantu membunuh mikroba penyebab infeksi pernapasan</t>
  </si>
  <si>
    <t>Jauhkan dari anak-anak. Penggunaan untuk anak-anak di bawah 12 tahun dan perempuan hamil dan menyusui hubungi dokter. Jangan gunakan produk apabila sensitif terhadap salah satu bahan. Jika terkena mata segera bilas dengan air. Jauhkan dari api.</t>
  </si>
  <si>
    <t>membantu membunuh mikroba penyebab infeksi pernapasan</t>
  </si>
  <si>
    <t>enovid daily nose sanitizer</t>
  </si>
  <si>
    <t>enovid daily nose sanitizer tetes ofloxacin membantu membunuh mikroba penyebab infeksi pernapasan</t>
  </si>
  <si>
    <t>Hansaplast Aqua Protect XXL 1 Lembar</t>
  </si>
  <si>
    <t>Dus @ 25 Plester</t>
  </si>
  <si>
    <t>hansaplast aqua protect xxl lembar</t>
  </si>
  <si>
    <t>hansaplast aqua protect xxl lembar larutan povidoneiodine produk perlindungan kedap air luka</t>
  </si>
  <si>
    <t>DTL7808102937A1</t>
  </si>
  <si>
    <t>Neo Ultraxon Sirup 15 ml</t>
  </si>
  <si>
    <t>Askariasis (cacing gelang) Dewasa dan anak : 75 mg/kg BB (maksimal 3,5 g), sekali sehari, selama 2 hari beturut-turut Enterobiasis (cacing kremi) Dewasa dan anak : 65 mg/kg BB (maksimal 2,5 g), sekali sehari, selama 7 hari berturut-turut</t>
  </si>
  <si>
    <t>Pengobatan askariasis (cacing gelang) dan enterobiasis (cacing kremi)</t>
  </si>
  <si>
    <t>pengobatan askariasis cacing gelang enterobiasis cacing kremi</t>
  </si>
  <si>
    <t>neo ultraxon</t>
  </si>
  <si>
    <t>neo ultraxon sirup piperazine citrate pengobatan askariasis cacing gelang enterobiasis cacing kremi</t>
  </si>
  <si>
    <t>Nutrimax Lingzhi Plus 30 Kapsul</t>
  </si>
  <si>
    <t>Rp165.000 - Rp283.800</t>
  </si>
  <si>
    <t>nutrimax lingzhi plus kapsul nutrimax lingzhi  plus membantu memelihara daya tahan tubuh</t>
  </si>
  <si>
    <t>DKL1818830937A1</t>
  </si>
  <si>
    <t>Cetirgi Sirup 60 ml</t>
  </si>
  <si>
    <t>PENGGUNAAN OBAT INI HARUS SESUAI DENGAN PETUNJUK DOKTER. Dewasa dan anak-anak diatas 12 Tahun : 10 ml sehari pada malam hari Anak 6 - 12 Tahun : 10 ml sebagai dosis tunggal atau dosis dibagi dua, dipagi hari dan malam hari</t>
  </si>
  <si>
    <t>INFORMASI OBAT INI HANYA UNTUK KALANGAN MEDIS. Pengobatan rinitis parenial, rinitis alergi, urtikaria idiopatik kronis</t>
  </si>
  <si>
    <t>Botol @ 60 ML</t>
  </si>
  <si>
    <t>Hipersensitif, Gangguan ginjal berat.</t>
  </si>
  <si>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</si>
  <si>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cetirgi</t>
  </si>
  <si>
    <t>cetirgi sirup cetirizine hydrochloride pengobatan rinitis parenial  rinitis alergi  urtikaria idiopatik kronis</t>
  </si>
  <si>
    <t>Hansaplast Aqua Protect XL 1 Lembar</t>
  </si>
  <si>
    <t>Rp8.700 - Rp14.200</t>
  </si>
  <si>
    <t>Sebagai plester luka anti air</t>
  </si>
  <si>
    <t>Sachet @ 1Lembar</t>
  </si>
  <si>
    <t>sebagai plester luka anti air</t>
  </si>
  <si>
    <t>hansaplast aqua protect xl lembar</t>
  </si>
  <si>
    <t>hansaplast aqua protect xl lembar larutan povidoneiodine sebagai plester luka anti air</t>
  </si>
  <si>
    <t>DKL9314805837A1</t>
  </si>
  <si>
    <t>Polacel Sirup 60 ml</t>
  </si>
  <si>
    <t>Rp22.400 - Rp45.700</t>
  </si>
  <si>
    <t>PENGGUNAAN OBAT INI HARUS SESUAI DENGAN PETUNJUK DOKTER. Dewasa : 3-4 kali sehari 1-2 sendok teh, maksimum : 8 sendok teh/hari. Anak berusia 6-12 tahun : 3 kali sehari 1/2-1 sendok teh. Anak berusia 2-6 tahun : 3 kali sehari 1/2 sendok teh.</t>
  </si>
  <si>
    <t>Sirup 60 ml.</t>
  </si>
  <si>
    <t>polacel sirup betamethasone dexchlorpheniramine maleate meredakan gejala  gejala alergi pernafasan  kulit mata</t>
  </si>
  <si>
    <t>TR193635191</t>
  </si>
  <si>
    <t>Paramorina Upbrainina Sirup 100 ml</t>
  </si>
  <si>
    <t>PARAMORINA UPBRAININA</t>
  </si>
  <si>
    <t>Rp54.900 - Rp72.600</t>
  </si>
  <si>
    <t>Membantu mengatasi anak terlambat bicara, menambah kecerdasan dan konsentrasi anak.</t>
  </si>
  <si>
    <t>paramorina upbrainina</t>
  </si>
  <si>
    <t>membantu mengatasi anak terlambat bicara , menambah kecerdasan konsentrasi anak</t>
  </si>
  <si>
    <t>paramorina upbrainina sirup membantu mengatasi anak terlambat bicara  menambah kecerdasan konsentrasi anak</t>
  </si>
  <si>
    <t>DTL8511700710A1</t>
  </si>
  <si>
    <t>Esepuluh 4 Tablet</t>
  </si>
  <si>
    <t>Rp0 - Rp6.600</t>
  </si>
  <si>
    <t>Meringankan gejala flu yang disertai demam, sakit kepala dan hidung tersumbat</t>
  </si>
  <si>
    <t>meringankan gejala flu disertai demam , sakit kepala hidung tersumbat</t>
  </si>
  <si>
    <t>esepuluh</t>
  </si>
  <si>
    <t>esepuluh tablet caffeine meringankan gejala flu disertai demam  sakit kepala hidung tersumbat</t>
  </si>
  <si>
    <t>DKL1806419237A1</t>
  </si>
  <si>
    <t>Erphasal Sirup 60 ml</t>
  </si>
  <si>
    <t>Rp23.800 - Rp29.700</t>
  </si>
  <si>
    <t>PENGGUNAAN OBAT INI HARUS SESUAI DENGAN PETUNJUK DOKTER. Dewasa : 2-3 x sehari 2-4 sendok takar 5 mL, Anak 6-12 tahun : 2-3 x sehari 1-2 sendok takar 5 mL, Anak &lt; 6 tahun : 2-3 x sehari 0.5-1 sendok takar 5 mL.</t>
  </si>
  <si>
    <t>INFORMASI OBAT INI HANYA UNTUK KALANGAN MEDIS. Meringankan Asma bronkhial, Bronkhitis khronik, Emfisema, dan kondisi Bronkhospastik lain</t>
  </si>
  <si>
    <t>HARUS DENGAN RESEP DOKTER. Hipertiroidisme, aneurisma, diabetes melitus, glaukoma sudut tertutup.</t>
  </si>
  <si>
    <t>erphasal</t>
  </si>
  <si>
    <t>erphasal sirup salbutamol sulfate meringankan asma bronkhial  bronkhitis khronik  emfisema  kondisi bronkhospastik</t>
  </si>
  <si>
    <t>DTL7225903553A1</t>
  </si>
  <si>
    <t>Superhoid Suppositoria</t>
  </si>
  <si>
    <t>Rp12.600 - Rp14.000</t>
  </si>
  <si>
    <t>masukan ke dalam lubang anus atau dubur</t>
  </si>
  <si>
    <t>1 supp 1 x/hr. Terapi utk kondisi kronik Awal 1 supp 2-3 x/hr.</t>
  </si>
  <si>
    <t>Analgesik utk hemoroid interna &amp; eksterna, fisura ani, proktitis.</t>
  </si>
  <si>
    <t>Dus, Blister @ 6 suppositoria</t>
  </si>
  <si>
    <t>di gunakan setelah buang air besar</t>
  </si>
  <si>
    <t>analgesik utk hemoroid interna eksterna , fisura ani , proktitis</t>
  </si>
  <si>
    <t>superhoid</t>
  </si>
  <si>
    <t>superhoid suppositoria aluminium hydroxide analgesik utk hemoroid interna eksterna  fisura ani  proktitis</t>
  </si>
  <si>
    <t>Hansaplast Kasa Steril 10 x 10 cm 2 Lembar</t>
  </si>
  <si>
    <t>DTL8917606137A1</t>
  </si>
  <si>
    <t>Trifed Sirup 60 ml</t>
  </si>
  <si>
    <t>Rp50.000 - Rp50.300</t>
  </si>
  <si>
    <t>Gejala yang berhubungan dengan flu, sinusitis, dan kondisi alergi.</t>
  </si>
  <si>
    <t>Penggunaan untuk ibu hamil dan menyusui harus berkonsultasi dengan dokter terlebih dahulu, Hati - hati jika digunakan untuk anak - anak dibawah 2 tahun dan harus sesuai petunjuk dokter. Obat ini dapat menyebabkan kantuk, jangan mengemudi atau mengoperasikan mesin.</t>
  </si>
  <si>
    <t>triprolidine hydrochloride pseudoephedrine hydrochloride</t>
  </si>
  <si>
    <t>gejala berhubungan flu , sinusitis , kondisi alergi</t>
  </si>
  <si>
    <t>trifed</t>
  </si>
  <si>
    <t>trifed sirup triprolidine hydrochloride pseudoephedrine hydrochloride gejala berhubungan flu  sinusitis  kondisi alergi</t>
  </si>
  <si>
    <t>Hansaplast Kasa Roll Elastis 4m x 6 cm</t>
  </si>
  <si>
    <t>Rp5.600 - Rp6.300</t>
  </si>
  <si>
    <t>Bersihkan luka Anda dari kotoran, bakteri dan partikel. Keringkan kulit sekitar luka dengan lembut. Lindungi luka dari kotoran dan bakteri. Aplikasikan Kasa Roll Elastis pada bagian tubuh yang diperlukan.</t>
  </si>
  <si>
    <t>Melindungi luka dari kotoran dan bakteri/infeksi</t>
  </si>
  <si>
    <t>Roll 4m x 6cm</t>
  </si>
  <si>
    <t>melindungi luka kotoran bakteri infeksi</t>
  </si>
  <si>
    <t>hansaplast roll elastis m x</t>
  </si>
  <si>
    <t>hansaplast roll elastis m x larutan povidoneiodine melindungi luka kotoran bakteri infeksi</t>
  </si>
  <si>
    <t>DKL9609206104A1</t>
  </si>
  <si>
    <t>Cydifar 4 mg 10 Kapsul</t>
  </si>
  <si>
    <t>Rp1.400 - Rp2.100</t>
  </si>
  <si>
    <t>PENGGUNAAN OBAT INI HARUS SESUAI DENGAN PETUNJUK DOKTER. Dewasa 4-20 mg dalam dosis bagi, dosis awal 3x1 kapsul</t>
  </si>
  <si>
    <t>Manifestasi alergi pada urtikaria dan angioderma, cold urtikaria, rinitis alergi.</t>
  </si>
  <si>
    <t>manifestasi alergi urtikaria angioderma , cold urtikaria , rinitis alergi</t>
  </si>
  <si>
    <t>cydifar</t>
  </si>
  <si>
    <t>cydifar kaplet cyproheptadine hydrochloride manifestasi alergi urtikaria angioderma  cold urtikaria  rinitis alergi</t>
  </si>
  <si>
    <t>TR202361481</t>
  </si>
  <si>
    <t>Herbatia Sari Imuno 30 Kapsul</t>
  </si>
  <si>
    <t>HERBATIA SARI IMUNO</t>
  </si>
  <si>
    <t>Rp63.400 - Rp69.800</t>
  </si>
  <si>
    <t>Dikonsumsi setelah makan dan perbanyak minum air putih.</t>
  </si>
  <si>
    <t>Herbatia Sari Imuno untuk membantu menjaga daya tahan tubuh</t>
  </si>
  <si>
    <t>Dus, 3 Blister @ 10 Kapsul @ 500 mg</t>
  </si>
  <si>
    <t>herbatia sari imuno</t>
  </si>
  <si>
    <t>herbatia sari imuno membantu menjaga daya tahan tubuh</t>
  </si>
  <si>
    <t>herbatia sari imuno kapsul herbatia sari imuno membantu menjaga daya tahan tubuh</t>
  </si>
  <si>
    <t>TI114445161</t>
  </si>
  <si>
    <t>Po Chai Pills 10 Tube</t>
  </si>
  <si>
    <t>PO CHAI PILLS</t>
  </si>
  <si>
    <t>Dewasa : Sehari 1 - 2 botol tiap 2 jam. Digunakan 4 x sehari. Anak - anak : 1/2 botol tiap 2 jam. Digunakan 4 x sehari.</t>
  </si>
  <si>
    <t>Membantu meredakan gangguan pencernaan</t>
  </si>
  <si>
    <t>Dus, 10 Botol @ 1890 mg</t>
  </si>
  <si>
    <t>Simpan ditempat kering dan terlindung sinar matahari langsung. Simpan pada suhu di bawah 30 C.</t>
  </si>
  <si>
    <t>po chai pills</t>
  </si>
  <si>
    <t>membantu meredakan gangguan pencernaan</t>
  </si>
  <si>
    <t>po chai pills tube</t>
  </si>
  <si>
    <t>po chai pills tube pil po chai pills membantu meredakan gangguan pencernaan</t>
  </si>
  <si>
    <t>DKL9207904409A1</t>
  </si>
  <si>
    <t>Pronam 4 mg 10 Kaplet</t>
  </si>
  <si>
    <t>Rp4.400 - Rp5.300</t>
  </si>
  <si>
    <t>Dapat diberikan bersamaan dengan makanan</t>
  </si>
  <si>
    <t>PENGGUNAAN OBAT INI HARUS SESUAI DENGAN PETUNJUK DOKTER. - Anak 2-6 tahun: 2 mg 2-3 kali sehari. - Anak 7 -12 tahun: 4 mg 2-3 kali sehari. - Dewasa: 4 mg, 3-4 kali sehari</t>
  </si>
  <si>
    <t>INFORMASI OBAT INI HANYA UNTUK KALANGAN MEDIS. Alergi: urtikaria dan angioedema, cold urticaria, allergic rhinitis, vasomotor rhinitis</t>
  </si>
  <si>
    <t>Penderita yang hipersensitif dengan cyproheptadine, bayi prematur, bayi baru lahir, pasien usia lanjut, penderita hipertrofi prostat, porfiria, obstruksi leher kandung kemih atau penderita asma akut.</t>
  </si>
  <si>
    <t>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</si>
  <si>
    <t>cyproheptadine</t>
  </si>
  <si>
    <t>alergi urtikaria angioedema , cold urticaria , allergic rhinitis , vasomotor rhinitis</t>
  </si>
  <si>
    <t>pronam</t>
  </si>
  <si>
    <t>pronam kaplet cyproheptadine alergi urtikaria angioedema  cold urticaria  allergic rhinitis  vasomotor rhinitis</t>
  </si>
  <si>
    <t>DKL9909313510A1</t>
  </si>
  <si>
    <t>Alernitis 10 mg 10 Tablet</t>
  </si>
  <si>
    <t>Rp45.500 - Rp55.000</t>
  </si>
  <si>
    <t>alernitis</t>
  </si>
  <si>
    <t>alernitis tablet loratadine mengurangi gejala berhubungan rinitis alergika  urtikaria kronis penyakit dermatologik</t>
  </si>
  <si>
    <t>dextromethorphan hydrobromide dexchlorpheniramine maleate guaifenesin</t>
  </si>
  <si>
    <t>mextril tablet dextromethorphan hydrobromide dexchlorpheniramine maleate guaifenesin untuk mengatasi jenis batuk pilek</t>
  </si>
  <si>
    <t>DBL0624222417B1</t>
  </si>
  <si>
    <t>Sohobion 5000 10 Tablet</t>
  </si>
  <si>
    <t>Rp12.900 - Rp28.200</t>
  </si>
  <si>
    <t>Dikonsumsi sesudah makan atau menurut petunjuk dokter.</t>
  </si>
  <si>
    <t>1 tablet salut selaput sehari.</t>
  </si>
  <si>
    <t>Untuk pengobatan penyakit karena kekurangan vitamin B1, B6, dan B12, seperti beri-beri dan polineuritis.</t>
  </si>
  <si>
    <t>Hipersensitif terhadap komponen obat ini.</t>
  </si>
  <si>
    <t>Sebaiknya tidak digunakan untuk pasien yang sedang menerima terapi levodopa.</t>
  </si>
  <si>
    <t>untuk pengobatan penyakit kekurangan vitamin b1 , b6 , b12 , - polineuritis</t>
  </si>
  <si>
    <t>sohobion</t>
  </si>
  <si>
    <t>sohobion tablet cyanocobalamin untuk pengobatan penyakit kekurangan vitamin b1  b6  b12   polineuritis</t>
  </si>
  <si>
    <t>oxoril rasa strawberry sirup oxomemazine hydrochloride guaifenesin meredakan batuk kering disertai alergi</t>
  </si>
  <si>
    <t>DKL1719619617A1</t>
  </si>
  <si>
    <t>Lametic Tablet 8 mg</t>
  </si>
  <si>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t>
  </si>
  <si>
    <t>INFORMASI OBAT INI HANYA UNTUK KALANGAN MEDIS. Pencegahan mual dan muntah karena kemoterapi, mual dan muntah yang dipicu oleh radioterapi.</t>
  </si>
  <si>
    <t>HARUS DENGAN RESEP DOKTER. Wanita hamil dan ibu menyususi. Kategori kehamilan: Kategori B: Mungkin dapat digunakan oleh wanita hamil. Penelitian pada hewan uji tidak memperlihatkan ada nya risiko terhadap janin, namun belum ada bukti penelitian langsung terhadap wanita hamil.</t>
  </si>
  <si>
    <t>pencegahan mual muntah kemoterapi , mual muntah dipicu radioterapi</t>
  </si>
  <si>
    <t>lametic</t>
  </si>
  <si>
    <t>lametic tablet ondansetron hydrochloride pencegahan mual muntah kemoterapi  mual muntah dipicu radioterapi</t>
  </si>
  <si>
    <t>DTL1027805728A1</t>
  </si>
  <si>
    <t>Galtaren Gel 20 gr</t>
  </si>
  <si>
    <t>Rp21.100 - Rp33.800</t>
  </si>
  <si>
    <t>Oleskan</t>
  </si>
  <si>
    <t>Terapi akut &amp; kronik untuk AR, OA, &amp; spondilitis ankilosa.</t>
  </si>
  <si>
    <t>Galtaren Emulgel 1% X 20 g X 1'S</t>
  </si>
  <si>
    <t>terapi akut kronik ar , oa , spondilitis ankilosa</t>
  </si>
  <si>
    <t>galtaren gr</t>
  </si>
  <si>
    <t>galtaren gr gel diclofenac diethylamine terapi akut kronik ar  oa  spondilitis ankilosa</t>
  </si>
  <si>
    <t>DKL9922228210A1</t>
  </si>
  <si>
    <t>Gratizin 10 mg 10 Tablet</t>
  </si>
  <si>
    <t>Rp54.300 - Rp83.200</t>
  </si>
  <si>
    <t>PENGGUNAAN OBAT INI HARUS SESUAI DENGAN PETUNJUK DOKTER. 0.5-1 tablet perhari Dewasa &gt; 65 tahun : 0.5 tablet perhari-malam hari, Dewasa &lt; 65 tahun : diawali 1 tablet perhari. Pemeliharaan : 5 hari dalam seminggu,</t>
  </si>
  <si>
    <t>Profilaxis Migren, pengobatan dan pencegahan gangguan vaskular Vestibular, Periferal dan Serebral.</t>
  </si>
  <si>
    <t>Box Isi 5 Strip @ 10 Tablet</t>
  </si>
  <si>
    <t>Terapi ?-bloker, depresi, parkinson.</t>
  </si>
  <si>
    <t>HARUS DENGAN RESEP DOKTER. Hamil, laktasi, hipotensi, mengganggu mengendarai atau menjalankan mesin.</t>
  </si>
  <si>
    <t>profilaxis migren , pengobatan pencegahan gangguan vaskular vestibular , periferal serebral</t>
  </si>
  <si>
    <t>gratizin</t>
  </si>
  <si>
    <t>gratizin tablet flunarizine profilaxis migren  pengobatan pencegahan gangguan vaskular vestibular  periferal serebral</t>
  </si>
  <si>
    <t>Gratizin 5 mg 10 Tablet</t>
  </si>
  <si>
    <t>Rp61.300 - Rp69.700</t>
  </si>
  <si>
    <t>PENGGUNAAN OBAT INI HARUS SESUAI DENGAN PETUNJUK DOKTER. 1-2 tablet perhari Dewasa &gt; 65 tahun : 1 tablet perhari-malam hari, Dewasa &lt; 65 tahun : diawali 2 tablet perhari. Pemeliharaan : 5 hari dalam seminggu, lam</t>
  </si>
  <si>
    <t>DKL0913705637A1</t>
  </si>
  <si>
    <t>Oxopect Sirup 60 ml</t>
  </si>
  <si>
    <t>Rp49.900 - Rp51.300</t>
  </si>
  <si>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 5 ml</t>
  </si>
  <si>
    <t>Batuk produktif/berdahak &amp; non-produktif/kering, Batuk yang disebabkan oleh Alergi</t>
  </si>
  <si>
    <t>HARUS DENGAN RESEP DOKTER. Gangguan ginjal. Dapat mengganggu kemampuan mengemudi atau menjalankan mesin. Anak &lt; 2 tahun</t>
  </si>
  <si>
    <t>batuk produktif berdahak non - produktif kering , batuk disebabkan alergi</t>
  </si>
  <si>
    <t>oxopect</t>
  </si>
  <si>
    <t>oxopect sirup guaifenesin batuk produktif berdahak non  produktif kering  batuk disebabkan alergi</t>
  </si>
  <si>
    <t>Counterpain Cool Gel 15 g</t>
  </si>
  <si>
    <t>Rp27.300 - Rp33.600</t>
  </si>
  <si>
    <t>Dioleskan dibagian yang sakit</t>
  </si>
  <si>
    <t>Gunakan sehari 1-3 kali</t>
  </si>
  <si>
    <t>Meringankan rasa sakit pada otot karena olahraga, keseleo, memar atau nyeri punggung</t>
  </si>
  <si>
    <t>Hentikan penggunaan jika nyeri radang sendi lebih dari 10 hari atau jika kulit menjadi merah, jangan digunakan pada kulit dengan luka terbuka atau teriritasi, hindari kontak dengan mata atau membran mukosa</t>
  </si>
  <si>
    <t>Hanya untuk pemakaian luar. Jauhkan dari jangkauan anak-anak. Simpan pada suhu dibawah 30?C</t>
  </si>
  <si>
    <t>meringankan sakit otot olahraga , keseleo , memar nyeri punggung</t>
  </si>
  <si>
    <t>counterpain cool</t>
  </si>
  <si>
    <t>counterpain cool gel menthol meringankan sakit otot olahraga  keseleo  memar nyeri punggung</t>
  </si>
  <si>
    <t>Counterpain Cool Gel 30 g</t>
  </si>
  <si>
    <t>Rp50.900 - Rp56.000</t>
  </si>
  <si>
    <t>DTL1530708610A1</t>
  </si>
  <si>
    <t>Oskadryl Extra 4 Tablet</t>
  </si>
  <si>
    <t>Rp1.600 - Rp2.000</t>
  </si>
  <si>
    <t>Dus, 25 catch cover @ 1 strip @ 4 Tablet</t>
  </si>
  <si>
    <t>oskadryl extra</t>
  </si>
  <si>
    <t>oskadryl extra tablet chlorphenamine maleate meredakan batuk  hidung tersumbat  pilek bersin  bersin</t>
  </si>
  <si>
    <t>DKI1502700216A1</t>
  </si>
  <si>
    <t>Mestinon 60 mg 150 Tablet</t>
  </si>
  <si>
    <t>Rp1.813.700 - Rp2.710.000</t>
  </si>
  <si>
    <t>PENGGUNAAN OBAT INI HARUS SESUAI DENGAN PETUNJUK DOKTER. Miastenia gravis dewasa : 30 - 120 mg/hari. Anak 6 - 12 tahun : 60 mg/hari. &lt; 6 tahun : 30 mg/hari. Dosis sebaiknya ditingkatkan bertahap sebesar 15 - 30 mg/hari. Ileus paralitik dan retensi urin pasca oprasi dewasa : 60 - 240 mg/hari. Anak : 15 - 60 mg/hari</t>
  </si>
  <si>
    <t>Miastenia gravis, Ileus paralitik dan retensi urin pasca operasi</t>
  </si>
  <si>
    <t>Tablet 60 Mg X 150</t>
  </si>
  <si>
    <t>Hipersensitif terhadap bromida. Obstruksi Gl atau sal kemih. Asma bronkial</t>
  </si>
  <si>
    <t>HARUS DENGAN RESEP DOKTER. Bradikardi, oklusi koroner yang belum lama terjadi, hipotensi, vagotonia, ulkus peptik, epilepsi, parkinsonisme. Kurangi dosis pada penyakit ginjal. Hamil dan laktasi</t>
  </si>
  <si>
    <t>pyridostigmin bromide</t>
  </si>
  <si>
    <t>miastenia gravis , ileus paralitik retensi urin pasca operasi</t>
  </si>
  <si>
    <t>mestinon</t>
  </si>
  <si>
    <t>mestinon tablet pyridostigmin bromide miastenia gravis  ileus paralitik retensi urin pasca operasi</t>
  </si>
  <si>
    <t>QI164809321</t>
  </si>
  <si>
    <t>Tianhe Zhuifeng Gao 10 Patches</t>
  </si>
  <si>
    <t>Rp29.900 - Rp59.300</t>
  </si>
  <si>
    <t>Pemakaian luar. Lepaskan plastik dan tempelkan pada bagian yang sakit beberapa kali sehari.</t>
  </si>
  <si>
    <t>Membantu meredakan nyeri dan membantu melancarkan sirkulasi darah.</t>
  </si>
  <si>
    <t>Dus @ 10 Plaster</t>
  </si>
  <si>
    <t>Untuk pemakaian luar. Tidak digunakan untuk anak di bawah 2 tahun.</t>
  </si>
  <si>
    <t>membantu meredakan nyeri membantu melancarkan sirkulasi darah</t>
  </si>
  <si>
    <t>tianhe zhuifeng gao patches</t>
  </si>
  <si>
    <t>tianhe zhuifeng gao patches   menthol membantu meredakan nyeri membantu melancarkan sirkulasi darah</t>
  </si>
  <si>
    <t>TR172604491</t>
  </si>
  <si>
    <t>Air Mancur Minyak Telon Plus Lavender 60 ml</t>
  </si>
  <si>
    <t>AIR MANCUR MINYAK TELON PLUS LAVENDER</t>
  </si>
  <si>
    <t>Rp13.800 - Rp20.300</t>
  </si>
  <si>
    <t>air mancur minyak telon plus lavender</t>
  </si>
  <si>
    <t>air mancur telon plus lavender</t>
  </si>
  <si>
    <t xml:space="preserve">air mancur telon plus lavender minyak air mancur minyak telon plus lavender </t>
  </si>
  <si>
    <t>obh surya itrasal sirup ammonium chloride succus liquiritiae sebagai ekspektoran batuk berdahak</t>
  </si>
  <si>
    <t>DBL0334001704A2</t>
  </si>
  <si>
    <t>Novagesic 500 mg 10 Kaplet</t>
  </si>
  <si>
    <t>Rp3.200 - Rp5.900</t>
  </si>
  <si>
    <t>Dewasa atau anak &gt; 12 tahun : 3 - 4 x sehari 1 caplet. Anak 5 - 12 tahun : 3 - 4 x sehari 1/2 caplet.</t>
  </si>
  <si>
    <t>Membantu meredakan sakit kepala, sakit gigi dan nyeri ringan serta demam</t>
  </si>
  <si>
    <t>Kaplet 500 mg x 10 x 10</t>
  </si>
  <si>
    <t>Hipersensitivitas, kerusakan hati</t>
  </si>
  <si>
    <t>Jangan mengambil parasetamol jika Anda mengkonsumsi minuman beralkohol setiap hari, Hati-hati penggunaannya pada pasien dengan malnutrisi kronis</t>
  </si>
  <si>
    <t>membantu meredakan sakit kepala , sakit gigi nyeri ringan demam</t>
  </si>
  <si>
    <t>novagesic</t>
  </si>
  <si>
    <t>novagesic kaplet paracetamol membantu meredakan sakit kepala  sakit gigi nyeri ringan demam</t>
  </si>
  <si>
    <t>DKL1333528301B1</t>
  </si>
  <si>
    <t>Novexib 200 mg 10 Kapsul</t>
  </si>
  <si>
    <t>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t>
  </si>
  <si>
    <t>INFORMASI OBAT INI HANYA UNTUK KALANGAN MEDIS. Meredakan tanda dan gejala OA, RA &amp; Ankilosing Spondilitis pada orang dewasa</t>
  </si>
  <si>
    <t>meredakan tanda gejala oa , ra ankilosing spondilitis orang dewasa</t>
  </si>
  <si>
    <t>novexib</t>
  </si>
  <si>
    <t>novexib kapsul celecoxib meredakan tanda gejala oa  ra ankilosing spondilitis orang dewasa</t>
  </si>
  <si>
    <t>DKL1908026701A1</t>
  </si>
  <si>
    <t>Nubrex 100 mg 10 Kapsul</t>
  </si>
  <si>
    <t>HARUS DENGAN RESEP DOKTER. Pasien dengan riwayat komplikasi gastrointestinal (misalnya ulserasi dan perdarahan), hipertensi, diabetes mellitus, hiperlipidemia.Katagori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</si>
  <si>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nubrex</t>
  </si>
  <si>
    <t>nubrex kapsul celecoxib meredakan tanda2 gejala2 oa  ra ankilosing spondilitis orang dewasa</t>
  </si>
  <si>
    <t>DKL1005044510B1</t>
  </si>
  <si>
    <t>Hytroz 2 mg 10 Tablet</t>
  </si>
  <si>
    <t>PENGGUNAAN OBAT INI HARUS SESUAI DENGAN PETUNJUK DOKTER. BPH : Diawali 1 x sehari 1 tablet menjelang tidur malam, dapat ditingkatkan secara bertahap hingga 1 x sehari : 2 tablet atau 5 mg atau hingga 10 mg. Hipertensi :</t>
  </si>
  <si>
    <t>INFORMASI OBAT INI HANYA UNTUK KALANGAN MEDIS. Terapi simtomatik Hiperplasia Prostat Jinak (BPH) dn Hipertensi.</t>
  </si>
  <si>
    <t>HARUS DENGAN RESEP DOKTER. Orang dengan riwayat hipersensivitas, pasien dengan gangguan fungsi hati, gangguan fungsi hati, gagal ginjal, wanita hamil dan menyusui.</t>
  </si>
  <si>
    <t>terapi simtomatik hiperplasia prostat jinak bph dn hipertensi</t>
  </si>
  <si>
    <t>hytroz tablet terazosin hydrochloride terapi simtomatik hiperplasia prostat jinak bph dn hipertensi</t>
  </si>
  <si>
    <t>DKL1728606141A1</t>
  </si>
  <si>
    <t>Medscab Lotion 30 g</t>
  </si>
  <si>
    <t>INFORMASI OBAT INI HANYA UNTUK KALANGAN MEDIS. Pengobatan untuk scabies (kudis), tungau, kutu rambut, dan kutu badan.</t>
  </si>
  <si>
    <t>Dus,Botol plastik @ 30 G</t>
  </si>
  <si>
    <t>Hipersensitif terhadap permetrin, piretroid sintesa, atau piretrin.</t>
  </si>
  <si>
    <t>HARUS DENGAN RESEP DOKTER. Scabies biasanya diikuti gejala rasa gatal, eritema (bercak kemerahan), dan urticaria. Gejala-gejala tersebut tidak langsung hilang dengan pemakaian Medscab Cream. Hindari kontak dengan mata. Belum terdapat data keamanan terkait penggunaan obat ini pada wanita hamil dan/atau menyusui. Konsultasikan kepada dokter apabila Anda sedang hamil dan/atau menyusui. Aman digunakan untuk bayi usia 2 bulan atau lebih. Belum diketahui keamanan pemakaian untuk bayi usia di bawah 2 bulan. Segera periksakan ke dokter jika terjadi iritasi dalam waktu yang lama.</t>
  </si>
  <si>
    <t>pengobatan scabies kudis , tungau , kutu rambut , kutu badan</t>
  </si>
  <si>
    <t>medscab lotion</t>
  </si>
  <si>
    <t>medscab lotion larutan permethrin pengobatan scabies kudis  tungau  kutu rambut  kutu badan</t>
  </si>
  <si>
    <t>DKL1628605829A1</t>
  </si>
  <si>
    <t>Medscab Cream 30 g</t>
  </si>
  <si>
    <t>Rp88.500 - Rp94.100</t>
  </si>
  <si>
    <t>PENGGUNAAN OBAT INI HARUS SESUAI DENGAN PETUNJUK DOKTER. Skabies (kudis) : Oleskan tipis-tipis ke seluruh kulit tubuh. Bilas setelah 8-24 jam. Bila tangan dicuci dengan sabun dan air dalam 8 jam setelah aplikasi, krim harus diulaskan ulang.</t>
  </si>
  <si>
    <t>Hipersensitif terhadap permethrin. pyrethroid synthesa, atau pyrethrins.</t>
  </si>
  <si>
    <t>HARUS DENGAN RESEP DOKTER. Scabies biasanya diikuti gejala rasa gatal, eritema (bercak kemerahan), dan urticaria. Gejala-gejala tersebut tidak langsung hilang dengan pemakaian Medscab Cream. Hindari kontak dengan mata. Perhatian khusus pada: Anak-anak (=2 bulan) dan lanjut usia. Kehamilan dan menyusui. Kategori kehamilan: Kategori B: Mungkin dapat digunakan oleh wanita hamil. Penelitian pada hewan uji tidak memperlihatkan ada nya risiko terhadap janin, namun belum ada bukti penelitian langsung terhadap wanita hamil.</t>
  </si>
  <si>
    <t>medscab cream</t>
  </si>
  <si>
    <t>medscab cream krim permethrin pengobatan scabies kudis  tungau  kutu rambut  kutu badan</t>
  </si>
  <si>
    <t>medscab cream tablet permethrin pengobatan scabies kudis  tungau  kutu rambut  kutu badan</t>
  </si>
  <si>
    <t>DBL0627508204B1</t>
  </si>
  <si>
    <t>Pacetik 500 mg 10 Tablet</t>
  </si>
  <si>
    <t>Rp3.000 - Rp3.200</t>
  </si>
  <si>
    <t>Obat dapat diminum sebelum atau sesudah makan.</t>
  </si>
  <si>
    <t>Dewasa dan anak &gt;12 tahun: 1 tablet, 3-4 kali per hari. Anak: 1/2 - 1 tablet, 3-4 kali sehari. Atau sesuai petunjuk dokter.</t>
  </si>
  <si>
    <t>Obat ini digunakan untuk meringankan rasa sakit pada keadaan sakit kepala, sakit gigi dan menurunkan demam.</t>
  </si>
  <si>
    <t>Penderita gangguan fungsi hati yang berat. Hipersensitivitas terhadap Paracetamol.</t>
  </si>
  <si>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</si>
  <si>
    <t>obat meringankan sakit sakit kepala , sakit gigi menurunkan demam</t>
  </si>
  <si>
    <t>pacetik kaplet paracetamol obat meringankan sakit sakit kepala  sakit gigi menurunkan demam</t>
  </si>
  <si>
    <t>chlorphenamine maleate dextromethorphan hydrobromide pseudoephedrine hydrochloride paracetamol</t>
  </si>
  <si>
    <t xml:space="preserve">pasaba cough and flu suspensi chlorphenamine maleate dextromethorphan hydrobromide pseudoephedrine hydrochloride paracetamol </t>
  </si>
  <si>
    <t>DBL7802318204A1</t>
  </si>
  <si>
    <t>Paramol Forte 600 mg 10 Kaplet</t>
  </si>
  <si>
    <t>Rp4.900 - Rp5.500</t>
  </si>
  <si>
    <t>Dewasa: 1-2 Kaplet, 3 kali sehari. Anak-anak 6-12 tahun: 1/2-1 kaplet, 3 kali sehari. Atau sesuai petunjuk dokter.</t>
  </si>
  <si>
    <t>Meredakan rasa sakit pada keadaan sakit kepala, sakit gigi dan menurunkan demam</t>
  </si>
  <si>
    <t>DUs, 10 Strip @ 10 Kaplet</t>
  </si>
  <si>
    <t>Penderita hipersensitif terhadap obat ini. Penderita gangguan fungsi hati yang berat.</t>
  </si>
  <si>
    <t>Hati-hati penggunaan pada obat ini pada penderita penyakit ginjal. - Bila setalh 2 hari demam tidak menurun tau setelah 5 hari nyeri tidak menghilang, segera hubungi dokter. - Penggunaan obat ini pada penderita yang mengonsumsi alkohol dapat meningkatkan risiko kerusakan fungsi hati. - Penggunaan pada dosis tinggi dapat menyebabkan kerusakn hati. - Tidak dianjurkan penggunaan secara bersamaan dengan obat lain ynag mengandung paracetamol.</t>
  </si>
  <si>
    <t>meredakan sakit sakit kepala , sakit gigi menurunkan demam</t>
  </si>
  <si>
    <t>paramol forte</t>
  </si>
  <si>
    <t>paramol forte kaplet paracetamol meredakan sakit sakit kepala  sakit gigi menurunkan demam</t>
  </si>
  <si>
    <t>Softex Daun Sirih Slim 36 cm 12 Pads</t>
  </si>
  <si>
    <t>Rp15.300 - Rp31.000</t>
  </si>
  <si>
    <t>Pembalut untuk menyerap cairan menstruasi</t>
  </si>
  <si>
    <t>Pack @ 12 pads</t>
  </si>
  <si>
    <t>Simpan di tempat sejuk dan kering serta hindari dari sinar matahari.</t>
  </si>
  <si>
    <t>pembalut menyerap cairan menstruasi</t>
  </si>
  <si>
    <t>softex daun sirih slim pads</t>
  </si>
  <si>
    <t>softex daun sirih slim pads tablet tizanidine hydrochloride pembalut menyerap cairan menstruasi</t>
  </si>
  <si>
    <t>DKL7822228010A1</t>
  </si>
  <si>
    <t>Sanprima 10 Tablet</t>
  </si>
  <si>
    <t>Rp13.000 - Rp15.800</t>
  </si>
  <si>
    <t>PENGGUNAAN OBAT INI HARUS SESUAI DENGAN PETUNJUK DOKTER. Dewasa dan anak &gt; 12 tahun : 2 kali per hari, 2 tablet. Dosis Maksimal : 3 kali per hari, 2 tablet.</t>
  </si>
  <si>
    <t>INFORMASI OBAT INI HANYA UNTUK KALANGAN MEDIS. Infeksi saluran nafas, saluran pencernaan, saluran kemih dan otitis media</t>
  </si>
  <si>
    <t>HARUS DENGAN RESEP DOKTER. Defisiensi asam folat, gizi buruk, atau defisiensi G6PD. Lansia, pasien dengan penurunan fungsi ginjal</t>
  </si>
  <si>
    <t>infeksi saluran nafas , saluran pencernaan , saluran kemih otitis medium</t>
  </si>
  <si>
    <t>sanprima tablet sulfamethoxazole infeksi saluran nafas  saluran pencernaan  saluran kemih otitis medium</t>
  </si>
  <si>
    <t>Laurier Healthy Skin 25Cm 14 Pads</t>
  </si>
  <si>
    <t>Rp18.700 - Rp25.500</t>
  </si>
  <si>
    <t>Pembalut untuk menyerap cairan mentruasi secara maksimal.</t>
  </si>
  <si>
    <t>pembalut menyerap cairan mentruasi maksimal</t>
  </si>
  <si>
    <t>laurier healthy skin pads tablet tizanidine hydrochloride pembalut menyerap cairan mentruasi maksimal</t>
  </si>
  <si>
    <t>neo gynoxa ovula metronidazole nystatin infeksi vagina campuran trichomonas vaginalis candida albicans</t>
  </si>
  <si>
    <t>TR152690411</t>
  </si>
  <si>
    <t>Konicare Minyak Telon 60 ml</t>
  </si>
  <si>
    <t>KONICARE MINYAK TELON</t>
  </si>
  <si>
    <t>Rp23.100 - Rp24.000</t>
  </si>
  <si>
    <t>Usapkan secara merata pada perut, punggung dan dada, termasuk bagian tubuh terbuka yang mudah digigit nyamuk seperti leher, tangan dan kaki, setiap kali sehabis mandi.</t>
  </si>
  <si>
    <t>Dioleskan sesuai kebutuhan</t>
  </si>
  <si>
    <t>Meredakan perut kembung serta memberikan rasa hangat pada tubuh bayi</t>
  </si>
  <si>
    <t>konicare minyak telon</t>
  </si>
  <si>
    <t>meredakan perut kembung hangat tubuh bayi</t>
  </si>
  <si>
    <t>konicare telon</t>
  </si>
  <si>
    <t>konicare telon minyak konicare minyak telon meredakan perut kembung hangat tubuh bayi</t>
  </si>
  <si>
    <t>ibuprofen paracetamol</t>
  </si>
  <si>
    <t>bimacyl tablet ibuprofen paracetamol sakit kepala  nyeri  demam berkaitan flu masuk angin</t>
  </si>
  <si>
    <t>DKL0733404304A1</t>
  </si>
  <si>
    <t>Brazine 25 mg 10 Kaplet</t>
  </si>
  <si>
    <t>Rp61.400 - Rp63.900</t>
  </si>
  <si>
    <t>PENGGUNAAN OBAT INI HARUS SESUAI DENGAN PETUNJUK DOKTER. Untuk gangguan sirkulasi serebral dan gangguan ekuilibrium : 1 tablet 3 kali/hari. Untuk gangguan sirkulasi perifer : 2 tablet 3 kali/hari.</t>
  </si>
  <si>
    <t>Gangguan sirkulasi Serebral/pada otak, gangguan Keseimbangan, gangguan sirkulasi Perifer</t>
  </si>
  <si>
    <t>Kapsul 25 mg x 10 x 10</t>
  </si>
  <si>
    <t>cinnarizine</t>
  </si>
  <si>
    <t>gangguan sirkulasi serebral otak , gangguan keseimbangan , gangguan sirkulasi perifer</t>
  </si>
  <si>
    <t>brazine</t>
  </si>
  <si>
    <t>brazine kaplet cinnarizine gangguan sirkulasi serebral otak  gangguan keseimbangan  gangguan sirkulasi perifer</t>
  </si>
  <si>
    <t>Bagus Nina Anion 24 cm 10 Pads</t>
  </si>
  <si>
    <t>Rp17.000 - Rp33.900</t>
  </si>
  <si>
    <t>Pouch @ 410 g</t>
  </si>
  <si>
    <t>Simpan di temapt ejuk dan kering. Jangan buang ke dalam toilet.</t>
  </si>
  <si>
    <t>bagus nina anion pads</t>
  </si>
  <si>
    <t>bagus nina anion pads tablet tizanidine hydrochloride pembalut menyerap cairan mentruasi maksimal</t>
  </si>
  <si>
    <t>Bagus Nina Anion 28 cm 10 Pads</t>
  </si>
  <si>
    <t>Rp35.600 - Rp55.300</t>
  </si>
  <si>
    <t>Buka bungkus pembalut dan tempelkan sisi yang lengket langsung di pakaian dalam.</t>
  </si>
  <si>
    <t>Simpan di tempat sejuk dan kering. Jangan buang ke dalam toilet.</t>
  </si>
  <si>
    <t>protifed sirup triprolidine hydrochloride pseudoephedrine hydrochloride meringankan bersin  bersin hidung tersumbat pilek</t>
  </si>
  <si>
    <t>DTL0607809137A1</t>
  </si>
  <si>
    <t>Hufagrip BP Anak Sirup 60 ml</t>
  </si>
  <si>
    <t>Rp19.600 - Rp24.600</t>
  </si>
  <si>
    <t>Dewasa dan anak &gt; 12 tahun : 3 x per hari, 2 sendok takar ( 10 ml). Anak (6-12 tahun) : 3 x per hari, 1 sendok takar (5 ml). Anak (2-6 tahun) : 3 x per hari, 0.5 sendok takar( 2,5 ml). Anak &lt; 2 tahun : menurut petunjuk dokter</t>
  </si>
  <si>
    <t>Untuk Meringankan batuk tidak berdahak dan pilek.</t>
  </si>
  <si>
    <t>Tidak boleh diberikan pada pasien yang peka terhadap obat simpatomimetik lain (misal efedrin, Fenilpropanolamin,fenilefrin). Pasien dengan tekanan darah tinggi berat</t>
  </si>
  <si>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</si>
  <si>
    <t>untuk meringankan batuk tidak berdahak pilek</t>
  </si>
  <si>
    <t>hufagrip bp anak</t>
  </si>
  <si>
    <t>hufagrip bp anak sirup chlorphenamine maleate untuk meringankan batuk tidak berdahak pilek</t>
  </si>
  <si>
    <t>DKL2117630250A1</t>
  </si>
  <si>
    <t>Dazolin N Ovula</t>
  </si>
  <si>
    <t>Rp19.400 - Rp19.900</t>
  </si>
  <si>
    <t>dazolin n</t>
  </si>
  <si>
    <t>dazolin n ovula metronidazole nystatin infeksi vagina campuran trichomonas vaginalis candida albicans</t>
  </si>
  <si>
    <t>DKL1734606417C1</t>
  </si>
  <si>
    <t>Coxiron 120 mg 10 Tablet</t>
  </si>
  <si>
    <t>coxiron</t>
  </si>
  <si>
    <t>coxiron tablet etoricoxib meredakan tanda2 gejala2 oa  ra ankilosing spondilitis orang dewasa</t>
  </si>
  <si>
    <t>DKL1940405110A1</t>
  </si>
  <si>
    <t>Darvon 6 mg 10 Tablet</t>
  </si>
  <si>
    <t>Rp28.800 - Rp34.200</t>
  </si>
  <si>
    <t>PENGGUNAAN OBAT INI HARUS SESUAI DENGAN PETUNJUK DOKTER. 3 x sehari 1-2 tablet.</t>
  </si>
  <si>
    <t>Vertigo &amp; pusing pada penyakit/sindrom Meniere's, vertigo perifer.</t>
  </si>
  <si>
    <t>Tablet 6 Mg X 100'S.</t>
  </si>
  <si>
    <t>vertigo pusing penyakit sindrom meniere s , vertigo perifer</t>
  </si>
  <si>
    <t>darvon</t>
  </si>
  <si>
    <t>darvon tablet betahistine mesilate vertigo pusing penyakit sindrom meniere s  vertigo perifer</t>
  </si>
  <si>
    <t>DKL9905027810A1</t>
  </si>
  <si>
    <t>Degrium 5 mg 10 Tablet</t>
  </si>
  <si>
    <t>Rp68.900 - Rp78.300</t>
  </si>
  <si>
    <t>PENGGUNAAN OBAT INI HARUS SESUAI DENGAN PETUNJUK DOKTER. Dewasa &lt; 65 tahun : 10 mg/hari (malam hari). Dewasa &gt; 65 tahun : 5 mg/hari. Selama 2 bulan tidak ada respon atau didapatkan efek samping, hentikan terapi. Pemeliharaan 5 hari dalam seminggu (2 hari tanpa obat), hentikan setelah 6 bulan, diberikan jika kambuh.</t>
  </si>
  <si>
    <t>Profilaksis dan terapi migren, gangguan peredaran darah serebral dan perifer.</t>
  </si>
  <si>
    <t>Tablet 5 Mg X 5 X 10</t>
  </si>
  <si>
    <t>Terapi Î²-bloker, depresi, parkinson.</t>
  </si>
  <si>
    <t>HARUS DENGAN RESEP DOKTER. Hamil, laktasi, hipotensi, mengurangi kemampuan mengemudi atau menjalankan mesin.</t>
  </si>
  <si>
    <t>profilaksis terapi migren , gangguan peredaran darah serebral perifer</t>
  </si>
  <si>
    <t>degrium</t>
  </si>
  <si>
    <t>degrium tablet flunarizine hydrochloride profilaksis terapi migren  gangguan peredaran darah serebral perifer</t>
  </si>
  <si>
    <t>Charm Body Fit Extra Maxi Wing 10 Pads</t>
  </si>
  <si>
    <t>Rp6.000 - Rp17.600</t>
  </si>
  <si>
    <t>Seperti pada pemakaian pembalut biasa</t>
  </si>
  <si>
    <t>Pembalut saat menstruasi</t>
  </si>
  <si>
    <t>Box Isi 10</t>
  </si>
  <si>
    <t>charm body fit extra maxi wing pads</t>
  </si>
  <si>
    <t>charm body fit extra maxi wing pads tablet tizanidine hydrochloride pembalut menstruasi</t>
  </si>
  <si>
    <t>Charm Body Fit Extra Maxi Wing 20 Pads</t>
  </si>
  <si>
    <t>Rp10.700 - Rp25.500</t>
  </si>
  <si>
    <t>Digunakan saat menstruasi</t>
  </si>
  <si>
    <t>digunakan menstruasi</t>
  </si>
  <si>
    <t>charm body fit extra maxi wing pads tablet tizanidine hydrochloride digunakan menstruasi</t>
  </si>
  <si>
    <t>Charm Safe Night 29 cm 10 Pads</t>
  </si>
  <si>
    <t>Rp6.700 - Rp17.100</t>
  </si>
  <si>
    <t>seperti pada pemakaian pembalut biasa</t>
  </si>
  <si>
    <t>Pembalut unutk mnyerap cairan pada saat menstruasi.</t>
  </si>
  <si>
    <t>pembalut unutk mnyerap cairan menstruasi</t>
  </si>
  <si>
    <t>charm safe night pads tablet tizanidine hydrochloride pembalut unutk mnyerap cairan menstruasi</t>
  </si>
  <si>
    <t>Charm Safe Night 29 cm 20 Pads</t>
  </si>
  <si>
    <t>Rp14.500 - Rp28.000</t>
  </si>
  <si>
    <t>Keluarkan pembalut dari bungkusnya lepaskan perekat pada pembalut kemudian tempelkan ke pakaian dalam.</t>
  </si>
  <si>
    <t>Pembalut untuk menyerap cairan dan gumpalan secara maksimal.</t>
  </si>
  <si>
    <t>pembalut menyerap cairan gumpalan maksimal</t>
  </si>
  <si>
    <t>charm safe night pads tablet tizanidine hydrochloride pembalut menyerap cairan gumpalan maksimal</t>
  </si>
  <si>
    <t>Laurier Active Day Super Maxi Wing 10 Pads</t>
  </si>
  <si>
    <t>Rp5.600 - Rp13.200</t>
  </si>
  <si>
    <t>laurier active day super maxi wing pads</t>
  </si>
  <si>
    <t>laurier active day super maxi wing pads tablet tizanidine hydrochloride pembalut menstruasi</t>
  </si>
  <si>
    <t>Laurier Active Day Super Maxi Wing 20 Pads</t>
  </si>
  <si>
    <t>Rp11.000 - Rp33.000</t>
  </si>
  <si>
    <t>Pack Isi 20 Pads</t>
  </si>
  <si>
    <t>DBL1028405304A1</t>
  </si>
  <si>
    <t>Fasgo Forte 10 Tablet</t>
  </si>
  <si>
    <t>Rp5.100 - Rp8.000</t>
  </si>
  <si>
    <t>Meringankan rasa sakit sepertiï¿½sakit kepala, sakit gigi danï¿½menurunkan demam.</t>
  </si>
  <si>
    <t>Dus, 10 Strip @ 10 kaplet</t>
  </si>
  <si>
    <t>meringankan sakit sepertisakit kepala , sakit gigi danmenurunkan demam</t>
  </si>
  <si>
    <t>fasgo forte</t>
  </si>
  <si>
    <t>fasgo forte kaplet paracetamol meringankan sakit sepertisakit kepala  sakit gigi danmenurunkan demam</t>
  </si>
  <si>
    <t>Laurier Super Slimguard 22.5 cm 20 Pads</t>
  </si>
  <si>
    <t>Rp24.700 - Rp41.100</t>
  </si>
  <si>
    <t>Pembalut untuk menyerap cairan menstruasi secara maksimal.</t>
  </si>
  <si>
    <t>pembalut menyerap cairan menstruasi maksimal</t>
  </si>
  <si>
    <t>laurier super slimguard pads tablet tizanidine hydrochloride pembalut menyerap cairan menstruasi maksimal</t>
  </si>
  <si>
    <t>Charm Cooling Fresh Night Wing 42 cm 6 Pads</t>
  </si>
  <si>
    <t>Rp11.400 - Rp24.400</t>
  </si>
  <si>
    <t>Sesuai Kebutuhan atau Sesuai Saran Dokter Gizi</t>
  </si>
  <si>
    <t>Pembalut wanita saat menstruasi.</t>
  </si>
  <si>
    <t>charm cooling fresh night wing pads</t>
  </si>
  <si>
    <t>charm cooling fresh night wing pads tablet tizanidine hydrochloride pembalut wanita menstruasi</t>
  </si>
  <si>
    <t>DKL1718830110A1</t>
  </si>
  <si>
    <t>Perifas 25 mg 10 Tablet</t>
  </si>
  <si>
    <t>Rp26.500 - Rp31.400</t>
  </si>
  <si>
    <t>PENGGUNAAN OBAT INI HARUS SESUAI DENGAN PETUNJUK DOKTER. - Gangguan sirkulasi serebal : 3 kali 1 tablet (25mg) sehari - Gangguan sirkulasi periferal : 2 kali 2-3 tablet (25mg) sehari - Gangguan keseimbangan : 3 kali 1 tablet (25mg) sehari Dewasa : 1 tablet , dapat diulang setiap 6 jam Anak - anak: dianjurkan 0.5 dari dosis dewasa.</t>
  </si>
  <si>
    <t>INFORMASI OBAT INI HANYA UNTUK KALANGAN MEDIS. Gangguan sirkulasi Serebral/pada otak, gangguan Keseimbangan, gangguan sirkulasi Perifer</t>
  </si>
  <si>
    <t>HARUS DENGAN RESEP DOKTER. Riwayat hipotensi, penyakit parkinson.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</si>
  <si>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perifas</t>
  </si>
  <si>
    <t>perifas tablet cinnarizine gangguan sirkulasi serebral otak  gangguan keseimbangan  gangguan sirkulasi perifer</t>
  </si>
  <si>
    <t>QD051705251</t>
  </si>
  <si>
    <t>Lanakeloid-E Cream 10 g</t>
  </si>
  <si>
    <t>Rp165.900 - Rp200.800</t>
  </si>
  <si>
    <t>Oleskan tipis pada bagian yang sakit</t>
  </si>
  <si>
    <t>1-2 kali sehari</t>
  </si>
  <si>
    <t>Membantu proses penyembuhan luka bakar ringan</t>
  </si>
  <si>
    <t>Tube @ 10 g</t>
  </si>
  <si>
    <t>Hentikan pemakaian bila terjadi reaksi alergi. Simpan pada suhu 30 C pada tempat kering dan terlindung dari cahaya matahari</t>
  </si>
  <si>
    <t>centella asiatica phytosome</t>
  </si>
  <si>
    <t>membantu prose penyembuhan luka bakar ringan</t>
  </si>
  <si>
    <t>lanakeloide cream</t>
  </si>
  <si>
    <t>lanakeloide cream krim centella asiatica phytosome membantu prose penyembuhan luka bakar ringan</t>
  </si>
  <si>
    <t>DBL1614516304A1</t>
  </si>
  <si>
    <t>Termagon 500 mg 10 Kaplet</t>
  </si>
  <si>
    <t>Rp2.900 - Rp5.600</t>
  </si>
  <si>
    <t>Dewasa : 1 kaplet 3 kali sehari. Anak-anak : 1/2-1 kaplet 3 kali sehari</t>
  </si>
  <si>
    <t>Untuk mengurangi sakit kepala, gigi, sakit pada waktu haid dan untuk menurunkan demam</t>
  </si>
  <si>
    <t>Disfungsi hati dan ginjal</t>
  </si>
  <si>
    <t>Penyakit hati &amp; ginjal, pasien alkoholik.</t>
  </si>
  <si>
    <t>untuk mengurangi sakit kepala , gigi , sakit haid menurunkan demam</t>
  </si>
  <si>
    <t>termagon</t>
  </si>
  <si>
    <t>termagon kaplet paracetamol untuk mengurangi sakit kepala  gigi  sakit haid menurunkan demam</t>
  </si>
  <si>
    <t>DBL1614516304B1</t>
  </si>
  <si>
    <t>Termagon Forte 650 mg 10 Kaplet</t>
  </si>
  <si>
    <t>Rp8.000 - Rp8.300</t>
  </si>
  <si>
    <t>Dewasa dan anak &gt;12th: 3 kali sehari 1 tablet. maks. 4 gram/hari.</t>
  </si>
  <si>
    <t>Kaplet 650 Mg X 10 X 10</t>
  </si>
  <si>
    <t>termagon forte</t>
  </si>
  <si>
    <t>termagon forte kaplet paracetamol meringankan sakit sakit kepala  sakit gigi menurunkan demam</t>
  </si>
  <si>
    <t>oviskinn cream krim betamethasone valerate neomycin sulfate eksema  dermatitis  psoriasis  intertrigo  alergi</t>
  </si>
  <si>
    <t>DKL8817605429A1</t>
  </si>
  <si>
    <t>Neosinol Cream 10 g</t>
  </si>
  <si>
    <t>Rp37.500 - Rp51.600</t>
  </si>
  <si>
    <t>Krim dioleskan pada area kulit yang sakit/radang/gatal</t>
  </si>
  <si>
    <t>Inflamasi lokal, kondisi2 Pruritik &amp; Alergi pada Kulit dan Mukosa</t>
  </si>
  <si>
    <t>Tube 10 g dalam dus</t>
  </si>
  <si>
    <t>Ulkus usus obstruksi usus radang usus atau penyakit perut</t>
  </si>
  <si>
    <t>HARUS DENGAN RESEP DOKTER. Tidak untuk digunakan pada mata. Hindari pemakaian luas dan jangka lama selama hamil</t>
  </si>
  <si>
    <t>inflamasi lokal , kondisi2 pruritik alergi kulit mukosa</t>
  </si>
  <si>
    <t>neosinol cream</t>
  </si>
  <si>
    <t>neosinol cream krim fluocinolone acetonide inflamasi lokal  kondisi2 pruritik alergi kulit mukosa</t>
  </si>
  <si>
    <t>TR083680511</t>
  </si>
  <si>
    <t>San Hong Cap Pida Minyak Gosok 12 ml</t>
  </si>
  <si>
    <t>MINYAK GOSOK SAN HONG CAP PIDA</t>
  </si>
  <si>
    <t>Rp12.700 - Rp19.100</t>
  </si>
  <si>
    <t>Dus, Botol Plastik @ 12 ml</t>
  </si>
  <si>
    <t>minyak gosok san hong cap pida</t>
  </si>
  <si>
    <t>san hong cap pida gosok</t>
  </si>
  <si>
    <t xml:space="preserve">san hong cap pida gosok minyak minyak gosok san hong cap pida </t>
  </si>
  <si>
    <t>DKL0804130701A1</t>
  </si>
  <si>
    <t>Mucotein Kapsul</t>
  </si>
  <si>
    <t>Mukolitik, sebagai obat pengencer dahak pada penyakit saluran napas akut &amp; kronik.</t>
  </si>
  <si>
    <t>Dos Isi 2 Strip X 10 Tablet</t>
  </si>
  <si>
    <t>Pasien dengan riwayat hipersensitiv/alergi obat Erdosteine, pasien yang menderita ulkus pada lambung, penderita sirosis hati dan kekurangan enzim cystationine-synthethase, fenilketonuria (hanya pada granul), pasien gagal ginjal (dengan klirens kreatinin (CrCl) &lt; 25 ml / menit).</t>
  </si>
  <si>
    <t>HARUS DENGAN RESEP DOKTER. Ibu menyusui, hati-hati pada pasien dengan gangguan hati atau ginjal ringan sampai sedang, Pengobatan harus dihentikan jika tidak memberikan hasil yang diinginkan setelah 4 minggu.</t>
  </si>
  <si>
    <t>mukolitik , obat pengencer dahak penyakit saluran napa akut kronik</t>
  </si>
  <si>
    <t>mucotein</t>
  </si>
  <si>
    <t>mucotein kapsul erdosteine mukolitik  obat pengencer dahak penyakit saluran napa akut kronik</t>
  </si>
  <si>
    <t>DKL0804130838A1</t>
  </si>
  <si>
    <t>Mucotein Dry Syrup 175 mg/5 ml 60 ml</t>
  </si>
  <si>
    <t>Rp35.600 - Rp59.700</t>
  </si>
  <si>
    <t>PENGGUNAAN OBAT INI HARUS SESUAI DENGAN PETUNJUK DOKTER. Dewasa &amp; anak &gt;30 kg : 10 mL 2 kali sehari. Anak 20-30 kg 5 mL 3 kali sehari,15-20 kg 5 mL 2 kali sehari</t>
  </si>
  <si>
    <t>Sirosis hati, defisiensi sistationin-sintase, fenilketonuria, gagal ginjal berat.</t>
  </si>
  <si>
    <t>mucotein sirup erdosteine mukolitik  obat pengencer dahak penyakit saluran napa akut kronik</t>
  </si>
  <si>
    <t>San Hong Cap Pida Minyak Gosok 50 ml</t>
  </si>
  <si>
    <t>Rp26.800 - Rp43.800</t>
  </si>
  <si>
    <t>Dus, Botol Plastik @ 50 ml</t>
  </si>
  <si>
    <t>TR202400071E</t>
  </si>
  <si>
    <t>Borobudur Keling Pil 100 Pil</t>
  </si>
  <si>
    <t>Rp12.200 - Rp19.800</t>
  </si>
  <si>
    <t>2 kali sehari @ 5 pil</t>
  </si>
  <si>
    <t>borobudur keling pil keling membantu meluruhkan batu oksalat membantu melancarkan buang air</t>
  </si>
  <si>
    <t>DKL1202504823A1</t>
  </si>
  <si>
    <t>Kalitake Granul 5 g</t>
  </si>
  <si>
    <t>Saat perut kosong / sebelum makan</t>
  </si>
  <si>
    <t>PENGGUNAAN OBAT INI HARUS SESUAI DENGAN PETUNJUK DOKTER. Dewasa : 3-6 sachet perhari dalam 3-4 dosis terbagi. Tiap dosis dilarutkan dalam 30-50 mL air. Anak2 : 0.5 x dosis dewasa</t>
  </si>
  <si>
    <t>Hiperkalemia akibat Gagal Ginjal akut dan kronik</t>
  </si>
  <si>
    <t>Dus, 20 Sachet @ 5 G</t>
  </si>
  <si>
    <t>Obstruksi usus</t>
  </si>
  <si>
    <t>HARUS DENGAN RESEP DOKTER. Monitor kadar K dan Ca serum secara teratur selama terapi. Stenosis usus, tukaka Gl, hipertiroid, mieloma multipel Kategori Kehamilan : C</t>
  </si>
  <si>
    <t>calcium polystyrene sulfonate</t>
  </si>
  <si>
    <t>hiperkalemia akibat gagal ginjal akut kronik</t>
  </si>
  <si>
    <t>kalitake granul</t>
  </si>
  <si>
    <t>kalitake granul powder calcium polystyrene sulfonate hiperkalemia akibat gagal ginjal akut kronik</t>
  </si>
  <si>
    <t>OBH Nellco Batuk Berdahak Menthol Sirup 55 ml</t>
  </si>
  <si>
    <t>Rp11.500 - Rp22.700</t>
  </si>
  <si>
    <t>Dewasa dan anak usia &gt;12 tahun : 2 x 3 sendok takar. Anak dibawah usia &lt;6 tahun 2 x 1 1/2 sendok takar</t>
  </si>
  <si>
    <t>Dus, Botol @ 55 ml</t>
  </si>
  <si>
    <t>obh nellco batuk berdahak menthol</t>
  </si>
  <si>
    <t>obh nellco batuk berdahak menthol sirup ammonium chloride ekspektoran gangguan batuk berdahak</t>
  </si>
  <si>
    <t>DKI1029000481A1</t>
  </si>
  <si>
    <t>Harnal D 0.2 mg 14 Tablet</t>
  </si>
  <si>
    <t>Rp227.100 - Rp357.900</t>
  </si>
  <si>
    <t>Sesudah makan, letakkan diatas lidah dan biarkan hingga larut sendiri lalu telan bersama air liur atau air minum</t>
  </si>
  <si>
    <t>PENGGUNAAN OBAT INI HARUS SESUAI DENGAN PETUNJUK DOKTER. 0,2 - 0,4 mg per hari</t>
  </si>
  <si>
    <t>Gangguan saluran kemih bagian bawah yang berhubungan dengan hiperplasia prostat jinak</t>
  </si>
  <si>
    <t>Gangguan fungsi ginjal, insufisiensi hati berat. Pemberian bersama dengan vardenafil HCl.</t>
  </si>
  <si>
    <t>HARUS DENGAN RESEP DOKTER. Gangguan ginjal, insufisiensi hati berat</t>
  </si>
  <si>
    <t>tamsulosin hydrochloride</t>
  </si>
  <si>
    <t>gangguan saluran kemih berhubungan hiperplasia prostat jinak</t>
  </si>
  <si>
    <t>harnal d</t>
  </si>
  <si>
    <t>harnal d tablet tamsulosin hydrochloride gangguan saluran kemih berhubungan hiperplasia prostat jinak</t>
  </si>
  <si>
    <t>DKL1502349810B1</t>
  </si>
  <si>
    <t>Candepress 16 mg 10 Tablet</t>
  </si>
  <si>
    <t>Rp75.000 - Rp120.900</t>
  </si>
  <si>
    <t>PENGGUNAAN OBAT INI HARUS SESUAI DENGAN PETUNJUK DOKTER. Dosis awal 4 mg/hari, maksimal 16mg/hari. Untuk pengobatan hipertensi: awalnya diminum 1 kali sehari 8 mg. Sebagai dosis pemeliharaan dapat diminum 1 kali sehari 8 mg, maksimal 32 mg per hari dalam dosis tunggal atau dalam 2 dosis terbagi. Untuk gagal jantung: 1 kali sehari 4 mg. Maksimal 32 mg per hari.</t>
  </si>
  <si>
    <t>INFORMASI OBAT INI HANYA UNTUK KALANGAN MEDIS. Mengobati tekanan darah tinggi dan gagal jantung dengan merelaksasikan pembuluh darah.</t>
  </si>
  <si>
    <t>Hipersensitif,gangguan hati berat atau kolestasis.</t>
  </si>
  <si>
    <t>HARUS DENGAN RESEP DOKTER. Wanita hamil dan menyusui.Kategori kehamilan : Kategori D: Terbukti berisiko terhadap janin. Meski demikian, obat masih dapat digunakan jika obat diperlukan untuk mengatasi keadaan yang mengancam jiwa, atau penyakit serius, dimana obat yang lebih aman tidak dapat digunakan atau tidak efektif.</t>
  </si>
  <si>
    <t>mengobati tekanan darah gagal jantung merelaksasikan pembuluh darah</t>
  </si>
  <si>
    <t>candepress</t>
  </si>
  <si>
    <t>candepress tablet candesartan cilexetil mengobati teka darah gagal jantung merelaksasikan pembuluh darah</t>
  </si>
  <si>
    <t>DBL7622235037A1</t>
  </si>
  <si>
    <t>Sanmol Sirup 60 ml</t>
  </si>
  <si>
    <t>Rp14.300 - Rp23.700</t>
  </si>
  <si>
    <t>Anak (9-12 tahun) : 15-20 ml, diberikan 3-4 kali sehari. Anak (6 - 9 tahun) : 10 ml - 15 ml, diberikan 3-4 kali per hari. Anak (2 - 6 tahun) : 5 ml - 10 ml, diberikan 3-4 kali per hari. Bayi (1 - 2 tahun) : 5 ml , diberikan 3-4 kali per hari.</t>
  </si>
  <si>
    <t>sanmol</t>
  </si>
  <si>
    <t>sanmol sirup paracetamol obat meringankan sakit sakit kepala  sakit gigi menurunkan demam</t>
  </si>
  <si>
    <t>indapamide perindopril arginine</t>
  </si>
  <si>
    <t>bioprexum plus tablet indapamide perindopril arginine hipertensi esensial tidak diatasi adekuat perindopril</t>
  </si>
  <si>
    <t>DKI2151304214B1</t>
  </si>
  <si>
    <t>Betaloc Zok 50 mg 14 Tablet</t>
  </si>
  <si>
    <t>Rp18.700 - Rp159.100</t>
  </si>
  <si>
    <t>Jangan dikunyah/dihancurkan.</t>
  </si>
  <si>
    <t>PENGGUNAAN OBAT INI HARUS SESUAI DENGAN PETUNJUK DOKTER. Hipertensi 50-100 mg. Angina pektoris 100-200 mg 1x/hari. Dapat dikombinasikan dengan nitrat atau dosis yang ditingkatkan. Terapi rumatan setelah infark miokard 200 mg 1x/hari</t>
  </si>
  <si>
    <t>INFORMASI OBAT INI HANYA UNTUK KALANGAN MEDIS. Hipertensi, angina pektosis &amp; terapi rumatan setelah infark miokard.</t>
  </si>
  <si>
    <t>metoprolol succinate</t>
  </si>
  <si>
    <t>hipertensi , angina pektosis terapi rumatan infark miokard</t>
  </si>
  <si>
    <t>betaloc zok</t>
  </si>
  <si>
    <t>betaloc zok tablet metoprolol succinate hipertensi  angina pektosis terapi rumatan infark miokard</t>
  </si>
  <si>
    <t>DKI2151304214A1</t>
  </si>
  <si>
    <t>Betaloc Zok 25 mg 14 Tablet</t>
  </si>
  <si>
    <t>Rp86.800 - Rp105.700</t>
  </si>
  <si>
    <t>PENGGUNAAN OBAT INI HARUS SESUAI DENGAN PETUNJUK DOKTER . Hipertensi 50-100 mg. Angina pektoris 100-200 mg 1x/hari. Dapat dikombinasikan dengan nitrat atau dosis yang ditingkatkan. Terapi rumatan setelah infark miokard 200 mg 1x/hari</t>
  </si>
  <si>
    <t>DBL9722221636A1</t>
  </si>
  <si>
    <t>Sanmol Drops 15 ml</t>
  </si>
  <si>
    <t>Rp20.800 - Rp25.800</t>
  </si>
  <si>
    <t>Dosis anak 1-2 tahun: 0.6 - 1.2 ml, diberikan 3 - 4 kali sehari. Anak kurang dari 1 tahun : 0.6 ml, diberikan 3 - 4 kali sehari.</t>
  </si>
  <si>
    <t>sanmol tetes paracetamol obat meringankan sakit sakit kepala  sakit gigi menurunkan demam</t>
  </si>
  <si>
    <t>Q-Life Menstrual Care Patch</t>
  </si>
  <si>
    <t>Rp18.300 - Rp19.500</t>
  </si>
  <si>
    <t>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t>
  </si>
  <si>
    <t>Membantu mengurangi nyeri dan kram saat menstruasi.</t>
  </si>
  <si>
    <t>Dus, 10 Sachet @ 1 Patch</t>
  </si>
  <si>
    <t>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</si>
  <si>
    <t>membantu mengurangi nyeri kram menstruasi</t>
  </si>
  <si>
    <t>qlife menstrual care patch</t>
  </si>
  <si>
    <t>qlife menstrual care patch tablet sildenafil citrate membantu mengurangi nyeri kram menstruasi</t>
  </si>
  <si>
    <t>DTL9627802737A1</t>
  </si>
  <si>
    <t>Neladryl Syrup Dmp 60ml</t>
  </si>
  <si>
    <t>Rp23.500 - Rp25.600</t>
  </si>
  <si>
    <t>Dus, 1 Botol Plastik @ 60 ml</t>
  </si>
  <si>
    <t>diphenhydramine hydrochloride ammonium chloride dextromethorphan hydrobromide paracetamol phenylephrine hydrochloride</t>
  </si>
  <si>
    <t>neladryl dmp</t>
  </si>
  <si>
    <t xml:space="preserve">neladryl dmp sirup diphenhydramine hydrochloride ammonium chloride dextromethorphan hydrobromide paracetamol phenylephrine hydrochloride </t>
  </si>
  <si>
    <t>DTL9504210910A1</t>
  </si>
  <si>
    <t>Crofed 10 Tablet</t>
  </si>
  <si>
    <t>Dewasa dan anak usia diatas 12 tahun: 3 x sehari 1 tablet. Anak-anak 6-12 tahun: 3 x sehari 1/2 tablet. Anak-anak 2-6 tahun: 3 x sehari 1/4 tablet.</t>
  </si>
  <si>
    <t>Menghilangkan gejala flu atau selesma yang berhubungan dengan alergi saluran nafas atas.</t>
  </si>
  <si>
    <t>Dus, 10 Catch Cover @ 1 Strip @ 10 Tablet</t>
  </si>
  <si>
    <t>Hipertensi berat &amp; penyakit jantung koroner, pasien yang sedang menjalani terapi MAOI</t>
  </si>
  <si>
    <t>DKL8931502610A1</t>
  </si>
  <si>
    <t>Farmabes 30 mg 10 Tablet</t>
  </si>
  <si>
    <t>Rp4.800 - Rp7.600</t>
  </si>
  <si>
    <t>PENGGUNAAN OBAT INI HARUS SESUAI DENGAN PETUNJUK DOKTER. Untuk angina pektoris: 30 mg 4 kali sehari. Untuk hipertensi esensial ringan sampai sedang, dewasa oral 100-200 mg satu kali sehari.</t>
  </si>
  <si>
    <t>INFORMASI OBAT INI HANYA UNTUK KALANGAN MEDIS. Angina pektoris, profilaksis angina pektoris varian, hipertensi ringan sampai sedang.</t>
  </si>
  <si>
    <t>Sindrom sick sinus, blok AV derajat 2 atau 3, hipotensi, takikardi ventrikel.</t>
  </si>
  <si>
    <t>HARUS DENGAN RESEP DOKTER. Gangguan hati dan ginjal, gagal jantung kongestif, blok AV derajat 1, hamil, laktasi, anak.</t>
  </si>
  <si>
    <t>angina pektoris , profilaksis angina pektoris varian , hipertensi ringan</t>
  </si>
  <si>
    <t>farmabes</t>
  </si>
  <si>
    <t>farmabes tablet diltiazem hydrochloride angina pektoris  profilaksis angina pektoris varian  hipertensi ringan</t>
  </si>
  <si>
    <t>prodermis cream krim fluocinolone acetonide neomycin sulfate meringankan inflamasi dermatosis reponsif kortikosteroid</t>
  </si>
  <si>
    <t>DTL0526110928A1</t>
  </si>
  <si>
    <t>ThromboGel Gel 10 g</t>
  </si>
  <si>
    <t>Rp45.400 - Rp57.600</t>
  </si>
  <si>
    <t>Dioleskan pada area yang sakit</t>
  </si>
  <si>
    <t>2-3 kali sehari dioleskan tipis pada kulit.</t>
  </si>
  <si>
    <t>Flebitis superfisial, penyempitan pembuluh vena, cedera karena olahraga dan kecelakaan.</t>
  </si>
  <si>
    <t>Luka terbuka, ulkus mukosa kulit.</t>
  </si>
  <si>
    <t>Tidak boleh dioleskan pada luka terbuka</t>
  </si>
  <si>
    <t>flebitis superfisial , penyempitan pembuluh vena , cedera olahraga kecelakaan</t>
  </si>
  <si>
    <t>thrombogel</t>
  </si>
  <si>
    <t>thrombogel gel heparin sodium flebitis superfisial  penyempitan pembuluh vena  cedera olahraga kecelakaan</t>
  </si>
  <si>
    <t>QD123711141</t>
  </si>
  <si>
    <t>Tresnojoyo Balsem Telon 40 g</t>
  </si>
  <si>
    <t>Rp16.300 - Rp19.700</t>
  </si>
  <si>
    <t>Hirupkan dan oleskan penghangat lembut Balsem Telon TRESNO JOYO pada dada danpunggung sebelum tidur, membuat anak Anda tidur lebih nyenyak.</t>
  </si>
  <si>
    <t>Meringankan gejala pilek dan batuk karena flu untuk bayi dan anak.</t>
  </si>
  <si>
    <t>Pot @ 40 g</t>
  </si>
  <si>
    <t>anethole</t>
  </si>
  <si>
    <t>meringankan gejala pilek batuk flu bayi anak</t>
  </si>
  <si>
    <t>tresnojoyo balsem telon</t>
  </si>
  <si>
    <t>tresnojoyo balsem telon balsam anethole meringankan gejala pilek batuk flu bayi anak</t>
  </si>
  <si>
    <t>DKL9828601429B1</t>
  </si>
  <si>
    <t>Carmed 20% Krim 40 g</t>
  </si>
  <si>
    <t>Rp58.200 - Rp64.100</t>
  </si>
  <si>
    <t>Oleskan tipis pada bagian kulit yang diinginkan</t>
  </si>
  <si>
    <t>PENGGUNAAN OBAT INI HARUS SESUAI DENGAN PETUNJUK DOKTER. 2 x sehari oleskan tipis</t>
  </si>
  <si>
    <t>INFORMASI OBAT INI HANYA UNTUK KALANGAN MEDIS. Iktiosis dan kulit kering, hiperkeratosis, kulit bersisik (pada psoriasis, dermatitis atopik).</t>
  </si>
  <si>
    <t>Dus, Tube @ 40 g</t>
  </si>
  <si>
    <t>Obat Wajib Apotek, Obat ini dapat dibeli dan diserahkan apoteker tanpa resep dengan maksimum 1 Tube. Pembelian melebihi batas ini WAJIB RESEP DOKTER. Hindari kontak dengan mata, kulit yang terluka, kulit yang meradang, kulit muda, membran mukosa, fisura</t>
  </si>
  <si>
    <t>urea</t>
  </si>
  <si>
    <t>iktiosis kulit kering , hiperkeratosis , kulit bersisik psoriasis , dermatitis atopik</t>
  </si>
  <si>
    <t>carmed</t>
  </si>
  <si>
    <t>carmed krim urea iktiosis kulit kering  hiperkeratosis  kulit bersisik psoriasis  dermatitis atopik</t>
  </si>
  <si>
    <t>paracetamol ammonium chloride pseudoephedrine hydrochloride chlorphenamine maleate succus liquiritiae</t>
  </si>
  <si>
    <t xml:space="preserve">obh indoplus sirup paracetamol ammonium chloride pseudoephedrine hydrochloride chlorphenamine maleate succus liquiritiae </t>
  </si>
  <si>
    <t>DKL1025202503A1</t>
  </si>
  <si>
    <t>Herbesser CD 100 mg 10 Kapsul</t>
  </si>
  <si>
    <t>Rp117.400 - Rp138.500</t>
  </si>
  <si>
    <t>Sebelum / sesudah makan, telan utuh jangan dikunyah atau dihancurkan</t>
  </si>
  <si>
    <t>PENGGUNAAN OBAT INI HARUS SESUAI DENGAN PETUNJUK DOKTER. Hipertensi essensial: 100-200 mg sekali sehari, angina pektoris dosis awal 100 mg sekali sehari dan dapat ditingkatkan 200 mg sekali sehari</t>
  </si>
  <si>
    <t>INFORMASI OBAT INI HANYA UNTUK KALANGAN MEDIS. Hipertensi essensial ringan-sedang, angina pektoris dan angina varian</t>
  </si>
  <si>
    <t>Dus, 3 Strip @ 10 Blister Pelepasan lambat</t>
  </si>
  <si>
    <t>HARUS DENGAN RESEP DOKTER. Gagal jantung kongestif berat, hipersensitif, hamil Kategori Kehamilan : C</t>
  </si>
  <si>
    <t>hipertensi essensial ringan - , angina pektoris angina varian</t>
  </si>
  <si>
    <t>herbesser cd kapsul diltiazem hydrochloride hipertensi essensial ringan   angina pektoris angina varian</t>
  </si>
  <si>
    <t>DKL8928601429A1</t>
  </si>
  <si>
    <t>Carmed 10% Krim 40 g</t>
  </si>
  <si>
    <t>Rp38.700 - Rp43.800</t>
  </si>
  <si>
    <t>Dioleskan tipis tipis pada bagian yang kering, bersisik atau kulit bermasalah</t>
  </si>
  <si>
    <t>INFORMASI OBAT INI HANYA UNTUK KALANGAN MEDIS. Iktiosis dan kulit kering, hiperkeratosis, kulit bersisik (pada psoriasis, dermatitis atopik)</t>
  </si>
  <si>
    <t>Hipersensitifitas terhadap komponen obat.</t>
  </si>
  <si>
    <t>Obat Wajib Apotek, Obat ini dapat dibeli dan diserahkan apoteker tanpa resep dengan maksimum 1 Tube. Pembelian melebihi batas ini WAJIB RESEP DOKTER. Hindari kontak dengan mata, kulit yang terluka, kulit yang meradang, kulit muda, membran mukosa, fisura. Jauhkan dari jangkauan anak kecil. Hentikan penggunaan apabila terjadi iritasi.</t>
  </si>
  <si>
    <t>DTL1233527561A1</t>
  </si>
  <si>
    <t>Raven Sirup 10 ml 2 Sachet</t>
  </si>
  <si>
    <t>Rp4.200 - Rp5.700</t>
  </si>
  <si>
    <t>Dewasa: 1 pasang sachet (10 ml suspensi Ibuprofen dan 10 ml sirup Paracetamol) 3-4 kali sehari</t>
  </si>
  <si>
    <t>Membantu mengurangi nyeri, sakit gigi, nyeri otot dan menurunkan demam</t>
  </si>
  <si>
    <t>Dus, 10 Pasang sachet, Tiap pasang sachet @ 10 ml</t>
  </si>
  <si>
    <t>Simpan pada suhu di bawah 30 derajat C dan terlindungi dari cahaya</t>
  </si>
  <si>
    <t>membantu mengurangi nyeri , sakit gigi , nyeri otot menurunkan demam</t>
  </si>
  <si>
    <t>raven</t>
  </si>
  <si>
    <t>raven suspensi ibuprofen membantu mengurangi nyeri  sakit gigi  nyeri otot menurunkan demam</t>
  </si>
  <si>
    <t>DKL8925200310A1</t>
  </si>
  <si>
    <t>Herbesser 30 mg 10 Tablet</t>
  </si>
  <si>
    <t>Rp28.600 - Rp41.300</t>
  </si>
  <si>
    <t>herbesser tablet diltiazem hydrochloride angina pektoris  profilaksis angina pektoris varian  hipertensi ringan</t>
  </si>
  <si>
    <t>DKL0415618310A1</t>
  </si>
  <si>
    <t>Rotaver 6 mg 10 Tablet</t>
  </si>
  <si>
    <t>Rp28.700 - Rp34.900</t>
  </si>
  <si>
    <t>PENGGUNAAN OBAT INI HARUS SESUAI DENGAN PETUNJUK DOKTER. 1-2 tablet 3 kali sehari.</t>
  </si>
  <si>
    <t>Vertigo perifer, penyakit Meniere's, sindrom mirip Meniere, Vertigo</t>
  </si>
  <si>
    <t>Tablet 6 mg x 10 x 10</t>
  </si>
  <si>
    <t>Feokromositoma.</t>
  </si>
  <si>
    <t>HARUS DENGAN RESEP DOKTER. Asma bronkial, tukak peptik atau riwayat tukak peptik. Hamil &amp; laktasi. Anak &lt;12 tahun.</t>
  </si>
  <si>
    <t>vertigo perifer , penyakit meniere s , sindrom meniere , vertigo</t>
  </si>
  <si>
    <t>rotaver</t>
  </si>
  <si>
    <t>rotaver tablet betahistine mesilate vertigo perifer  penyakit meniere s  sindrom meniere  vertigo</t>
  </si>
  <si>
    <t>QD071707131</t>
  </si>
  <si>
    <t>Neo Rheumacyl Eucalyptus Cream 30 g</t>
  </si>
  <si>
    <t>Rp15.000 - Rp16.600</t>
  </si>
  <si>
    <t>Membantu meredakan nyeri otot pada tengkuk dan pundak</t>
  </si>
  <si>
    <t>membantu meredakan nyeri otot tengkuk pundak</t>
  </si>
  <si>
    <t>neo rheumacyl eucalyptus cream</t>
  </si>
  <si>
    <t>neo rheumacyl eucalyptus cream krim camphor membantu meredakan nyeri otot tengkuk pundak</t>
  </si>
  <si>
    <t>DKL1521645010A1</t>
  </si>
  <si>
    <t>Gionix 8 mg 10 Tablet</t>
  </si>
  <si>
    <t>Rp58.300 - Rp71.200</t>
  </si>
  <si>
    <t>Diminum saat atau tanpa makanan</t>
  </si>
  <si>
    <t>PENGGUNAAN OBAT INI HARUS SESUAI DENGAN PETUNJUK DOKTER. Dosis awal: diberikan dosis 4 mg, diminum 1 kali sehari. Dosis dapat ditingkatkan menjadi 16 mg, diminum 1 kali sehari.</t>
  </si>
  <si>
    <t>Angioedema( bengkak karen alergi), hiponatremia, gangguan hati, kalsium tinggi dalam darah, penyakit kelenjar paratiroid. gangguan jatup jantung dan pembuluh darah arteri</t>
  </si>
  <si>
    <t>HARUS DENGAN RESEP DOKTER. Stenosis arteri renalis, deplesi vol intravaskular. Hamil &amp; laktasi. Kategori kehamilan : Kategori D : Terbukti berisiko terhadap janin. Meski demikian, obat masih dapat digunakan jika obat diperlukan untuk mengatasi keadaan yang mengancam jiwa, atau penyakit serius, dimana obat yang lebih aman tidak dapat digunakan atau tidak efektif.</t>
  </si>
  <si>
    <t>gionix tablet candesartan cilexetil mengobati teka darah gagal jantung merelaksasikan pembuluh darah</t>
  </si>
  <si>
    <t>DKL9504307029A1</t>
  </si>
  <si>
    <t>Skilone Cream 10 g</t>
  </si>
  <si>
    <t>Rp16.000 - Rp24.800</t>
  </si>
  <si>
    <t>PENGGUNAAN OBAT INI HARUS SESUAI DENGAN PETUNJUK DOKTER. Oleskan 2 kali sehari</t>
  </si>
  <si>
    <t>Pengobatan topikal infeksi sekunder, dermatosis alergi atau inflamasi</t>
  </si>
  <si>
    <t>Tube, Krim 10 G X 1</t>
  </si>
  <si>
    <t>TBC kulit, infeksi jamur dan bakteri kecuali kemoterapi yang adekuat diberikan. Infeksi virus. Akne rosasea, skabies, dermatitis perioral, ringworm. Pemakaian jangka lama pada kehamilan</t>
  </si>
  <si>
    <t>HARUS DENGAN RESEP DOKTER. Tidak digunakan dekat dan untuk mata</t>
  </si>
  <si>
    <t>pengobatan topikal infeksi sekunder , dermatosis alergi inflamasi</t>
  </si>
  <si>
    <t>skilone cream</t>
  </si>
  <si>
    <t>skilone cream krim betamethasone valerate pengobatan topikal infeksi sekunder  dermatosis alergi inflamasi</t>
  </si>
  <si>
    <t>DKL9621010410B1</t>
  </si>
  <si>
    <t>Siberid 10 mg 10 Tablet</t>
  </si>
  <si>
    <t>Rp84.100 - Rp107.300</t>
  </si>
  <si>
    <t>Pusing, migren, gangguan vestibular, serebrovaskular, gangguan sirkulasi perifer.</t>
  </si>
  <si>
    <t>pusing , migren , gangguan vestibular , serebrovaskular , gangguan sirkulasi perifer</t>
  </si>
  <si>
    <t>siberid</t>
  </si>
  <si>
    <t>siberid tablet flunarizine hydrochloride pusing  migren  gangguan vestibular  serebrovaskular  gangguan sirkulasi perifer</t>
  </si>
  <si>
    <t>DKL9621010410A1</t>
  </si>
  <si>
    <t>Siberid 5 mg 10 Tablet</t>
  </si>
  <si>
    <t>Rp68.000 - Rp82.500</t>
  </si>
  <si>
    <t>Dus, 5 strip @ 10 Tablet</t>
  </si>
  <si>
    <t>DKL9422710629A1</t>
  </si>
  <si>
    <t>Scanderma Plus Cream 10 g</t>
  </si>
  <si>
    <t>Rp41.200 - Rp53.500</t>
  </si>
  <si>
    <t>Dioleskan tipis pada bagian kulit yang sakit.</t>
  </si>
  <si>
    <t>PENGGUNAAN OBAT INI HARUS SESUAI DENGAN PETUNJUK DOKTER. Oleskan 1-2 kali sehari</t>
  </si>
  <si>
    <t>INFORMASI OBAT INI HANYA UNTUK KALANGAN MEDIS. Dermatitis yang terinfeksi atau dermatitis dengan komplikasi infeksi bakterial</t>
  </si>
  <si>
    <t>Cream 10 G X 1</t>
  </si>
  <si>
    <t>TB kulit, infeksi jamur dan virus pada kulit</t>
  </si>
  <si>
    <t>HARUS DENGAN RESEP DOKTER. Penggunaan jangka panjang. Jangan dipakai &gt;1 minggu. Padad wajah untuk 5 hari. Hindari kontak dengan mata</t>
  </si>
  <si>
    <t>dermatitis terinfeksi dermatitis komplikasi infeksi bakterial</t>
  </si>
  <si>
    <t>scanderma plus cream</t>
  </si>
  <si>
    <t>scanderma plus cream krim bacitracin zinc dermatitis terinfeksi dermatitis komplikasi infeksi bakterial</t>
  </si>
  <si>
    <t>obh nellco batuk berdahak sirup ammonium chloride succus liquiritiae meringankan batuk berdahak</t>
  </si>
  <si>
    <t>Blood Menstruheat Sachet</t>
  </si>
  <si>
    <t>Buka kemasan pad, pad akan menghangat saat terpapar udara. Lepaskan lapisan perekat dan tempelkan pad pada baju dalam atau area nyeri haid. Jika produk sudah tidak hangat lagi, lepaskan produk secara perlahan.</t>
  </si>
  <si>
    <t>Pad yang digunakan untuk mengurangi kram perut dan nyeri haid ketika ditempelkan.</t>
  </si>
  <si>
    <t>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</si>
  <si>
    <t>pad mengurangi kram perut nyeri haid ditempelkan</t>
  </si>
  <si>
    <t>blood menstruheat</t>
  </si>
  <si>
    <t>blood menstruheat tablet sildenafil citrate pad mengurangi kram perut nyeri haid ditempelkan</t>
  </si>
  <si>
    <t>DTL0322212104B1</t>
  </si>
  <si>
    <t>Sanaflu Forte 4 Kaplet</t>
  </si>
  <si>
    <t>Rp2.000 - Rp4.100</t>
  </si>
  <si>
    <t>Dewasa : 3 kali sehari 1 kaplet. Anak 6-12 tahun : 3 kali sehari ï¿½ kaplet</t>
  </si>
  <si>
    <t>Dus, 25 Catch cover @ 1 Strip @ 4 Kaplet</t>
  </si>
  <si>
    <t>Hipertensi berat, mendapat terapi MAOI. Gangguan fungsi hati berat</t>
  </si>
  <si>
    <t>Hipertensi, punya potensi hipertensi atau stroke, gangguan fungsi hati/ ginjal, glaukoma, hipertrofi prostat, retensi urin, gagal jantung dan DM. Anak &lt;6 tahun. Hamil dan laktasi. Penggunaan bersama dengan alkohol dapat meningkatkan risiko timbulnya gangguan fungsi hati. Palpitasi</t>
  </si>
  <si>
    <t>sanaflu forte</t>
  </si>
  <si>
    <t>sanaflu forte kaplet paracetamol meredakan gejala2 flu  demam  sakit kepala hidung tersumbat</t>
  </si>
  <si>
    <t>rifampicin isoniazid pyrazinamide ethambutol hydrochloride</t>
  </si>
  <si>
    <t>pro tb kaplet rifampicin isoniazid pyrazinamide ethambutol hydrochloride pega tbc infeksi mikobakterial</t>
  </si>
  <si>
    <t>DKL7817625210A1</t>
  </si>
  <si>
    <t>Trimoxsul 10 Tablet</t>
  </si>
  <si>
    <t>PENGGUNAAN OBAT INI HARUS SESUAI DENGAN PETUNJUK DOKTER. Dewasa dan anak &gt; 12 tahun : 2 tablet, maksimal 3 tablet, 6 - 12 tahun : 1/2 - 1 tablet, 2 - 5 tahun : 1/4 - 1/2 tablet, 6 bulan - 2 tahun : 1/4 tablet</t>
  </si>
  <si>
    <t>Infeksi saluran nafas, saluran kemih kelamin, Gl, kulit dan septikemia</t>
  </si>
  <si>
    <t>Gangguan fungsi hati atau ginjal berat</t>
  </si>
  <si>
    <t>DKL7817625337A1</t>
  </si>
  <si>
    <t>Trimoxsul Sirup 50 ml</t>
  </si>
  <si>
    <t>Rp35.400 - Rp37.700</t>
  </si>
  <si>
    <t>PENGGUNAAN OBAT INI HARUS SESUAI DENGAN PETUNJUK DOKTER. Dewasa dan anak &gt; 12 tahun : 4 sendok teh , 6 - 12 tahun : 1 - 2 sendok teh , 2 - 5 tahun : 1/2 - 1 sendok teh , 6 bulan - 2 tahun : 1/2 sendok teh . Semua dosis diberikan 2 kali sehari</t>
  </si>
  <si>
    <t>Sirup 50 ml X 1</t>
  </si>
  <si>
    <t>QD121310421</t>
  </si>
  <si>
    <t>Vaporin Inhalasi Liquid 10 Kapsul</t>
  </si>
  <si>
    <t>Rp56.100 - Rp88.900</t>
  </si>
  <si>
    <t>Gunting ujung kapsul dan tekan. Oleskan minyak pada sapu tangan atau teteskan pada air hangat dan hirup aroma yang muncul.</t>
  </si>
  <si>
    <t>Sesuai kebutuhan. Usia 3-6 tahun : teteskan 8-12 tetes</t>
  </si>
  <si>
    <t>Membantu meringankan gejala hidung tersumbat karena pilek</t>
  </si>
  <si>
    <t>Dus, 1 Blister @ 10 Kapsul lunak (obat luar)</t>
  </si>
  <si>
    <t>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</si>
  <si>
    <t>membantu meringankan gejala hidung tersumbat pilek</t>
  </si>
  <si>
    <t>vaporin inhalasi liquid</t>
  </si>
  <si>
    <t>vaporin inhalasi liquid kapsul cajuput oil membantu meringankan gejala hidung tersumbat pilek</t>
  </si>
  <si>
    <t>DKL1805060117A1</t>
  </si>
  <si>
    <t>Vitor 2 mg 10 Tablet</t>
  </si>
  <si>
    <t>Rp56.600 - Rp85.400</t>
  </si>
  <si>
    <t>PENGGUNAAN OBAT INI HARUS SESUAI DENGAN PETUNJUK DOKTER. Dosis individual: diberikan dosis 1-4 mg, diminum sekali sehari. Dosis awal yang direkomendasikan: 2 mg. Maksimal: 4 mg. Pasien penderita gangguan ginjal sedang dan berat (GFR 30-59 mL / menit/ 1,73 m2 dan 15-29 mL / menit/ 1,73 m2, masing-masing tidak menerima hemodialisis) serta penderita penyakit ginjal tahap akhir yang menerima hemodialisis: diberikan dosis 1 mg, diminum sekali sehari. Maksimal: 2 mg sekali sehari. Pasien yang sedang dalam terapi pengobatan dengan erythromycin: Maksimal: diberikan dosis 1 mg diminum sekali sehari. Pasien yang sedang dalam terapi pengobatan dengan rifampicin: Maksimal: 2 mg diminum sekali sehari. Dosis bersifat individu, tergantung pada kondisi pasien.</t>
  </si>
  <si>
    <t>INFORMASI OBAT INI HANYA UNTUK KALANGAN MEDIS. Terapi tambahan dari diet (pengaturan makan) untuk menurunkan kadar kolesterol</t>
  </si>
  <si>
    <t>HARUS DENGAN RESEP DOKTER. Hamil dan menysui. Batasi minum minuman beralkohol. Kategori kehamilan: Kategori X :Terdapat hasil penelitian terhadap hewan uji dan manusia yang memperlihatkan abnormalitas terhadap janin. Obat ini dikontraindikasikan untuk wanita hamil dan yang berkemungkinan untuk hamil.</t>
  </si>
  <si>
    <t>terapi tambahan diet pengaturan makan menurunkan kadar kolesterol</t>
  </si>
  <si>
    <t>vitor</t>
  </si>
  <si>
    <t>vitor tablet pitavastatin calcium terapi tambahan diet pengaturan makan menurunkan kadar kolesterol</t>
  </si>
  <si>
    <t>GKL8912509810A2</t>
  </si>
  <si>
    <t>Griseofulvin 125mg 10 Tablet</t>
  </si>
  <si>
    <t>Rp6.600 - Rp7.900</t>
  </si>
  <si>
    <t>Dikonsumsi bersama dengan makanan.</t>
  </si>
  <si>
    <t>PENGGUNAAN OBAT INI HARUS SESUAI DENGAN PETUNJUK DOKTER. Dewasa: 500 mg per hari dosis tunggal atau dosis terbagi. Anak-anak: 10 mg per Kg BB dalam dosis tunggal atau dosis terbagi.</t>
  </si>
  <si>
    <t>INFORMASI OBAT INI HANYA UNTUK KALANGAN MEDIS. Pengobatan infeksi jamur pada kulit, kulit kepala, dan kuku bila pengobatan secara topikal gagal.</t>
  </si>
  <si>
    <t>Hipersensitif terhadap griseofulvin, lupus eritema tosus sistemik (SLE), porfiria, gangguan hati yang parah, kehamilan.</t>
  </si>
  <si>
    <t>HARUS DENGAN RESEP DOKTER. Gangguan hati ringan sampai sedang, anak-anak, laktasi, fotosensitivitas (hindari paparan langsung sinar matahari atau sinar ultaviolet). Katagori Kehamilan: Kategori X: Kontraindikasi (tidak boleh digunakan). Terdapat hasil penelitian terhadap hewan uji dan manusia yang memperlihatkan abnormalitas terhadap janin. Obat ini dikontraindikasikan untuk wanita hamil dan yang berkemungkinan untuk hamil.</t>
  </si>
  <si>
    <t>pengobatan infeksi jamur kulit , kulit kepala , kuku pengobatan topikal gagal</t>
  </si>
  <si>
    <t>griseofulvin tablet pengobatan infeksi jamur kulit  kulit kepala  kuku pengobatan topikal gagal</t>
  </si>
  <si>
    <t>DKL1806318438A1</t>
  </si>
  <si>
    <t>Fluimucil Dry Syrup 75 ml</t>
  </si>
  <si>
    <t>Rp76.900 - Rp85.000</t>
  </si>
  <si>
    <t>Tambahkan air sampai tanda (garis merah) Tutuplah botol rapat kemudian kocok botol dalam keadaan terbalik. Setelah dikocok permukaan sirup akan terlihat dibawah tanda. Tambahkan air lagi sampai batas tanda. Kocok sampai homogen. Setelah dicampur, sirup digunakan maksimal 12 hari</t>
  </si>
  <si>
    <t>ATURAN PAKAI HARUS SESUAI DENGAN PETUNJUK DOKTER. Dewasa : 10 ml sirup setara dengan 200 mg Acetylcysteine Dosis : 2 sendok takar (10 ml) ,2-3 kali per hari Anak-anak 5 ml syrup setara dengan 100 mg Acetylcysteine 2-4 kali sehari sesuai dengan usia 2-4 tahun : 200 mg/hari Diatas 4 tahun : 300 mg/hari Perhatian : Jangan menggunakan lebih dari dosis yang dianjurkan Lama pengobatan : 5 - 10 hari. Konsultasikan dengan dokter bila sakit berlanjut setelah 10 hari.</t>
  </si>
  <si>
    <t>INFORMASI OBAT INI HANYA UNTUK KALANGAN MEDIS. Sebagai obat batuk Mukolitik untuk mengencerkan dahak di saluran pernapasan</t>
  </si>
  <si>
    <t>Dus, 1 Botol @ 75 ml</t>
  </si>
  <si>
    <t>Hipersensitif terhadap Acetylcysteine atau zat tambahan obat ini Anak-anak dibawah 2 tahun</t>
  </si>
  <si>
    <t>Obat Wajib Apotek, Obat ini dapat dibeli dan diserahkan apoteker tanpa resep dengan maksimum 1 Botol. Pembelian melebihi batas ini WAJIB RESEP DOKTER. Gunakan FLUIMUCIL dengan hati-hati pada kondisi : - Pasien yang menderita asma bronkial, bila kesulitan bernafas karena bronkospasme setelah minum obat ini, segera hentikan penggunaan obat ini Pada penderita dengan riwayat gastritis, sebaiknya diberikan setelah makan. FLUIMUCIL dry syrup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</si>
  <si>
    <t>sebagai obat batuk mukolitik mengencerkan dahak saluran pernapasan</t>
  </si>
  <si>
    <t>fluimucil</t>
  </si>
  <si>
    <t>fluimucil sirup acetyl cysteine sebagai obat batuk mukolitik mengencerkan dahak saluran pernapasan</t>
  </si>
  <si>
    <t>TR183615441</t>
  </si>
  <si>
    <t>Al Afiat Gurah Mint 125 ml</t>
  </si>
  <si>
    <t>GURAH MINT</t>
  </si>
  <si>
    <t>Rp55.400 - Rp60.700</t>
  </si>
  <si>
    <t>3 x sehari 2-3 sendok makan</t>
  </si>
  <si>
    <t>Dus, botol plastik @ 125 ml</t>
  </si>
  <si>
    <t>gurah mint</t>
  </si>
  <si>
    <t>al afiat gurah mint</t>
  </si>
  <si>
    <t>al afiat gurah mint  gurah mint membantu meredakan batuk membantu melegakan tenggorokan</t>
  </si>
  <si>
    <t>Al Afiat Gurah Mint 60 ml</t>
  </si>
  <si>
    <t>Rp32.900 - Rp36.600</t>
  </si>
  <si>
    <t>Dus, botol plastik @ 60 ml</t>
  </si>
  <si>
    <t>HT112600121</t>
  </si>
  <si>
    <t>Antangin OB Herbal Sachet</t>
  </si>
  <si>
    <t>OB HERBAL</t>
  </si>
  <si>
    <t>Rp1.800 - Rp3.400</t>
  </si>
  <si>
    <t>Membantu meredakan batuk dan membantu melegakan tenggotokan</t>
  </si>
  <si>
    <t>Dus, 10 Sachet @ 15 ml</t>
  </si>
  <si>
    <t>Simpan ditempat sejuk , terlindung dari cahaya matahari</t>
  </si>
  <si>
    <t>ob herbal</t>
  </si>
  <si>
    <t>membantu meredakan batuk membantu melegakan tenggotokan</t>
  </si>
  <si>
    <t>antangin ob herbal</t>
  </si>
  <si>
    <t>antangin ob herbal sachet ob herbal membantu meredakan batuk membantu melegakan tenggotokan</t>
  </si>
  <si>
    <t>DKL0807809933A1</t>
  </si>
  <si>
    <t>Hufafural Suspensi 60 ml</t>
  </si>
  <si>
    <t>Rp11.000 - Rp13.200</t>
  </si>
  <si>
    <t>PENGGUNAAN OBAT INI HARUS SESUAI DENGAN PETUNJUK DOKTER. Dewasa 3x sehari 1-2 sendok takar, Anak dan bayi lebih dari 6 bln 3x sehari 1 sendok takar, Bayi kurang dari 6 bln 2x sehari 1 sendok takar</t>
  </si>
  <si>
    <t>Diare karena E. coli, Staphyloccocus aureus, Pseudomonas aeruginosa dan kolopatis spesifik</t>
  </si>
  <si>
    <t>Carton Box, 60 Dus @ Botol 60 ml</t>
  </si>
  <si>
    <t>diare e  coli , staphyloccocus aureus , pseudomonas aeruginosa kolopatis spesifik</t>
  </si>
  <si>
    <t>hufafural</t>
  </si>
  <si>
    <t>hufafural suspensi nifuroxazide diare e  coli  staphyloccocus aureus  pseudomonas aeruginosa kolopatis spesifik</t>
  </si>
  <si>
    <t>DKL9508003401A1</t>
  </si>
  <si>
    <t>Forcanox 100 mg 6 Kapsul</t>
  </si>
  <si>
    <t>Rp165.700 - Rp179.300</t>
  </si>
  <si>
    <t>PENGGUNAAN OBAT INI HARUS SESUAI DENGAN PETUNJUK DOKTER. Kandidiasis vulvovagina : sehari 2 x 100 mg selama 3 hari Pitiriasis versikolor: sehari 200 mg selama 7 hari</t>
  </si>
  <si>
    <t>DTL7822231237A1</t>
  </si>
  <si>
    <t>Sanadryl DMP Sirup 60 ml</t>
  </si>
  <si>
    <t>Rp19.700 - Rp22.400</t>
  </si>
  <si>
    <t>Dewasa : 3 kali sehari, 2 sendok takar (@10 ml). Anak-anak (6-12 tahun) : 3 kali sehari, 1 sendok takar (@ 5 ml).</t>
  </si>
  <si>
    <t>Meredakan mengobati batuk kering, gejala alergi dan flu.</t>
  </si>
  <si>
    <t>Hipersensitif terhadap komponen obat ini. Hamil dan menyusui.</t>
  </si>
  <si>
    <t>Penderita dengan riwayat gangguan fungsi hati, asma dan tekanan darah tinggi. Wanita hamil dan menyusui. Mempengaruhi kemampuan mengemudi/menjalankan mesin.</t>
  </si>
  <si>
    <t>meredakan mengobati batuk kering , gejala alergi flu</t>
  </si>
  <si>
    <t>sanadryl dmp</t>
  </si>
  <si>
    <t>sanadryl dmp sirup ammonium chloride meredakan mengobati batuk kering  gejala alergi flu</t>
  </si>
  <si>
    <t>actifed kuning sirup pseudoephedrine hydrochloride triprolidine hydrochloride meredakan pilek alergi pernapasan hidung</t>
  </si>
  <si>
    <t>GKL1513711401A1</t>
  </si>
  <si>
    <t>Acetylcysteine 200 mg 10 Kapsul</t>
  </si>
  <si>
    <t>Rp8.900 - Rp14.800</t>
  </si>
  <si>
    <t>PENGGUNAAN OBAT INI HARUS SESUAI DENGAN PETUNJUK DOKTER. Mukolitik Dewasa : 3 x sehari 1 kapsul. Sebagai tab effervescent: 1 x sehari 600 mg. Maks: 600 mg setiap hari. Keracunan Parasetamol Dewasa: Sebagai tab effervescent: Awalnya, 140 mg/kg diikuti oleh 17 dosis pemeliharaan 70 mg/kg diberikan setiap 4 jam. Anak: Sama seperti dosis dewasa.</t>
  </si>
  <si>
    <t>INFORMASI OBAT INI HANYA UNTUK KALANGAN MEDIS. Terapi hipersekresi mukus atau mukolitik (pengencer dahak) dan antidot pada pasien yang overdosis Paracetamol</t>
  </si>
  <si>
    <t>Penggunaan bubuk oral untuk larutan dan tab effervescent pada anak di bawah usia 2 tahun. Pasien Hipersenstif</t>
  </si>
  <si>
    <t>Obat Wajib Apotek, Obat ini dapat dibeli dan diserahkan apoteker tanpa resep dengan maksimum 2 Strip. Pembelian melebihi batas ini WAJIB RESEP DOKTER. Hati-hati penggunaan obat ini pada: Pasien dengan riwayat atopi dan asma yang diketahui atau ada, riwayat bronkospasme, riwayat penyakit tukak lambung, varises esofagus. Anak-anak. Kehamilan dan menyusui. Kategori Kehamilan : Kategori B: Mungkin dapat digunakan oleh wanita hamil. Penelitian pada hewan uji tidak memperlihatkan ada nya risiko terhadap janin, namun belum ada bukti penelitian langsung terhadap wanita hamil.</t>
  </si>
  <si>
    <t>terapi hipersekresi mukus mukolitik pengencer dahak antidot pasien overdosis paracetamol</t>
  </si>
  <si>
    <t>acetylcysteine kapsul terapi hipersekresi mukus mukolitik pengencer dahak antidot pasien overdosis paracetamol</t>
  </si>
  <si>
    <t>DKL0433511637A1</t>
  </si>
  <si>
    <t>Isprinol Sirup 60 ml</t>
  </si>
  <si>
    <t>Rp90.000 - Rp121.000</t>
  </si>
  <si>
    <t>PENGGUNAAN OBAT INI HARUS SESUAI DENGAN PETUNJUK DOKTER. Dewasa dan anak: 50 mg/kg bb/hr dalam 3-4 dosis terbagi. Dapat ditingkatkan sampai dengan 100 mg/kg bb/hr dalam 4- 6 dosis terbagi. Pengobatan dilanjutkan 1-2 hari sesudah gejala penyakit mereda</t>
  </si>
  <si>
    <t>isprinol</t>
  </si>
  <si>
    <t>isprinol sirup methisoprinol imunomodulator infeksi virus kondisi sistem imun daya tahan tubuh</t>
  </si>
  <si>
    <t>DKL7404522010A1</t>
  </si>
  <si>
    <t>Isoprinosine 500 mg 8 Tablet</t>
  </si>
  <si>
    <t>Rp120.900 - Rp133.000</t>
  </si>
  <si>
    <t>Dus, Strip @ 8 Tablet</t>
  </si>
  <si>
    <t>isoprinosine</t>
  </si>
  <si>
    <t>isoprinosine tablet methisoprinol imunomodulator infeksi virus kondisi sistem imun daya tahan tubuh</t>
  </si>
  <si>
    <t>DKL0733404009A1</t>
  </si>
  <si>
    <t>Sintrol Kaplet 10 mg 10 Tablet</t>
  </si>
  <si>
    <t>Rp5.200 - Rp7.000</t>
  </si>
  <si>
    <t>PENGGUNAAN OBAT INI HARUS SESUAI DENGAN PETUNJUK DOKTER. Awal 5-10 mg 1 kali/hari pada sore/malam hari.</t>
  </si>
  <si>
    <t>Menurunkan kadar kolesterol total dan LDL yang meningkat pada pasien dengan hiperkolesterolemia primer.</t>
  </si>
  <si>
    <t>Penyakit hati aktif, peningkatan persisten serum transaminase yang tidak dapat dijelaskan. Hamil dan laktasi.</t>
  </si>
  <si>
    <t>HARUS DENGAN RESEP DOKTER. Hipersensitif komponen obat, penyakit hati aktif, Wanita hamil dan menyusui</t>
  </si>
  <si>
    <t>menurunkan kadar kolesterol total ldl meningkat pasien hiperkolesterolemia primer</t>
  </si>
  <si>
    <t>sintrol</t>
  </si>
  <si>
    <t>sintrol kaplet simvastatin menurunkan kadar kolesterol total ldl meningkat pasien hiperkolesterolemia primer</t>
  </si>
  <si>
    <t>DKL9604121017B1</t>
  </si>
  <si>
    <t>Sinova 10 mg 10 Tablet</t>
  </si>
  <si>
    <t>Rp9.900 - Rp17.800</t>
  </si>
  <si>
    <t>Dapat diberikan bersama atau tanpa makanan : Hindari konsumsi jus grapefruit secara berlebihan (&gt; 1 L/hari).</t>
  </si>
  <si>
    <t>INFORMASI OBAT INI HANYA UNTUK KALANGAN MEDIS. Menurunkan peningkatan kadar kolesterol LDL dan kolesterol total pada hiperkolesterolemia primer</t>
  </si>
  <si>
    <t>Tablet 10 Mg X 2 X 10</t>
  </si>
  <si>
    <t>Kehamilan dan menyusui, peny.hati aktif atau peningkatan transminase serum yang persisten.</t>
  </si>
  <si>
    <t>HARUS DENGAN RESEP DOKTER. Lakukan tes fungsi hati secara berkala. Riwayat penyakit hati. Hentikan jika terjadi gejala gangguan otot dan atau peningkatan kadar kreatinin fosfokinase terlihat jelas. Interaksi Obat antikoagulan Koumarin, immunosupresif, Gemfibrozil, atau Niasin</t>
  </si>
  <si>
    <t>menurunkan peningkatan kadar kolesterol ldl kolesterol total hiperkolesterolemia primer</t>
  </si>
  <si>
    <t>sinova</t>
  </si>
  <si>
    <t>sinova tablet simvastatin menurunkan peningkatan kadar kolesterol ldl kolesterol total hiperkolesterolemia primer</t>
  </si>
  <si>
    <t>DKL8721902610A1</t>
  </si>
  <si>
    <t>Toxaprim 480 mg 10 Tablet</t>
  </si>
  <si>
    <t>PENGGUNAAN OBAT INI HARUS SESUAI DENGAN PETUNJUK DOKTER. Dewasa &amp; Anak &gt;12th : 2x sehari 2 tablet. Infeksi berat : 2x sehari 3 tablet. Infeksi akut berikan sampai dengan minimal 5 hari atau sampai 2 hari bebas gejala. Pneumocytis carinii pneumonitis : 20mg/kg/hr TM &amp; 100mg/kg/hr SMZ dalam dosis terbagi tiap 6 jam selama 14 hari. GO tanpa komplikasi : 2x sehari 4 tablet selama 2 hari, dilanjutkan dengan 5 tablet kaplet 8 hari kemudian. Anak 6-12 th: 1/4-1/2 dosis dewasa. Anak 2-6 th : 1/4 dosis dewasa.</t>
  </si>
  <si>
    <t>INFORMASI OBAT INI HANYA UNTUK KALANGAN MEDIS. ISK, infeksi sal cerna dan infeksi sal nafas karena bakteri Gr + &amp; -</t>
  </si>
  <si>
    <t>isk , infeksi sal cerna infeksi sal nafas bakteri gr -</t>
  </si>
  <si>
    <t>toxaprim</t>
  </si>
  <si>
    <t xml:space="preserve">toxaprim tablet sulfamethoxazole isk  infeksi sal cerna infeksi sal nafas bakteri gr </t>
  </si>
  <si>
    <t>DKL9215301444B1</t>
  </si>
  <si>
    <t>Meixam 500 mg 10 Kapsul</t>
  </si>
  <si>
    <t>Rp34.100 - Rp47.100</t>
  </si>
  <si>
    <t>PENGGUNAAN OBAT INI HARUS SESUAI DENGAN PETUNJUK DOKTER. Dewasa: 4 x sehari 1 kapsul</t>
  </si>
  <si>
    <t>dextromethorphan hydrobromide guaifenesin pseudoephedrine hydrochloride chlorphenamine maleate</t>
  </si>
  <si>
    <t>anakonidin sirup dextromethorphan hydrobromide guaifenesin pseudoephedrine hydrochloride chlorphenamine maleate meringankan batuk pilek</t>
  </si>
  <si>
    <t>TR193329801</t>
  </si>
  <si>
    <t>Jamu Iboe Garlicia Plus 30 Kapsul</t>
  </si>
  <si>
    <t>GARLICIA PLUS</t>
  </si>
  <si>
    <t>Rp56.700 - Rp84.000</t>
  </si>
  <si>
    <t>Dikonsumsi sesudah makan.</t>
  </si>
  <si>
    <t>1 kali sehari 2 kapsul.</t>
  </si>
  <si>
    <t>Untuk membantu mengurangi lemak darah.</t>
  </si>
  <si>
    <t>Pasien yang menderita alergi terhadap bawang putih dan tukak lambung.</t>
  </si>
  <si>
    <t>Tidak boleh digunakan bersama dengan obat-obat yang menghambat pembekuan darah seperti warfarin dan acetosal. Pada penderita yang baru dioperasi tidak dianjurkan mengkonsumsi dalam jumlah besar.</t>
  </si>
  <si>
    <t>garlicia plus</t>
  </si>
  <si>
    <t>untuk membantu mengurangi lemak darah</t>
  </si>
  <si>
    <t>jamu iboe garlicia plus</t>
  </si>
  <si>
    <t>jamu iboe garlicia plus kapsul garlicia plus untuk membantu mengurangi lemak darah</t>
  </si>
  <si>
    <t>comtusi forte kapsul oxomemazine guaifenesin untuk meringankan gejala batuk alergi batuk berdahak</t>
  </si>
  <si>
    <t>QD082707771</t>
  </si>
  <si>
    <t>Balsam Hijau Cap Badak 36 g</t>
  </si>
  <si>
    <t>Rp9.100 - Rp13.400</t>
  </si>
  <si>
    <t>Gosokkan pada bagian yang terasa sakit secara merata, hingga hangat dan terasa menyegarkan.</t>
  </si>
  <si>
    <t>Secukupnya.</t>
  </si>
  <si>
    <t>membantu meringankan pegal-pegal dan nyeri sendi.</t>
  </si>
  <si>
    <t>Tidak digunakan untuk anak-anak usia &lt;2 tahun. Jangan digunakan langsung di bawah lubang hidung. Jangan digunakan pada kulit yang luka.</t>
  </si>
  <si>
    <t>membantu meringankan pegal - pegal nyeri sendi</t>
  </si>
  <si>
    <t>balsam hijau cap badak</t>
  </si>
  <si>
    <t>balsam hijau cap badak balsam camphora membantu meringankan pegal  pegal nyeri sendi</t>
  </si>
  <si>
    <t>DKL8105000310A1</t>
  </si>
  <si>
    <t>Primadex 10 Tablet</t>
  </si>
  <si>
    <t>Rp3.300 - Rp5.000</t>
  </si>
  <si>
    <t>Berikan segera setelah makan</t>
  </si>
  <si>
    <t>ISK, infeksi sal cerna dan infeksi sal nafas karena bakteri Gr + &amp; -</t>
  </si>
  <si>
    <t>Gangguan berat fungsi ginjal atau hati, hipersensitif terhadap sulfonamida, diskrasia darah, wanita hamil dan menyusui, bayi berusia kurang dari 2 bulan, porfiria</t>
  </si>
  <si>
    <t>HARUS DENGAN RESEP DOKTER. Penderita defisiensi asam folat, gizi buruk, defisiensi G6PD, Lansia &amp; pasien dengan penurunan fungsi ginjal, asma bronkial atau alergi berat, Jaga asupan cairan yang adekuat</t>
  </si>
  <si>
    <t>primadex</t>
  </si>
  <si>
    <t xml:space="preserve">primadex tablet sulfamethoxazole isk  infeksi sal cerna infeksi sal nafas bakteri gr </t>
  </si>
  <si>
    <t>DKL0033200833A1</t>
  </si>
  <si>
    <t>Sisoprim Sirup 60 ml</t>
  </si>
  <si>
    <t>PENGGUNAAN OBAT INI HARUS SESUAI DENGAN PETUNJUK DOKTER. Anak berusia 6-12 tahun : 2 kali sehari 10 mL. Anak berusia 2-6 tahun : 2 kali sehari 7,5 mL. Anak berusia 6 bulan - 2 tahun : 2 kali sehari 5 mL. Anak berusia 2-6 bulan : 2 kali sehari 2,5 mL. Pada infeksi akut, berikan selama paling sedikit 5 hari atau sampai pasien telah bebas dari gejala selama 2 hari. Pneumocystis carinii pneumonitis : 20 mg/kg Trimetoprim dan 100 mg/kg Sulfametoksazol/24 jam dalam dosis terbagi yang sama besar yang diberikan tiap 6 jam selama 14 hari.</t>
  </si>
  <si>
    <t>INFORMASI OBAT INI HANYA UNTUK KALANGAN MEDIS. Mengobati infeksi akibat bakteri pada saluran pernapasan, pencernaan, dan saluran kemih.</t>
  </si>
  <si>
    <t>Hipersensitivitas terhadap sulfonamid atau trimetoprim.</t>
  </si>
  <si>
    <t>HARUS DENGAN RESEP DOKTER. Defisiensi asam folat, status nutrisi buruk, defisiensi G6PD. Usia lanjut. Individu dengan penurunan fungsi ginjal.</t>
  </si>
  <si>
    <t>mengobati infeksi akibat bakteri saluran pernapasan , pencernaan , saluran kemih</t>
  </si>
  <si>
    <t>sisoprim</t>
  </si>
  <si>
    <t>sisoprim suspensi sulfamethoxazole mengobati infeksi akibat bakteri saluran pernapasan  pencernaan  saluran kemih</t>
  </si>
  <si>
    <t>DKL9531510610B1</t>
  </si>
  <si>
    <t>Monecto-20 mg 10 Tablet</t>
  </si>
  <si>
    <t>Rp26.500 - Rp42.700</t>
  </si>
  <si>
    <t>PENGGUNAAN OBAT INI HARUS SESUAI DENGAN PETUNJUK DOKTER. Dosis awal : 5 mg, ditingkatkan menjadi 10 mg pada hari ke-2 atau ke-3 terapi. Pemeliharaan : 2 x sehari 1 tablet.</t>
  </si>
  <si>
    <t>Pencegahan dan pengobatan Angina Pektoris yang disebabkan penyakit Arteri Koroner.</t>
  </si>
  <si>
    <t>Anemia, syok, hipovolemia, trauma serebral, infark miokardial akut, hipotensi berat.</t>
  </si>
  <si>
    <t>HARUS DENGAN RESEP DOKTER. Anemia, syok, hipovolemia, trauma serebral, infark miokardial akut, hipotensi berat.</t>
  </si>
  <si>
    <t>pencegahan pengobatan angina pektoris disebabkan penyakit arteri koroner</t>
  </si>
  <si>
    <t>monecto</t>
  </si>
  <si>
    <t>monecto tablet isosorbide dinitrate pencegahan pengobatan angina pektoris disebabkan penyakit arteri koroner</t>
  </si>
  <si>
    <t>monecto tablet isosorbide mononitrate pencegahan pengobatan angina pektoris disebabkan penyakit arteri koroner</t>
  </si>
  <si>
    <t>DKL0016907004B1</t>
  </si>
  <si>
    <t>Omemox 500 mg 10 Tablet</t>
  </si>
  <si>
    <t>Rp6.500 - Rp20.000</t>
  </si>
  <si>
    <t>PENGGUNAAN OBAT INI HARUS SESUAI DENGAN PETUNJUK DOKTER. Dewasa: 250-500 mg tiap 8 jam, maksimal sehari 4,5 g Anak 6-8 kgBB: 50-100 mg atau 1/2-1 sdtk tiap 8 jam Anak 8-12 kgBB: 125-250 mg atau 1-2 sdtk tiap 8 jam Anak &gt; 20 kgBB: 250-500 mg atau 2-4 sdtk tiap 8 jam</t>
  </si>
  <si>
    <t>Infeksi saluran nafas, saluran urogenital, kulit dan jaringan lunak.</t>
  </si>
  <si>
    <t>Hipersensitif, bayi lahir oleh ibu yang peka.</t>
  </si>
  <si>
    <t>HARUS DENGAN RESEP DOKTER. Hati-hati pada penderita dengan fungsi hati dan ginjal yang rusak. Jika terjadi superinfeksi pengobatan dengan antibiotik ini harus dihentikan dan segera lakukan pengobatan yang tepat. Perhatian khusus pada pasien penderita leukemia limfatik. Tidak untuk mengobati infeksi yang disebabkan oleh virus. Kategori Kehamilan : B</t>
  </si>
  <si>
    <t>infeksi saluran nafas , saluran urogenital , kulit jaringan lunak</t>
  </si>
  <si>
    <t>omemox kaplet amoxicillin trihydrate infeksi saluran nafas  saluran urogenital  kulit jaringan lunak</t>
  </si>
  <si>
    <t>DKL8305501101A1</t>
  </si>
  <si>
    <t>Longatin 50 mg 10 Kapsul</t>
  </si>
  <si>
    <t>Rp58.600 - Rp61.000</t>
  </si>
  <si>
    <t>PENGGUNAAN OBAT INI HARUS SESUAI DENGAN PETUNJUK DOKTER. Dewasa : 4 x sehari 25-50 mg</t>
  </si>
  <si>
    <t>INFORMASI OBAT INI HANYA UNTUK KALANGAN MEDIS. Batuk yang disebabkan oleh Bronkhitis akut &amp; khronis, Laringitis, Trakhitis, Flu, Pilek</t>
  </si>
  <si>
    <t>Hipersensitivitas, kehamilan</t>
  </si>
  <si>
    <t>HARUS DENGAN RESEP DOKTER. Wanita hamil dan menyusui. Penderita gangguan pada hati dan ginjal. Penderita yang sedang menjalani terapi suplemen, pengobatan herba, atau pengobatan pelengkap lainnya. Jika terjadi reaksi alergi atau overdosis saat menggunakan noscapine, segera temui dokter.</t>
  </si>
  <si>
    <t>noscapine</t>
  </si>
  <si>
    <t>batuk disebabkan bronkhitis akut khronis , laringitis , trakhitis , flu , pilek</t>
  </si>
  <si>
    <t>longatin</t>
  </si>
  <si>
    <t>longatin kapsul noscapine batuk disebabkan bronkhitis akut khronis  laringitis  trakhitis  flu  pilek</t>
  </si>
  <si>
    <t>DKL0004515410A1</t>
  </si>
  <si>
    <t>Kendaron 200 mg 10 Tablet</t>
  </si>
  <si>
    <t>Rp61.000 - Rp80.800</t>
  </si>
  <si>
    <t>Secara konsisten bersama atau tanpa makanan. Pada dosis tinggi dapat bersama dengan makanan untuk mengurangi ketidak-nyamanan pencernaan</t>
  </si>
  <si>
    <t>PENGGUNAAN OBAT INI HARUS SESUAI DENGAN PETUNJUK DOKTER. Diawali 3 x sehari 1 tablet selama 1 minggu, kemudian dikurangi menjadi 2 x sehari 1 tablet selama 1 minggu. Pemeliharaan : 1 tablet perhari atau kurang.</t>
  </si>
  <si>
    <t>Fibrilasi Ventrikel berulang, Takikardia Ventrikel tidak stabil yang berulang</t>
  </si>
  <si>
    <t>Sinus bradikardi,blok AV, hamil,sinoatrial, distiroidisme.</t>
  </si>
  <si>
    <t>HARUS DENGAN RESEP DOKTER. Anak.</t>
  </si>
  <si>
    <t>amiodarone hydrochloride</t>
  </si>
  <si>
    <t>fibrilasi ventrikel berulang , takikardia ventrikel tidak stabil berulang</t>
  </si>
  <si>
    <t>kendaron</t>
  </si>
  <si>
    <t>kendaron tablet amiodarone hydrochloride fibrilasi ventrikel berulang  takikardia ventrikel tidak stabil berulang</t>
  </si>
  <si>
    <t>QD152613491</t>
  </si>
  <si>
    <t>Ika Minyak Gandapura 60 ml</t>
  </si>
  <si>
    <t>Rp10.000 - Rp28.700</t>
  </si>
  <si>
    <t>Oleskan pada tempat yang sakit/diinginkan</t>
  </si>
  <si>
    <t>Membantu mengatasi nyeri sendi, encok, keseleo, rheumatik</t>
  </si>
  <si>
    <t>Hanya untuk pemakaian luar. Hipersensitif terhadap methyl salicylate</t>
  </si>
  <si>
    <t>membantu mengatasi nyeri sendi , encok , keseleo , rheumatik</t>
  </si>
  <si>
    <t>ika gandapura</t>
  </si>
  <si>
    <t>ika gandapura minyak methyl salicylate membantu mengatasi nyeri sendi  encok  keseleo  rheumatik</t>
  </si>
  <si>
    <t>DTL1706318022A1</t>
  </si>
  <si>
    <t>Fluimucil Granul 200 mg</t>
  </si>
  <si>
    <t>Rp6.800 - Rp9.900</t>
  </si>
  <si>
    <t>Larutkan satu sachet dengan ï¿½30 ml air, aduk dengan sendok. Larutan yang terbentuk dapat diminum langsung dari gelas atau dengan menggunakan sendok atau dapat juga dimasukkan kedalam feeding bottle pada pasien anak-anak</t>
  </si>
  <si>
    <t>ATURAN PAKAI HARUS SESUAI DENGAN PETUNJUK DOKTER. 1 sachet Fluimucil Granule 200 mg, 2-3 kali sehari. Lama pengobatan 5 - 10 hari</t>
  </si>
  <si>
    <t>Sebagai obat batuk Mukolitik untuk mengencerkan dahak di saluran pernapasan</t>
  </si>
  <si>
    <t>Dus, 30 Sachet @ 1 g</t>
  </si>
  <si>
    <t>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</si>
  <si>
    <t>granula</t>
  </si>
  <si>
    <t>fluimucil granul</t>
  </si>
  <si>
    <t>fluimucil granul granula acetylcysteine sebagai obat batuk mukolitik mengencerkan dahak saluran pernapasan</t>
  </si>
  <si>
    <t>DKI2190702117B1</t>
  </si>
  <si>
    <t>Eliquis 5 mg 10 Tablet</t>
  </si>
  <si>
    <t>Rp287.900 - Rp317.500</t>
  </si>
  <si>
    <t>Dapat diberikan sebelum dan setelah makan</t>
  </si>
  <si>
    <t>Profilaksis tromboemboli vena pasca operasi Dewasa: 5 mg satu kali sehari, mulai 12-24 jam setelah operasi. Durasi pengobatan: 10-14 hari (penggantian lutut)</t>
  </si>
  <si>
    <t>vicks formula anak sirup dextromethorphan hydrobromide guaifenesin meredakan batuk disebabkan flu pilek</t>
  </si>
  <si>
    <t>DKL1822254709A1</t>
  </si>
  <si>
    <t>Mezatrin 500 mg 6 Kaplet</t>
  </si>
  <si>
    <t>PENGGUNAAN OBAT INI HARUS SESUAI DENGAN PETUNJUK DOKTER. Dewasa dan anak &gt; 16 tahun sal nafas atas dan bawah, kulit dan struktur kulit tanpa komplikasi : hari - 1 : 500 mg/hari, hari 2 - 5 : 250 mg/hari. Servisitis dan uretritis non GO : 1 g</t>
  </si>
  <si>
    <t>Infeksi ringan - sedang sal nafas bawah dan atas, kulit dan struktur kulit, PHS</t>
  </si>
  <si>
    <t>Dus, 1 Strip @ 6 Kaplet Salut Selaput</t>
  </si>
  <si>
    <t>Hipersensitif terhadap azitromisin, eritromisin atau makrolid lain</t>
  </si>
  <si>
    <t>HARUS DENGAN RESEP DOKTER. Hamil, menyusui, angioedema, anafilaksis. Gangguan fungsi hati dan ginjal, pneumonia. SuperinfeksiKategori Kehamilan : B</t>
  </si>
  <si>
    <t>infeksi ringan - sal nafas , kulit struktur kulit , phs</t>
  </si>
  <si>
    <t>mezatrin</t>
  </si>
  <si>
    <t>mezatrin kaplet azithromycin dihydrate infeksi ringan  sal nafas  kulit struktur kulit  phs</t>
  </si>
  <si>
    <t>DKL9522216101A1</t>
  </si>
  <si>
    <t>Mezatrin 250 mg 6 Kapsul</t>
  </si>
  <si>
    <t>HARUS DENGAN RESEP DOKTER. Hamil, menyusui, angioedema, anafilaksis. Gangguan fungsi hati dan ginjal, pneumonia. Superinfeksi Kategori Kehamilan : B</t>
  </si>
  <si>
    <t>mezatrin kapsul azithromycin dihydrate infeksi ringan  sal nafas  kulit struktur kulit  phs</t>
  </si>
  <si>
    <t>DKL1734606910A1</t>
  </si>
  <si>
    <t>Telsat 40 mg 10 Tablet</t>
  </si>
  <si>
    <t>Diminum sebelum atau setelah makan</t>
  </si>
  <si>
    <t>PENGGUNAAN OBAT INI HARUS SESUAI DENGAN PETUNJUK DOKTER. Hipertensi: Dewasa: Dosis awal: diberikan dosis 40 mg diminum sekali sehari, dosis dapat disesuaikan menjadi 20-80 mg diminum sekali sehari menurut respons klinis. Maksimal: 80 mg diminum sekali sehari. Pengurangan risiko kardiovaskular: Dewasa: diberikan dosis 80 mg diminum sekali sehari.</t>
  </si>
  <si>
    <t>INFORMASI OBAT INI HANYA UNTUK KALANGAN MEDIS. Untuk menurunkan tekanan darah tinggi dan mengurangi risiko kardiovaskular (penyakit jantung).</t>
  </si>
  <si>
    <t>Penggunaan bersamaan dengan aliskiren pada pasien diabetes melitus, gangguan ginjal dan hati, kehamilan.</t>
  </si>
  <si>
    <t>HARUS DENGAN RESEP DOKTER. Dabetes,penyakit jantung, penyakit ginjal, atau yang sedang menjalani diet rendah garam, wanita hamil dan menyusui. Kategori kehamilan : Trimester pertama: Kategori C. Kategori C: Mungkin berisiko. Obat digunakan dengan hati-hati apabila besarnya manfaat yang diperoleh melebihi besarnya risiko terhadap janin. Penelitian pada hewan uji menunjukkan risiko terhadap janin dan belum terdapat penelitian langsung terhadap wanita hamil. Trimester kedua dan ketiga: Kategori D : Terbukti berisiko terhadap janin. Meski demikian, obat masih dapat digunakan jika obat diperlukan untuk mengatasi keadaan yang mengancam jiwa, atau penyakit serius, dimana obat yang lebih aman tidak dapat digunakan atau tidak efektif.</t>
  </si>
  <si>
    <t>untuk menurunkan tekanan darah mengurangi risiko kardiovaskular penyakit jantung</t>
  </si>
  <si>
    <t>telsat tablet telmisartan untuk menurunkan teka darah mengurangi risiko kardiovaskular penyakit jantung</t>
  </si>
  <si>
    <t>DKL7220601201A3</t>
  </si>
  <si>
    <t>Fenicol 250 mg 10 Kapsul</t>
  </si>
  <si>
    <t>Rp14.300 - Rp15.500</t>
  </si>
  <si>
    <t>PENGGUNAAN OBAT INI HARUS SESUAI DENGAN PETUNJUK DOKTER. Dewasa : 500 mg tiap 6 jam. Anak-anak : 25-50 mg/kg berat badan tiap 6 jam.</t>
  </si>
  <si>
    <t>Infeksi Gram positif dan Gram negatif yang disebabkan oleh bakteri yang rentan terhadap Kloramfenikol.</t>
  </si>
  <si>
    <t>Kapsul 250 Mg X 100'S</t>
  </si>
  <si>
    <t>infeksi gram positif gram negatif disebabkan bakteri rentan kloramfenikol</t>
  </si>
  <si>
    <t>fenicol</t>
  </si>
  <si>
    <t>fenicol kapsul chloramphenicol infeksi gram positif gram negatif disebabkan bakteri rentan kloramfenikol</t>
  </si>
  <si>
    <t>DKL7404522137A1</t>
  </si>
  <si>
    <t>Isoprinosine Sirup 60 ml</t>
  </si>
  <si>
    <t>Rp126.100 - Rp152.600</t>
  </si>
  <si>
    <t>PENGGUNAAN OBAT INI HARUS SESUAI DENGAN PETUNJUK DOKTER. Dewasa &amp; anak &gt;5 thn 50 mg/kg BB/hr dlm 3-4 dosis terbagi, dpt ditingkatkan hingga 100 mg/kg BB/hr dlm 4-6 dosis terbagi. Anak &lt;5 thn 50 mg/kg BB/hr, dapat ditingkatkan hingga 100 mg/kg BB/hr.</t>
  </si>
  <si>
    <t>isoprinosine sirup methisoprinol imunomodulator infeksi virus kondisi sistem imun daya tahan tubuh</t>
  </si>
  <si>
    <t>Fresh Eye Premium No Rub Multi Purpose Solution 360 ml</t>
  </si>
  <si>
    <t>Botol @ 360 ml</t>
  </si>
  <si>
    <t>fresh eye premium no rub multi purpose solution</t>
  </si>
  <si>
    <t xml:space="preserve">fresh eye premium no rub multi purpose solution tablet kombinasivalsartan blend 32 </t>
  </si>
  <si>
    <t>Fresh Eye Premium No Rub Multi Purpose Solution 160 ml</t>
  </si>
  <si>
    <t>Botol @ 160 ml</t>
  </si>
  <si>
    <t>DTL2128210037A1</t>
  </si>
  <si>
    <t>Simnos Sirup 60 ml</t>
  </si>
  <si>
    <t>Rp42.700 - Rp48.600</t>
  </si>
  <si>
    <t>Dewasa &amp; anak lebih dari 12 tahun: 3 x sehari 10 ml. Anak 2-5 tahun: 3 x sehari 2.5 ml.</t>
  </si>
  <si>
    <t>Meringankan bersin-bersin dan hidung tersumbat karena pilek.</t>
  </si>
  <si>
    <t>Hipersensitivitas. Pasien dengan sensitivitas terhadap obat simpatomimetik lain misalnya efedrin, fenilpropanolamin, fenilefrin, antidepresan MAOI. Pasien dg hipertensi atau berisiko hipertensi atau stroke seperti BB berlebih. Lansia.</t>
  </si>
  <si>
    <t>Glaukoma, hipertrofi prostat, hipertiroid, penyakit jantung, DM. Hentikan pengobatan jika insomnia, palpitasi atau pusing terjadi. Pasien dengan obat hipertensi, TCA, atau obat simpatomimetik lain misalnya dekongestan, penekan nafsu makan, psikostimulan, amfetamin. Dapat mengganggu kemampuan mengemudikan kendaraan atau mengoperasikan mesin. Pasien dengan gangguan fungsi hati &amp; ginjal. Hamil &amp; laktasi. Tidak direkomendasikan untuk anak kurang dari 2 tahun.</t>
  </si>
  <si>
    <t>simnos</t>
  </si>
  <si>
    <t>simnos sirup pseudoephedrine hydrochloride chlorphenamine maleate meringankan bersin  bersin hidung tersumbat pilek</t>
  </si>
  <si>
    <t>antrain tablet metamizole sodium anhydrate antrain meringankan sakit  nyeri kolik sakit operasi</t>
  </si>
  <si>
    <t>DKL1734606417A1</t>
  </si>
  <si>
    <t>Coxiron 60 mg 10 Tablet</t>
  </si>
  <si>
    <t>Rp99.600 - Rp109.600</t>
  </si>
  <si>
    <t>Carmed Moisturizing Lotion 100 ml</t>
  </si>
  <si>
    <t>Rp39.300 - Rp54.000</t>
  </si>
  <si>
    <t>Dioleskan tipis tipis</t>
  </si>
  <si>
    <t>Digunakan 2 kali sehari setelah mandi dan gosoklah dengan lembut. Gunakan sesering mungkin untuk mendapatkan kulit yang lembut memukau.</t>
  </si>
  <si>
    <t>Pelembab yang diformulasikan untuk melembabkan kulit kering dan kasar.</t>
  </si>
  <si>
    <t>Tube @ 100 ml</t>
  </si>
  <si>
    <t>pelembab diformulasikan melembabkan kulit kering kasar</t>
  </si>
  <si>
    <t>carmed moisturizing lotion</t>
  </si>
  <si>
    <t>carmed moisturizing lotion tablet tizanidine hydrochloride pelembab diformulasikan melembabkan kulit kering kasar</t>
  </si>
  <si>
    <t>Guardian Dental Floss Mint 50 M</t>
  </si>
  <si>
    <t>Rp32.000 - Rp42.500</t>
  </si>
  <si>
    <t>Sisipkan benang flos gigi di celah gigi sambil menarik flos ke atas dan ke bawah. Ulangi untuk setiap gigi.</t>
  </si>
  <si>
    <t>Untuk membersihkan celah antara dua gigi.</t>
  </si>
  <si>
    <t>Pack, 1 Pieces @ 50 M</t>
  </si>
  <si>
    <t>untuk membersihkan celah gigi</t>
  </si>
  <si>
    <t>guardian dental floss mint m</t>
  </si>
  <si>
    <t>guardian dental floss mint m tablet tizanidine hydrochloride untuk membersihkan celah gigi</t>
  </si>
  <si>
    <t>DKL7802300438A1</t>
  </si>
  <si>
    <t>Amobiotic Dry Sirup 125 mg/5 ml 60 ml</t>
  </si>
  <si>
    <t>Rp21.200 - Rp25.100</t>
  </si>
  <si>
    <t>PENGGUNAAN OBAT INI HARUS SESUAI DENGAN PETUNJUK DOKTER. Anak berusia 2-10 tahun : 3 kali sehari 5 ml. Anak berusia 2 tahun ke bawah : 3 kali sehari 2,5-5 ml.</t>
  </si>
  <si>
    <t>Infeksi saluran nafas atas dan bawah</t>
  </si>
  <si>
    <t>DKL7802344338A1</t>
  </si>
  <si>
    <t>Amobiotic Drops 10 ml</t>
  </si>
  <si>
    <t>PENGGUNAAN OBAT INI HARUS SESUAI DENGAN PETUNJUK DOKTER. Anak berusia kurang dari 2 tahun : 4 kali sehari 0,6-1,2 ml.</t>
  </si>
  <si>
    <t>Oral B Sikat Gigi Pro Health Clinical Soft 2 Pieces</t>
  </si>
  <si>
    <t>Rp38.500 - Rp53.800</t>
  </si>
  <si>
    <t>oral b sikat gigi pro health clinical soft pieces</t>
  </si>
  <si>
    <t xml:space="preserve">oral b sikat gigi pro health clinical soft pieces tablet tizanidine hydrochloride </t>
  </si>
  <si>
    <t>oskadon tablet paracetamol caffeine mengurangi sakit kepala  pusing  menghilangkan nyeri  menghilangkan demam</t>
  </si>
  <si>
    <t>paracetamol acetylsalicylic acid caffeine</t>
  </si>
  <si>
    <t>poldan mig kaplet paracetamol acetylsalicylic acid caffeine meringankan sakit kepala derajat migren</t>
  </si>
  <si>
    <t>DKL0522241750A1</t>
  </si>
  <si>
    <t>Trichodazol Plus Ovula</t>
  </si>
  <si>
    <t>Sebelum tidur, Utk dimasukkan ke dalam vagina</t>
  </si>
  <si>
    <t>PENGGUNAAN OBAT INI HARUS SESUAI DENGAN PETUNJUK DOKTER. 1-2 ovula/hari selama 5-10 hari</t>
  </si>
  <si>
    <t>Infeksi vagina yang disebabkan Trichomonas vaginalis &amp; Candida albicans.</t>
  </si>
  <si>
    <t>ovula x 6 x1</t>
  </si>
  <si>
    <t>Hipersensitivitas. Hamil trimester 1</t>
  </si>
  <si>
    <t>HARUS DENGAN RESEP DOKTER. Pengobatan dihentikan ketika terjadi iritasi, Pasien dianjurkan untuk tidak berhubungan secara vaginal dan menghentikan penggunaan vaginal doches selama terapi, Telah terbukti adanya infeksi trichomonal pada pasanagan, suami seharusnya juga diobati dengan trichodazol untuk mengindari terjadi infeksi kembali, Hindari penggunaan bersamaan dengan minuman beralkohol atau pada pasien yang mengindap diskrasia darah, Jumlah leukosit total dan diferensial harus diketahui sebelum dan sesudah terapi, Karena pasien lanjut usia lebih sering mengalami penurunan fungsi hati, maka penyesuaian dosis pada pasien lanjut usia perlu diperhatikan.</t>
  </si>
  <si>
    <t>infeksi vagina disebabkan trichomonas vaginalis candida albicans</t>
  </si>
  <si>
    <t>trichodazol plus</t>
  </si>
  <si>
    <t>trichodazol plus ovula metronidazole nystatin infeksi vagina disebabkan trichomonas vaginalis candida albicans</t>
  </si>
  <si>
    <t>DKL0604425417A1</t>
  </si>
  <si>
    <t>Torasic 10 mg 10 Tablet</t>
  </si>
  <si>
    <t>PENGGUNAAN OBAT INI HARUS SESUAI DENGAN PETUNJUK DOKTER. Dosis awal 10 mg tiap 4-6 jam untuk nyeri sesuai kebutuhan, dosis max 40 mg/hari</t>
  </si>
  <si>
    <t>Terapi simptomatik jangka pendek nyeri akut derajat sedang-berat</t>
  </si>
  <si>
    <t>pasien dengan gangguan ginjal, pasien yang memiliki resiko gagal ginjal, wanita pasca persalinan, pasien pendarahan dan yang beresiko mengalami pendarahan</t>
  </si>
  <si>
    <t>HARUS DENGAN RESEP DOKTER. Ketorolac tromethamine dapat menyebabkan iritasi, ulkus, perforasi atau perdarahan gastrointestinal dengan atau tanpa gejala sebelumnya dan harus diberikan dengan pengawasan ketat pada pasien dengan riwayat penyakit saluran gastrointestinal, Pada pasien yang mengalami deplesi volume akibat kehilangan darah atau dehidrasi berat, gangguan koagulasi atau sedang diberi terapi obat yang mengganggu hemostasis, peningkatan borderline satu atau lebih dari tes fungsi hati, gangguan ginjal yang ringan, dan pasien gagal jantung, hipertensi atau kondisi serupa karena pernah dilaporkan retensi cairan dan edema pada penggunaan ketorolac tromethamine</t>
  </si>
  <si>
    <t>terapi simptomatik jangka pendek nyeri akut derajat - berat</t>
  </si>
  <si>
    <t>torasic</t>
  </si>
  <si>
    <t>torasic tablet ketorolac trometamol terapi simptomatik jangka pendek nyeri akut derajat  berat</t>
  </si>
  <si>
    <t>DKL0634605310A1</t>
  </si>
  <si>
    <t>Vastigo 6 mg 10 Tablet</t>
  </si>
  <si>
    <t>Rp16.400 - Rp18.600</t>
  </si>
  <si>
    <t>Obat diberikan sesuai dengan petunjuk dari dokter/apoteker</t>
  </si>
  <si>
    <t>PENGGUNAAN OBAT INI HARUS SESUAI DENGAN PETUNJUK DOKTER. Diminum 1-2 tablet 3 kali sehari (6-12 mg)</t>
  </si>
  <si>
    <t>INFORMASI OBAT INI HANYA UNTUK KALANGAN MEDIS. Mengatasi gejala vertigo dan pusing pada penyakit Meniere dan vertigo perifer</t>
  </si>
  <si>
    <t>Feokromositoma</t>
  </si>
  <si>
    <t>HARUS DENGAN RESEP DOKTER. Pasien dengan luka pada saluran pencernaan, asma bronkial, hamil, dan laktasi</t>
  </si>
  <si>
    <t>mengatasi gejala vertigo pusing penyakit meniere vertigo perifer</t>
  </si>
  <si>
    <t>vastigo</t>
  </si>
  <si>
    <t>vastigo tablet betahistine mesilate mengatasi gejala vertigo pusing penyakit meniere vertigo perifer</t>
  </si>
  <si>
    <t>qlife menstrual care patch tablet tizanidine hydrochloride membantu mengurangi nyeri kram menstruasi</t>
  </si>
  <si>
    <t>blood menstruheat tablet tizanidine hydrochloride pad mengurangi kram perut nyeri haid ditempelkan</t>
  </si>
  <si>
    <t>Charm Cooling Fresh Night Wing 35 cm 8 Pads</t>
  </si>
  <si>
    <t>Rp16.200 - Rp50.300</t>
  </si>
  <si>
    <t>DKL9604004504B1</t>
  </si>
  <si>
    <t>Citoprim 480 mg 10 Kaplet</t>
  </si>
  <si>
    <t>citoprim</t>
  </si>
  <si>
    <t xml:space="preserve">citoprim kaplet sulfamethoxazole isk  infeksi sal cerna infeksi sal nafas bakteri gr </t>
  </si>
  <si>
    <t>GKL0108504917A1</t>
  </si>
  <si>
    <t>Simvastatin 10 mg 10 Tablet</t>
  </si>
  <si>
    <t>Rp2.800 - Rp8.200</t>
  </si>
  <si>
    <t>INFORMASI OBAT INI HANYA UNTUK KALANGAN MEDIS. Menurunkan kadar kolesterol total, LDL, trigliserida, dan meningkatkan kadar HDL dalam darah.</t>
  </si>
  <si>
    <t>Penyakit hati aktif atau peningkatan transaminase serum persisten yang tidak dapat dijelaskan, miopati sekunder akibat agen penurun lipid lainnya. Penggunaan bersamaan dengan inhibitor CYP3A4 kuat (misalnya itrakonazol, ketoconazole, posaconazole, voriconazole, klaritromisin, eritromisin, telithromycin, nefazodone, inhibitor protease HIV, produk yang mengandung cobicistat, asam fusidat), ciclosporin, danazol dan gemfibrozil. Kehamilan dan menyusui.</t>
  </si>
  <si>
    <t>HARUS DENGAN RESEP DOKTER. Kewaspadaan khusus pada pasien: Pasien dengan diabetes mellitus, faktor predisposisi miopati/rhabdomyolisis (misalnya hipotiroidisme yang tidak terkontrol, riwayat gangguan otot pribadi atau keluarga, riwayat toksisitas otot dengan statin atau fibrat, penyalahgunaan alkohol). Gangguan ginjal dan hati. Anak-anak dan orang tua. Pasien dengan polimorfisme gen SLCO1B1. Pemberian bersama niasin (=1 g) pada pasien keturunan Cina. Dosis 80 mg harus dibatasi untuk pasien yang telah menggunakan simvastatin 80 mg selama 12 bulan atau lebih. Hentikan sementara simvastatin sebelum operasi besar elektif. Kategori Kehamilan : Kategori X: Kontraindikasi (tidak boleh digunakan). Terdapat hasil penelitian terhadap hewan uji dan manusia yang memperlihatkan abnormalitas terhadap janin. Obat ini dikontraindikasikan untuk wanita hamil dan yang berkemungkinan untuk hamil.</t>
  </si>
  <si>
    <t>menurunkan kadar kolesterol total , ldl , trigliserida , meningkatkan kadar hdl darah</t>
  </si>
  <si>
    <t>simvastatin tablet menurunkan kadar kolesterol total  ldl  trigliserida  meningkatkan kadar hdl darah</t>
  </si>
  <si>
    <t>DBL7814710810A1</t>
  </si>
  <si>
    <t>Sumagesic 600 mg 4 Tablet</t>
  </si>
  <si>
    <t>Obat diminum sebelum atau setelah makan.</t>
  </si>
  <si>
    <t>Dewasa : 1 tablet, 3-4 kali sehari atau sesuai petunjuk dokter.</t>
  </si>
  <si>
    <t>Obat ini digunakan untuk meringankan rasa sakit pada sakit kepala, sakit gigi dan menurunkan demam.</t>
  </si>
  <si>
    <t>Dus, 25 Catch Cover @ 1 Strip @ 4 tablet</t>
  </si>
  <si>
    <t>Penderita gangguan fungsi hati yang berat, dan penderita yang hipersensitif atau alergi terhadap Paracetamol.</t>
  </si>
  <si>
    <t>Hati-hati penggunaan obat ini pada penderita penyakit ginjal. Bila setelah 2 hari demam tidak menurun atau setelah 5 hari nyeri tidak menghilang segera hubungi Unit Pelayanan Kesehatan. Penggunaan obat ini pada penderita yang mengkonsumsi alkohol, dapat meningkatkan risiko gangguan fungsi hati. Kategori Kehamilan : Kategori B: Mungkin dapat digunakan oleh wanita hamil. Penelitian pada hewan uji tidak memperlihatkan ada nya risiko terhadap janin, namun belum ada bukti penelitian langsung terhadap wanita hamil.</t>
  </si>
  <si>
    <t>sumagesic</t>
  </si>
  <si>
    <t>sumagesic tablet paracetamol obat meringankan sakit sakit kepala  sakit gigi menurunkan demam</t>
  </si>
  <si>
    <t>DBL7622235610A2</t>
  </si>
  <si>
    <t>Sanmol 500 mg 4 Tablet</t>
  </si>
  <si>
    <t>Rp2.300 - Rp2.500</t>
  </si>
  <si>
    <t>Dus, 25 Catch Cover @1 Strip @ 4 Tablet</t>
  </si>
  <si>
    <t>sanmol tablet paracetamol obat meringankan sakit sakit kepala  sakit gigi menurunkan demam</t>
  </si>
  <si>
    <t>hansaplast kain elastis fun lembar tablet sildenafil citrate penutup luka  mencegah infeksi</t>
  </si>
  <si>
    <t>DKL0033501610B1</t>
  </si>
  <si>
    <t>Novales 20 mg 10 Tablet</t>
  </si>
  <si>
    <t>Rp174.000 - Rp227.600</t>
  </si>
  <si>
    <t>PENGGUNAAN OBAT INI HARUS SESUAI DENGAN PETUNJUK DOKTER. 1 x sehari 1 tablet menjelang tidur malam</t>
  </si>
  <si>
    <t>Menurunkan kadar tinggi Kolesterol Total dan LDL pada pasien dengan Hiperkolesterolemia Primer.</t>
  </si>
  <si>
    <t>Hamil, laktasi, anak &lt; 18 tahun. Penyakit hati aktif atau peningkatan persisten yang tidak dapat dijelaskan pada tes fungsi hati.</t>
  </si>
  <si>
    <t>HARUS DENGAN RESEP DOKTER. Riwayat penyakit hati atau alkoholik berat. Lakukan tes fungsi hati secara rutin. Hiperkolesterolemia familial homozigot.</t>
  </si>
  <si>
    <t>menurunkan kadar kolesterol total ldl pasien hiperkolesterolemia primer</t>
  </si>
  <si>
    <t>novales</t>
  </si>
  <si>
    <t>novales tablet pravastatin sodium menurunkan kadar kolesterol total ldl pasien hiperkolesterolemia primer</t>
  </si>
  <si>
    <t>actifed kuning sirup triprolidine hydrochloride pseudoephedrine hydrochloride meredakan pilek alergi pernapasan hidung</t>
  </si>
  <si>
    <t>DKL0033501610A1</t>
  </si>
  <si>
    <t>Novales 10 mg 10 Tablet</t>
  </si>
  <si>
    <t>Rp110.100 - Rp142.300</t>
  </si>
  <si>
    <t>PENGGUNAAN OBAT INI HARUS SESUAI DENGAN PETUNJUK DOKTER. 1 x sehari 1-2 tablet menjelang tidur malam</t>
  </si>
  <si>
    <t>DKL2006421137A1</t>
  </si>
  <si>
    <t>Ersoprinosine Sirup 60 ml</t>
  </si>
  <si>
    <t>Rp84.400 - Rp86.700</t>
  </si>
  <si>
    <t>INFORMASI OBAT INI HANYA UNTUK KALANGAN MEDIS. Imunomodulator pada infeksi virus &amp; untuk kondisi sistem imun/daya tahan tubuh yang kurang baik.</t>
  </si>
  <si>
    <t>ersoprinosine</t>
  </si>
  <si>
    <t>ersoprinosine sirup methisoprinol imunomodulator infeksi virus kondisi sistem imun daya tahan tubuh</t>
  </si>
  <si>
    <t>DKI2018603301A1</t>
  </si>
  <si>
    <t>Fluvir 75 mg 10 Kapsul</t>
  </si>
  <si>
    <t>Diminum sesudah makan.</t>
  </si>
  <si>
    <t>PENGGUNAAN OBAT INI HARUS SESUAI DENGAN PETUNJUK DOKTER. Influenza A dan B Profilaksis: Dewasa, 1 kali per hari selama 10 Hari. Influenza A dan B Treatment: Dewasa, 2 kali per hari selama 5 hari</t>
  </si>
  <si>
    <t>INFORMASI OBAT INI HANYA UNTUK KALANGAN MEDIS. Untuk mengatasi infeksi virus influenza tipe A atau B.</t>
  </si>
  <si>
    <t>Dus, 1 Blister @ 10 Kapsul</t>
  </si>
  <si>
    <t>Hipersensitif terhadap Oseltamivir.</t>
  </si>
  <si>
    <t>*Jumlah Stock untuk Produk ini terbatas. Jika tidak tersedia (not available), dapat diorder kembali tanpa dikombinasikan dengan produk lain. HARUS DENGAN RESEP DOKTER. Hati-hati penggunaan obat ini pada wanita hamil, penderita gangguan fungsi hati, ginjal, jantung dan pernafasan. Kategori C: Mungkin berisiko. Obat digunakan dengan hati-hati apabila besarnya manfaat yang diperoleh melebihi besarnya risiko terhadap janin. Penelitian pada hewan uji menunjukkan risiko terhadap janin dan belum terdapat penelitian langsung terhadap wanita hamil.</t>
  </si>
  <si>
    <t>oseltamivir phosphate</t>
  </si>
  <si>
    <t>untuk mengatasi infeksi virus influenza tipe a b</t>
  </si>
  <si>
    <t>fluvir</t>
  </si>
  <si>
    <t>fluvir kapsul oseltamivir phosphate untuk mengatasi infeksi virus influenza tipe a b</t>
  </si>
  <si>
    <t>DKL9305012309A1</t>
  </si>
  <si>
    <t>Dexaflox Tablet 400 mg</t>
  </si>
  <si>
    <t>Rp23.400 - Rp38.200</t>
  </si>
  <si>
    <t>PENGGUNAAN OBAT INI HARUS SESUAI DENGAN PETUNJUK DOKTER. 2 kali sehari 1 tablet</t>
  </si>
  <si>
    <t>PefloxacinInfeksi berat disebabkan kuman Gr - dan Gr +. Infeksi sal kemih</t>
  </si>
  <si>
    <t>Dus, 5 Strip @ 6 Kaplet salut selaput</t>
  </si>
  <si>
    <t>Hipersensitif terhadap derivat kuinolon, defisiensi G6PD. Hamil dan laktasi, anak &lt; 15 tahun</t>
  </si>
  <si>
    <t>HARUS DENGAN RESEP DOKTER. Hindari kontak langsung dengan matahari/sinar UV. Dosis disesuaikan bagi penderita insufisiensi hati</t>
  </si>
  <si>
    <t>pefloxacin</t>
  </si>
  <si>
    <t>pefloxacininfeksi berat disebabkan kuman gr - gr  infeksi sal kemih</t>
  </si>
  <si>
    <t>dexaflox</t>
  </si>
  <si>
    <t>dexaflox kaplet pefloxacin pefloxacininfeksi berat disebabkan kuman gr  gr  infeksi sal kemih</t>
  </si>
  <si>
    <t>DBL0609204704B1</t>
  </si>
  <si>
    <t>Fasidol Forte 650 mg 10 Kaplet</t>
  </si>
  <si>
    <t>Rp6.000 - Rp7.300</t>
  </si>
  <si>
    <t>fasidol forte</t>
  </si>
  <si>
    <t>fasidol forte kaplet paracetamol meringankan sakit sakit kepala  sakit gigi menurunkan demam</t>
  </si>
  <si>
    <t>DKL2019809701B1</t>
  </si>
  <si>
    <t>Celebrex 200 mg 10 Kapsul</t>
  </si>
  <si>
    <t>Rp195.800 - Rp233.400</t>
  </si>
  <si>
    <t>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</si>
  <si>
    <t>celebrex</t>
  </si>
  <si>
    <t>celebrex kapsul celecoxib meredakan tanda gejala oa  ra ankilosing spondilitis orang dewasa</t>
  </si>
  <si>
    <t>DKL0524221309A1</t>
  </si>
  <si>
    <t>Valvir 500 mg 10 Kaplet</t>
  </si>
  <si>
    <t>PENGGUNAAN OBAT INI HARUS SESUAI DENGAN PETUNJUK DOKTER. Herpes Zoster : 3 x sehari 2 kaplet selama 7 hari. Herpes Simplex - Episode I : 2 x sehari 2 kaplet selama 7-10 hari. Episode berulang/kambuh : 2 x sehari 1 kaplet selama 5 hari. Terapi supresif : 1 x sehari 1 kaplet selama 6 bulan. Varisela - dewasa : 3</t>
  </si>
  <si>
    <t>Herpes Zoster, Herpes Simplex tipe 1 &amp; 2 &amp; Varisela</t>
  </si>
  <si>
    <t>Dus, 5 Strip @ 10 Kaplet Salut</t>
  </si>
  <si>
    <t>HARUS DENGAN RESEP DOKTER. gangguan hati, gangguan ginjal, lansia, sistem imun lemah</t>
  </si>
  <si>
    <t>herpes zoster , herpes simplex tipe 1 2 varisela</t>
  </si>
  <si>
    <t>valvir</t>
  </si>
  <si>
    <t>valvir kaplet valaciclovir hydrochloride herpes zoster  herpes simplex tipe 1 2 varisela</t>
  </si>
  <si>
    <t>DKL1033523610A1</t>
  </si>
  <si>
    <t>Alovell 70 mg 4 Tablet</t>
  </si>
  <si>
    <t>Rp350.300 - Rp542.200</t>
  </si>
  <si>
    <t>Berikan dengan segelas air min 30 menit sebelum konsumsi makanan/minuman dan tetap dalam posisi tersebut (misal duduk tegak/berdiri) selam minimal 30 menit.</t>
  </si>
  <si>
    <t>Diindikasikan untuk osteoporosis (keropos tulang) pada wanita pasca menopause</t>
  </si>
  <si>
    <t>HARUS DENGAN RESEP DOKTER. Abnormalitas esofagus (kerongkongan) dng keterlambatan pengosongan spt striktur atau akalasia, ketidakmampuan berdiri atau duduk tegak selama min 30 mnt, hipokalemia, gangguan ginjal, hamil, laktasi (menyusui), anak</t>
  </si>
  <si>
    <t>diindikasikan osteoporosis keropos tulang wanita pasca menopause</t>
  </si>
  <si>
    <t>alovell</t>
  </si>
  <si>
    <t>alovell tablet alendronate sodium trihydrate diindikasikan osteoporosis keropos tulang wanita pasca menopause</t>
  </si>
  <si>
    <t>paracetamol caffeine dexchlorpheniramine maleate propyphenazone</t>
  </si>
  <si>
    <t>paramex tablet paracetamol caffeine dexchlorpheniramine maleate propyphenazone meringankan sakit kepala sakit gigi</t>
  </si>
  <si>
    <t>DKL1919809701A1</t>
  </si>
  <si>
    <t>Celebrex 100 mg 10 Kapsul</t>
  </si>
  <si>
    <t>Rp143.700 - Rp165.900</t>
  </si>
  <si>
    <t>GKL0512522410B1</t>
  </si>
  <si>
    <t>Simvastatin 20 mg 10 Tablet</t>
  </si>
  <si>
    <t>Rp3.200 - Rp13.900</t>
  </si>
  <si>
    <t>DBL0521631433B1</t>
  </si>
  <si>
    <t>Praxion Forte Suspensi 60 ml</t>
  </si>
  <si>
    <t>Rp32.500 - Rp42.300</t>
  </si>
  <si>
    <t>6-12 tahun: 1-2 sendok takar (5-10 ml), diberikan 3-4 kali per hari. 12 tahun ke atas: 2 sendok takar (10 ml), diberikan 3-4 kali sehari. Atau sesuai petunjuk dokter.</t>
  </si>
  <si>
    <t>praxion forte</t>
  </si>
  <si>
    <t>praxion forte suspensi paracetamol menurunkan demam  meredakan nyeri sakit kepala sakit gigi</t>
  </si>
  <si>
    <t>laurier active day super maxi wing pads tablet sildenafil citrate pembalut menstruasi</t>
  </si>
  <si>
    <t>DTL0226007237A1</t>
  </si>
  <si>
    <t>Flutrop Sirup 60 ml</t>
  </si>
  <si>
    <t>Dewasa &amp; anak &gt; 12 tahun 10 ml. Anak 6-12 tahun 5 ml, 2-5 tahun 2.5 ml.</t>
  </si>
  <si>
    <t>Gejala yang berhubungan dengan flu, sinusitis &amp; kondisi alergi.</t>
  </si>
  <si>
    <t>gejala berhubungan flu , sinusitis kondisi alergi</t>
  </si>
  <si>
    <t>flutrop</t>
  </si>
  <si>
    <t>flutrop sirup pseudoephedrine hydrochloride triprolidine hydrochloride gejala berhubungan flu  sinusitis kondisi alergi</t>
  </si>
  <si>
    <t>cuticell classic x tablet pioglitazone hydrochloride melindungi  menegkan membantu prose penyembuhan luka</t>
  </si>
  <si>
    <t>Rp37.300 - Rp45.700</t>
  </si>
  <si>
    <t>betadine tablet pioglitazone hydrochloride mencegah infeksi kulit luka terapi infeksi kulit mikroba</t>
  </si>
  <si>
    <t>DBL8815801601A1</t>
  </si>
  <si>
    <t>Sangobion 10 Kapsul</t>
  </si>
  <si>
    <t>Rp20.500 - Rp24.100</t>
  </si>
  <si>
    <t>Dikonsumsi pada waktu makan atau sesudah makan</t>
  </si>
  <si>
    <t>1 Kapsul, diminum 1 kali per hari.</t>
  </si>
  <si>
    <t>Anemia karena kekurangan zat besi dan mineral lain yang membantu pembentukan darah.</t>
  </si>
  <si>
    <t>Dus, 25 Strip @ 10 kapsul</t>
  </si>
  <si>
    <t>Hemokromatosis primer, penderita yang mendapat transfusi darah berulang, tukak lambung aktif.</t>
  </si>
  <si>
    <t>Penggunaan zat besi bersama makanan akan mengurangi absorpsi atau penyerapan zat besi tetapi dapat mengurangi terjadinya iritasi lambung.</t>
  </si>
  <si>
    <t>anemia kekurangan zat besi mineral membantu pembentukan darah</t>
  </si>
  <si>
    <t>sangobion</t>
  </si>
  <si>
    <t>sangobion kapsul ascorbic acid anemia kekurangan zat besi mineral membantu pembentukan darah</t>
  </si>
  <si>
    <t>Sangobion 4 Kapsul</t>
  </si>
  <si>
    <t>Rp6.600 - Rp12.700</t>
  </si>
  <si>
    <t>Dus, 10 Strip @ 4 Kapsul</t>
  </si>
  <si>
    <t>GKL1604524617A1</t>
  </si>
  <si>
    <t>Rebamipide 100 mg 10 Tablet</t>
  </si>
  <si>
    <t>Rp27.200 - Rp51.600</t>
  </si>
  <si>
    <t>INFORMASI OBAT INI HANYA UNTUK KALANGAN MEDIS. Ulkus gaster dalam kombinasi dengan penghambat pompa proton, antikolinergik atau antagonis H2</t>
  </si>
  <si>
    <t>DKL9421007304B1</t>
  </si>
  <si>
    <t>Ulmo Kaplet 40 mg</t>
  </si>
  <si>
    <t>Rp7.900 - Rp8.000</t>
  </si>
  <si>
    <t>PENGGUNAAN OBAT INI HARUS SESUAI DENGAN PETUNJUK DOKTER. Ulkus/Tukak Duodenenal/Usus halus aktif-terapi akut : 1 x sehari 1 kaplet selama 4-8 minggu. Pemeliharaan : 0.5 kaplet perhari. Hipersekresi Patologis : diawali 0.5 kaplet tiap 6 jam, do</t>
  </si>
  <si>
    <t>Sakit maag, Ulkus/Tukak Usus halus aktif, Hipersekresi Patologis</t>
  </si>
  <si>
    <t>Kaplet 40 Mg X 3 X 10</t>
  </si>
  <si>
    <t>Antasida sedikit menurunkan bioavailabilitas famotidine. Dapat mengurangi konsentrasi serum ketoconazole dan itraconazole.</t>
  </si>
  <si>
    <t>Obat Wajib Apotek, Obat ini dapat dibeli dan diserahkan apoteker tanpa resep dengan maksimum 10 Tablet. Pembelian melebihi batas ini WAJIB RESEP DOKTER. Gangguan ginjal</t>
  </si>
  <si>
    <t>sakit maag , ulkus tukak usus halus aktif , hipersekresi patologis</t>
  </si>
  <si>
    <t>ulmo kaplet famotidine sakit maag  ulkus tukak usus halus aktif  hipersekresi patologis</t>
  </si>
  <si>
    <t>Hyperoil 30 ml Gel Tube</t>
  </si>
  <si>
    <t>Rp354.900 - Rp380.200</t>
  </si>
  <si>
    <t>Obat luka yang berfungsi untuk mempercepat penyembuhan luka pada berbagai macam lesi kulit</t>
  </si>
  <si>
    <t>Tube @ 30 ml</t>
  </si>
  <si>
    <t>Jauhkan produk ini dari sumber api dan jangkauan anak-anak. Hanya untuk pemakaian luar</t>
  </si>
  <si>
    <t>obat luka berfungsi mempercepat penyembuhan luka lesi kulit</t>
  </si>
  <si>
    <t>hyperoil tube</t>
  </si>
  <si>
    <t>hyperoil tube larutan povidoneiodine obat luka berfungsi mempercepat penyembuhan luka lesi kulit</t>
  </si>
  <si>
    <t>TI164350401</t>
  </si>
  <si>
    <t>Wei Tai 999 Capsule 12 Kapsul</t>
  </si>
  <si>
    <t>WEI TAI 999 CAPSULE</t>
  </si>
  <si>
    <t>Rp33.600 - Rp55.800</t>
  </si>
  <si>
    <t>Diminum sehari 2 kali 2-4 kapsul.</t>
  </si>
  <si>
    <t>Dus @ 12 Kapsul</t>
  </si>
  <si>
    <t>Selama pengobatan, hindari makan berlebihan, merokok berlebihan, makanan yang pedas, gorengan, asam, dan kandungan gula yang tinggi.</t>
  </si>
  <si>
    <t>wei tai 999 capsule</t>
  </si>
  <si>
    <t>wei tai capsule</t>
  </si>
  <si>
    <t>wei tai capsule kapsul wei tai 999 capsule membantu memelihara kesehatan pencernaan</t>
  </si>
  <si>
    <t>DKL7211638828A1</t>
  </si>
  <si>
    <t>Bioplacenton Gel 15 g</t>
  </si>
  <si>
    <t>Rp30.900 - Rp40.000</t>
  </si>
  <si>
    <t>Dioleskan pada kulit yang sakit/ lepuh/ terbakar setelah kulit dibersihkan dan dikeringkan.</t>
  </si>
  <si>
    <t>PENGGUNAAN OBAT INI HARUS SESUAI DENGAN PETUNJUK DOKTER. Oleskan 4-6 x sehari atau sesuai kebutuhan pada area luka.</t>
  </si>
  <si>
    <t>INFORMASI OBAT INI HANYA UNTUK KALANGAN MEDIS. Luka bakar, luka dengan infeksi, serta luka kronik dan jenis luka yang lain.</t>
  </si>
  <si>
    <t>Hipersensitif terhadap ekstrak plasenta atau neomycin.</t>
  </si>
  <si>
    <t>Obat Wajib Apotek, Obat ini dapat dibeli dan diserahkan apoteker tanpa resep dengan maksimum 1 Tube. Pembelian melebihi batas ini WAJIB RESEP DOKTER. Hentikan penggunaan jika terjadi sensitisasi. Penggunaan neomycin sulfate untuk periode yang lama dapat menyebabkan infeksi sekunder (misalnya infeksi jamur). Jangan gunakan BIOPLACENTON pada mata atau kulit di sekitar mata. Obat ini digunakan selama kehamilan atau menyusui hanya jika benar-benar dibutuhkan.</t>
  </si>
  <si>
    <t>luka bakar , luka infeksi , luka kronik jenis luka</t>
  </si>
  <si>
    <t>bioplacenton</t>
  </si>
  <si>
    <t>bioplacenton gel neomycin sulfate luka bakar  luka infeksi  luka kronik jenis luka</t>
  </si>
  <si>
    <t>TR142378501</t>
  </si>
  <si>
    <t>Herbana Relief Sari Meniran 30 Kapsul</t>
  </si>
  <si>
    <t>HERBANA MENIRAN</t>
  </si>
  <si>
    <t>1 kapsul per hari</t>
  </si>
  <si>
    <t>Membantu Memelihara Daya Tahan Tubuh</t>
  </si>
  <si>
    <t>herbana meniran</t>
  </si>
  <si>
    <t>herbana relief sari meniran</t>
  </si>
  <si>
    <t>herbana relief sari meniran kapsul herbana meniran membantu memelihara daya tahan tubuh</t>
  </si>
  <si>
    <t>TR192530821</t>
  </si>
  <si>
    <t>Nephrolit 4 Kapsul</t>
  </si>
  <si>
    <t>NEPHROLIT</t>
  </si>
  <si>
    <t>4 x sehari 1 tablet</t>
  </si>
  <si>
    <t>Membantu meluruhkan batu urin di saluran kemih serta membantu melancarkan buang air kecil</t>
  </si>
  <si>
    <t>Dus, 25 Catch cover @ 4 Kapsul</t>
  </si>
  <si>
    <t>Bila tidak ada perbaikan gejala segara hubungi dokter. Penggunaan disertai minum air putih minimal 2 liter/ hari. Hindari penggunaan secara terus menerus.</t>
  </si>
  <si>
    <t>nephrolit</t>
  </si>
  <si>
    <t>membantu meluruhkan batu urin saluran kemih membantu melancarkan buang air</t>
  </si>
  <si>
    <t>nephrolit kapsul membantu meluruhkan batu urin saluran kemih membantu melancarkan buang air</t>
  </si>
  <si>
    <t>TR212313311</t>
  </si>
  <si>
    <t>Sido Muncul Natural Sambiloto 50 Kapsul</t>
  </si>
  <si>
    <t>SAMBILOTO</t>
  </si>
  <si>
    <t>Rp97.000 - Rp114.500</t>
  </si>
  <si>
    <t>1 x 1 kapsul sehari.</t>
  </si>
  <si>
    <t>Membantu memelihara kesehatan dan daya tahan tubuh.</t>
  </si>
  <si>
    <t>Botol kaca @ 50 kapsul</t>
  </si>
  <si>
    <t>sambiloto</t>
  </si>
  <si>
    <t>membantu memelihara kesehatan daya tahan tubuh</t>
  </si>
  <si>
    <t>sido muncul natural sambiloto</t>
  </si>
  <si>
    <t>sido muncul natural sambiloto kapsul sambiloto membantu memelihara kesehatan daya tahan tubuh</t>
  </si>
  <si>
    <t>Inpepsa Suspensi 200 ml</t>
  </si>
  <si>
    <t>Rp129.200 - Rp156.400</t>
  </si>
  <si>
    <t>PENGGUNAAN OBAT INI HARUS SESUAI DENGAN PETUNJUK DOKTER. Dewasa : 4 x sehari 2 sendok teh/sendok takar 5 cc</t>
  </si>
  <si>
    <t>INFORMASI OBAT INI HANYA UNTUK KALANGAN MEDIS. Sakit maag, Tukak Usus halus, Tukak Lambung, Gastritis kronis</t>
  </si>
  <si>
    <t>HARUS DENGAN RESEP DOKTER. Pasien dialisis, hamil, laktasi, anak, gagal ginjal kronik Sedian suspensi sebaiknya hanya digunakan sampai 1minggu setelah dibuka tutup segel.</t>
  </si>
  <si>
    <t>sakit maag , tukak usus halus , tukak lambung , gastritis kronis</t>
  </si>
  <si>
    <t>inpepsa suspensi sucralfate sakit maag  tukak usus halus  tukak lambung  gastritis kronis</t>
  </si>
  <si>
    <t>DKL8704404610A1</t>
  </si>
  <si>
    <t>Profilas 1 mg 10 Tablet</t>
  </si>
  <si>
    <t>Rp36.000 - Rp63.000</t>
  </si>
  <si>
    <t>PENGGUNAAN OBAT INI HARUS SESUAI DENGAN PETUNJUK DOKTER. Dewasa : 1-2 tab 2kali/hari. Anak 0,125 ml/kgBB 2 kali/hari.</t>
  </si>
  <si>
    <t>Profilaksis jangka panjang pada Asma Bronkhial, terapi Rinitis Alergi dan Konjungtivitis</t>
  </si>
  <si>
    <t>Tablet 1 Mg X 50</t>
  </si>
  <si>
    <t>Obat Wajib Apotek, Obat ini dapat dibeli dan diserahkan apoteker tanpa resep dengan maksimum 1 Strip. Pembelian melebihi batas ini WAJIB RESEP DOKTER. Hamil &amp; menyusui. Jangan mengemudi &amp; menjalankan mesin. Glaukoma sudut sempit, epilepsi, terapi MAOI</t>
  </si>
  <si>
    <t>profilaksis jangka asma bronkhial , terapi rinitis alergi konjungtivitis</t>
  </si>
  <si>
    <t>profilas</t>
  </si>
  <si>
    <t>profilas tablet ketotifen fumarate profilaksis jangka asma bronkhial  terapi rinitis alergi konjungtivitis</t>
  </si>
  <si>
    <t>Jamsi Jamu Obat Diabetes 500 ml</t>
  </si>
  <si>
    <t>Rp467.300 - Rp520.800</t>
  </si>
  <si>
    <t>Digunakan untuk membantu meringankan gejala kencing manis</t>
  </si>
  <si>
    <t>Dus, botol @ 500 ml</t>
  </si>
  <si>
    <t>digunakan membantu meringankan gejala kencing manis</t>
  </si>
  <si>
    <t>jamsi jamu obat diabetes jamu jamsi digunakan membantu meringankan gejala kencing manis</t>
  </si>
  <si>
    <t>TR212677801</t>
  </si>
  <si>
    <t>Tasngin Sirup 15 ml 10 Sachet</t>
  </si>
  <si>
    <t>TASNGIN</t>
  </si>
  <si>
    <t>Rp4.500 - Rp34.100</t>
  </si>
  <si>
    <t>Membantu meredakan gejala masuk angin seperti demam, pusing, meriang, perut kembung.</t>
  </si>
  <si>
    <t>Box @ 10 Sachet @ 15 ml</t>
  </si>
  <si>
    <t>tasngin</t>
  </si>
  <si>
    <t>membantu meredakan gejala masuk angin demam , pusing , meriang , perut kembung</t>
  </si>
  <si>
    <t>tasngin sirup membantu meredakan gejala masuk angin demam  pusing  meriang  perut kembung</t>
  </si>
  <si>
    <t>TR212643961</t>
  </si>
  <si>
    <t>Tasngin Sirup 60 ml</t>
  </si>
  <si>
    <t>Rp13.500 - Rp13.800</t>
  </si>
  <si>
    <t>charm body fit extra maxi wing pads tablet sildenafil citrate digunakan menstruasi</t>
  </si>
  <si>
    <t>TR172508531</t>
  </si>
  <si>
    <t>Imboost Force Cough 10 Tablet</t>
  </si>
  <si>
    <t>IMBOOST FORCE COUGH</t>
  </si>
  <si>
    <t>Rp75.800 - Rp96.300</t>
  </si>
  <si>
    <t>Dewasa : 3 kali sehari 1 kaplet</t>
  </si>
  <si>
    <t>Membantu memelihara daya tahan tubuh dan membantu meredakan batuk.</t>
  </si>
  <si>
    <t>Tidak boleh digunakan oleh penderita sklerosis multipel, penyakit kolagen, leukosis, tuberkulosis, AIDS dan penyakit autoimun.</t>
  </si>
  <si>
    <t>Hentikan pemakaian jika terjadi reaksi alergi. Tidak dianjurkan digunakan lebih dari 8 minggu. Hindari penggunaan pada wanita hamil dan menyusui. Konsultasikan dengan dokter jika digunakan bersama obat lain.</t>
  </si>
  <si>
    <t>imboost force cough</t>
  </si>
  <si>
    <t>membantu memelihara daya tahan tubuh membantu meredakan batuk</t>
  </si>
  <si>
    <t>imboost force cough tablet membantu memelihara daya tahan tubuh membantu meredakan batuk</t>
  </si>
  <si>
    <t>DKL7603814531A1</t>
  </si>
  <si>
    <t>Cendo Polygran Eye Ointment 3.5 g</t>
  </si>
  <si>
    <t>Rp23.900 - Rp34.000</t>
  </si>
  <si>
    <t>Oleskan pada mata yang terinfeksi</t>
  </si>
  <si>
    <t>INFORMASI OBAT INI HANYA UNTUK KALANGAN MEDIS. Mengatasi penyakit mata yang disebabkan oleh infeksi bakteri.</t>
  </si>
  <si>
    <t>gramicidin</t>
  </si>
  <si>
    <t>mengatasi penyakit mata disebabkan infeksi bakteri</t>
  </si>
  <si>
    <t>cendo polygran eye ointment</t>
  </si>
  <si>
    <t>cendo polygran eye ointment salep gramicidin mengatasi penyakit mata disebabkan infeksi bakteri</t>
  </si>
  <si>
    <t>DKI1086001746A1</t>
  </si>
  <si>
    <t>Duotrav Eye Drops 2.5 ml</t>
  </si>
  <si>
    <t>Rp482.800 - Rp527.800</t>
  </si>
  <si>
    <t>PENGGUNAAN OBAT INI HARUS SESUAI DENGAN PETUNJUK DOKTER. Sesuai dengan anjuran dokter</t>
  </si>
  <si>
    <t>Untuk perawatan peningkatan tekanan dalam bola mata dan kondisi lainnya</t>
  </si>
  <si>
    <t>Dus, Botol @ 2.5 ml</t>
  </si>
  <si>
    <t>HARUS DENGAN RESEP DOKTER. Baca petunjuk penggunaan yang benar</t>
  </si>
  <si>
    <t>travoprost timolol</t>
  </si>
  <si>
    <t>untuk perawatan peningkatan tekanan bola mata kondisi</t>
  </si>
  <si>
    <t>duotrav eye</t>
  </si>
  <si>
    <t>duotrav eye tetes travoprost timolol untuk perawatan peningkatan teka bola mata kondisi</t>
  </si>
  <si>
    <t>charm safe night pads tablet sildenafil citrate pembalut unutk mnyerap cairan menstruasi</t>
  </si>
  <si>
    <t>TR152589531</t>
  </si>
  <si>
    <t>Echinacea Mpl 500 mg 6 Kaplet</t>
  </si>
  <si>
    <t>ECHINACEA MPL 500 MG</t>
  </si>
  <si>
    <t>Rp10.700 - Rp33.100</t>
  </si>
  <si>
    <t>echinacea mpl 500 mg</t>
  </si>
  <si>
    <t>echinacea mpl</t>
  </si>
  <si>
    <t>echinacea mpl kaplet echinacea mpl 500 mg membantu memelihara daya tahan tubuh</t>
  </si>
  <si>
    <t>charm safe night pads tablet sildenafil citrate pembalut menyerap cairan gumpalan maksimal</t>
  </si>
  <si>
    <t>charm body fit extra maxi wing pads tablet sildenafil citrate pembalut menstruasi</t>
  </si>
  <si>
    <t>Accu Chek Performa GC 100 Strip</t>
  </si>
  <si>
    <t>Dus @ 100 Strip</t>
  </si>
  <si>
    <t>accu chek performa gc strip</t>
  </si>
  <si>
    <t>accu chek performa gc strip tablet pioglitazone hydrochloride alat mengecek gula darah</t>
  </si>
  <si>
    <t>betadine cold defence nasal tablet guaifenesin membantu mengurangi durasi gejala pilek flu</t>
  </si>
  <si>
    <t>DKL9409308729A1</t>
  </si>
  <si>
    <t>Cloderm 0.05% Cream 10 g</t>
  </si>
  <si>
    <t>Rp54.600 - Rp55.600</t>
  </si>
  <si>
    <t>Oleskan tipis-tipis pada bagian yang sakit</t>
  </si>
  <si>
    <t>PENGGUNAAN OBAT INI HARUS SESUAI DENGAN PETUNJUK DOKTER. 2-3 x sehari hingga terjadi perbaikan</t>
  </si>
  <si>
    <t>Meredakan inflamasi dan gejala Pruritus dari Dermatosis yang responsif terhadap Kortikosteroid</t>
  </si>
  <si>
    <t>HARUS DENGAN RESEP DOKTER. Penggunaan dalam jangka waktu lama. Hamil &amp; laktasi. Pasien anak dan bayi.</t>
  </si>
  <si>
    <t>alclometasone dipropionate</t>
  </si>
  <si>
    <t>cloderm cream</t>
  </si>
  <si>
    <t>cloderm cream krim alclometasone dipropionate meredakan inflamasi gejala pruritus dermatosis responsif kortikosteroid</t>
  </si>
  <si>
    <t>Ulsafate Suspensi 200 ml</t>
  </si>
  <si>
    <t>Rp65.600 - Rp123.700</t>
  </si>
  <si>
    <t>PENGGUNAAN OBAT INI HARUS SESUAI DENGAN PETUNJUK DOKTER. Dewasa : 4 x sehari 2 sendok teh 1 jam sebelum makan &amp; pada malam hari sebelum tidur.</t>
  </si>
  <si>
    <t>Gastritis (radang lambung), ulkus lambung &amp; duodenum (usus 12 jari).</t>
  </si>
  <si>
    <t>HARUS DENGAN RESEP DOKTER. Hentikan pemakaian obat ini jika terjadi reaksi alergi, seperti ruam, gatal, sakit tenggorokan, demam, arthralgia, pucat, atau tanda-tanda lainnya, karena bisa berakibat yang lebih fatal. Obat ini bisa menyebabkan pusing. Jangan mengemudi atau menyalakan mesin selama menggunakan obat ini. Dilaporkan adanya pembentukan bezoar, oleh sebab itu penggunaan ulsafate (sucralfate) harus dilakukan secara hati-hati pada pasien dengan penyakit yang serius, terutama jika secara bersamaan juga mendapat nutrisi enteral atau pasien mengalami gangguan pengosongan lambung. Pemberian ulsafate (sucralfate) dan nutrisi enteral harus berjarak 1 jam, karena ulsafate (sucralfate) bisa mempengaruhi penyerapan beberapa obat, obat ini harus diberikan secara terpisah dari obat lain ketika perubahan dalam bioavailabilitas dirasakan penting. Kategori Kehamilan : B</t>
  </si>
  <si>
    <t>gastritis radang lambung , ulkus lambung duodenum usus 12 jari</t>
  </si>
  <si>
    <t>ulsafate suspensi sucralfate gastritis radang lambung  ulkus lambung duodenum usus 12 jari</t>
  </si>
  <si>
    <t>TR193335201</t>
  </si>
  <si>
    <t>Maagfit 30 Kapsul</t>
  </si>
  <si>
    <t>MAAGFIT.</t>
  </si>
  <si>
    <t>Rp51.000 - Rp56.300</t>
  </si>
  <si>
    <t>Dikonsumsi sebelum makan</t>
  </si>
  <si>
    <t>Sehari 3 kali 2 kapsul</t>
  </si>
  <si>
    <t>Secara tradisional digunakan untuk membantu meringankan gangguan lambung, seperti perut kembung, mual dan muntah</t>
  </si>
  <si>
    <t>Simpan di tempat yang kering dan terhindar dari sinar matahari langsung. Simpan di bawah suhu 30ï¿½C. Jauhkan dari jangkauan anak-anak.</t>
  </si>
  <si>
    <t>maagfit</t>
  </si>
  <si>
    <t>secara tradisional membantu meringankan gangguan lambung , perut kembung , mual muntah</t>
  </si>
  <si>
    <t>maagfit kapsul secara tradisional membantu meringankan gangguan lambung  perut kembung  mual muntah</t>
  </si>
  <si>
    <t>dextromethorphan hydrobromide chlorphenamine maleate pseudoephedrine hydrochloride</t>
  </si>
  <si>
    <t>hustadin sirup dextromethorphan hydrobromide chlorphenamine maleate pseudoephedrine hydrochloride mengatasi gejala batuk flu</t>
  </si>
  <si>
    <t>TR193627671</t>
  </si>
  <si>
    <t>Gizidat 130 ml</t>
  </si>
  <si>
    <t>GIZIDAT</t>
  </si>
  <si>
    <t>diminum 1 jam sebelum makan, dan atau sbelum tidur</t>
  </si>
  <si>
    <t>1 tahun: 2 x 2 sendok teh 2-3 tahun: 3 x 2 sendok teh 4-7 tahun: 2 x 2 sendok makan 8 tahun - usia dewasa: 3 x 2 sendok makan</t>
  </si>
  <si>
    <t>Membantu meningkatkan nafsu makan, meningkatkan daya tahan tubuh, memaksimalkan tumbuh kembang</t>
  </si>
  <si>
    <t>gizidat</t>
  </si>
  <si>
    <t>membantu meningkatkan nafsu makan , meningkatkan daya tahan tubuh , memaksimalkan tumbuh kembang</t>
  </si>
  <si>
    <t>gizidat  membantu meningkatkan nafsu makan  meningkatkan daya tahan tubuh  memaksimalkan tumbuh kembang</t>
  </si>
  <si>
    <t>TR102217271</t>
  </si>
  <si>
    <t>Anak Sehat Strawberry 7 g 10+1 Sachet</t>
  </si>
  <si>
    <t>ANAK SEHAT RASA STRAWBERRY</t>
  </si>
  <si>
    <t>Rp9.200 - Rp10.300</t>
  </si>
  <si>
    <t>Sesudah makan atau sesuai petunjuk dokter</t>
  </si>
  <si>
    <t>Anak umur 3 - 6 tahun : 1/2 bungkus. Anak umur 7 - 12 tahun : 1 bungkus</t>
  </si>
  <si>
    <t>Membantu memperbaiki nafsu makan.</t>
  </si>
  <si>
    <t>Box @ 10+1 Sachet</t>
  </si>
  <si>
    <t>anak sehat rasa strawberry</t>
  </si>
  <si>
    <t>anak sehat strawberry</t>
  </si>
  <si>
    <t>anak sehat strawberry sachet anak sehat rasa strawberry membantu memperbaiki nafsu makan</t>
  </si>
  <si>
    <t>DKL9431104017A1</t>
  </si>
  <si>
    <t>Graseric 150 mg 10 Tablet</t>
  </si>
  <si>
    <t>Rp5.200 - Rp8.700</t>
  </si>
  <si>
    <t>Terapi jangka pendek tukak duodenum, kondisi hipersekresiu patologik</t>
  </si>
  <si>
    <t>Tablet 150 Mg X 10 X 10</t>
  </si>
  <si>
    <t>Obat Wajib Apotek, Obat ini dapat dibeli dan diserahkan apoteker tanpa resep dengan maksimum 1 Strip. Pembelian melebihi batas ini WAJIB RESEP DOKTER. Gangguan fungsi ginjal. Penggunaan jangka waktu lama. Hamil dan laktasi</t>
  </si>
  <si>
    <t>terapi jangka pendek tukak duodenum , kondisi hipersekresiu patologik</t>
  </si>
  <si>
    <t>graseric</t>
  </si>
  <si>
    <t>graseric tablet ranitidine hydrochloride terapi jangka pendek tukak duodenum  kondisi hipersekresiu patologik</t>
  </si>
  <si>
    <t>DBL8816103833A1</t>
  </si>
  <si>
    <t>Gestamag Sirup 170 ml</t>
  </si>
  <si>
    <t>Rp32.900 - Rp33.000</t>
  </si>
  <si>
    <t>3-4 x sehari 1-2 sendok teh/sendok takar 5cc</t>
  </si>
  <si>
    <t>Sakit maag, Tukak Lambung, Hiperasiditas lambung, Perut kembung</t>
  </si>
  <si>
    <t>Dus, Botol @ 170 ml</t>
  </si>
  <si>
    <t>Pemberian jangka panjang, Gangguan ginjal</t>
  </si>
  <si>
    <t>sakit maag , tukak lambung , hiperasiditas lambung , perut kembung</t>
  </si>
  <si>
    <t>gestamag</t>
  </si>
  <si>
    <t>gestamag suspensi aluminium hydroxide sakit maag  tukak lambung  hiperasiditas lambung  perut kembung</t>
  </si>
  <si>
    <t>Gestamag Sirup 100 ml</t>
  </si>
  <si>
    <t>Rp27.500 - Rp37.200</t>
  </si>
  <si>
    <t>TR102217291</t>
  </si>
  <si>
    <t>Anak Sehat Jeruk 7 g 10+1 Sachet</t>
  </si>
  <si>
    <t>ANAK SEHAT RASA JERUK</t>
  </si>
  <si>
    <t>Rp9.200 - Rp9.800</t>
  </si>
  <si>
    <t>anak sehat rasa jeruk</t>
  </si>
  <si>
    <t>anak sehat jeruk</t>
  </si>
  <si>
    <t>anak sehat jeruk sachet anak sehat rasa jeruk membantu memperbaiki nafsu makan</t>
  </si>
  <si>
    <t>TR012212001</t>
  </si>
  <si>
    <t>Anak Sehat Anggur 7 g 10+1 Sachet</t>
  </si>
  <si>
    <t>ANAK SEHAT RASA ANGGUR</t>
  </si>
  <si>
    <t>anak sehat rasa anggur</t>
  </si>
  <si>
    <t>anak sehat anggur</t>
  </si>
  <si>
    <t>anak sehat anggur sachet anak sehat rasa anggur membantu memperbaiki nafsu makan</t>
  </si>
  <si>
    <t>DKL9406603930A1</t>
  </si>
  <si>
    <t>Elocon Oint 10 g</t>
  </si>
  <si>
    <t>Rp145.800 - Rp169.100</t>
  </si>
  <si>
    <t>Dioleskan pada area kulit yang radang/gatal</t>
  </si>
  <si>
    <t>INFORMASI OBAT INI HANYA UNTUK KALANGAN MEDIS. Meredakan inflamasi dan gejala Pruritus pada Dermatosis yang responsif terhadap Kortikosteroid</t>
  </si>
  <si>
    <t>HARUS DENGAN RESEP DOKTER. Hentikan terapi bila terjadi iritasi atau sensitisasi. Absorpsi sistemik dapat meningkatkan bila permukaan kulit yang diobati luas. Penggunaan yang lama pada bayi dan anak. Hindari kontak dengan mata. Hamil, laktasi</t>
  </si>
  <si>
    <t>elocon oint</t>
  </si>
  <si>
    <t>elocon oint salep mometasone furoate meredakan inflamasi gejala pruritus dermatosis responsif kortikosteroid</t>
  </si>
  <si>
    <t>Fertitest Strip Uji Masa Subur</t>
  </si>
  <si>
    <t>Rp13.500 - Rp34.500</t>
  </si>
  <si>
    <t>Masukkan ujung penyerap alat tes pada penampungan urine untuk midstream selama 5 detik, jangan melebihi tanda anak panah yang tertera pada alat tes. Hasil dapat dibaca dalam waktu 3 menit, jangan melihat hasil lebih dari 10 menit</t>
  </si>
  <si>
    <t>Untuk menguji masa subur wanita</t>
  </si>
  <si>
    <t>Pack Isi 1 Pcs</t>
  </si>
  <si>
    <t>Jika garis warna tidak muncul berarti tes tidak dilakukan sebagaimana mestinya. Ulangi dengan alat tes yang baru</t>
  </si>
  <si>
    <t>untuk menguji subur wanita</t>
  </si>
  <si>
    <t>fertitest strip uji masa subur</t>
  </si>
  <si>
    <t>fertitest strip uji masa subur tablet sildenafil citrate untuk menguji subur wanita</t>
  </si>
  <si>
    <t>GKL0807118329A1</t>
  </si>
  <si>
    <t>Mometasone Cream 5 g</t>
  </si>
  <si>
    <t>Rp16.300 - Rp19.500</t>
  </si>
  <si>
    <t>Dioleskan tipis pada kulit yang bermasalah.</t>
  </si>
  <si>
    <t>INFORMASI OBAT INI HANYA UNTUK KALANGAN MEDIS. Meredakan manifestasi inflamasi dan pruritus dari dermatosis yang responsif terhadap kortikosteroid</t>
  </si>
  <si>
    <t>Hipersensitif, TB Kulit, herpes simplex, varicella</t>
  </si>
  <si>
    <t>HARUS DENGAN RESEP DOKTER. Penggunaan berkepanjangan pada bayi dan anak, hamil dan menyusui. Kategori Kehamilan: C</t>
  </si>
  <si>
    <t>meredakan manifestasi inflamasi pruritus dermatosis responsif kortikosteroid</t>
  </si>
  <si>
    <t>mometasone cream</t>
  </si>
  <si>
    <t>mometasone cream krim mometasone furoate meredakan manifestasi inflamasi pruritus dermatosis responsif kortikosteroid</t>
  </si>
  <si>
    <t>DKL9521618717A1</t>
  </si>
  <si>
    <t>Narfoz 4 mg 6 Tablet</t>
  </si>
  <si>
    <t>Rp77.000 - Rp117.400</t>
  </si>
  <si>
    <t>INFORMASI OBAT INI HANYA UNTUK KALANGAN MEDIS. Penatalaksanaan mual dan muntah karena kemoterapi dan radioterapi, mual dan muntah paska operasi.</t>
  </si>
  <si>
    <t>Dus, 2 Strip @ 6 Tablet Salut Selaput</t>
  </si>
  <si>
    <t>narfoz</t>
  </si>
  <si>
    <t>narfoz tablet ondansetron penatalaksanaan mual muntah kemoterapi radioterapi  mual muntah paska operasi</t>
  </si>
  <si>
    <t>softex daun sirih slim pads tablet sildenafil citrate pembalut menyerap cairan menstruasi</t>
  </si>
  <si>
    <t>Arm Sling Ukuran M</t>
  </si>
  <si>
    <t>Rp13.400 - Rp87.500</t>
  </si>
  <si>
    <t>Menyangga lengan dan tangan dengan keluhanpatah tulang atau terkilir</t>
  </si>
  <si>
    <t>menyangga lengan tangan keluhanpatah tulang terkilir</t>
  </si>
  <si>
    <t>arm sling ukuran m</t>
  </si>
  <si>
    <t>arm sling ukuran m larutan povidoneiodine menyangga lengan tangan keluhanpatah tulang terkilir</t>
  </si>
  <si>
    <t>Autocheck Glucose 25 Strip</t>
  </si>
  <si>
    <t>Rp26.400 - Rp134.300</t>
  </si>
  <si>
    <t>Bersihkan jari terlebih dahulu dengan alkohol, kemudian gunakan lancet untuk menusuk jari agar darah dapat keluar. Teteskan darah pada strip. Setelah itu masukkan kedalam alat pengukur.</t>
  </si>
  <si>
    <t>Hanya untuk satu kali pemakaian</t>
  </si>
  <si>
    <t>Untuk monitor kadar glukosa darah dalam tubuh</t>
  </si>
  <si>
    <t>Dus, Botol @ 25 Strip</t>
  </si>
  <si>
    <t>Simpan kemasan botol dalam kondisi tertutup. Jangan gunakan jika sudah melewati tanggal kadaluarsa. Jangan ditaruh di kulkas. Gunakan dalam waktu 3 bulan setelah botol test strip dibuka.</t>
  </si>
  <si>
    <t>untuk monitor kadar glukosa darah tubuh</t>
  </si>
  <si>
    <t>autocheck glucose strip</t>
  </si>
  <si>
    <t>autocheck glucose strip tablet pioglitazone hydrochloride untuk monitor kadar glukosa darah tubuh</t>
  </si>
  <si>
    <t>DTL1109221510A1</t>
  </si>
  <si>
    <t>Bromifar Plus 10 Kaplet</t>
  </si>
  <si>
    <t>Dewasa &amp; anak usia &gt;10 thn : 3 kali sehari 1 tablet, anak 5-10 thn : 3 kali sehari 1/2 tablet, 2-5 thn : 3 kali sehari 1/4 tablet</t>
  </si>
  <si>
    <t>Meredakan batuk produktif &amp; memudahkan pengeluaran dahak.</t>
  </si>
  <si>
    <t>dus isi 100</t>
  </si>
  <si>
    <t>meredakan batuk produktif memudahkan pengeluaran dahak</t>
  </si>
  <si>
    <t>bromifar plus tablet guaifenesin bromhexine hydrochloride meredakan batuk produktif memudahkan pengeluaran dahak</t>
  </si>
  <si>
    <t>DKL9004406829A1</t>
  </si>
  <si>
    <t>Oviskin 0.05% Cream 10 g</t>
  </si>
  <si>
    <t>Rp11.200 - Rp13.600</t>
  </si>
  <si>
    <t>PENGGUNAAN OBAT INI HARUS SESUAI DENGAN PETUNJUK DOKTER. Oleskan krim 1-2 x sehari selama beberapa hari, maximal 4 minggu</t>
  </si>
  <si>
    <t>Psoriasis, Dermatitis, Ekzema, Lichen Planus, Pruritis Anogenital</t>
  </si>
  <si>
    <t>Hindari kontak dengan mata</t>
  </si>
  <si>
    <t>Obat Wajib Apotek, Obat ini dapat dibeli dan diserahkan apoteker tanpa resep dengan maksimum 1 Tube. Pembelian melebihi batas ini WAJIB RESEP DOKTER. Penggunaan jangka lama, lesi yang luas. Bayi</t>
  </si>
  <si>
    <t>psoriasis , dermatitis , ekzema , lichen planus , pruritis anogenital</t>
  </si>
  <si>
    <t>oviskin cream</t>
  </si>
  <si>
    <t>oviskin cream krim betamethasone dipropionate psoriasis  dermatitis  ekzema  lichen planus  pruritis anogenital</t>
  </si>
  <si>
    <t>GTL1506416910A1</t>
  </si>
  <si>
    <t>Bromhexine HCl 8 mg 10 Tablet</t>
  </si>
  <si>
    <t>PENGGUNAAN OBAT INI HARUS SESUAI DENGAN PETUNJUK DOKTER. --</t>
  </si>
  <si>
    <t>digunakan dalam pengobatan gangguan pada saluran pernafasan yang disebabkan oleh dahak/mukus yang berlebihan</t>
  </si>
  <si>
    <t>Box, 10 Strip 10 Tablet</t>
  </si>
  <si>
    <t>hipersensitif, ulkus pada lambung penggunaan obat ini harus dilakukan secara hati-hati.</t>
  </si>
  <si>
    <t>HARUS DENGAN RESEP DOKTER. untuk ibu menyusui, dapat melewati sawar lambung</t>
  </si>
  <si>
    <t>pengobatan gangguan saluran pernafasan disebabkan dahak mukus</t>
  </si>
  <si>
    <t>bromhexine hcl</t>
  </si>
  <si>
    <t>bromhexine hcl tablet bromhexine hydrochloride pengobatan gangguan saluran pernafasan disebabkan dahak mukus</t>
  </si>
  <si>
    <t>DKL8514802010A2</t>
  </si>
  <si>
    <t>Terasma 2.5 mg 10 Tablet</t>
  </si>
  <si>
    <t>Rp5.700 - Rp11.000</t>
  </si>
  <si>
    <t>Diminum sebelum maupun sesudah makan.</t>
  </si>
  <si>
    <t>PENGGUNAAN OBAT INI HARUS SESUAI DENGAN PETUNJUK DOKTER. Dewasa : 3 kali sehari 1-2 tablet Anak berusia 12-15 tahun : 3 kali sehari 1/2 -1 tablet</t>
  </si>
  <si>
    <t>Asma bronkhial. Bronkhospasme yang bersifa reversible yang dapat terjadi dalam kaitan dengan bronkhitis &amp; enfisema</t>
  </si>
  <si>
    <t>Tablet 2.5 Mg X 10 X 10</t>
  </si>
  <si>
    <t>Pasien yang mendapat penghambat mono amin oksidase (MAOI) atau dalam waktu 14 hari penghentiannya</t>
  </si>
  <si>
    <t>asma bronkhial  bronkhospasme bersifa reversible kaitan bronkhitis enfisema</t>
  </si>
  <si>
    <t>terasma</t>
  </si>
  <si>
    <t>terasma tablet terbutaline sulfate asma bronkhial  bronkhospasme bersifa reversible kaitan bronkhitis enfisema</t>
  </si>
  <si>
    <t>Profat 500 mg/5 ml Suspensi 200 ml</t>
  </si>
  <si>
    <t>Rp117.100 - Rp126.800</t>
  </si>
  <si>
    <t>profat suspensi sucralfate sakit maag  tukak usus halus  tukak lambung  gastritis kronis</t>
  </si>
  <si>
    <t>enovid daily nose sanitizer tablet guaifenesin membantu membunuh mikroba penyebab infeksi pernapasan</t>
  </si>
  <si>
    <t>tribasic calcium phosphate cyanocobalamin placenta extract</t>
  </si>
  <si>
    <t>laktafit tablet tribasic calcium phosphate cyanocobalamin placenta extract hipogalaktia produksi asi memadai</t>
  </si>
  <si>
    <t>lambucid tablet dried aluminium hydroxide gel nyeri ulu hati  gangguan lambung  kembung</t>
  </si>
  <si>
    <t>GKL1105045110B1</t>
  </si>
  <si>
    <t>Acarbose 100 mg 10 Tablet</t>
  </si>
  <si>
    <t>Rp12.300 - Rp27.900</t>
  </si>
  <si>
    <t>INFORMASI OBAT INI HANYA UNTUK KALANGAN MEDIS. Terapi untuk pasien Diabetes Melitus yang tidak dapat terkendali hanya dengan diet (pengaturan pola makan).</t>
  </si>
  <si>
    <t>Obat ini tidak dianjurkan untuk : - Pasien yang hipersensitif terhadap acarbose dan/atau komponen dalam obat. - Pasien dengan gangguan intestinal kronis yang berhubungan dengan penyerapan dan gangguan pencernaan secara nyata. - Keadaan-keadaan yang dapat menyebabkan perburukan sebagai hasil dari peningkatan pembentukan gas di dalam usus (misalnya Roemheld syndrome, hernia mayor, obstruksi intestinal, dan ulkus intestinal). - Penderita Inflammatory bowel disease, seperti kolitis ulseratif dan Crohn disease, obstruksi parsial intestinal atau pada pasien yang mempunyai predisposisi obstruksi intestinal atau ileus. - Pasien dengan gangguan ginjal berat (bersihan kreatinin &lt; 25 ml/menit). - Selama kehamilan.</t>
  </si>
  <si>
    <t>HARUS DENGAN RESEP DOKTER. Diperlukan pemeriksaan kadar enzim hati selama 6-12 bulan pertama pengobatan. Pada kasus yang telah dievaluasi, perubahan ini bersifat reversible setelah penghentian terapi acarbose. Diet diabetes harus tetap dipatuhi selama pemberian acarbose. Kategori Kehamilan : Kategori B: Mungkin dapat digunakan oleh wanita hamil. Penelitian pada hewan uji tidak memperlihatkan ada nya risiko terhadap janin, namun belum ada bukti penelitian langsung terhadap wanita hamil.</t>
  </si>
  <si>
    <t>terapi pasien diabetes melitus tidak terkendali diet pengaturan pola makan</t>
  </si>
  <si>
    <t>acarbose tablet terapi pasien diabetes melitus tidak terkendali diet pengaturan pola makan</t>
  </si>
  <si>
    <t>DKI1827900217D1</t>
  </si>
  <si>
    <t>Xigduo XR 10/1000 mg 7 Tablet</t>
  </si>
  <si>
    <t>Rp184.700 - Rp190.600</t>
  </si>
  <si>
    <t>Dikonsumsi sebelum atau sesudah makan. Tablet ditelan utuh, jangan dihancurkan.</t>
  </si>
  <si>
    <t>PENGGUNAAN OBAT INI HARUS SESUAI DENGAN PETUNJUK DOKTER. Dosis : 1 kali sehari. Dosis maksimal : Dapaglifozin 10 mg dan Metformin HCl 2.000 mg.</t>
  </si>
  <si>
    <t>INFORMASI OBAT INI HANYA UNTUK KALANGAN MEDIS. Terapi pengganti untuk pengobatan Diabetes Mellitus tipe 2.</t>
  </si>
  <si>
    <t>Dus, 4 Blister @ Tablet Salut Selaput</t>
  </si>
  <si>
    <t>Penggunaan obat ini tidak dianjurkan pada : - Pasien yang hipersensitif terhadap komponen obat. - Gangguan ginjal berat. - Pasien hemodialisa.</t>
  </si>
  <si>
    <t>HARUS DENGAN RESEP DOKTER. - Hipersensitif terhadap dapagliflozin atau metformin. - Sementara dihentikan pada pasien yang menjalani studi radiologis yang melibatkan pemberian intravaskular bahan kontras iodinasi. - Tidak boleh digunakan pada pasien dengan Diabetes Melitus tipe I, ketoasidosis diabetikum. - Masalah ginjal sedang sampai berat. Belum terdapat data keamanan terkait penggunaan obat ini pada wanita hamil dan/atau menyusui. Konsultasikan kepada dokter apabila Anda sedang hamil dan/atau menyusui.</t>
  </si>
  <si>
    <t>terapi pengganti pengobatan diabetes mellitus tipe 2</t>
  </si>
  <si>
    <t>xigduo xr tablet dapagliflozin propenadiol terapi pengganti pengobatan diabetes mellitus tipe 2</t>
  </si>
  <si>
    <t>TI164650231</t>
  </si>
  <si>
    <t>Shen Nong Shi Die Da Yao Jing 30 ml</t>
  </si>
  <si>
    <t>SHEN NONG SHI DIE DA YAO JING</t>
  </si>
  <si>
    <t>Rp28.100 - Rp32.600</t>
  </si>
  <si>
    <t>Gosok pada bagian yang sakit.</t>
  </si>
  <si>
    <t>3-4 x sehari</t>
  </si>
  <si>
    <t>Membantu meringankan luka ringan dan bengkak.</t>
  </si>
  <si>
    <t>Obat ini digunakan hanya untuk pemakaian luar. Simpan ditempat yang kering, sejuk dan terhindar dari sinar matahari langsung. Simpan dibawah suhu 30 C.</t>
  </si>
  <si>
    <t>shen nong shi die da yao jing</t>
  </si>
  <si>
    <t>membantu meringankan luka ringan bengkak</t>
  </si>
  <si>
    <t>shen nong shi die da yao jing  membantu meringankan luka ringan bengkak</t>
  </si>
  <si>
    <t>laurier super slimguard pads tablet sildenafil citrate pembalut menyerap cairan menstruasi maksimal</t>
  </si>
  <si>
    <t>DBL2128209533B1</t>
  </si>
  <si>
    <t>Turpas Forte Sirup 60 ml</t>
  </si>
  <si>
    <t>Rp44.000 - Rp50.000</t>
  </si>
  <si>
    <t>Anak usia 6-12 tahun: 1-2 sendok takar (5-10 ml), diberikan 3-4 kali per hari. Anak usia 12 tahun ke atas: 2 sendok takar (10 ml), diberikan 3-4 kali sehari. Atau sesuai petunjuk dokter.</t>
  </si>
  <si>
    <t>turpas forte</t>
  </si>
  <si>
    <t>turpas forte suspensi paracetamol menurunkan demam  meringankan sakit sakit kepala sakit gigi</t>
  </si>
  <si>
    <t>DKI1827900217B1</t>
  </si>
  <si>
    <t>Xigduo XR 5/1000 mg 7 Tablet</t>
  </si>
  <si>
    <t>Rp156.900 - Rp205.800</t>
  </si>
  <si>
    <t>Penggunaan obat ini tidak dianjurkan pada : 1. Pasien yang hipersensitif terhadap komponen obat. 2. Gangguan ginjal berat. 3. Pasien hemodialisa.</t>
  </si>
  <si>
    <t>HARUS DENGAN RESEP DOKTER. 1. Hipersensitif terhadap dapagliflozin atau metformin. 2. Sementara dihentikan pada pasien yang menjalani studi radiologis yang melibatkan pemberian intravaskular bahan kontras iodinasi. 3. Tidak boleh digunakan pada pasien dengan Diabetes Melitus tipe I, ketoasidosis diabetikum. 4. Masalah ginjal sedang sampai berat. Belum terdapat data keamanan terkait penggunaan obat ini pada wanita hamil dan/atau menyusui. Konsultasikan kepada dokter apabila Anda sedang hamil dan/atau menyusui.</t>
  </si>
  <si>
    <t>DKL1906419933A1</t>
  </si>
  <si>
    <t>Erpepsa Sirup 100 ml</t>
  </si>
  <si>
    <t>erpepsa</t>
  </si>
  <si>
    <t>erpepsa suspensi sucralfate sakit maag  tukak usus halus  tukak lambung  gastritis kronis</t>
  </si>
  <si>
    <t>DBL0133203437A1</t>
  </si>
  <si>
    <t>Procet 125 mg/5 ml Sirup 60 ml</t>
  </si>
  <si>
    <t>Anak (9-12 tahun) : 15-20 ml, diberikan 3-4 kali sehari. Anak (6 - 9 tahun) : 10 ml - 15 ml, diberikan 3-4 kali per hari. Anak (2 - 6 tahun) : 5 ml - 10 ml, diberikan 3-4 kali per hari. Bayi (1 - 2 tahun) : 5 ml , diberikan 3-4 kali per hari. Bayi (0-1 tahun) : 2.5 ml, diberikan 3-4 kali per hari.</t>
  </si>
  <si>
    <t>Meringankan rasa sakit pada keadaan demam, skit kepla, sakit gigi, dan menurunkan demam.</t>
  </si>
  <si>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t>
  </si>
  <si>
    <t>meringankan sakit demam , skit kepla , sakit gigi , menurunkan demam</t>
  </si>
  <si>
    <t>procet sirup paracetamol meringankan sakit demam  skit kepla  sakit gigi  menurunkan demam</t>
  </si>
  <si>
    <t>bagus nina anion pads tablet sildenafil citrate pembalut menyerap cairan mentruasi maksimal</t>
  </si>
  <si>
    <t>DKL7803815146A1</t>
  </si>
  <si>
    <t>Cendo Cyclon 1% Eye Drops 5 ml</t>
  </si>
  <si>
    <t>Rp20.300 - Rp25.300</t>
  </si>
  <si>
    <t>PENGGUNAAN OBAT INI HARUS SESUAI DENGAN PETUNJUK DOKTER. Sesuai kebutuhan atau atas anjuran dokter</t>
  </si>
  <si>
    <t>Iritis iridosistitis, keratitis, koroidis dan untuk mencegah adesilentikular</t>
  </si>
  <si>
    <t>Botol Plastik @ 5 ml</t>
  </si>
  <si>
    <t>Hipersensitivitas terhadap salah satu komponen dalam obat ini, glaukoma sudut sempit</t>
  </si>
  <si>
    <t>HARUS DENGAN RESEP DOKTER. simpan di tempat sejuk dan kering, terhindar dari sinar matahari langsung, jauhkan dari jangkauan anak-anak Kategori Kehamilan : C</t>
  </si>
  <si>
    <t>cyclopentolate hydrochloride</t>
  </si>
  <si>
    <t>iritis iridosistitis , keratitis , koroidis mencegah adesilentikular</t>
  </si>
  <si>
    <t>cendo cyclon eye</t>
  </si>
  <si>
    <t>cendo cyclon eye tetes cyclopentolate hydrochloride iritis iridosistitis  keratitis  koroidis mencegah adesilentikular</t>
  </si>
  <si>
    <t>DKI0367600546A1</t>
  </si>
  <si>
    <t>Cravit 0.5% Eye Drops 5 ml</t>
  </si>
  <si>
    <t>Rp170.500 - Rp187.600</t>
  </si>
  <si>
    <t>Teteskan ke dalam kantung mata kanan dan kiri</t>
  </si>
  <si>
    <t>PENGGUNAAN OBAT INI HARUS SESUAI DENGAN PETUNJUK DOKTER. 3 kali sehari 1 tetes</t>
  </si>
  <si>
    <t>INFORMASI OBAT INI HANYA UNTUK KALANGAN MEDIS. Infeksi mata bagianluar akibat bakteri yang sensitif terhadap Levofloksasin</t>
  </si>
  <si>
    <t>HARUS DENGAN RESEP DOKTER. Hindari penggunaan jangka lama. Hamil, laktasi</t>
  </si>
  <si>
    <t>infeksi mata bagianluar akibat bakteri sensitif levofloksasin</t>
  </si>
  <si>
    <t>cravit eye</t>
  </si>
  <si>
    <t>cravit eye tetes levofloxacin hemihydrate infeksi mata bagianluar akibat bakteri sensitif levofloksasin</t>
  </si>
  <si>
    <t>cyclopentolate  hydrochloride</t>
  </si>
  <si>
    <t>cendo cyclon eye tetes cyclopentolate  hydrochloride iritis iridosistitis  keratitis  koroidis mencegah adesilentikular</t>
  </si>
  <si>
    <t>DBL9609205809A1</t>
  </si>
  <si>
    <t>Nutralix 10 Kaplet</t>
  </si>
  <si>
    <t>Rp5.900 - Rp17.500</t>
  </si>
  <si>
    <t>Pencegahan &amp; pengobatan defisiensi vit B1, B6, &amp; B12 spt polineuritis.</t>
  </si>
  <si>
    <t>Strip 10 Kaplet</t>
  </si>
  <si>
    <t>Pasien yg sedang menggunakan levodopa.</t>
  </si>
  <si>
    <t>pencegahan pengobatan defisiensi vit b1 , b6 , b12 spt polineuritis</t>
  </si>
  <si>
    <t>nutralix kaplet cyanocobalamin pencegahan pengobatan defisiensi vit b1  b6  b12 spt polineuritis</t>
  </si>
  <si>
    <t>DKI1742000943A2</t>
  </si>
  <si>
    <t>Mixtard 30 HM 100 IU/ml Penfill</t>
  </si>
  <si>
    <t>Rp154.900 - Rp170.600</t>
  </si>
  <si>
    <t>30 menit sebelum makan</t>
  </si>
  <si>
    <t>PENGGUNAAN OBAT INI HARUS SESUAI DENGAN PETUNJUK DOKTER. Dosis bersifat individual, lazimnya 0.3-1 IU/kg BB/hari, inj.SC</t>
  </si>
  <si>
    <t>DM (Diabetes Melitus) yang membutuhkan insulin</t>
  </si>
  <si>
    <t>Hipersensitivitas. Hipoglikemia.</t>
  </si>
  <si>
    <t>HARUS DENGAN RESEP DOKTER. Infeksi dan kondisi demam lainnya atau penyakit lain yang meningkatkan kebutuhan akan insulin. Dapat mengganggu kemampuan mengemudi atau menjalankan mesin. Hamil.</t>
  </si>
  <si>
    <t>insulin human</t>
  </si>
  <si>
    <t>dm diabetes melitus membutuhkan insulin</t>
  </si>
  <si>
    <t>mixtard hm iu penfill</t>
  </si>
  <si>
    <t>mixtard hm iu penfill injeksi insulin human dm diabetes melitus membutuhkan insulin</t>
  </si>
  <si>
    <t>DKL7211642929A1</t>
  </si>
  <si>
    <t>Kalcinol-N Cream 5 g</t>
  </si>
  <si>
    <t>Rp16.600 - Rp18.500</t>
  </si>
  <si>
    <t>PENGGUNAAN OBAT INI HARUS SESUAI DENGAN PETUNJUK DOKTER. Oleskan krim 2-4 x sehari</t>
  </si>
  <si>
    <t>INFORMASI OBAT INI HANYA UNTUK KALANGAN MEDIS. Dermatosis alergi inflamasi yang disertai dengan Pioderma primer atau sekunder</t>
  </si>
  <si>
    <t>Lesi pada kulit yang disebabkan oleh virus, TB kulit dan mata, perforasi gendang telinga</t>
  </si>
  <si>
    <t>HARUS DENGAN RESEP DOKTER. Penggunaan jangka lama. Jangan digunakan dengan cara ditutup pembalut. Hamil dan laktasi. Anak</t>
  </si>
  <si>
    <t>dermatosis alergi inflamasi disertai pioderma primer sekunder</t>
  </si>
  <si>
    <t>kalcinoln cream</t>
  </si>
  <si>
    <t>kalcinoln cream krim fluocinolone acetonide dermatosis alergi inflamasi disertai pioderma primer sekunder</t>
  </si>
  <si>
    <t>DBL8317600816A1</t>
  </si>
  <si>
    <t>Neurobat 10 Tablet</t>
  </si>
  <si>
    <t>Rp21.400 - Rp42.000</t>
  </si>
  <si>
    <t>Sebelum atau sesudah makan, dapat bersama makanan untuk mengurangi ketidaknyamanan saluran cerna.</t>
  </si>
  <si>
    <t>2-3 x sehari 1 dragee/tablet</t>
  </si>
  <si>
    <t>Neuralgia, Hilang Nafsu Makan/Anoreksia, masa Pemulihan, Mual dan Muntah masa Kehamilan.</t>
  </si>
  <si>
    <t>Jangan diberikan pada pasien anemia megaloblastik</t>
  </si>
  <si>
    <t>neuralgia , hilang nafsu makan anoreksia , pemulihan , mual muntah kehamilan</t>
  </si>
  <si>
    <t>neurobat</t>
  </si>
  <si>
    <t>neurobat tablet cyanocobalamin neuralgia  hilang nafsu makan anoreksia  pemulihan  mual muntah kehamilan</t>
  </si>
  <si>
    <t>DKI1964604743A1</t>
  </si>
  <si>
    <t>Tresiba 100 Unit/ml 1 Flexpen</t>
  </si>
  <si>
    <t>Rp365.700 - Rp395.400</t>
  </si>
  <si>
    <t>Disuntikan secara subkutan pada area perut, lengan atas atau paha.</t>
  </si>
  <si>
    <t>PENGGUNAAN OBAT INI HARUS SESUAI DENGAN PETUNJUK DOKTER. Pasien yang baru mendapat terapi insulin : - Diabetes Mellitus Tipe 1 Dosis awal yang direkomendasikan adalah 1/3 atau 1/2 dari total dosis insulin harian. Sisa dari dosis insulin diberikan dalam bentuk short-acting insulin dan terbagi di antara waktu makan. Dosis lazim (dosis umum) untuk dosis awal : 0.2 - 0.4 unit. - Diabetes Mellitus Tipe 2 : Dosis awal : 10 unit sekali sehari. Dosis bersifat individu. Kebutuhan dosis insulin dipengaruhi oleh pola makan, aktivitas fisik, kerja, atau penyakit lain dari pasien, sehingga harus dipertimbangkan secara individu.</t>
  </si>
  <si>
    <t>INFORMASI OBAT INI HANYA UNTUK KALANGAN MEDIS. Mengontrol kadar gula darah yang tinggi pada pasien diabetes mellitus</t>
  </si>
  <si>
    <t>Dus, 5 Catridge @ 3 ml</t>
  </si>
  <si>
    <t>Saat mengalami hipoglikemia. Hipersensitif atau mengalami alergi terhadap komponen obat ini.</t>
  </si>
  <si>
    <t>HARUS DENGAN RESEP DOKTER. Hati-hati terhadap terjadinya Hipoglikemia (kadar gula darah di bawah batas normal), reaksi lokal pada tempat injeksi dan reaksi hipersensitivitas (misalnya kemerahan kulit), pembengkakan, dan pruritus, serta penambahan berat badan. TRESIBA tidak direkomendasikan untuk pengobatan ketoasidosis diabetikum. Hindari penyuntikan pada daerah yang sama.</t>
  </si>
  <si>
    <t>mengontrol kadar gula darah pasien diabetes mellitus</t>
  </si>
  <si>
    <t>tresiba unit flexpen</t>
  </si>
  <si>
    <t>tresiba unit flexpen injeksi insulin mengontrol kadar gula darah pasien diabetes mellitus</t>
  </si>
  <si>
    <t>DBL0835306136A1</t>
  </si>
  <si>
    <t>Moretic Drops 15 ml</t>
  </si>
  <si>
    <t>Rp35.700 - Rp49.300</t>
  </si>
  <si>
    <t>Anak 1-2 tahun : 0,6-1,2 ml 3-4 kali sehari. Bayi &lt;1 thn 0,6 ml 3-4 kali sehari</t>
  </si>
  <si>
    <t>Meredakan sakit kepala, sakit gigi, demam, &amp; nyeri pasca vaksinasi.</t>
  </si>
  <si>
    <t>Dus, 1 Botol @ 15 ml</t>
  </si>
  <si>
    <t>Gangguan fungsi hati berat.</t>
  </si>
  <si>
    <t>meredakan sakit kepala , sakit gigi , demam , nyeri pasca vaksinasi</t>
  </si>
  <si>
    <t>moretic</t>
  </si>
  <si>
    <t>moretic tetes paracetamol meredakan sakit kepala  sakit gigi  demam  nyeri pasca vaksinasi</t>
  </si>
  <si>
    <t>DBL8309300837A1</t>
  </si>
  <si>
    <t>Ikacetamol Sirup 60 ml</t>
  </si>
  <si>
    <t>Dewasa : 15-30 mL (1-2 sendok makan), Anak 7-12 tahun : 1-2 sendok takar 5 mL, Anak 1-6 tahun : 0.5-1 sendok takar 5 mL. Bayi &gt;= 1 tahun : 0.5 sendok takar 5 mL. Diberikan 3-4 x sehari</t>
  </si>
  <si>
    <t>Demam akibat Pilek, Flu, Bronkhitis, Pneumonia, paska Vaksinasi, Analgetik</t>
  </si>
  <si>
    <t>Gagal ginjal dan hati</t>
  </si>
  <si>
    <t>demam akibat pilek , flu , bronkhitis , pneumonia , paska vaksinasi , analgetik</t>
  </si>
  <si>
    <t>ikacetamol</t>
  </si>
  <si>
    <t>ikacetamol sirup paracetamol demam akibat pilek  flu  bronkhitis  pneumonia  paska vaksinasi  analgetik</t>
  </si>
  <si>
    <t>DBL0000703237A1</t>
  </si>
  <si>
    <t>Afidol Sirup 60 ml</t>
  </si>
  <si>
    <t>afidol</t>
  </si>
  <si>
    <t>afidol sirup paracetamol obat meringankan sakit sakit kepala  sakit gigi menurunkan demam</t>
  </si>
  <si>
    <t>TR202560291</t>
  </si>
  <si>
    <t>Curcuma Force 12 Tablet</t>
  </si>
  <si>
    <t>CURCUMA FORCE</t>
  </si>
  <si>
    <t>Rp14.100 - Rp16.000</t>
  </si>
  <si>
    <t>3 x sehari, 1-2 tablet salut selaput</t>
  </si>
  <si>
    <t>Membantu memelihara kesehatan fungsi hati dan membantu memperbaiki nafsu makan.</t>
  </si>
  <si>
    <t>Dus, 10 Blister @ 12 Tablet</t>
  </si>
  <si>
    <t>Simpan dibawah suhu 30 C. Terlindung dari cahaya.</t>
  </si>
  <si>
    <t>curcuma force</t>
  </si>
  <si>
    <t>membantu memelihara kesehatan fungsi hati membantu memperbaiki nafsu makan</t>
  </si>
  <si>
    <t>curcuma force tablet membantu memelihara kesehatan fungsi hati membantu memperbaiki nafsu makan</t>
  </si>
  <si>
    <t>DBL1817113037A1</t>
  </si>
  <si>
    <t>Holidon 120 mg/5 ml Sirup 60 ml</t>
  </si>
  <si>
    <t>Rp7.200 - Rp9.200</t>
  </si>
  <si>
    <t>Meringankan rasa sakit pada keadaan demam, skit kepala, sakit gigi, dan menurunkan demam.</t>
  </si>
  <si>
    <t>meringankan sakit demam , skit kepala , sakit gigi , menurunkan demam</t>
  </si>
  <si>
    <t>holidon</t>
  </si>
  <si>
    <t>holidon sirup paracetamol meringankan sakit demam  skit kepala  sakit gigi  menurunkan demam</t>
  </si>
  <si>
    <t>DBL8318900937A1</t>
  </si>
  <si>
    <t>Analpim Syrup 60 ml</t>
  </si>
  <si>
    <t>diminum sesudah dan sebelum makan</t>
  </si>
  <si>
    <t>Dewasa dan anak usia 12 tahun ke atas: 2-2.5 sendok takar (10-12.5 ml) sebanyak 3-4 kali per hari. Anak-anak 9-12 tahun: 1-2 sendok takar (5-10 ml) sebanyak 3-4 kali per hari.</t>
  </si>
  <si>
    <t>botol @60 ml</t>
  </si>
  <si>
    <t>penderita gangguan fungsi hati yang berat, serta hipersensitivitas terhadap paracetamol</t>
  </si>
  <si>
    <t>hati-hati penggunaan pada pasien dengan gangguan fungsi hati dan/ atau hati yang berat</t>
  </si>
  <si>
    <t>analpim</t>
  </si>
  <si>
    <t>analpim sirup paracetamol obat meringankan sakit sakit kepala  sakit gigi menurunkan demam</t>
  </si>
  <si>
    <t>DTL9910904137A1</t>
  </si>
  <si>
    <t>Itrabat Sirup 100 ml</t>
  </si>
  <si>
    <t>Rp18.700 - Rp30.500</t>
  </si>
  <si>
    <t>sebaiknya setelah makan</t>
  </si>
  <si>
    <t>Dewasa: 2 sendok takar (10 mL) 3 - 4 kali sehari. Anak 6-12 tahun: 1 sendok takar (5 mL) 3-4 kali sehari.</t>
  </si>
  <si>
    <t>Meringankan batuk yang disertai dahak karena alergi.</t>
  </si>
  <si>
    <t>Penderita yang hipersensitif terhadap salah satu komponennya.</t>
  </si>
  <si>
    <t>Setelah minum obat ini tidak boleh menjalankan mesin ataupun kendaraan bermotor, Tidak dianjurkan untuk anak usia dibawah 2 tahun, Keamanan untuk wanita hamil dan menyusui belum dapat dipastikan, Hati-hati penggunaan bagi penderita dengan insufisiensi hati, ginjal dan paru-paru.</t>
  </si>
  <si>
    <t>ammonium chloride guaifenesin chlorphenamine maleate</t>
  </si>
  <si>
    <t>meringankan batuk disertai dahak alergi</t>
  </si>
  <si>
    <t>itrabat</t>
  </si>
  <si>
    <t>itrabat sirup ammonium chloride guaifenesin chlorphenamine maleate meringankan batuk disertai dahak alergi</t>
  </si>
  <si>
    <t>miradryl sirup diphenhydramine hydrochloride ammonium chloride meredakan batuk disebabkan alergi disertai dahak</t>
  </si>
  <si>
    <t>QD201917831</t>
  </si>
  <si>
    <t>Caladine Powder Adult 60 g</t>
  </si>
  <si>
    <t>Mengurangi gatal-gatal pada kulit karena biang keringat dan bau badan.</t>
  </si>
  <si>
    <t>balsamum peruvianum</t>
  </si>
  <si>
    <t>mengurangi gatal - gatal kulit biang keringat bau badan</t>
  </si>
  <si>
    <t>caladine adult</t>
  </si>
  <si>
    <t>caladine adult  balsamum peruvianum mengurangi gatal  gatal kulit biang keringat bau badan</t>
  </si>
  <si>
    <t>DBL1007119936A1</t>
  </si>
  <si>
    <t>Emturnas Drops 15 ml</t>
  </si>
  <si>
    <t>Usia 1-2 tahun : Dosis 60 ï¿½ 120 mg (alat tetes 0,6 ï¿½ 1,2 ml) 3 ï¿½ 4 kali sehari Dibawah 1 tahun : Dosis 60 mg (alat tetes 0,6 ml) 3 ï¿½ 4 kali sehari Atau sesuai petunjuk dokter.</t>
  </si>
  <si>
    <t>Untuk meringankan rasa sakit pada keadaan sakit kepala, sakit gigi dan menurunkan demam.</t>
  </si>
  <si>
    <t>Penderita gangguan fungsi hati yang berat. Penderita hipersensitifitas terhadap obat ini.</t>
  </si>
  <si>
    <t>Hati-hati penggunaan obat ini pada penderita penyakit ginjal. Bila setelah 2 hari demam tidak menurun atau setelah 5 hari nyeri tidak menghilang, segera hubungi Unit Pelayanan Kesehatan. Penggunaan obat ini pada penderita yang mengkonsumsi alkohol, dapat meningkatkan resiko kerusakan fungsi hati.</t>
  </si>
  <si>
    <t>untuk meringankan sakit sakit kepala , sakit gigi menurunkan demam</t>
  </si>
  <si>
    <t>emturnas tetes paracetamol untuk meringankan sakit sakit kepala  sakit gigi menurunkan demam</t>
  </si>
  <si>
    <t>TR052549901</t>
  </si>
  <si>
    <t>Curcuma FCT 12 Tablet</t>
  </si>
  <si>
    <t>CURCUMA FCT</t>
  </si>
  <si>
    <t>Rp12.100 - Rp19.800</t>
  </si>
  <si>
    <t>3 x sehari 1-2 tablet</t>
  </si>
  <si>
    <t>Membantu memelihara kesehatan fungsi hati dan membantu memperbaiki nafsu makan</t>
  </si>
  <si>
    <t>Simpan di bawah 30 C dan terlindung dari cahaya.</t>
  </si>
  <si>
    <t>curcuma fct</t>
  </si>
  <si>
    <t>curcuma fct tablet membantu memelihara kesehatan fungsi hati membantu memperbaiki nafsu makan</t>
  </si>
  <si>
    <t>DBL0305033317A1</t>
  </si>
  <si>
    <t>Neurodex 10 Tablet</t>
  </si>
  <si>
    <t>Rp6.100 - Rp9.400</t>
  </si>
  <si>
    <t>1 tablet sehari, atau menurut petunjuk dokter.</t>
  </si>
  <si>
    <t>Untuk pengobatan kekurangan Vitamin B1, B6, dan B12, seperti pada polineuritis.</t>
  </si>
  <si>
    <t>Dus, 20 Strip @ 10 Tablet Salut Selaput</t>
  </si>
  <si>
    <t>untuk pengobatan kekurangan vitamin b1 , b6 , b12 , polineuritis</t>
  </si>
  <si>
    <t>neurodex</t>
  </si>
  <si>
    <t>neurodex tablet cyanocobalamin 1 untuk pengobatan kekurangan vitamin b1  b6  b12  polineuritis</t>
  </si>
  <si>
    <t>DKL0922246710A1</t>
  </si>
  <si>
    <t>Glauseta 250 mg 10 Tablet</t>
  </si>
  <si>
    <t>Glaukoma sudut terbuka, glaukoma sekunder dan sebelum operasi untuk glaukoma sudut tertutup</t>
  </si>
  <si>
    <t>Dus, 10 Strip @10 tablet</t>
  </si>
  <si>
    <t>Diabetes mellitus tipe 2, emfisema atau penyakit paru-paru kronis lainnya, asam urat, hipokalemia, penyakit ginjal atau batu ginjal, penyakit hati, penyakit addison</t>
  </si>
  <si>
    <t>acetazolamide</t>
  </si>
  <si>
    <t>glaukoma sudut terbuka , glaukoma sekunder operasi glaukoma sudut tertutup</t>
  </si>
  <si>
    <t>glauseta</t>
  </si>
  <si>
    <t>glauseta tablet acetazolamide glaukoma sudut terbuka  glaukoma sekunder operasi glaukoma sudut tertutup</t>
  </si>
  <si>
    <t>DBL0408510217A1</t>
  </si>
  <si>
    <t>Daneuron 10 Tablet</t>
  </si>
  <si>
    <t>Rp4.000 - Rp7.200</t>
  </si>
  <si>
    <t>1 tablet/hari.</t>
  </si>
  <si>
    <t>Pengobatan defisiensi vitamin Thiamine Mononitrate, Pyridoxine Hydrochloride, dan Cyanocobalamin seperti pada polineuritis</t>
  </si>
  <si>
    <t>pengobatan defisiensi vitamin thiamine mononitrate , pyridoxine hydrochloride , cyanocobalamin polineuritis</t>
  </si>
  <si>
    <t>daneuron</t>
  </si>
  <si>
    <t>daneuron tablet cyanocobalamin pengobatan defisiensi vitamin thiamine mononitrate  pyridoxine hydrochloride  cyanocobalamin polineuritis</t>
  </si>
  <si>
    <t>Rp26.900 - Rp55.300</t>
  </si>
  <si>
    <t>DKL7205503517A1</t>
  </si>
  <si>
    <t>Dopamet 250 mg 10 Tablet</t>
  </si>
  <si>
    <t>Rp23.900 - Rp32.600</t>
  </si>
  <si>
    <t>PENGGUNAAN OBAT INI HARUS SESUAI DENGAN PETUNJUK DOKTER. Diawali 0.5-1 tablet perhari, ditingkatkan secara bertahap dengan 0.5-1 tablet setiap 3 hari</t>
  </si>
  <si>
    <t>INFORMASI OBAT INI HANYA UNTUK KALANGAN MEDIS. Hipertensi essensial termasuk Hipertensi Maligna, Hipertensi pada tahap awal Kehamilan, Hipertensi nefrogenik</t>
  </si>
  <si>
    <t>Dus, 10 Strip @ 10 tablet salut selaput</t>
  </si>
  <si>
    <t>Hipersensitif, sirosis hati atau riwayat penyakit hati, hepatitis akut.</t>
  </si>
  <si>
    <t>HARUS DENGAN RESEP DOKTER. Disfungsi ginjal berat, penyakit hati dan gangguan mental. Kategori Kehamilan : B</t>
  </si>
  <si>
    <t>methyldopa</t>
  </si>
  <si>
    <t>hipertensi essensial hipertensi maligna , hipertensi tahap kehamilan , hipertensi nefrogenik</t>
  </si>
  <si>
    <t>dopamet</t>
  </si>
  <si>
    <t>dopamet tablet methyldopa hipertensi essensial hipertensi maligna  hipertensi tahap kehamilan  hipertensi nefrogenik</t>
  </si>
  <si>
    <t>DTL8521000437A1</t>
  </si>
  <si>
    <t>Flutamol Sirup 60 ml</t>
  </si>
  <si>
    <t>Rp8.700 - Rp23.700</t>
  </si>
  <si>
    <t>Dewasa dan anak &gt; 12 tahun : 3-4 x sehari 4 sendok takar 5 mL, Anak 7-12 tahun : 3-4 x sehari 2 sendok takar 5 mL.</t>
  </si>
  <si>
    <t>Demam, Sakit Kepala, Batuk, Pilek, Hidung Tersumbat, Alergi</t>
  </si>
  <si>
    <t>Gangguan hati dan ginjal, hipertensi, glaukoma, DM, gangguan jantung, hipertiroid</t>
  </si>
  <si>
    <t>Jangan mengemudi/menjalankan mesin. Hamil, laktasi. Anak &lt; 12 tahun (kapsul), anak &lt; 6 tahun (sirup)</t>
  </si>
  <si>
    <t>demam , sakit kepala , batuk , pilek , hidung tersumbat , alergi</t>
  </si>
  <si>
    <t>flutamol</t>
  </si>
  <si>
    <t>flutamol sirup chlorphenamine maleate demam  sakit kepala  batuk  pilek  hidung tersumbat  alergi</t>
  </si>
  <si>
    <t>TR183317761</t>
  </si>
  <si>
    <t>Kolespil 12 Kapsul</t>
  </si>
  <si>
    <t>KOLESPIL</t>
  </si>
  <si>
    <t>Rp15.000 - Rp18.200</t>
  </si>
  <si>
    <t>Dikonsumsi setelah makan.</t>
  </si>
  <si>
    <t>Sehari 2 kali 2 kapsul selama kurang lebih 1 bulan, dapat diteruskan jika diperlukan.</t>
  </si>
  <si>
    <t>Secara tradisional digunakan untuk membantu mengurangi lemak darah dan meringankan rasa kaku pada urat leher</t>
  </si>
  <si>
    <t>Dus, blister @ 12 kapsul</t>
  </si>
  <si>
    <t>Hindari makan makanan berlemak. Simpan di tempat yang kering dan terhindar dari sinar matahari langsung. Simpan di bawah suhu 30ï¿½C. Jauhkan dari jangkauan anak-anak.</t>
  </si>
  <si>
    <t>kolespil</t>
  </si>
  <si>
    <t>secara tradisional membantu mengurangi lemak darah meringankan kaku urat leher</t>
  </si>
  <si>
    <t>kolespil kapsul secara tradisional membantu mengurangi lemak darah meringankan kaku urat leher</t>
  </si>
  <si>
    <t>charm cooling fresh night wing pads tablet sildenafil citrate pembalut wanita menstruasi</t>
  </si>
  <si>
    <t>laurier healthy skin pads tablet sildenafil citrate pembalut menyerap cairan mentruasi maksimal</t>
  </si>
  <si>
    <t>DKL0317619817A1</t>
  </si>
  <si>
    <t>Invomit 4 mg 6 Tablet</t>
  </si>
  <si>
    <t>Rp128.600 - Rp163.000</t>
  </si>
  <si>
    <t>PENGGUNAAN OBAT INI HARUS SESUAI DENGAN PETUNJUK DOKTER. Mual dan muntah akibat induksi radioterapi 8 mg per oral tiap 12 jam, dosis pertama diberikan 1-2 jam sebelum radioterapi</t>
  </si>
  <si>
    <t>Mual dan muntah karena sitotoksik kemoterapi dan radioterapi. pasca operasi</t>
  </si>
  <si>
    <t>Dos Isi 3 Strip X 6 Tablet</t>
  </si>
  <si>
    <t>HARUS DENGAN RESEP DOKTER. Pasien dengan gangguan fungsi hati dosis tidak boleh lebih dari 8mg, hamil dan laktasi</t>
  </si>
  <si>
    <t>mual muntah sitotoksik kemoterapi radioterapi  pasca operasi</t>
  </si>
  <si>
    <t>invomit</t>
  </si>
  <si>
    <t>invomit tablet ondansetron hydrochloride dihydrate mual muntah sitotoksik kemoterapi radioterapi  pasca operasi</t>
  </si>
  <si>
    <t>DTL1541200337A1</t>
  </si>
  <si>
    <t>Benadryl Batuk Berdahak Sirup 50 ml</t>
  </si>
  <si>
    <t>Rp23.800 - Rp29.300</t>
  </si>
  <si>
    <t>Dewasa dan anak diatas 12 tahun: 10 ml, diberikan 3 kali per hari Anak 6-12 tahun: 5 ml, diberikan 3 kali per hari Anak 2-6 tahun: 2.5 ml, diberikan 3 kali per hari Anak di bawah 2 tahun sesuai dengan rekomendasi dokter</t>
  </si>
  <si>
    <t>Meredakan batuk berdahak dan mempermudah pengeluaran dahak</t>
  </si>
  <si>
    <t>Dus, Botol plastik @ 50 ml</t>
  </si>
  <si>
    <t>Jangan diberikan pada penderita tukak lambung aktif atau individu yang mengalami hipersensitif atau alergi terhadap komponen obat ini.</t>
  </si>
  <si>
    <t>- Hindari penggunaan Benadryl Batuk Berdahak pada tiga bulan pertama masa kehamilan dan pada masa menyusui - Hati-hati penggunaan pada penderita tukak lambung - Jauhkan dari jangkauan anak-anak - Dilaporkan terjadi reaksi kulit yang berat seperti erythema</t>
  </si>
  <si>
    <t>meredakan batuk berdahak mempermudah pengeluaran dahak</t>
  </si>
  <si>
    <t>benadryl batuk berdahak</t>
  </si>
  <si>
    <t>benadryl batuk berdahak sirup bromhexine hydrochloride meredakan batuk berdahak mempermudah pengeluaran dahak</t>
  </si>
  <si>
    <t>DTL7217607537A1</t>
  </si>
  <si>
    <t>Inadryl Sirup 50 ml</t>
  </si>
  <si>
    <t>Rp29.100 - Rp39.500</t>
  </si>
  <si>
    <t>Dewasa: 3 kali sehari 5-10ml sendok takar. anak &gt;4tahun: 1-3 kali sehari 2,5-5ml sendok takar. anak &lt;4tahun: 1-3 kali sehari 2,5ml sendok takar.</t>
  </si>
  <si>
    <t>Batuk produktif, bronkitis, gejala kongesti yang berhubungan dengan flu atau asma</t>
  </si>
  <si>
    <t>Bayi/prematur. Serangan asma akut</t>
  </si>
  <si>
    <t>Jangan mengemudi dan menjalankan mesin. glaukoma sudut sempit, retensi urin, hipertrofi prostat</t>
  </si>
  <si>
    <t>batuk produktif , bronkitis , gejala kongesti berhubungan flu asma</t>
  </si>
  <si>
    <t>inadryl</t>
  </si>
  <si>
    <t>inadryl sirup ammonium chloride batuk produktif  bronkitis  gejala kongesti berhubungan flu asma</t>
  </si>
  <si>
    <t>TI084326311</t>
  </si>
  <si>
    <t>Wellness Organic Spirulina 90 Kapsul</t>
  </si>
  <si>
    <t>WELLNESS SPIRULINA</t>
  </si>
  <si>
    <t>Rp245.200 - Rp611.800</t>
  </si>
  <si>
    <t>Dewasa : 2 kapsul per Hari atau sesuai rekomendasi dokter.</t>
  </si>
  <si>
    <t>Membantu memelihara kesehatan dengan menambah zat gizi.</t>
  </si>
  <si>
    <t>wellness spirulina</t>
  </si>
  <si>
    <t>wellness organic spirulina</t>
  </si>
  <si>
    <t>wellness organic spirulina kapsul wellness spirulina membantu memelihara kesehatan menambah zat gizi</t>
  </si>
  <si>
    <t>DKL7803810546B1</t>
  </si>
  <si>
    <t>Cendo Genta 1% Eye Drops 5 ml</t>
  </si>
  <si>
    <t>Rp46.100 - Rp50.500</t>
  </si>
  <si>
    <t>INFORMASI OBAT INI HANYA UNTUK KALANGAN MEDIS. Konjungktivitis, blefaritis, keratitis dan tukak pada kornea mata</t>
  </si>
  <si>
    <t>konjungktivitis , blefaritis , keratitis tukak kornea mata</t>
  </si>
  <si>
    <t>cendo genta eye</t>
  </si>
  <si>
    <t>cendo genta eye tetes gentamicin sulfate konjungktivitis  blefaritis  keratitis tukak kornea mata</t>
  </si>
  <si>
    <t>DBL0304518633A1</t>
  </si>
  <si>
    <t>Naprex Sirup 60 ml</t>
  </si>
  <si>
    <t>Rp56.000 - Rp67.800</t>
  </si>
  <si>
    <t>Anak 6-12 tahun : 3-4 x sehari 1-2 sendok takar (5 mL - 10 mL), Anak 2-6 tahun : 3-4 x sehari 0.5 sendok takar (2,5 mL). Diberikan selang waktu 4-6 jam.</t>
  </si>
  <si>
    <t>Untuk menurunkan demam dan meringankan rasa sakit pada keadaan sakit kepala dan sakit gigi.</t>
  </si>
  <si>
    <t>Hipersensitif dan gangguan fungsi hati berat</t>
  </si>
  <si>
    <t>Gangguan ginjal &amp; hati.</t>
  </si>
  <si>
    <t>untuk menurunkan demam meringankan sakit sakit kepala sakit gigi</t>
  </si>
  <si>
    <t>naprex suspensi paracetamol untuk menurunkan demam meringankan sakit sakit kepala sakit gigi</t>
  </si>
  <si>
    <t>DKL8827401329A1</t>
  </si>
  <si>
    <t>Canedrylskin Cream 5 g</t>
  </si>
  <si>
    <t>Rp9.900 - Rp10.100</t>
  </si>
  <si>
    <t>PENGGUNAAN OBAT INI HARUS SESUAI DENGAN PETUNJUK DOKTER. Oleskan sehari 3-4x pada kulit yang terinfeksi</t>
  </si>
  <si>
    <t>dermatitis terinfeksi seperti bisul, pioderma atau dermatitis yang tampak ada infeksi sekunder</t>
  </si>
  <si>
    <t>tube 5 g</t>
  </si>
  <si>
    <t>penyakit virus TBC, jamur, hipersensitif</t>
  </si>
  <si>
    <t>dermatitis terinfeksi bisul , pioderma dermatitis infeksi sekunder</t>
  </si>
  <si>
    <t>canedrylskin cream</t>
  </si>
  <si>
    <t>canedrylskin cream krim betamethasone dipropionate dermatitis terinfeksi bisul  pioderma dermatitis infeksi sekunder</t>
  </si>
  <si>
    <t>DKL2113322717A1</t>
  </si>
  <si>
    <t>L-Vit D3 5000 10 Tablet</t>
  </si>
  <si>
    <t>PENGGUNAAN OBAT INI HARUS SESUAI DENGAN PETUNJUK DOKTER. Dewasa dan anak usia lebih dari 12 tahun : 1 tablet kunyah, 1 kali sehari.</t>
  </si>
  <si>
    <t>INFORMASI OBAT INI HANYA UNTUK KALANGAN MEDIS. Meningkatkan kadar vitamin D pada pasien dengan kekurangan vitamin D.</t>
  </si>
  <si>
    <t>Dus, 3 Blster @ 10 Tablet salut selaput</t>
  </si>
  <si>
    <t>Infeksi bakteri atau jamur pada mulut dan tenggorokan. Lesi herpetik karena virus atau lesi intraoral.</t>
  </si>
  <si>
    <t>HARUS DENGAN RESEP DOKTER. Cek kadar vitamin D terlebih dahulu sebelum menggunakan vitamin D dengan dosis tinggi. Belum terdapat data keamanan terkait penggunaan obat ini pada wanita hamil dan/atau menyusui. Konsultasikan kepada dokter apabila Anda sedang hamil dan/atau menyusui.</t>
  </si>
  <si>
    <t>cholecalciferol</t>
  </si>
  <si>
    <t>meningkatkan kadar vitamin d pasien kekurangan vitamin d</t>
  </si>
  <si>
    <t>lvit d</t>
  </si>
  <si>
    <t>lvit d tablet cholecalciferol meningkatkan kadar vitamin d pasien kekurangan vitamin d</t>
  </si>
  <si>
    <t>DKI1542000443A1</t>
  </si>
  <si>
    <t>Novomix 30 1 Flexpen</t>
  </si>
  <si>
    <t>Rp176.400 - Rp280.900</t>
  </si>
  <si>
    <t>Diberikan bersama makanan : sesaat sebelum atau sesudah makan.</t>
  </si>
  <si>
    <t>PENGGUNAAN OBAT INI HARUS SESUAI DENGAN PETUNJUK DOKTER. Dosis bersifat individual, injeksi subkutan (SC) Untuk pasien Diabetes Tipe 2 : Dosis awal 6 U saat sarapan pagi dan 6 U saat makan malam. Akan tetapi, dapat juga diawali dengan 1 kali sehari 12 U saat makan malam.</t>
  </si>
  <si>
    <t>INFORMASI OBAT INI HANYA UNTUK KALANGAN MEDIS. Pengobatan pada pasien dengan Diabetes Melitus (DM) yang membutuhkan insulin.</t>
  </si>
  <si>
    <t>Hipersensitif terhadap insulin aspart atau eksipien lainnya. Hipoglikemia.</t>
  </si>
  <si>
    <t>HARUS DENGAN RESEP DOKTER. - Dosis yang tidak adekuat atau penghentian terapi, khususnya pada diabetes tipe 1, dapat menyebabkan hiperglikemia dan ketoasidosis diabetikum. - Sebaiknya dilakukan rotasi/penggantian lokasi pemberian injeksi secara rutin untuk mengurangi atau mencegah reaksi yang tidak diinginkan. - Pengurangan jadwal makan atau latihan fisik yang berat dan tidak diperhitungkan dapat menyebabkan hipoglikemia. - Sebagai akibat dari hipoglikemia, kemampuan pasien untuk mengemudi atau menjalankan mesin dapat terganggu. - Kasus gagal jantung kongestif telah dilaporkan ketika thiazolidinediones digunakan dalam kombinasi dengan insulin. Thiazolidinediones harus dihentikan jika terjadi gejala penurunan fungsi jantung. - Pemindahan ke jenis atau merek insulin lain harus dilakukan di bawah pengawasan medis atau dokter. - Pasien harus berkonsultasi dengan dokter sebelum melakukan perjalanan di antara zona waktu yang berbeda.</t>
  </si>
  <si>
    <t>pengobatan pasien diabetes melitus dm membutuhkan insulin</t>
  </si>
  <si>
    <t>novomix flexpen</t>
  </si>
  <si>
    <t>novomix flexpen injeksi insulin aspart pengobatan pasien diabetes melitus dm membutuhkan insulin</t>
  </si>
  <si>
    <t>DKI2124200210C1</t>
  </si>
  <si>
    <t>Twynsta 80 mg/5 mg 7 Tablet</t>
  </si>
  <si>
    <t>Rp222.500 - Rp243.500</t>
  </si>
  <si>
    <t>Dikonsumsi dengan atau tanpa makanan.</t>
  </si>
  <si>
    <t>PENGGUNAAN OBAT INI HARUS SESUAI DENGAN PETUNJUK DOKTER. Dewasa : 40/5 mg, dapat dititrasi hingga maksimal 80/10 mg. Untuk diberikan 1 kali sehari.</t>
  </si>
  <si>
    <t>Dus, 4 Strip @ 7 Tablet</t>
  </si>
  <si>
    <t>Hipersensitivitas terhadap turunan telmisartan, amlodipine, dihydropyridine. Ggn obstruktif bilier, ggn hati berat, syok kardiogenik, hipotensi berat, obstruksi saluran keluar ventrikel kiri, gagal jantung hemodinamik yang tidak stabil setelah infark miokard akut. Penggunaan bersama dg aliskiren pd pasien dg DM atau gangguan ginjal (GFR &lt;60 mL/mnt/1,73 m2). Trimester 2 &amp; 3 kehamilan &amp; menyusui.</t>
  </si>
  <si>
    <t>HARUS DENGAN RESEP DOKTER. Ggn hati &amp; ginjal, transplantasi ginjal, hipertensi renovaskular, hipovolemia intravaskular, hipotensi, gagal jantung kongestif berat, penyakit ginjal yang mendasari, stenosis arteri ginjal, aldosteronisme primer, stenosis katup aorta atau mitral, kardiomiopati hipertrofik obstruktif, angina pektoris tidak stabil, MI akut, NYHA III &amp; Gagal jantung IV dengan etiologi non-iskemik, hiperkalemia, DM, dehidrasi, dekompensasi jantung akut, asidosis metabolik, lisis seluler</t>
  </si>
  <si>
    <t>hydroquinone tretinoin fluocinolone acetonide</t>
  </si>
  <si>
    <t>refaquin cream krim hydroquinone tretinoin fluocinolone acetonide terapi jangka pendek melasma derajat berat</t>
  </si>
  <si>
    <t>GKL0620932201A1</t>
  </si>
  <si>
    <t>Oseltamivir 75 mg 10 Kapsul</t>
  </si>
  <si>
    <t>Rp209.600 - Rp215.400</t>
  </si>
  <si>
    <t>untuk mengatasi infeksi virus influenza tipe A (misalnya flu burung) atau B.</t>
  </si>
  <si>
    <t>Dus, 10 blister @ 10 kapsul</t>
  </si>
  <si>
    <t>Hipersensitif terhadap oseltamivir</t>
  </si>
  <si>
    <t>*Jumlah Stock untuk Produk ini terbatas. Jika tidak tersedia (not available), dapat diorder kembali tanpa dikombinasikan dengan produk lain. HARUS DENGAN RESEP DOKTER. Hati-hati penggunaan obat ini pada wanita hamil, penderita gangguan fungsi hati dan ginjal. Kategori Kehamilan : C studi pada binatang percobaan telah memperlihatkan adanya efek samping obat pada janin dan tidak ada studi terkontrol pada wanita atau belum ada studi pada wanita dan binatang percobaan.</t>
  </si>
  <si>
    <t>mengatasi infeksi virus influenza tipe a flu burung b</t>
  </si>
  <si>
    <t>oseltamivir</t>
  </si>
  <si>
    <t>oseltamivir kapsul oseltamivir phosphate mengatasi infeksi virus influenza tipe a flu burung b</t>
  </si>
  <si>
    <t>DKL1717112117A1</t>
  </si>
  <si>
    <t>Licidal 10 mg 10 Tablet</t>
  </si>
  <si>
    <t>Rp400 - Rp3.300</t>
  </si>
  <si>
    <t>INFORMASI OBAT INI HANYA UNTUK KALANGAN MEDIS. Kondisi alergi seperti rinitis perenial, rinitis alergi dan urtikaria idiopatik kronik</t>
  </si>
  <si>
    <t>kondisi alergi rinitis perenial , rinitis alergi urtikaria idiopatik kronik</t>
  </si>
  <si>
    <t>licidal</t>
  </si>
  <si>
    <t>licidal tablet cetirizine hydrochloride kondisi alergi rinitis perenial  rinitis alergi urtikaria idiopatik kronik</t>
  </si>
  <si>
    <t>DKL0431524902A1</t>
  </si>
  <si>
    <t>Ostriol 30 Kapsul</t>
  </si>
  <si>
    <t>Rp209.500 - Rp255.800</t>
  </si>
  <si>
    <t>Dapat diberikan bersama atau tanpa makanan : Dpt diberikan bersama makanan utk mengurangi rasa tdk nyaman pd GI.</t>
  </si>
  <si>
    <t>PENGGUNAAN OBAT INI HARUS SESUAI DENGAN PETUNJUK DOKTER. Osteoporosis paska menopause : 2 x sehari 1 kapsul. Osteodistrofi Ginjal pada pasien dialisis : diawali 1 kapsul perhari. Hipoparatiroidisme pada bayi &amp; Anak 1-5 tahun :</t>
  </si>
  <si>
    <t>Osteoporosis paska menopause, Osteodistrofi ginjal pada pasien dialisis, Hipoparatiroidisme, Rachitis/Rickets.</t>
  </si>
  <si>
    <t>Hiperkalsemia.</t>
  </si>
  <si>
    <t>HARUS DENGAN RESEP DOKTER. Hamil, laktasi. Pasien dialisis, predosposisi hiperkalsemia. Gangguan fungsi ginjal.</t>
  </si>
  <si>
    <t>osteoporosis paska menopause , osteodistrofi ginjal pasien dialisis , hipoparatiroidisme , rachitis rickets</t>
  </si>
  <si>
    <t>ostriol</t>
  </si>
  <si>
    <t>ostriol kapsul calcitriol osteoporosis paska menopause  osteodistrofi ginjal pasien dialisis  hipoparatiroidisme  rachitis rickets</t>
  </si>
  <si>
    <t>DBL9316905817A1</t>
  </si>
  <si>
    <t>Omeneuron 10 Kaplet</t>
  </si>
  <si>
    <t>Rp4.000 - Rp7.700</t>
  </si>
  <si>
    <t>2-3 x sehari 1 kaplet</t>
  </si>
  <si>
    <t>Berfungsi memacu/membantu metabolisme syaraf non-aktif atau rusak dan anti anemia.</t>
  </si>
  <si>
    <t>Dus 10 Kaplet.</t>
  </si>
  <si>
    <t>berfungsi memacu membantu metabolisme syaraf non - aktif rusak anti anemia</t>
  </si>
  <si>
    <t>omeneuron</t>
  </si>
  <si>
    <t>omeneuron tablet cyanocobalamin berfungsi memacu membantu metabolisme syaraf non  aktif rusak anti anemia</t>
  </si>
  <si>
    <t>DKL1817112937A1</t>
  </si>
  <si>
    <t>Licidal 5 mg/5 ml Sirup 60 ml</t>
  </si>
  <si>
    <t>PENGGUNAAN OBAT INI HARUS SESUAI DENGAN PETUNJUK DOKTER. 2-5 tahun: 1/2-1 sendok takar 5 ml (2,5-5 ml)/hari. 6-12 tahun: 1-2 sendok takar 5 ml (5-10 ml)/hari.</t>
  </si>
  <si>
    <t>licidal sirup cetirizine hydrochloride kondisi alergi rinitis perenial  rinitis alergi urtikaria idiopatik kronik</t>
  </si>
  <si>
    <t>DTL0304518837A1</t>
  </si>
  <si>
    <t>Vicks Formula 44 Sirup 100 ml</t>
  </si>
  <si>
    <t>Rp19.700 - Rp36.100</t>
  </si>
  <si>
    <t>Gunakan setiap 4 jam sesuai kebutuhan, sampai 6x sehari. Dewasa : 12 tahun ke atas : 2 sendok takar (10ml) Anak-anak : 6-12 tahun : 1 sendok takar (5ml) atau gunakan sesuai petunjuk dokter</t>
  </si>
  <si>
    <t>Meringankan batuk yang tidak berdahak disertai bersin-bersin/ alergi.</t>
  </si>
  <si>
    <t>Kewaspadaan khusus pada kondisi hamil, laktasi, Anak &lt;2 thn. Jangan mengemudi atau mengoperasikan mesin saat menggunakan produk ini.</t>
  </si>
  <si>
    <t>meringankan batuk tidak berdahak disertai bersin - bersin alergi</t>
  </si>
  <si>
    <t>vicks formula</t>
  </si>
  <si>
    <t>vicks formula sirup dextromethorphan hydrobromide meringankan batuk tidak berdahak disertai bersin  bersin alergi</t>
  </si>
  <si>
    <t>DKL1541001317A1</t>
  </si>
  <si>
    <t>Colcitine 0.5 mg 10 Tablet</t>
  </si>
  <si>
    <t>INFORMASI OBAT INI HANYA UNTUK KALANGAN MEDIS. Arthritis Gout Akut, profilaksis jangka pendek selama terapi awal dengan Alopurinol dan obat2 Urikosurik</t>
  </si>
  <si>
    <t>arthritis gout akut , profilaksis jangka pendek terapi alopurinol obat2 urikosurik</t>
  </si>
  <si>
    <t>colcitine</t>
  </si>
  <si>
    <t>colcitine tablet colchicine arthritis gout akut  profilaksis jangka pendek terapi alopurinol obat2 urikosurik</t>
  </si>
  <si>
    <t>DKL0033402038A1</t>
  </si>
  <si>
    <t>Solpenox Dry Sirup 60 ml</t>
  </si>
  <si>
    <t>Rp7.200 - Rp18.000</t>
  </si>
  <si>
    <t>Dapat diberikan bersama atau tanpa makanan : Dpt diberikan bersama makanan agar diabsorpsi lebih baik &amp; untuk mengurangi rasa tidak nyaman pada GI.</t>
  </si>
  <si>
    <t>PENGGUNAAN OBAT INI HARUS SESUAI DENGAN PETUNJUK DOKTER. Anak berusia 2-10 tahun : 3 kali sehari 5 mL. Anak berusia kurang dari 2 tahun : 3 kali sehari 2,5 mL.</t>
  </si>
  <si>
    <t>Infeksi saluran nafas, saluran kemih kelamin, kulit &amp; jar lunak.</t>
  </si>
  <si>
    <t>Botol, Sirup 125 Mg/ 5ml X 60 ml X 1</t>
  </si>
  <si>
    <t>Hipersensitif terhadap penicillin.</t>
  </si>
  <si>
    <t>HARUS DENGAN RESEP DOKTER. Hipersensitif terhadap sefalosporin. Kerusakan ginjal. Leukemia limfatik. Superinfeksi.</t>
  </si>
  <si>
    <t>infeksi saluran nafas , saluran kemih kelamin , kulit jar lunak</t>
  </si>
  <si>
    <t>solpenox</t>
  </si>
  <si>
    <t>solpenox sirup amoxicillin trihydrate infeksi saluran nafas  saluran kemih kelamin  kulit jar lunak</t>
  </si>
  <si>
    <t>Vicks Formula 44 Sirup 54 ml</t>
  </si>
  <si>
    <t>Rp16.000 - Rp23.500</t>
  </si>
  <si>
    <t>DKL1600205110A1</t>
  </si>
  <si>
    <t>Ottoprim 10 Tablet</t>
  </si>
  <si>
    <t>Rp4.000 - Rp4.900</t>
  </si>
  <si>
    <t>Dikonsumsi ketika perut kosong</t>
  </si>
  <si>
    <t>PENGGUNAAN OBAT INI HARUS SESUAI DENGAN PETUNJUK DOKTER. 2 x sehari 1 kaplet.</t>
  </si>
  <si>
    <t>INFORMASI OBAT INI HANYA UNTUK KALANGAN MEDIS. Untuk mengobati infeksi akibat bakteri pada saluran pernapasan, pencernaan, dan saluran kemih.</t>
  </si>
  <si>
    <t>Tablet, 10 Strip @10 Tablet</t>
  </si>
  <si>
    <t>HARUS DENGAN RESEP DOKTER. Gangguan fungsi hati dan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</si>
  <si>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untuk mengobati infeksi akibat bakteri saluran pernapasan , pencernaan , saluran kemih</t>
  </si>
  <si>
    <t>ottoprim</t>
  </si>
  <si>
    <t>ottoprim tablet sulfamethoxazole untuk mengobati infeksi akibat bakteri saluran pernapasan  pencernaan  saluran kemih</t>
  </si>
  <si>
    <t>QD172615721</t>
  </si>
  <si>
    <t>Cap Gajah Salicyl SP 50 ml</t>
  </si>
  <si>
    <t>Rp9.300 - Rp9.400</t>
  </si>
  <si>
    <t>Digunakan untuk mengatasi berbagai masalah pada kulit seperti panu, kadas, kurap, eksim.</t>
  </si>
  <si>
    <t>Hanya untuk penggunaan luar.</t>
  </si>
  <si>
    <t>asam salisiat</t>
  </si>
  <si>
    <t>digunakan mengatasi kulit panu , kadas , kurap , eksim</t>
  </si>
  <si>
    <t>cap gajah salicyl sp  asam salisiat digunakan mengatasi kulit panu  kadas  kurap  eksim</t>
  </si>
  <si>
    <t>thiamine mononitrate pyridoxine hydrochloride cyanocobalamin adenosine triphosphate disodium dl-alpha-tocopheryl acetate</t>
  </si>
  <si>
    <t xml:space="preserve">neuro atp tablet thiamine mononitrate pyridoxine hydrochloride cyanocobalamin adenosine triphosphate disodium dlalphatocopheryl acetate </t>
  </si>
  <si>
    <t>DKL7225201910A1</t>
  </si>
  <si>
    <t>Inolin 3 mg 10 Tablet</t>
  </si>
  <si>
    <t>Rp12.000 - Rp19.000</t>
  </si>
  <si>
    <t>PENGGUNAAN OBAT INI HARUS SESUAI DENGAN PETUNJUK DOKTER. Dewasa 1-4 tablet sehari dibagi dalam 2-3 kali pemberian</t>
  </si>
  <si>
    <t>DTL1003813246A1</t>
  </si>
  <si>
    <t>Cendo Eyefresh Plus Minidose 0.6 ml</t>
  </si>
  <si>
    <t>Rp42.200 - Rp53.700</t>
  </si>
  <si>
    <t>catch cover , 5 Botol @ 0.6 ml</t>
  </si>
  <si>
    <t>cendo eyefresh plus minidose</t>
  </si>
  <si>
    <t>cendo eyefresh plus minidose tetes dextran 70 meringankan gejala iritasi ringan infeksi mata</t>
  </si>
  <si>
    <t>DKL1328206410A1</t>
  </si>
  <si>
    <t>Maxprinol 500 mg 4 Tablet</t>
  </si>
  <si>
    <t>Rp48.000 - Rp58.300</t>
  </si>
  <si>
    <t>PENGGUNAAN OBAT INI HARUS SESUAI DENGAN PETUNJUK DOKTER. Usia &lt; 5 tahun, rata - rata 50 mg/kgBB per hari. Dosis ini dapat ditingkatkan sampai dengan 100 mg/kgBB per hari, tergantung tingkat keparahan penyakit. Usia &gt; 5 tahun, rata - rata 50 mg/kgBB per hari dan dapat ditingkatkan sampai 60 mg/kgBB per hari. Dosis ini diberikan 4-6 kali dalam dosis terbagi.</t>
  </si>
  <si>
    <t>Sebagai imunomodulator untuk meningkatkan respon sistem kekebalan tubuh melawan infeksi virus.</t>
  </si>
  <si>
    <t>Dus, isi 2 strip @4 tablet</t>
  </si>
  <si>
    <t>Gout, penyakit jantung yang sedang mendapat terapi digitalis. Hamil, laktasi.</t>
  </si>
  <si>
    <t>HARUS DENGAN RESEP DOKTER. Penderita gangguan ginjal dan penyakit asam urat,</t>
  </si>
  <si>
    <t>sebagai imunomodulator meningkatkan respon sistem kekebalan tubuh melawan infeksi virus</t>
  </si>
  <si>
    <t>maxprinol tablet methisoprinol sebagai imunomodulator meningkatkan respon sistem kekebalan tubuh melawan infeksi virus</t>
  </si>
  <si>
    <t>DKL1612702429A1</t>
  </si>
  <si>
    <t>Betason Cream 5 gr</t>
  </si>
  <si>
    <t>Rp8.800 - Rp11.400</t>
  </si>
  <si>
    <t>Oles tipis-tipis pada kulit yang bermasalah.</t>
  </si>
  <si>
    <t>PENGGUNAAN OBAT INI HARUS SESUAI DENGAN PETUNJUK DOKTER. Dioleskan 3-4 kali sehari.</t>
  </si>
  <si>
    <t>INFORMASI OBAT INI HANYA UNTUK KALANGAN MEDIS. Ekzema, termasuk ekzema atopik, infantil, stasis &amp; diskoid &amp; prurigo</t>
  </si>
  <si>
    <t>Dus, 1 Tube @ 5 gram</t>
  </si>
  <si>
    <t>Hipersensitif, TB kulit, infeksi jamur dan virus pada kulit.</t>
  </si>
  <si>
    <t>Obat Wajib Apotek, Obat ini dapat dibeli dan diserahkan apoteker tanpa resep dengan maksimum 1 Tube. Pembelian melebihi batas ini WAJIB RESEP DOKTER. Pemakaian jangka panjang atau untuk profilaksis, kambuh kembali jika dihentikan secara mendadak, hindari kontak dengan mata, kerusakan kulit berat. Kategori kehamilan: C</t>
  </si>
  <si>
    <t>ekzema , ekzema atopik , infantil , stasis diskoid prurigo</t>
  </si>
  <si>
    <t>betason cream gr</t>
  </si>
  <si>
    <t>betason cream gr krim betamethasone valerate ekzema  ekzema atopik  infantil  stasis diskoid prurigo</t>
  </si>
  <si>
    <t>DTL0705042637A1</t>
  </si>
  <si>
    <t>Rhinos Junior Sirup 60 ml</t>
  </si>
  <si>
    <t>Rp53.300 - Rp68.900</t>
  </si>
  <si>
    <t>Dewasa dan anak-anak lebih dari 12 tahun: 2 sendok takar (10 ml), 3 kali sehari. Anak-anak 6-12 tahun: 1 sendok takar (5 ml), 3 kali sehari. Anak-anak 2-5 tahun: 1/2 sendok takar (2.5 ml), 3 kali sehari. Anak-anak di bawah 2 tahun: atas petunjuk dokter.</t>
  </si>
  <si>
    <t>Obat ini digunakan untuk meringankan gejala bersin-bersin dan hidung tersumbat karena pilek</t>
  </si>
  <si>
    <t>obat meringankan gejala bersin - bersin hidung tersumbat pilek</t>
  </si>
  <si>
    <t>rhinos junior</t>
  </si>
  <si>
    <t>rhinos junior sirup chlorphenamine maleate obat meringankan gejala bersin  bersin hidung tersumbat pilek</t>
  </si>
  <si>
    <t>sisoprim suspensi sulfamethoxazole trimethoprim mengobati infeksi akibat bakteri saluran pernapasan  pencernaan  saluran kemih</t>
  </si>
  <si>
    <t>DTL9607102310A1</t>
  </si>
  <si>
    <t>Zecamex 4 mg 12 Tablet</t>
  </si>
  <si>
    <t>Rp900 - Rp1.100</t>
  </si>
  <si>
    <t>PENGGUNAAN OBAT INI HARUS SESUAI DENGAN PETUNJUK DOKTER. Dewasa: Sehari 3-4 x 1 tablet. Anak 6-12 tahun: Sehari 3-4 x 1/2 tablet (1 sdtk). Anak 1-6 tahun: Sehari 3-4 x 1/4 tablet (1/2 sdt sirup).</t>
  </si>
  <si>
    <t>Alergi seperti rinitis, konjungtivitis, urtikaria, gatal karena gigitan serangga, eksema, dermatitis.</t>
  </si>
  <si>
    <t>Dus, Strip @ 12 Tablet</t>
  </si>
  <si>
    <t>Anak dengan usia dibawah 2 tahun, penderita serangan asma akut</t>
  </si>
  <si>
    <t>alergi rinitis , konjungtivitis , urtikaria , gatal gigitan serangga , eksema , dermatitis</t>
  </si>
  <si>
    <t>zecamex</t>
  </si>
  <si>
    <t>zecamex tablet chlorphenamine maleate alergi rinitis  konjungtivitis  urtikaria  gatal gigitan serangga  eksema  dermatitis</t>
  </si>
  <si>
    <t>DKL8713300737A1</t>
  </si>
  <si>
    <t>Lasmalin Sirup 100 ml</t>
  </si>
  <si>
    <t>Rp30.000 - Rp52.000</t>
  </si>
  <si>
    <t>PENGGUNAAN OBAT INI HARUS SESUAI DENGAN PETUNJUK DOKTER. Dewasa : 2-3 sendok takar 5 mL, Anak 7-15 tahun : 1-2 sendok takar 5 mL, Anak 3-6 tahun : 0.5 -1 sendok takar 5 mL. Diberikan 2-3 x sehari</t>
  </si>
  <si>
    <t>Asma Bronkhial, Bronkhitis Khronis, Emfisema &amp; penyakit Paru lainnya dengan komplikasi Bronkhospasme</t>
  </si>
  <si>
    <t>Tirotoksikosis</t>
  </si>
  <si>
    <t>Obat Wajib Apotek, Obat ini dapat dibeli dan diserahkan apoteker tanpa resep dengan maksimum 1 Botol. Pembelian melebihi batas ini WAJIB RESEP DOKTER. Bagi wanita yang sedang hamil, sesuaikan dosis dengan anjuran dokter. Sedangkan bagi wanita yang sedang menyusui, tidak diperbolehkan mengonsumsi obat ini. Harap berhati-hati apabila menderita diabetes, hipertensi, gangguan jantung (aritmia atau ketidakteraturan detak jantung), serta hipertiroidisme.</t>
  </si>
  <si>
    <t>asma bronkhial , bronkhitis khronis , emfisema penyakit paru komplikasi bronkhospasme</t>
  </si>
  <si>
    <t>lasmalin</t>
  </si>
  <si>
    <t>lasmalin sirup terbutaline sulfate asma bronkhial  bronkhitis khronis  emfisema penyakit paru komplikasi bronkhospasme</t>
  </si>
  <si>
    <t xml:space="preserve">primadex tablet sulfamethoxazole trimethoprim isk  infeksi sal cerna infeksi sal nafas bakteri gr </t>
  </si>
  <si>
    <t>DKL8317600904A1</t>
  </si>
  <si>
    <t>Trimoxsul Forte 4 Tablet</t>
  </si>
  <si>
    <t>Rp12.500 - Rp13.100</t>
  </si>
  <si>
    <t>Dus, 25 Strip @ 4 Kaplet</t>
  </si>
  <si>
    <t>TR193329831</t>
  </si>
  <si>
    <t>Thyponisix 6 Kapsul</t>
  </si>
  <si>
    <t>THYPONISIX</t>
  </si>
  <si>
    <t>Rp17.600 - Rp20.500</t>
  </si>
  <si>
    <t>2 kapsul, diminum 3 kali per hari</t>
  </si>
  <si>
    <t>Membantu menjaga kesehatan tubuh, meningkatkan daya tahan tubuh dan menangkal radikal bebas</t>
  </si>
  <si>
    <t>thyponisix</t>
  </si>
  <si>
    <t>membantu menjaga kesehatan tubuh , meningkatkan daya tahan tubuh menangkal radikal bebas</t>
  </si>
  <si>
    <t>thyponisix kapsul membantu menjaga kesehatan tubuh  meningkatkan daya tahan tubuh megkal radikal bebas</t>
  </si>
  <si>
    <t>cendo vision eye drop tetes tetrahydrozoline hydrochloride tetes mata steril mengatasi iritasi mata</t>
  </si>
  <si>
    <t>TR212230131</t>
  </si>
  <si>
    <t>Adem Sari 5 Sachet</t>
  </si>
  <si>
    <t>ADEM SARI</t>
  </si>
  <si>
    <t>Rp12.400 - Rp19.700</t>
  </si>
  <si>
    <t>1 sachet dicampur dengan air 200 mL, diaduk dan minum segera sampai habis</t>
  </si>
  <si>
    <t>Dewasa: 1 bungkus 2-3 x sehari. Anak-anak: 1/2 bungkus 2-3 x sehari.</t>
  </si>
  <si>
    <t>Membantu meredakan gejala panas dalam, seperti tenggorokan kering, sariawan, dan bibir pecah-pecah.</t>
  </si>
  <si>
    <t>Dus, 5 Sachet @ 7 g</t>
  </si>
  <si>
    <t>Penderita phenylketonuria, hamil, penderita dengan fenilalanin tinggi</t>
  </si>
  <si>
    <t>adem sari</t>
  </si>
  <si>
    <t>membantu meredakan gejala panas , tenggorokan kering , sariawan , bibir pecah - pecah</t>
  </si>
  <si>
    <t>adem sari sachet membantu meredakan gejala panas  tenggorokan kering  sariawan  bibir pecah  pecah</t>
  </si>
  <si>
    <t>DBL0016907201A1</t>
  </si>
  <si>
    <t>Omegavit 10 Kapsul</t>
  </si>
  <si>
    <t>Rp2.900 - Rp5.100</t>
  </si>
  <si>
    <t>1 x sehari 1 kapsul</t>
  </si>
  <si>
    <t>Anemia disebabkan kekurangan zat besi dan mineral, juga membantu menambah darah.</t>
  </si>
  <si>
    <t>Dus 10 X 10 Kapsul</t>
  </si>
  <si>
    <t>Pasien yang memiliki riwayat alergi / hipersensitivitas pada salah satu komponen di atas.</t>
  </si>
  <si>
    <t>Warna tinja sebagian besar menjadi hitam, tetapi tidak berbahay</t>
  </si>
  <si>
    <t>DKL1305047336A1</t>
  </si>
  <si>
    <t>Ritez Drops 10 ml</t>
  </si>
  <si>
    <t>Rp72.400 - Rp96.800</t>
  </si>
  <si>
    <t>PENGGUNAAN OBAT INI HARUS SESUAI DENGAN PETUNJUK DOKTER. Bayi 12-23 bulan: 1/4 ml (0.25 ml) per hari. Maksimal 0.5 ml per hari dalam dosis terbagi setiap 12 jam. Bayi 6-11 bulan: 1/4 ml (0.25 ml) per hari.</t>
  </si>
  <si>
    <t>Dus, 1 Botol @ 10 ml + dropper.</t>
  </si>
  <si>
    <t>Obat ini sebaiknya tidak dikonsumsi oleh pasien dengan kondisi: hipersensitif terhdap Cetirizine, hydroxyzine, atau salah satu komponennya, wanita hamil dan/atau menyusui.</t>
  </si>
  <si>
    <t>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</si>
  <si>
    <t>ritez</t>
  </si>
  <si>
    <t>ritez tetes cetirizine hydrochloride kondisi alergi rinitis perenial  rinitis alergi urtikaria idiopatik kronik</t>
  </si>
  <si>
    <t>DKL0433204538A1</t>
  </si>
  <si>
    <t>Mexylin Dry Sirup 60 ml</t>
  </si>
  <si>
    <t>Rp19.900 - Rp27.100</t>
  </si>
  <si>
    <t>PENGGUNAAN OBAT INI HARUS SESUAI DENGAN PETUNJUK DOKTER. Dewasa: 20 ml 3 kali sehari. Anak : 5 ml 3 kali sehari</t>
  </si>
  <si>
    <t>Infeksi saluran pernafasan, saluran kemih &amp; kelamin, kulit &amp; jaringan lunak.</t>
  </si>
  <si>
    <t>Hipersensitivitas terhadap Penisilin. Mononukleosis infeksiosa.</t>
  </si>
  <si>
    <t>HARUS DENGAN RESEP DOKTER. Hipersensitif terhadap Sefalosporin. Gangguan ginjal. Leukemia limfatik.</t>
  </si>
  <si>
    <t>infeksi saluran pernafasan , saluran kemih kelamin , kulit jaringan lunak</t>
  </si>
  <si>
    <t>mexylin</t>
  </si>
  <si>
    <t>mexylin sirup amoxicillin trihydrate infeksi saluran pernafasan  saluran kemih kelamin  kulit jaringan lunak</t>
  </si>
  <si>
    <t>DKL7603809546B1</t>
  </si>
  <si>
    <t>Cendo Mydriathyl 0.5% Eye Drops 5 ml</t>
  </si>
  <si>
    <t>Rp31.800 - Rp41.200</t>
  </si>
  <si>
    <t>PENGGUNAAN OBAT INI HARUS SESUAI DENGAN PETUNJUK DOKTER. Siklopegia dan midriasis : 1-2 tetes, kelumpuhan akomodasi dalam 5 menit : 1 tetes ( paling banyak 4-6 tetes)</t>
  </si>
  <si>
    <t>Sikloplegia dan midriatikum diagnostik pada semua umur, operasi katarak, melumpuhkan akomodasi</t>
  </si>
  <si>
    <t>Botol Tetes Mata @ 5 ml</t>
  </si>
  <si>
    <t>HARUS DENGAN RESEP DOKTER. Penggunaan pasien lansia, hanya untuk penggunaan topikal</t>
  </si>
  <si>
    <t>tropicamide</t>
  </si>
  <si>
    <t>sikloplegia midriatikum diagnostik umur , operasi katarak , melumpuhkan akomodasi</t>
  </si>
  <si>
    <t>cendo mydriathyl eye</t>
  </si>
  <si>
    <t>cendo mydriathyl eye tetes tropicamide sikloplegia midriatikum diagnostik umur  operasi katarak  melumpuhkan akomodasi</t>
  </si>
  <si>
    <t>DTL1613025737A1</t>
  </si>
  <si>
    <t>Siladex Antitussive Sirup 100 ml</t>
  </si>
  <si>
    <t>Rp23.900 - Rp26.300</t>
  </si>
  <si>
    <t>Dewasa dan anak-anak diatas 12 tahun: 3 kali sehari 1 sendok takar (5 ml). Anak-anak usia 6 - 12 tahun: 3 kali sehari 0.5 sendok takar (2.5 ml). Atau menurut petunjuk dokter.</t>
  </si>
  <si>
    <t>Meringankan batuk tidak berdahak atau batuk kering yang disertai alergi.</t>
  </si>
  <si>
    <t>Penderita hipersensitivitas terhadap komponen dalam sediaan ini. Penderita dengan gangguan jantung dan diabetes mellitus. Penderita dengan gangguan fungsi hati berat.</t>
  </si>
  <si>
    <t>Tidak dianjurkan untuk anak-anak dibawah 6 tahun, kecuali atas petunjuk dokter. Hati-hati untuk penderita dalam keadaan mengantuk dan hipoksia (kekurangan oksigen). Hati-hati bila digunakan pada penderita dengan gangguan fungsi hati. Penderita yang minum obat ini sebaiknya jangan mengemudikan kendaraan bermotor dan menjalankan mesin. Tidak dianjurkan penggunaan pada wanita hamil dan menyusui karena resiko efek samping pada bayi. Tidak dianjurkan untuk batuk berdahak. Jika batuk tidak berkurang atau bertambah berat setelah 3 hari segera hubungi dokter. Simpan pada suhu dibawah 30 C.</t>
  </si>
  <si>
    <t>meringankan batuk tidak berdahak batuk kering disertai alergi</t>
  </si>
  <si>
    <t>siladex antitussive</t>
  </si>
  <si>
    <t>siladex antitussive sirup chlorphenamine maleate meringankan batuk tidak berdahak batuk kering disertai alergi</t>
  </si>
  <si>
    <t>DKL9305011701A1</t>
  </si>
  <si>
    <t>Sporacid Kapsul 100 mg</t>
  </si>
  <si>
    <t>Rp28.000 - Rp28.700</t>
  </si>
  <si>
    <t>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t>
  </si>
  <si>
    <t>INFORMASI OBAT INI HANYA UNTUK KALANGAN MEDIS. Dermatomiosis, kandidiasis, mikosis sistemik, Tinea corporis, Tinea pidea, Tinea kapitis</t>
  </si>
  <si>
    <t>Hipersensitif, hamil</t>
  </si>
  <si>
    <t>HARUS DENGAN RESEP DOKTER.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</si>
  <si>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dermatomiosis , kandidiasis , mikosis sistemik , tinea corporis , tinea pidea , tinea kapitis</t>
  </si>
  <si>
    <t>sporacid</t>
  </si>
  <si>
    <t>sporacid kapsul itraconazole dermatomiosis  kandidiasis  mikosis sistemik  tinea corporis  tinea pidea  tinea kapitis</t>
  </si>
  <si>
    <t>DKL7817606738A1</t>
  </si>
  <si>
    <t>Intermoxil Dry Sirup 125mg/5 ml 60 ml</t>
  </si>
  <si>
    <t>Rp45.200 - Rp73.600</t>
  </si>
  <si>
    <t>PENGGUNAAN OBAT INI HARUS SESUAI DENGAN PETUNJUK DOKTER. Dewasa : 250 - 500 mg 3 kali sehari. Anak &lt; 20 kg : 20 - 40 mg/kg BB/hari dosis terbagi tiap 8 jam. Anak ??10 tahun : 125 - 250 mg 3 kali sehari</t>
  </si>
  <si>
    <t>Infeksi sal nafas atas dan bawah, sal kemih dan kelamin, kulit dan jar lunak</t>
  </si>
  <si>
    <t>Sirup 125 Mg/5 ml X 60 ml X 1</t>
  </si>
  <si>
    <t>HARUS DENGAN RESEP DOKTER. Hipersensitif terhadap sefalosporin. Gangguan ginjal. Leukimia limfatik</t>
  </si>
  <si>
    <t>infeksi sal nafas , sal kemih kelamin , kulit jar lunak</t>
  </si>
  <si>
    <t>intermoxil</t>
  </si>
  <si>
    <t>intermoxil sirup amoxicillin trihydrate infeksi sal nafas  sal kemih kelamin  kulit jar lunak</t>
  </si>
  <si>
    <t>pronam kaplet cyproheptadine hydrochloride alergi urtikaria angioedema  cold urticaria  allergic rhinitis  vasomotor rhinitis</t>
  </si>
  <si>
    <t>DKL9117606738B1</t>
  </si>
  <si>
    <t>Intermoxil Forte Dry Sirup 60 ml</t>
  </si>
  <si>
    <t>Rp50.400 - Rp86.000</t>
  </si>
  <si>
    <t>Sirup 250 Mg/5 ml X 60 ml X 1</t>
  </si>
  <si>
    <t>intermoxil forte</t>
  </si>
  <si>
    <t>intermoxil forte sirup amoxicillin infeksi sal nafas  sal kemih kelamin  kulit jar lunak</t>
  </si>
  <si>
    <t>DKL7811637709A1</t>
  </si>
  <si>
    <t>Kalbutol 500 mg 10 Tablet</t>
  </si>
  <si>
    <t>Rp5.500 - Rp7.300</t>
  </si>
  <si>
    <t>PENGGUNAAN OBAT INI HARUS SESUAI DENGAN PETUNJUK DOKTER. Dosis lazim : 15 - 25 mg/kg BB/hari dosis tunggal. Pasien yang pernah mendapat obat tuberkulosis : 15 mg/kg BB/hari. Pasien yang sudah pernah mendapat obat tuberkulosis : 25 mg/kg BB/hari</t>
  </si>
  <si>
    <t>Anti tuberkulosis sebagai kombinasi dengan obat anti tuberkulosis lainnya misalnya rifampicin, isonicotine hydrazine</t>
  </si>
  <si>
    <t>Anak &lt; 13 tahun, neuritis optik, hipersensitif</t>
  </si>
  <si>
    <t>HARUS DENGAN RESEP DOKTER. Gangguan daya penglihatan. Periksa fungsi ginjal, hati, hematopoietik secara periodik pada penggunaan jangka panjang. Gangguan fungsi ginjal. Hamil, laktasi</t>
  </si>
  <si>
    <t>anti tuberkulosis kombinasi obat anti tuberkulosis rifampicin , isonicotine hydrazine</t>
  </si>
  <si>
    <t>kalbutol</t>
  </si>
  <si>
    <t>kalbutol kaplet ethambutol hydrochloride anti tuberkulosis kombinasi obat anti tuberkulosis rifampicin  isonicotine hydrazine</t>
  </si>
  <si>
    <t>DKL7803811046A1</t>
  </si>
  <si>
    <t>Cendo Lubricen Eye Drops 5 ml</t>
  </si>
  <si>
    <t>Rp40.200 - Rp52.400</t>
  </si>
  <si>
    <t>Untuk mencegah mata kekurangan cairan yang dapat menyebabkan merah dan iritasi.</t>
  </si>
  <si>
    <t>Botol, 5 ml</t>
  </si>
  <si>
    <t>untuk mencegah mata kekurangan cairan menyebabkan merah iritasi</t>
  </si>
  <si>
    <t>cendo lubricen eye</t>
  </si>
  <si>
    <t>cendo lubricen eye tetes hypromellose untuk mencegah mata kekurangan cairan menyebabkan merah iritasi</t>
  </si>
  <si>
    <t>Siladex Antitussive Sirup 60 ml</t>
  </si>
  <si>
    <t>Rp17.000 - Rp19.000</t>
  </si>
  <si>
    <t>Dewasa dan anak-anak diatas 12 tahun: 3 kali sehari, 1 sendok takar (5 ml). Anak-anak 6 ï¿½ 12 tahun: 3 kali sehari, 0.5 sendok takar (2.5 ml). Atau menurut petunjuk dokter.</t>
  </si>
  <si>
    <t>Meredakan batuk tidak berdahak atau batuk kering yang disertai alergi.</t>
  </si>
  <si>
    <t>Penderita hipersensitif terhadap salah satu bahan yang terkandung dalam sediaan ini. Penderita dengan gangguan jantung dan diabetes mellitus. Penderita dengan gangguan fungsi hati yang berat.</t>
  </si>
  <si>
    <t>Dapat menyebabkan kantuk. Tidak dianjurkan untuk anak-anak di bawah 6 tahun, kecuali atas petunjuk dokter. Hati-hati untuk penderiata dapat keadaan mengantuk, debil dan hipoksia (kekurangan oksigen). Dapat menyebabkan deperi pernafasan dan susunan saraf pusat pada penggunaan dengan dosis besar atau pada pasien dengan gangguan fungsi pernafasan (misal asma). Penderita yang mengonsumsi obat ini sebaiknya jangan mengemudikan kendaraan bermotor atau menjalankan mesin. Tidak dianjurkan penggunaannya pada ibu hamil dan menyusui karena risiko efek samping pada bayi. Tidak dianjurkan untuk batuk berdahak. Jika batuk tidak berkurang atau bertambah berat setelah 3 hari, segera hubungi dokter. Penggunaan harus hati-hati pada pasien peminum alkohol atau obat-obatan penenang.</t>
  </si>
  <si>
    <t>meredakan batuk tidak berdahak batuk kering disertai alergi</t>
  </si>
  <si>
    <t>siladex antitussive sirup chlorphenamine maleate meredakan batuk tidak berdahak batuk kering disertai alergi</t>
  </si>
  <si>
    <t>DKL9222212901A1</t>
  </si>
  <si>
    <t>Uplores 150 mg 10 Kapsul</t>
  </si>
  <si>
    <t>Rp65.000 - Rp81.000</t>
  </si>
  <si>
    <t>PENGGUNAAN OBAT INI HARUS SESUAI DENGAN PETUNJUK DOKTER. Dewasa : 2 kali sehari 1 kapsul</t>
  </si>
  <si>
    <t>Infeksi karena mikroorganisme yang peka pada THT, sal nafas, genital (kecuali gonokokus), kulit</t>
  </si>
  <si>
    <t>Kapsul 150 Mg X 3 X 10</t>
  </si>
  <si>
    <t>HARUS DENGAN RESEP DOKTER. Mual, muntah, diare, alergi kulit</t>
  </si>
  <si>
    <t>roxithromycin</t>
  </si>
  <si>
    <t>infeksi mikroorganisme peka tht , sal nafas , genital kecuali gonokokus , kulit</t>
  </si>
  <si>
    <t>uplores</t>
  </si>
  <si>
    <t>uplores kapsul roxithromycin infeksi mikroorganisme peka tht  sal nafas  genital kecuali gonokokus  kulit</t>
  </si>
  <si>
    <t>DKL8317601201A2</t>
  </si>
  <si>
    <t>Tetrin 500 mg 10 Kapsul</t>
  </si>
  <si>
    <t>Rp20.200 - Rp23.100</t>
  </si>
  <si>
    <t>PENGGUNAAN OBAT INI HARUS SESUAI DENGAN PETUNJUK DOKTER. Dewasa: sehari 1-2 g dibagi dalam dosis 2-4 dosis</t>
  </si>
  <si>
    <t>salbutamol sulfate guaifenesin</t>
  </si>
  <si>
    <t>salbron expectorant sirup salbutamol sulfate guaifenesin asma bronkhial  bronkitis khronis  emfisema kondisi2 bronkhospastik</t>
  </si>
  <si>
    <t>DKI1237400146A1</t>
  </si>
  <si>
    <t>Latipress Eye Drops 2.5 ml</t>
  </si>
  <si>
    <t>Rp159.900 - Rp246.100</t>
  </si>
  <si>
    <t>PENGGUNAAN OBAT INI HARUS SESUAI DENGAN PETUNJUK DOKTER. 1 kali sehari 1 tetes</t>
  </si>
  <si>
    <t>Menurunkan TIO yang meningkat pada pasien glaukoma sudut terbuka dan hipotensi okuler</t>
  </si>
  <si>
    <t>Hipersensitif thd latanoprost dan benzalkonium Cl.</t>
  </si>
  <si>
    <t>HARUS DENGAN RESEP DOKTER. Jangan digunakan pada saat mengenakan lensa kontak. Gangguan ginjal atau hati, wanita hamil dan menyusui</t>
  </si>
  <si>
    <t>menurunkan tio meningkat pasien glaukoma sudut terbuka hipotensi okuler</t>
  </si>
  <si>
    <t>latipress eye</t>
  </si>
  <si>
    <t>latipress eye tetes latanoprost menurunkan tio meningkat pasien glaukoma sudut terbuka hipotensi okuler</t>
  </si>
  <si>
    <t>DKI1486001946A1</t>
  </si>
  <si>
    <t>Travatan Opthamic Solution 2.5 ml</t>
  </si>
  <si>
    <t>Rp387.500 - Rp423.600</t>
  </si>
  <si>
    <t>Diteteskan sore hari</t>
  </si>
  <si>
    <t>PENGGUNAAN OBAT INI HARUS SESUAI DENGAN PETUNJUK DOKTER. Berikan 1 tetes pada mata yang sakit 1 kali sehari pada sore hari</t>
  </si>
  <si>
    <t>Menurunkan TIO pada pasien dengan glaukoma sudut terbuka atau hipertensi okular</t>
  </si>
  <si>
    <t>Tetes Mata 0.004% X 2.5 ml X 1</t>
  </si>
  <si>
    <t>Kehamilan</t>
  </si>
  <si>
    <t>HARUS DENGAN RESEP DOKTER. Dapat menyebabkan perubahan pada warna mata, kelopak mata menjadi kehitaman. Peningkatan pigmentasi dan pertumbuhan bulu mata. Inflamasi okular aktif. Afakia, pseudoafakia dengan robekan kapsul posterior lensa mata, atau yang diketahui memiliki faktor ris</t>
  </si>
  <si>
    <t>travoprost</t>
  </si>
  <si>
    <t>menurunkan tio pasien glaukoma sudut terbuka hipertensi okular</t>
  </si>
  <si>
    <t>travatan opthamic solution</t>
  </si>
  <si>
    <t>travatan opthamic solution tetes travoprost menurunkan tio pasien glaukoma sudut terbuka hipertensi okular</t>
  </si>
  <si>
    <t>DKL9309204104A2</t>
  </si>
  <si>
    <t>Fasiprim 10 Kaplet</t>
  </si>
  <si>
    <t>Rp2.900 - Rp4.800</t>
  </si>
  <si>
    <t>PENGGUNAAN OBAT INI HARUS SESUAI DENGAN PETUNJUK DOKTER. Dewasa : 2 kali sehari 960 mg. Anak usia 6-12 tahun : 2 kali sehari 480 mg. Anak usia 6 bulan-6 tahun : 2 kali sehari 240 mg. Anak usia 6 minggu-6 bulan : 2 kali sehari 120 mg.</t>
  </si>
  <si>
    <t>Untuk menbgobati infeksi bakteri saluran kemih, infeksi bakteri saluran pernafasan.</t>
  </si>
  <si>
    <t>untuk menbgobati infeksi bakteri saluran kemih , infeksi bakteri saluran pernafasan</t>
  </si>
  <si>
    <t>fasiprim</t>
  </si>
  <si>
    <t>fasiprim kaplet sulfamethoxazole untuk menbgobati infeksi bakteri saluran kemih  infeksi bakteri saluran pernafasan</t>
  </si>
  <si>
    <t>DKL9609206533A1</t>
  </si>
  <si>
    <t>Fasiprim Sirup 60 ml</t>
  </si>
  <si>
    <t>Rp5.900 - Rp9.800</t>
  </si>
  <si>
    <t>fasiprim suspensi sulfamethoxazole untuk menbgobati infeksi bakteri saluran kemih  infeksi bakteri saluran pernafasan</t>
  </si>
  <si>
    <t>DTL1925805110A1</t>
  </si>
  <si>
    <t>Trifachlor 4 mg 10 Tablet</t>
  </si>
  <si>
    <t>Dewasa dan anak-anak usia 12 tahun atau lebih : 1 tablet (4 mg)</t>
  </si>
  <si>
    <t>Hati-hati penggunaan pada penderita hipertrofi prostat, retensi urin, pasien dengan risiko glaukoma sudut sempit, obstruksi pyloroduodenal, gangguan fungsi hati dan epilepsi. Obat ini dapat menyebabkan kantuk. Hati-hati penggunaan pada ibu menyusui.</t>
  </si>
  <si>
    <t>trifachlor</t>
  </si>
  <si>
    <t>trifachlor tablet chlorphenamine maleate alergi rinitis  konjungtivitis  urtikaria  gatal gigitan serangga  eksema  dermatitis</t>
  </si>
  <si>
    <t>DKL7803810446B1</t>
  </si>
  <si>
    <t>Cendo Timol 0.25% Minidose 0.6 ml</t>
  </si>
  <si>
    <t>Rp19.900 - Rp25.200</t>
  </si>
  <si>
    <t>PENGGUNAAN OBAT INI HARUS SESUAI DENGAN PETUNJUK DOKTER. 2 x sehari 1 tetes</t>
  </si>
  <si>
    <t>Menurunkan tekanan intraokuler pada penderita glaukoma dan hipertensi okuler.</t>
  </si>
  <si>
    <t>Asma bronkrial, penyakit paru obstruktif kronis berat, sinus bradikardia, gagal jantung</t>
  </si>
  <si>
    <t>HARUS DENGAN RESEP DOKTER. Hanya untuk pemakaian luar</t>
  </si>
  <si>
    <t>menurunkan tekanan intraokuler penderita glaukoma hipertensi okuler</t>
  </si>
  <si>
    <t>cendo timol minidose</t>
  </si>
  <si>
    <t>cendo timol minidose tetes timolol maleate menurunkan teka intraokuler penderita glaukoma hipertensi okuler</t>
  </si>
  <si>
    <t>DKL9722223546A1</t>
  </si>
  <si>
    <t>Bralifex Eye Drops 5 ml</t>
  </si>
  <si>
    <t>Rp38.200 - Rp50.100</t>
  </si>
  <si>
    <t>PENGGUNAAN OBAT INI HARUS SESUAI DENGAN PETUNJUK DOKTER. 1-2 tetes tiap 4-6 jam. Dalam 24-48 jam pertama dosis dapat ditingkatkan menjadi 1-2 tetes tiap 2 jam</t>
  </si>
  <si>
    <t>Infeksi eksternal bola mata dan struktur yang terkait yang disebabkan oleh bakteri yang sensitif.</t>
  </si>
  <si>
    <t>Keratitis herpes simpleks epitelial (keratitis dendritik), vaccinia, varisela dan penyakit virus lain pada kornea dan konjungtiva. Infeksi mikrobakteria, infeksi jamur pada mata. Setelah pengangkatan benda asing pada kornea</t>
  </si>
  <si>
    <t>HARUS DENGAN RESEP DOKTER. Penggunaan jangka panjang. Hamil dan laktasi</t>
  </si>
  <si>
    <t>infeksi eksternal bola mata struktur terkait disebabkan bakteri sensitif</t>
  </si>
  <si>
    <t>bralifex eye</t>
  </si>
  <si>
    <t>bralifex eye tetes tobramycin infeksi eksternal bola mata struktur terkait disebabkan bakteri sensitif</t>
  </si>
  <si>
    <t>DTL9006304010A1</t>
  </si>
  <si>
    <t>Sominal 25 mg 10 Tablet</t>
  </si>
  <si>
    <t>Rp2.000 - Rp5.400</t>
  </si>
  <si>
    <t>- Alergi dan mabuk perjalanan: Dewasa: 1-2 tablet, diminum 3-4 kali sehari. Dosis maksimal adalah 12 tablet per hari. - Untuk mencegah mabuk perjalanan, konsumsilah 30 menit sebelum melakukan perjalanan. Anak usia 2-5 tahun: 1/4 tablet, diminum tiap 4-6 j</t>
  </si>
  <si>
    <t>Digunakan sebagai obat alergi, untuk obat mabuk perjalanan dan untuk obat anti parkinson.</t>
  </si>
  <si>
    <t>digunakan obat alergi , obat mabuk perjalanan obat anti parkinson</t>
  </si>
  <si>
    <t>sominal</t>
  </si>
  <si>
    <t>sominal tablet diphenhydramine hydrochloride digunakan obat alergi  obat mabuk perjala obat anti parkinson</t>
  </si>
  <si>
    <t>TR202358291</t>
  </si>
  <si>
    <t>Biolife Neo HP Pro 10 Kapsul</t>
  </si>
  <si>
    <t>NEO HP PRO</t>
  </si>
  <si>
    <t>Rp88.800 - Rp91.000</t>
  </si>
  <si>
    <t>Dus, 12 Blister @ 10 Kapsul</t>
  </si>
  <si>
    <t>Jangan memberikan HP Pro Kapsul untuk pasien yang hipersensitif terhadap komponen obat.</t>
  </si>
  <si>
    <t>Simpan ditempat kering dan terhindar dari sinar matahari langsung. Simpan pada suhu dibawah 30 C</t>
  </si>
  <si>
    <t>neo hp pro</t>
  </si>
  <si>
    <t>biolife neo hp pro</t>
  </si>
  <si>
    <t>biolife neo hp pro kapsul neo hp pro membantu memelihara kesehatan fungsi hati</t>
  </si>
  <si>
    <t>DKL1228206109A1</t>
  </si>
  <si>
    <t>Simzen 10 mg 10 Tablet</t>
  </si>
  <si>
    <t>Rp38.600 - Rp62.400</t>
  </si>
  <si>
    <t>simzen kaplet cetirizine hydrochloride kondisi alergi rinitis perenial  rinitis alergi urtikaria idiopatik kronik</t>
  </si>
  <si>
    <t>DKL0234000601B1</t>
  </si>
  <si>
    <t>Novabiotic 500 mg 10 Kapsul</t>
  </si>
  <si>
    <t>Rp5.400 - Rp15.200</t>
  </si>
  <si>
    <t>PENGGUNAAN OBAT INI HARUS SESUAI DENGAN PETUNJUK DOKTER. 4 kali sehari 1 kapsul</t>
  </si>
  <si>
    <t>Infeksi saluran nafas, Gl, saluran kemih, kulit dan jaringan lunak</t>
  </si>
  <si>
    <t>Dus, 10 Strip x 10 Kapsul</t>
  </si>
  <si>
    <t>infeksi saluran nafas , gl , saluran kemih , kulit jaringan lunak</t>
  </si>
  <si>
    <t>novabiotic</t>
  </si>
  <si>
    <t>novabiotic kapsul tetracycline hydrochloride infeksi saluran nafas  gl  saluran kemih  kulit jaringan lunak</t>
  </si>
  <si>
    <t>cendo ulcori minidose tetes ciprofloxacin hydrochloride monohydrate tetes mata steril infeksi iritasi mata</t>
  </si>
  <si>
    <t>DKL8811608317B1</t>
  </si>
  <si>
    <t>Tarivid 200 mg 10 Tablet</t>
  </si>
  <si>
    <t>Rp126.600 - Rp151.600</t>
  </si>
  <si>
    <t>PENGGUNAAN OBAT INI HARUS SESUAI DENGAN PETUNJUK DOKTER. Infeksi saluran kencing : 200-400mg /hari dlm dosis tunggal / terbagi selama 1-10hari</t>
  </si>
  <si>
    <t>Infeksi saluran kemih, infeksi saluran nafas bawah, infeksi kulit &amp; jaringan lunak</t>
  </si>
  <si>
    <t>infeksi saluran kemih , infeksi saluran nafas , infeksi kulit jaringan lunak</t>
  </si>
  <si>
    <t>tarivid</t>
  </si>
  <si>
    <t>tarivid tablet ofloxacin infeksi saluran kemih  infeksi saluran nafas  infeksi kulit jaringan lunak</t>
  </si>
  <si>
    <t>DKL9311608317C1</t>
  </si>
  <si>
    <t>Tarivid 400 mg 10 Tablet</t>
  </si>
  <si>
    <t>Rp217.500 - Rp250.100</t>
  </si>
  <si>
    <t>Sebelum makan, jangan diberikan bersama susu</t>
  </si>
  <si>
    <t>HARUS DENGAN RESEP DOKTER. Hipersensitif, hamil, laktasi,anak</t>
  </si>
  <si>
    <t>DKL9918212509A1</t>
  </si>
  <si>
    <t>Hecobac Kaplet 500 mg</t>
  </si>
  <si>
    <t>Bersama dengan makanan, ditelan utuh, jangan dikunyah atau digerus</t>
  </si>
  <si>
    <t>PENGGUNAAN OBAT INI HARUS SESUAI DENGAN PETUNJUK DOKTER. Faringitis &amp; tonsilitis 250 mg 2x sehari selama 10 hari, sinusitis maksilaris akut 500 mg 2x sehari selama 14 hari, infeksi saluran napas bawah 250-500 mg2x sehari selam 7-14 hari</t>
  </si>
  <si>
    <t>Infeksi saluran nafas, otitis media akut, infeksi kulit dan struktur kulit</t>
  </si>
  <si>
    <t>HARUS DENGAN RESEP DOKTER. Hipersensitif terhadap golongan makrolida</t>
  </si>
  <si>
    <t>infeksi saluran nafas , otitis medium akut , infeksi kulit struktur kulit</t>
  </si>
  <si>
    <t>hecobac</t>
  </si>
  <si>
    <t>hecobac kaplet clarithromycin infeksi saluran nafas  otitis medium akut  infeksi kulit struktur kulit</t>
  </si>
  <si>
    <t>DKL7622247101A1</t>
  </si>
  <si>
    <t>Tetrasanbe 250 mg 10 Kapsul</t>
  </si>
  <si>
    <t>Kapsul 250 Mg X 10 X 10</t>
  </si>
  <si>
    <t>Hipersensitivitas. Gangguan ginjal berat. Hamil. Anak &lt; 12 tahun</t>
  </si>
  <si>
    <t>HARUS DENGAN RESEP DOKTER. Laktasi. Gangguan hati, miastenia gravis</t>
  </si>
  <si>
    <t>tetrasanbe</t>
  </si>
  <si>
    <t>tetrasanbe kapsul tetracycline hydrochloride infeksi saluran nafas  gl  saluran kemih  kulit jaringan lunak</t>
  </si>
  <si>
    <t>DKL0605040937A1</t>
  </si>
  <si>
    <t>Ritez Sirup 60 ml</t>
  </si>
  <si>
    <t>PENGGUNAAN OBAT INI HARUS SESUAI DENGAN PETUNJUK DOKTER. 2-5 tahun: Â½-1 sendok takar 5 ml (2,5-5 ml)/hari. 6-12 tahun: 1-2 sendok takar 5 ml (5-10 ml)/hari.</t>
  </si>
  <si>
    <t>ritez sirup cetirizine hydrochloride kondisi alergi rinitis perenial  rinitis alergi urtikaria idiopatik kronik</t>
  </si>
  <si>
    <t>DKL2022258546A1</t>
  </si>
  <si>
    <t>Akilen Eye Drop 5 ml</t>
  </si>
  <si>
    <t>Rp48.700 - Rp58.300</t>
  </si>
  <si>
    <t>Teteskan pada mata yang terinfeksi</t>
  </si>
  <si>
    <t>1-2 tetes setiap 4-6 jam. Dosis dapat ditingkatkan menjadi 1-2 tetes setiap 2 jam selama 24-48 jam pertama.</t>
  </si>
  <si>
    <t>Mengobati ulkus kornea dan konjungtivitis yang disebabkan oleh strain bakteri sensitif.</t>
  </si>
  <si>
    <t>Pasien yang hipersensitif terhadap komponen obat.</t>
  </si>
  <si>
    <t>Dapat terjadi sedimentasi pada ulcer saat akilen tetes mata digunakan dalam pengobatan ulkus kornea. Gunakan secara hati-hati untuk mencegah terjadinya kerusakan jaringan kornea.</t>
  </si>
  <si>
    <t>mengobati ulkus kornea konjungtivitis disebabkan strain bakteri sensitif</t>
  </si>
  <si>
    <t>akilen eye drop</t>
  </si>
  <si>
    <t>akilen eye drop tetes ofloxacin mengobati ulkus kornea konjungtivitis disebabkan strain bakteri sensitif</t>
  </si>
  <si>
    <t>DKL8605000304B1</t>
  </si>
  <si>
    <t>Primadex Forte 10 Tablet</t>
  </si>
  <si>
    <t>Rp7.000 - Rp7.500</t>
  </si>
  <si>
    <t>PENGGUNAAN OBAT INI HARUS SESUAI DENGAN PETUNJUK DOKTER. Dosis standar dewasa dan anak &gt;12th: 2 kali sehari 1 kaplet. infeksi berat: 2 kali sehari 1 1/2 kaplet. GO tanpa komplikasi 2 kali sehari 2 kaplet selama 2 hari, lanjutkan dengan 2 1/2 kaplet 8 jam kemudian</t>
  </si>
  <si>
    <t>Pasien yang memiliki riwayat alergi terhadap trimethoprim dan sulfamethoxazole, atau obat-obat golongan sulfonamide lainnya, gangguan hati dan ginjal yang berat, wanita hamil terutama menjelang kelahiran, anak &lt; 2 tahun (kecuali untuk pengobatan atau pencegahan pneumocytosis jiroveci (P. carinii) pada bayi dari usia empat minggu atau lebih), laktasi.</t>
  </si>
  <si>
    <t>HARUS DENGAN RESEP DOKTER. Penurunan fungsi ginjal, pasien asma bronkial atau .alergi berat Kategori Kehamilan : C</t>
  </si>
  <si>
    <t>primadex forte</t>
  </si>
  <si>
    <t xml:space="preserve">primadex forte kaplet sulfamethoxazole isk  infeksi sal cerna infeksi sal nafas bakteri gr </t>
  </si>
  <si>
    <t>DKL7821616717A1</t>
  </si>
  <si>
    <t>Euphyllin Retard Mite 125 mg 10 Tablet</t>
  </si>
  <si>
    <t>Rp16.400 - Rp27.100</t>
  </si>
  <si>
    <t>PENGGUNAAN OBAT INI HARUS SESUAI DENGAN PETUNJUK DOKTER. Dewasa : 2 x sehari 2 tablet, Anak 6-12 tahun : 2 x sehari 1 tablet.</t>
  </si>
  <si>
    <t>Box Isi 10 Strip @ 10 Tablet Salut</t>
  </si>
  <si>
    <t>euphyllin retard mite</t>
  </si>
  <si>
    <t>euphyllin retard mite tablet theophylline penyakit2 obstruksi saluran nafas asma bronkhial  bronkhitis khronis</t>
  </si>
  <si>
    <t>TR152589691</t>
  </si>
  <si>
    <t>Cavicur 10 Tablet</t>
  </si>
  <si>
    <t>CAVICUR TABLET SALUT GULA</t>
  </si>
  <si>
    <t>Rp4.600 - Rp10.200</t>
  </si>
  <si>
    <t>Sehari 3 x 1 kaplet</t>
  </si>
  <si>
    <t>Suplemen penambah nafsu makan dan membantu memelihara kesehatan</t>
  </si>
  <si>
    <t>Dus, 10 blister @10 tablet</t>
  </si>
  <si>
    <t>Hentikan pemakaian jika terjadi reaksi alergi</t>
  </si>
  <si>
    <t>cavicur tablet salut gula</t>
  </si>
  <si>
    <t>suplemen penambah nafsu makan membantu memelihara kesehatan</t>
  </si>
  <si>
    <t>cavicur</t>
  </si>
  <si>
    <t>cavicur tablet cavicur tablet salut gula suplemen penambah nafsu makan membantu memelihara kesehatan</t>
  </si>
  <si>
    <t>DTL8526103028A1</t>
  </si>
  <si>
    <t>Thrombophob Gel 20 g</t>
  </si>
  <si>
    <t>Rp60.600 - Rp83.100</t>
  </si>
  <si>
    <t>Obat ini digunakan untuk flebitis superfisial, penyempitan pembuluh vena, cedera karena olahraga dan kecelakaan.</t>
  </si>
  <si>
    <t>obat flebitis superfisial , penyempitan pembuluh vena , cedera olahraga kecelakaan</t>
  </si>
  <si>
    <t>thrombophob</t>
  </si>
  <si>
    <t>thrombophob gel heparin sodium obat flebitis superfisial  penyempitan pembuluh vena  cedera olahraga kecelakaan</t>
  </si>
  <si>
    <t>TR183313271</t>
  </si>
  <si>
    <t>Dr Boyke Wish Herbal Care Femilove 30 Kapsul</t>
  </si>
  <si>
    <t>FEMMILOVE</t>
  </si>
  <si>
    <t>Rp249.900 - Rp250.000</t>
  </si>
  <si>
    <t>2 x Sehari 1 Kapsul</t>
  </si>
  <si>
    <t>Membantu mengurangi lendir pada daerah kewanitaan.</t>
  </si>
  <si>
    <t>femmilove</t>
  </si>
  <si>
    <t>dr boyke wish herbal care femilove</t>
  </si>
  <si>
    <t>dr boyke wish herbal care femilove kapsul femmilove membantu mengurangi lendir daerah kewanitaan</t>
  </si>
  <si>
    <t>DTL0009315441A1</t>
  </si>
  <si>
    <t>Zoloral SS Shampo 80 ml</t>
  </si>
  <si>
    <t>Rp54.500 - Rp77.500</t>
  </si>
  <si>
    <t>Pitiriasis versikolor : gunakan 1 x sehari selama 5 hari, dermatitis seboroik &amp; pitiriasis kapitis (ketombe) : gunakan 2 x seminggu selama 2-4 minggu</t>
  </si>
  <si>
    <t>Terapi &amp; pencegahan Pitiriasis Versikolor, Dermatitis Seboroik &amp; Pitiriasis Kapitis</t>
  </si>
  <si>
    <t>Botol 20 mg/ml x 80 ml.</t>
  </si>
  <si>
    <t>Wanita hamil dan menyusui</t>
  </si>
  <si>
    <t>Jangan digunakan dahulu hingga paling cepat 2 minggu sesudah pengobatan jangka panjang dengan kortikosteroid</t>
  </si>
  <si>
    <t>terapi pencegahan pitiriasis versikolor , dermatitis seboroik pitiriasis kapitis</t>
  </si>
  <si>
    <t>zoloral ss shampo</t>
  </si>
  <si>
    <t>zoloral ss shampo krim ketoconazole terapi pencegahan pitiriasis versikolor  dermatitis seboroik pitiriasis kapitis</t>
  </si>
  <si>
    <t>DKL2105065502A1</t>
  </si>
  <si>
    <t>Force D Vitamin D3 5000 IU 60 Kapsul Lunak</t>
  </si>
  <si>
    <t>Dewasa: 1 kali sehari 1 kapsul lunak</t>
  </si>
  <si>
    <t>Membantu memenuhi kebutuhan Vitamin D.</t>
  </si>
  <si>
    <t>Botol @ 60 Kapsul lunak</t>
  </si>
  <si>
    <t>Hati-hati penggunaan pada pasien dengan gangguan ginjal</t>
  </si>
  <si>
    <t>1. Periksa kadar vitamin D dalam darah sesudah penggunaan 6 (enam) bulan atau lebih 2. Konsultasikan dengan dokter untuk penggunaan pada ibu hamil dan menyusui 3. Hentikan penggunaan bila terjadi gejala alergi 4. Konsumsi kalsium sesuai Angka Kecukupan Gizi (AKG) untuk menghindari hiperkalsemia</t>
  </si>
  <si>
    <t>membantu memenuhi kebutuhan vitamin d</t>
  </si>
  <si>
    <t>force d vitamin d iu lunak</t>
  </si>
  <si>
    <t>force d vitamin d iu lunak kapsul cholecalciferol membantu memenuhi kebutuhan vitamin d</t>
  </si>
  <si>
    <t>QD142612781E</t>
  </si>
  <si>
    <t>Minyak Otot Geliga 60 ml</t>
  </si>
  <si>
    <t>Rp23.200 - Rp45.000</t>
  </si>
  <si>
    <t>Di oleskan secukupnya pada bagian yang sakit</t>
  </si>
  <si>
    <t>Untuk meredakan nyeri otot, nyeri akibat pukulan, memar dan keseleo</t>
  </si>
  <si>
    <t>untuk meredakan nyeri otot , nyeri akibat pukulan , memar keseleo</t>
  </si>
  <si>
    <t>otot geliga</t>
  </si>
  <si>
    <t>otot geliga minyak menthol untuk meredakan nyeri otot  nyeri akibat pukulan  memar keseleo</t>
  </si>
  <si>
    <t>DKL1121635129A1</t>
  </si>
  <si>
    <t>Vaslone Cream 5 g</t>
  </si>
  <si>
    <t>Rp42.400 - Rp45.500</t>
  </si>
  <si>
    <t>2 kali sehari</t>
  </si>
  <si>
    <t>untuk mengobati penyakit kulit yang di sebabkan oleh jamur dan di sertai radang</t>
  </si>
  <si>
    <t>hipersensitif, herpes zoster, herpes simplex</t>
  </si>
  <si>
    <t>HARUS DENGAN RESEP DOKTER. - tidak di gunakan pada area mata - tidak boleh di balut - di gunakan paling lama 7 hari Kategori Kehamilan : C</t>
  </si>
  <si>
    <t>hydrocortisone miconazole nitrate</t>
  </si>
  <si>
    <t>mengobati penyakit kulit sebabkan jamur sertai radang</t>
  </si>
  <si>
    <t>vaslone cream</t>
  </si>
  <si>
    <t>vaslone cream krim hydrocortisone miconazole nitrate mengobati penyakit kulit sebabkan jamur sertai radang</t>
  </si>
  <si>
    <t>DBL0632711509A1</t>
  </si>
  <si>
    <t>Rindobion 10 Kaplet</t>
  </si>
  <si>
    <t>Rp11.700 - Rp21.200</t>
  </si>
  <si>
    <t>Defisiensi vitamin B1, B6, B12 seperti Polineuritis</t>
  </si>
  <si>
    <t>Pasien yang sedang mendapat terapi dengan levodopa.</t>
  </si>
  <si>
    <t>defisiensi vitamin b1 , b6 , b12 polineuritis</t>
  </si>
  <si>
    <t>rindobion kaplet thiamine nitrate pyridoxine hydrochloride cyanocobalamin defisiensi vitamin b1  b6  b12 polineuritis</t>
  </si>
  <si>
    <t>Minyak Otot Geliga 30 ml</t>
  </si>
  <si>
    <t>Rp12.900 - Rp22.900</t>
  </si>
  <si>
    <t>Di oleskan ke tempat yang teras nyeri</t>
  </si>
  <si>
    <t>Di oleskan secukupnya</t>
  </si>
  <si>
    <t>Botol @ 30 g</t>
  </si>
  <si>
    <t>Herbadrink Sari Jahe 22 Gr 5 Sachet</t>
  </si>
  <si>
    <t>Rp11.900 - Rp18.800</t>
  </si>
  <si>
    <t>Larutkan 1 sachet Herbadrink Sari Jahe ke dalam +/- 150 ml air panas atau dingin, sajikan dan nikmati manfaat alaminya segera.</t>
  </si>
  <si>
    <t>Minuman penghangat badan</t>
  </si>
  <si>
    <t>Dus, 5 Sachet @ 22 gram</t>
  </si>
  <si>
    <t>minuman penghangat badan</t>
  </si>
  <si>
    <t>herbadrink sari jahe gr</t>
  </si>
  <si>
    <t>herbadrink sari jahe gr sachet herbadrink sari jahe sugar free minuman penghangat badan</t>
  </si>
  <si>
    <t>TR032326791</t>
  </si>
  <si>
    <t>Biolife Brm 60 Kapsul</t>
  </si>
  <si>
    <t>BIO-LIFE BRM</t>
  </si>
  <si>
    <t>Rp417.500 - Rp657.000</t>
  </si>
  <si>
    <t>Pencegahan diminum 2 kali sehari 2 kapsul, dan untuk pencegahan diminum 1-2 kali sehari 1 kapsul.</t>
  </si>
  <si>
    <t>membantu meningkatkan terapi, mengurangi kemungkinan infeksi selama terapi pada terapi kanker</t>
  </si>
  <si>
    <t>Dos isi 6 Strip x 10 Tablet</t>
  </si>
  <si>
    <t>bio-life brm</t>
  </si>
  <si>
    <t>membantu meningkatkan terapi , mengurangi infeksi terapi terapi kanker</t>
  </si>
  <si>
    <t>biolife brm</t>
  </si>
  <si>
    <t>biolife brm kapsul biolife brm membantu meningkatkan terapi  mengurangi infeksi terapi terapi kanker</t>
  </si>
  <si>
    <t>DTL2022258628A1</t>
  </si>
  <si>
    <t>Hepagusan Gel 20 g</t>
  </si>
  <si>
    <t>Rp60.000 - Rp64.000</t>
  </si>
  <si>
    <t>Phlebitis permukaan, penyumbatan pembuluh balik yang berlebihan, cedera saat berolahraga dan kecelakaan, luka memar.</t>
  </si>
  <si>
    <t>phlebitis permukaan , penyumbatan pembuluh , cedera berolahraga kecelakaan , luka memar</t>
  </si>
  <si>
    <t>hepagusan</t>
  </si>
  <si>
    <t>hepagusan gel heparin sodium phlebitis permukaan  penyumbatan pembuluh  cedera berolahraga kecelakaan  luka memar</t>
  </si>
  <si>
    <t>DTL9102803337A1</t>
  </si>
  <si>
    <t>Komix Rasa Peppermint 7 ml</t>
  </si>
  <si>
    <t>Dewasa : 3 x sehari 1 sachet, Anak-anak : 1/2 dosis dewasa</t>
  </si>
  <si>
    <t>Dus, 10 Sachet @ 7 ml</t>
  </si>
  <si>
    <t>Tidak dianjurkan penggunaan untuk anak dibawah umur 6 tahun, kecuali atas saran dokter. Obat ini dapat menyebabkan kantuk, jangan mengendarai kendaraan bermotor atau menjalankan mesin ketika mengkonsumsi obat ini, perhatian penggunaan pada lansia &gt;60 tahun karena dapat meningkatkan resiko untuk jatuh.</t>
  </si>
  <si>
    <t>komix rasa peppermint</t>
  </si>
  <si>
    <t>komix rasa peppermint sirup dextromethorphan hydrobromide chlorphenamine maleate guaifenesin membantu meredakan batuk berdahak</t>
  </si>
  <si>
    <t>DTL9502807737A1</t>
  </si>
  <si>
    <t>Komix Rasa Jeruk Nipis Sachet 7 ml</t>
  </si>
  <si>
    <t>Rp1.700 - Rp2.000</t>
  </si>
  <si>
    <t>Dewasa: 3 x sehari 1-2 sachet.</t>
  </si>
  <si>
    <t>Untuk meredakan batuk</t>
  </si>
  <si>
    <t>komix rasa jeruk nipis</t>
  </si>
  <si>
    <t>komix rasa jeruk nipis sirup dextromethorphan hydrobromide chlorphenamine maleate guaifenesin untuk meredakan batuk</t>
  </si>
  <si>
    <t>Cendo Tobro Eye Drop 5 ml</t>
  </si>
  <si>
    <t>Rp29.100 - Rp29.600</t>
  </si>
  <si>
    <t>Untuk mengatasi iritasi ata akibat infeksi bakteri</t>
  </si>
  <si>
    <t>belum ditemukan</t>
  </si>
  <si>
    <t>untuk mengatasi iritasi ata akibat infeksi bakteri</t>
  </si>
  <si>
    <t>cendo tobro eye drop</t>
  </si>
  <si>
    <t>cendo tobro eye drop tetes tobramycin untuk mengatasi iritasi ata akibat infeksi bakteri</t>
  </si>
  <si>
    <t>DKL0535800529A1</t>
  </si>
  <si>
    <t>Estesia Cream 5 g</t>
  </si>
  <si>
    <t>Rp51.900 - Rp71.300</t>
  </si>
  <si>
    <t>PENGGUNAAN OBAT INI HARUS SESUAI DENGAN PETUNJUK DOKTER. Untuk penggunaan pada kulit: dioleskan pada permukaan kulit dengan lapisan tebal dan ditutup dengan menggunakan occlusive dressing, penggunaan sekitar 1,5 g / 10 cm2.</t>
  </si>
  <si>
    <t>Sebagai anestesik topikal pada kulit utuh yang memerlukan efek anestetik lokal.</t>
  </si>
  <si>
    <t>Tube 5 G</t>
  </si>
  <si>
    <t>HARUS DENGAN RESEP DOKTER. Jangan digunakan pada luka terbuka dan membran mukosa. Tidak digunakan pada kulit yang mengalami dermatitis atopik. Tidak digunakan untuk mata ataupun bagian sekitar mata, karena dapat mengakibatkan iritasi korneal. Hamil &amp; Menyusui</t>
  </si>
  <si>
    <t>lidocaine prilocaine</t>
  </si>
  <si>
    <t>sebagai anestesik topikal kulit utuh efek anestetik lokal</t>
  </si>
  <si>
    <t>estesia cream</t>
  </si>
  <si>
    <t>estesia cream krim lidocaine prilocaine sebagai anestesik topikal kulit utuh efek anestetik lokal</t>
  </si>
  <si>
    <t>DTL0111633137A1</t>
  </si>
  <si>
    <t>Woods Peppermint Expectorant Sirup 60 ml</t>
  </si>
  <si>
    <t>Rp22.400 - Rp25.300</t>
  </si>
  <si>
    <t>&gt;12 th: 2 sendok takar 3kali sehari, anak &lt;12 th: 1 sendok takar 3kali sehari</t>
  </si>
  <si>
    <t>Meredakan gejala Batuk produktif/berdahak, Bronkhitis atau Emfisema</t>
  </si>
  <si>
    <t>Ulkus GI, hamil, laktasi</t>
  </si>
  <si>
    <t>meredakan gejala batuk produktif berdahak , bronkhitis emfisema</t>
  </si>
  <si>
    <t>woods peppermint expectorant</t>
  </si>
  <si>
    <t>woods peppermint expectorant sirup bromhexine hydrochloride meredakan gejala batuk produktif berdahak  bronkhitis emfisema</t>
  </si>
  <si>
    <t>TR142379541</t>
  </si>
  <si>
    <t>Herbana Relief Sari Pasak Bumi 30 Kapsul</t>
  </si>
  <si>
    <t>HERBANA PASAK BUMI</t>
  </si>
  <si>
    <t>Rp173.300 - Rp181.900</t>
  </si>
  <si>
    <t>Membantu memelihara kesehatan pria</t>
  </si>
  <si>
    <t>herbana pasak bumi</t>
  </si>
  <si>
    <t>membantu memelihara kesehatan pria</t>
  </si>
  <si>
    <t>herbana relief sari pasak bumi</t>
  </si>
  <si>
    <t>herbana relief sari pasak bumi kapsul herbana pasak bumi membantu memelihara kesehatan pria</t>
  </si>
  <si>
    <t>DKI1441700168A1</t>
  </si>
  <si>
    <t>Dipsamol Inhaler</t>
  </si>
  <si>
    <t>Rp97.100 - Rp106.900</t>
  </si>
  <si>
    <t>Disemprotkan kedalam mulut sambil dihirup</t>
  </si>
  <si>
    <t>PENGGUNAAN OBAT INI HARUS SESUAI DENGAN PETUNJUK DOKTER. Meredakan bronkospasme akut. Dewasa : 100 mcg atau 200 mcg. Anak : 100 mcg lalu dapat ditingkatkan menjadi 200 mcg.</t>
  </si>
  <si>
    <t>INFORMASI OBAT INI HANYA UNTUK KALANGAN MEDIS. Meredakan asma ringan, sedang, atau berat. Penatalaksanaan dan pencegahan serangan asma.</t>
  </si>
  <si>
    <t>Cairan Inhalasi, 100 mcg /Dose X 200 Dose</t>
  </si>
  <si>
    <t>Obat Wajib Apotek, Obat ini dapat dibeli dan diserahkan apoteker tanpa resep dengan maksimum 1 Box. Pembelian melebihi batas ini WAJIB RESEP DOKTER. Hati-hati penggunaannya pada pasien dengan kondisi hipokalemia.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</si>
  <si>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meredakan asma ringan , , berat  penatalaksanaan pencegahan serangan asma</t>
  </si>
  <si>
    <t>dipsamol inhaler</t>
  </si>
  <si>
    <t>dipsamol inhaler inhaler salbutamol sulfate meredakan asma ringan   berat  penatalaksanaan pencegahan serangan asma</t>
  </si>
  <si>
    <t>DKL0433512110A1</t>
  </si>
  <si>
    <t>Ataroc 25 mcg 10 Tablet</t>
  </si>
  <si>
    <t>Rp20.900 - Rp33.700</t>
  </si>
  <si>
    <t>PENGGUNAAN OBAT INI HARUS SESUAI DENGAN PETUNJUK DOKTER. Anak &gt; 6 tahun : 1 tablet, diberikan sekali sehari atau 2 kali sehari. Dewasa : 2 kali per hari 1 tablet, atau 2 tablet per hari saat waktu tidur.</t>
  </si>
  <si>
    <t>Dispnea akibat Asma Bronkhial, Bronkhitis akut dan kronik, Emfisema Paru.</t>
  </si>
  <si>
    <t>HARUS DENGAN RESEP DOKTER. Hipertiroidisme, penyakit jantung, hipertensi, diabetes melitus, hamil, laktasi, usia lanjut, anak.</t>
  </si>
  <si>
    <t>dispnea akibat asma bronkhial , bronkhitis akut kronik , emfisema paru</t>
  </si>
  <si>
    <t>ataroc</t>
  </si>
  <si>
    <t>ataroc tablet procaterol hydrochloride dispnea akibat asma bronkhial  bronkhitis akut kronik  emfisema paru</t>
  </si>
  <si>
    <t>paraffin  liquid</t>
  </si>
  <si>
    <t>biocream cream krim paraffin  liquid pelembab kulit kering  krim pelindung kulit radioterapi penyinaran</t>
  </si>
  <si>
    <t>TR083378471</t>
  </si>
  <si>
    <t>Phylari 60 Kapsul</t>
  </si>
  <si>
    <t>PHYLARI</t>
  </si>
  <si>
    <t>Rp149.900 - Rp162.000</t>
  </si>
  <si>
    <t>Meningkatkan daya tahan tubuh sehingga tidak mudah terserang penyakit dan mencegah penyakit flu</t>
  </si>
  <si>
    <t>Botol 60 kapsul</t>
  </si>
  <si>
    <t>phylari</t>
  </si>
  <si>
    <t>meningkatkan daya tahan tubuh tidak mudah terserang penyakit mencegah penyakit flu</t>
  </si>
  <si>
    <t>phylari kapsul meningkatkan daya tahan tubuh tidak mudah terserang penyakit mencegah penyakit flu</t>
  </si>
  <si>
    <t>- HYPROMELLOSE. DEXTRAN 70</t>
  </si>
  <si>
    <t>hypromellose dextran 70</t>
  </si>
  <si>
    <t>cendo eyefresh eye tetes hypromellose dextran 70 meringankan gejala iritasi ringan infeksi mata</t>
  </si>
  <si>
    <t>DKL9702324429A1</t>
  </si>
  <si>
    <t>Garabiotic 1 mg/g Cream 5 g</t>
  </si>
  <si>
    <t>Rp5.700 - Rp13.000</t>
  </si>
  <si>
    <t>Dioleskan pada area kulit yang sakit atau terinfeksi</t>
  </si>
  <si>
    <t>PENGGUNAAN OBAT INI HARUS SESUAI DENGAN PETUNJUK DOKTER. 3-4 x sehari oleskan tipis</t>
  </si>
  <si>
    <t>INFORMASI OBAT INI HANYA UNTUK KALANGAN MEDIS. Untuk infeksi kulit primer maupun sekunder karena bakteri yang rentan terhadap gentamisin</t>
  </si>
  <si>
    <t>Sensitivitas terhadap komponen sediaan</t>
  </si>
  <si>
    <t>Obat Wajib Apotek, Obat ini dapat dibeli dan diserahkan apoteker tanpa resep dengan maksimum 1 Tube. Pembelian melebihi batas ini WAJIB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</si>
  <si>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untuk infeksi kulit primer sekunder bakteri rentan gentamisin</t>
  </si>
  <si>
    <t>garabiotic cream</t>
  </si>
  <si>
    <t>garabiotic cream krim gentamicin sulfate untuk infeksi kulit primer sekunder bakteri rentan gentamisin</t>
  </si>
  <si>
    <t>DKL9921013729A1</t>
  </si>
  <si>
    <t>Fuson 2% Cream 5 g</t>
  </si>
  <si>
    <t>Krim dioleskan pada area kulit yang radang/terinfeksi</t>
  </si>
  <si>
    <t>PENGGUNAAN OBAT INI HARUS SESUAI DENGAN PETUNJUK DOKTER. Oleskan krim 3-4 x sehari, umumnya selama 7 hari</t>
  </si>
  <si>
    <t>Lesi kulit dengan infeksi primer atau sekunder oleh bakteri Stafilokokus dan/atau Streptokokus.</t>
  </si>
  <si>
    <t>lesi kulit infeksi primer sekunder bakteri stafilokokus streptokokus</t>
  </si>
  <si>
    <t>fuson cream</t>
  </si>
  <si>
    <t>fuson cream krim fusidic acid lesi kulit infeksi primer sekunder bakteri stafilokokus streptokokus</t>
  </si>
  <si>
    <t>TR152387151</t>
  </si>
  <si>
    <t>Fortibi 6 Kapsul</t>
  </si>
  <si>
    <t>FORTIBI</t>
  </si>
  <si>
    <t>Rp22.400 - Rp34.700</t>
  </si>
  <si>
    <t>Dapat diberikan bersama atau tanpa makanan : Berikan 2 jam ssdh mengonsumsi obat anti TB.</t>
  </si>
  <si>
    <t>1 x sehari 2 kapsul, 2 jam ssdh mengonsumsi obat anti TB.</t>
  </si>
  <si>
    <t>Terapi penunjang utk menstimulasi sistem imun &amp; terapi penunjang alami utk TB.</t>
  </si>
  <si>
    <t>Dos Isi 5 Strip X 6 Tablet</t>
  </si>
  <si>
    <t>fortibi</t>
  </si>
  <si>
    <t>terapi penunjang utk menstimulasi sistem imun terapi penunjang alami utk tb</t>
  </si>
  <si>
    <t>fortibi kapsul terapi penunjang utk menstimulasi sistem imun terapi penunjang alami utk tb</t>
  </si>
  <si>
    <t>neomycin sulfate fluocinolone acetonide</t>
  </si>
  <si>
    <t>fasolon cream krim neomycin sulfate fluocinolone acetonide peradangan lokal  pruritis gangguan kulit alergi</t>
  </si>
  <si>
    <t>DKL8713300810A1</t>
  </si>
  <si>
    <t>Lasmalin 2.5 mg 10 Tablet</t>
  </si>
  <si>
    <t>Rp12.700 - Rp21.400</t>
  </si>
  <si>
    <t>PENGGUNAAN OBAT INI HARUS SESUAI DENGAN PETUNJUK DOKTER. Dewasa : 2-3 x sehari 1-2 tablet, Anak : 2-3 x sehari 1 tablet.</t>
  </si>
  <si>
    <t>Asma Bronkhial, Bronkhitis Khronik, Emfisema, penyakit Paru lain dengan komplikasi Bronkhospasme</t>
  </si>
  <si>
    <t>Obat Wajib Apotek, Obat ini dapat dibeli dan diserahkan apoteker tanpa resep dengan maksimum 2 Strip. Pembelian melebihi batas ini WAJIB RESEP DOKTER. Bagi wanita yang sedang hamil, sesuaikan dosis dengan anjuran dokter. Sedangkan bagi wanita yang sedang menyusui, tidak diperbolehkan mengonsumsi obat ini. Harap berhati-hati apabila menderita diabetes, hipertensi, gangguan jantung (aritmia atau ketidakteraturan detak jantung), serta hipertiroidisme.</t>
  </si>
  <si>
    <t>asma bronkhial , bronkhitis khronik , emfisema , penyakit paru komplikasi bronkhospasme</t>
  </si>
  <si>
    <t>lasmalin tablet terbutaline sulfate asma bronkhial  bronkhitis khronik  emfisema  penyakit paru komplikasi bronkhospasme</t>
  </si>
  <si>
    <t>Calcusol 100 Kapsul</t>
  </si>
  <si>
    <t>Rp133.300 - Rp152.700</t>
  </si>
  <si>
    <t>3 x 2 kapsul sehari selama 5 hari selanjutnya 2 x 2 kapsul sehari 1-3 minggu Anyang-anyangan : 2 x 2 kapsul, bila perlu</t>
  </si>
  <si>
    <t>calcusol kapsul  membantu meluruhkan batu urin ginjal saluran kemih  membantu melancarkan buang air</t>
  </si>
  <si>
    <t>benadryl batuk berdahak sirup guaifenesin bromhexine hydrochloride meredakan batuk berdahak mempermudah pengeluaran dahak</t>
  </si>
  <si>
    <t>DKL7206316229A1</t>
  </si>
  <si>
    <t>Erla Neo Hydrocort Cream 5 g</t>
  </si>
  <si>
    <t>Rp6.700 - Rp13.100</t>
  </si>
  <si>
    <t>Oleskan pada bagian yang sakit dan terinfeksi.</t>
  </si>
  <si>
    <t>PENGGUNAAN OBAT INI HARUS SESUAI DENGAN PETUNJUK DOKTER. Oleskan 3 - 4 kali sehari</t>
  </si>
  <si>
    <t>Salep untuk mengobati alergi, eksim, dan infeski jamur</t>
  </si>
  <si>
    <t>Penyakit kulit karena virus</t>
  </si>
  <si>
    <t>HARUS DENGAN RESEP DOKTER. Jangan menggunakan obat ini pada area mata atau dekat area mata.</t>
  </si>
  <si>
    <t>salep mengobati alergi , eksim , infeski jamur</t>
  </si>
  <si>
    <t>erla neo hydrocort cream</t>
  </si>
  <si>
    <t>erla neo hydrocort cream krim hydrocortisone acetate salep mengobati alergi  eksim  infeski jamur</t>
  </si>
  <si>
    <t>DKL1333528523A1</t>
  </si>
  <si>
    <t>Kalquest Sachet 5 g</t>
  </si>
  <si>
    <t>Rp7.600 - Rp17.100</t>
  </si>
  <si>
    <t>PENGGUNAAN OBAT INI HARUS SESUAI DENGAN PETUNJUK DOKTER. Dewasa : 15-30 gram/hari per oral, ditambahkan 30-50 ml air, dibagi untuk 2-3 kali pemberian.</t>
  </si>
  <si>
    <t>Hiperkalemia (kadar Kalium dalam darah di atas normal) yang berhubungan dengan gagal ginjal.</t>
  </si>
  <si>
    <t>Box, 30 Sachet @ 5 g</t>
  </si>
  <si>
    <t>hiperkalemia kadar kalium darah normal berhubungan gagal ginjal</t>
  </si>
  <si>
    <t>kalquest</t>
  </si>
  <si>
    <t>kalquest powder calcium polystyrene sulfonate hiperkalemia kadar kalium darah normal berhubungan gagal ginjal</t>
  </si>
  <si>
    <t>TR202376441</t>
  </si>
  <si>
    <t>Sido Muncul Kapsul JSH 24 Kapsul</t>
  </si>
  <si>
    <t>KAPSUL JSH</t>
  </si>
  <si>
    <t>Rp9.300 - Rp45.000</t>
  </si>
  <si>
    <t>Membantu memelihara kesehatan dengan cara menyerap toksin di saluran cerna.</t>
  </si>
  <si>
    <t>Dus @ 24 Kapsul</t>
  </si>
  <si>
    <t>kapsul jsh</t>
  </si>
  <si>
    <t>membantu memelihara kesehatan menyerap toksin saluran cerna</t>
  </si>
  <si>
    <t>sido muncul jsh</t>
  </si>
  <si>
    <t>sido muncul jsh kapsul kapsul jsh membantu memelihara kesehatan menyerap toksin saluran cerna</t>
  </si>
  <si>
    <t>DKL9000902529A1</t>
  </si>
  <si>
    <t>Bravoderm 0.025% Cream 5 g</t>
  </si>
  <si>
    <t>Rp12.000 - Rp18.500</t>
  </si>
  <si>
    <t>oleskan tipis pada bagian yang sakit</t>
  </si>
  <si>
    <t>PENGGUNAAN OBAT INI HARUS SESUAI DENGAN PETUNJUK DOKTER. 2-3 x kali sehari</t>
  </si>
  <si>
    <t>untuk penggunaan peradangan secara topikal, pruritis, alergi pada kulit dan selaput lendir</t>
  </si>
  <si>
    <t>Penderita yang hipersensitif terhadap salah satu komponen. Terutama dibagian kulit yang tertutup rapat dapat menimbulkan iritasi, seperti rasa terbakar, gatal, kekeringan pada kulit.</t>
  </si>
  <si>
    <t>HARUS DENGAN RESEP DOKTER. Bila tanda - tanda infeksi sekunder tidak tampak, harap dibuat kultur terlebih dahulu. Hindari pemakaian jangka panjang. Hentikan pengobatan jika terjadi sensitisasi atau iritasi.</t>
  </si>
  <si>
    <t>penggunaan peradangan topikal , pruritis , alergi kulit selaput lendir</t>
  </si>
  <si>
    <t>bravoderm cream</t>
  </si>
  <si>
    <t>bravoderm cream krim fluocinolone acetonide penggunaan peradangan topikal  pruritis  alergi kulit selaput lendir</t>
  </si>
  <si>
    <t>TR192426201</t>
  </si>
  <si>
    <t>Borobudur Kejibeling 100 Pil</t>
  </si>
  <si>
    <t>BRD KEJIBELING</t>
  </si>
  <si>
    <t>Rp9.000 - Rp13.700</t>
  </si>
  <si>
    <t>Dosis dapat ditingkatkan atau dikurangi sesuai kebutuhan. Selanjutnya minumlah secara teratur 1 kali sehari @ 2 kapsul. Dianjurkan minum air putih minimal 2.5 liter per hari.</t>
  </si>
  <si>
    <t>5 kali sehari @ 2 kapsul.</t>
  </si>
  <si>
    <t>Membantu meluruhkan batu urin dan membantu melancarkan buang air kecil</t>
  </si>
  <si>
    <t>Dus, Botol @ 100 Tablet</t>
  </si>
  <si>
    <t>Hanya untuk penderita batu ginjal dan batu kandung kemih yang telah ditetapkan dokter. Selama penggunaan konsultasikan pada doktor secara berkala.</t>
  </si>
  <si>
    <t>brd kejibeling</t>
  </si>
  <si>
    <t>membantu meluruhkan batu urin membantu melancarkan buang air</t>
  </si>
  <si>
    <t>borobudur kejibeling</t>
  </si>
  <si>
    <t>borobudur kejibeling pil brd kejibeling membantu meluruhkan batu urin membantu melancarkan buang air</t>
  </si>
  <si>
    <t>DKL9627802529A1</t>
  </si>
  <si>
    <t>Sinobiotik Cream 5 g</t>
  </si>
  <si>
    <t>Rp21.500 - Rp24.900</t>
  </si>
  <si>
    <t>PENGGUNAAN OBAT INI HARUS SESUAI DENGAN PETUNJUK DOKTER. Gunakan 2-3 kali sehari.</t>
  </si>
  <si>
    <t>Seluruh dermatosis yang responsif terhadap kortikosteroid bila terdapat atau terancam infeksi bakterial sekunder.</t>
  </si>
  <si>
    <t>Hindarkan penggunaannya untuk pasien yang sedang menerima vaksin, penderita yang terinfeksi varicella dan tuberkulosis kulit, dan terinfeksi oleh virus atau jamur.</t>
  </si>
  <si>
    <t>HARUS DENGAN RESEP DOKTER. Hindarkan juga pemakaian antibiotik ini untuk bayi prematur ataupun bayi baru lahir. Obat ini hanya ditujukan untuk mengobati infeksi pada kulit. Hindari kontak dengan mata. Penggunaan antibiotik topikal bisa menimbulkan superinfeksi (pertumbuhan kuman secara tidak normal) oleh bakteri, jamur, virus atau kuman-kuman non peka lainnya. Selain itu, obat-obat antibiotik topikal juga bisa menimbulkan iritasi kulit. Jika superinfeksi dan atau iritasi kulit terjadi, segera hentikan pemakaian obat. Jika obat ini digunakan untuk mengobati impetigo contagiosa (bisul), bersihkan kerak terlebih dahulu sebelum diaplikasikan pada kulit untuk memungkinkan kontak yang maksimal. Jangan digunakan untuk pengobatan jangka panjang. Obat ini bisa menyebabkan kulit lebih sensitif terhadap sinar matahari, sehingga lebih mudah terbakar. Gunakan obat ini hanya pada area terinfeksi (jangan pada area yang luas), dan hindari kontak langsung dengan sinar matahari.</t>
  </si>
  <si>
    <t>seluruh dermatosis responsif kortikosteroid terancam infeksi bakterial sekunder</t>
  </si>
  <si>
    <t>sinobiotik cream</t>
  </si>
  <si>
    <t>sinobiotik cream krim fluocinolone acetonide seluruh dermatosis responsif kortikosteroid terancam infeksi bakterial sekunder</t>
  </si>
  <si>
    <t>DKL0211633930A1</t>
  </si>
  <si>
    <t>Kalmicetine 20 mg/g Salep 15 g</t>
  </si>
  <si>
    <t>PENGGUNAAN OBAT INI HARUS SESUAI DENGAN PETUNJUK DOKTER. Oleskan 2-4 kali/ hari</t>
  </si>
  <si>
    <t>INFORMASI OBAT INI HANYA UNTUK KALANGAN MEDIS. Infeksi kulit yang disebabkan bakteri Gram positif dan Gram negatif yang sensiti terhadap kloramfenikol</t>
  </si>
  <si>
    <t>HARUS DENGAN RESEP DOKTER. Kategori Kehamilan : C</t>
  </si>
  <si>
    <t>infeksi kulit disebabkan bakteri gram positif gram negatif sensiti kloramfenikol</t>
  </si>
  <si>
    <t>kalmicetine salep chloramphenicol infeksi kulit disebabkan bakteri gram positif gram negatif sensiti kloramfenikol</t>
  </si>
  <si>
    <t>QD082608151</t>
  </si>
  <si>
    <t>Param Kocok Pusaka 60 ml</t>
  </si>
  <si>
    <t>Rp9.200 - Rp9.500</t>
  </si>
  <si>
    <t>Kocok dulu, lalu tuangkan secukupnya dan gosok merata pada bagian yang sakit.</t>
  </si>
  <si>
    <t>Membantu meredakan pegal-pegal, encok, meringankan bengkak.</t>
  </si>
  <si>
    <t>Dus, Botol Kaca @ 60 ml</t>
  </si>
  <si>
    <t>Jangan kena mata luka dan jaringan. Jangan digunakkan untuk bayi. Obat Luar jangan diminum. Simpan di bawah suhu 30 C. Tidak digunakan pada anak dibawah 2 tahun. Jangan digunakan langsung dibawah lubang hidung.</t>
  </si>
  <si>
    <t>membantu meredakan pegal - pegal , encok , meringankan bengkak</t>
  </si>
  <si>
    <t>param kocok pusaka</t>
  </si>
  <si>
    <t>param kocok pusaka  cinnamomi burmannii cortex membantu meredakan pegal  pegal  encok  meringankan bengkak</t>
  </si>
  <si>
    <t>Cendo Floxa Minidose 0.6 ml</t>
  </si>
  <si>
    <t>Rp35.000 - Rp42.300</t>
  </si>
  <si>
    <t>INFORMASI OBAT INI HANYA UNTUK KALANGAN MEDIS. Untuk mengobati infeksi pada mata yang disebabkan oleh bakteri gram negatif.</t>
  </si>
  <si>
    <t>Hipersensitif terhadap komponen obat. Jangan digunakan bersamaan dengan antibiotik sejenis topikal beta-laktam karena dapat menyebabkan tidak aktifnya Ofloxacin.</t>
  </si>
  <si>
    <t>HARUS DENGAN RESEP DOKTER. - Hindarkan pemakaian yang lama karena dapat menyebabkan pertumbuhan organisme yang tidak sensitif termasuk jamur, yang dapat menimbulkan super infeksi. - Bila terjadi reaksi yang diperkirakan sebagai reaksi hipersensitif dapat terjadi pada sebagian pasien. Bila hal ini terjadi, hentikan pemakaian obat. - Dikarenakan berpotensi menimbulkan reaksi yang merugikan untuk ibu yang sedang menyusui, sebaiknya berhenti menyusui atau hentikan pemakaian obat. - Jangan gunakan obat selama masa kehamilan kecuali benar-benar diperlukan.</t>
  </si>
  <si>
    <t>untuk mengobati infeksi mata disebabkan bakteri gram negatif</t>
  </si>
  <si>
    <t>cendo floxa minidose</t>
  </si>
  <si>
    <t>cendo floxa minidose tetes ofloxacin untuk mengobati infeksi mata disebabkan bakteri gram negatif</t>
  </si>
  <si>
    <t>pyridoxine hydrochloride cyanocobalamin thiamine mononitrate</t>
  </si>
  <si>
    <t>kalbion tablet pyridoxine hydrochloride cyanocobalamin thiamine mononitrate pengobatan defisiensi vit b1  b6  b12</t>
  </si>
  <si>
    <t>DKL9522217730A1</t>
  </si>
  <si>
    <t>Sagestam 0.1% Salep 10 g</t>
  </si>
  <si>
    <t>Rp27.200 - Rp28.800</t>
  </si>
  <si>
    <t>INFORMASI OBAT INI HANYA UNTUK KALANGAN MEDIS. Infeksi kulit primer : Folikulitis superfisial, Furunkulosis, Impetigo Kontagiosa, Pioderma Gangrenosa</t>
  </si>
  <si>
    <t>HARUS DENGAN RESEP DOKTER. - di tujukan hanya untuk mengobati infeksi kulit - tidak dapat di gunakan untuk mengobati infeksi kulit yang di sebabkan oleh jamur atau virus - iritasi kulit - jangan di gunakan untuk pengobatan jangka panjang Kategori Kehamilan : D</t>
  </si>
  <si>
    <t>infeksi kulit primer folikulitis superfisial , furunkulosis , impetigo kontagiosa , pioderma gangrenosa</t>
  </si>
  <si>
    <t>sagestam</t>
  </si>
  <si>
    <t>sagestam salep gentamicin infeksi kulit primer folikulitis superfisial  furunkulosis  impetigo kontagiosa  pioderma gangrenosa</t>
  </si>
  <si>
    <t>DBL9922227316A1</t>
  </si>
  <si>
    <t>Neurosanbe 5000 10 Tablet</t>
  </si>
  <si>
    <t>Rp32.100 - Rp46.200</t>
  </si>
  <si>
    <t>Dapat diberikan bersama makanan untuk mengurangi rasa tidak nyaman pada lambung</t>
  </si>
  <si>
    <t>1 tablet setiap hari</t>
  </si>
  <si>
    <t>Gangguan saraf perifer dan defisiensi vitamin B</t>
  </si>
  <si>
    <t>Sebelum menggunakan Neurosanbe 5000 Tablet, beri tahu dokter Anda tentang daftar obat Anda saat ini, produk bebas (mis. Vitamin, suplemen herbal, dll.) dan jika Anda sedang mengalami kondisi berikut: - Hamil dan Menyusui - Kesulitan dalam bernafas - Penyakit kulit melepuh - Jika Anda sedang hamil, berencana untuk hamil, atau sedang menyusui - Jika Anda sedang mengonsumsi obat resep atau nonresep, sediaan herbal, atau suplemen makanan - Jika Anda minum alkohol secara teratur - Jika Anda memiliki alergi terhadap obat-obatan, makanan, atau zat lainnya - Jika Anda mengalami infeksi, saraf mata melemah, penumpukan limbah dalam darah, segala jenis anemia, atau kadar zat besi atau asam folat dalam darah rendah - Beri tahu dokter jika mengalami rasa terbakar, kesemutan, atau mati rasa</t>
  </si>
  <si>
    <t>gangguan saraf perifer defisiensi vitamin b</t>
  </si>
  <si>
    <t>neurosanbe tablet thiamine nitrate pyridoxine hydrochloride cyanocobalamin gangguan saraf perifer defisiensi vitamin b</t>
  </si>
  <si>
    <t>Caladine Adult Caring Powder 100 g</t>
  </si>
  <si>
    <t>Rp20.500 - Rp23.300</t>
  </si>
  <si>
    <t>Taburkan setiap habis mandi.</t>
  </si>
  <si>
    <t>Mengurangi gatal-gatal pada kulit karena biang keringat dan bau badan</t>
  </si>
  <si>
    <t>Botol @ 100 g</t>
  </si>
  <si>
    <t>caladine adult caring</t>
  </si>
  <si>
    <t>caladine adult caring  balsamum peruvianum mengurangi gatal  gatal kulit biang keringat bau badan</t>
  </si>
  <si>
    <t>DTL0213310937A1</t>
  </si>
  <si>
    <t>Lapifed Expectorant Sirup 60 ml</t>
  </si>
  <si>
    <t>Rp39.000 - Rp40.100</t>
  </si>
  <si>
    <t>Dewasa: 2 sendok takar (10 ml) 3 x sehari. Anak usia 6-12 thn: 1 sendok takar (5 ml) 3 x sehari.</t>
  </si>
  <si>
    <t>Meringankan gejala batuk berdahak &amp; pilek.</t>
  </si>
  <si>
    <t>MAOI, hipertensi berat.</t>
  </si>
  <si>
    <t>Penderita hipersensitif terhadap komponen obat ini, penderita yang peka terhadap obat simpatomimetik lain dan yang mendapat terapi obat antidepresan, penderita tekanan darah tinggi, stroke, diabetes, hipertiroid, pembesaran prostat, berat badan berlebih atau pada penderita usia lanjut. Dapat mengganggu kemampuan mengemudi atau menjalankan mesin.</t>
  </si>
  <si>
    <t>guaifenesin pseudoephedrine hydrochloride triprolidine hydrochloride</t>
  </si>
  <si>
    <t>meringankan gejala batuk berdahak pilek</t>
  </si>
  <si>
    <t>lapifed expectorant</t>
  </si>
  <si>
    <t>lapifed expectorant sirup guaifenesin pseudoephedrine hydrochloride triprolidine hydrochloride meringankan gejala batuk berdahak pilek</t>
  </si>
  <si>
    <t>mytaderm cream krim betamethasone valerate neomycin sulfate dermatitis dimana  diduga cenderung infeksi sekunder</t>
  </si>
  <si>
    <t>DTL0907810237A1</t>
  </si>
  <si>
    <t>Hufagrip Pilek Sirup 60 ml</t>
  </si>
  <si>
    <t>Rp17.500 - Rp20.200</t>
  </si>
  <si>
    <t>Dewasa dan anak &gt; 12 tahun: 3 kali sehari 2 sendok takar (10 ml). Anak 6-12 tahun: 3 kali sehari 1 sendok takar/teh (5 ml). Anak 2 -6 tahun: 3 kali sehari 1/2 sendok takar/teh (2,5 ml).</t>
  </si>
  <si>
    <t>chlorphenamine maleate pseudoephedrine hydrochloride</t>
  </si>
  <si>
    <t>hufagrip pilek</t>
  </si>
  <si>
    <t>hufagrip pilek sirup chlorphenamine maleate pseudoephedrine hydrochloride meringankan bersin  bersin hidung tersumbat pilek</t>
  </si>
  <si>
    <t>QD202643751</t>
  </si>
  <si>
    <t>Resida SC Cair 10 ml</t>
  </si>
  <si>
    <t>3 kali sehari</t>
  </si>
  <si>
    <t>Mengatasi gangguan pada kulit akibat jamur seperti panu, kadas dan kurap.</t>
  </si>
  <si>
    <t>Dus, botol @ 10 ml</t>
  </si>
  <si>
    <t>asam benzoat</t>
  </si>
  <si>
    <t>mengatasi gangguan kulit akibat jamur panu , kadas kurap</t>
  </si>
  <si>
    <t>resida sc cair</t>
  </si>
  <si>
    <t>resida sc cair  asam benzoat mengatasi gangguan kulit akibat jamur panu  kadas kurap</t>
  </si>
  <si>
    <t>betamethasone valerate miconazole nitrate</t>
  </si>
  <si>
    <t>benoson m cream krim betamethasone valerate miconazole nitrate infeksi jamur kulit inflamasi peradangan</t>
  </si>
  <si>
    <t>DKL0803812146A1</t>
  </si>
  <si>
    <t>Cendo LFX Minidose 0.6 ml</t>
  </si>
  <si>
    <t>Rp88.000 - Rp108.000</t>
  </si>
  <si>
    <t>Teteskan ke dalam kantung mata yang sakit</t>
  </si>
  <si>
    <t>PENGGUNAAN OBAT INI HARUS SESUAI DENGAN PETUNJUK DOKTER. 1-2 tetes ke mata yang sakit 2-8 kali sehari selama 1-2 hari, lalu 4 kali sehari pada hari ke 3-5, durasi pengobatan tergantung pada tingkat keparahan dan jenis bakteri. Durasi normal 5 hari.</t>
  </si>
  <si>
    <t>INFORMASI OBAT INI HANYA UNTUK KALANGAN MEDIS. Pengobatan untuk infeksi ocular eksternal mata seperti konjungtivitis yang disebabkan microorganisme</t>
  </si>
  <si>
    <t>Dus, Catch Cover @ 5 Botol @ 0,6 ml</t>
  </si>
  <si>
    <t>pengobatan infeksi ocular eksternal mata konjungtivitis disebabkan microorganisme</t>
  </si>
  <si>
    <t>cendo lfx minidose</t>
  </si>
  <si>
    <t>cendo lfx minidose tetes levofloxacin pengobatan infeksi ocular eksternal mata konjungtivitis disebabkan microorganisme</t>
  </si>
  <si>
    <t>succus liquiritiae ammonium chloride kombinasi-solutio ammoniae spiritusa anisata</t>
  </si>
  <si>
    <t>obh ika sirup succus liquiritiae ammonium chloride kombinasisolutio ammoniae spiritusa anisata batuk berdahak</t>
  </si>
  <si>
    <t>DTL7203812246A1</t>
  </si>
  <si>
    <t>Zinc Prima Eye Drops 15 ml</t>
  </si>
  <si>
    <t>Rp24.200 - Rp24.300</t>
  </si>
  <si>
    <t>Teteskan 1-2 tetes 3-4 kali sehari.</t>
  </si>
  <si>
    <t>Mengurangi ketegangan atau kelelahan mata setelah membaca, menonton televisi</t>
  </si>
  <si>
    <t>phenylephrine hydrochloride</t>
  </si>
  <si>
    <t>mengurangi ketegangan kelelahan mata membaca , menonton televisi</t>
  </si>
  <si>
    <t>zinc prima eye</t>
  </si>
  <si>
    <t>zinc prima eye tetes phenylephrine hydrochloride mengurangi ketegangan kelelahan mata membaca  menonton televisi</t>
  </si>
  <si>
    <t>TR203639161</t>
  </si>
  <si>
    <t>Paramorina Paracana Sirup 100 ml</t>
  </si>
  <si>
    <t>PARAMORINA PARACANA</t>
  </si>
  <si>
    <t>3 kali sehari 2 sendok teh (5 ml).</t>
  </si>
  <si>
    <t>Mencegah dan mengatasi cacingan pada anak. Aman digunakan jangka panjang karena terbuat dari 100% bahan herbal.</t>
  </si>
  <si>
    <t>paramorina paracana</t>
  </si>
  <si>
    <t>mencegah mengatasi cacingan anak  aman jangka terbuat 100 bahan herbal</t>
  </si>
  <si>
    <t>paramorina paracana sirup mencegah mengatasi cacingan anak  aman jangka terbuat 100 bahan herbal</t>
  </si>
  <si>
    <t>DKL9106603030A1</t>
  </si>
  <si>
    <t>Diprosone-Ov 0.05% Salep 10 g</t>
  </si>
  <si>
    <t>Rp116.000 - Rp127.700</t>
  </si>
  <si>
    <t>Dioleskan pada area kulit yang radang/sakit</t>
  </si>
  <si>
    <t>PENGGUNAAN OBAT INI HARUS SESUAI DENGAN PETUNJUK DOKTER. Oleskan 1-2 x sehari</t>
  </si>
  <si>
    <t>INFORMASI OBAT INI HANYA UNTUK KALANGAN MEDIS. Gejala Inflamasi dan Pruritus dari Psoriasis yang resisten ataupun berat dan Dermatosis yang responsif terhadap Kortikosteroid</t>
  </si>
  <si>
    <t>Hipersensitif, penyakit karena virus, infeksi bakteri dan jamur pada kulit, akne, dermatitis perioral dan rosasea</t>
  </si>
  <si>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t>
  </si>
  <si>
    <t>gejala inflamasi pruritus psoriasis resisten berat dermatosis responsif kortikosteroid</t>
  </si>
  <si>
    <t>diprosoneov</t>
  </si>
  <si>
    <t>diprosoneov salep betamethasone dipropionate gejala inflamasi pruritus psoriasis resisten berat dermatosis responsif kortikosteroid</t>
  </si>
  <si>
    <t>Habbatussauda Kurma Ajwa 120 Kapsul</t>
  </si>
  <si>
    <t>Rp47.700 - Rp57.800</t>
  </si>
  <si>
    <t>Dewasa: 2 x sehari 2-3 kapsul. Anak-anak: 2 x sehari 1-2 kapsul.</t>
  </si>
  <si>
    <t>Simpan ditempat sejuk &amp; kering. Jauhkan dari sinar matahari langsung.</t>
  </si>
  <si>
    <t>habbatussauda kurma ajwa</t>
  </si>
  <si>
    <t>habbatussauda kurma ajwa kapsul habbatussauda cap kurma ajwa membantu memelihara daya tahan tubuh</t>
  </si>
  <si>
    <t>TR162392521</t>
  </si>
  <si>
    <t>Nature's Pride Saw Palmetto 30 Kapsul</t>
  </si>
  <si>
    <t>NATURE`S PRIDE SAW PALMETTO</t>
  </si>
  <si>
    <t>Rp268.500 - Rp335.300</t>
  </si>
  <si>
    <t>Membantu memelihara kesehatan prostat.</t>
  </si>
  <si>
    <t>nature`s pride saw palmetto</t>
  </si>
  <si>
    <t>natures pride saw palmetto</t>
  </si>
  <si>
    <t>natures pride saw palmetto kapsul natures pride saw palmetto membantu memelihara kesehatan prostat</t>
  </si>
  <si>
    <t>Habbatussauda Kurma Ajwa 210 Kapsul</t>
  </si>
  <si>
    <t>Rp65.700 - Rp117.600</t>
  </si>
  <si>
    <t>2 x sehari 2-3 kapsul</t>
  </si>
  <si>
    <t>Botol @ 210 kapsul</t>
  </si>
  <si>
    <t>DKL1109221929A1</t>
  </si>
  <si>
    <t>Elomox Cream 5 gr</t>
  </si>
  <si>
    <t>Rp8.500 - Rp24.600</t>
  </si>
  <si>
    <t>Dioleskan tipis-tipis pada area yang sakit</t>
  </si>
  <si>
    <t>Hipersensitivitas terhadap komponen tambahan produk</t>
  </si>
  <si>
    <t>HARUS DENGAN RESEP DOKTER. Hentikan terapi bila terjadi iritasi atau sensitisasi. Absorpsi sistemik dapat meningkatkan bila permukaan kulit yang diobati luas. Penggunaan yang lama pada bayi dan anak. Hindari kontak dengan mata. Hamil, laktasi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</si>
  <si>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elomox cream gr</t>
  </si>
  <si>
    <t>elomox cream gr krim mometasone furoate meredakan inflamasi gejala pruritus dermatosis responsif kortikosteroid</t>
  </si>
  <si>
    <t>DKL2042801129A1</t>
  </si>
  <si>
    <t>Fusidasol Krim 15 g</t>
  </si>
  <si>
    <t>Rp42.400 - Rp66.700</t>
  </si>
  <si>
    <t>Dioleskan pada daerah terinfeksi virus yang telah dibersihkan</t>
  </si>
  <si>
    <t>PENGGUNAAN OBAT INI HARUS SESUAI DENGAN PETUNJUK DOKTER.dioleskan 2 kali sehari pada daerah yang terinfeksi virus</t>
  </si>
  <si>
    <t>INFORMASI OBAT INI HANYA UNTUK KALANGAN MEDIS. Digunakan untuk mengobati inflamasi dermatosis dan psoriasis karena infeksi bakteri</t>
  </si>
  <si>
    <t>Dus, 1 tube @ 15 g</t>
  </si>
  <si>
    <t>Pasien yang memiliki hipersensitivitas dan kondisi terinfeksi virus</t>
  </si>
  <si>
    <t>HARUS DENGAN RESEP DOKTER. Hindari kontak dengan mukosa mata</t>
  </si>
  <si>
    <t>fusidic acid betamethasone dipropionate</t>
  </si>
  <si>
    <t>digunakan mengobati inflamasi dermatosis psoriasis infeksi bakteri</t>
  </si>
  <si>
    <t>fusidasol</t>
  </si>
  <si>
    <t>fusidasol krim fusidic acid betamethasone dipropionate digunakan mengobati inflamasi dermatosis psoriasis infeksi bakteri</t>
  </si>
  <si>
    <t>Zinc Prima Eye Drops 5 ml</t>
  </si>
  <si>
    <t>Rp13.800 - Rp17.000</t>
  </si>
  <si>
    <t>QD173715601</t>
  </si>
  <si>
    <t>Salas Salep 19 6 g</t>
  </si>
  <si>
    <t>Rp100 - Rp8.600</t>
  </si>
  <si>
    <t>Oleskan pada bagian yang sakit.</t>
  </si>
  <si>
    <t>2-3 x sehari</t>
  </si>
  <si>
    <t>Membantu meringankan penyakit kulit seperti kutu air (rangen), panu, kadas, kurap.</t>
  </si>
  <si>
    <t>Pot @ 6 g</t>
  </si>
  <si>
    <t>acidum benzoicum</t>
  </si>
  <si>
    <t>membantu meringankan penyakit kulit kutu air rangen , panu , kadas , kurap</t>
  </si>
  <si>
    <t>salas</t>
  </si>
  <si>
    <t>salas  acidum benzoicum membantu meringankan penyakit kulit kutu air rangen  panu  kadas  kurap</t>
  </si>
  <si>
    <t>TR202376431</t>
  </si>
  <si>
    <t>Sido Muncul Kapsul JSH 50 Kapsul</t>
  </si>
  <si>
    <t>Rp99.400 - Rp195.800</t>
  </si>
  <si>
    <t>3 x sehari, 2 kapsul</t>
  </si>
  <si>
    <t>DKL1921027110A1</t>
  </si>
  <si>
    <t>Pyricin 0.5 mg 10 Tablet</t>
  </si>
  <si>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t>
  </si>
  <si>
    <t>HARUS DENGAN RESEP DOKTER. Usia lanjut dan pasien debilitas</t>
  </si>
  <si>
    <t>QD041703381</t>
  </si>
  <si>
    <t>Lafalos Cream 20 g</t>
  </si>
  <si>
    <t>Rp14.200 - Rp22.900</t>
  </si>
  <si>
    <t>Krim dioleskan pada area yang nyeri</t>
  </si>
  <si>
    <t>Oleskan krim 3-4 x sehari</t>
  </si>
  <si>
    <t>Meredakan nyeri otot, nyeri punggung, nyeri sendi dan nyeri terkilir</t>
  </si>
  <si>
    <t>Tube 20 G Dalam Dus</t>
  </si>
  <si>
    <t>Jangan kena mata, membran mukosa dan luka terbuka</t>
  </si>
  <si>
    <t>eugenol</t>
  </si>
  <si>
    <t>meredakan nyeri otot , nyeri punggung , nyeri sendi nyeri terkilir</t>
  </si>
  <si>
    <t>lafalos cream</t>
  </si>
  <si>
    <t>lafalos cream krim eugenol meredakan nyeri otot  nyeri punggung  nyeri sendi nyeri terkilir</t>
  </si>
  <si>
    <t>DKL8802313638A1</t>
  </si>
  <si>
    <t>Cefabiotic Dry Sirup 60 ml</t>
  </si>
  <si>
    <t>Rp49.600 - Rp51.200</t>
  </si>
  <si>
    <t>Dapat diberikan bersama makanan untuk mengurangi rasa tidak nyaman pada gastro intestinal</t>
  </si>
  <si>
    <t>PENGGUNAAN OBAT INI HARUS SESUAI DENGAN PETUNJUK DOKTER. Dewasa: 500 mg tiap 4 - 6 jam. Anak: 25 - 50 mg/ kgBB terbagi dalam 4 dosis</t>
  </si>
  <si>
    <t>Infeksi2 saluran Nafas, saluran Kemih-Kelamin, Kulit &amp; Jaringan Lunak</t>
  </si>
  <si>
    <t>Hipersensitif terhadap sefalosporin</t>
  </si>
  <si>
    <t>HARUS DENGAN RESEP DOKTER. Hipersensitif terhadap sefalosporin. Kerusakan fungsi hati dan ginjal</t>
  </si>
  <si>
    <t>cefalexin monohydrate</t>
  </si>
  <si>
    <t>infeksi2 saluran nafas , saluran kemih - kelamin , kulit jaringan lunak</t>
  </si>
  <si>
    <t>cefabiotic</t>
  </si>
  <si>
    <t>cefabiotic sirup cefalexin monohydrate infeksi2 saluran nafas  saluran kemih  kelamin  kulit jaringan lunak</t>
  </si>
  <si>
    <t>DKL8802313501B1</t>
  </si>
  <si>
    <t>Cefabiotic 500 mg 10 Kapsul</t>
  </si>
  <si>
    <t>Rp98.400 - Rp106.600</t>
  </si>
  <si>
    <t>PENGGUNAAN OBAT INI HARUS SESUAI DENGAN PETUNJUK DOKTER. Dewasa :1 sampai 4 g/hari diberikan dalam dosis terbagi. Dosis umum - 250 mg setiap 6 jam. Anak-anak : 25 sampai 50 mg/kgBB/hari diberikan dalam dosis terbagi. Otitis media : 75 sampai 100 mg/kgBB/hari dibagi dalam 4 kali dosis pemberian. Infeksi b-hemolytic Streptococcal : Pengobatan dilakukan paling sedikit 10 hari.</t>
  </si>
  <si>
    <t>HARUS DENGAN RESEP DOKTER. Hipersensitif terhadap komponen</t>
  </si>
  <si>
    <t>cefabiotic kapsul cefalexin monohydrate infeksi2 saluran nafas  saluran kemih  kelamin  kulit jaringan lunak</t>
  </si>
  <si>
    <t>DKL0328603629A1</t>
  </si>
  <si>
    <t>Mofacort Cream 10 g</t>
  </si>
  <si>
    <t>Rp90.400 - Rp99.400</t>
  </si>
  <si>
    <t>Krim dioleskan pada area kulit yang sakit/gatal/radang</t>
  </si>
  <si>
    <t>INFORMASI OBAT INI HANYA UNTUK KALANGAN MEDIS. Pengobatan gejala inflamasi &amp; Pruritus/gatal2 pada Dermatosis yang reponsif terhadap Kortikosteroid</t>
  </si>
  <si>
    <t>Penyakit kulit karena virus. Dermatitis karena bakteri atau jamur. Urtikaria, rosasea, luka</t>
  </si>
  <si>
    <t>HARUS DENGAN RESEP DOKTER. Hindari penggunaan jangka panjang pada anak, bayi, dan area wajah. Lama terapi pada anak tidak boleh &gt;7-10 hari. Pruritus, psoriasis. Hamil, laktasi. Hindari penggunaan pada are tubuh yang luas atau terapi jangka panjang. Kategori kehamilan : C</t>
  </si>
  <si>
    <t>pengobatan gejala inflamasi pruritus gatal2 dermatosis reponsif kortikosteroid</t>
  </si>
  <si>
    <t>mofacort cream</t>
  </si>
  <si>
    <t>mofacort cream krim mometasone furoate pengobatan gejala inflamasi pruritus gatal2 dermatosis reponsif kortikosteroid</t>
  </si>
  <si>
    <t>DKL0823411438A1</t>
  </si>
  <si>
    <t>Broadamox 125 mg/5 ml Dry Sirup 60 ml</t>
  </si>
  <si>
    <t>Rp6.300 - Rp21.200</t>
  </si>
  <si>
    <t>PENGGUNAAN OBAT INI HARUS SESUAI DENGAN PETUNJUK DOKTER. - Dewasa &amp; anak-anak dengan berat badan lebih dari 20 kg : 3 kali sehari 250-500 mg, tiap 8 jam *Dewasa &amp; anak- anak berat badan kurang dari 20 kg : 3 kali sehari 25-50 mg/kg berat badan, tiap 8 jam *Gonore : 3 gram sebagai dosis tunggal.</t>
  </si>
  <si>
    <t>INFORMASI OBAT INI HANYA UNTUK KALANGAN MEDIS. Infeksi saluran nafas, saluran kemih &amp; kelamin, kulit &amp; jaringan lunak.</t>
  </si>
  <si>
    <t>infeksi saluran nafas , saluran kemih kelamin , kulit jaringan lunak</t>
  </si>
  <si>
    <t>broadamox sirup amoxicillin trihydrate infeksi saluran nafas  saluran kemih kelamin  kulit jaringan lunak</t>
  </si>
  <si>
    <t>liquorice essence pipazetate hydrochloride isothipendyl hydrochloride guaifenesin</t>
  </si>
  <si>
    <t>transpulmin sirup liquorice essence pipazetate hydrochloride isothipendyl hydrochloride guaifenesin batuk produktif non produktif</t>
  </si>
  <si>
    <t>DKL8315603910B1</t>
  </si>
  <si>
    <t>Arsitam 500 mg 10 Tablet</t>
  </si>
  <si>
    <t>Rp14.800 - Rp16.000</t>
  </si>
  <si>
    <t>PENGGUNAAN OBAT INI HARUS SESUAI DENGAN PETUNJUK DOKTER. 15-25 mg/kgBB dosis tunggal tiap hari</t>
  </si>
  <si>
    <t>Pengobatan awal tuberkulosa paru atau pengobatan ulang</t>
  </si>
  <si>
    <t>Habbatussauda Kurma Ajwa 100 Kapsul</t>
  </si>
  <si>
    <t>Rp24.500 - Rp69.700</t>
  </si>
  <si>
    <t>DKL0804130337A1</t>
  </si>
  <si>
    <t>Comtusi Rasa Strawberry Syrup 60 ml</t>
  </si>
  <si>
    <t>Rp43.200 - Rp52.300</t>
  </si>
  <si>
    <t>Sebelum atau setelah makan.</t>
  </si>
  <si>
    <t>PENGGUNAAN OBAT INI HARUS SESUAI DENGAN PETUNJUK DOKTER. Berat Badan 10 - 20 kg (Umur 2-6 tahun): 2-3 kali 5 ml sehari Berat Badan 20 - 30 kg (Umur 6-10 tahun): 2-3 kali 10 ml sehari Berat Badan 30 - 40 kg (Umur 10-12 tahun): 3-4 kali 10 ml sehari Dewasa dan anak-anak dengan berat badan . 40 kg (umur . 12 tahun): 4 kali 10 ml sehari</t>
  </si>
  <si>
    <t>Hipersensitifitas terhadap komponen dalam obat. Glaukoma sudut tertutup, ileus paralitik, stenosis pilorus, miastenia, status asmatikus, PPOK.</t>
  </si>
  <si>
    <t>HARUS DENGAN RESEP DOKTER. Gangguan hati &amp; ginjal, dapat mengganggu kemampuan mengemudi atau menjalankan mesin, anak &lt; 2 tahun, hamil &amp; laktasi.</t>
  </si>
  <si>
    <t>comtusi rasa strawberry</t>
  </si>
  <si>
    <t>comtusi rasa strawberry sirup oxomemazine guaifenesin untuk meringankan gejala batuk alergi  batuk berdahak</t>
  </si>
  <si>
    <t>DKL0333305117A1</t>
  </si>
  <si>
    <t>INHA 400 10 Tablet</t>
  </si>
  <si>
    <t>Rp6.100 - Rp10.000</t>
  </si>
  <si>
    <t>1 jam sebelum atau 2 jam sesudah makan</t>
  </si>
  <si>
    <t>PENGGUNAAN OBAT INI HARUS SESUAI DENGAN PETUNJUK DOKTER. Dewasa : 4-5 mg/kg berat badan/hari dosis tunggal atau dosis terbagi,maksimal 300 mg/hari. Anak-anak : Anak 10-20 mg/kg berat badan/hari dosis tunggal atau dosis terbagi,</t>
  </si>
  <si>
    <t>obat yang digunakan sebagai pengobatan dan pencegahan tuberkulosis, sebagai terapi tunggal atau kombinasi dengan obat anti tuberkulosis lain.</t>
  </si>
  <si>
    <t>Hipersensitif, penderita penyakit hati yang disebabkan oleh obat-obatan lain.</t>
  </si>
  <si>
    <t>HARUS DENGAN RESEP DOKTER. - dapat berinteraksi dengan makanan - riwayat epilepsi - diabetes, nyeri saraf Kategori Kehamilan : C</t>
  </si>
  <si>
    <t>obat pengobatan pencegahan tuberkulosis , terapi tunggal kombinasi obat anti tuberkulosis</t>
  </si>
  <si>
    <t>inha</t>
  </si>
  <si>
    <t>inha tablet isoniazid obat pengobatan pencegahan tuberkulosis  terapi tunggal kombinasi obat anti tuberkulosis</t>
  </si>
  <si>
    <t>DKL0528603929A1</t>
  </si>
  <si>
    <t>Medicort Cream 10 g</t>
  </si>
  <si>
    <t>Rp70.200 - Rp82.600</t>
  </si>
  <si>
    <t>PENGGUNAAN OBAT INI HARUS SESUAI DENGAN PETUNJUK DOKTER. Dermatitis Atopik : Oleskan krim 1-2 x sehari. Dermatosis lain yang responsif terhadap kortikosteroid: Oleskan krim 2 x sehari.</t>
  </si>
  <si>
    <t>Meredakan gejala inflamasi &amp; Pruritus/gatal2 pada Dermatosis yang reponsif terhadap Kortikosteroid</t>
  </si>
  <si>
    <t>Rosasea, dermatitis perioral, akne vulgaris, herpes simpleks, cacar air, pruritus perianal dan genital. Infeksi primer pada kulit karena jamur atau bakteri</t>
  </si>
  <si>
    <t>HARUS DENGAN RESEP DOKTER. Iritasi (hentikan penggunaan). Penggunaan jangka panjang atau pada daerah yang luas. Hindari penggunaan pada mata. Hamil, laktasi. Bayi dan anak</t>
  </si>
  <si>
    <t>meredakan gejala inflamasi pruritus gatal2 dermatosis reponsif kortikosteroid</t>
  </si>
  <si>
    <t>medicort cream</t>
  </si>
  <si>
    <t>medicort cream krim fluticasone propionat meredakan gejala inflamasi pruritus gatal2 dermatosis reponsif kortikosteroid</t>
  </si>
  <si>
    <t>TR202550911</t>
  </si>
  <si>
    <t>Balance Madia Immunosupport 10 Kaplet</t>
  </si>
  <si>
    <t>HERBANA BALANCE MADIA IMMUSUPPORT</t>
  </si>
  <si>
    <t>Rp30.600 - Rp47.200</t>
  </si>
  <si>
    <t>herbana balance madia immusupport</t>
  </si>
  <si>
    <t>balance madia immunosupport</t>
  </si>
  <si>
    <t>balance madia immunosupport kaplet herbana balance madia immusupport membantu memelihara daya tahan tubuh</t>
  </si>
  <si>
    <t>dequalinium chloride ascorbic acid</t>
  </si>
  <si>
    <t>efisolc tablet dequalinium chloride ascorbic acid untuk infeksi ringan disebabkan jamur bakteri mulut</t>
  </si>
  <si>
    <t>Diapro Underpad XL 10 Pieces</t>
  </si>
  <si>
    <t>Rp36.900 - Rp45.000</t>
  </si>
  <si>
    <t>Plastik @ 10 pieces</t>
  </si>
  <si>
    <t>diapro underpad xl pieces</t>
  </si>
  <si>
    <t>diapro underpad xl pieces tablet tizanidine hydrochloride alas menyerap menahan cairan cepat mudah</t>
  </si>
  <si>
    <t>GKL9812405701B1</t>
  </si>
  <si>
    <t>Tetracycline 500 mg 10 Kapsul</t>
  </si>
  <si>
    <t>Rp15.800 - Rp16.900</t>
  </si>
  <si>
    <t>Diberikan sebelum atau sesudah makan. Jangan diminum dengan susu atau antasida.</t>
  </si>
  <si>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</si>
  <si>
    <t>INFORMASI OBAT INI HANYA UNTUK KALANGAN MEDIS. Infeksi yang di sebabkan oleh mikroorganisme gram positif dan gram negatif yang sensitif terhadap Tetracyclin</t>
  </si>
  <si>
    <t>Hipersensitif, gangguan ginjal berat, Hamil, dan anak &lt; 12 tahun.</t>
  </si>
  <si>
    <t>HARUS DENGAN RESEP DOKTER. Gangguan fungsi hati, gangguan fungsi ginjal, kadang-kadang menimbulkan fotosensitivitas. Kategori kehamilan: D</t>
  </si>
  <si>
    <t>infeksi sebabkan mikroorganisme gram positif gram negatif sensitif tetracyclin</t>
  </si>
  <si>
    <t>tetracycline</t>
  </si>
  <si>
    <t>tetracycline kapsul tetracycline hydrochloride infeksi sebabkan mikroorganisme gram positif gram negatif sensitif tetracyclin</t>
  </si>
  <si>
    <t>TR123366881</t>
  </si>
  <si>
    <t>Kapsul Manggis Mangostana 88 60 Kapsul</t>
  </si>
  <si>
    <t>KAPSUL MANGGIS MANGOSTANA 88</t>
  </si>
  <si>
    <t>Rp35.300 - Rp45.400</t>
  </si>
  <si>
    <t>Membantu meningkatkan daya tahan tubuh,sebagai antiosidan</t>
  </si>
  <si>
    <t>kapsul manggis mangostana 88</t>
  </si>
  <si>
    <t>membantu meningkatkan daya tahan tubuh , antiosidan</t>
  </si>
  <si>
    <t>manggis mangostana</t>
  </si>
  <si>
    <t>manggis mangostana kapsul kapsul manggis mangostana 88 membantu meningkatkan daya tahan tubuh  antiosidan</t>
  </si>
  <si>
    <t>TR182516211</t>
  </si>
  <si>
    <t>Imboost Lozenges Jahe Mint 6 Tablet Hisap</t>
  </si>
  <si>
    <t>IMBOOST LOZENGES PELEGA TENGGOROKAN</t>
  </si>
  <si>
    <t>Tablet Imboost Lozenges dibiarkan melarut perlahan-lahan dalam mulut.</t>
  </si>
  <si>
    <t>3 x sehari 1 tablet. Ulangi setiap 8 jam atau sesuai dengan petunjuk dokter.</t>
  </si>
  <si>
    <t>Dus, 15 Sachet @ 6 Tablet Hisap</t>
  </si>
  <si>
    <t>Tidak boleh digunakan oleh penderita sklerosis multiple, penyakit kolagen, leukosis, tuberkulosis, AIDS dan penyakit autoimun.</t>
  </si>
  <si>
    <t>Hentikan permakaian jika terjadi reaksi alergi. Tidak dianjurkan digunakan lebih dari 8 minggu. Hindari penggunaan pada wanita hamil dan menyusui</t>
  </si>
  <si>
    <t>imboost lozenges pelega tenggorokan</t>
  </si>
  <si>
    <t>imboost lozenges jahe mint hisap</t>
  </si>
  <si>
    <t>imboost lozenges jahe mint hisap tablet imboost lozenges pelega tenggorokan membantu melegakan tenggorokan</t>
  </si>
  <si>
    <t>Counterpain Cool Gel 5 g</t>
  </si>
  <si>
    <t>Rp10.600 - Rp10.800</t>
  </si>
  <si>
    <t>Gunakan 3-4 kali sehari 1 g pada area yang sakit</t>
  </si>
  <si>
    <t>Nyeri otot, nyeri sendi yang berhubungan dengan terkilir, memar, dan cedera pada saat olahraga</t>
  </si>
  <si>
    <t>Dus, Tube @ 50 g</t>
  </si>
  <si>
    <t>nyeri otot , nyeri sendi berhubungan terkilir , memar , cedera olahraga</t>
  </si>
  <si>
    <t>counterpain cool gel menthol nyeri otot  nyeri sendi berhubungan terkilir  memar  cedera olahraga</t>
  </si>
  <si>
    <t>DKL9322214638A1</t>
  </si>
  <si>
    <t>Claneksi Dry Sirup 60 ml</t>
  </si>
  <si>
    <t>Rp67.000 - Rp84.900</t>
  </si>
  <si>
    <t>PENGGUNAAN OBAT INI HARUS SESUAI DENGAN PETUNJUK DOKTER. Dewasa : 250-500 mg tiap 8 jam. Anak- anak: 25 mg/kg BB/hari terbagi tiap 8 jam, anak umur 1-6 tahun: 5 ml, anak umur &lt;1 tahun 2 mL.</t>
  </si>
  <si>
    <t>INFORMASI OBAT INI HANYA UNTUK KALANGAN MEDIS. Infeksi saluran pernapasan atas &amp; bawah, GUT, kulit &amp; jaringan lunak, tulang &amp; sendi.</t>
  </si>
  <si>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</si>
  <si>
    <t>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</si>
  <si>
    <t>infeksi saluran pernapasan , gut , kulit jaringan lunak , tulang sendi</t>
  </si>
  <si>
    <t>claneksi</t>
  </si>
  <si>
    <t>claneksi sirup amoxicillin trihydrate infeksi saluran pernapasan  gut  kulit jaringan lunak  tulang sendi</t>
  </si>
  <si>
    <t>DBL1840403712A1</t>
  </si>
  <si>
    <t>D-Cool 0.25 mg 6 Tablet Hisap</t>
  </si>
  <si>
    <t>Rp10.000 - Rp12.400</t>
  </si>
  <si>
    <t>1 tablet, diberikan 6-8 kali per hari (bila perlu).</t>
  </si>
  <si>
    <t>Untuk infeksi bakteri dan jamur (fungi) pada rongga mulut dan tenggorokan.</t>
  </si>
  <si>
    <t>Dus, 2 Blister @ 6 Tablet Hisap</t>
  </si>
  <si>
    <t>untuk infeksi bakteri jamur fungi rongga mulut tenggorokan</t>
  </si>
  <si>
    <t>dcool hisap</t>
  </si>
  <si>
    <t>dcool hisap tablet dequalinium chloride untuk infeksi bakteri jamur fungi rongga mulut tenggorokan</t>
  </si>
  <si>
    <t>TR163396711</t>
  </si>
  <si>
    <t>Jamu Iboe Kunir Herbal 30 Kapsul</t>
  </si>
  <si>
    <t>KUNIR</t>
  </si>
  <si>
    <t>Rp61.600 - Rp72.800</t>
  </si>
  <si>
    <t>Melancarkan dan mengurangi nyeri haid serta baik untuk memelihara kesehatan pencernaan.</t>
  </si>
  <si>
    <t>kunir</t>
  </si>
  <si>
    <t>melancarkan mengurangi nyeri haid memelihara kesehatan pencernaan</t>
  </si>
  <si>
    <t>jamu iboe kunir herbal</t>
  </si>
  <si>
    <t>jamu iboe kunir herbal kapsul kunir melancarkan mengurangi nyeri haid memelihara kesehatan pencernaan</t>
  </si>
  <si>
    <t>GKL9605021001A1</t>
  </si>
  <si>
    <t>Doxycycline 100 mg 10 Kapsul</t>
  </si>
  <si>
    <t>Rp9.400 - Rp9.600</t>
  </si>
  <si>
    <t>PENGGUNAAN OBAT INI HARUS SESUAI DENGAN PETUNJUK DOKTER. Dewasa : 2 kali sehari 1 tablet</t>
  </si>
  <si>
    <t>INFORMASI OBAT INI HANYA UNTUK KALANGAN MEDIS. Infeksi saluran pernafasan, saluran pencernaan, saluran kemih, dan infeksi jerawat</t>
  </si>
  <si>
    <t>Hipersensitif terhadap doxycycline. Kehamilan dan menyusui.</t>
  </si>
  <si>
    <t>HARUS DENGAN RESEP DOKTER. Hati-hati pada wanita hamil, menyusui, gangguan fungsi hati, dan ginjal. Kategori D: Terbukti berisiko terhadap janin. Meski demikian, obat masih dapat digunakan jika obat diperlukan untuk mengatasi keadaan yang mengancam jiwa, atau penyakit serius, dimana obat yang lebih aman tidak dapat digunakan atau tidak efektif.</t>
  </si>
  <si>
    <t>doxycycline hyclate</t>
  </si>
  <si>
    <t>infeksi saluran pernafasan , saluran pencernaan , saluran kemih , infeksi jerawat</t>
  </si>
  <si>
    <t>doxycycline</t>
  </si>
  <si>
    <t>doxycycline kapsul doxycycline hyclate infeksi saluran pernafasan  saluran pencernaan  saluran kemih  infeksi jerawat</t>
  </si>
  <si>
    <t>DKL9322214509A1</t>
  </si>
  <si>
    <t>Claneksi 6 Kaplet</t>
  </si>
  <si>
    <t>Rp98.100 - Rp116.500</t>
  </si>
  <si>
    <t>PENGGUNAAN OBAT INI HARUS SESUAI DENGAN PETUNJUK DOKTER. Dewasa : 3 x sehari 1 tablet. Anak-anak : 25 mg/kg BB sehari dalam dosis terbagi tiap 8 jam</t>
  </si>
  <si>
    <t>INFORMASI OBAT INI HANYA UNTUK KALANGAN MEDIS. Infeksi saluran pernapasan atas dan bawah, GUT, kulit &amp; jaringan lunak, tulang dan sendi.</t>
  </si>
  <si>
    <t>claneksi kaplet amoxicillin trihydrate infeksi saluran pernapasan  gut  kulit jaringan lunak  tulang sendi</t>
  </si>
  <si>
    <t>QD161714621</t>
  </si>
  <si>
    <t>Stop-X Cream 30 g</t>
  </si>
  <si>
    <t>Rp22.600 - Rp30.700</t>
  </si>
  <si>
    <t>Oleskan dan pijat pada bagian yang sakit</t>
  </si>
  <si>
    <t>Nyeri otot, artritis, mialgia, neuralgia, selesma, dan sakit kepala</t>
  </si>
  <si>
    <t>Cream 30 G X 1</t>
  </si>
  <si>
    <t>Luka terbuka dan mukosa</t>
  </si>
  <si>
    <t>Jangan digunakan pada luka terbuka dan jaringan mukosa</t>
  </si>
  <si>
    <t>benzil nicotinate</t>
  </si>
  <si>
    <t>nyeri otot , artritis , mialgia , neuralgia , selesma , sakit kepala</t>
  </si>
  <si>
    <t>stopx cream</t>
  </si>
  <si>
    <t>stopx cream krim benzil nicotinate nyeri otot  artritis  mialgia  neuralgia  selesma  sakit kepala</t>
  </si>
  <si>
    <t>sanprima tablet trimethoprim sulfamethoxazole infeksi saluran nafas  saluran pencernaan  saluran kemih otitis medium</t>
  </si>
  <si>
    <t>Laurier Relax Night Wing 30 cm 16 Pads</t>
  </si>
  <si>
    <t>Rp14.700 - Rp28.500</t>
  </si>
  <si>
    <t>Pack @ 16 pads</t>
  </si>
  <si>
    <t>laurier relax night wing pads tablet tizanidine hydrochloride pembalut menyerap cairan mentruasi maksimal</t>
  </si>
  <si>
    <t>betamethasone dipropionate gentamicin sulfate</t>
  </si>
  <si>
    <t>digenta cream krim betamethasone dipropionate gentamicin sulfate dermatosis responsif kortikosteroid komplikasi infeksi sekunder</t>
  </si>
  <si>
    <t>Medicort Cream 5Gr</t>
  </si>
  <si>
    <t>Rp34.300 - Rp49.200</t>
  </si>
  <si>
    <t>PENGGUNAAN OBAT INI HARUS SESUAI DENGAN PETUNJUK DOKTER. 1-2 x sehari</t>
  </si>
  <si>
    <t>Mengatasi peradangan dan gatal-gatal dari dermatosis yang responsif terhadap kortikosteroid</t>
  </si>
  <si>
    <t>Krim 5 Gr X 1 Tube</t>
  </si>
  <si>
    <t>Pasien yang alergi terhadap protein susu. Berencana untuk hamil. Hamil. Menyusui</t>
  </si>
  <si>
    <t>HARUS DENGAN RESEP DOKTER. Jika muncul iritasi, penggunaan harus dihentikan. Hindari penggunaan pada daerah mata, pada ibu hamil, laktasi, bayi, dan anak</t>
  </si>
  <si>
    <t>mengatasi peradangan gatal - gatal dermatosis responsif kortikosteroid</t>
  </si>
  <si>
    <t>medicort cream gr</t>
  </si>
  <si>
    <t>medicort cream gr krim fluticasone propionat mengatasi peradangan gatal  gatal dermatosis responsif kortikosteroid</t>
  </si>
  <si>
    <t>DKL0002330529A1</t>
  </si>
  <si>
    <t>Motaderm 0.1% Cream 10 g</t>
  </si>
  <si>
    <t>Rp72.800 - Rp92.600</t>
  </si>
  <si>
    <t>HARUS DENGAN RESEP DOKTER. Hindari penggunaan jangka panjang pada anak, bayi, dan area wajah. Lama terapi pada anak tidak boleh &gt;7-10 hari. Pruritus, psoriasis. Hamil, laktasi. Hindari penggunaan pada are tubuh yang luas atau terapi jangka panjang</t>
  </si>
  <si>
    <t>motaderm cream</t>
  </si>
  <si>
    <t>motaderm cream krim mometasone furoate meredakan gejala inflamasi pruritus gatal2 dermatosis reponsif kortikosteroid</t>
  </si>
  <si>
    <t>Motaderm 0.1% Cream 5 g</t>
  </si>
  <si>
    <t>Rp52.900 - Rp64.000</t>
  </si>
  <si>
    <t>DTL8824206840A1</t>
  </si>
  <si>
    <t>Tantum Verde Solution 60 ml</t>
  </si>
  <si>
    <t>Rp28.500 - Rp34.500</t>
  </si>
  <si>
    <t>Tanpa diencerkan, kira-kira 1 sendok makan (15 ml) untuk kumur-kumur selama 1 menit lalu dibuang, sehari 2-3 kali. Pengobatan yang terus menerus tidak boleh lebih dari 7 hari.</t>
  </si>
  <si>
    <t>Dikumur-kumur 2-3 kali per hari sebanyak 1 sendok makan (15 ml) selama 1 menit.</t>
  </si>
  <si>
    <t>Pencegahan &amp; terapi Dehidrasi ringan hingga sedang akibat Diare dan Muntah</t>
  </si>
  <si>
    <t>Penderita yang hipersensitif terhadap obat ini.</t>
  </si>
  <si>
    <t>Tidak dianjurkan untuk anak &lt; 12 tahun. Obat jangan ditelan Hati-hati penggunaan pada penderita dengan gangguan fungsi hati dan ginjal yang berat.</t>
  </si>
  <si>
    <t>benzydamine hydrochloride</t>
  </si>
  <si>
    <t>pencegahan terapi dehidrasi ringan akibat diare muntah</t>
  </si>
  <si>
    <t>tantum verde solution</t>
  </si>
  <si>
    <t>tantum verde solution larutan benzydamine hydrochloride pencegahan terapi dehidrasi ringan akibat diare muntah</t>
  </si>
  <si>
    <t>DKL7802001010A1</t>
  </si>
  <si>
    <t>Binotal 500 mg 10 Tablet</t>
  </si>
  <si>
    <t>Rp42.000 - Rp70.000</t>
  </si>
  <si>
    <t>PENGGUNAAN OBAT INI HARUS SESUAI DENGAN PETUNJUK DOKTER. Dewasa : 1.5 - 3 g/hari, dapat ditingkatkan sampai dengan 6 g atau lebih, tergantung indikasi</t>
  </si>
  <si>
    <t>Infeksi sal nafas, ISK, infeksi Gl</t>
  </si>
  <si>
    <t>Binotal 1000 mg 5 Tablet</t>
  </si>
  <si>
    <t>Rp28.400 - Rp59.700</t>
  </si>
  <si>
    <t>Charm Body Fit Extra Maxi Non Wing 10 Pads</t>
  </si>
  <si>
    <t>Rp4.400 - Rp15.700</t>
  </si>
  <si>
    <t>charm body fit extra maxi non wing pads</t>
  </si>
  <si>
    <t>charm body fit extra maxi non wing pads tablet tizanidine hydrochloride pembalut menstruasi</t>
  </si>
  <si>
    <t>DKL1021638138A1</t>
  </si>
  <si>
    <t>Aztrin Dry Sirup 15 ml</t>
  </si>
  <si>
    <t>Rp124.000 - Rp149.200</t>
  </si>
  <si>
    <t>PENGGUNAAN OBAT INI HARUS SESUAI DENGAN PETUNJUK DOKTER. Dewasa : 500 mg/hari selama 3 hari, Dosis alternatif : diberikan selama 5 hari, 500 mg pada hari pertama dilanjutkan dengan 250 mg/hari pada hari ke dua sampai dengan kelima. Anak : 10 mg/kg BB/hari selama 3 hari. Dosis alternatif : diberikan sela</t>
  </si>
  <si>
    <t>Infeksi saluran nafas atas dan bawah, kulit dan jaringan lunak. Pengobatan pneumonia yang didapat dari lingkungan</t>
  </si>
  <si>
    <t>Sirup 200 Mg/5 ml X 15 ml X 1</t>
  </si>
  <si>
    <t>Hipersensitif terhadap eritromisin ataupun makrolid</t>
  </si>
  <si>
    <t>HARUS DENGAN RESEP DOKTER. Gangguan ginjal sedang atau berat, gangguan hati. Hamil, laktasi</t>
  </si>
  <si>
    <t>infeksi saluran nafas , kulit jaringan lunak  pengobatan pneumonia lingkungan</t>
  </si>
  <si>
    <t>aztrin</t>
  </si>
  <si>
    <t>aztrin sirup azithromycin dihydrate infeksi saluran nafas  kulit jaringan lunak  pengobatan pneumonia lingkungan</t>
  </si>
  <si>
    <t>DKL0732401281A1</t>
  </si>
  <si>
    <t>Amoxsan 250 mg 10 Tablet Dispersible</t>
  </si>
  <si>
    <t>PENGGUNAAN OBAT INI HARUS SESUAI DENGAN PETUNJUK DOKTER. Dewasa &amp; anak-anak dengan berat badan 20 kg atau lebih : 250-500 mg tiap 8 jam. Anak-anak dengan berat badan lebih dari 8 kg : 125-250 mg tiap 8 jam.</t>
  </si>
  <si>
    <t>DKL1818831917A1</t>
  </si>
  <si>
    <t>Cetirgi 10 mg 10 Tablet</t>
  </si>
  <si>
    <t>Rp42.300 - Rp54.700</t>
  </si>
  <si>
    <t>INFORMASI OBAT INI HANYA UNTUK KALANGAN MEDIS. Kondisi alergi seperti rinitis perenial, rinitis alergi dan urtikaria idiopatik kronik.</t>
  </si>
  <si>
    <t>Riwayat hipersensitif terhadap cetirizine, menyusui</t>
  </si>
  <si>
    <t>Obat Wajib Apotek, Obat ini dapat dibeli dan diserahkan apoteker tanpa resep dengan maksimum 1 Strip. Pembelian melebihi batas ini WAJIB RESEP DOKTER. Alergi, wanita hamil dan menyusui. Katagori kehamilan: Kategori B: Mungkin dapat digunakan oleh wanita hamil. Penelitian pada hewan uji tidak memperlihatkan ada nya risiko terhadap janin, namun belum ada bukti penelitian langsung terhadap wanita hamil.</t>
  </si>
  <si>
    <t>cetirgi tablet cetirizine hydrochloride kondisi alergi rinitis perenial  rinitis alergi urtikaria idiopatik kronik</t>
  </si>
  <si>
    <t>Vicks Formula 44 Sirup 27 ml</t>
  </si>
  <si>
    <t>Rp10.800 - Rp12.500</t>
  </si>
  <si>
    <t>Gunakan setiap 4 jam sesuai kebutuhan, sampai 6 x sehari. Dewasa : 12 tahun ke atas : 2 sendok takar (10 ml) Anak-anak : 6-12 tahun : 1 sendok takar (5 ml) atau gunakan sesuai petunjuk dokter</t>
  </si>
  <si>
    <t>Hipersensitivitas, penyakit hati atau kegagalan pernafasan</t>
  </si>
  <si>
    <t>DBL0234001137A1</t>
  </si>
  <si>
    <t>Novagesic Sirup 120mg/5ml 60ml</t>
  </si>
  <si>
    <t>Rp5.900 - Rp13.500</t>
  </si>
  <si>
    <t>Anak &lt; 1 tahun : 3-4 x sehari 2.5 ml syrup. Anak 1-3 tahun : 3-4 x sehari 2.5 ml syrup. Anak 3-6 tahun : 3-4 x sehari 5 ml syrup. Anak 6-12 tahun : 3-4 x sehari 5-10 ml syrup. Di atas 12 tahun : 3-4 x sehari 15-20 ml syrup.</t>
  </si>
  <si>
    <t>Penggunaan harus dihentikan jika tanda-tanda awal reaksi alergi seperti ruam, gatal, sakit tenggorokan, demam, arthralgia, pucat, atau tanda-tanda lainnya muncul. Obat ini harus digunakan secara hati-hati pada pasien yang mempunyai penyakit asma, ibu menyusui, pasien gangguan fungsi ginjal dan hati</t>
  </si>
  <si>
    <t>novagesic mgml</t>
  </si>
  <si>
    <t>novagesic mgml sirup paracetamol membantu meredakan sakit kepala  sakit gigi nyeri ringan demam</t>
  </si>
  <si>
    <t>DKL7206101010A1</t>
  </si>
  <si>
    <t>Merislon 6 mg 10 Tablet</t>
  </si>
  <si>
    <t>Rp67.300 - Rp82.500</t>
  </si>
  <si>
    <t>PENGGUNAAN OBAT INI HARUS SESUAI DENGAN PETUNJUK DOKTER. Dosis yang dianjurkan: 6-12 mg 3x sehari</t>
  </si>
  <si>
    <t>INFORMASI OBAT INI HANYA UNTUK KALANGAN MEDIS. Untuk vertigo, tinnitus, dan gangguan pendengaran yang terkait pada pasien dengan penyakit Meniere</t>
  </si>
  <si>
    <t>Hipersensitif, Mengidap feokromositoma (tumor langka pada kelenjar adrenal).</t>
  </si>
  <si>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</si>
  <si>
    <t>untuk vertigo , tinnitus , gangguan pendengaran terkait pasien penyakit meniere</t>
  </si>
  <si>
    <t>merislon</t>
  </si>
  <si>
    <t>merislon tablet betahistine mesilate untuk vertigo  tinnitus  gangguan pendengaran terkait pasien penyakit meniere</t>
  </si>
  <si>
    <t>DKI0905514810C1</t>
  </si>
  <si>
    <t>Vivace 10 mg 10 Tablet</t>
  </si>
  <si>
    <t>Rp138.000 - Rp142.300</t>
  </si>
  <si>
    <t>PENGGUNAAN OBAT INI HARUS SESUAI DENGAN PETUNJUK DOKTER. HTN/Hipertensi : diawali 1 x sehari 0.25 tablet, dapat ditingkatkan dengan interval 2-3 minggu. Pemeliharaan : 0.25-0.5 tablet perhari. Maximum 1 tablet perhari. CHF/Gagal Jantung Kongestif : diawali 1 x sehari 1.25 mg.</t>
  </si>
  <si>
    <t>INFORMASI OBAT INI HANYA UNTUK KALANGAN MEDIS. Hipertensi. Infark Miokard akut, tanda-tanda klinis gagal jantung kongestif.</t>
  </si>
  <si>
    <t>Hamil dan laktasi. Riwayat edema angioneurotik, penyempitan pembuluh darah ginjal yang menyebabkan penurunan aliran darah ginjal yang menyebabkan penurunan aliran darah, baik pada salah satu atau kedua ginjal, TD rendah atau kondisi sirkulasi darah yang l</t>
  </si>
  <si>
    <t>HARUS DENGAN RESEP DOKTER. Monitor fungsi ginjal, penurunan TD serta kadar K serum dan sel darah putih. Pasien dengan hipertensi maligna berat, gagal jantung atau menggunakan obat lain yang berpotensi menurunkan TD, sedang menggunakan diuretik, mengalami defisiensi cairan atau gar.Kategori kehamilan : Kategori D: Terbukti berisiko terhadap janin. Meski demikian, obat masih dapat digunakan jika obat diperlukan untuk mengatasi keadaan yang mengancam jiwa, atau penyakit serius, dimana obat yang lebih aman tidak dapat digunakan atau tidak efektif.</t>
  </si>
  <si>
    <t>hipertensi  infark miokard akut , tanda - tanda klinis gagal jantung kongestif</t>
  </si>
  <si>
    <t>vivace</t>
  </si>
  <si>
    <t>vivace tablet ramipril hipertensi  infark miokard akut  tanda  tanda klinis gagal jantung kongestif</t>
  </si>
  <si>
    <t>DTL9509205004A1</t>
  </si>
  <si>
    <t>Farnirex 10 Kaplet</t>
  </si>
  <si>
    <t>Rp2.500 - Rp7.000</t>
  </si>
  <si>
    <t>Dewasa 3 x sehari 1 kaplet, anak 6-12 tahun 3 x sehari 1/2 kaplet</t>
  </si>
  <si>
    <t>Meringankan gejala flu seperti demam, sakit kepala, hidung tersumbat, bersin-bersin</t>
  </si>
  <si>
    <t>meringankan gejala flu demam , sakit kepala , hidung tersumbat , bersin - bersin</t>
  </si>
  <si>
    <t>farnirex</t>
  </si>
  <si>
    <t>farnirex kaplet paracetamol meringankan gejala flu demam  sakit kepala  hidung tersumbat  bersin  bersin</t>
  </si>
  <si>
    <t>Hansaplast Kids Disney Mickey and Friends 10 Lembar</t>
  </si>
  <si>
    <t>Rp10.200 - Rp12.500</t>
  </si>
  <si>
    <t>Pack isi 10 Lembar</t>
  </si>
  <si>
    <t>hansaplast kids disney mickey and friends lembar</t>
  </si>
  <si>
    <t>hansaplast kids disney mickey and friends lembar larutan povidoneiodine penutup luka  mencegah infeksi</t>
  </si>
  <si>
    <t>DKL1906609417A1</t>
  </si>
  <si>
    <t>Arcoxia 60 mg 10 Tablet</t>
  </si>
  <si>
    <t>Rp199.100 - Rp230.500</t>
  </si>
  <si>
    <t>PENGGUNAAN OBAT INI HARUS SESUAI DENGAN PETUNJUK DOKTER. Osteoartritis &amp; nyeri kronik mussculoskeletal, dosis yang dianjurkan: 1 x 60 mg sehari. Nyeri akut analgesia yang digunakan pada perawatan gigi, dosis yang dianjurkan: 1 x 120 mg sehari.</t>
  </si>
  <si>
    <t>INFORMASI OBAT INI HANYA UNTUK KALANGAN MEDIS. Menghilangkan gejala pada pengobatan osteoartritis, menghilangkan nyeri akut pada pembedahan pengobatan gigi</t>
  </si>
  <si>
    <t>Hipersensitif terhadap komponen obat, radang usus, hipertensi yang tidak terkontrol.</t>
  </si>
  <si>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</si>
  <si>
    <t>menghilangkan gejala pengobatan osteoartritis , menghilangkan nyeri akut pembedahan pengobatan gigi</t>
  </si>
  <si>
    <t>arcoxia</t>
  </si>
  <si>
    <t>arcoxia tablet etoricoxib menghilangkan gejala pengobatan osteoartritis  menghilangkan nyeri akut pembedahan pengobatan gigi</t>
  </si>
  <si>
    <t>DKL1408021937A1</t>
  </si>
  <si>
    <t>Ondane 4 mg Sirup 60 ml</t>
  </si>
  <si>
    <t>Rp115.000 - Rp130.900</t>
  </si>
  <si>
    <t>ondane</t>
  </si>
  <si>
    <t>ondane sirup ondansetron hydrochloride penatalaksanaan mual muntah kemoterapi radioterapi  mual muntah paska operasi</t>
  </si>
  <si>
    <t>DKL8918805210A1</t>
  </si>
  <si>
    <t>Piralen 10 mg 10 Tablet</t>
  </si>
  <si>
    <t>Rp6.800 - Rp8.600</t>
  </si>
  <si>
    <t>PENGGUNAAN OBAT INI HARUS SESUAI DENGAN PETUNJUK DOKTER. Diberikan sebelum makan.</t>
  </si>
  <si>
    <t>PENGGUNAAN OBAT INI HARUS SESUAI DENGAN PETUNJUK DOKTER. Mual dan muntah terkait dengan kemoterapi kanker atau radioterapi. Dewasa: 0.5- 1 tablet diminum 3 kali sehari secara teratur. Anak 5-14 tahun : 0.25 - 0.5 tablet diminum 3 kali sehari</t>
  </si>
  <si>
    <t>INFORMASI OBAT INI HANYA UNTUK KALANGAN MEDIS. Mengobati gangguan saluran cerna, mual, muntah, luka lambung dan usus.</t>
  </si>
  <si>
    <t>Penyakit parkinson,epilepsi (kejang).</t>
  </si>
  <si>
    <t>Obat Wajib Apotek, Obat ini dapat dibeli dan diserahkan apoteker tanpa resep dengan maksimum 2 Strip. Pembelian melebihi batas ini WAJIB RESEP DOKTER. Wanita hamil dan menyusui. Katagori Kehamilan : Kategori B: Mungkin dapat digunakan oleh wanita hamil. Penelitian pada hewan uji tidak memperlihatkan ada nya risiko terhadap janin, namun belum ada bukti penelitian langsung terhadap wanita hamil.</t>
  </si>
  <si>
    <t>mengobati gangguan saluran cerna , mual , muntah , luka lambung usus</t>
  </si>
  <si>
    <t>piralen</t>
  </si>
  <si>
    <t>piralen tablet metoclopramide hydrochloride mengobati gangguan saluran cerna  mual  muntah  luka lambung usus</t>
  </si>
  <si>
    <t>Duoderm Extra Thin 10X10 cm</t>
  </si>
  <si>
    <t>Rp64.500 - Rp72.200</t>
  </si>
  <si>
    <t>Plester steril yang digunakan untuk menutup luka, sehingga mempercepat proses penyembuhan</t>
  </si>
  <si>
    <t>Dus, @ 10 pieces</t>
  </si>
  <si>
    <t>plester steril menutup luka , mempercepat prose penyembuhan</t>
  </si>
  <si>
    <t>duoderm extra thin x</t>
  </si>
  <si>
    <t>duoderm extra thin x larutan povidoneiodine plester steril menutup luka  mempercepat prose penyembuhan</t>
  </si>
  <si>
    <t>DKL9717612710A1</t>
  </si>
  <si>
    <t>Tomit 10 mg 10 Tablet</t>
  </si>
  <si>
    <t>Rp10.900 - Rp14.300</t>
  </si>
  <si>
    <t>PENGGUNAAN OBAT INI HARUS SESUAI DENGAN PETUNJUK DOKTER. Dewasa : 3 x sehari 1 tablet, Anak 6-14 tahun : 3 x sehari 0.25-0.5 tablet, Anak &lt; 6 tahun : 0,1 mg/kg BB.</t>
  </si>
  <si>
    <t>Reflux Esofagitis, pencegahan Mual dan Muntah paska operasi dan Kemoterapi emetogenik.</t>
  </si>
  <si>
    <t>Tablet 10 Mg X 5 X 10</t>
  </si>
  <si>
    <t>Feokromositoma, perdarahan gastrointestinal (saluran cerna), obstruksi dan perforasi. Sindroma parkinson tipe ekstrapiramidal, epilepsi.</t>
  </si>
  <si>
    <t>Obat Wajib Apotek, Obat ini dapat dibeli dan diserahkan apoteker tanpa resep dengan maksimum 2 Strip. Pembelian melebihi batas ini WAJIB RESEP DOKTER. Turunkan dosis pada gangguan hati karena akan meningkatkan gejala ekstrapiramidal. Intoleransi prokain dan prokainamida. Usia lanjut atau anak, hamil dan menyusui.</t>
  </si>
  <si>
    <t>reflux esofagitis , pencegahan mual muntah paska operasi kemoterapi emetogenik</t>
  </si>
  <si>
    <t>tomit</t>
  </si>
  <si>
    <t>tomit tablet metoclopramide hydrochloride reflux esofagitis  pencegahan mual muntah paska operasi kemoterapi emetogenik</t>
  </si>
  <si>
    <t>DKL9922231017B1</t>
  </si>
  <si>
    <t>Trovensis 8 mg 10 Tablet</t>
  </si>
  <si>
    <t>Rp251.100 - Rp276.300</t>
  </si>
  <si>
    <t>PENGGUNAAN OBAT INI HARUS SESUAI DENGAN PETUNJUK DOKTER. Pencegahan Mual-Muntah akibat kemoterapi emetogenik moderat - Dewasa : 2 x sehari 1 tablet, dosis pertama diberikan 30 mnt sebelum kemoterapi dilanjutkan dosis berikutnya dengan interval 4-8 jam. K</t>
  </si>
  <si>
    <t>Mual dan Muntah akibat kemoterapi &amp; radioterapi, mual-muntah paska operasi</t>
  </si>
  <si>
    <t>Box Isi 1 Strip @ 10 Tablet Salut</t>
  </si>
  <si>
    <t>mual muntah akibat kemoterapi radioterapi , mual - muntah paska operasi</t>
  </si>
  <si>
    <t>trovensis</t>
  </si>
  <si>
    <t>trovensis tablet ondansetron hydrochloride mual muntah akibat kemoterapi radioterapi  mual  muntah paska operasi</t>
  </si>
  <si>
    <t>DKL1906609417C1</t>
  </si>
  <si>
    <t>Arcoxia 120 mg 10 Tablet</t>
  </si>
  <si>
    <t>Rp233.700 - Rp281.000</t>
  </si>
  <si>
    <t>GKL9832701110B1</t>
  </si>
  <si>
    <t>Piroxicam 10 mg 10 Tablet</t>
  </si>
  <si>
    <t>Rp1.300 - Rp3.800</t>
  </si>
  <si>
    <t>Berikan segera sesudah makan</t>
  </si>
  <si>
    <t xml:space="preserve">PENGGUNAAN OBAT INI HARUS SESUAI DENGAN PETUNJUK DOKTER. AR, OA, ankilosa spondilitis : 1 x sehari 20mg </t>
  </si>
  <si>
    <t>Leucoplast 1624 5 cm x 4.5 m</t>
  </si>
  <si>
    <t>Rp30.600 - Rp52.200</t>
  </si>
  <si>
    <t>Rekatkan pada objek, gunting sesuai dengan kebutuhan.</t>
  </si>
  <si>
    <t>Perekat verban, penutup luka, pemasangan kateter, infus, cannule, dan lain lain.</t>
  </si>
  <si>
    <t>Box isi 10 Roll</t>
  </si>
  <si>
    <t>perekat verban , penutup luka , pemasangan kateter , infus , cannule ,</t>
  </si>
  <si>
    <t>leucoplast x m</t>
  </si>
  <si>
    <t xml:space="preserve">leucoplast x m larutan povidoneiodine perekat verban  penutup luka  pemasangan kateter  infus  cannule </t>
  </si>
  <si>
    <t>DKL8827907209A1</t>
  </si>
  <si>
    <t>Dormi Comp Kaplet</t>
  </si>
  <si>
    <t>Rp2.700 - Rp3.900</t>
  </si>
  <si>
    <t>sesudah makan.</t>
  </si>
  <si>
    <t>PENGGUNAAN OBAT INI HARUS SESUAI DENGAN PETUNJUK DOKTER. Sehari 3 x 1tablet</t>
  </si>
  <si>
    <t>Kolik pada empedu, ginjal, dan nyeri spastik pada sistem genital wanita.</t>
  </si>
  <si>
    <t>Dus 100 Tab</t>
  </si>
  <si>
    <t>Hipersensitif terhadap derivat pirazolon. Glaukoma sudut sempit akut, miastenia gravis. Hamil. Bayi dengan BB kurang dari sama dengan 5 kg.</t>
  </si>
  <si>
    <t>Obat Wajib Apotek, Obat ini dapat dibeli dan diserahkan apoteker tanpa resep dengan maksimum 20 Kaplet. Pembelian melebihi batas ini WAJIB RESEP DOKTER. Risiko agranulositosis</t>
  </si>
  <si>
    <t>metamizole sodium thiamine mononitrate pyridoxine hydrochloride cyanocobalamin</t>
  </si>
  <si>
    <t>dolo scanneuron kaplet metamizole sodium thiamine mononitrate pyridoxine hydrochloride cyanocobalamin menghilangkan sakit demam</t>
  </si>
  <si>
    <t>DTL9720609637A1</t>
  </si>
  <si>
    <t>Poncodryl Dmp Sirup 100 ml</t>
  </si>
  <si>
    <t>Rp32.200 - Rp32.400</t>
  </si>
  <si>
    <t>Dewasa 2 sendoktakar setian 4-6 jam, anak-anak : 2-4 thn 3 x sehari1/2 sendok takar tiap 6 jam</t>
  </si>
  <si>
    <t>Meredakan batuk, bersin-bersin, hidung tersumbat karna influenza</t>
  </si>
  <si>
    <t>meredakan batuk , bersin - bersin , hidung tersumbat karna influenza</t>
  </si>
  <si>
    <t>poncodryl dmp</t>
  </si>
  <si>
    <t>poncodryl dmp sirup ammonium chloride meredakan batuk  bersin  bersin  hidung tersumbat karna influenza</t>
  </si>
  <si>
    <t>Poncodryl Dmp Sirup 60 ml</t>
  </si>
  <si>
    <t>Rp21.900 - Rp22.000</t>
  </si>
  <si>
    <t>DKL9809208504A1</t>
  </si>
  <si>
    <t>Quantidex 10 Kaplet</t>
  </si>
  <si>
    <t>PENGGUNAAN OBAT INI HARUS SESUAI DENGAN PETUNJUK DOKTER. Kaplet Dewasa &amp; anak &gt;12 tahun 1 kapl 3 x/hari.</t>
  </si>
  <si>
    <t>Mengurangi gejala gangguan pada saluran napas atas: rinitis alergi, rinitis vasomotorik.</t>
  </si>
  <si>
    <t>Hipersensitiv terhadap komponen, serangan asma akut, hipertensi, penyakit jantung koroner berat.</t>
  </si>
  <si>
    <t>HARUS DENGAN RESEP DOKTER. Dapat mengganggu kemampuan mengemudi atau menjalankan mesin. Hipertensi, asma akut, PJK, DM, hipertiroidisme, iskemia hati, glaukoma. Hamil, laktasi. Gangguan fungsi hati &amp; ginjal, pembesaran prostat. Hentikan penggunaan jika terjadi sukar tidur, jantung berdebar-debar, atau pusing. Kategori Kehamilan : C</t>
  </si>
  <si>
    <t>mengurangi gejala gangguan saluran napa rinitis alergi , rinitis vasomotorik</t>
  </si>
  <si>
    <t>quantidex</t>
  </si>
  <si>
    <t>quantidex kaplet pseudoephedrine hydrochloride mengurangi gejala gangguan saluran napa rinitis alergi  rinitis vasomotorik</t>
  </si>
  <si>
    <t>DKL9521618717B1</t>
  </si>
  <si>
    <t>Narfoz Tablet 8 mg</t>
  </si>
  <si>
    <t>Rp34.800 - Rp35.500</t>
  </si>
  <si>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</si>
  <si>
    <t>Dus, 2 Blister @ 6 tablet salut selaput</t>
  </si>
  <si>
    <t>narfoz tablet ondansetron hydrochloride penatalaksanaan mual muntah kemoterapi radioterapi  mual muntah paska operasi</t>
  </si>
  <si>
    <t>DTL9909210837A1</t>
  </si>
  <si>
    <t>Quantidex Sirup 60 ml</t>
  </si>
  <si>
    <t>Rp9.000 - Rp15.100</t>
  </si>
  <si>
    <t>Sirup: Dewasa &amp; anak &gt;12 tahun 2 sdt (10 mL) 3 x/hari, anak 6-12 tahun 1 sendok teh 3 x/hari, 2-6 tahun 1/2 sendok teh 3 x/hari. Tidak dianjurkan untuk anak &lt;2 tahun.</t>
  </si>
  <si>
    <t>Dapat mengganggu kemampuan mengemudi atau menjalankan mesin. Hipertensi, asma akut, PJK, DM, hipertiroidisme, iskemia hati, glaukoma. Hamil, laktasi. Gangguan fungsi hati &amp; ginjal, pembesaran prostat. Hentikan penggunaan jika terjadi sukar tidur, jantung berdebar-debar, atau pusing.</t>
  </si>
  <si>
    <t>quantidex sirup pseudoephedrine hydrochloride mengurangi gejala gangguan saluran napa rinitis alergi  rinitis vasomotorik</t>
  </si>
  <si>
    <t>DKL9222212210B1</t>
  </si>
  <si>
    <t>Tensinop 10 mg 10 Tablet</t>
  </si>
  <si>
    <t>Rp44.300 - Rp65.400</t>
  </si>
  <si>
    <t>PENGGUNAAN OBAT INI HARUS SESUAI DENGAN PETUNJUK DOKTER. HTN/Hipertensi-dewasa : diawali 1 x sehari 1 tablet CHF : diawali 0.25 tablet perhari</t>
  </si>
  <si>
    <t>INFORMASI OBAT INI HANYA UNTUK KALANGAN MEDIS. Hipertensi, Gagal Jantung Kongestif yang tidak dapat diatasi secara adekuat dengan diuretik dan digitalis.</t>
  </si>
  <si>
    <t>Box isi 3 strip @ 10 tablet</t>
  </si>
  <si>
    <t>Riwayat angioedema yang berhubungan dengan pemberian ACE inhibitor sebelumnya. Hamil.</t>
  </si>
  <si>
    <t>HARUS DENGAN RESEP DOKTER. Laktasi, hipotensi simtomatik terutama pada penderita yang mengalami deplesi volume cairan tubuh dan gagal jantung kongestif, hiperkalemia, peningkatan kadar BUN dan kreatinin serum pada stenosis arteri renalis unilateral atau bilateral. Kategori kehamilan : Kategori D: Terbukti berisiko terhadap janin. Meski demikian, obat masih dapat digunakan jika obat diperlukan untuk mengatasi keadaan yang mengancam jiwa, atau penyakit serius, dimana obat yang lebih aman tidak dapat digunakan atau tidak efektif.</t>
  </si>
  <si>
    <t>lisinopril dihydrate</t>
  </si>
  <si>
    <t>hipertensi , gagal jantung kongestif tidak diatasi adekuat diuretik digitalis</t>
  </si>
  <si>
    <t>tensinop</t>
  </si>
  <si>
    <t>tensinop tablet lisinopril dihydrate hipertensi  gagal jantung kongestif tidak diatasi adekuat diuretik digitalis</t>
  </si>
  <si>
    <t>Onemed Plesterin WP 100 Strips</t>
  </si>
  <si>
    <t>Rp44.800 - Rp49.800</t>
  </si>
  <si>
    <t>Bersihkan dan keringkan bagian yang sakit, lepaskan plester dari lapisan filmnya dan tempelkan pada daerah yang sakit.</t>
  </si>
  <si>
    <t>onemed plesterin wp strips</t>
  </si>
  <si>
    <t>onemed plesterin wp strips larutan povidoneiodine plester penutup luka mencegah timbulnya infeksi luka</t>
  </si>
  <si>
    <t>DKL9222212210A1</t>
  </si>
  <si>
    <t>Tensinop 5 mg 10 Tablet</t>
  </si>
  <si>
    <t>Rp32.100 - Rp41.300</t>
  </si>
  <si>
    <t>PENGGUNAAN OBAT INI HARUS SESUAI DENGAN PETUNJUK DOKTER. HTN/Hipertensi-dewasa : diawali 1 x sehari 2 tablet CHF : diawali 0.5 tablet perhari</t>
  </si>
  <si>
    <t>DBL0623402704B1</t>
  </si>
  <si>
    <t>Mirasic Forte 650 mg 10 Tablet</t>
  </si>
  <si>
    <t>Rp7.100 - Rp11.900</t>
  </si>
  <si>
    <t>Pasien yang memiliki riwayat hipersensitif.</t>
  </si>
  <si>
    <t>mirasic forte</t>
  </si>
  <si>
    <t>mirasic forte kaplet paracetamol obat meringankan sakit sakit kepala  sakit gigi menurunkan demam</t>
  </si>
  <si>
    <t>Easy Touch Cholesterol 10 Strip</t>
  </si>
  <si>
    <t>Rp195.200 - Rp229.500</t>
  </si>
  <si>
    <t>Letakkan sampel darah secukupnya pada test strip, kemudian masukkan strip ke tempat yang sesuai pada alat Easy Touch.</t>
  </si>
  <si>
    <t>Strip untuk mengukur kadar kolesterol dalam darah.</t>
  </si>
  <si>
    <t>Dus, @ 10 strip</t>
  </si>
  <si>
    <t>Hanya dapat digunakan dalam mesin dengan brand yang sama.</t>
  </si>
  <si>
    <t>strip mengukur kadar kolesterol darah</t>
  </si>
  <si>
    <t>easy touch cholesterol strip</t>
  </si>
  <si>
    <t>easy touch cholesterol strip tablet kombinasivalsartan blend 32 strip mengukur kadar kolesterol darah</t>
  </si>
  <si>
    <t>Siladex DMP Sirup 100 ml</t>
  </si>
  <si>
    <t>Rp23.200 - Rp25.600</t>
  </si>
  <si>
    <t>Dewasa dan anak-anak diatas 12 tahun: 3x sehari 2 sendok takar (10 ml) Anak - anak 6 ï¿½ 12 tahun: 3x sehari 1 sendok takar (5 ml) Atau menurut petunjuk dokter.</t>
  </si>
  <si>
    <t>Meredakan batuk tidak berdahak atau batuk kering disertai alergi.</t>
  </si>
  <si>
    <t>siladex dmp sirup dextromethorphan hydrobromide meredakan batuk tidak berdahak batuk kering disertai alergi</t>
  </si>
  <si>
    <t>Autocheck Cholesterol 10 Strip</t>
  </si>
  <si>
    <t>Rp195.700 - Rp225.000</t>
  </si>
  <si>
    <t>Bersihkan jari terlebih dahulu dengan alkohol, kemudian gunakan lancet untuk menusuk jari agar darah dapat keluar. Teteskan darah pada strip. Setelah itu masukkan kedalam alat pengukur</t>
  </si>
  <si>
    <t>Strip kolesterol yang digunakan untuk mengecek kadar kolesterol dalam darah</t>
  </si>
  <si>
    <t>Box @ 10 Pieces</t>
  </si>
  <si>
    <t>strip kolesterol mengecek kadar kolesterol darah</t>
  </si>
  <si>
    <t>autocheck cholesterol strip</t>
  </si>
  <si>
    <t>autocheck cholesterol strip tablet kombinasivalsartan blend 32 strip kolesterol mengecek kadar kolesterol darah</t>
  </si>
  <si>
    <t>Leukomed 8 cm X 10 cm</t>
  </si>
  <si>
    <t>Buka kemasan, aplikasikan ke daerah yang akan ditutup lukanya.</t>
  </si>
  <si>
    <t>Plester luka untuk melindungi dari bakteri dan tahan air sehingga aman jika dipakai ketika mandi.</t>
  </si>
  <si>
    <t>Dos Isi 50 Pcs</t>
  </si>
  <si>
    <t>Untuk penggunaan luar. Jauhkan dari jangkauan anak-anak.</t>
  </si>
  <si>
    <t>plester luka melindungi bakteri tahan air aman dipakai mandi</t>
  </si>
  <si>
    <t>leukomed x larutan povidoneiodine plester luka melindungi bakteri tahan air aman dipakai mandi</t>
  </si>
  <si>
    <t>Leukomed 5 cm x 7.2 cm</t>
  </si>
  <si>
    <t>Rp4.300 - Rp7.200</t>
  </si>
  <si>
    <t>DKI1227000510B1</t>
  </si>
  <si>
    <t>Betaserc 24 mg 20 Tablet</t>
  </si>
  <si>
    <t>Rp270.100 - Rp329.000</t>
  </si>
  <si>
    <t>PENGGUNAAN OBAT INI HARUS SESUAI DENGAN PETUNJUK DOKTER. Dosis awal : 8-16 mg dalam 3 dosis terbagi atau 24 mg dalam 2 dosis terbagi. Dosis pemeliharaan : 24-48 mg per hari. Maks.48 mg</t>
  </si>
  <si>
    <t>INFORMASI OBAT INI HANYA UNTUK KALANGAN MEDIS. Untuk vertigo, tinnitus, dan gangguan pendengaran yang terkait pada pasien dengan penyakit Meniere.</t>
  </si>
  <si>
    <t>Dus, 1 Blister @ 20 Tablet</t>
  </si>
  <si>
    <t>HARUS DENGAN RESEP DOKTER. Hati-hati penggunaan pada pasien dengan asma bronkial, riwayat penyakit tukak lambung, kerusakan hati, ibu hamil dan menyusui. Kategori kehamilan: Belum terdapat data keamanan terkait penggunaan obat ini pada wanita hamil dan/atau menyusui. Konsultasikan kepada dokter apabila Anda sedang hamil dan/atau menyusui.</t>
  </si>
  <si>
    <t>betaserc</t>
  </si>
  <si>
    <t>betaserc tablet betahistine hydrochloride untuk vertigo  tinnitus  gangguan pendengaran terkait pasien penyakit meniere</t>
  </si>
  <si>
    <t>DTL2128210237A1</t>
  </si>
  <si>
    <t>Simfed Expectorant Sirup 60 ml</t>
  </si>
  <si>
    <t>Rp35.600 - Rp37.500</t>
  </si>
  <si>
    <t>Dewasa &amp; anak lebih dari 12 tahun: 3 x sehari 5 ml. Anak 6-12 tahun: 3 xsehari 2.5 ml.</t>
  </si>
  <si>
    <t>Meringankan gejala pilek dan batuk berdahak.</t>
  </si>
  <si>
    <t>Glaukoma, hipertrofi prostat, hipertiroid, retensi urin, penyakit jantung, DM. Penggunaan bersama depresan SSP lainnya. Dapat mengganggu kemampuan mengemudikan kendaraan atau mengoperasikan mesin. Pasien dengan gangguan fungsi hati &amp; ginjal. Hamil &amp; laktasi. Anak &lt; 2 thn.</t>
  </si>
  <si>
    <t>pseudoephedrine hydrochloride triprolidine hydrochloride guaifenesin</t>
  </si>
  <si>
    <t>meringankan gejala pilek batuk berdahak</t>
  </si>
  <si>
    <t>simfed expectorant</t>
  </si>
  <si>
    <t>simfed expectorant sirup pseudoephedrine hydrochloride triprolidine hydrochloride guaifenesin meringankan gejala pilek batuk berdahak</t>
  </si>
  <si>
    <t>Leucoplast 1625 7.5 cm X 4.5 M</t>
  </si>
  <si>
    <t>Rp56.400 - Rp69.500</t>
  </si>
  <si>
    <t>GKL0820935017B1</t>
  </si>
  <si>
    <t>Ondansetron 8 mg 6 Tablet</t>
  </si>
  <si>
    <t>Rp19.300 - Rp24.200</t>
  </si>
  <si>
    <t>Dus, 2 Strip @ 6 Tablet Salut selaput</t>
  </si>
  <si>
    <t>ondansetron tablet ondansetron hydrochloride penatalaksanaan mual muntah kemoterapi radioterapi  mual muntah paska operasi</t>
  </si>
  <si>
    <t>DTL1709224636A1</t>
  </si>
  <si>
    <t>Lecozinc Drops 15 ml</t>
  </si>
  <si>
    <t>Rp11.600 - Rp15.000</t>
  </si>
  <si>
    <t>Anak usia 6 bulan-5 tahun: 2 mL setiap hari selama 10 hari berturut-turut. Bayi usia 2-6 bulan: 1 mL setiap hari selama 10 hari berturut-turut.</t>
  </si>
  <si>
    <t>Terapi tambahan untuk mengatasi diare pada anak-anak usia &lt;5 tahun.</t>
  </si>
  <si>
    <t>terapi tambahan mengatasi diare anak - anak usia 5</t>
  </si>
  <si>
    <t>lecozinc tetes zinc sulfate monohydrate terapi tambahan mengatasi diare anak  anak usia 5</t>
  </si>
  <si>
    <t>DKL8917605810A1</t>
  </si>
  <si>
    <t>Trifed 10 Tablet</t>
  </si>
  <si>
    <t>PENGGUNAAN OBAT INI HARUS SESUAI DENGAN PETUNJUK DOKTER. Dewasa dan anak&gt;12 th: 1 tablet 3x/hari</t>
  </si>
  <si>
    <t>Meringankan gejala peradangan saluran pernafasan bagian atas, rinitis alergi, rinitis vasomotor</t>
  </si>
  <si>
    <t>Riwayat hipersensitif atau reaksi alergi terhadap komponen obat, penderita penyakit darah tinggi, glaukoma, diabetes, dan jantung koroner. Penderita yang sedang menjalani pengobatan dengan obat penghambat monoamin oksidase.</t>
  </si>
  <si>
    <t>HARUS DENGAN RESEP DOKTER. Penderita hipersensitif terhadap komponen obat ini, penderita yang peka terhadap obat simpatomimetik lain dan yang mendapat terapi obat antidepresan, penderita tekanan darah tinggi, stroke, berat badan berlebih atau pada penderita usia lanjut</t>
  </si>
  <si>
    <t>meringankan gejala peradangan saluran pernafasan , rinitis alergi , rinitis vasomotor</t>
  </si>
  <si>
    <t>trifed tablet pseudoephedrine hydrochloride meringankan gejala peradangan saluran pernafasan  rinitis alergi  rinitis vasomotor</t>
  </si>
  <si>
    <t>trifedrin sirup triprolidine hydrochloride pseudoephedrine hydrochloride meringankan gejala berhubungan flu  sinusitis  kondisi alergi</t>
  </si>
  <si>
    <t>DTL1717111737A1</t>
  </si>
  <si>
    <t>Holizinc Sirup 60 ml</t>
  </si>
  <si>
    <t>1 jam sebelum makan atau 2 jam sesudah makan, dapat diberikan bersama makanan untuk mengurangi ketidak-nyamanan pencernaan.</t>
  </si>
  <si>
    <t>Bayi usia 2-6 bulan: 0.5 sendok takar (2.5 ml) sehari, selama 10 hari berturut-turut walaupun diare sudah berhenti. Anak usia 6 bulan - 5 tahun: 1 sendok takar (5 ml) sehari, selama 10 hari berturut-turut walaupun diare sudah berhenti.</t>
  </si>
  <si>
    <t>Terapi pelengkap diare pada anak yang diberikan bersama dengan ORS ( Oral Rehydration Salt)</t>
  </si>
  <si>
    <t>Hanya dapat dipakai 28 hari setelah tutup dibuka</t>
  </si>
  <si>
    <t>terapi pelengkap diare anak ors oral rehydration salt</t>
  </si>
  <si>
    <t>holizinc</t>
  </si>
  <si>
    <t>holizinc sirup zinc sulfate monohydrate terapi pelengkap diare anak ors oral rehydration salt</t>
  </si>
  <si>
    <t>Rp9.000 - Rp18.300</t>
  </si>
  <si>
    <t>TR202681231</t>
  </si>
  <si>
    <t>Laserin Sirup 15 ml</t>
  </si>
  <si>
    <t>LASERIN</t>
  </si>
  <si>
    <t>Rp2.900 - Rp3.300</t>
  </si>
  <si>
    <t>Dewasa: 3 x sehari 1 Sachet, Anak-anak: 1 x Sehari 1 Sachet</t>
  </si>
  <si>
    <t>Membantu meredakan batuk, masuk angin, muntah, sakit perut dan membantu melegakan pernafasan</t>
  </si>
  <si>
    <t>laserin</t>
  </si>
  <si>
    <t>membantu meredakan batuk , masuk angin , muntah , sakit perut membantu melegakan pernafasan</t>
  </si>
  <si>
    <t>laserin sirup membantu meredakan batuk  masuk angin  muntah  sakit perut membantu melegakan pernafasan</t>
  </si>
  <si>
    <t>DTL9516107637A1</t>
  </si>
  <si>
    <t>Cough En Plus Sirup 60 ml</t>
  </si>
  <si>
    <t>Rp10.700 - Rp22.100</t>
  </si>
  <si>
    <t>Dewasa 3 x sehari 1 sendok takar</t>
  </si>
  <si>
    <t>Batuk</t>
  </si>
  <si>
    <t>Hipersensitif, Pasien penderita hipertensi, penyakit jantung, diabetes mellitus, dan penderita gangguan fungsi hati yang parah</t>
  </si>
  <si>
    <t>Hentikan penggunaan bila terjadi reaksi alergi, hati-hati penggunaan pada orang yang memiliki risiko terkena hipertensi dan stroke, Hati-hati penggunaan pada penderita gangguan ginjal, hati, glaukoma, hipertropi prostat, atau hipertiroid, Tidak dianjurkan penggunaan untuk anak usia &lt;2th, Obat ini dapat menyebabkan kantuk.</t>
  </si>
  <si>
    <t>chlorphenamine maleate phenylpropanolamine hydrochloride dextromethorphan hydrobromide ammonium chloride</t>
  </si>
  <si>
    <t>batuk</t>
  </si>
  <si>
    <t>cough en plus</t>
  </si>
  <si>
    <t>cough en plus sirup chlorphenamine maleate phenylpropanolamine hydrochloride dextromethorphan hydrobromide ammonium chloride batuk</t>
  </si>
  <si>
    <t>dextromethorphan hydrobromide chlorphenamine maleate</t>
  </si>
  <si>
    <t>codela tablet dextromethorphan hydrobromide chlorphenamine maleate meredakan gejala batuk tidak berdahak gejala alergi</t>
  </si>
  <si>
    <t>Hansaplast Sensitive XL 1 Lembar</t>
  </si>
  <si>
    <t>Rp6.500 - Rp9.100</t>
  </si>
  <si>
    <t>Bersihkan dan keringkan bagian yang luka. Lepaskan plester dari lapisan filmnya dan tempelkan pada daerah luka.</t>
  </si>
  <si>
    <t>Plester pelindung luka dari kotoran dan bakteri serta mencegah infeksi.</t>
  </si>
  <si>
    <t>Sachet @ 1 Lembar</t>
  </si>
  <si>
    <t>plester pelindung luka kotoran bakteri mencegah infeksi</t>
  </si>
  <si>
    <t>hansaplast sensitive xl lembar</t>
  </si>
  <si>
    <t>hansaplast sensitive xl lembar larutan povidoneiodine plester pelindung luka kotoran bakteri mencegah infeksi</t>
  </si>
  <si>
    <t>DTL1621022337A1</t>
  </si>
  <si>
    <t>RZ-20 Sirup 60 ml</t>
  </si>
  <si>
    <t>Rp42.600 - Rp43.700</t>
  </si>
  <si>
    <t>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t>
  </si>
  <si>
    <t>Pelengkap untuk pengobatan diare pada anak-anak dibawah 5 tahun, diberikan bersama larutan oralit.</t>
  </si>
  <si>
    <t>Selama diare masih berlangsung, selain diberikan suplementasi Zinc, juga diberikan oralit, para ibu menyusui dianjurkan tetap menyusui atau meningkatkan frekuensi menyusui pada anak selama dan setelah diare.</t>
  </si>
  <si>
    <t>pelengkap pengobatan diare anak - anak dibawah 5 , larutan oralit</t>
  </si>
  <si>
    <t>rz</t>
  </si>
  <si>
    <t>rz sirup zinc sulfate pelengkap pengobatan diare anak  anak dibawah 5  larutan oralit</t>
  </si>
  <si>
    <t>zinc sulfate heptahydrate</t>
  </si>
  <si>
    <t>zanic sirup zinc sulfate heptahydrate terapi penunjang diare anak  dikombinasikan garam rehidrasi oral</t>
  </si>
  <si>
    <t>DTL1115621237A1</t>
  </si>
  <si>
    <t>Zircum Kid Sirup 20mg/5ml 60ml</t>
  </si>
  <si>
    <t>Rp31.200 - Rp42.300</t>
  </si>
  <si>
    <t>Anak 6 bulan - 5 tahun : 1 sendok teh (5 ml) sehari selama 10 hari, walaupun diare sudah berhenti. Bayi 2-5 bulan : 1/2 sendok teh (2.5 ml) sehari selama 10 hari walaupun diare sudah berhenti.</t>
  </si>
  <si>
    <t>Botol 60 ml x 1</t>
  </si>
  <si>
    <t>zircum kid mgml</t>
  </si>
  <si>
    <t>zircum kid mgml sirup zinc sulfate monohydrate suplemen diare  cairan rehidrasi oral  anak</t>
  </si>
  <si>
    <t>Vicks Formula Jahe Madu 56 ml</t>
  </si>
  <si>
    <t>INFORMASI OBAT INI HANYA UNTUK KALANGAN MEDIS. Terapi penyakit kulit akibat alergi, disertai infeksi kuman</t>
  </si>
  <si>
    <t>terapi penyakit kulit akibat alergi , disertai infeksi kuman</t>
  </si>
  <si>
    <t>vicks formula jahe madu madu terapi penyakit kulit akibat alergi  disertai infeksi kuman</t>
  </si>
  <si>
    <t>Lactulax Sirup 60 ml</t>
  </si>
  <si>
    <t>Rp33.900 - Rp67.700</t>
  </si>
  <si>
    <t>Konstipasi kronik : Dosis awal untuk 3 hari pertama terapi: - Dewasa kasus berat: 30 mL</t>
  </si>
  <si>
    <t>TR142679251</t>
  </si>
  <si>
    <t>Komix Herbal Lemon Sirup 15 ml 4 Botol</t>
  </si>
  <si>
    <t>KOMIX HERBAL RASA LEMON</t>
  </si>
  <si>
    <t>Rp12.000 - Rp14.900</t>
  </si>
  <si>
    <t>komix herbal rasa lemon</t>
  </si>
  <si>
    <t>komix herbal lemon botol</t>
  </si>
  <si>
    <t>komix herbal lemon botol sirup komix herbal rasa lemon membantu meredakan batuk berdahak</t>
  </si>
  <si>
    <t>DTL1213317337A1</t>
  </si>
  <si>
    <t>L-Zinc Sirup 100 ml</t>
  </si>
  <si>
    <t>Rp42.400 - Rp53.400</t>
  </si>
  <si>
    <t>Dikonsumsi bersama makanan</t>
  </si>
  <si>
    <t>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t>
  </si>
  <si>
    <t>Terapi pelengkap diare pada anak-anak. Digunakan bersama garam rehidrasi oral (oralit).</t>
  </si>
  <si>
    <t>Belum dilaporkan adanya kontraindikasi untuk penggunaan obat ini</t>
  </si>
  <si>
    <t>Tetap berikan ASI bagi bayi yang masih menyusui. Berikan asupan cairan yang cukup pada anak selama diare untuk mencegah dehidrasi.</t>
  </si>
  <si>
    <t>zinc</t>
  </si>
  <si>
    <t>terapi pelengkap diare anak - anak  digunakan garam rehidrasi oral oralit</t>
  </si>
  <si>
    <t>lzinc</t>
  </si>
  <si>
    <t>lzinc sirup zinc terapi pelengkap diare anak  anak  digunakan garam rehidrasi oral oralit</t>
  </si>
  <si>
    <t>DKL1006101010B1</t>
  </si>
  <si>
    <t>Merislon 12 mg 10 Tablet</t>
  </si>
  <si>
    <t>Rp90.100 - Rp110.300</t>
  </si>
  <si>
    <t>PENGGUNAAN OBAT INI HARUS SESUAI DENGAN PETUNJUK DOKTER. Dosis yang dianjurkan: 6-12 mg 3 x sehari</t>
  </si>
  <si>
    <t>Dus, 1 Sachet @ 10 Blister @ 10 Tablet</t>
  </si>
  <si>
    <t>paracetamol phenylpropanolamine hydrochloride chlorphenamine maleate</t>
  </si>
  <si>
    <t>erphaflu sirup paracetamol phenylpropanolamine hydrochloride chlorphenamine maleate bersin  hidung tersumbat  sakit kepala  demam</t>
  </si>
  <si>
    <t>DBL9114702610A1</t>
  </si>
  <si>
    <t>New Diatabs 4 Tablet</t>
  </si>
  <si>
    <t>Dewasa dan anak-anak (12 tahun atau lebih) : 2 tablet setiap setelah buang air besar, maksimum penggunaan 12 tablet dalam waktu 24 jam. Anak-anak (6-12 tahun) : 1 tablet setiap setelah buang air besar, maksimum penggunaan 6 tablet dalam waktu 24 jam. Jika gejala-gejala masih berlangsung terus, harap berkonsultasi dengan dokter.</t>
  </si>
  <si>
    <t>Obat ini dapat digunakan untuk pengobatan simtomatik pada diare non-spesifik, yaitu diare yang tidak diketahui penyebabnya dengan jelas.</t>
  </si>
  <si>
    <t>Obat ini tidak boleh diberikan pada pasien dimana konstipasi harus dihindari. Hipersensitif terhadap activated attapulgit.</t>
  </si>
  <si>
    <t>Diare dapat mengakibatkan kehilangan cairan dan elektrolit atau dehidrasi oleh karena itu diperlukan terapi rehidrasi (cairan rehidrasi oral seperti oralit). Jika diare pada anak-anak disertai dengan dehidrasi, maka pengobatan awal harus diberikan cairan rehidrasi oral, seperti oralit. Dapat mempengaruhi absorbsi obat lain di dalam saluran pencernaan, oleh karena itu dianjurkan interval waktu 2-3 jam antara pemberian oral obat lain dengan obat ini. Jangan digunakan lebih dari 2 hari atau pada keadaan demam tinggi. Jangan diberikan pada anak-anak usia kurang dari 3 tahun, kecuali atas petunjuk dokter. Jika gejala-gejala masih berlangsung terus, harap berkonsultasi dengan dokter. Kategori kehamilan : Belum terdapat data keamanan terkait penggunaan obat ini pada wanita hamil dan/atau menyusui. Konsultasikan kepada dokter apabila Anda sedang hamil dan/atau menyusui.</t>
  </si>
  <si>
    <t>obat pengobatan simtomatik diare non - spesifik , diare tidak penyebabnya</t>
  </si>
  <si>
    <t>new diatabs</t>
  </si>
  <si>
    <t>new diatabs tablet attapulgite obat pengobatan simtomatik diare non  spesifik  diare tidak penyebabnya</t>
  </si>
  <si>
    <t>GKL9805025217B1</t>
  </si>
  <si>
    <t>Kalium Diklofenak 50 mg 10 Tablet</t>
  </si>
  <si>
    <t>Rp6.400 - Rp9.400</t>
  </si>
  <si>
    <t>INFORMASI OBAT INI HANYA UNTUK KALANGAN MEDIS. Meredakan nyeri dan mengurangi inflamasi pada pasien Rematoid Athritis dan Ostearthiritis</t>
  </si>
  <si>
    <t>Hipersensitivitas, tekanan darah tinggi, asma, gangguan pada hati, gangguan pada ginjal, anemia, gangguan pembekuan darah. Penggunaan bersama dengan NSAID, antiplatelet, antikoagulan. Hamil (trimester ketiga).</t>
  </si>
  <si>
    <t>HARUS DENGAN RESEP DOKTER. Memiliki riwayat penyakit atau faktor resiko gangguan kardiovaskular, hipertensi dan gagal jantung. Memiliki riwayat penyakit tukak lambung, gangguan fungsi hati, dan gangguan fungsi ginjal. Hindari penggunaan jangka panjang. Wanita hamil dan menyusui. Kategori Kehamilan : C</t>
  </si>
  <si>
    <t>meredakan nyeri mengurangi inflamasi pasien rematoid athritis ostearthiritis</t>
  </si>
  <si>
    <t>kalium diklofenak</t>
  </si>
  <si>
    <t>kalium diklofenak tablet diclofenac potassium meredakan nyeri mengurangi inflamasi pasien rematoid athritis ostearthiritis</t>
  </si>
  <si>
    <t>GKL2043006710A1</t>
  </si>
  <si>
    <t>Betahistine 6 mg 10 Tablet</t>
  </si>
  <si>
    <t>Rp9.300 - Rp10.400</t>
  </si>
  <si>
    <t>betahistine</t>
  </si>
  <si>
    <t>betahistine tablet betahistine mesilate untuk vertigo  tinnitus  gangguan pendengaran terkait pasien penyakit meniere</t>
  </si>
  <si>
    <t>DTL1233527637A1</t>
  </si>
  <si>
    <t>Orezinc Sirup 60 ml</t>
  </si>
  <si>
    <t>Rp47.000 - Rp48.500</t>
  </si>
  <si>
    <t>Bayi usia 2-6 bulan: 0.5 sendok takar (2.5 ml) sehari, selama 10 hari walaupun diare sudah berhenti. Anak usia 6 bulan - 5 tahun: 1 sendok takar (5 ml) sehari, selama 10 hari walaupun diare sudah berhenti.</t>
  </si>
  <si>
    <t>Terapi pelengkap diare pada anak yang dikombinasikan dengan ORS ( Oral Rehydration Salt)</t>
  </si>
  <si>
    <t>Selama diare masih berlangsung selain diberikan suplemen zinc juga di berikan ORS (Oral Rehydration Salt), Ibu menyusui dianjurkan untuk tetap menyusui atau meningkatkan frekuensi menyususi pada anak selama dan setelah diare, Akumulasi zinc dapat menyebabkan gagal jantung</t>
  </si>
  <si>
    <t>terapi pelengkap diare anak dikombinasikan ors oral rehydration salt</t>
  </si>
  <si>
    <t>orezinc</t>
  </si>
  <si>
    <t>orezinc sirup zinc sulfate terapi pelengkap diare anak dikombinasikan ors oral rehydration salt</t>
  </si>
  <si>
    <t>Rp32.000 - Rp48.500</t>
  </si>
  <si>
    <t>DBL1000203835A1</t>
  </si>
  <si>
    <t>Pedialyte Original 500 ml</t>
  </si>
  <si>
    <t>Rp44.600 - Rp53.900</t>
  </si>
  <si>
    <t>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t>
  </si>
  <si>
    <t>Menanggulangi dehidrasi ringan sampai sedang pada bayi dan anak-anak akibat diare.</t>
  </si>
  <si>
    <t>Botol @ 500 ml</t>
  </si>
  <si>
    <t>Pasien dengan muntah-muntah berlebih, gangguan ileum, penyumbatan usus dan perforasi.</t>
  </si>
  <si>
    <t>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</si>
  <si>
    <t>dextrose monohydrate</t>
  </si>
  <si>
    <t>menanggulangi dehidrasi ringan bayi anak - anak akibat diare</t>
  </si>
  <si>
    <t>pedialyte original</t>
  </si>
  <si>
    <t>pedialyte original larutan dextrose monohydrate meggulangi dehidrasi ringan bayi anak  anak akibat diare</t>
  </si>
  <si>
    <t>Altamed Medical Wound Plaster 100 Pieces</t>
  </si>
  <si>
    <t>Rp17.100 - Rp50.700</t>
  </si>
  <si>
    <t>Penutup luka, sehingga mencegah timbulnya infeksi pada luka</t>
  </si>
  <si>
    <t>penutup luka , mencegah timbulnya infeksi luka</t>
  </si>
  <si>
    <t>altamed medical wound plaster pieces</t>
  </si>
  <si>
    <t>altamed medical wound plaster pieces larutan povidoneiodine penutup luka  mencegah timbulnya infeksi luka</t>
  </si>
  <si>
    <t>DTL0904131037A1</t>
  </si>
  <si>
    <t>Zincpro Sirup 60 ml</t>
  </si>
  <si>
    <t>Rp42.500 - Rp51.400</t>
  </si>
  <si>
    <t>Diminum bersama oralit</t>
  </si>
  <si>
    <t>2-6 bulan : 1 x sehari ï¿½ sendok takar (@ 2.5 ml) selama 10 hari walau diare sudah berhenti 6 bulan - 5 tahun : 1 x sehari 1 sendok takar (@ 5 ml) selama 10 hari walau diare sudah berhenti</t>
  </si>
  <si>
    <t>Terapi pelengkap diare pada anak-anak digunakan bersama dengan oral rehydration salts</t>
  </si>
  <si>
    <t>DPenderita dengan defisiensi tembaga.</t>
  </si>
  <si>
    <t>Penggunaan alkohol dapat menurunkan penyerapan zinc, oleh karena itu hindari konsumsi alkohol, Berhati-hatilah konsumsi obat ini pada pederita diabetes karena zinc dapat menurunkan kadar gula darah, Gunakan zinc ini secara hati-hati pada penderita HV AIDS</t>
  </si>
  <si>
    <t>terapi pelengkap diare anak - anak oral rehydration salt</t>
  </si>
  <si>
    <t>zincpro</t>
  </si>
  <si>
    <t>zincpro sirup zinc sulfate monohydrate terapi pelengkap diare anak  anak oral rehydration salt</t>
  </si>
  <si>
    <t>TR202660341</t>
  </si>
  <si>
    <t>Entrostop Herbal Sirup 15 ml</t>
  </si>
  <si>
    <t>ENTROSTOP HERBAL</t>
  </si>
  <si>
    <t>Rp2.300 - Rp2.400</t>
  </si>
  <si>
    <t>Diberikan sesudah BAB. Kocok dahulu sebelum diminum.</t>
  </si>
  <si>
    <t>3 x sehari, 1 sachet</t>
  </si>
  <si>
    <t>Membantu mengurangi frekuensi buang air besar (mencret/ diare) dan membantu memadatkan tinja</t>
  </si>
  <si>
    <t>Pasien yang menderita konstipasi dan hipersensitif terhadap salah satu kandungan obat ini.</t>
  </si>
  <si>
    <t>Simpan ditempat yang kering, sejuk dan terhindar dari sinar matahari langsung. Simpan pada suhu dibawah 30 C.</t>
  </si>
  <si>
    <t>entrostop herbal</t>
  </si>
  <si>
    <t>membantu mengurangi frekuensi buang air mencret diare membantu memadatkan tinja</t>
  </si>
  <si>
    <t>entrostop herbal sirup membantu mengurangi frekuensi buang air mencret diare membantu memadatkan tinja</t>
  </si>
  <si>
    <t>DBL1122235610B1</t>
  </si>
  <si>
    <t>Sanmol Forte 4 Tablet</t>
  </si>
  <si>
    <t>Rp2.700 - Rp3.000</t>
  </si>
  <si>
    <t>Dewasa dan anak usia lebih dari 12 tahun : 1 tablet, diberikan 3-4 kali sehari.</t>
  </si>
  <si>
    <t>Penderita gangguan fungsi hati yang berat, hipersensitivitas terhadap Paracetamol</t>
  </si>
  <si>
    <t>sanmol forte</t>
  </si>
  <si>
    <t>sanmol forte tablet paracetamol obat meringankan sakit sakit kepala  sakit gigi menurunkan demam</t>
  </si>
  <si>
    <t>Melolin 10 cm X 10 cm</t>
  </si>
  <si>
    <t>Letakkan selembar dressing yang terdapat lapisan film menempel pada luka. Tiap 1 lembar diganti setiap 3 - 7 hari bergantung kepada jumlah eksudat.</t>
  </si>
  <si>
    <t>Ulkus vena di kaki, ulkus diabetes, ulkus arteri, cangkokan kulit</t>
  </si>
  <si>
    <t>Sachet 10 X 10 Cm</t>
  </si>
  <si>
    <t>Melolin kurang dapat menyerap eksudat dengan jumlah yang banyak</t>
  </si>
  <si>
    <t>ulkus vena kaki , ulkus diabetes , ulkus arteri , cangkokan kulit</t>
  </si>
  <si>
    <t>melolin x</t>
  </si>
  <si>
    <t>melolin x larutan povidoneiodine ulkus vena kaki  ulkus diabetes  ulkus arteri  cangkokan kulit</t>
  </si>
  <si>
    <t>DKL1906609417B1</t>
  </si>
  <si>
    <t>Arcoxia 90 mg 10 Tablet</t>
  </si>
  <si>
    <t>Rp197.300 - Rp247.500</t>
  </si>
  <si>
    <t>Rp42.400 - Rp53.300</t>
  </si>
  <si>
    <t>DBL9906411904A1</t>
  </si>
  <si>
    <t>Erphamol 10 Kaplet</t>
  </si>
  <si>
    <t>Dewasa : 3 - 4 x sehari 1 - 2 kaplet, Anak usia 6 - 12 tahun : 3 - 4 x sehari 1 kaplet, Anak usia 1 - 5 tahun : 3 - 4 x sehari 1/2 kaplet.</t>
  </si>
  <si>
    <t>Menurunkan demam, meringankan sakit kepala, sakit gigi, dismenore, nyeri otot.</t>
  </si>
  <si>
    <t>Kaplet 500 mg X 10 X 10'S</t>
  </si>
  <si>
    <t>menurunkan demam , meringankan sakit kepala , sakit gigi , dismenore , nyeri otot</t>
  </si>
  <si>
    <t>erphamol kaplet paracetamol menurunkan demam  meringankan sakit kepala  sakit gigi  dismenore  nyeri otot</t>
  </si>
  <si>
    <t>GKL0820935017A1</t>
  </si>
  <si>
    <t>Ondansetron 4 mg 6 Tablet</t>
  </si>
  <si>
    <t>Rp9.600 - Rp19.700</t>
  </si>
  <si>
    <t>Dus, 2 Strip @ 6 tablet salut selaput</t>
  </si>
  <si>
    <t>Accu Chek Active 50 Test Strips</t>
  </si>
  <si>
    <t>Rp335.700 - Rp400.800</t>
  </si>
  <si>
    <t>Letakkan sampel darah secukupnya pada test strip, masukkan ke dalam alat yang sesuai</t>
  </si>
  <si>
    <t>Strip untuk mengukur kadar gula darah</t>
  </si>
  <si>
    <t>Hanya dapat digunakan saat digunakan dengan mesin yang sama.</t>
  </si>
  <si>
    <t>strip mengukur kadar gula darah</t>
  </si>
  <si>
    <t>accu chek active test strips</t>
  </si>
  <si>
    <t>accu chek active test strips tablet pioglitazone hydrochloride strip mengukur kadar gula darah</t>
  </si>
  <si>
    <t>Easy Touch Blood Glucose 25 Strip</t>
  </si>
  <si>
    <t>Rp97.900 - Rp127.400</t>
  </si>
  <si>
    <t>Dus, Tube @ 25 Strip Test</t>
  </si>
  <si>
    <t>easy touch blood glucose strip</t>
  </si>
  <si>
    <t>easy touch blood glucose strip tablet pioglitazone hydrochloride strip mengukur kadar gula darah</t>
  </si>
  <si>
    <t>DKI2124200517A1</t>
  </si>
  <si>
    <t>Glyxambi 10 mg/5 mg 10 Tablet</t>
  </si>
  <si>
    <t>Rp391.300 - Rp425.400</t>
  </si>
  <si>
    <t>Telan utuh dengan air, jangan dikunyah/dihancurkan.</t>
  </si>
  <si>
    <t>PENGGUNAAN OBAT INI HARUS SESUAI DENGAN PETUNJUK DOKTER. Dosis awal: empagliflozin 10 mg-linagliptin 5 mg, satu kali sehari pada pagi hari Dosis tersebut dapat ditingkatkan menjadi empagliflozin 25 mg-linagliptin 5 mg jika dosis yang lebih rendah dapat ditoleransi. Dosis maksimum harian: empagliflozin 25 mg-linagliptin 5 mg, satu kali sehari</t>
  </si>
  <si>
    <t>INFORMASI OBAT INI HANYA UNTUK KALANGAN MEDIS. Mengontrol kadar gula darah pada pasien Diabetes Melitus Tipe 2.</t>
  </si>
  <si>
    <t>Dus, 3 Strip @10 Tablet Salut Selaput</t>
  </si>
  <si>
    <t>Hipersensitivitas. Pasien dengan laju filtrasi glomerulus &lt;45 mL / mnt / 1,73 m2, gangguan ginjal berat, penyakit ginjal stadium akhir &amp; pasien yang menjalani dialisis.</t>
  </si>
  <si>
    <t>HARUS DENGAN RESEP DOKTER. Tidak boleh digunakan pada pasien Diabetes Mellitus Tipe I Tidak dianjurkan pada lansia ?85 thn. Tidak boleh digunakan pada ibu hamil dan menyusui Hati-hati penggunaan pada pasien dengan riwayat pankreatitis Hentikan pengobatan jika dicurigai adanya ketoasidosis</t>
  </si>
  <si>
    <t>empagliflozin linagliptin</t>
  </si>
  <si>
    <t>mengontrol kadar gula darah pasien diabetes melitus tipe 2</t>
  </si>
  <si>
    <t>glyxambi</t>
  </si>
  <si>
    <t>glyxambi tablet empagliflozin linagliptin mengontrol kadar gula darah pasien diabetes melitus tipe 2</t>
  </si>
  <si>
    <t>DKL1134609210A1</t>
  </si>
  <si>
    <t>Glubose 50 mg 10 Tablet</t>
  </si>
  <si>
    <t>Rp16.700 - Rp21.500</t>
  </si>
  <si>
    <t>Berikan bersama dengan suapan pertama makanan utama.</t>
  </si>
  <si>
    <t>PENGGUNAAN OBAT INI HARUS SESUAI DENGAN PETUNJUK DOKTER. Dosis awal: 1 tablet (50 mg), 3 kali per hari.</t>
  </si>
  <si>
    <t>Obat ini tidak dianjurkan untuk : - Pasien yang hipersensitif terhadap acarbose dan/atau komponen dalam obat. - Pasien dengan gangguan intestinal kronis yang berhubungan dengan penyerapan dan gangguan pencernaan secara nyata. - Keadaan-keadaan yang dapat menyebabkan perburukan sebagai hasil dari peningkatan pembentukan gas di dalam usus (misalnya Roemheld syndrome, hernia mayor, obstruksi intestinal, dan ulkus intestinal). - Penderita Inflammatory bowel disease, seperti kolitis ulseratif dan Crohn? disease, obstruksi parsial intestinal atau pada pasien yang mempunyai predisposisi obstruksi intestinal atau ileus. - Pasien dengan gangguan ginjal berat (bersihan kreatinin &lt; 25 ml/menit). - Selama kehamilan.</t>
  </si>
  <si>
    <t>HARUS DENGAN RESEP DOKTER. Monitoring fungsi hati selama 6-12 bulan pertama terapi. Diet diabetes harus tetap dipatuhi selama pemberian acarbose. Kategori Kehamilan : Kategori B: Mungkin dapat digunakan oleh wanita hamil. Penelitian pada hewan uji tidak memperlihatkan ada nya risiko terhadap janin, namun belum ada bukti penelitian langsung terhadap wanita hamil.</t>
  </si>
  <si>
    <t>glubose</t>
  </si>
  <si>
    <t>glubose tablet acarbose terapi pasien diabetes melitus tidak terkendali diet pengaturan pola makan</t>
  </si>
  <si>
    <t>DKL1134609210B1</t>
  </si>
  <si>
    <t>Glubose 100 mg 10 Tablet</t>
  </si>
  <si>
    <t>Rp24.000 - Rp36.700</t>
  </si>
  <si>
    <t>PENGGUNAAN OBAT INI HARUS SESUAI DENGAN PETUNJUK DOKTER. Dosis awal: 0.5 atau 1 tablet (50 mg atau 100 mg), 3 kali per hari.</t>
  </si>
  <si>
    <t>TR142678931</t>
  </si>
  <si>
    <t>Esemag 10 ml 5 Sachet</t>
  </si>
  <si>
    <t>ESEMAG</t>
  </si>
  <si>
    <t>Rp11.900 - Rp12.000</t>
  </si>
  <si>
    <t>3 x sehari @ 1 Sachet</t>
  </si>
  <si>
    <t>Membantu meringankan gangguan lambung, seperti mual, muntah, rasa perih atau tidak enak di ulu hati .</t>
  </si>
  <si>
    <t>Dus, 5 sachet @ 10 ml</t>
  </si>
  <si>
    <t>esemag</t>
  </si>
  <si>
    <t>membantu meringankan gangguan lambung , mual , muntah , perih tidak enak ulu hati</t>
  </si>
  <si>
    <t>esemag sachet membantu meringankan gangguan lambung  mual  muntah  perih tidak enak ulu hati</t>
  </si>
  <si>
    <t>DKL8922210017A1</t>
  </si>
  <si>
    <t>Famocid 20 mg 6 Tablet</t>
  </si>
  <si>
    <t>Rp30.000 - Rp33.700</t>
  </si>
  <si>
    <t>Diberikan sebelum atau sesudah makan</t>
  </si>
  <si>
    <t>PENGGUNAAN OBAT INI HARUS SESUAI DENGAN PETUNJUK DOKTER. Ulkus duodenum Terapi akut 40 mg 1 x/hr sblm tidur atau 20 mg 2 x/hr biasanya dilakukan selama 4 minggu. Terapi pemeliharaan 20 mg 1 x/hr sblm tidur. Hipersekresi patologis 20 mg/6 jam.</t>
  </si>
  <si>
    <t>Ulkus duodenum. Kondisi hipersekresi patologis seperti, sindrom Zollinger-Ellison, adenoma endokrin.</t>
  </si>
  <si>
    <t>Dus, 5 Strip @ 6 Tablet salut selaput</t>
  </si>
  <si>
    <t>hipersensiti terhadap famotidin</t>
  </si>
  <si>
    <t>Obat Wajib Apotek, Obat ini dapat dibeli dan diserahkan apoteker tanpa resep dengan maksimum 1 Strip. Pembelian melebihi batas ini WAJIB RESEP DOKTER. Insufisiensi ginjal berat. Hamil, laktasi. Anak.</t>
  </si>
  <si>
    <t>ulkus duodenum  kondisi hipersekresi patologis , sindrom zollinger - ellison , adenoma endokrin</t>
  </si>
  <si>
    <t>famocid</t>
  </si>
  <si>
    <t>famocid tablet famotidine ulkus duodenum  kondisi hipersekresi patologis  sindrom zollinger  ellison  adenoma endokrin</t>
  </si>
  <si>
    <t>DKL0905043810B1</t>
  </si>
  <si>
    <t>Eclid 50 mg 10 Tablet</t>
  </si>
  <si>
    <t>Rp13.200 - Rp24.300</t>
  </si>
  <si>
    <t>eclid tablet acarbose terapi pasien diabetes melitus tidak terkendali diet pengaturan pola makan</t>
  </si>
  <si>
    <t>Magic Power Black Parade 6 Lembar</t>
  </si>
  <si>
    <t>Rp12.100 - Rp28.400</t>
  </si>
  <si>
    <t>Diusapkan pada penis</t>
  </si>
  <si>
    <t>Usapkan tisue pd daerah sensitif &amp; biarkan 5-15'</t>
  </si>
  <si>
    <t>Untuk mengeraskan, menegangkan, mengencangkan, penis</t>
  </si>
  <si>
    <t>Pack Isi 6 Pcs</t>
  </si>
  <si>
    <t>untuk mengeraskan , menegangkan , mengencangkan , penis</t>
  </si>
  <si>
    <t>magic power black parade lembar</t>
  </si>
  <si>
    <t>magic power black parade lembar tablet sildenafil citrate untuk mengeraskan  menegangkan  mengencangkan  penis</t>
  </si>
  <si>
    <t>DKL9705023403A1</t>
  </si>
  <si>
    <t>Laz 30 mg 4 Kapsul</t>
  </si>
  <si>
    <t>- KOMBINASI-LANSOPRAZOLE PELLET 8. 5 %</t>
  </si>
  <si>
    <t>Rp73.900 - Rp81.200</t>
  </si>
  <si>
    <t>INFORMASI OBAT INI HANYA UNTUK KALANGAN MEDIS. Pengobatan ulkus duodenum, tukak lambung, dan refluks esofagitis</t>
  </si>
  <si>
    <t>Dus, 5 Strip @ 4 Kapsul</t>
  </si>
  <si>
    <t>HARUS DENGAN RESEP DOKTER. Gangguan hati, lanjut usia, anak. Hamil dan laktasi Kategori Kehamilan : B</t>
  </si>
  <si>
    <t>kombinasi-lansoprazole pellet 8 5 %</t>
  </si>
  <si>
    <t>laz</t>
  </si>
  <si>
    <t>laz kapsul kombinasilansoprazole pellet 8 5  pengobatan ulkus duodenum  tukak lambung  refluks esofagitis</t>
  </si>
  <si>
    <t>DKL1133525117A1</t>
  </si>
  <si>
    <t>Co-Irvell 300 mg 10 Tablet</t>
  </si>
  <si>
    <t>Rp163.500 - Rp179.800</t>
  </si>
  <si>
    <t>obat dapat diminum sebelum dan sesudah makan</t>
  </si>
  <si>
    <t>PENGGUNAAN OBAT INI HARUS SESUAI DENGAN PETUNJUK DOKTER. 1 tablet sekali sehari</t>
  </si>
  <si>
    <t>INFORMASI OBAT INI HANYA UNTUK KALANGAN MEDIS. Terapi hipertensi essensial pada pasien dengan TD yang tidak dapat dikendalikan secara adekuat dengan Irbesartan atau hydrochlorothiazide</t>
  </si>
  <si>
    <t>Co-Irvell FC tab 3x10's</t>
  </si>
  <si>
    <t>Hipersensitivitas, wanita hamil atau menyusui.</t>
  </si>
  <si>
    <t>HARUS DENGAN RESEP DOKTER. kategori kehamilan : kategori D : Terbukti berisiko terhadap janin. Meski demikian, obat masih dapat digunakan jika obat diperlukan untuk mengatasi keadaan yang mengancam jiwa, atau penyakit serius, dimana obat yang lebih aman tidak dapat digunakan atau tidak efektif.</t>
  </si>
  <si>
    <t>terapi hipertensi essensial pasien td tidak dikendalikan adekuat irbesartan hydrochlorothiazide</t>
  </si>
  <si>
    <t>coirvell</t>
  </si>
  <si>
    <t>coirvell tablet hydrochlorothiazide terapi hipertensi essensial pasien td tidak dikendalikan adekuat irbesartan hydrochlorothiazide</t>
  </si>
  <si>
    <t>DKI1077402817A1</t>
  </si>
  <si>
    <t>Coaprovel 150 mg/12.5 mg 14 Tablet</t>
  </si>
  <si>
    <t>Rp202.100 - Rp290.600</t>
  </si>
  <si>
    <t>PENGGUNAAN OBAT INI HARUS SESUAI DENGAN PETUNJUK DOKTER. 1 tablet sehari.</t>
  </si>
  <si>
    <t>Hipertensi esensial pada pasien yang tekanan darahnya tidak cukup terkontrol menggunakan irbesartan atau hidroklorotiazid saja</t>
  </si>
  <si>
    <t>Tablet 150/12.5 X 28</t>
  </si>
  <si>
    <t>Hamil, laktasi. Ggn ginjal dan hati berat, hipokalimea refrakter, hiperkalsimea, sirosis biliar, kolestasis.</t>
  </si>
  <si>
    <t>HARUS DENGAN RESEP DOKTER. Ggn gijal dan hati, lupus eritematosus sistemik.</t>
  </si>
  <si>
    <t>irbesartan hydrochlorothiazide</t>
  </si>
  <si>
    <t>hipertensi esensial pasien tekanan darahnya tidak terkontrol irbesartan hidroklorotiazid</t>
  </si>
  <si>
    <t>coaprovel</t>
  </si>
  <si>
    <t>coaprovel tablet irbesartan hydrochlorothiazide hipertensi esensial pasien teka darahnya tidak terkontrol irbesartan hidroklorotiazid</t>
  </si>
  <si>
    <t>DKI1077402817B1</t>
  </si>
  <si>
    <t>Coaprovel 300 mg/12.5 mg 14 Tablet</t>
  </si>
  <si>
    <t>Rp310.200 - Rp392.200</t>
  </si>
  <si>
    <t>Tablet 300/12.5 X 28</t>
  </si>
  <si>
    <t>DKL8502306010A1</t>
  </si>
  <si>
    <t>Vertizine Tablet 25 mg</t>
  </si>
  <si>
    <t>PENGGUNAAN OBAT INI HARUS SESUAI DENGAN PETUNJUK DOKTER. Untuk gangguan sirkulasi perifer : 2-3 tablet 3 kali/hari. Untuk gangguan sirkulasi serebral dan gangguan keseimbangan : 1 tablet 3 kali/hari. Untuk mabuk perjalanan : 1 tablet, 1/2 jam sebelum bepergian.</t>
  </si>
  <si>
    <t>Gangguan sirkulasi darah perifer dan serebral, gangguan keseimbangan, pencegahan mabuk perjalanan.</t>
  </si>
  <si>
    <t>Serangan asma akut.</t>
  </si>
  <si>
    <t>HARUS DENGAN RESEP DOKTER. Hamil dan laktasi. Dapat mengganggu kemampuan mengemudi atau menjalankan mesin. Glaukoma sudut sempit, retensi urin, hipertrofi prostat, terapi MAOI.</t>
  </si>
  <si>
    <t>gangguan sirkulasi darah perifer serebral , gangguan keseimbangan , pencegahan mabuk perjalanan</t>
  </si>
  <si>
    <t>vertizine</t>
  </si>
  <si>
    <t>vertizine tablet cinnarizine gangguan sirkulasi darah perifer serebral  gangguan keseimbangan  pencegahan mabuk perjala</t>
  </si>
  <si>
    <t>pepzol tablet pantoprazole sodium sesquihydrate tukak lambung duodenum  refluks esofagitis  sindrom zollinger  ellison</t>
  </si>
  <si>
    <t>DBL8511602633A1</t>
  </si>
  <si>
    <t>Plantacid Sirup 100 ml</t>
  </si>
  <si>
    <t>Rp13.200 - Rp16.400</t>
  </si>
  <si>
    <t>Berikan 1 jam sesudah makan dan menjelang tidur malam.</t>
  </si>
  <si>
    <t>5-10 mL, diberikan 1 jam sesudah makan dan menjelang tidur malam. Pada kasus berat, berikan tiap 2 jam.</t>
  </si>
  <si>
    <t>Mengurangi asam lambung, tukak lambung, tukak duodenum</t>
  </si>
  <si>
    <t>mengurangi asam lambung , tukak lambung , tukak duodenum</t>
  </si>
  <si>
    <t>plantacid</t>
  </si>
  <si>
    <t>plantacid suspensi dried aluminium hydroxide gel mengurangi asam lambung  tukak lambung  tukak duodenum</t>
  </si>
  <si>
    <t>DKL7804519251A1</t>
  </si>
  <si>
    <t>Daryant Tulle Sachet</t>
  </si>
  <si>
    <t>Rp24.500 - Rp35.300</t>
  </si>
  <si>
    <t>di tempelkan pada luka</t>
  </si>
  <si>
    <t>PENGGUNAAN OBAT INI HARUS SESUAI DENGAN PETUNJUK DOKTER. Potong seluas daerah lesi &amp; tempelkan pada lesi.</t>
  </si>
  <si>
    <t>INFORMASI OBAT INI HANYA UNTUK KALANGAN MEDIS. Luka bakar, trauma, infeksi sekunder pada kulit, tukak &amp; sirkumsisi.</t>
  </si>
  <si>
    <t>Dus, 10 Kassa steril</t>
  </si>
  <si>
    <t>Obat Wajib Apotek, Obat ini dapat dibeli dan diserahkan apoteker tanpa resep dengan maksimum 2 Sachet. Pembelian melebihi batas ini WAJIB RESEP DOKTER. Hipersensitif. Tidak direkomendasi kan untuk penggunaan pada area tubuh yang luas (Contoh: luka bakar dengan kerusakan lebih dari 30% area)</t>
  </si>
  <si>
    <t>framycetin sulfate</t>
  </si>
  <si>
    <t>luka bakar , trauma , infeksi sekunder kulit , tukak sirkumsisi</t>
  </si>
  <si>
    <t>daryant tulle</t>
  </si>
  <si>
    <t>daryant tulle kasa framycetin sulfate luka bakar  trauma  infeksi sekunder kulit  tukak sirkumsisi</t>
  </si>
  <si>
    <t>DKI1954500117B1</t>
  </si>
  <si>
    <t>Soricox 90 mg 7 Tablet</t>
  </si>
  <si>
    <t>Rp77.800 - Rp83.800</t>
  </si>
  <si>
    <t>PENGGUNAAN OBAT INI HARUS SESUAI DENGAN PETUNJUK DOKTER. Osteoartritis, nyeri kronik mussculoskeletal: sehari 1 x 60 mg. Nyeri akut analgesia yang digunakan pada perawatan gigi: sehari 1 x 120 mg</t>
  </si>
  <si>
    <t>Dus, 4 Blister @ 7 Tablet salut selaput</t>
  </si>
  <si>
    <t>soricox</t>
  </si>
  <si>
    <t>soricox tablet etoricoxib menghilangkan gejala pengobatan osteoartritis  menghilangkan nyeri akut pembedahan pengobatan gigi</t>
  </si>
  <si>
    <t>Accu Chek Instant 50 Test Strips</t>
  </si>
  <si>
    <t>Alat strip untuk pengetesan gula darah.</t>
  </si>
  <si>
    <t>Box @ 50 strip</t>
  </si>
  <si>
    <t>alat strip pengetesan gula darah</t>
  </si>
  <si>
    <t>accu chek instant test strips tablet pioglitazone hydrochloride alat strip pengetesan gula darah</t>
  </si>
  <si>
    <t>laurier relax night wing pads tablet sildenafil citrate pembalut menyerap cairan mentruasi maksimal</t>
  </si>
  <si>
    <t>DBL9114704733A1</t>
  </si>
  <si>
    <t>Biogesic Anak Sirup 60 ml</t>
  </si>
  <si>
    <t>Rp24.100 - Rp33.500</t>
  </si>
  <si>
    <t>Berikan sesudah atau sebelum makan</t>
  </si>
  <si>
    <t>Anak 7-12 tahun : 10-15 mL. Anak 2-6 tahun : 5-10 mL. Bayi : 2.5-5 mL. Diberikan 3-4 kali sehari</t>
  </si>
  <si>
    <t>Demam, dismenore, gangguan muskuloskeletal. Sakit kepala, sakit gigi, artritis</t>
  </si>
  <si>
    <t>demam , dismenore , gangguan muskuloskeletal  sakit kepala , sakit gigi , artritis</t>
  </si>
  <si>
    <t>biogesic anak</t>
  </si>
  <si>
    <t>biogesic anak suspensi paracetamol demam  dismenore  gangguan muskuloskeletal  sakit kepala  sakit gigi  artritis</t>
  </si>
  <si>
    <t>DBL8830700363A1</t>
  </si>
  <si>
    <t>Contrexyn 4 Tablet Kunyah</t>
  </si>
  <si>
    <t>Rp2.000 - Rp2.100</t>
  </si>
  <si>
    <t>Anak berusia 6-9 tahun : 3-4 kali sehari 3 tablet, Anak berusia 3-6 tahun : 3-4 kali sehari 1 1/2 -2 tablet, Anak berusia 1-3 tahun : 2-3 kali sehari 1-1 1/2 tablet, Anak berusia 1/2 -1 tahun : 2-3 kali sehari 1/2 tablet, Anak berusia 3-6 bulan : 2-3 kali sehari 1/3 - 1/2 tablet.</t>
  </si>
  <si>
    <t>Demam dan rasa sakit (nyeri) yang berkaitan dengan flu, masuk angin atau setelah vaksinasi.</t>
  </si>
  <si>
    <t>Dos Isi 1 Strip</t>
  </si>
  <si>
    <t>Dispepsia. Jangan digunakan untuk terapi jangka panjang. Interaksi Obat alkohol, antikoagulan, Probenesid, Sulfonilurea.</t>
  </si>
  <si>
    <t>demam sakit nyeri berkaitan flu , masuk angin vaksinasi</t>
  </si>
  <si>
    <t>contrexyn kunyah</t>
  </si>
  <si>
    <t>contrexyn kunyah tablet acetylsalicylic acid demam sakit nyeri berkaitan flu  masuk angin vaksinasi</t>
  </si>
  <si>
    <t>komix kids strawberry sirup dextromethorphan hydrobromide chlorphenamine maleate guaifenesin untuk batuk berdahak pilek</t>
  </si>
  <si>
    <t>DTL1402813337A1</t>
  </si>
  <si>
    <t>Komix OBH Kid Sirup Rasa Madu 5 ml</t>
  </si>
  <si>
    <t>Rp1.800 - Rp1.900</t>
  </si>
  <si>
    <t>Anak 6-12 tahun : 3 kali sehari 1 sachet.</t>
  </si>
  <si>
    <t>Untuk meringankan batuk berdahak dan pilek.</t>
  </si>
  <si>
    <t>Lihat warning box. Penderita dengan gangguan jantung, diabetes melitus dan penderita hipersensitif terhadap komponen obat ini.</t>
  </si>
  <si>
    <t>Obat ini dapat menyebabkan kantuk. Hati-hati penggunaan pada penderita dengan gangguan fungsi hati dan ginjal, glaukoma, hipertrofi prostat, hipertiroid, dan retensi urin. Tidak dianjurkan penggunaan pada anak usia di bawah 6 tahun, kecuali atas petunjuk dokter. Hati-hati penggunaan bersamaan dengan obat-obat lain yang menekan susunan saraf pusat.</t>
  </si>
  <si>
    <t>untuk meringankan batuk berdahak pilek</t>
  </si>
  <si>
    <t>komix obh kid rasa madu</t>
  </si>
  <si>
    <t>komix obh kid rasa madu sirup chlorphenamine maleate untuk meringankan batuk berdahak pilek</t>
  </si>
  <si>
    <t>DBL9513010436A1</t>
  </si>
  <si>
    <t>Termorex Baby Drop 15 ml</t>
  </si>
  <si>
    <t>Meringankan rasa sakit pada sakit kepala, sakit gigi, dan menurunkan demam</t>
  </si>
  <si>
    <t>termorex baby drop</t>
  </si>
  <si>
    <t>termorex baby drop tetes paracetamol meringankan sakit sakit kepala  sakit gigi  menurunkan demam</t>
  </si>
  <si>
    <t>Inadryl Sirup 100 ml</t>
  </si>
  <si>
    <t>Rp31.800 - Rp64.800</t>
  </si>
  <si>
    <t>Dewasa : 1-3 x sehari 1-2 sendok takar 5 mL</t>
  </si>
  <si>
    <t>DKL9627802437A1</t>
  </si>
  <si>
    <t>Imunex Sirup 60 ml</t>
  </si>
  <si>
    <t>Rp50.300 - Rp54.400</t>
  </si>
  <si>
    <t>Bersama atau tanpa makanan</t>
  </si>
  <si>
    <t>PENGGUNAAN OBAT INI HARUS SESUAI DENGAN PETUNJUK DOKTER. Dewasa dan anak &gt; 12 tahun: 2 sendok takar (10 mL)/hari. Anak usia 2-12 tahun dengan berat badan &gt; 30 kg: 2 sendok takar (10 mL)/hari, berat badan &lt; 30 kg: 1 sendok takar (5 mL)/hari.</t>
  </si>
  <si>
    <t>Meredakan gejala yang berhubungan dengan rhinitis alergi, urtikaria kronik dan gangguan alergi lain pada kulit.</t>
  </si>
  <si>
    <t>meredakan gejala berhubungan rhinitis alergi , urtikaria kronik gangguan alergi kulit</t>
  </si>
  <si>
    <t>imunex</t>
  </si>
  <si>
    <t>imunex sirup loratadine meredakan gejala berhubungan rhinitis alergi  urtikaria kronik gangguan alergi kulit</t>
  </si>
  <si>
    <t>Komix OBH Kid Sirup Rasa Madu 5 ml 10 Sachet</t>
  </si>
  <si>
    <t>Anak usia 6-12 tahun: Sehari 3 kali 1 sachet.</t>
  </si>
  <si>
    <t>Dus, 10 Sachet @ 5 ml</t>
  </si>
  <si>
    <t>Obat ini sebaiknya tidak digunakan untuk penderita diabetes mellitus, gangguan jantung, penderita yang mengalami alergi terhadap salah satu komponen dari obat ini, penderita tekanan darah tinggi berat dan mendapat terapi obat anti depresan penghambat monoamine oksidase.</t>
  </si>
  <si>
    <t>Obatini dapat menyebabkan rasa kantuk, sehingga pengguna obat ini dianjurkan untuk tidak mengendarai kendaraan bermotor dan mengoperasikan mesin. Selain itu, obat ini juga harus digunakan secara hati-hati oleh penderita gangguan fungsi hati dan ginjal, glaukoma, hipertrofi prostat, hipertiroid, dan retensi urin. Obat ini tidak dianjurkan untuk digunakan oleh pasien di bawah usia 6 tahunn, kecuali atas petunjuk dokter. Penggunaan obat ini tidak boleh melebih dosisi yang dianjurkan. Bila dalam 3 hari gejala flu tidak mereda, segera konsultasikan hal tersebut kepada dokter Anda. Hentikan penggunaan obat jika terjadi: sulit tidur, jantung berdebar, dan pusing.</t>
  </si>
  <si>
    <t>DBL9223401837A1</t>
  </si>
  <si>
    <t>Mirasic Sirup 60 ml</t>
  </si>
  <si>
    <t>Rp6.300 - Rp18.200</t>
  </si>
  <si>
    <t>Untuk meringankan rasa sakit pada kepala, pusing, sakit gigi, menurunkan demam, setelah vaksinasi</t>
  </si>
  <si>
    <t>untuk meringankan sakit kepala , pusing , sakit gigi , menurunkan demam , vaksinasi</t>
  </si>
  <si>
    <t>mirasic</t>
  </si>
  <si>
    <t>mirasic sirup paracetamol untuk meringankan sakit kepala  pusing  sakit gigi  menurunkan demam  vaksinasi</t>
  </si>
  <si>
    <t>DBL8509601637A1</t>
  </si>
  <si>
    <t>Ifitamol Sirup Rasa Strawberry 60 ml</t>
  </si>
  <si>
    <t>Rp5.500 - Rp9.800</t>
  </si>
  <si>
    <t>0 - 1 tahun : 1/2 sendok takar (2.5 ml) 3 - 4 kali sehari. 1 - 2 tahun : 1 sendok takar (5 ml) 3- 4 kali sehari. 2 - 6 tahun : 1 - 2 sendok takar (5 - 10 ml) 3 - 4 kali sehari. 6 - 9 tahun : 2 - 3 sendok takar (10 - 15 ml) 3 - 4 kali sehari. 9 - 12 tahun : 3 - 4 sendok takar (15 - 20 ml) 3 - 4 kali sehari</t>
  </si>
  <si>
    <t>Meringankan rasa sakit pada keadaan sakit kepala, sakit gigi dan menurunkan demam.</t>
  </si>
  <si>
    <t>ifitamol rasa strawberry</t>
  </si>
  <si>
    <t>ifitamol rasa strawberry sirup paracetamol meringankan sakit sakit kepala  sakit gigi menurunkan demam</t>
  </si>
  <si>
    <t>lapifed sirup pseudoephedrine hydrochloride triprolidine hydrochloride meringankan gejala berhubungan flu  sinusitis  rinitis alergi</t>
  </si>
  <si>
    <t>inpepsa suspensi sucralfate suspension sakit maag  tukak usus halus  tukak lambung  gastritis kronis</t>
  </si>
  <si>
    <t>methyldopa sesquihydrate</t>
  </si>
  <si>
    <t>dopamet tablet methyldopa sesquihydrate hipertensi essensial hipertensi maligna  hipertensi tahap kehamilan  hipertensi nefrogenik</t>
  </si>
  <si>
    <t>DBL0309213936A1</t>
  </si>
  <si>
    <t>Fasidol Drop 15 ml</t>
  </si>
  <si>
    <t>Rp13.800 - Rp28.100</t>
  </si>
  <si>
    <t>Tetes Anak &lt; 1 thn 0.6 mL, 1-2 thn 0.6-1.2 mL diberikan 3 - 4 kali sehari</t>
  </si>
  <si>
    <t>Nyeri &amp; demam. Sakit kepala, sakit gigi, artritis &amp; nyeri reumatik.</t>
  </si>
  <si>
    <t>Botol 15 ml</t>
  </si>
  <si>
    <t>hipersensitif, gangguan fungsi hati dan ginjal berat</t>
  </si>
  <si>
    <t>Gagal ginjal &amp; hati.</t>
  </si>
  <si>
    <t>nyeri demam  sakit kepala , sakit gigi , artritis nyeri reumatik</t>
  </si>
  <si>
    <t>fasidol drop</t>
  </si>
  <si>
    <t>fasidol drop tetes paracetamol nyeri demam  sakit kepala  sakit gigi  artritis nyeri reumatik</t>
  </si>
  <si>
    <t>TR142378461</t>
  </si>
  <si>
    <t>Herbana Relief Kayu Manis 30 Kapsul</t>
  </si>
  <si>
    <t>HERBANA KAYU MANIS</t>
  </si>
  <si>
    <t>Rp158.900 - Rp169.100</t>
  </si>
  <si>
    <t>herbana kayu manis</t>
  </si>
  <si>
    <t>herbana relief kayu manis</t>
  </si>
  <si>
    <t>herbana relief kayu manis kapsul herbana kayu manis membantu meringankan gejala kencing manis</t>
  </si>
  <si>
    <t>charm body fit extra maxi non wing pads tablet sildenafil citrate pembalut menstruasi</t>
  </si>
  <si>
    <t>Dumin Forte Suspensi 60 ml</t>
  </si>
  <si>
    <t>Rp41.900 - Rp42.600</t>
  </si>
  <si>
    <t>Sebelum atau Sesudah makan</t>
  </si>
  <si>
    <t>Usia 6-12 tahun : 5-10 ml suspensi, 3-4 kali sehari. Usia diatas 12 tahun : 10-12.5 ml suspensi, 3-4 kali sehari. Atau dapat diberikan sesuai petunjuk dokter.</t>
  </si>
  <si>
    <t>dumin forte suspensi paracetamol untuk meringankan sakit sakit kepala  sakit gigi menurunkan demam</t>
  </si>
  <si>
    <t>DKL9613306610A1</t>
  </si>
  <si>
    <t>Lapifed 10 Tablet</t>
  </si>
  <si>
    <t>PENGGUNAAN OBAT INI HARUS SESUAI DENGAN PETUNJUK DOKTER. Dewasa dan anak 12 thn ke atas: sehari 3 x 1 tablet</t>
  </si>
  <si>
    <t>INFORMASI OBAT INI HANYA UNTUK KALANGAN MEDIS. Meringankan gejala peradangan saluran pernafasan bagian atas, rinitis alergi, rinitis vasomotor</t>
  </si>
  <si>
    <t>lapifed tablet pseudoephedrine hydrochloride meringankan gejala peradangan saluran pernafasan  rinitis alergi  rinitis vasomotor</t>
  </si>
  <si>
    <t>DKI1890701617B1</t>
  </si>
  <si>
    <t>Normetec 5 mg/40 mg 10 Tablet</t>
  </si>
  <si>
    <t>Rp123.700 - Rp160.600</t>
  </si>
  <si>
    <t>Di berikan dengan atau tanpa makanan</t>
  </si>
  <si>
    <t>PENGGUNAAN OBAT INI HARUS SESUAI DENGAN PETUNJUK DOKTER. 1 Tablet perhari</t>
  </si>
  <si>
    <t>INFORMASI OBAT INI HANYA UNTUK KALANGAN MEDIS. Hipertensi esensial pada pasien yang tidak dapat dikendalikan dengan monoterapi olmesartan medoxomil atau amlodipin.</t>
  </si>
  <si>
    <t>Tablet salut selaput 5 MG/40 MG x 14</t>
  </si>
  <si>
    <t>Hipersensitivitas terhadap derivat dehidropidin dengan ginjal berat, gangguan hati berat dan obstruksi saluran empedu,. Syok kardiogenik, infark miokard akut (dalam 4 minggu pertama), angina pektorisn tak stabil, hamil dan laktasi.</t>
  </si>
  <si>
    <t>HARUS DENGAN RESEP DOKTER. Depresi vol dan atau natrium, gagal jantung kongesif atau penyakit ginjal yang mendasari termasuk stenosis arteri ginjal, hipertensi renovaskuler, transplantasi ginjal yang belum lama terjadi. gangguan hati ringan sampai dengan sedang, stenosis katup aort</t>
  </si>
  <si>
    <t>hipertensi esensial pasien tidak dikendalikan monoterapi olmesartan medoxomil amlodipin</t>
  </si>
  <si>
    <t>normetec</t>
  </si>
  <si>
    <t>normetec tablet amlodipine besilate hipertensi esensial pasien tidak dikendalikan monoterapi olmesartan medoxomil amlodipin</t>
  </si>
  <si>
    <t>DKI1954500117A1</t>
  </si>
  <si>
    <t>Soricox 60 mg 7 Tablet</t>
  </si>
  <si>
    <t>Rp69.700 - Rp74.700</t>
  </si>
  <si>
    <t>DUS, 4 Blister @ 7 Tablet salut selaput</t>
  </si>
  <si>
    <t>DKI1954500117C1</t>
  </si>
  <si>
    <t>Soricox 120 mg 7 Tablet</t>
  </si>
  <si>
    <t>Rp111.100 - Rp119.700</t>
  </si>
  <si>
    <t>Dus, 1 Blister @ 7 Tablet salut selaput</t>
  </si>
  <si>
    <t>Family Dr Belt 2 Back Support Basic M</t>
  </si>
  <si>
    <t>Rp312.200 - Rp531.200</t>
  </si>
  <si>
    <t>Alat bantu penyangga pinggang</t>
  </si>
  <si>
    <t>alat bantu penyangga pinggang</t>
  </si>
  <si>
    <t>family dr belt back support basic m</t>
  </si>
  <si>
    <t>family dr belt back support basic m larutan povidoneiodine alat bantu penyangga pinggang</t>
  </si>
  <si>
    <t>gratizin tablet flunarizine hydrochloride profilaxis migren  pengobatan pencegahan gangguan vaskular vestibular  periferal serebral</t>
  </si>
  <si>
    <t>Family Dr Belt 1 Back Support Silk L</t>
  </si>
  <si>
    <t>Rp230.700 - Rp392.600</t>
  </si>
  <si>
    <t>family dr belt back support silk l</t>
  </si>
  <si>
    <t>family dr belt back support silk l larutan povidoneiodine alat bantu penyangga pinggang</t>
  </si>
  <si>
    <t>DKL9409204204A1</t>
  </si>
  <si>
    <t>Ginifar 500 mg 10 Kaplet</t>
  </si>
  <si>
    <t>Rp2.500 - Rp4.300</t>
  </si>
  <si>
    <t>PENGGUNAAN OBAT INI HARUS SESUAI DENGAN PETUNJUK DOKTER. 3x sehari 1 kapsul</t>
  </si>
  <si>
    <t>Sakit kepala, neuralgia, rasa sakit pada waktu kolik, sakit gigi, sakit pada waktu haid</t>
  </si>
  <si>
    <t>sakit kepala , neuralgia , sakit kolik , sakit gigi , sakit haid</t>
  </si>
  <si>
    <t>ginifar</t>
  </si>
  <si>
    <t>ginifar kaplet metamizole sodium sakit kepala  neuralgia  sakit kolik  sakit gigi  sakit haid</t>
  </si>
  <si>
    <t>DBL8500700737A1</t>
  </si>
  <si>
    <t>Pagoda Peppermint Obat Batuk Rasa Jahe Sirup 100 ml</t>
  </si>
  <si>
    <t>Anak 6-12 Tahun: 3 x 1 sendok takar (5ml) Dewasa: 3 x 3 sendok takar (15 ml)</t>
  </si>
  <si>
    <t>pagoda peppermint obat batuk rasa jahe</t>
  </si>
  <si>
    <t>pagoda peppermint obat batuk rasa jahe sirup ammonium chloride untuk meredakan batuk berdahak</t>
  </si>
  <si>
    <t>DTL7606311037A1</t>
  </si>
  <si>
    <t>Paracetin Sirup 60 ml</t>
  </si>
  <si>
    <t>Rp4.300 - Rp8.900</t>
  </si>
  <si>
    <t>Dewasa :3-4 kali sehari 3-4 sendok takar(teh) , anak 6-12 tahun :3-4 kali 2 sendok takar(teh) , anak 2-6 tahun :3-4 kali 1 sendok takar(teh)</t>
  </si>
  <si>
    <t>Mengurangi influenza, demam, batuk,bersin, pilek,sakit kepala dengan batuk</t>
  </si>
  <si>
    <t>Jangan melebihi dosis yang dianjurkan,penggunaan untuk anak usia kurang dari 2 tahun , wanita hamil dan menyususi harus sesuai dengan petunjuk dokter, hentikan segera pnggunaan bila terjadi pusing , gelisah, sukar tidur dan jantung berdebar, hati-hati penggunaan bersamaan obat oobat yang menekan sistem saluran pernafasan</t>
  </si>
  <si>
    <t>mengurangi influenza , demam , batuk , bersin , pilek , sakit kepala batuk</t>
  </si>
  <si>
    <t>paracetin</t>
  </si>
  <si>
    <t>paracetin sirup chlorphenamine maleate mengurangi influenza  demam  batuk  bersin  pilek  sakit kepala batuk</t>
  </si>
  <si>
    <t>- KOMBINASI-OMEPRAZOLE PELLET 8.5</t>
  </si>
  <si>
    <t>kombinasi-omeprazole pellet 85</t>
  </si>
  <si>
    <t>tamezol kapsul kombinasiomeprazole pellet 85 tukak duodenum  tukak lambung  refluks esofagitis  hipersekresi patologis</t>
  </si>
  <si>
    <t>DKL0609318710A1</t>
  </si>
  <si>
    <t>Loprolol 100 mg 10 Tablet</t>
  </si>
  <si>
    <t>Rp46.100 - Rp50.700</t>
  </si>
  <si>
    <t xml:space="preserve">PENGGUNAAN OBAT INI HARUS SESUAI DENGAN PETUNJUK DOKTER. HTN/Hipertensi : 1 tablet perhari dalam dosis tunggal atau terbagi </t>
  </si>
  <si>
    <t>DKI0352501910A1</t>
  </si>
  <si>
    <t>Micardis Plus 40 mg/12.5 mg 10 Tablet</t>
  </si>
  <si>
    <t>Rp194.100 - Rp283.000</t>
  </si>
  <si>
    <t>PENGGUNAAN OBAT INI HARUS SESUAI DENGAN PETUNJUK DOKTER. Dewasa : 1 x sehari 1 tablet</t>
  </si>
  <si>
    <t>INFORMASI OBAT INI HANYA UNTUK KALANGAN MEDIS. Hipertensi essensial yang tekanan darahnya tidak dapat dikendalikan hanya dengan Telmisartan atau Hidroklorotiazid saja/tunggal</t>
  </si>
  <si>
    <t>Dus, 2 Strip X 10 Tablet</t>
  </si>
  <si>
    <t>Hamil trimester 2 dan 3, laktasi, gangguan hati dan ginjal berat, hipokalemia refrakter, hiperkalemia, kolestasis dan penyakit obstruksi saluran empedu, intoleransi fruktosa herediter.</t>
  </si>
  <si>
    <t>hipertensi essensial tekanan darahnya tidak dikendalikan telmisartan hidroklorotiazid tunggal</t>
  </si>
  <si>
    <t>micardis plus</t>
  </si>
  <si>
    <t>micardis plus tablet hydrochlorothiazide hipertensi essensial teka darahnya tidak dikendalikan telmisartan hidroklorotiazid tunggal</t>
  </si>
  <si>
    <t>DKI0352501910B1</t>
  </si>
  <si>
    <t>Micardis Plus 80 mg/12.5 mg 10 Tablet</t>
  </si>
  <si>
    <t>Rp339.800 - Rp359.600</t>
  </si>
  <si>
    <t>HARUS DENGAN RESEP DOKTER. Kardiopati iskemik atau penyakit jantung iskemik, anak &lt;18 tahun, hipertensi renovaskular, gangguan fungsi ginjal, transplantasi ginjal, deplesi vol intravaskular, gagal jantung kongestif, aldosteronisme primer, stenosis karup aorta dan mitral. Kategori kehamilan : Trimester pertama: Kategori C. Kategori C: Mungkin berisiko. Obat digunakan dengan hati-hati apabila besarnya manfaat yang diperoleh melebihi besarnya risiko terhadap janin. Penelitian pada hewan uji menunjukkan risiko terhadap janin dan belum terdapat penelitian langsung terhadap wanita hamil. Trimester kedua dan ketiga: Kategori D : Terbukti berisiko terhadap janin. Meski demikian, obat masih dapat digunakan jika obat diperlukan untuk mengatasi keadaan yang mengancam jiwa, atau penyakit serius, dimana obat yang lebih aman tidak dapat digunakan atau tidak efektif.</t>
  </si>
  <si>
    <t>Feldene Flash Tablet 20 mg</t>
  </si>
  <si>
    <t>Rp20.800 - Rp25.300</t>
  </si>
  <si>
    <t>Tablet diletakan diatas lidah agar terlarut dan kemudian ditelan bersama air liur, setelah makan</t>
  </si>
  <si>
    <t>PENGGUNAAN OBAT INI HARUS SESUAI DENGAN PETUNJUK DOKTER. Rematik artritis, osteoaartritis, osteoartritis : 1 x sehari 20mg untuk asam urat : 1 x sehari 40 mg</t>
  </si>
  <si>
    <t>Mengobati peradangan seperti artritis rematik, osteoarthritis, kelainan otot dan asam urat</t>
  </si>
  <si>
    <t>Dos Isi 3 Strip X 10 Tablet</t>
  </si>
  <si>
    <t>Hipersensitif thd piroksikam. Tukak peptik aktif atau ada riwayat tukak rekuren. Sensitivitas silang dg asam asetil salisilat atau OAINS. Kagagalan fungsi ginjal dan hati.</t>
  </si>
  <si>
    <t>HARUS DENGAN RESEP DOKTER. Pasien dengan tukak lambung, hipersensitif terhadap piroksikam,pasien dengan gangguan ginjal dan hati, pasien dengan gangguan jantung</t>
  </si>
  <si>
    <t>mengobati peradangan artritis rematik , osteoarthritis , kelainan otot asam urat</t>
  </si>
  <si>
    <t>feldene flash tablet piroxicam mengobati peradangan artritis rematik  osteoarthritis  kelai otot asam urat</t>
  </si>
  <si>
    <t>DKL8704201101A1</t>
  </si>
  <si>
    <t>Feldco 20 mg 10 Kapsul</t>
  </si>
  <si>
    <t>Rp22.300 - Rp23.700</t>
  </si>
  <si>
    <t>PENGGUNAAN OBAT INI HARUS SESUAI DENGAN PETUNJUK DOKTER. Rematik: sehari 1x 1 tablet selama 2 hari kemudian dilanjutkan sehari 1 x 2 tablet atau sehari 2x1 tablet selama 2 hari kemudian dilanjutkan sehari 1x1 tablet selama 7-14 hari , gout akut: sehari 1 x 2 tablet atau sehari 2 x 1 tablet selama 4-6 hari</t>
  </si>
  <si>
    <t>Rematoid artritis, osteoartritis, spondilitis ankilosa, gangguan musculoskeletal akut dan gout akut</t>
  </si>
  <si>
    <t>Kapsul 10 X 10</t>
  </si>
  <si>
    <t>Hipersensitif NSAID atau gol oksikam</t>
  </si>
  <si>
    <t>HARUS DENGAN RESEP DOKTER. Hati-hati pada penderita riwayat tukak lambung atau pendarahan GI, hamil dan menyusui</t>
  </si>
  <si>
    <t>rematoid artritis , osteoartritis , spondilitis ankilosa , gangguan musculoskeletal akut gout akut</t>
  </si>
  <si>
    <t>feldco</t>
  </si>
  <si>
    <t>feldco kapsul piroxicam rematoid artritis  osteoartritis  spondilitis ankilosa  gangguan musculoskeletal akut gout akut</t>
  </si>
  <si>
    <t>DBL8802803723A1</t>
  </si>
  <si>
    <t>Waisan Granul 12 Sachet</t>
  </si>
  <si>
    <t>Rp15.000 - Rp16.700</t>
  </si>
  <si>
    <t>Berikan 1-2 jam setelah makan</t>
  </si>
  <si>
    <t xml:space="preserve">Dewasa : 3-4 x sehari 1- sachet </t>
  </si>
  <si>
    <t>DKL9305012510B1</t>
  </si>
  <si>
    <t>Noperten 10 mg 6 Tablet</t>
  </si>
  <si>
    <t>Rp6.900 - Rp38.700</t>
  </si>
  <si>
    <t>PENGGUNAAN OBAT INI HARUS SESUAI DENGAN PETUNJUK DOKTER. Hipertensi-dewasa : diawali 1 x sehari 1 tablet. Pemeliharaan : 1 x sehari 1-2 tablet, dapat ditingkatkan hingga maximum 4 tablet perhari. Terapi dimulai setelah 2-3 hari diuretik dihentikan. Bila tetap menggunakan diuretik, dianjurkan dosis awal 1/2 tablet. Untuk hipertensi renovaskular : awal 1/4 -1/2 tablet, kemudian disesuaikan dengan TD-nya. Untuk gagal jantung kongestif : awal 1/4 tablet perhari. Pemeliharaan : 1/2-2 tablet perhari dosis tunggal.</t>
  </si>
  <si>
    <t>Tidak boleh diberikan pada orang yang sensitif terhadap lisinopril. Pada penderita yang secara historis pernah menderita angioedema sebagai akibat pengobatan sebelumnya dengan obat penghambat Angiotensin Converting Enzyme.</t>
  </si>
  <si>
    <t>HARUS DENGAN RESEP DOKTER. Hamil dan laktasi. Gejala hipotensi pada deplesi volume dan pasien gagal jantung kongestif.Kategori kehamilan : Kategori D: Terbukti berisiko terhadap janin. Meski demikian, obat masih dapat digunakan jika obat diperlukan untuk mengatasi keadaan yang mengancam jiwa, atau penyakit serius, dimana obat yang lebih aman tidak dapat digunakan atau tidak efektif.</t>
  </si>
  <si>
    <t>noperten</t>
  </si>
  <si>
    <t>noperten tablet lisinopril dihydrate hipertensi  gagal jantung kongestif tidak diatasi adekuat diuretik digitalis</t>
  </si>
  <si>
    <t>TI164250391</t>
  </si>
  <si>
    <t>Wei Tai 999 Granule 6 Sachet</t>
  </si>
  <si>
    <t>WEI TAI 999 GRANULE</t>
  </si>
  <si>
    <t>Rp41.100 - Rp65.800</t>
  </si>
  <si>
    <t>Diseduh dengan air panas, sehari 2 kali 1 bungkus.</t>
  </si>
  <si>
    <t>Membantu memelihara kesehatan fungsi pencernaan.</t>
  </si>
  <si>
    <t>Dus, 6 Bungkus @ 20 gram</t>
  </si>
  <si>
    <t>wei tai 999 granule</t>
  </si>
  <si>
    <t>wei tai granule</t>
  </si>
  <si>
    <t>wei tai granule sachet wei tai 999 granule membantu memelihara kesehatan fungsi pencernaan</t>
  </si>
  <si>
    <t>DKL9305012510A1</t>
  </si>
  <si>
    <t>Noperten 5 mg 6 Tablet</t>
  </si>
  <si>
    <t>Rp5.300 - Rp21.200</t>
  </si>
  <si>
    <t>PENGGUNAAN OBAT INI HARUS SESUAI DENGAN PETUNJUK DOKTER. Hipertensi-dewasa : diawali 1 x sehari 2 tablet. Pemeliharaan : 1 x sehari 2-4 tablet, dapat ditingkatkan hingga maximum 8 tablet perhari. Terapi dimulai setelah 2-3 hari diuretik dihentikan. Bila teta</t>
  </si>
  <si>
    <t>Riwayat angioedema yang berhubungan dengan pemberian ACE inhibitor. Angioedema idiopatik herediter, hamil, laktasi.</t>
  </si>
  <si>
    <t>HARUS DENGAN RESEP DOKTER. Hamil dan laktasi. Gejala hipotensi pada deplesi volume dan pasien gagal jantung kongestif. Kategori kehamilan : Kategori D: Terbukti berisiko terhadap janin. Meski demikian, obat masih dapat digunakan jika obat diperlukan untuk mengatasi keadaan yang mengancam jiwa, atau penyakit serius, dimana obat yang lebih aman tidak dapat digunakan atau tidak efektif.</t>
  </si>
  <si>
    <t>DKI1890701617A1</t>
  </si>
  <si>
    <t>Normetec 5 mg/20 mg 10 Tablet</t>
  </si>
  <si>
    <t>Rp114.800 - Rp160.600</t>
  </si>
  <si>
    <t>oxopect sirup oxomemazine guaifenesin batuk produktif berdahak non  produktif kering  batuk disebabkan alergi</t>
  </si>
  <si>
    <t>DKL9017602201B1</t>
  </si>
  <si>
    <t>Infeld 20 mg 10 Kapsul</t>
  </si>
  <si>
    <t>Rp38.700 - Rp40.600</t>
  </si>
  <si>
    <t>PENGGUNAAN OBAT INI HARUS SESUAI DENGAN PETUNJUK DOKTER. Rematoid artritis, osteoartritis, ankilosa spondilitis: 20 mg sebgai dosis tunggal. Gout akut: Dosis awal, 0 mg sebagai dosis tunggal dilanjutkan dengan sehari 40 mg selama -6 hari. Gangguan muskuloskeletal akut: hari 1, 0 mg</t>
  </si>
  <si>
    <t>- KOMBINASI-LANSOPRAZOLE PELLET 8. 5</t>
  </si>
  <si>
    <t>kombinasi-lansoprazole pellet 8 5</t>
  </si>
  <si>
    <t>prazotec kapsul kombinasilansoprazole pellet 8 5 pengobatan ulkus duodenum  tukak lambung  refluks esofagitis</t>
  </si>
  <si>
    <t>DKL9225200603B1</t>
  </si>
  <si>
    <t>Herbesser 180 SR 10 Kapsul</t>
  </si>
  <si>
    <t>Rp124.700 - Rp170.500</t>
  </si>
  <si>
    <t>dikonsumsi sesudah makan</t>
  </si>
  <si>
    <t>PENGGUNAAN OBAT INI HARUS SESUAI DENGAN PETUNJUK DOKTER. 1 kapsul 1 kali/hari.</t>
  </si>
  <si>
    <t>Dus, 3 Blister @ 10 Tablet lepas lambat</t>
  </si>
  <si>
    <t>Blok AV derajat 2 atau 3, blok SA, hamil.</t>
  </si>
  <si>
    <t>HARUS DENGAN RESEP DOKTER. Blok AV derajat 1, bradikardi berat.</t>
  </si>
  <si>
    <t>herbesser sr</t>
  </si>
  <si>
    <t>herbesser sr kapsul diltiazem hydrochloride angina pektoris  profilaksis angina pektoris varian  hipertensi ringan</t>
  </si>
  <si>
    <t>paracetamol ibuprofen</t>
  </si>
  <si>
    <t>raven suspensi paracetamol ibuprofen membantu mengurangi nyeri  sakit gigi  nyeri otot menurunkan demam</t>
  </si>
  <si>
    <t>DTL0332708409A1</t>
  </si>
  <si>
    <t>Profenal 10 Kaplet</t>
  </si>
  <si>
    <t>Rp24.800 - Rp28.200</t>
  </si>
  <si>
    <t>Sebaiknya diberikan bersama makanan : Berikan segera sesudah makan.</t>
  </si>
  <si>
    <t>Dewasa 1 kaplet 3-4 x perhari.</t>
  </si>
  <si>
    <t>Meredakan nyeri misalnya pada sakit gigi, sakit kepala, nyeri otot, dismenore primer.</t>
  </si>
  <si>
    <t>Hindari penggunaan dosis yang melebihi dosis anjuran. Tukak peptik, gangguan fungsi ginjal, gagal jantung, hipertensi, penyakit lain yang dapat menimbulkan retensi cairan tubuh, gangguan koagulasi darah, asma, SLE. Hamil &amp; laktasi.</t>
  </si>
  <si>
    <t>meredakan nyeri sakit gigi , sakit kepala , nyeri otot , dismenore primer</t>
  </si>
  <si>
    <t>profenal</t>
  </si>
  <si>
    <t>profenal kaplet ibuprofen meredakan nyeri sakit gigi  sakit kepala  nyeri otot  dismenore primer</t>
  </si>
  <si>
    <t>Woman Choice Test Strip Plus Wadah Urine</t>
  </si>
  <si>
    <t>Rp27.500 - Rp34.900</t>
  </si>
  <si>
    <t>Penggunaan WOMAN CHOICE STRIP + WADAH : 1. Keluarkan alat tes dari pembungkus. 2. Tampung urine yang telah disediakan didalam kemasan. 3. Celupkan strip kedalam urine, jangan melebihi batas maksimal (Garis dibawah tanda panah). 4. Angkat strip setelah 10 detik, letakkan pada bidang datar yang bersih dan kering. 5. Baca hasil tes dalam waktu 40 detik. Tidak dianjurkan membaca hasil tes jika lebih dari 10 menit.</t>
  </si>
  <si>
    <t>Alat uji untuk mengetahui kehamilan secara dini.</t>
  </si>
  <si>
    <t>alat uji kehamilan</t>
  </si>
  <si>
    <t>woman choice test strip plus wadah urine</t>
  </si>
  <si>
    <t>woman choice test strip plus wadah urine tablet sildenafil citrate alat uji kehamilan</t>
  </si>
  <si>
    <t>DKL8922210017B1</t>
  </si>
  <si>
    <t>Famocid 40 mg 6 Tablet</t>
  </si>
  <si>
    <t>Rp47.700 - Rp51.300</t>
  </si>
  <si>
    <t>Obat Wajib Apotek, Obat ini dapat dibeli dan diserahkan apoteker tanpa resep dengan maksimum 1 Strip. Pembelian melebihi batas ini WAJIB RESEP DOKTER. Hamil, laktasi, anak, insufisiensi ginjal berat</t>
  </si>
  <si>
    <t>DTL9710703037A1</t>
  </si>
  <si>
    <t>Hexon Sirup 60 ml</t>
  </si>
  <si>
    <t>Rp7.700 - Rp15.125</t>
  </si>
  <si>
    <t>Dewasa dan anak &gt; 10 tahun : 3 x sehari 2 sendok takar 5 mL, Anak 5-10 tahun : 3 x sehari 1 sendok takar 5 mL, Anak 2-5 tahun : 2 x sehari 1 sendok takar 5 mL.</t>
  </si>
  <si>
    <t>Segala kondisi saluran nafas atas dan bawah yang mengalami hambatan sekresi mukus kental</t>
  </si>
  <si>
    <t>segala kondisi saluran nafas mengalami hambatan sekresi mukus kental</t>
  </si>
  <si>
    <t>hexon</t>
  </si>
  <si>
    <t>hexon sirup bromhexine hydrochloride segala kondisi saluran nafas mengalami hambatan sekresi mukus kental</t>
  </si>
  <si>
    <t>DTL9810704710A1</t>
  </si>
  <si>
    <t>Hexon 8 mg 10 Tablet</t>
  </si>
  <si>
    <t>Rp3.000 - Rp3.100</t>
  </si>
  <si>
    <t>PENGGUNAAN OBAT INI HARUS SESUAI DENGAN PETUNJUK DOKTER. Dewasa dan anak &gt; 10 tahun : 3 x sehari 1 tablet. Anak 5-10 tahun : 3 x sehari 0.5 tablet. Anak 2-5 tahun : 2 x sehari 0.5 tablet</t>
  </si>
  <si>
    <t>HARUS DENGAN RESEP DOKTER. Penderita tukak lambung. Hamil, laktasi</t>
  </si>
  <si>
    <t>hexon tablet bromhexine hydrochloride segala kondisi saluran nafas mengalami hambatan sekresi mukus kental</t>
  </si>
  <si>
    <t>DKL1209502403A1</t>
  </si>
  <si>
    <t>Ladenum Kapsul 30mg</t>
  </si>
  <si>
    <t>- KOMBINASI-LANSOPRAZOLE PELLET 8. 5%</t>
  </si>
  <si>
    <t>Rp11.600 - Rp11.900</t>
  </si>
  <si>
    <t>Tukak lambung ringan, tukak usus, refluks esofagitis</t>
  </si>
  <si>
    <t>Dus, 5 Strip @ 6 Kapsul Lepas Tunda</t>
  </si>
  <si>
    <t>HARUS DENGAN RESEP DOKTER. - Hipersensitif pada komponen obat Kategori Kehamilan : B</t>
  </si>
  <si>
    <t>kombinasi-lansoprazole pellet 8 5%</t>
  </si>
  <si>
    <t>tukak lambung ringan , tukak usus , refluks esofagitis</t>
  </si>
  <si>
    <t>ladenum</t>
  </si>
  <si>
    <t>ladenum kapsul kombinasilansoprazole pellet 8 5 tukak lambung ringan  tukak usus  refluks esofagitis</t>
  </si>
  <si>
    <t>lagas kapsul kombinasilansoprazole pellet 8 5 tukak duodenum  tukak lambung jinak  refluks esofagitis</t>
  </si>
  <si>
    <t>Onemed U Pad 45 X 60 Cm 10 Pads</t>
  </si>
  <si>
    <t>Sebagai popok/ perlak sekali pakai untuk bayi dan dewasa</t>
  </si>
  <si>
    <t>sebagai popok perlak pakai bayi dewasa</t>
  </si>
  <si>
    <t>onemed u pad x pads</t>
  </si>
  <si>
    <t>onemed u pad x pads larutan povidoneiodine sebagai popok perlak pakai bayi dewasa</t>
  </si>
  <si>
    <t>DKL9317608310B1</t>
  </si>
  <si>
    <t>Interpril 10 mg 10 Tablet</t>
  </si>
  <si>
    <t>Rp57.200 - Rp94.500</t>
  </si>
  <si>
    <t>PENGGUNAAN OBAT INI HARUS SESUAI DENGAN PETUNJUK DOKTER. Hipertensi : Dosis awal, oral 10 mg sekali sehari. Dosis pemeliharaan, oral 10-20 mg sekali sehari. Gagal jantung kongestif: Dosis awal, oral 2,5 mg per hari, dosis dapat disesuaikan dengan respon klinisnya. Dosis pemeliharaan, oral 5-20 mg diberikan sekali sehari dalam dosis tunggal</t>
  </si>
  <si>
    <t>INFORMASI OBAT INI HANYA UNTUK KALANGAN MEDIS. Hipertensi esensial dan renovaskular, Terapi tambahan terhadap digitalis dan/atau diuretik pada gagal jantung kongestif.</t>
  </si>
  <si>
    <t>Dus, 3 Strip @ 10 tablet</t>
  </si>
  <si>
    <t>HARUS DENGAN RESEP DOKTER. Hamil dan laktasi, riwayat angioedema, gangguan fungsi ginjal. Hipotensi simtomatik terutama pada penderita dengan volume cairan tubuh rendah dan gagal jantung kongestif. Hipotensi dapat terjadi pada pembedahan atau anestesi. Penyakit jantung iskemik atau atau serebrovaskular</t>
  </si>
  <si>
    <t>lisinopril</t>
  </si>
  <si>
    <t>hipertensi esensial renovaskular , terapi tambahan digitalis diuretik gagal jantung kongestif</t>
  </si>
  <si>
    <t>interpril</t>
  </si>
  <si>
    <t>interpril tablet lisinopril hipertensi esensial renovaskular  terapi tambahan digitalis diuretik gagal jantung kongestif</t>
  </si>
  <si>
    <t>DKL0022717303A1</t>
  </si>
  <si>
    <t>Laproton Kapsul 30 mg</t>
  </si>
  <si>
    <t>Rp3.100 - Rp3.400</t>
  </si>
  <si>
    <t>Diberikan sebelum makan.</t>
  </si>
  <si>
    <t>Tukak duodenum, tukak lambung, esofagitis erosif, sindrom Zollinger-Ellison</t>
  </si>
  <si>
    <t>Tablet 30 mg x 2 x 10</t>
  </si>
  <si>
    <t>Reaksi alergi kehamilan kelompok usia pediatrik Menyusui</t>
  </si>
  <si>
    <t>HARUS DENGAN RESEP DOKTER. Kemungkinan kanker lambung perlu disingkirkan sebelum tukak lambung diobati. Hamil dan laktasi</t>
  </si>
  <si>
    <t>tukak duodenum , tukak lambung , esofagitis erosif , sindrom zollinger - ellison</t>
  </si>
  <si>
    <t>laproton</t>
  </si>
  <si>
    <t>laproton kapsul lansoprazole pellet tukak duodenum  tukak lambung  esofagitis erosif  sindrom zollinger  ellison</t>
  </si>
  <si>
    <t>DKL0104418510B1</t>
  </si>
  <si>
    <t>Mexpharm 15 mg 10 Tablet</t>
  </si>
  <si>
    <t>Rp97.700 - Rp135.000</t>
  </si>
  <si>
    <t>Dapat diminum saat makan.</t>
  </si>
  <si>
    <t>PENGGUNAAN OBAT INI HARUS SESUAI DENGAN PETUNJUK DOKTER. 7,5-15mg 1 kali sehari</t>
  </si>
  <si>
    <t>Terapi simtomatik berbagai jenis rematik (artikuler dan non artikuler) seperti osteoartritis dan artritis reumatoid.</t>
  </si>
  <si>
    <t>Hipersensitif, riwayat asma dan urtikaria</t>
  </si>
  <si>
    <t>HARUS DENGAN RESEP DOKTER. Riwayat penyakit gastrointestinal dan penyakit ginjal.</t>
  </si>
  <si>
    <t>terapi simtomatik jenis rematik artikuler non artikuler osteoartritis artritis reumatoid</t>
  </si>
  <si>
    <t>mexpharm</t>
  </si>
  <si>
    <t>mexpharm tablet meloxicam terapi simtomatik jenis rematik artikuler non artikuler osteoartritis artritis reumatoid</t>
  </si>
  <si>
    <t>Family Dr Belt 3 Back Support Jade M</t>
  </si>
  <si>
    <t>Rp469.500 - Rp799.300</t>
  </si>
  <si>
    <t>family dr belt back support jade m</t>
  </si>
  <si>
    <t>family dr belt back support jade m larutan povidoneiodine alat bantu penyangga pinggang</t>
  </si>
  <si>
    <t>GKL1233526410B1</t>
  </si>
  <si>
    <t>Lisinopril 10 mg 10 Tablet</t>
  </si>
  <si>
    <t>Rp6.200 - Rp9.700</t>
  </si>
  <si>
    <t>INFORMASI OBAT INI HANYA UNTUK KALANGAN MEDIS. Hipertensi essensial, Hipertensi renovaskuler, Gagal jantung kongestif, Infark miokard</t>
  </si>
  <si>
    <t>Hipersensitif, dehidrasi karena sakit atau diare, serangan jantung, ibu menyusui</t>
  </si>
  <si>
    <t>HARUS DENGAN RESEP DOKTER. Hentikan pemakaian obat jika anda positif hamil, jangan menggunakan obat diuretik hemat kalium atau suplemen yang mengandung kalium atau pengganti garam kalium selama menggunakan lisinopril, karena ada potensi hiperkalemia.</t>
  </si>
  <si>
    <t>hipertensi essensial , hipertensi renovaskuler , gagal jantung kongestif , infark miokard</t>
  </si>
  <si>
    <t>lisinopril tablet lisinopril dihydrate hipertensi essensial  hipertensi renovaskuler  gagal jantung kongestif  infark miokard</t>
  </si>
  <si>
    <t>DKL9711628215A1</t>
  </si>
  <si>
    <t>Kaltrofen 50 mg 10 Tablet</t>
  </si>
  <si>
    <t>Rp20.400 - Rp68.700</t>
  </si>
  <si>
    <t>PENGGUNAAN OBAT INI HARUS SESUAI DENGAN PETUNJUK DOKTER. 3-4 kali sehari 50 mg</t>
  </si>
  <si>
    <t>Terapi gejala2 Artritis Reumatoid, Osteo Artritis, Gout akut &amp; Spondilitis Ankilosa</t>
  </si>
  <si>
    <t>Dus, 3 Strip @ 10 Tablet Salut Enterik</t>
  </si>
  <si>
    <t>DTL9922226137A1</t>
  </si>
  <si>
    <t>Bantif Child Sirup 60 ml</t>
  </si>
  <si>
    <t>Anak 7-12 tahun : 3 x sehari 2 sendok takar 5 mL</t>
  </si>
  <si>
    <t>BODREX  HERBAL SAKIT KEPALA</t>
  </si>
  <si>
    <t>bodrex  herbal sakit kepala</t>
  </si>
  <si>
    <t>bodrex herbal sakit kepala tablet bodrex  herbal sakit kepala membantu meredakan sakit kepala</t>
  </si>
  <si>
    <t>DKI0188400756A1</t>
  </si>
  <si>
    <t>Nasacort AQ Nasal Spray</t>
  </si>
  <si>
    <t>Semprotkan pada hidung</t>
  </si>
  <si>
    <t>PENGGUNAAN OBAT INI HARUS SESUAI DENGAN PETUNJUK DOKTER. Dewasa dan anak &gt;= 12 tahun : diawali 1 x sehari 2 spray dalam tiap lubang hidung (220 mcg perhari), Pemeliharaan : 1 x sehari 1 spray dalam tiap lubang hidung (110 mcg perhari).</t>
  </si>
  <si>
    <t>Terapi gejala Rinitis alergi musiman dan menahun/terus menerus</t>
  </si>
  <si>
    <t>Dus, Botol Plastik @ 120 dosis</t>
  </si>
  <si>
    <t>HARUS DENGAN RESEP DOKTER. Pasien yang mendapat terapi jangka panjang kortikosteroid sistemik. Infeksi TB aktif atau tenang, infeksi virus, bakterial, fungi sistemik atau herpes simplex okular yang tidak diterapi. Jangan untuk penderita cacar air atau campak. Kategori Kehamilan : C</t>
  </si>
  <si>
    <t>terapi gejala rinitis alergi musiman menahun menerus</t>
  </si>
  <si>
    <t>nasacort aq nasal</t>
  </si>
  <si>
    <t>nasacort aq nasal spray triamcinolone acetonide terapi gejala rinitis alergi musiman menahun menerus</t>
  </si>
  <si>
    <t>DTL0022231553A1</t>
  </si>
  <si>
    <t>Stolax Suppositoria</t>
  </si>
  <si>
    <t>Rp7.400 - Rp9.900</t>
  </si>
  <si>
    <t>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t>
  </si>
  <si>
    <t>Dewasa dan Anak &gt; 12 tahun : 1 x sehari 1 supp., Anak &lt; 12 tahun : 1 x sehari 0.5 supp.</t>
  </si>
  <si>
    <t>Konstipasi akut dan kronik , pengosongan perut/usus besar sebelum operasi atau pemeriksaan laboratorium atau radiologi.</t>
  </si>
  <si>
    <t>Box isi 6 suppositoria</t>
  </si>
  <si>
    <t>Hamil, nyeri perut, mual, muntah. Penggunaan jangka panjang.</t>
  </si>
  <si>
    <t>bisacodyl</t>
  </si>
  <si>
    <t>konstipasi akut kronik , pengosongan perut usus operasi pemeriksaan laboratorium radiologi</t>
  </si>
  <si>
    <t>stolax</t>
  </si>
  <si>
    <t>stolax suppositoria bisacodyl konstipasi akut kronik  pengosongan perut usus operasi pemeriksaan laboratorium radiologi</t>
  </si>
  <si>
    <t>GKL8912509310A1</t>
  </si>
  <si>
    <t>Diltiazem 30 mg 10 Tablet</t>
  </si>
  <si>
    <t>Rp1.200 - Rp2.700</t>
  </si>
  <si>
    <t>Bisa di berikan bersama makanan atau tidak</t>
  </si>
  <si>
    <t>PENGGUNAAN OBAT INI HARUS SESUAI DENGAN PETUNJUK DOKTER. Angina pectoris : 3 kali sehari 30 mg hipertensi : awalnya 3 kali sehari 30 - 60 mg,bisa di tingkatkan menjadi 180 - 360 mg sehari</t>
  </si>
  <si>
    <t>INFORMASI OBAT INI HANYA UNTUK KALANGAN MEDIS. Angina,pektoris yang di sebabkan kejang arteri koroner,angina kronis,hipertensi</t>
  </si>
  <si>
    <t>Penderita yang hipersensitif atau alergi terhadap diltiazem.Penderita dengan infark miokardial akut dan kongesti paru-paru yang dibuktikan dengan sinar X, hipotensi</t>
  </si>
  <si>
    <t>HARUS DENGAN RESEP DOKTER. Keamanan pemakaian pada anak-anak belum diketahui dengan pasti,Hati-hati bila diberikan pada wanita menyusui Kategori Kehamilan : C</t>
  </si>
  <si>
    <t>angina , pektoris sebabkan kejang arteri koroner , angina kronis , hipertensi</t>
  </si>
  <si>
    <t>diltiazem</t>
  </si>
  <si>
    <t>diltiazem tablet diltiazem hydrochloride angina  pektoris sebabkan kejang arteri koroner  angina kronis  hipertensi</t>
  </si>
  <si>
    <t>DTL1706318022B1</t>
  </si>
  <si>
    <t>Fluimucil Pediatric Granul</t>
  </si>
  <si>
    <t>Rp6.200 - Rp6.300</t>
  </si>
  <si>
    <t>Anak-anak 1 sachet FLUIMUCIL Pediatric 100 mg, 2-4 kali sehari sesuai dengan usia, lama pengobatan 5 - 10 hari</t>
  </si>
  <si>
    <t>Sebagai obat batuk mukolitik untuk mengencerkan dahak di saluran pernafasan</t>
  </si>
  <si>
    <t>sebagai obat batuk mukolitik mengencerkan dahak saluran pernafasan</t>
  </si>
  <si>
    <t>fluimucil pediatric granul</t>
  </si>
  <si>
    <t>fluimucil pediatric granul granula acetylcysteine sebagai obat batuk mukolitik mengencerkan dahak saluran pernafasan</t>
  </si>
  <si>
    <t>DBL7827802110A1</t>
  </si>
  <si>
    <t>Laxatab 6 Tablet</t>
  </si>
  <si>
    <t>Rp7.000 - Rp8.400</t>
  </si>
  <si>
    <t>Dewasa : 1 x 2 tablet pada malam hari menjelang tidur. Anak (6-12 tahun) : 1 x 1 tablet pada malam hari menjelang tidur. Anak (&lt; 6 tahun) : Sesuai petunjuk dokter</t>
  </si>
  <si>
    <t>Mengatasi kesulitan buang air besar pada pasien hernia, post operasi dan hemoroid</t>
  </si>
  <si>
    <t>Dus, 20 Catch Cover @ 1 Strip @ 6 Tablet</t>
  </si>
  <si>
    <t>Kerusakan parah pada usus atau saluran pencernaan lain.</t>
  </si>
  <si>
    <t>Pemakaian dalam waktu lama dapat menyebabkan penurunan berat badan, kelemahan otot, kehilangan cairan dan elektrolit tubuh</t>
  </si>
  <si>
    <t>mengatasi kesulitan buang air pasien hernia , post operasi hemoroid</t>
  </si>
  <si>
    <t>laxatab</t>
  </si>
  <si>
    <t>laxatab tablet docusate sodium mengatasi kesulitan buang air pasien hernia  post operasi hemoroid</t>
  </si>
  <si>
    <t>Hansaplast Plester Transparan 10 Lembar</t>
  </si>
  <si>
    <t>Rp9.200 - Rp9.700</t>
  </si>
  <si>
    <t>Produk ini digunakan untuk melindungi segala jenis luka ringan dari kotoran dan bakteri.</t>
  </si>
  <si>
    <t>Amplop @ 10 lembar</t>
  </si>
  <si>
    <t>produk melindungi jenis luka ringan kotoran bakteri</t>
  </si>
  <si>
    <t>hansaplast plester transparan lembar</t>
  </si>
  <si>
    <t>hansaplast plester transparan lembar larutan povidoneiodine produk melindungi jenis luka ringan kotoran bakteri</t>
  </si>
  <si>
    <t>DKI1848700135A1</t>
  </si>
  <si>
    <t>Fleet Phosposoda 45 ml</t>
  </si>
  <si>
    <t>Waktu penggunaan disesuaikan dengan waktu prosedur medis. Minum obat ini bersama dengan air minum yang cukup banyak untuk mencegah dehidrasi.</t>
  </si>
  <si>
    <t>PENGGUNAAN OBAT INI HARUS SESUAI DENGAN PETUNJUK DOKTER. 1 botol 1 kali per hari</t>
  </si>
  <si>
    <t>Membersihkan usus sebelum tindakan medis, seperti rontgen, operasi, dan kolonoskopi</t>
  </si>
  <si>
    <t>pack, 45 ml</t>
  </si>
  <si>
    <t>Obstruksi GI atau ketiadaan motility, gagal ginjal, gagal jantung kongestif atau megacolon, mual, muntah atau nyeri abdomen</t>
  </si>
  <si>
    <t>duphalac sirup lactulose solution konstipasi kronik ensefalopati portal sistemik kronik prekoma koma hepatik</t>
  </si>
  <si>
    <t>TR192525911</t>
  </si>
  <si>
    <t>Ciflon 6 Kaplet</t>
  </si>
  <si>
    <t>CIFLON</t>
  </si>
  <si>
    <t>Dikonsumsi bersamaan dengan makanan.</t>
  </si>
  <si>
    <t>2-6 kaplet sehari.</t>
  </si>
  <si>
    <t>Insufiensi vena idiopatik pada tungkai bawah yang sangat nyeri dan kram pada tungkai, Hemoroid (wasir) dan Hemoroid Akut</t>
  </si>
  <si>
    <t>Strip Isi 6 Tablet</t>
  </si>
  <si>
    <t>ciflon</t>
  </si>
  <si>
    <t>insufiensi vena idiopatik tungkai nyeri kram tungkai , hemoroid wasir hemoroid akut</t>
  </si>
  <si>
    <t>ciflon kaplet insufiensi vena idiopatik tungkai nyeri kram tungkai  hemoroid wasir hemoroid akut</t>
  </si>
  <si>
    <t>paracetamol dextromethorphan hydrobromide guaifenesin chlorphenamine maleate phenylpropanolamine hydrochloride</t>
  </si>
  <si>
    <t>anaton kaplet paracetamol dextromethorphan hydrobromide guaifenesin chlorphenamine maleate phenylpropanolamine hydrochloride meringankan batuk pilek</t>
  </si>
  <si>
    <t>DKL8304501114A1</t>
  </si>
  <si>
    <t>Cedocard 20 mg 10 Tablet</t>
  </si>
  <si>
    <t>Rp24.000 - Rp34.600</t>
  </si>
  <si>
    <t>Diberikan pada saat perut kosong 1/2 jam sebelum makan. Telan utuh, jangan dikunyah atau dihancurkan.</t>
  </si>
  <si>
    <t>PENGGUNAAN OBAT INI HARUS SESUAI DENGAN PETUNJUK DOKTER. 1-3 tablet 4 kali/ hari.</t>
  </si>
  <si>
    <t>Pengobatan dan pencegahan angina pektoris, gagal jantung kongestif berat refrakter</t>
  </si>
  <si>
    <t>Hipotensi, syok kardiogenik, anemia berat</t>
  </si>
  <si>
    <t>HARUS DENGAN RESEP DOKTER. Hamil, anak, glaukoma, dapat terjadi toleransi dan toleransi silang dengan nitrat dan nitrit lainnya</t>
  </si>
  <si>
    <t>pengobatan pencegahan angina pektoris , gagal jantung kongestif berat refrakter</t>
  </si>
  <si>
    <t>cedocard</t>
  </si>
  <si>
    <t>cedocard tablet isosorbide dinitrate pengobatan pencegahan angina pektoris  gagal jantung kongestif berat refrakter</t>
  </si>
  <si>
    <t>DKL0205031310A1</t>
  </si>
  <si>
    <t>Aggravan 50 mg 10 Tablet</t>
  </si>
  <si>
    <t>Rp62.800 - Rp99.500</t>
  </si>
  <si>
    <t>Saat perut kosong, minimum 30 menit sebelum atau 2 jam sesudah makan.</t>
  </si>
  <si>
    <t>PENGGUNAAN OBAT INI HARUS SESUAI DENGAN PETUNJUK DOKTER. Dewasa: 100 mg (2 tablet), 2x sehari</t>
  </si>
  <si>
    <t>Gejala iskemia akibat oklusi arteri kronik, mengurangi gejala klaudikasio intermiten.</t>
  </si>
  <si>
    <t>Hamil dan laktasi. Perdarahan, diatesis hemoragik, koagulopati, misalnya hemofilia, gagal jantung kongestif.</t>
  </si>
  <si>
    <t>HARUS DENGAN RESEP DOKTER. Gangguan hati atau ginjal berat, predisposisi perdarahan. Selama haid. Terapi bersama dengan antikoagulan, trombolitik atau antiplatelet lain. Usia lanjut. Tidak direkomendasikan pada ibu hamil dan menyusui.</t>
  </si>
  <si>
    <t>cilostazol</t>
  </si>
  <si>
    <t>gejala iskemia akibat oklusi arteri kronik , mengurangi gejala klaudikasio intermiten</t>
  </si>
  <si>
    <t>aggravan</t>
  </si>
  <si>
    <t>aggravan tablet cilostazol gejala iskemia akibat oklusi arteri kronik  mengurangi gejala klaudikasio intermiten</t>
  </si>
  <si>
    <t>DKL0131521717A1</t>
  </si>
  <si>
    <t>Falergi 10 mg 10 Tablet</t>
  </si>
  <si>
    <t>Kondisi alergi seperti rinitis perenial, rinitis alergi dan urtikaria idiopatik kronik</t>
  </si>
  <si>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t>
  </si>
  <si>
    <t>falergi</t>
  </si>
  <si>
    <t>falergi tablet cetirizine hydrochloride kondisi alergi rinitis perenial  rinitis alergi urtikaria idiopatik kronik</t>
  </si>
  <si>
    <t>DTL0821634315A1</t>
  </si>
  <si>
    <t>Custodiol 5 mg 10 Tablet</t>
  </si>
  <si>
    <t>Diminum pada malam hari. Tidak boleh diminum bersama dengan susu atau antasida. Ditelan dalam keadaan utuh dengan air secukupnya</t>
  </si>
  <si>
    <t>Dewasa dan anak-anak diatas 12 tahun : 2-3 x sehari 1 tablet Anak-anak 6-12 tahun : 1 x sehari 1 tablet Anak-anak dibawah 6 tahun : konsultasi dokter atau dianjurkan untuk memakai suppositoria anak</t>
  </si>
  <si>
    <t>Terapi konstipasi. Persiapan pemeriksaan diagnostik, terapi sebelum dan sesudah operasi, dan pada kondisi yang membutuhkan defekasi.</t>
  </si>
  <si>
    <t>Dus, 1 Blister @10 Tablet Salut Enterik</t>
  </si>
  <si>
    <t>Obstruksi usus, kondisi abdomen yang memerlukan pembedahan akut, apendisitis, penyakit inflamasi usus besar akut, dehidrasi berat, hipersensitif terhadap triarilmetan, ileus.</t>
  </si>
  <si>
    <t>Anak, hamil, laktasi dan penggunaan jangka panjang.</t>
  </si>
  <si>
    <t>terapi konstipasi  persiapan pemeriksaan diagnostik , terapi operasi , kondisi membutuhkan defekasi</t>
  </si>
  <si>
    <t>custodiol</t>
  </si>
  <si>
    <t>custodiol tablet bisacodyl terapi konstipasi  persiapan pemeriksaan diagnostik  terapi operasi  kondisi membutuhkan defekasi</t>
  </si>
  <si>
    <t>DKL9122211417A1</t>
  </si>
  <si>
    <t>Heptasan 4 mg 10 Tablet</t>
  </si>
  <si>
    <t>Rp5.100 - Rp5.700</t>
  </si>
  <si>
    <t>di berikan bersama makanan</t>
  </si>
  <si>
    <t>PENGGUNAAN OBAT INI HARUS SESUAI DENGAN PETUNJUK DOKTER. Dewasa : 1-5 tablet per hari Dosis harus disesuaikan dan tidak melebihi 0,5 mg/kg/hari atau maksimal 32 mg/hari.</t>
  </si>
  <si>
    <t>INFORMASI OBAT INI HANYA UNTUK KALANGAN MEDIS. Pengobatan terhadap penyakit alergi seperti : rinitis vasomotor, pruritus, cold urticaria, dermatografisme</t>
  </si>
  <si>
    <t>porfiria, neonatus</t>
  </si>
  <si>
    <t>Obat Wajib Apotek, Obat ini dapat dibeli dan diserahkan apoteker tanpa resep dengan maksimum 1 Strip. Pembelian melebihi batas ini WAJIB RESEP DOKTER. Penderita hipertensi, hipertiroid, peningkatan tekanan intra okuler, penyakit kardiovaskuler dan pada penderita asma bronkial, kehamilan dan menyusui Kategori Kehamilan : B</t>
  </si>
  <si>
    <t>pengobatan penyakit alergi rinitis vasomotor , pruritus , cold urticaria , dermatografisme</t>
  </si>
  <si>
    <t>heptasan</t>
  </si>
  <si>
    <t>heptasan tablet cyproheptadine hydrochloride pengobatan penyakit alergi rinitis vasomotor  pruritus  cold urticaria  dermatografisme</t>
  </si>
  <si>
    <t>Rp315.500 - Rp337.100</t>
  </si>
  <si>
    <t>DKL0722244581A1</t>
  </si>
  <si>
    <t>Proxime 10 Tablet</t>
  </si>
  <si>
    <t>Rp13.300 - Rp17.800</t>
  </si>
  <si>
    <t>Digunakan sesaat setelah makan atau bersamaan makanan.</t>
  </si>
  <si>
    <t>PENGGUNAAN OBAT INI HARUS SESUAI DENGAN PETUNJUK DOKTER. Dosis dewasa: 1 x sehari 1 tablet. infark miokard: 300 mg/hari. transient iskemik : sampai 1000 mg/hari.</t>
  </si>
  <si>
    <t>INFORMASI OBAT INI HANYA UNTUK KALANGAN MEDIS. Membantu mencegah serangan jantung, stroke, dan sebagai antiplatelet (menghambat pembekuan darah).</t>
  </si>
  <si>
    <t>Dus, 3 Strip @ 10 Tablet Dispersible</t>
  </si>
  <si>
    <t>Asma, rhinitis, dan polip hidung, ganggua ginjal, wanita hamil.</t>
  </si>
  <si>
    <t>HARUS DENGAN RESEP DOKTER. Ginjal kronis, wanita hamil dan menyusui.</t>
  </si>
  <si>
    <t>membantu mencegah serangan jantung , stroke , antiplatelet menghambat pembekuan darah</t>
  </si>
  <si>
    <t>proxime</t>
  </si>
  <si>
    <t>proxime tablet acetylsalicylic acid membantu mencegah serangan jantung  stroke  antiplatelet menghambat pembekuan darah</t>
  </si>
  <si>
    <t>dexamethasone sodium phosphate dexchlorpheniramine maleate</t>
  </si>
  <si>
    <t>dextaco sirup dexamethasone sodium phosphate dexchlorpheniramine maleate untuk mengatasi  alergi dimana terapi kortikosteroid</t>
  </si>
  <si>
    <t>DKL1408517917A1</t>
  </si>
  <si>
    <t>Cetrin 10 mg 10 Tablet</t>
  </si>
  <si>
    <t>Rp4.600 - Rp7.100</t>
  </si>
  <si>
    <t>Dus, 10 Strip @10 Tablet salut selaput</t>
  </si>
  <si>
    <t>Riwayat gagal ginjal</t>
  </si>
  <si>
    <t>Obat Wajib Apotek, Obat ini dapat dibeli dan diserahkan apoteker tanpa resep dengan maksimum 1 Strip. Pembelian melebihi batas ini WAJIB RESEP DOKTER. Ibu menyusui, gangguan ginjal, hati.</t>
  </si>
  <si>
    <t>cetrin</t>
  </si>
  <si>
    <t>cetrin tablet cetirizine hydrochloride kondisi alergi rinitis perenial  rinitis alergi urtikaria idiopatik kronik</t>
  </si>
  <si>
    <t>DKL0133501817A1</t>
  </si>
  <si>
    <t>Ryvel 10 mg 10 Tablet</t>
  </si>
  <si>
    <t>Rp45.400 - Rp64.600</t>
  </si>
  <si>
    <t>Hipersensitif terhadap cetirizine, wanita hamil dan menyusui, bayi dan anak-anak kurang dari 2 tahun, penyakit ginjal berat</t>
  </si>
  <si>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</si>
  <si>
    <t>ryvel</t>
  </si>
  <si>
    <t>ryvel tablet cetirizine hydrochloride kondisi alergi rinitis perenial  rinitis alergi urtikaria idiopatik kronik</t>
  </si>
  <si>
    <t>DKL0617621737A1</t>
  </si>
  <si>
    <t>Intrizin Sirup 60 ml</t>
  </si>
  <si>
    <t>PENGGUNAAN OBAT INI HARUS SESUAI DENGAN PETUNJUK DOKTER. Sirup : dewasa dan anak &gt; 12 tahun: sehari 1x 10 ml, 6-12 tahun : sehari 1x 10 ml atau sehari 2x 5 ml, 2-6 tahun : sehari 1x5 ml atau sehari 2x 2,5 ml</t>
  </si>
  <si>
    <t>INFORMASI OBAT INI HANYA UNTUK KALANGAN MEDIS. Pengobatan rinitis musiman atau tahunan, urtikaria idiopatik kronik, konjungtivitis alergi</t>
  </si>
  <si>
    <t>Hipersensitif, gangguan ginjal berat dan laktasi.</t>
  </si>
  <si>
    <t>HARUS DENGAN RESEP DOKTER. Hamil, dapat mengganggu kemampuan mengemudi atau menjalankan mesin. Anak &lt; 2 tahun</t>
  </si>
  <si>
    <t>pengobatan rinitis musiman tahunan , urtikaria idiopatik kronik , konjungtivitis alergi</t>
  </si>
  <si>
    <t>intrizin sirup cetirizine hydrochloride pengobatan rinitis musiman tahu  urtikaria idiopatik kronik  konjungtivitis alergi</t>
  </si>
  <si>
    <t>DTL0834608117A1</t>
  </si>
  <si>
    <t>Histrine 10 mg 10 Tablet</t>
  </si>
  <si>
    <t>Rp58.400 - Rp66.300</t>
  </si>
  <si>
    <t>Hipersensitivitas. Penyakit ginjal yang parah. trimester pertama kehamilan. Laktasi.</t>
  </si>
  <si>
    <t>HARUS DENGAN RESEP DOKTER. Konsultasikan pada dokter anda sebelum menggunakan obat ini jika memiliki kondisi penyakit epilepsi, beresiko kejang, gangguan fungsi hati, gangguan fungsi ginjal, lansia, ibu menyusui, dan ibu hamil.</t>
  </si>
  <si>
    <t>histrine</t>
  </si>
  <si>
    <t>histrine tablet cetirizine hydrochloride kondisi alergi rinitis perenial  rinitis alergi urtikaria idiopatik kronik</t>
  </si>
  <si>
    <t>DKL0617622217A1</t>
  </si>
  <si>
    <t>Intrizin 10 mg 10 Tablet</t>
  </si>
  <si>
    <t>Dus, 3 Strip @ 10 Tablet Salut</t>
  </si>
  <si>
    <t>intrizin tablet cetirizine hydrochloride kondisi alergi rinitis perenial  rinitis alergi urtikaria idiopatik kronik</t>
  </si>
  <si>
    <t>DKL0213311309A1</t>
  </si>
  <si>
    <t>Tiriz 10 mg 10 Tablet</t>
  </si>
  <si>
    <t>Rp58.300 - Rp60.000</t>
  </si>
  <si>
    <t>Dus, 3 Blister @ 10 Kaplet salut selaput</t>
  </si>
  <si>
    <t>Hipersensitif terhadap cetirizine, wanita hamil dan menyusui, bayi dan anak-anak kurang dari 2 tahun, penyakit ginjal berat.</t>
  </si>
  <si>
    <t>tiriz</t>
  </si>
  <si>
    <t>tiriz kaplet cetirizine hydrochloride kondisi alergi rinitis perenial  rinitis alergi urtikaria idiopatik kronik</t>
  </si>
  <si>
    <t>DKL9211614909A2</t>
  </si>
  <si>
    <t>Pronicy 4 mg 10 Kaplet</t>
  </si>
  <si>
    <t>Dus, 10 Blister @ 10 Kaplet Salut Selaput</t>
  </si>
  <si>
    <t>pronicy</t>
  </si>
  <si>
    <t>pronicy kaplet cyproheptadine hydrochloride alergi urtikaria angioedema  cold urticaria  allergic rhinitis  vasomotor rhinitis</t>
  </si>
  <si>
    <t>DKL1809502937A1</t>
  </si>
  <si>
    <t>Alcet Sirup 60 ml</t>
  </si>
  <si>
    <t>Rp69.800 - Rp70.400</t>
  </si>
  <si>
    <t>Dus, botol @ 60 ML</t>
  </si>
  <si>
    <t>alcet</t>
  </si>
  <si>
    <t>alcet sirup cetirizine hydrochloride kondisi alergi rinitis perenial  rinitis alergi urtikaria idiopatik kronik</t>
  </si>
  <si>
    <t>DTL0418819110A1</t>
  </si>
  <si>
    <t>Trifedrin 10 Tablet</t>
  </si>
  <si>
    <t>Rp18.600 - Rp25.400</t>
  </si>
  <si>
    <t>Dewasa dan anak &gt; 12 tahun : 1 tablet, 3 kali sehari</t>
  </si>
  <si>
    <t>Dus, 3 catch cover @1 strip @ 10 tablet.</t>
  </si>
  <si>
    <t>Hipertensi atau jantung koroner kronis.</t>
  </si>
  <si>
    <t>Pasien dengan gangguan fungsi hati berat, gangguan ginjal, diabetes melitus.</t>
  </si>
  <si>
    <t>trifedrin tablet triprolidine hydrochloride pseudoephedrine hydrochloride meringankan gejala berhubungan flu  sinusitis  rinitis alergi</t>
  </si>
  <si>
    <t>DKL1604524514A1</t>
  </si>
  <si>
    <t>Trizedon MR 35 mg 30 Tablet</t>
  </si>
  <si>
    <t>Rp148.900 - Rp163.900</t>
  </si>
  <si>
    <t>Bersama makanan/sesudah makan</t>
  </si>
  <si>
    <t>PENGGUNAAN OBAT INI HARUS SESUAI DENGAN PETUNJUK DOKTER. 2 x sehari 1 tablet</t>
  </si>
  <si>
    <t>Tambahan terapi anti-angina untuk terapi Angina Pektoris jangka panjang</t>
  </si>
  <si>
    <t>Dus, 2 Blister @ 30 Tablet</t>
  </si>
  <si>
    <t>HARUS DENGAN RESEP DOKTER. Tidak untuk serangan angina akut maupun untuk angina tidak stabil atau infark miokard. Hamil. Gagal ginjal. Gagal hati berat.</t>
  </si>
  <si>
    <t>tambahan terapi anti - angina terapi angina pektoris jangka</t>
  </si>
  <si>
    <t>trizedon mr</t>
  </si>
  <si>
    <t>trizedon mr tablet trimetazidine dihydrochloride tambahan terapi anti  angina terapi angina pektoris jangka</t>
  </si>
  <si>
    <t>trizedon mr tablet trimetazidine hydrochloride tambahan terapi anti  angina terapi angina pektoris jangka</t>
  </si>
  <si>
    <t>TR142577551</t>
  </si>
  <si>
    <t>Veridin 6 Tablet</t>
  </si>
  <si>
    <t>VERIDIN</t>
  </si>
  <si>
    <t>Rp49.600 - Rp63.500</t>
  </si>
  <si>
    <t>Varises: 1 tablet 2 x/hari Hemoroid akut: 6 tablet/hari selama 4 hari, lalu 4 tablet/hari selama 3 hari &amp; selanjutnya 2 tablet/hari Hemoroid kronik: 2 tablet/hari</t>
  </si>
  <si>
    <t>Membantu meringankan gangguan peredaran darah di kaki/ varises serta membantu meringankan gejala wasir</t>
  </si>
  <si>
    <t>Dus, 5 strip @ 6 Tablet</t>
  </si>
  <si>
    <t>veridin</t>
  </si>
  <si>
    <t>membantu meringankan gangguan peredaran darah kaki varises membantu meringankan gejala wasir</t>
  </si>
  <si>
    <t>veridin tablet membantu meringankan gangguan peredaran darah kaki varises membantu meringankan gejala wasir</t>
  </si>
  <si>
    <t>DKL0509215301A1</t>
  </si>
  <si>
    <t>Lerzin 10 mg 10 Kapsul</t>
  </si>
  <si>
    <t>Rp4.500 - Rp14.800</t>
  </si>
  <si>
    <t>INFORMASI OBAT INI HANYA UNTUK KALANGAN MEDIS. Rinitis menahun, rinitis alergi seasonal, konjungtivitis, pruritus, urtikaria idiopati kronis.</t>
  </si>
  <si>
    <t>Dus, 5 Amplop @ 1 Strip @ 10 Kapsul</t>
  </si>
  <si>
    <t>rinitis menahun , rinitis alergi seasonal , konjungtivitis , pruritus , urtikaria idiopati kronis</t>
  </si>
  <si>
    <t>lerzin</t>
  </si>
  <si>
    <t>lerzin kapsul cetirizine hydrochloride rinitis menahun  rinitis alergi seasonal  konjungtivitis  pruritus  urtikaria idiopati kronis</t>
  </si>
  <si>
    <t>DKL1923415417A1</t>
  </si>
  <si>
    <t>Alerzin 10 mg 10 Tablet</t>
  </si>
  <si>
    <t>PENGGUNAAN OBAT INI HARUS SESUAI DENGAN PETUNJUK DOKTER. - Dewasa dan anak usia diatas 12 tahun : 1 tablet 10 mg, 1 kali sehari. - Penggunaan pada penderita gangguan fungsi ginjal : dosis sebaiknya dikurangi menjadi ï¿½ tablet sehari.</t>
  </si>
  <si>
    <t>alerzin</t>
  </si>
  <si>
    <t>alerzin tablet cetirizine hydrochloride rinitis menahun  rinitis alergi seasonal  konjungtivitis  pruritus  urtikaria idiopati kronis</t>
  </si>
  <si>
    <t>DKL9904513516A1</t>
  </si>
  <si>
    <t>Mediamer B6 10 Tablet</t>
  </si>
  <si>
    <t>Rp33.500 - Rp42.400</t>
  </si>
  <si>
    <t>Berikan setengah jam sebelum makan</t>
  </si>
  <si>
    <t>PENGGUNAAN OBAT INI HARUS SESUAI DENGAN PETUNJUK DOKTER. 1-2 tablet perhari</t>
  </si>
  <si>
    <t>INFORMASI OBAT INI HANYA UNTUK KALANGAN MEDIS. Muntah karena hamil, pasca operasi, atau gangguan saluran cerna, mual, mabuk karena kendaraan</t>
  </si>
  <si>
    <t>Penggunaan obat ini untuk pasien dengan gangguan hati dan ginjal yang berat sebaiknya dihindari.</t>
  </si>
  <si>
    <t>muntah hamil , pasca operasi , gangguan saluran cerna , mual , mabuk kendaraan</t>
  </si>
  <si>
    <t>mediamer b</t>
  </si>
  <si>
    <t>mediamer b tablet pyrathiazine8chlorotheophyllinate muntah hamil  pasca operasi  gangguan saluran cerna  mual  mabuk kendaraan</t>
  </si>
  <si>
    <t>DKI1440800151A1</t>
  </si>
  <si>
    <t>Sofra Tulle 10X10 cm</t>
  </si>
  <si>
    <t>Rp32.800 - Rp38.500</t>
  </si>
  <si>
    <t>Gunakan pada bagian yang dibutuhkan.</t>
  </si>
  <si>
    <t>PENGGUNAAN OBAT INI HARUS SESUAI DENGAN PETUNJUK DOKTER. 1 sachet 1 x sehari</t>
  </si>
  <si>
    <t>INFORMASI OBAT INI HANYA UNTUK KALANGAN MEDIS. Merupakan obat/ kasa steril untuk luka bakar ringan, luka lain</t>
  </si>
  <si>
    <t>Dus, 10 Sachet @ 1 Plester</t>
  </si>
  <si>
    <t>Penderita yang hipersensitif terhadap komponen dan penderita yang memiliki luka bakar yang luas</t>
  </si>
  <si>
    <t>Obat Wajib Apotek, Obat ini dapat dibeli dan diserahkan apoteker tanpa resep dengan maksimum 2 Sachet. Pembelian melebihi batas ini WAJIB RESEP DOKTER. Alergi terhadap lanolin, framicetin, dan infeksi oleh organisme yang resisten framisetin</t>
  </si>
  <si>
    <t>merupakan obat kasa steril luka bakar ringan , luka</t>
  </si>
  <si>
    <t>sofra tulle x</t>
  </si>
  <si>
    <t>sofra tulle x kasa framycetin sulfate merupakan obat kasa steril luka bakar ringan  luka</t>
  </si>
  <si>
    <t>Nutrimax Bee-Healthy 30 Tablet</t>
  </si>
  <si>
    <t>Rp134.200 - Rp251.200</t>
  </si>
  <si>
    <t>Dewasa : 2-3 tablet per hari. Anak-anak (&gt;2 tahun): 1-2 tablet per hari.</t>
  </si>
  <si>
    <t>Simpan di bawah suhu 30 derajat celcius. Jauhkan dari jangkauan anak - anak.</t>
  </si>
  <si>
    <t>nutrimax beehealthy tablet nutrimax bee propolis plus bee pollen membantu memelihara daya tahan tubuh</t>
  </si>
  <si>
    <t>Rohto Fever Patch 2 Lembar</t>
  </si>
  <si>
    <t>Rp9.000 - Rp16.600</t>
  </si>
  <si>
    <t>Lepaskan lapisan transparan dan tempelkan lembaran yang mengandung gel pada permukaan kulit.</t>
  </si>
  <si>
    <t>Menurunkan panas yang tinggi, meredakan sakit gigi, pusing, dan tegang otot.</t>
  </si>
  <si>
    <t>Sachet @ 2 Patch</t>
  </si>
  <si>
    <t>Untuk anak dan bayi usia 3 bulan ke atas. Jangan gunakan pada kulit yang luka, terkena eksim maupun ruam. Hindari kontak dengan mata.</t>
  </si>
  <si>
    <t>menurunkan panas , meredakan sakit gigi , pusing , tegang otot</t>
  </si>
  <si>
    <t>rohto fever patch lembar</t>
  </si>
  <si>
    <t>rohto fever patch lembar enema paracetamol menurunkan panas  meredakan sakit gigi  pusing  tegang otot</t>
  </si>
  <si>
    <t>DKL1007810604A1</t>
  </si>
  <si>
    <t>Hufadon 10 mg 10 Kaplet</t>
  </si>
  <si>
    <t>Rp3.300 - Rp3.600</t>
  </si>
  <si>
    <t>INFORMASI OBAT INI HANYA UNTUK KALANGAN MEDIS. Terapi mual dan muntah (termasuk yang disebabkan karena levodopa dan bromokriptin, kemoterapi atau radioterapi kanker), dispepsia fungsional.</t>
  </si>
  <si>
    <t>terapi mual muntah disebabkan levodopa bromokriptin , kemoterapi radioterapi kanker , dispepsia fungsional</t>
  </si>
  <si>
    <t>hufadon</t>
  </si>
  <si>
    <t>hufadon kaplet domperidone terapi mual muntah disebabkan levodopa bromokriptin  kemoterapi radioterapi kanker  dispepsia fungsional</t>
  </si>
  <si>
    <t>DKL0818821433A1</t>
  </si>
  <si>
    <t>Trogyl Suspensi 60 ml</t>
  </si>
  <si>
    <t>Rp44.300 - Rp57.000</t>
  </si>
  <si>
    <t>PENGGUNAAN OBAT INI HARUS SESUAI DENGAN PETUNJUK DOKTER. Amebiasis: Dosis Dewasa : 1.5 g per hari dalam 3 dosis terbagi. Anak-anak : 30-40 mg/kg/hari, dalam 3 dosis terbagi.</t>
  </si>
  <si>
    <t>INFORMASI OBAT INI HANYA UNTUK KALANGAN MEDIS. Untuk infeksi karena mikrooganisme yang peka terhadap metronidazole seperti amebiasis, urogenital trichomoniasis, dan vaginitis non-spesifik.</t>
  </si>
  <si>
    <t>HARUS DENGAN RESEP DOKTER. Gangguan sistem saraf pusat, diskrasia darah, hindari alkohol, disfungsi hati yang berat, anak-anak, usia lanjut dan ibu menyusui.</t>
  </si>
  <si>
    <t>untuk infeksi mikrooganisme peka metronidazole amebiasis , urogenital trichomoniasis , vaginitis non - spesifik</t>
  </si>
  <si>
    <t>trogyl</t>
  </si>
  <si>
    <t>trogyl suspensi metronidazole untuk infeksi mikrooganisme peka metronidazole amebiasis  urogenital trichomoniasis  vaginitis non  spesifik</t>
  </si>
  <si>
    <t>narfoz tablet ondansetron hydrochloride dihydrate penatalaksanaan mual muntah kemoterapi radioterapi  mual muntah paska operasi</t>
  </si>
  <si>
    <t>DKL0200202617A1</t>
  </si>
  <si>
    <t>Rytmonorm 150 mg 10 Tablet</t>
  </si>
  <si>
    <t>Rp106.300 - Rp118.200</t>
  </si>
  <si>
    <t>Diberikan sesudah makan. Telan utuh, jangan dikunyah atau dihancurkan.</t>
  </si>
  <si>
    <t>PENGGUNAAN OBAT INI HARUS SESUAI DENGAN PETUNJUK DOKTER. Awal 150 mg tiap 8 jam (450 mg.hari). Dapat ditingkatkan menjadi 225 mg tiap 8 jam (675 mg/hari) untuk interval 3-4 hari. Maksimal 900 mg/hari.</t>
  </si>
  <si>
    <t>INFORMASI OBAT INI HANYA UNTUK KALANGAN MEDIS. Fibrilasi/flutter Atrium Paroksismal atau Takikardia Supraventrikular Paroksismal, yang berhubungan dengan simptom yang melumpuhkan</t>
  </si>
  <si>
    <t>Dus, 6 Strip @ 10 Tablet Salut Selaput</t>
  </si>
  <si>
    <t>Gagal jantung, syok kardiogenik, bradikardi berat, gangguan konduksi sinoatrial, AV, intraventrikular, sindroma sick sinus, gangguan keseimbagan elektrolit, penyakit paru obstruksi berat, hipotensi sedang, hipersensivitas.</t>
  </si>
  <si>
    <t>HARUS DENGAN RESEP DOKTER. Hamil trimester 1, laktasi, gangguan fungsi hati dan ginjal.</t>
  </si>
  <si>
    <t>propafenone  hydrochloride</t>
  </si>
  <si>
    <t>fibrilasi flutter atrium paroksismal takikardia supraventrikular paroksismal , berhubungan simptom melumpuhkan</t>
  </si>
  <si>
    <t>rytmonorm</t>
  </si>
  <si>
    <t>rytmonorm tablet propafenone  hydrochloride fibrilasi flutter atrium paroksismal takikardia supraventrikular paroksismal  berhubungan simptom melumpuhkan</t>
  </si>
  <si>
    <t>DTL9519914904A1</t>
  </si>
  <si>
    <t>Noza 4 Kaplet</t>
  </si>
  <si>
    <t>Dewasa &amp; Anak 12 tahun atau lebih: 3 x sehari 1 kaplet Tidak dianjurkan untuk anak-anak di bawah 12 tahun</t>
  </si>
  <si>
    <t>Untuk meringankan gejala flu, seperti demam, sakit kepala, hidung tersumbat, dan bersin-bersin.</t>
  </si>
  <si>
    <t>hipersensitif, anak-anak dibawah 12 tahun, wanita hamil dan menyusui</t>
  </si>
  <si>
    <t>Hati-hati penggunaan pada penderita dengan gangguan fungsi hati dan ginjal, glaukoma, hipertrofi prostat, hipertiroidismus, gangguan jantung dan diabetes mellitus. Tidak dianjurkan untuk anak-anak di bawah 12 tahun, wanita hamil dan menyusui, kecuali atas</t>
  </si>
  <si>
    <t>untuk meringankan gejala flu , demam , sakit kepala , hidung tersumbat , bersin - bersin</t>
  </si>
  <si>
    <t>noza</t>
  </si>
  <si>
    <t>noza kaplet paracetamol untuk meringankan gejala flu  demam  sakit kepala  hidung tersumbat  bersin  bersin</t>
  </si>
  <si>
    <t>Physiomer Baby Nasal 115 ml</t>
  </si>
  <si>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</si>
  <si>
    <t>Rhinitis : Semprotkan selama 2-3 detik sebanyak 4-6 kali per hari. Profilaksis : Semprotkan selama 2-3 detik 1-2 kali per hari.</t>
  </si>
  <si>
    <t>Untuk membersihkan, melembabkan dan meredakan hidung tersumbat pada anak 0 - 2 tahun.</t>
  </si>
  <si>
    <t>Dus, Botol @ 115 ml</t>
  </si>
  <si>
    <t>untuk membersihkan , melembabkan meredakan hidung tersumbat anak 0 - 2</t>
  </si>
  <si>
    <t>physiomer baby nasal</t>
  </si>
  <si>
    <t>physiomer baby nasal  lemon oil untuk membersihkan  melembabkan meredakan hidung tersumbat anak 0  2</t>
  </si>
  <si>
    <t>DKL8815607036A1</t>
  </si>
  <si>
    <t>Supramox Drop 20 ml</t>
  </si>
  <si>
    <t>Rp24.000 - Rp32.900</t>
  </si>
  <si>
    <t>Pengobatan pada infeksi pernafasan dan Infeksi saluran kemih karena mikroorganisme yang sensitif terhadap amoksilin</t>
  </si>
  <si>
    <t>Botol, Drop 100 Mg/ml X 20 ml X 1</t>
  </si>
  <si>
    <t>pengobatan infeksi pernafasan infeksi saluran kemih mikroorganisme sensitif amoksilin</t>
  </si>
  <si>
    <t>supramox drop</t>
  </si>
  <si>
    <t>supramox drop tetes amoxicillin trihydrate pengobatan infeksi pernafasan infeksi saluran kemih mikroorganisme sensitif amoksilin</t>
  </si>
  <si>
    <t>paracetamol thiamine mononitrate pyridoxine hydrochloride cyanocobalamin</t>
  </si>
  <si>
    <t>paranervion kaplet paracetamol thiamine mononitrate pyridoxine hydrochloride cyanocobalamin untuk meringankan sakit disebabkan syaraf neuritis</t>
  </si>
  <si>
    <t>DKL2010811309A1</t>
  </si>
  <si>
    <t>Zithrolic 500 mg 6 Tablet</t>
  </si>
  <si>
    <t>Rp46.100 - Rp49.200</t>
  </si>
  <si>
    <t>Sebelum atau sesduah makan</t>
  </si>
  <si>
    <t>INFORMASI OBAT INI HANYA UNTUK KALANGAN MEDIS. Infeksi saluran napas atas dan bawah, kulit dan struktur kulit, uretritis dan servisitis non GO</t>
  </si>
  <si>
    <t>Hipersensitif terhadap eritromisin atau makrolid lain atau ketolid</t>
  </si>
  <si>
    <t>HARUS DENGAN RESEP DOKTER. Gangguan ginjal sedang sampai berat, gangguan hati berat. hamil dan laktasi.</t>
  </si>
  <si>
    <t>infeksi saluran napa , kulit struktur kulit , uretritis servisitis non go</t>
  </si>
  <si>
    <t>zithrolic</t>
  </si>
  <si>
    <t>zithrolic kaplet azithromycin dihydrate infeksi saluran napa  kulit struktur kulit  uretritis servisitis non go</t>
  </si>
  <si>
    <t>woods peppermint expectorant sirup bromhexine hydrochloride guaifenesin meredakan gejala batuk produktif berdahak  bronkhitis emfisema</t>
  </si>
  <si>
    <t>GlucoSure STAR Blood Glucose Monitoring System</t>
  </si>
  <si>
    <t>Strip untuk mengukur kadar gula darah.</t>
  </si>
  <si>
    <t>glucosure star blood glucose monitoring system</t>
  </si>
  <si>
    <t>glucosure star blood glucose monitoring system tablet pioglitazone hydrochloride strip mengukur kadar gula darah</t>
  </si>
  <si>
    <t>GKL1902358417A1</t>
  </si>
  <si>
    <t>Cetirizine 10 mg 10 Tablet</t>
  </si>
  <si>
    <t>Rp3.900 - Rp7.200</t>
  </si>
  <si>
    <t>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</si>
  <si>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cetirizine</t>
  </si>
  <si>
    <t>cetirizine tablet cetirizine hydrochloride rinitis menahun  rinitis alergi seasonal  konjungtivitis  pruritus  urtikaria idiopati kronis</t>
  </si>
  <si>
    <t>ataroc tablet procaterol hydrochloride hemihydrate dispnea akibat asma bronkhial  bronkhitis akut kronik  emfisema paru</t>
  </si>
  <si>
    <t>Laurier Relax Night With Gathers 35 cm 8 Pads</t>
  </si>
  <si>
    <t>Rp11.000 - Rp22.800</t>
  </si>
  <si>
    <t>Pack @ 8 pads</t>
  </si>
  <si>
    <t>laurier relax night with gathers pads tablet sildenafil citrate pembalut menyerap cairan mentruasi maksimal</t>
  </si>
  <si>
    <t>DKL9106602929A1</t>
  </si>
  <si>
    <t>Diprosone-Ov 0.05% Cream 5 g</t>
  </si>
  <si>
    <t>Rp75.000 - Rp80.300</t>
  </si>
  <si>
    <t>Gejala Inflamasi dan Pruritus dari Psoriasis yang resisten ataupun berat dan Dermatosis yang responsif terhadap Kortikosteroid</t>
  </si>
  <si>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 Kategori Kehamilan : C</t>
  </si>
  <si>
    <t>diprosoneov cream</t>
  </si>
  <si>
    <t>diprosoneov cream krim betamethasone dipropionate gejala inflamasi pruritus psoriasis resisten berat dermatosis responsif kortikosteroid</t>
  </si>
  <si>
    <t>DKL0805043314A1</t>
  </si>
  <si>
    <t>Mertigo SR 12 mg 10 Tablet</t>
  </si>
  <si>
    <t>Rp82.900 - Rp91.200</t>
  </si>
  <si>
    <t>Dus, 10 Strip @ 10 Tablet Pelepasan Lambat</t>
  </si>
  <si>
    <t>mertigo sr</t>
  </si>
  <si>
    <t>mertigo sr tablet betahistine mesilate untuk vertigo  tinnitus  gangguan pendengaran terkait pasien penyakit meniere</t>
  </si>
  <si>
    <t>MultiSure GK Blood Glucose Test 25 Strip</t>
  </si>
  <si>
    <t>multisure gk blood glucose test strip</t>
  </si>
  <si>
    <t>multisure gk blood glucose test strip tablet pioglitazone hydrochloride strip mengukur kadar gula darah</t>
  </si>
  <si>
    <t>DTL9104403010A1</t>
  </si>
  <si>
    <t>Mixadin 4 Tablet</t>
  </si>
  <si>
    <t>Rp1.700 - Rp2.800</t>
  </si>
  <si>
    <t>Dewasa dan anak &gt; 12 tahun : 3-4 x sehari 1 tablet. Anak 6-12 tahun : 3-4 x sehari 0.5-1 tablet. Anak 2-5 tahun : 3 x sehari 0.5 tablet</t>
  </si>
  <si>
    <t>Meredakan gejala2 batuk, pilek dan alergi</t>
  </si>
  <si>
    <t>Box isi 25 strip @ 4 tablet</t>
  </si>
  <si>
    <t>Hipertiroid, hipertensi, penyakit koroner, terapi MAOI</t>
  </si>
  <si>
    <t>Glaukoma, penyakit jantung atau hati, asma, DM. Hamil. Dapat mengganggu kemampuan mengendarai bermotor atau menjalankan mesin</t>
  </si>
  <si>
    <t>dextromethorphan hydrobromide ephedrine hydrochloride guaifenesin chlorphenamine maleate</t>
  </si>
  <si>
    <t>meredakan gejala2 batuk , pilek alergi</t>
  </si>
  <si>
    <t>mixadin</t>
  </si>
  <si>
    <t>mixadin tablet dextromethorphan hydrobromide ephedrine hydrochloride guaifenesin chlorphenamine maleate meredakan gejala2 batuk  pilek alergi</t>
  </si>
  <si>
    <t>QD212633951</t>
  </si>
  <si>
    <t>Freshcare Roll On Minyak Angin Sandalwood 10 ml</t>
  </si>
  <si>
    <t>Rp13.000 - Rp21.500</t>
  </si>
  <si>
    <t>Dioleskan secukupnya</t>
  </si>
  <si>
    <t>Membantu merigankan pusing, masuk angin, kembung, mual</t>
  </si>
  <si>
    <t>membantu merigankan pusing , masuk angin , kembung , mual</t>
  </si>
  <si>
    <t>freshcare roll on angin sandalwood</t>
  </si>
  <si>
    <t>freshcare roll on angin sandalwood roll camphora membantu merigankan pusing  masuk angin  kembung  mual</t>
  </si>
  <si>
    <t>paracetamol phenylephrine hydrochloride</t>
  </si>
  <si>
    <t>sanaflu forte kaplet paracetamol phenylephrine hydrochloride meredakan gejala2 flu  demam  sakit kepala hidung tersumbat</t>
  </si>
  <si>
    <t>Sensitif Vivo Ultra Thin 3 Pieces</t>
  </si>
  <si>
    <t>Digunakan pada organ vital pria sebelum melakukan hubungan.</t>
  </si>
  <si>
    <t>Alat kontrasepsi yang digunakan oleh pasangan untuk merencanakan program keluarga.</t>
  </si>
  <si>
    <t>alat kontrasepsi pasangan merencanakan program keluarga</t>
  </si>
  <si>
    <t>sensitif vivo ultra thin pieces</t>
  </si>
  <si>
    <t>sensitif vivo ultra thin pieces tablet sildenafil citrate alat kontrasepsi pasangan merencanakan program keluarga</t>
  </si>
  <si>
    <t>Tissue Lovers for Man 6 Sachet</t>
  </si>
  <si>
    <t>Rp12.800 - Rp14.100</t>
  </si>
  <si>
    <t>Usapkan tisu pada daerah sensitif, biarkan 5-15 menit. Setelah itu, cuci dengan sabun dan bilas dengan air hangat.</t>
  </si>
  <si>
    <t>Produk ini digunakan untuk menyegarkan dan membersihkan kulit daerah sensitif dengan efektif.</t>
  </si>
  <si>
    <t>Dus @ 6 Pieces</t>
  </si>
  <si>
    <t>Hanya untuk pemakaian luar. Jika terjadi iritasi atau alergi segera hentikan pemakaian.</t>
  </si>
  <si>
    <t>produk menyegarkan membersihkan kulit daerah sensitif efektif</t>
  </si>
  <si>
    <t>tissue lovers for man</t>
  </si>
  <si>
    <t>tissue lovers for man tablet sildenafil citrate produk menyegarkan membersihkan kulit daerah sensitif efektif</t>
  </si>
  <si>
    <t>DKL9822225309A1</t>
  </si>
  <si>
    <t>Cerini 10 mg 10 Kaplet</t>
  </si>
  <si>
    <t>Rp44.800 - Rp53.800</t>
  </si>
  <si>
    <t>cerini</t>
  </si>
  <si>
    <t>cerini kaplet cetirizine hydrochloride rinitis menahun  rinitis alergi seasonal  konjungtivitis  pruritus  urtikaria idiopati kronis</t>
  </si>
  <si>
    <t>DTL0509215128A1</t>
  </si>
  <si>
    <t>Hico Gel 15 g</t>
  </si>
  <si>
    <t>Rp12.700 - Rp42.600</t>
  </si>
  <si>
    <t>Dioleskan pada area tepi sekeliling luka.</t>
  </si>
  <si>
    <t>Oleskan 2-3 x sehari pada area tepi sekeliling luka.</t>
  </si>
  <si>
    <t>Pengobatan trombosis superfisial, Tromboflebitis, Hematoma. Pencegahan dan pengobatan tromboflebitis setelah suntikan IV.</t>
  </si>
  <si>
    <t>Jangan dioleskan pada luka terbuka</t>
  </si>
  <si>
    <t>pengobatan trombosis superfisial , tromboflebitis , hematoma  pencegahan pengobatan tromboflebitis suntikan iv</t>
  </si>
  <si>
    <t>hico</t>
  </si>
  <si>
    <t>hico gel heparin sodium pengobatan trombosis superfisial  tromboflebitis  hematoma  pencegahan pengobatan tromboflebitis suntikan iv</t>
  </si>
  <si>
    <t>DKI1890701817A1</t>
  </si>
  <si>
    <t>Olmetec Plus 20 mg/12.5 mg 10 Tablet</t>
  </si>
  <si>
    <t>Rp127.800 - Rp209.000</t>
  </si>
  <si>
    <t>Hipertensi essensial yang tekanan darahnya tidak dapat dikendalikan hanya dengan Olmesartan Medoxomil atau Hidroklorotiazid saja/tunggal</t>
  </si>
  <si>
    <t>Box isi 3 strip @ 10 tablet salut</t>
  </si>
  <si>
    <t>Hamil trimester 2 dan 3, laktasi, obstruksi saluran empedu, gangguan ginjal berat, hipokalemia refrakter dan hiperkalsemia, kolestasis.</t>
  </si>
  <si>
    <t>HARUS DENGAN RESEP DOKTER. Penyakit jantung iskemik atau penyakit serebrovaskular iskemik, anak &lt; 18 tahun, hipertensi renovaskular, gangguan fungsi ginjal, transplantasi ginjal, deplesi vol intravaskular, aldosteronisme primer, stenosis aorta dan mitral, kardiopati hipertrofi obst</t>
  </si>
  <si>
    <t>hipertensi essensial tekanan darahnya tidak dikendalikan olmesartan medoxomil hidroklorotiazid tunggal</t>
  </si>
  <si>
    <t>olmetec plus</t>
  </si>
  <si>
    <t>olmetec plus tablet hydrochlorothiazide hipertensi essensial teka darahnya tidak dikendalikan olmesartan medoxomil hidroklorotiazid tunggal</t>
  </si>
  <si>
    <t>DBL7204116137A2</t>
  </si>
  <si>
    <t>OBH Combi Batuk Berdahak Menthol Sirup Sachet 7.5 ml</t>
  </si>
  <si>
    <t>Rp1.200 - Rp1.400</t>
  </si>
  <si>
    <t>Dewasa : 1-4 kali sehari, 2 sachet (15 ml)</t>
  </si>
  <si>
    <t>Dus, 20 Sachet @ 7.5 ml</t>
  </si>
  <si>
    <t>Penderita yang hipersensitif terhadap salah satu komposisi obat</t>
  </si>
  <si>
    <t>Ammonium Chloride dalam dosis besar dapat menimbulkan asidosis metabolik dan harus digunakan dengan hati-hati pada penderita insufisiensi hati, ginjal, dan paru-paru.</t>
  </si>
  <si>
    <t>obh combi batuk berdahak menthol</t>
  </si>
  <si>
    <t>obh combi batuk berdahak menthol sirup succus liquiritiae ammonium chloride untuk meredakan batuk berdahak</t>
  </si>
  <si>
    <t>DKL0530907015B1</t>
  </si>
  <si>
    <t>Dicloflam 50 mg 10 Tablet</t>
  </si>
  <si>
    <t>Rp6.000 - Rp6.300</t>
  </si>
  <si>
    <t>Pengobatan akut dan kronis gejala-gejala rheumatoid artritis, osteoartritis dan ankylosing spondilitis.</t>
  </si>
  <si>
    <t>Dus, 5 Strip @ 10 Tablet Salut Enterik</t>
  </si>
  <si>
    <t>Pasien dengan asma, urtikaria atau alergi terhadap asetosal atau AINS lain, tukak lambung</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</si>
  <si>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</si>
  <si>
    <t>pengobatan akut kronis gejala - gejala rheumatoid artritis , osteoartritis ankylosing spondilitis</t>
  </si>
  <si>
    <t>dicloflam</t>
  </si>
  <si>
    <t>dicloflam tablet diclofenac sodium pengobatan akut kronis gejala  gejala rheumatoid artritis  osteoartritis ankylosing spondilitis</t>
  </si>
  <si>
    <t>DKL0133504036A1</t>
  </si>
  <si>
    <t>Ryvel Drops 10 ml</t>
  </si>
  <si>
    <t>Rp72.600 - Rp96.700</t>
  </si>
  <si>
    <t>ryvel tetes cetirizine hydrochloride rinitis menahun  rinitis alergi seasonal  konjungtivitis  pruritus  urtikaria idiopati kronis</t>
  </si>
  <si>
    <t>DKL0833209937A1</t>
  </si>
  <si>
    <t>Zine 5 mg/5 ml Sirup 60 ml</t>
  </si>
  <si>
    <t>zine</t>
  </si>
  <si>
    <t>zine sirup cetirizine hydrochloride rinitis menahun  rinitis alergi seasonal  konjungtivitis  pruritus  urtikaria idiopati kronis</t>
  </si>
  <si>
    <t>Cap Dragon Balsam Menthol 20 g</t>
  </si>
  <si>
    <t>Rp31.900 - Rp35.000</t>
  </si>
  <si>
    <t>Digosok/dihirup</t>
  </si>
  <si>
    <t>Mengurangi sakit kepala, melegakan pernafasan karena pilek serta mabuk perjalanan.</t>
  </si>
  <si>
    <t>Pot 20 G</t>
  </si>
  <si>
    <t>mengurangi sakit kepala , melegakan pernafasan pilek mabuk perjalanan</t>
  </si>
  <si>
    <t>cap dragon balsam menthol</t>
  </si>
  <si>
    <t>cap dragon balsam menthol balsam mentholum mengurangi sakit kepala  melegakan pernafasan pilek mabuk perjala</t>
  </si>
  <si>
    <t>DKL0522239946A1</t>
  </si>
  <si>
    <t>Fukricin 50 mg/ml Eye Drops 5 ml</t>
  </si>
  <si>
    <t>Rp103.100 - Rp103.300</t>
  </si>
  <si>
    <t>PENGGUNAAN OBAT INI HARUS SESUAI DENGAN PETUNJUK DOKTER. Keratitis fungal Awal 1 tetes ke dalam sakus konjungtiva dengan interval 1-2 jam. Sesudah 3-4 hari, frekuensi pemberian dapat dikurangi menjadd 1 tetes 6-8 x perhari. Lanjutkan terapi selama 14-21 hari atau sampai terjadd perbaikan klinis. dosis dapat dikurangi secara bertahap dengan interval 4-7 hari. Blefaritis atau konjungtivitis fungal 1 tetes 4-6 x perhari..</t>
  </si>
  <si>
    <t>Pengobatan blefaritis, konjungtivitis, &amp; keratitis fungal karena organisme yang peka terhadap natamycin, termasuk Fusarium solani.</t>
  </si>
  <si>
    <t>HARUS DENGAN RESEP DOKTER. Tdk utk disuntikkan</t>
  </si>
  <si>
    <t>TR183310151</t>
  </si>
  <si>
    <t>Sang Putih 12 Kapsul</t>
  </si>
  <si>
    <t>SANG PUTIH</t>
  </si>
  <si>
    <t>Sebaiknya dikonsumsi sebelum makan</t>
  </si>
  <si>
    <t>Secara tradisional digunakan untuk membantu lendir yang berlebihan, mengurangi gatal dan bau tidak sedap pada daerah kewanitaan.</t>
  </si>
  <si>
    <t>sang putih</t>
  </si>
  <si>
    <t>secara tradisional membantu lendir , mengurangi gatal bau tidak sedap daerah kewanitaan</t>
  </si>
  <si>
    <t>sang putih kapsul secara tradisional membantu lendir  mengurangi gatal bau tidak sedap daerah kewanitaan</t>
  </si>
  <si>
    <t>Verban Husada 10Y X 2 cm</t>
  </si>
  <si>
    <t>Rp4.100 - Rp10.400</t>
  </si>
  <si>
    <t>Untuk menutup/membalut luka agar tidak terkontaminasi dengan air ataupun debu</t>
  </si>
  <si>
    <t>Pack @ Roll 10 X 2 cm</t>
  </si>
  <si>
    <t>untuk menutup membalut luka tidak terkontaminasi air debu</t>
  </si>
  <si>
    <t>verban husada y x larutan povidoneiodine untuk menutup membalut luka tidak terkontaminasi air debu</t>
  </si>
  <si>
    <t>DKL1021638637A1</t>
  </si>
  <si>
    <t>Narfoz Sirup 30 ml</t>
  </si>
  <si>
    <t>Rp71.100 - Rp86.100</t>
  </si>
  <si>
    <t>narfoz sirup ondansetron hydrochloride dihydrate penatalaksanaan mual muntah kemoterapi radioterapi  mual muntah paska operasi</t>
  </si>
  <si>
    <t>laurier relax night with gathers pads tablet tizanidine hydrochloride pembalut menyerap cairan mentruasi maksimal</t>
  </si>
  <si>
    <t>DTL0221627337A1</t>
  </si>
  <si>
    <t>Ozen Sirup 60 ml</t>
  </si>
  <si>
    <t>Rp53.000 - Rp67.300</t>
  </si>
  <si>
    <t>Bisa diberikan sebelum atau sesudah makan</t>
  </si>
  <si>
    <t>Botol 60 ml</t>
  </si>
  <si>
    <t>ozen</t>
  </si>
  <si>
    <t>ozen sirup cetirizine hydrochloride rinitis menahun  rinitis alergi seasonal  konjungtivitis  pruritus  urtikaria idiopati kronis</t>
  </si>
  <si>
    <t>DTL0607808833A1</t>
  </si>
  <si>
    <t>Hufagrip Tmp Sirup 60 ml</t>
  </si>
  <si>
    <t>Rp10.800 - Rp20.500</t>
  </si>
  <si>
    <t>Dewasa: 3 - 4 x sehari 2 sendok takar (10 ml). Anak 8 - 12 tahun: 3 - 4 x sehari 2 sendok takar (10 ml). Anak 3 - 7 tahun: 3 - 4 x sehari 1 sendok takar (5 ml). Anak 1 - 2 tahun: 3 - 4 x sehari 1/2 sendok takar (2,5 ml).</t>
  </si>
  <si>
    <t>Menurunkan panas (demam), meringankan nyeri ringan sampai sedang, antara lain : sakit gigi, sakit kepala.</t>
  </si>
  <si>
    <t>Penderita dengan ulkus peptikum (tukak lambung dan duodenum) yang berat dan aktif. Penderita dengan riwayat hipersensitif terhadap lbuprofen dan obat anti-inflamasi non steroid yang lain. Penderita yang mengalami gejala asthma,rinitis,atau urtikaria.</t>
  </si>
  <si>
    <t>Peptic ulcer, pasien yang mengkonsumsi aspirin, asma, rhinitis dan urtikaria</t>
  </si>
  <si>
    <t>menurunkan panas demam , meringankan nyeri ringan , sakit gigi , sakit kepala</t>
  </si>
  <si>
    <t>hufagrip tmp</t>
  </si>
  <si>
    <t>hufagrip tmp suspensi ibuprofen menurunkan panas demam  meringankan nyeri ringan  sakit gigi  sakit kepala</t>
  </si>
  <si>
    <t>DKL0435302238A1</t>
  </si>
  <si>
    <t>Novax 125 mg/5 ml Dry Sirup 60 ml</t>
  </si>
  <si>
    <t>Rp30.500 - Rp32.000</t>
  </si>
  <si>
    <t>Berikan bersama makanan lebih baik</t>
  </si>
  <si>
    <t>PENGGUNAAN OBAT INI HARUS SESUAI DENGAN PETUNJUK DOKTER. Dewasa &amp; anak dengan BB ?20 kg : 10-20 ml 3 x sehari. BB &lt;20 kg : 10 ml 3 x sehari.</t>
  </si>
  <si>
    <t>Infeksi kulit &amp; jar lunak, saluran napas, saluran kemih kelamin</t>
  </si>
  <si>
    <t>DTL0318817333A1</t>
  </si>
  <si>
    <t>Ostarin Sirup 60 ml</t>
  </si>
  <si>
    <t>Rp22.000 - Rp31.000</t>
  </si>
  <si>
    <t>Anak -anak : - Usia 3 - 7 tahun : 1 sendok takar, 3x sehari. - Usia 8-12 tahun : 1-2 sendok takar, 3 x sehari. Dewasa dan anak &gt; 12 tahun : 2 sendok takar, 3 x sehari.</t>
  </si>
  <si>
    <t>Digunakan untuk menurunkan demam pada anak dan meringankan nyeri ringan sampai sedang, antara lain penyakit gigi dan sakit kepala.</t>
  </si>
  <si>
    <t>TR142680241</t>
  </si>
  <si>
    <t>Madurasa Premium 280 g</t>
  </si>
  <si>
    <t>MADURASA PREMIUM PLUS ROYAL JELLY &amp; BEE POLLEN</t>
  </si>
  <si>
    <t>Rp48.500 - Rp48.600</t>
  </si>
  <si>
    <t>Diminum langsung Dijadikan bahan campuran makanan dan minuman.</t>
  </si>
  <si>
    <t>Sebagai sumber energi makanan</t>
  </si>
  <si>
    <t>madurasa premium plus royal jelly &amp; bee pollen</t>
  </si>
  <si>
    <t>sebagai sumber energi makanan</t>
  </si>
  <si>
    <t>madurasa premium</t>
  </si>
  <si>
    <t>madurasa premium madu madurasa premium plus royal jelly  bee pollen sebagai sumber energi maka</t>
  </si>
  <si>
    <t>DTL9631106637A1</t>
  </si>
  <si>
    <t>Flunax Sirup 60 ml</t>
  </si>
  <si>
    <t>Rp5.800 - Rp6.100</t>
  </si>
  <si>
    <t>Dewasa dan anak 12 tahun keatas : 4 sendok takar, 3 - 4 x sehari Anak 6 - 12 tahun â€ƒ â€ƒ â€ƒ â€ƒ â€ƒ â€ƒ : 2 sendok takar, 3 - 4 x sehari Atau menurut petunjuk dokter. (1 sendok takar = 5 ml)</t>
  </si>
  <si>
    <t>Meringankan gejala flu seperti demam, sakit kepala, hidung tersumbat, dan bersin-bersin.</t>
  </si>
  <si>
    <t>Hati-hati penggunaan pada penderita dengan gangguan fungsi hati dan ginjal. Bila dalam 3 hari gejala flu tidak berkurang segera hubungi dokter atau unit pelayanan kesehatan. Tidak dianjurkan penggunaan pada anak usia di bawah 6 tahun, wanita hamil, dan menyusui, kecuali atas petunjuk dokter. Hentikan penggunaan obat ini jika terjadi susah tidur, jantung berdebar dan pusing. Selama minum obat ini tidak boleh mengendarai kendaraan bermotor atau menjalankan mesin. Penggunaan pada penderita yang mengkonsumsi alkohol dapat meningkatkan risiko kerusakan fungsi hati. Hati-hati penggunaan bersamaan dengan obat-obat yang menekan SSP.</t>
  </si>
  <si>
    <t>flunax</t>
  </si>
  <si>
    <t>flunax sirup chlorphenamine maleate meringankan gejala flu demam  sakit kepala  hidung tersumbat  bersin  bersin</t>
  </si>
  <si>
    <t>DKL9802326701B1</t>
  </si>
  <si>
    <t>Alxil Kapsul 500 mg</t>
  </si>
  <si>
    <t>Rp34.700 - Rp37.500</t>
  </si>
  <si>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</si>
  <si>
    <t>INFORMASI OBAT INI HANYA UNTUK KALANGAN MEDIS. Mengatasi infeksi saluran pernafasan, saluran kemih dan kelamin serta infeksi kulit dan jaringan lunak</t>
  </si>
  <si>
    <t>Dus, 10 strip @ 10 Kapsul</t>
  </si>
  <si>
    <t>Hipersensitif terhadap cefadroxil</t>
  </si>
  <si>
    <t>HARUS DENGAN RESEP DOKTER. Hati-hati penggunaan pada pasien dengan riwayat hipersensitivitas terhadap penisilin atau obat -laktam lainnya, alergi berat atau asma, riwayat penyakit gastrointestinal, terutama kolitis. Gangguan ginjal. Kehamilan dan menyusui. Kategori kehamilan : Kategori B: Mungkin dapat digunakan oleh wanita hamil. Penelitian pada hewan uji tidak memperlihatkan ada nya risiko terhadap janin, namun belum ada bukti penelitian langsung terhadap wanita hamil.</t>
  </si>
  <si>
    <t>cefadroxil</t>
  </si>
  <si>
    <t>mengatasi infeksi saluran pernafasan , saluran kemih kelamin infeksi kulit jaringan lunak</t>
  </si>
  <si>
    <t>alxil</t>
  </si>
  <si>
    <t>alxil kapsul cefadroxil mengatasi infeksi saluran pernafasan  saluran kemih kelamin infeksi kulit jaringan lunak</t>
  </si>
  <si>
    <t>Nexcare Waterproof Transparent 3 Lembar</t>
  </si>
  <si>
    <t>Rp6.800 - Rp10.200</t>
  </si>
  <si>
    <t>Tempelkan pada bagian yang luka</t>
  </si>
  <si>
    <t>Membantu mempercepat proses penyembuhan luka, melindungi dari kuman dan kotoran</t>
  </si>
  <si>
    <t>Pack @ 3 Plester</t>
  </si>
  <si>
    <t>membantu mempercepat prose penyembuhan luka , melindungi kuman kotoran</t>
  </si>
  <si>
    <t>nexcare waterproof transparent lembar</t>
  </si>
  <si>
    <t>nexcare waterproof transparent lembar larutan povidoneiodine membantu mempercepat prose penyembuhan luka  melindungi kuman kotoran</t>
  </si>
  <si>
    <t>DTL2128210137A1</t>
  </si>
  <si>
    <t>Simfed DM Sirup 60 ml</t>
  </si>
  <si>
    <t>Rp35.600 - Rp41.600</t>
  </si>
  <si>
    <t>Meringankan pilek, batuk gatal dan kering.</t>
  </si>
  <si>
    <t>pseudoephedrine hydrochloride triprolidine hydrochloride dextromethorphan hydrobromide</t>
  </si>
  <si>
    <t>meringankan pilek , batuk gatal kering</t>
  </si>
  <si>
    <t>simfed dm</t>
  </si>
  <si>
    <t>simfed dm sirup pseudoephedrine hydrochloride triprolidine hydrochloride dextromethorphan hydrobromide meringankan pilek  batuk gatal kering</t>
  </si>
  <si>
    <t>DBL1722726104A1</t>
  </si>
  <si>
    <t>Bodrex Demam 4 Kaplet</t>
  </si>
  <si>
    <t>Dewasa: 1-2 kaplet, 3 - 4 kali per hari. Penggunaan maximum 8 kaplet per hari. Anak 7 - 12 tahun: 0.5 - 1 kaplet, 3-4 kali per hari. Penggunaan maximum 4 kaplet per hari.</t>
  </si>
  <si>
    <t>Meredakan nyeri seperti sakit kepala, sakit gigi, serta demam yang menyertai flu dan setelah imunisasi</t>
  </si>
  <si>
    <t>Dus, 25 Blister @ 4 Kaplet</t>
  </si>
  <si>
    <t>Hipersensitivitas. Gangguan fungsi hati berat.</t>
  </si>
  <si>
    <t>meredakan nyeri sakit kepala , sakit gigi , demam menyertai flu imunisasi</t>
  </si>
  <si>
    <t>bodrex demam</t>
  </si>
  <si>
    <t>bodrex demam kaplet paracetamol meredakan nyeri sakit kepala  sakit gigi  demam menyertai flu imunisasi</t>
  </si>
  <si>
    <t>DKL1632005529A1</t>
  </si>
  <si>
    <t>Zovirax 5% Cream 5 g</t>
  </si>
  <si>
    <t>Rp171.000 - Rp199.100</t>
  </si>
  <si>
    <t>Dioleskan tipis pada bagian yang sakit</t>
  </si>
  <si>
    <t>PENGGUNAAN OBAT INI HARUS SESUAI DENGAN PETUNJUK DOKTER. Dewasa dan anak : Oleskan 5 kali sehari selama 4 hari. Lanjutkan terapi selama 5 hari</t>
  </si>
  <si>
    <t>INFORMASI OBAT INI HANYA UNTUK KALANGAN MEDIS. Virus herpes simpleks, infeksi kulit termasuk herpes genital rekuren dan herpes labialis</t>
  </si>
  <si>
    <t>Penderita yang hipersensitif dengan Acyclovir atau Valacyclovir</t>
  </si>
  <si>
    <t>HARUS DENGAN RESEP DOKTER. Penggunaan pada membran mukosa</t>
  </si>
  <si>
    <t>virus herpes simpleks , infeksi kulit herpes genital rekuren herpes labialis</t>
  </si>
  <si>
    <t>zovirax cream</t>
  </si>
  <si>
    <t>zovirax cream krim aciclovir virus herpes simpleks  infeksi kulit herpes genital rekuren herpes labialis</t>
  </si>
  <si>
    <t>neosinol cream krim neomycin sulfate fluocinolone acetonide inflamasi lokal  kondisi2 pruritik alergi kulit mukosa</t>
  </si>
  <si>
    <t>DKL2111646563A1</t>
  </si>
  <si>
    <t>Prove D3-5000 IU 10 Tablet Kunyah</t>
  </si>
  <si>
    <t>Rp33.600 - Rp63.000</t>
  </si>
  <si>
    <t>Dus, 3 Strip @ 10 Tablet Kunyah</t>
  </si>
  <si>
    <t>Penderita dengan hipersensitivitas dengan vitamin D3 dan analognya atau dengan komponen lain dalam formula, hiperkalsemia dan hiperkalsiuria, kalsium nefrolitiasis, nefrokalsinosis, hipervitaminosis D, Kerusakan ginjal berat dan gagal ginjal</t>
  </si>
  <si>
    <t>HARUS DENGAN RESEP DOKTER.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</si>
  <si>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prove d iu kunyah</t>
  </si>
  <si>
    <t>prove d iu kunyah tablet cholecalciferol meningkatkan kadar vitamin d pasien kekurangan vitamin d</t>
  </si>
  <si>
    <t>DKL1909504363B1</t>
  </si>
  <si>
    <t>Hi-D 5000 Vitamin D3 6 Tablet Kunyah</t>
  </si>
  <si>
    <t>Rp32.400 - Rp35.700</t>
  </si>
  <si>
    <t>Sebelum atau sesudah makan. Dikunyah terlebih dahulu. Jangan langsung ditelan.</t>
  </si>
  <si>
    <t>Dus, 5 strip @ 6 tablet kunyah</t>
  </si>
  <si>
    <t>Penderita hipersensitivitas dengan vitamin D3 atau dengan komponen lain dalam formula. Infeksi bakteri atau jamur pada mulut dan tenggorokan. Lesi herpetik karena virus atau lesi intraoral.</t>
  </si>
  <si>
    <t>HARUS DENGAN RESEP DOKTER. Cek kadar vitamin D terlebih dahulu sebelum menggunakan vitamin D dengan dosis tinggi.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</si>
  <si>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hid vitamin d kunyah</t>
  </si>
  <si>
    <t>hid vitamin d kunyah tablet cholecalciferol meningkatkan kadar vitamin d pasien kekurangan vitamin d</t>
  </si>
  <si>
    <t>DKL9513306438A1</t>
  </si>
  <si>
    <t>Lacophen Dry Sirup 60 ml</t>
  </si>
  <si>
    <t>Rp23.400 - Rp48.600</t>
  </si>
  <si>
    <t>PENGGUNAAN OBAT INI HARUS SESUAI DENGAN PETUNJUK DOKTER. Dewasa : 3 kali sehari 500 mg, dapat ditingkatkan sampai dengan 3 g/hari. GO akut tanpa komplikasi : 2.5 g dosis tunggal. Anak : 30 - 50 mg/kg BB/hari terbagi dalam 4 dosis</t>
  </si>
  <si>
    <t>Infeksi sal nafas, hepatobilier, sal GL dan genitourinari. Demam tifoid dan paratifoid. GO</t>
  </si>
  <si>
    <t>Hipersensitif terhadap tiamfenikol. Depresi sumsum tulang dan diskrasia darah. Hamil, laktasi, anak</t>
  </si>
  <si>
    <t>HARUS DENGAN RESEP DOKTER. Gangguan hati dan ginjal. Monitor hitung darah secara rutin pada penggunaan jangka lama</t>
  </si>
  <si>
    <t>infeksi sal nafas , hepatobilier , sal gl genitourinari  demam tifoid paratifoid  go</t>
  </si>
  <si>
    <t>lacophen</t>
  </si>
  <si>
    <t>lacophen sirup thiamphenicol infeksi sal nafas  hepatobilier  sal gl genitourinari  demam tifoid paratifoid  go</t>
  </si>
  <si>
    <t>DKL9618205729A1</t>
  </si>
  <si>
    <t>Nufacort Cream 5 g</t>
  </si>
  <si>
    <t>Rp6.200 - Rp8.600</t>
  </si>
  <si>
    <t>Meringankan nyeri inflamasi dari dermatosis yang responsif terhadap kortikosteroid dengan disertai infeksi sekunder</t>
  </si>
  <si>
    <t>Hipersensitif, gangguan kulit yang disebabkan TBC, jamur dan virus (herpes simplex, vaccinia, varicella), perforasi telinga. Hipersensitivitas</t>
  </si>
  <si>
    <t>HARUS DENGAN RESEP DOKTER. Alergi terhadap komponen obat</t>
  </si>
  <si>
    <t>meringankan nyeri inflamasi dermatosis responsif kortikosteroid disertai infeksi sekunder</t>
  </si>
  <si>
    <t>nufacort cream</t>
  </si>
  <si>
    <t>nufacort cream krim hydrocortisone acetate meringankan nyeri inflamasi dermatosis responsif kortikosteroid disertai infeksi sekunder</t>
  </si>
  <si>
    <t>GKL0402337001A1</t>
  </si>
  <si>
    <t>Itraconazole 100 mg 10 Kapsul</t>
  </si>
  <si>
    <t>Rp46.100 - Rp69.000</t>
  </si>
  <si>
    <t>Minum obat segera setelah makan</t>
  </si>
  <si>
    <t>Hamil, hipersensitif terhadap Itraconazole, gangguan ginjal berat</t>
  </si>
  <si>
    <t>HARUS DENGAN RESEP DOKTER. Hati-hati penggunaan pada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Kehamilan (infeksi yang mengancam jiwa)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</si>
  <si>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kombinasi-itraconazole pellet</t>
  </si>
  <si>
    <t>itraconazole kapsul kombinasiitraconazole pellet dermatomiosis  kandidiasis  mikosis sistemik  tinea corporis  tinea pidea  tinea kapitis</t>
  </si>
  <si>
    <t>X2 Comfort Extra 500 ml</t>
  </si>
  <si>
    <t>Rp50.000 - Rp113.800</t>
  </si>
  <si>
    <t>Cuci bersih tangan dengan sabun dan air, keringkan dengan kain bersih. Taruh cairan pada wadah, masukkan kontak lens pada cairan, tunggu 15 menit, lalu bisa digunakan kembali.</t>
  </si>
  <si>
    <t>Dus, Botol @ 500 ml</t>
  </si>
  <si>
    <t>Jangan membeli atau memakai jika botol sudah di buka atau rusak, jangan menyentuh lubang tetesan cairan ke permukaan lainnya. Simpan pada suhu 15-30 derajat Celcius. Perhatikan masa kadaluarsa. Sebaiknya tidak digunakan lagi 90 hari setelah botol dibuka.</t>
  </si>
  <si>
    <t>x comfort extra</t>
  </si>
  <si>
    <t>x comfort extra tablet kombinasivalsartan blend 32 membersihkan partikel menyebakan iritasi tidak nyaman mata</t>
  </si>
  <si>
    <t>Ika Minyak Gandapura 100 ml</t>
  </si>
  <si>
    <t>Rp18.700 - Rp29.100</t>
  </si>
  <si>
    <t>Oleskan secukupnya pada tempat yang diinginkan</t>
  </si>
  <si>
    <t>Membantu mengatasi nyeri sendi, encok, keseleo, rhematik dan keluhan nyeri lainnya</t>
  </si>
  <si>
    <t>Hipersensitif terhadap komponen obat, hanya untuk pemakaian luar</t>
  </si>
  <si>
    <t>membantu mengatasi nyeri sendi , encok , keseleo , rhematik keluhan nyeri</t>
  </si>
  <si>
    <t>ika gandapura minyak methyl salicylate membantu mengatasi nyeri sendi  encok  keseleo  rhematik keluhan nyeri</t>
  </si>
  <si>
    <t>Aqua Maris Baby Nasal Drop 15 ml</t>
  </si>
  <si>
    <t>Rp87.200 - Rp152.600</t>
  </si>
  <si>
    <t>&gt; 1 tahun : 3-4 kali per hari,</t>
  </si>
  <si>
    <t>Dekongestan &amp; pembersih hidung harian untuk mengatasi kekeringan pada hidung.</t>
  </si>
  <si>
    <t>dekongestan pembersih hidung harian mengatasi kekeringan hidung</t>
  </si>
  <si>
    <t>aqua maris baby nasal drop</t>
  </si>
  <si>
    <t>aqua maris baby nasal drop tetes ofloxacin dekongestan pembersih hidung harian mengatasi kekeringan hidung</t>
  </si>
  <si>
    <t>DKI0674300268A1</t>
  </si>
  <si>
    <t>Fluimucil Inhalasi 100 mg</t>
  </si>
  <si>
    <t>PENGGUNAAN OBAT INI HARUS SESUAI DENGAN PETUNJUK DOKTER. 1-2 kali sehari 1 ampul</t>
  </si>
  <si>
    <t>INFORMASI OBAT INI HANYA UNTUK KALANGAN MEDIS.mengobati penyakit-penyakit pada saluran pernafasan yang ditandai dengan hipersekresi dahak/mukus</t>
  </si>
  <si>
    <t>Dus, 5 ampul @3ml</t>
  </si>
  <si>
    <t>HARUS DENGAN RESEP DOKTER. Penderita asma bronkial</t>
  </si>
  <si>
    <t>mengobati penyakit - penyakit saluran pernafasan ditandai hipersekresi dahak mukus</t>
  </si>
  <si>
    <t>fluimucil inhalasi</t>
  </si>
  <si>
    <t>fluimucil inhalasi inhaler acetyl cysteine mengobati penyakit  penyakit saluran pernafasan ditandai hipersekresi dahak mukus</t>
  </si>
  <si>
    <t>Bentrio Nasal Spray 20 ml</t>
  </si>
  <si>
    <t>Rp150.000 - Rp184.100</t>
  </si>
  <si>
    <t>Kocok sebelum digunakan. Pompa awal sebelum penggunaan pertama. Semprotkan 1-2 kali per lubang hidung 3 kali sehari atau sesuai kebutuhan (tidak lebih dari 8 semprotan per lubang hidung dan per hari) selama tidak lebih dari 30 hari berturut-turut.</t>
  </si>
  <si>
    <t>Membantu menangkap alergen dan virus, meringankan gejala yang disebabkan oleh alergen dan virus yang di hirup.</t>
  </si>
  <si>
    <t>Untuk orang dewasa dan anak-anak usia mulai 6 tahun yang ada di bawah pengawasan orangtua atau pengasuh.</t>
  </si>
  <si>
    <t>membantu menangkap alergen virus , meringankan gejala disebabkan alergen virus hirup</t>
  </si>
  <si>
    <t>bentrio nasal</t>
  </si>
  <si>
    <t>bentrio nasal tetes ofloxacin membantu megkap alergen virus  meringankan gejala disebabkan alergen virus hirup</t>
  </si>
  <si>
    <t>Kasa Steril Mediraya 16 X 16 cm 16 Lembar</t>
  </si>
  <si>
    <t>Bersihkan luka dari kotoran, bakteri dan partikel untuk mencegah infeksi. Keringkan kulit sekitar luka dengan lembut. Tutup luka dari kotoran dan bakteri menggunakan Kasa Steril.</t>
  </si>
  <si>
    <t>Digunakan untuk membersihkan, menutup dan membalut luka, bebat pusar bayi.</t>
  </si>
  <si>
    <t>digunakan membersihkan , menutup membalut luka , bebat pusar bayi</t>
  </si>
  <si>
    <t>steril mediraya x lembar</t>
  </si>
  <si>
    <t>steril mediraya x lembar larutan povidoneiodine digunakan membersihkan  menutup membalut luka  bebat pusar bayi</t>
  </si>
  <si>
    <t>DKL8121600930A1</t>
  </si>
  <si>
    <t>Faktu Salep</t>
  </si>
  <si>
    <t>Rp121.600 - Rp164.900</t>
  </si>
  <si>
    <t>dioleskan pada tempat yang diinginkan</t>
  </si>
  <si>
    <t>PENGGUNAAN OBAT INI HARUS SESUAI DENGAN PETUNJUK DOKTER. Dioleskan pada area hemoroid 2-3 kali sehari</t>
  </si>
  <si>
    <t>INFORMASI OBAT INI HANYA UNTUK KALANGAN MEDIS. Hemoroid/wasir internal dan eksternal yang disertai peradangan dan perdarahan, goresan2 luka di anus</t>
  </si>
  <si>
    <t>HARUS DENGAN RESEP DOKTER. - penggunaan pada ibu menyusui dan hamil sebaiknya di konsultasikan dengan dokter. - gunakan obat sesuai petunjuk. - hindari pemakaian dalam jangka panjang. - bila terjadi reaksi alergi segera hubungi dokter.</t>
  </si>
  <si>
    <t>cinchocaine hydrochloride</t>
  </si>
  <si>
    <t>hemoroid wasir internal eksternal disertai peradangan perdarahan , goresan2 luka anus</t>
  </si>
  <si>
    <t>faktu salep cinchocaine hydrochloride hemoroid wasir internal eksternal disertai peradangan perdarahan  goresan2 luka anus</t>
  </si>
  <si>
    <t>DKI1759201443B1</t>
  </si>
  <si>
    <t>Lantus XR Solostar Insulin Pen 1.5 ml</t>
  </si>
  <si>
    <t>Rp346.400 - Rp416.200</t>
  </si>
  <si>
    <t>Disuntikan secara subkutan pada area perut, lengan atas atau paha. Posologi Lantus XR adalah insulin basal untuk pemberian sekali sehari, setiap saat sepanjang hari, lebih baik pada waktu yang sama setiap hari. Pada diabetes mellitus tipe 1, Lantus XR harus dikombinasikan dengan insulin kerja cepat untuk menutupi kebutuhan insulin saat makan. Pada pasien dengan diabetes mellitus tipe 2, Lantus XR juga dapat diberikan bersamaan dengan produk obat anti-hiperglikemia lain. Selalu gunakan obat ini sesuai petunjuk dokter. Dokter mungkin akan meminta untuk menggunakan LANTUS XR dengan dosis yang berbeda dengan dosis insulin yang Anda gunakan sebelumnya. Tanyakan kepada dokter, apoteker atau perawat Anda jika Anda tidak yakin.</t>
  </si>
  <si>
    <t>PENGGUNAAN OBAT INI HARUS SESUAI DENGAN PETUNJUK DOKTER. - Dosis bersifat individual, 1 x sehari diinjeksi secara subkutan, diberikan pada waktu yang sama tiap harinya. - Untuk pasien Diabetes Mellitus Tipe 2, dosis awal: 0.2U/kgBB dan selanjutnya dosis disesuaikan dengan kondisi individual pasien.</t>
  </si>
  <si>
    <t>INFORMASI OBAT INI HANYA UNTUK KALANGAN MEDIS. Mengendalikan kadar gula darah yang tinggi pada pasien diabetes mellitus.</t>
  </si>
  <si>
    <t>Dus, 5 Prefilled Pen @ 1.5 ml</t>
  </si>
  <si>
    <t>Hipersensitif atau mengalami alergi terhadap komponen obat ini.</t>
  </si>
  <si>
    <t>HARUS DENGAN RESEP DOKTER. - Lantus XR bukanlah insulin pilihan untuk pengobatan ketoasidosis diabetikum. Sebaliknya, insulin reguler yang diberikan secara intravena direkomendasikan dalam kasus-kasus seperti itu. - Jika kontrol glukosa tidak mencukupi atau kecenderungan untuk mengalami hiper atau hipoglikemia, kepatuhan pasien terhadap rejimen pengobatan yang ditentukan, tempat suntikan dan tepat teknik injeksi dan semua faktor terkait lainnya harus ditinjau sebelum dosis penyesuaian dipertimbangkan. - Hati-hati penggunaan insulin pada pasien gangguan fungsi hati, gangguan fungsi ginjal, pasien dengan stenosis arteri koroner yang signifikan atau pembuluh darah yang memasok otak (risiko komplikasi jantung atau serebral akibat hipoglikemia), retinopati proliferatif, lansia di atas usia 65 tahun, wanita hamil, wanita menyusui, dan anak di bawah usia 18 tahun. - Penggunaan insulin kemungkinan dapat mempengaruhi kemampuan mengemudi atau mengoperasikan mesin.</t>
  </si>
  <si>
    <t>mengendalikan kadar gula darah pasien diabetes mellitus</t>
  </si>
  <si>
    <t>lantus xr solostar insulin pen</t>
  </si>
  <si>
    <t>lantus xr solostar insulin pen injeksi insulin mengendalikan kadar gula darah pasien diabetes mellitus</t>
  </si>
  <si>
    <t>DKL7202341229A1</t>
  </si>
  <si>
    <t>Benoson N Cream 15 g</t>
  </si>
  <si>
    <t>Rp42.400 - Rp53.900</t>
  </si>
  <si>
    <t>PENGGUNAAN OBAT INI HARUS SESUAI DENGAN PETUNJUK DOKTER. Oleskan tipis pada bagian yang sakit 2-3 kali sehari</t>
  </si>
  <si>
    <t>INFORMASI OBAT INI HANYA UNTUK KALANGAN MEDIS. Bila inflamasi disertai infeksi sekunder yang disebabkan oleh organisme yang peka terhadap neomisin</t>
  </si>
  <si>
    <t>HARUS DENGAN RESEP DOKTER. hamil, kontak dengan mata</t>
  </si>
  <si>
    <t>bila inflamasi disertai infeksi sekunder disebabkan organisme peka neomisin</t>
  </si>
  <si>
    <t>benoson n cream</t>
  </si>
  <si>
    <t>benoson n cream krim betamethasone bila inflamasi disertai infeksi sekunder disebabkan organisme peka neomisin</t>
  </si>
  <si>
    <t>DKL1422252537A1</t>
  </si>
  <si>
    <t>Cerini Sirup 60 ml</t>
  </si>
  <si>
    <t>Rp51.800 - Rp66.500</t>
  </si>
  <si>
    <t>Sebelum atau setelah makan</t>
  </si>
  <si>
    <t>cerini sirup cetirizine dihydrochloride rinitis menahun  rinitis alergi seasonal  konjungtivitis  pruritus  urtikaria idiopati kronis</t>
  </si>
  <si>
    <t>DTL2010811537A1</t>
  </si>
  <si>
    <t>Alergia Sirup 60 ml</t>
  </si>
  <si>
    <t>Dewasa &amp; anak-anak di atas 12 tahun: 2 sendok takar, sekali sehari. Anak-anak: 6 - 12 tahun: 2 sendok takar, sekali sehari 2 - 6 tahun: 1 sendok takar, sekali sehari 1 - 2 tahun: ï¿½ sendok takar, sekali sehari 6 bulan - 1 tahun: ï¿½ sendok takar, sekali sehari (penggunaan tidak lebih dari 1 minggu) Sampai saat ini belum ada data yang menyarankan pengurangan dosis pada pasien usia lanjut. Pada pasien dengan kelainan fungsi ginjal dosis dikurangi hingga setengah dari dosis yang dianjurkan.</t>
  </si>
  <si>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</si>
  <si>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alergia</t>
  </si>
  <si>
    <t>alergia sirup cetirizine hydrochloride rinitis menahun  rinitis alergi seasonal  konjungtivitis  pruritus  urtikaria idiopati kronis</t>
  </si>
  <si>
    <t>DKI1067508067B1</t>
  </si>
  <si>
    <t>Onbrez Breezhaler 300 mcg 30 Kapsul</t>
  </si>
  <si>
    <t>Rp435.800 - Rp801.400</t>
  </si>
  <si>
    <t>PENGGUNAAN OBAT INI HARUS SESUAI DENGAN PETUNJUK DOKTER. Dws Dosis anjuran: 150 mg 1 x/hr inhalasi pd saat yg sama tiap hr. Dosis dpt ditingkatkan berdasarkan saran dokter. Maks: 300 mcg 1 x/hr.</t>
  </si>
  <si>
    <t>rumat bronkodilator untuk mengatasi obstruksi jalan napas pada pasien dws dengan PPOK.</t>
  </si>
  <si>
    <t>Dus, 1 Blister @ 10 kapsul + 1 inhaler</t>
  </si>
  <si>
    <t>hipersensitif terhadap laktosa. Terapi episode akut bronkospasme.</t>
  </si>
  <si>
    <t>HARUS DENGAN RESEP DOKTER. Asma</t>
  </si>
  <si>
    <t>TR192525281</t>
  </si>
  <si>
    <t>Curcuma Sanbe 10 Tablet</t>
  </si>
  <si>
    <t>CURCUMA SANBE</t>
  </si>
  <si>
    <t>1-2 tablet, diminum 3 kali per hari.</t>
  </si>
  <si>
    <t>Tablet herbal ini digunakan untuk membantu memelihara kesehatan fungsi hati dan membantu memperbaiki nafsu makan.</t>
  </si>
  <si>
    <t>Dus, 10 Strip @ 10 tablet salut film</t>
  </si>
  <si>
    <t>curcuma sanbe</t>
  </si>
  <si>
    <t>tablet herbal membantu memelihara kesehatan fungsi hati membantu memperbaiki nafsu makan</t>
  </si>
  <si>
    <t>curcuma sanbe tablet tablet herbal membantu memelihara kesehatan fungsi hati membantu memperbaiki nafsu makan</t>
  </si>
  <si>
    <t>Sea-Quill Evening Primrose Oil 30 Kapsul</t>
  </si>
  <si>
    <t>Rp230.500 - Rp397.400</t>
  </si>
  <si>
    <t>seaquill evening primrose oil kapsul seaquill evening primrose oil 1000 mg membantu memelihara kesehatan</t>
  </si>
  <si>
    <t>DKL8705003101B1</t>
  </si>
  <si>
    <t>Pirocam 20 mg 10 Tablet</t>
  </si>
  <si>
    <t>Osteo arthritis, ankilosa spondilitis, gangguan muskuloskeletal akut, gout akut, nyeri persendian</t>
  </si>
  <si>
    <t>Ulkus peptikum, riwayat serangan asma, rinitis, angioedema atau urtikaria (biduran/kaligata) yang dipicu oleh Aspirin. Riwayat polip hidung.</t>
  </si>
  <si>
    <t>HARUS DENGAN RESEP DOKTER. Riwayat ulserasi lambung, gangguan jantung, hipertensi, kerusakan hati atau ginjal, retensi cairan.</t>
  </si>
  <si>
    <t>osteo arthritis , ankilosa spondilitis , gangguan muskuloskeletal akut , gout akut , nyeri persendian</t>
  </si>
  <si>
    <t>pirocam</t>
  </si>
  <si>
    <t>pirocam kapsul piroxicam osteo arthritis  ankilosa spondilitis  gangguan muskuloskeletal akut  gout akut  nyeri persendian</t>
  </si>
  <si>
    <t>Nexcare Bandage Disney Waterproof</t>
  </si>
  <si>
    <t>Rp5.500 - Rp9.400</t>
  </si>
  <si>
    <t>1 Pack Isi 2 Lembar</t>
  </si>
  <si>
    <t>nexcare bandage disney waterproof</t>
  </si>
  <si>
    <t>nexcare bandage disney waterproof larutan povidoneiodine membantu mempercepat prose penyembuhan luka  melindungi kuman kotoran</t>
  </si>
  <si>
    <t>Leukoplast 1.25 cm x 4.5 m</t>
  </si>
  <si>
    <t>Rp9.000 - Rp14.700</t>
  </si>
  <si>
    <t>Digunakan secukupnya sesuai kebutuhan.</t>
  </si>
  <si>
    <t>Fiksasi kasa dressing untuk kulit normal. Fiksasi tube, catheter, cannulae, dan sebagainya.</t>
  </si>
  <si>
    <t>fiksasi kasa dressing kulit normal  fiksasi tube , catheter , cannulae ,</t>
  </si>
  <si>
    <t xml:space="preserve">leukoplast x m larutan povidoneiodine fiksasi kasa dressing kulit normal  fiksasi tube  catheter  cannulae </t>
  </si>
  <si>
    <t>DKL9730905638A1</t>
  </si>
  <si>
    <t>Pritamox Dry Sirup 60 ml</t>
  </si>
  <si>
    <t>Rp11.100 - Rp12.800</t>
  </si>
  <si>
    <t>PENGGUNAAN OBAT INI HARUS SESUAI DENGAN PETUNJUK DOKTER. Dewasa : 250-500 mg tiap 8 jam. Anak-anak : 30-75 mg/kg berat badan dalam 3 dosis terbagi.</t>
  </si>
  <si>
    <t>Infeksi saluran nafas, saluran pencernaan, saluran kemih dan kelamin, kulit dan jaringan lunak.</t>
  </si>
  <si>
    <t>Sirup Kering 125 Mg/5 ml X 60 ml</t>
  </si>
  <si>
    <t>Hipersensitif terhadap Penicillin</t>
  </si>
  <si>
    <t>HARUS DENGAN RESEP DOKTER. Hipersensitif terhadap sefalosporin, kerusakan ginjal, leukemia limfatik.</t>
  </si>
  <si>
    <t>infeksi saluran nafas , saluran pencernaan , saluran kemih kelamin , kulit jaringan lunak</t>
  </si>
  <si>
    <t>pritamox</t>
  </si>
  <si>
    <t>pritamox sirup amoxicillin infeksi saluran nafas  saluran pencernaan  saluran kemih kelamin  kulit jaringan lunak</t>
  </si>
  <si>
    <t>HT112600131E</t>
  </si>
  <si>
    <t>OB Herbal 30 ml</t>
  </si>
  <si>
    <t>Rp10.800 - Rp11.800</t>
  </si>
  <si>
    <t>Dewasa : 3 x sehari 1 sendok makan (15ml), anak-anak : 3 x sehari 1/2 sendok makan (7.5ml)</t>
  </si>
  <si>
    <t>Membantu meredakan batuk karena masuk angin, mengencerkan dahak, dan membantu mengeluarkan dahak sehingga melegakan pernafasan.</t>
  </si>
  <si>
    <t>membantu meredakan batuk masuk angin , mengencerkan dahak , membantu mengeluarkan dahak melegakan pernafasan</t>
  </si>
  <si>
    <t>ob herbal  membantu meredakan batuk masuk angin  mengencerkan dahak  membantu mengeluarkan dahak melegakan pernafasan</t>
  </si>
  <si>
    <t>DTL9031102204A1</t>
  </si>
  <si>
    <t>Flunax 10 Tablet</t>
  </si>
  <si>
    <t>Rp4.200 - Rp6.200</t>
  </si>
  <si>
    <t>Anak usia 6-12 tahun : 3 x sehari 1/2 kaplet Dewasa : 3 x sehari 1 kaplet</t>
  </si>
  <si>
    <t>Meringankan gejala flu seperti demam, sakit kepala, hidung tersumbat, dan bersin-bersin</t>
  </si>
  <si>
    <t>Penderita dengan gangguan jantung dan diabetes mellitus. Penderita dengan gangguan fungsi hati yang berat. Penderita hipersensitif terhadap komponen obat ini</t>
  </si>
  <si>
    <t>Hati-hati penggunaan pada penderita dengan gangguan fungsi hati dan ginjal, glukoma, hipertrofiprostat, hipertiroid, dan retensi urin. Tidak dianjurkan penggunaan pada anak dibawah 6 tahun, wanita hamil, dan menyusui, kecuali atas petunjuk dokter. Selama minum obat ini tidak boleh mengendarai kendaraan bermotor atau menjalankan mesin. Hati-hati penggunaan bersamaan dengan obat-obat yang menekan susunan saraf pusat. Penggunaan pada penderita yang mengkonsumsi alkohol dapat meningkatkan resiko kerusakan fungsi hati</t>
  </si>
  <si>
    <t>flunax kaplet chlorphenamine maleate meringankan gejala flu demam  sakit kepala  hidung tersumbat  bersin  bersin</t>
  </si>
  <si>
    <t>Jamu Iboe Garlicia 30 Kapsul</t>
  </si>
  <si>
    <t>Rp71.700 - Rp76.000</t>
  </si>
  <si>
    <t>1 kali sehari 2 kapsul. Bila perlu, 3 kali sehari 2 kapsul.</t>
  </si>
  <si>
    <t>Untuk melancarkan peredaran darah, menurunkan tekanan darah tinggi dan menurunkan kolesterol.</t>
  </si>
  <si>
    <t>Tidak untuk penderita tekanan darah rendah.</t>
  </si>
  <si>
    <t>untuk melancarkan peredaran darah , menurunkan tekanan darah menurunkan kolesterol</t>
  </si>
  <si>
    <t>jamu iboe garlicia</t>
  </si>
  <si>
    <t>jamu iboe garlicia kapsul garlicia untuk melancarkan peredaran darah  menurunkan teka darah menurunkan kolesterol</t>
  </si>
  <si>
    <t>DKL9728602630A1</t>
  </si>
  <si>
    <t>Desolex 0.05% Salep 10 g</t>
  </si>
  <si>
    <t>Dioleskan pada area kulit yang sakit/radang/gatal/iritasi</t>
  </si>
  <si>
    <t>INFORMASI OBAT INI HANYA UNTUK KALANGAN MEDIS. Dermatitis atopik dan kontak, macam-macam, ekzim terutama pada anak, pruritus, eritema, iritasi sinar matahari dan dermatitis lainnya.</t>
  </si>
  <si>
    <t>Infeksi TB kulit, cacar air</t>
  </si>
  <si>
    <t>HARUS DENGAN RESEP DOKTER. Pemakaian pada daerah yang luas dan jangka lama</t>
  </si>
  <si>
    <t>dermatitis atopik kontak , - , ekzim anak , pruritus , eritema , iritasi sinar matahari dermatitis</t>
  </si>
  <si>
    <t>desolex</t>
  </si>
  <si>
    <t>desolex salep desonide dermatitis atopik kontak    ekzim anak  pruritus  eritema  iritasi sinar matahari dermatitis</t>
  </si>
  <si>
    <t>DKL0022231760A1</t>
  </si>
  <si>
    <t>Sagestam Ear/Eye Drops 5 ml</t>
  </si>
  <si>
    <t>Rp38.300 - Rp42.100</t>
  </si>
  <si>
    <t>PENGGUNAAN OBAT INI HARUS SESUAI DENGAN PETUNJUK DOKTER. Teteskan 1-2 tetes pada mata yang sakit hingga 6 kali sehari. Infeksi berat: Dosis awal 1-2 tetes tiap 15-20 menit.</t>
  </si>
  <si>
    <t>INFORMASI OBAT INI HANYA UNTUK KALANGAN MEDIS. Pengobatan infeksi struktur eksternal mata dan adneksanya, yang disebabkan bakteri yang sensitif.</t>
  </si>
  <si>
    <t>Dus, Botol plastik @ 5 ml</t>
  </si>
  <si>
    <t>Hipersensitivitas. Infeksi yang disebabkan virus dan jamur.</t>
  </si>
  <si>
    <t>Obat Wajib Apotek, Obat ini dapat dibeli dan diserahkan apoteker tanpa resep dengan maksimum 1 Botol. Pembelian melebihi batas ini WAJIB RESEP DOKTER. Tidak untuk diberikan untuk penggunaan jangka lama. Hentikan jika timbul iritasi atau keluar sekret purulen, inflamasi, atau nyeri yang semakin berat pada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</si>
  <si>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infeksi struktur eksternal mata adneksanya , disebabkan bakteri sensitif</t>
  </si>
  <si>
    <t>sagestam eareye</t>
  </si>
  <si>
    <t>sagestam eareye tetes gentamicin sulfate pengobatan infeksi struktur eksternal mata adneksanya  disebabkan bakteri sensitif</t>
  </si>
  <si>
    <t>DKL0433510437A1</t>
  </si>
  <si>
    <t>Ryvel Sirup 60 ml</t>
  </si>
  <si>
    <t>Rp72.600 - Rp94.600</t>
  </si>
  <si>
    <t>ryvel sirup cetirizine hydrochloride rinitis menahun  rinitis alergi seasonal  konjungtivitis  pruritus  urtikaria idiopati kronis</t>
  </si>
  <si>
    <t>Laurier Relax Night With Gathers 40 cm 8 Pads</t>
  </si>
  <si>
    <t>Rp13.600 - Rp28.000</t>
  </si>
  <si>
    <t>laurier relax night with gathers pads tablet sildenafil citrate pembalut menyerap cairan gumpalan maksimal</t>
  </si>
  <si>
    <t>DTL9902001301A1</t>
  </si>
  <si>
    <t>Incidal-OD 4 Kapsul</t>
  </si>
  <si>
    <t>Rp18.000 - Rp22.900</t>
  </si>
  <si>
    <t>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</si>
  <si>
    <t>Rinitis menahun, rinitis alergi seasonal, konjungtivitis, pruritus, urtikaria idiopati kronis.</t>
  </si>
  <si>
    <t>Dus, 8 Catch Cover @ 1 Strip @ 4 Kapsul</t>
  </si>
  <si>
    <t>Hipersensitif dan Gangguan ginjal berat.</t>
  </si>
  <si>
    <t>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hamil.Obat dapat diekskresikan melalui ASI, konsultasikan kepada tenaga medis apabila sedang menyusui.</t>
  </si>
  <si>
    <t>incidalod</t>
  </si>
  <si>
    <t>incidalod kapsul cetirizine hydrochloride rinitis menahun  rinitis alergi seasonal  konjungtivitis  pruritus  urtikaria idiopati kronis</t>
  </si>
  <si>
    <t>TR073674661</t>
  </si>
  <si>
    <t>Cayla Sirup 125 ml</t>
  </si>
  <si>
    <t>CAYLA SYRUP</t>
  </si>
  <si>
    <t>Rp18.500 - Rp24.200</t>
  </si>
  <si>
    <t>Anak-anak 1-3 tahun = 1 x 1 sendok teh/hari Anak-anak 3-9 tahun = 2 x 1 sendok teh/hari Anak-anak 9 tahun keatas = 3 x 1 sendok teh/hari</t>
  </si>
  <si>
    <t>Menambah nafsu makan. Meningkatkan kekebalan tubuh terhadap penyakit. Meningkatkan kecerdasan otak.</t>
  </si>
  <si>
    <t>Botol @ 125 ml</t>
  </si>
  <si>
    <t>cayla syrup</t>
  </si>
  <si>
    <t>menambah nafsu makan  meningkatkan kekebalan tubuh penyakit  meningkatkan kecerdasan otak</t>
  </si>
  <si>
    <t>cayla</t>
  </si>
  <si>
    <t>cayla sirup cayla syrup menambah nafsu makan  meningkatkan kekebalan tubuh penyakit  meningkatkan kecerdasan otak</t>
  </si>
  <si>
    <t>QD041703391</t>
  </si>
  <si>
    <t>Lafalos Plus Cream 20 g</t>
  </si>
  <si>
    <t>Rp24.800 - Rp26.400</t>
  </si>
  <si>
    <t>Hanya untuk penggunaan topikal. Hindari kontak obat dengan mata dan membran mukosa. Jangan dioleskan pada luka terbuka.</t>
  </si>
  <si>
    <t>lafalos plus cream</t>
  </si>
  <si>
    <t>lafalos plus cream krim capsaicin meredakan nyeri otot  nyeri punggung  nyeri sendi nyeri terkilir</t>
  </si>
  <si>
    <t>DKI0361300110A1</t>
  </si>
  <si>
    <t>Postinor-2 0.75 mg 2 Tablet</t>
  </si>
  <si>
    <t>Diberikan bersama atau tanpa makanan.</t>
  </si>
  <si>
    <t>PENGGUNAAN OBAT INI HARUS SESUAI DENGAN PETUNJUK DOKTER. 0.75 mg harus di minum 2 kali. Dosis pertama diminum sesegera mungkin, sedangkan dosis kedua diminum 12 jam setelah dosis pertama.</t>
  </si>
  <si>
    <t>INFORMASI OBAT INI HANYA UNTUK KALANGAN MEDIS. Sebagai kontrasepsi darurat yang harus diminum 12-72 jam (3 hari) setelah berhubungan seksual tanpa perlindungan.</t>
  </si>
  <si>
    <t>Dus, 1 Blister @ 2 Tablet</t>
  </si>
  <si>
    <t>Hamil, penyakit kuning, riwayat kanker payudara, ovarium dan uterus, riwayat asma, gagal jantung, stroke, infark miokard, hipertensi, migrain, epilepsi, diabetes mellitus.</t>
  </si>
  <si>
    <t>HARUS DENGAN RESEP DOKTER.- wanita hamil dan menyusui- penderita diabetes, serangan jantung, kanker payudara, penyakit liver hingga stroke, depresi- muntah- obesitasKategori Kehamilan : X. Konsultasikan dengan dokter spesialis obstetri dan ginekologi (SpOG/ Obgyn) terlebih dahulu sebelum menggunakan obat.</t>
  </si>
  <si>
    <t>levonorgestrel</t>
  </si>
  <si>
    <t>sebagai kontrasepsi darurat diminum 12 - 72 jam 3 berhubungan seksual perlindungan</t>
  </si>
  <si>
    <t>postinor</t>
  </si>
  <si>
    <t>postinor tablet levonorgestrel sebagai kontrasepsi darurat diminum 12  72 jam 3 berhubungan seksual perlindungan</t>
  </si>
  <si>
    <t>TI204359551</t>
  </si>
  <si>
    <t>Himalaya Shallaki 60 Kapsul</t>
  </si>
  <si>
    <t>HIMALAYA SHALLAKI CAPSULES</t>
  </si>
  <si>
    <t>Rp167.500 - Rp236.900</t>
  </si>
  <si>
    <t>Secara tradisional digunakan untuk membantu meredakan pegal linu dan nyeri pada persendian</t>
  </si>
  <si>
    <t>himalaya shallaki capsules</t>
  </si>
  <si>
    <t>secara tradisional membantu meredakan pegal linu nyeri persendian</t>
  </si>
  <si>
    <t>himalaya shallaki</t>
  </si>
  <si>
    <t>himalaya shallaki kapsul himalaya shallaki capsules secara tradisional membantu meredakan pegal linu nyeri persendian</t>
  </si>
  <si>
    <t>physiomer baby nasal tablet guaifenesin untuk membersihkan  melembabkan meredakan hidung tersumbat anak 0  2</t>
  </si>
  <si>
    <t>GKL1715626017A1</t>
  </si>
  <si>
    <t>Co Amoxiclav 625 mg 6 Tablet</t>
  </si>
  <si>
    <t>Rp4.100 - Rp45.200</t>
  </si>
  <si>
    <t>co amoxiclav</t>
  </si>
  <si>
    <t>co amoxiclav tablet amoxicillin trihydrate infeksi saluran pernapasan  gut  kulit jaringan lunak  tulang sendi</t>
  </si>
  <si>
    <t>succus liquiritiae chlorphenamine maleate ammonium chloride ephedrine hydrochloride</t>
  </si>
  <si>
    <t xml:space="preserve">obh tropica extra rasa menthol sirup succus liquiritiae chlorphenamine maleate ammonium chloride ephedrine hydrochloride </t>
  </si>
  <si>
    <t>DTL0322718537A1</t>
  </si>
  <si>
    <t>Risina 5 mg/5 ml Sirup 60 ml</t>
  </si>
  <si>
    <t>risina</t>
  </si>
  <si>
    <t>risina sirup cetirizine hydrochloride rinitis menahun  rinitis alergi seasonal  konjungtivitis  pruritus  urtikaria idiopati kronis</t>
  </si>
  <si>
    <t>DKL1127912715A1</t>
  </si>
  <si>
    <t>Zelona 50 mg 10 Tablet</t>
  </si>
  <si>
    <t>Rp2.900 - Rp6.600</t>
  </si>
  <si>
    <t>PENGGUNAAN OBAT INI HARUS SESUAI DENGAN PETUNJUK DOKTER. Dosis maksimal : 100 mg perhari (dosis awal maksimal 150 mg sehari pada hari pertama) dalam dosis terbagi dan dengan durasi sesingkat mungkin.</t>
  </si>
  <si>
    <t>INFORMASI OBAT INI HANYA UNTUK KALANGAN MEDIS. Pengobatan akut dan kronis gejala-gejala reumatoid artritis, osteoartritis dan ankilosing spondilitis.</t>
  </si>
  <si>
    <t>Dus, 10 Strip @ 10 Tablet salut enterik</t>
  </si>
  <si>
    <t>Penderita yang hipersensitif terhadap Diklofenak atau yang menderita asma, urtikaria, atau alergi pada pemberian aspirin atau NSAID lain. Penderita tukak lambung. Ischaemic heart disease. Peripheral arterial disease. Cerebrovascular disease. Congestive heart failure.</t>
  </si>
  <si>
    <t>Hati-hati penggunaan pada penderita dekompensasi jantung atau hipertensi. Hati-hati penggunaan pada penderita fungsi ginjal, jantung, hati, penderita usia lanjut dan penderita dengan luka atau pendarahan pada saluran pencernaan. Hati-hati penggunaan selama kehamilan trimester akhir. Pada wanita yang menyusui, agar dipertimbangkan adanya efek samping meskipun jumlah yang terekskresi dalam air susu kecil. Pada anak-anak efektivitas dan keamanannya belum diketahui dengan pasti.</t>
  </si>
  <si>
    <t>pengobatan akut kronis gejala - gejala reumatoid artritis , osteoartritis ankilosing spondilitis</t>
  </si>
  <si>
    <t>zelona</t>
  </si>
  <si>
    <t>zelona tablet diclofenac sodium pengobatan akut kronis gejala  gejala reumatoid artritis  osteoartritis ankilosing spondilitis</t>
  </si>
  <si>
    <t>DKL9422214638B1</t>
  </si>
  <si>
    <t>Claneksi Forte Dry Sirup 60 ml</t>
  </si>
  <si>
    <t>Rp92.400 - Rp111.800</t>
  </si>
  <si>
    <t>PENGGUNAAN OBAT INI HARUS SESUAI DENGAN PETUNJUK DOKTER. PENGGUNAAN OBAT INI HARUS SESUAI DENGAN PETUNJUK DOKTER. Anak- anak &gt; 6 tahun : 3 x sehari 1 sendok teh</t>
  </si>
  <si>
    <t>HARUS DENGAN RESEP DOKTER. Hati-hati penggunaan pada pasien dengan mononukleosis menular, pengeluaran urin berkurang, individu atopik, ginjal (termasuk pasien hemodialisis) dan gangguan hati, Anak-anak, ibu hamil dan menyusui. Kategori kehamilan: Kategori B: Mungkin dapat digunakan oleh wanita hamil. Penelitian pada hewan uji tidak memperlihatkan ada nya risiko terhadap janin, namun belum ada bukti penelitian langsung terhadap wanita hamil.</t>
  </si>
  <si>
    <t>claneksi forte</t>
  </si>
  <si>
    <t>claneksi forte sirup amoxicillin trihydrate infeksi saluran pernapasan  gut  kulit jaringan lunak  tulang sendi</t>
  </si>
  <si>
    <t>DKL0213311436A1</t>
  </si>
  <si>
    <t>Tiriz 10 mg/ml Drops</t>
  </si>
  <si>
    <t>Rp97.200 - Rp99.900</t>
  </si>
  <si>
    <t>PENGGUNAAN OBAT INI HARUS SESUAI DENGAN PETUNJUK DOKTER. - Dewasa dan anak usia diatas 12 tahun: 1 ml atau 2 x 0.5 ml, sekali sehari. - Anak usia 6-12 tahun: 1 ml, sekali sehari atau dalam dosis terbagi (2 x 0.5 ml), 0.5 ml pada pagi hari dan malam hari. - Anak usia 2-6 tahun: 0.5 ml, sekali sehari atau dalam dosis terbagi (2 x 0.25 ml), 0.25 ml pada pagi hari dan malam hari.</t>
  </si>
  <si>
    <t>INFORMASI OBAT INI HANYA UNTUK KALANGAN MEDIS. Untuk pengobatan rinitis perennial, rinitis alergi seasonal (musiman) dan urtikaria idiopatik kronik.</t>
  </si>
  <si>
    <t>Hipersensitif, gangguan ginjal berat.</t>
  </si>
  <si>
    <t>untuk pengobatan rinitis perennial , rinitis alergi seasonal musiman urtikaria idiopatik kronik</t>
  </si>
  <si>
    <t>tiriz tetes cetirizine untuk pengobatan rinitis perennial  rinitis alergi seasonal musiman urtikaria idiopatik kronik</t>
  </si>
  <si>
    <t>Garabiotic 1 mg/g Cream 15 g</t>
  </si>
  <si>
    <t>Rp10.400 - Rp32.400</t>
  </si>
  <si>
    <t>Oleskan tipis pada bagian kulit yang terinfeksi</t>
  </si>
  <si>
    <t>PENGGUNAAN OBAT INI HARUS SESUAI DENGAN PETUNJUK DOKTER. Gunakan 3-4 kali sehari.</t>
  </si>
  <si>
    <t>INFORMASI OBAT INI HANYA UNTUK KALANGAN MEDIS. Impetigo kontagiosa, folikulitis superfisialis, dermatitis eksematoid menular, akne pustular.</t>
  </si>
  <si>
    <t>Krim 0,1 % X 15 Gram.</t>
  </si>
  <si>
    <t>HIpersensitifitas</t>
  </si>
  <si>
    <t>HARUS DENGAN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</si>
  <si>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impetigo kontagiosa , folikulitis superfisialis , dermatitis eksematoid menular , akne pustular</t>
  </si>
  <si>
    <t>garabiotic cream krim gentamicin sulfate impetigo kontagiosa  folikulitis superfisialis  dermatitis eksematoid menular  akne pustular</t>
  </si>
  <si>
    <t>Kasa Steril Dinda Biru 16 X 16 cm 16 Lembar</t>
  </si>
  <si>
    <t>Gunakan untuk melindungi luka terbuka.</t>
  </si>
  <si>
    <t>Kasa untuk membersihkan luka, menutup luka, membalut luka.</t>
  </si>
  <si>
    <t>steril dinda biru x lembar</t>
  </si>
  <si>
    <t>steril dinda biru x lembar larutan povidoneiodine kasa membersihkan luka  menutup luka  membalut luka</t>
  </si>
  <si>
    <t>DKL1613320136A1</t>
  </si>
  <si>
    <t>Lapicef Drops 15 ml</t>
  </si>
  <si>
    <t>Rp85.800 - Rp85.900</t>
  </si>
  <si>
    <t>lapicef</t>
  </si>
  <si>
    <t>lapicef tetes cefadroxil mengatasi infeksi saluran pernafasan  saluran kemih kelamin infeksi kulit jaringan lunak</t>
  </si>
  <si>
    <t>bentrio nasal tablet guaifenesin membantu megkap alergen virus  meringankan gejala disebabkan alergen virus hirup</t>
  </si>
  <si>
    <t>aqua maris baby nasal drop tablet guaifenesin dekongestan pembersih hidung harian mengatasi kekeringan hidung</t>
  </si>
  <si>
    <t>DTL8327800932A1</t>
  </si>
  <si>
    <t>Laxadine Sirup 30 ml</t>
  </si>
  <si>
    <t>Rp36.000 - Rp37.000</t>
  </si>
  <si>
    <t>Berikan sebelum tidur</t>
  </si>
  <si>
    <t>Dewasa : 1 x sehari 1-2 sendok makan (15-30ml), Anak 6-12 tahun : 1/2 dosis dewasa</t>
  </si>
  <si>
    <t>Konstipasi (untuk bilas usus sebelum dan sesudah operasi), bilas usus sebelum pemeriksaan radiologi</t>
  </si>
  <si>
    <t>Ileus obstruktif, nyeri perut yang tidak diketahui penyebabnya.</t>
  </si>
  <si>
    <t>Hindari penggunaan jangka lama dan terus menerus karena dapat mengakibatkan tubuh menjadi kekurangan cairan dan elektrolit, kelemahan otot, dan penurunan BB. Hentikan penggunaan jika terjadi gangguan usus misalnya mual dan muntah. Hamil, laktasi, anak &lt; 6 tahun, lanjut usia</t>
  </si>
  <si>
    <t>paraffin  liquid glycerol phenolphthalein</t>
  </si>
  <si>
    <t>konstipasi bilas usus operasi , bilas usus pemeriksaan radiologi</t>
  </si>
  <si>
    <t>laxadine</t>
  </si>
  <si>
    <t>laxadine sirup paraffin  liquid glycerol phenolphthalein konstipasi bilas usus operasi  bilas usus pemeriksaan radiologi</t>
  </si>
  <si>
    <t>TR202363601</t>
  </si>
  <si>
    <t>Sido Muncul Natural HerbaMix5 50 Soft Capsule</t>
  </si>
  <si>
    <t>HERBAMIX5</t>
  </si>
  <si>
    <t>Rp107.500 - Rp121.200</t>
  </si>
  <si>
    <t>Menjaga kesehatan dan membantu memelihara daya tahan tubuh.</t>
  </si>
  <si>
    <t>Simpan di tempat kering dan terhindar dari sinar matahari langsung.</t>
  </si>
  <si>
    <t>herbamix5</t>
  </si>
  <si>
    <t>menjaga kesehatan membantu memelihara daya tahan tubuh</t>
  </si>
  <si>
    <t>sido muncul natural herbamix soft capsule</t>
  </si>
  <si>
    <t>sido muncul natural herbamix soft capsule  herbamix5 menjaga kesehatan membantu memelihara daya tahan tubuh</t>
  </si>
  <si>
    <t>QD151213441</t>
  </si>
  <si>
    <t>Herocyn Bedak Kulit 50 g</t>
  </si>
  <si>
    <t>Rp9.500 - Rp10.400</t>
  </si>
  <si>
    <t>untuk pencegahan taburkan pada bagian tubuh setelah mandi, untuk pengobatan taburkan dan gosokkan pada bagian tubuh yang terdapat gangguan kulit beberapa kali sehari.</t>
  </si>
  <si>
    <t>Pengobatan : Taburkan dan gosokkan pada bagian tubuh yang terdapat gangguan kulit beberapa kali sehari. Pencegahan : Taburkan pada bagian tubuh setelah mandi.</t>
  </si>
  <si>
    <t>Bedak ini digunakan untuk mengobati gangguan kulit seperti biang keringat dan gatal-gatal.</t>
  </si>
  <si>
    <t>Dus, Kaleng @ 50 g</t>
  </si>
  <si>
    <t>Simpan ditempat sejuk, jauhkan dari jagkauan anak-anak</t>
  </si>
  <si>
    <t>balsamum peruvianum natural</t>
  </si>
  <si>
    <t>bedak mengobati gangguan kulit biang keringat gatal - gatal</t>
  </si>
  <si>
    <t>herocyn bedak kulit</t>
  </si>
  <si>
    <t>herocyn bedak kulit  balsamum peruvianum natural bedak mengobati gangguan kulit biang keringat gatal  gatal</t>
  </si>
  <si>
    <t>DTL2226204317A1</t>
  </si>
  <si>
    <t>Indal CTN 10 Tablet</t>
  </si>
  <si>
    <t>Rp19.800 - Rp23.200</t>
  </si>
  <si>
    <t>Dewasa dan anak-anak di atas 12 tahun : 1 tablet salut selaput sekali sehari.</t>
  </si>
  <si>
    <t>INFORMASI OBAT INI HANYA UNTUK KALANGAN MEDIS. Perennial Rhinitis (Pilek), Alergi Rhinitis, Urtikaria idiopatik kronis (Biduran).</t>
  </si>
  <si>
    <t>Dus, 10 Amplop @ 1 Strip @ 10 Tablet Salut Selaput</t>
  </si>
  <si>
    <t>Kontraindikasi: - Cetirizine jangan digunakan selama trisemester pertama kehamilan atau saat menyusui. - Penyakit ginjal berat. - Hipersensitivitas terhadap Cetirizine.</t>
  </si>
  <si>
    <t>HARUS DENGAN RESEP DOKTER. Konsultasikan pada dokter anda sebelum menggunakan obat ini jika memiliki kondisi penyakit epilepsi, beresiko kejang, gangguan fungsi hati, gangguan fungsi ginjal, lansia, ibu menyusui, dan ibu hamil.Kategori kehamilan: Kategori B: Mungkin dapat digunakan oleh wanita hamil. Penelitian pada hewan uji tidak memperlihatkan ada nya risiko terhadap janin, namun belum ada bukti penelitian langsung terhadap wanita hamil.</t>
  </si>
  <si>
    <t>perennial rhinitis pilek , alergi rhinitis , urtikaria idiopatik kronis biduran</t>
  </si>
  <si>
    <t>indal ctn</t>
  </si>
  <si>
    <t>indal ctn tablet cetirizine hydrochloride perennial rhinitis pilek  alergi rhinitis  urtikaria idiopatik kronis biduran</t>
  </si>
  <si>
    <t>obh nellco batuk berdahak menthol sirup ammonium chloride succus liquiritiae ekspektoran gangguan batuk berdahak</t>
  </si>
  <si>
    <t>DKL0333304810A1</t>
  </si>
  <si>
    <t>Versilon 6 mg 10 Tablet</t>
  </si>
  <si>
    <t>Rp22.300 - Rp24.500</t>
  </si>
  <si>
    <t>PENGGUNAAN OBAT INI HARUS SESUAI DENGAN PETUNJUK DOKTER. 3 x sehari 1-2 tablet</t>
  </si>
  <si>
    <t>Vertigo, Tinitus (telinga berdenging), hilangnya pendengaran yang berhubungan dengan sindrom Meniere's</t>
  </si>
  <si>
    <t>HARUS DENGAN RESEP DOKTER. Ulkus GI, asma bronkial, hamil, laktasi</t>
  </si>
  <si>
    <t>vertigo , tinitus telinga berdenging , hilangnya pendengaran berhubungan sindrom meniere s</t>
  </si>
  <si>
    <t>versilon</t>
  </si>
  <si>
    <t>versilon tablet betahistine mesilate vertigo  tinitus telinga berdenging  hilangnya pendengaran berhubungan sindrom meniere s</t>
  </si>
  <si>
    <t>DKL9110901801B1</t>
  </si>
  <si>
    <t>Wiros 20 mg 10 Kapsul</t>
  </si>
  <si>
    <t>Rp9.200 - Rp9.300</t>
  </si>
  <si>
    <t>PENGGUNAAN OBAT INI HARUS SESUAI DENGAN PETUNJUK DOKTER. 1 kapsul per hari</t>
  </si>
  <si>
    <t>Kapsul 20 mg x 10 x 10</t>
  </si>
  <si>
    <t>Hipersensitif, penderita yang mengalami urtikaria, angiodema, bronkospasme, rinitis berat dan syok akibat Antiinflamasi Nonsteroid Agent.</t>
  </si>
  <si>
    <t>HARUS DENGAN RESEP DOKTER. Riwayat ulkus gaster, gangguan jantung, hipertensi, kerusakan ginjal atau hati, retensi urin</t>
  </si>
  <si>
    <t>wiros</t>
  </si>
  <si>
    <t>wiros kapsul piroxicam osteo arthritis  ankilosa spondilitis  gangguan muskuloskeletal akut  gout akut  nyeri persendian</t>
  </si>
  <si>
    <t>DKL0333508553A1</t>
  </si>
  <si>
    <t>Nazovel 100 mg Suppositoria</t>
  </si>
  <si>
    <t>Rp20.400 - Rp20.700</t>
  </si>
  <si>
    <t>di masukan ke dalam dubur</t>
  </si>
  <si>
    <t>PENGGUNAAN OBAT INI HARUS SESUAI DENGAN PETUNJUK DOKTER. 1 supp pada malam hari disertai dengan pemberian preparat oral. Monoterapi: 1 supp 2 x sehari.</t>
  </si>
  <si>
    <t>Pengobatan nyeri pasca op &amp; pasca partum</t>
  </si>
  <si>
    <t>Herocyn Bedak Kulit 150 g</t>
  </si>
  <si>
    <t>Rp18.000 - Rp21.800</t>
  </si>
  <si>
    <t>Sehari beberap x, taburkan pada tempat yang sakit setelah dibersihkan</t>
  </si>
  <si>
    <t>Untuk mengobati gangguan kulit seperti biang keringat dan gatal-gatal</t>
  </si>
  <si>
    <t>Dus, Kaleng @ 150 g</t>
  </si>
  <si>
    <t>simpan di tempat sejuk, jauhkan dari jangkauan anak-anak</t>
  </si>
  <si>
    <t>untuk mengobati gangguan kulit biang keringat gatal - gatal</t>
  </si>
  <si>
    <t>herocyn bedak kulit  balsamum peruvianum natural untuk mengobati gangguan kulit biang keringat gatal  gatal</t>
  </si>
  <si>
    <t>Salonpas Liniment 50 ml</t>
  </si>
  <si>
    <t>Usapkan secara merata pada tempat yang nyeri.</t>
  </si>
  <si>
    <t>Meredakan secara sementara nyeri otot, pegal leher, sakit punggung, memar, keseleo dan nyeri sendi.</t>
  </si>
  <si>
    <t>Tidak digunakan pada kulit yang terluka, mata dan mulut. Tidak digunakan pada anak di bawah 5 th.</t>
  </si>
  <si>
    <t>meredakan nyeri otot , pegal leher , sakit punggung , memar , keseleo nyeri sendi</t>
  </si>
  <si>
    <t>salonpas liniment  camphor meredakan nyeri otot  pegal leher  sakit punggung  memar  keseleo nyeri sendi</t>
  </si>
  <si>
    <t>DKL8817605230A1</t>
  </si>
  <si>
    <t>Inerson 0.25% Salep 15 g</t>
  </si>
  <si>
    <t>Rp107.800 - Rp138.500</t>
  </si>
  <si>
    <t>Oleskan tipis di area yang sakit. Gosok dengan perlahan.</t>
  </si>
  <si>
    <t>PENGGUNAAN OBAT INI HARUS SESUAI DENGAN PETUNJUK DOKTER. Dioleskan 1-2 x sehari pada kulit yang bermasalah.</t>
  </si>
  <si>
    <t>INFORMASI OBAT INI HANYA UNTUK KALANGAN MEDIS. Meredakan gejala peradangan, radang akut yang berat, kelainan kulit alergis dan kronis, psoriasis</t>
  </si>
  <si>
    <t>Lesi kulit akibat bakteri, jamur atau virus yang tidak diobati, rosasea (jerawat rosasea) dan perioral dermatitis, kortikosteroid kuat dikontraindikasikan untuk plak psoriasis dengan sebaran yang luas.</t>
  </si>
  <si>
    <t>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</si>
  <si>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meredakan gejala peradangan , radang akut berat , kelainan kulit alergis kronis , psoriasis</t>
  </si>
  <si>
    <t>inerson</t>
  </si>
  <si>
    <t>inerson salep desoximetasone meredakan gejala peradangan  radang akut berat  kelai kulit alergis kronis  psoriasis</t>
  </si>
  <si>
    <t>DKL9728602529A1</t>
  </si>
  <si>
    <t>Desolex 0.05% Cream 10 g</t>
  </si>
  <si>
    <t>Rp32.100 - Rp38.900</t>
  </si>
  <si>
    <t>Dioleskan pada area kulit yang sakit</t>
  </si>
  <si>
    <t>PENGGUNAAN OBAT INI HARUS SESUAI DENGAN PETUNJUK DOKTER. Dewasa dan anak &gt; 2 tahun: Oleskan 2-4 kali sehari, dengan durasi max. 8 minggu.</t>
  </si>
  <si>
    <t>INFORMASI OBAT INI HANYA UNTUK KALANGAN MEDIS. Mengatasi kondisi kulit yang mengalami inflamasi akibat penyakit dermatitis kontak maupun atopik</t>
  </si>
  <si>
    <t>Infeksi kulit akibat virus (misalnya vaccinia, herpes simplex), TB, jerawat, dan rosacea, lesi ulserasi.</t>
  </si>
  <si>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</si>
  <si>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mengatasi kondisi kulit mengalami inflamasi akibat penyakit dermatitis kontak atopik</t>
  </si>
  <si>
    <t>desolex cream</t>
  </si>
  <si>
    <t>desolex cream krim desonide mengatasi kondisi kulit mengalami inflamasi akibat penyakit dermatitis kontak atopik</t>
  </si>
  <si>
    <t>DKL9317608310A1</t>
  </si>
  <si>
    <t>Interpril 5 mg 10 Tablet</t>
  </si>
  <si>
    <t>Rp34.800 - Rp55.700</t>
  </si>
  <si>
    <t>PENGGUNAAN OBAT INI HARUS SESUAI DENGAN PETUNJUK DOKTER. Hipertensi dosis awal: 2,5 mg per hari. Pemeliharaan:10-20 mg per hari. Maksimal: 40 mg per hari. Gagal jantung kongestif dosis awal: 2,5 mg per hari. Pemeliharaan: 10-20 mg per hari</t>
  </si>
  <si>
    <t>Hipertensi esensial dan renovaskular. Sebagai terapi tambahan terhadap digitalis dan atau diuretik untuk gagal jantung kongestif</t>
  </si>
  <si>
    <t>HARUS DENGAN RESEP DOKTER. Angioneurotik edema karena terapi ace inhibitor</t>
  </si>
  <si>
    <t>hipertensi esensial renovaskular  sebagai terapi tambahan digitalis diuretik gagal jantung kongestif</t>
  </si>
  <si>
    <t>interpril tablet lisinopril hipertensi esensial renovaskular  sebagai terapi tambahan digitalis diuretik gagal jantung kongestif</t>
  </si>
  <si>
    <t>DKL7209307930A1</t>
  </si>
  <si>
    <t>Ikamicetin 2% Salep 15 g</t>
  </si>
  <si>
    <t>INFORMASI OBAT INI HANYA UNTUK KALANGAN MEDIS. Impetigo kontagiosa, folikulititis akut, luka terinfeksi dan infeksi kulit lain karena organisme yang peka terhadap kloramfenikol</t>
  </si>
  <si>
    <t>Tube 15 G</t>
  </si>
  <si>
    <t>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</si>
  <si>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impetigo kontagiosa , folikulititis akut , luka terinfeksi infeksi kulit organisme peka kloramfenikol</t>
  </si>
  <si>
    <t>ikamicetin</t>
  </si>
  <si>
    <t>ikamicetin salep chloramphenicol impetigo kontagiosa  folikulititis akut  luka terinfeksi infeksi kulit organisme peka kloramfenikol</t>
  </si>
  <si>
    <t>xigduo xr tablet dapagliflozin propanediol metformin hydrochloride terapi pengganti pengobatan diabetes mellitus tipe 2</t>
  </si>
  <si>
    <t>DKL1333531014A1</t>
  </si>
  <si>
    <t>Ryvel Plus 10 Tablet</t>
  </si>
  <si>
    <t>PENGGUNAAN OBAT INI HARUS SESUAI DENGAN PETUNJUK DOKTER. Dewasa dan Anak &gt; 12 Tahun: 2 x sehari 1 Tablet</t>
  </si>
  <si>
    <t>Dus, 3 Blister @ 10 Tablet Pelepasan Lambat</t>
  </si>
  <si>
    <t>Hipersensitivitas terhadap salah satu komponen Ryvel Plus, efedrin, atau piperazin. Hipertensi atau penyakit jantung koroner, terutama pada pasien lebih dari 50 tahun. Pasien dengan gangguan ginjal, hipertiroid yang tak terkontrol, aritmia berat, peningkatan tekanan intra okuler (TIO), retensi urin. Pasien yang sedang menggunakan obat antihipertensi, seperti penyekat beta, obat simpatomimetik, amfetamin. Pasien yang sedang menjalani terapi MAOI (hingga 2 minggu sesudah penghentian terapi). Anak kurang dari 12 tahun. Hamil dan laktasi.</t>
  </si>
  <si>
    <t>HARUS DENGAN RESEP DOKTER. Konsultasikan pada dokter anda sebelum menggunakan obat ini jika meniliki kondisi sebagai berikut: Pasien dengan gangguan kardiovaskular, diabetes melitus, hipertiroid, hipertensi, takikardi, aritmia, gangguan fungsi ginjal atau hati, hipertrofi prostat atau disfungsi uretra, konsumsi alkohol. Pasien yang sedang menggunakan obat simpatomimetik (dekongestan, penekan nafsu makan, psikostimulan seperti amfetamin), antidepresan trisiklik, digitalis.</t>
  </si>
  <si>
    <t>ryvel plus</t>
  </si>
  <si>
    <t>ryvel plus tablet cetirizine hydrochloride kondisi alergi rinitis perenial  rinitis alergi urtikaria idiopatik kronik</t>
  </si>
  <si>
    <t>DKL1419931181A1</t>
  </si>
  <si>
    <t>Pro TB-3 Kid 28 Tablet</t>
  </si>
  <si>
    <t>PENGGUNAAN OBAT INI HARUS SESUAI DENGAN PETUNJUK DOKTER. Anak 25 kg 5 tablet perhari, 20 kg 4 tablet perhari, 15 kg 3 tablet perhari, 10 kg 2 tablet perhari, 5 kg 1 tablet perhari. Dpt diberikan 1 kali sehari.</t>
  </si>
  <si>
    <t>Terapi TB karena galur Mikobakterium TB yang sensitif terhadap rifampisin, INH, dan pirazinamid.</t>
  </si>
  <si>
    <t>Dus, 1 Blister @ 28 Tablet dispersible</t>
  </si>
  <si>
    <t>Hipersensitivitas terhadap rifampisin dan INH. Pasien dengan hepatitis, kerusakan hati berat, neuritis optik, gangguan fungsi ginjal, epilepsi, dan alkoholik kronik.</t>
  </si>
  <si>
    <t>terapi tb galur mikobakterium tb sensitif rifampisin , inh , pirazinamid</t>
  </si>
  <si>
    <t>pro tb kid tablet isoniazid terapi tb galur mikobakterium tb sensitif rifampisin  inh  pirazinamid</t>
  </si>
  <si>
    <t>DKL1405048882B1</t>
  </si>
  <si>
    <t>Ritez FT 10 mg 10 Tablet</t>
  </si>
  <si>
    <t>Rp64.700 - Rp71.100</t>
  </si>
  <si>
    <t>Dus, 3 Strip @ 10 Tablet Cepat Larut.</t>
  </si>
  <si>
    <t>Obat Wajib Apotek, Obat ini dapat dibeli dan diserahkan apoteker tanpa resep dengan maksimum 1 Strip. Pembelian melebihi batas ini WAJIB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</si>
  <si>
    <t>ritez ft</t>
  </si>
  <si>
    <t>ritez ft tablet cetirizine hydrochloride kondisi alergi rinitis perenial  rinitis alergi urtikaria idiopatik kronik</t>
  </si>
  <si>
    <t>DKL0221627736A1</t>
  </si>
  <si>
    <t>Ozen Drops 12 ml</t>
  </si>
  <si>
    <t>Rp61.500 - Rp91.300</t>
  </si>
  <si>
    <t>ozen tetes cetirizine hydrochloride rinitis menahun  rinitis alergi seasonal  konjungtivitis  pruritus  urtikaria idiopati kronis</t>
  </si>
  <si>
    <t>lagesil tablet magnesium hydroxide simethicone dried aluminium hydroxide gel hiperasiditas lambung  ulkus peptik  kembung</t>
  </si>
  <si>
    <t>Freshcare Eucalyptus 12 Patch</t>
  </si>
  <si>
    <t>Rp8.400 - Rp11.100</t>
  </si>
  <si>
    <t>Tempelkan produk disekitar area hidung dan hirup aroma produk. Dapat ditempelkan pada masker.</t>
  </si>
  <si>
    <t>Sebagai aromatherapy yang menyegarkan untuk melegakan hidung tersumbat serta gangguan di saluran napas.</t>
  </si>
  <si>
    <t>Dus, 24 Sachet @ 12 Lembar</t>
  </si>
  <si>
    <t>sebagai aromatherapy menyegarkan melegakan hidung tersumbat gangguan saluran napa</t>
  </si>
  <si>
    <t>freshcare eucalyptus patch</t>
  </si>
  <si>
    <t>freshcare eucalyptus patch tablet guaifenesin sebagai aromatherapy menyegarkan melegakan hidung tersumbat gangguan saluran napa</t>
  </si>
  <si>
    <t>DKL9911630353A1</t>
  </si>
  <si>
    <t>Kaltrofen Suppositoria 100 mg</t>
  </si>
  <si>
    <t>Rp22.800 - Rp29.200</t>
  </si>
  <si>
    <t>Dimasukkan kedalam rektum/anus.</t>
  </si>
  <si>
    <t>PENGGUNAAN OBAT INI HARUS SESUAI DENGAN PETUNJUK DOKTER. 1 kali sehari 1 suppositoria bila tanpa terapi oral, dosis lazim: 2 kali sehari 1 suppositoria</t>
  </si>
  <si>
    <t>INFORMASI OBAT INI HANYA UNTUK KALANGAN MEDIS. Terapi gejala-gejala Artritis Reumatoid, Osteo Artritis, Gout akut dan Spondilitis Ankilosa</t>
  </si>
  <si>
    <t>Dus, 2 Blister @ 5 Suppositoria</t>
  </si>
  <si>
    <t>Penderita dengan penyakit proktitis sebelumnya atau yang disertai dengan hemoroid (wasir)</t>
  </si>
  <si>
    <t>HARUS DENGAN RESEP DOKTER. Ketoprofen harus digunakan dengan hati-hati pada penderita gangguan fungsi hati. Hati-hati penggunaannya pada keadaan hiperasiditas lambung.</t>
  </si>
  <si>
    <t>terapi gejala - gejala artritis reumatoid , osteo artritis , gout akut spondilitis ankilosa</t>
  </si>
  <si>
    <t>kaltrofen</t>
  </si>
  <si>
    <t>kaltrofen suppositoria ketoprofen terapi gejala  gejala artritis reumatoid  osteo artritis  gout akut spondilitis ankilosa</t>
  </si>
  <si>
    <t>TR142379921</t>
  </si>
  <si>
    <t>Herbana Relief Sari Kulit Manggis 30 Kapsul</t>
  </si>
  <si>
    <t>HERBANA KULIT MANGGIS</t>
  </si>
  <si>
    <t>Rp113.900 - Rp154.900</t>
  </si>
  <si>
    <t>herbana kulit manggis</t>
  </si>
  <si>
    <t>herbana relief sari kulit manggis</t>
  </si>
  <si>
    <t>herbana relief sari kulit manggis kapsul herbana kulit manggis membantu memelihara daya tahan tubuh</t>
  </si>
  <si>
    <t>DKL1502349810A1</t>
  </si>
  <si>
    <t>Candepress 8 mg 10 Tablet</t>
  </si>
  <si>
    <t>Rp57.500 - Rp92.600</t>
  </si>
  <si>
    <t>INFORMASI OBAT INI HANYA UNTUK KALANGAN MEDIS. Merupakan obat untuk mengobati tekanan darah tinggi dan gagal jantung dengan merelaksasikan pembuluh darah.</t>
  </si>
  <si>
    <t>HARUS DENGAN RESEP DOKTER. Jika muncul gejala mual, diare, berkeringat lebih dari biasanya, mengalami penurunan tekanan darah parah, dan tidak ada perubahan tekanan darah setelah menggunakan obat ini selama 4 minggu maka segera hubungi dokter. Pantau tekanan darah secara berkala. Jangan berikan pada ibu hamil dan menyusui. Kategori kehamilan : Kategori D : Terbukti berisiko terhadap janin. Meski demikian, obat masih dapat digunakan jika obat diperlukan untuk mengatasi keadaan yang mengancam jiwa, atau penyakit serius, dimana obat yang lebih aman tidak dapat digunakan atau tidak efektif.</t>
  </si>
  <si>
    <t>merupakan obat mengobati tekanan darah gagal jantung merelaksasikan pembuluh darah</t>
  </si>
  <si>
    <t>candepress tablet candesartan cilexetil merupakan obat mengobati teka darah gagal jantung merelaksasikan pembuluh darah</t>
  </si>
  <si>
    <t>DBL9832707663A1</t>
  </si>
  <si>
    <t>Tomaag Kaplet</t>
  </si>
  <si>
    <t>Rp800 - Rp1.200</t>
  </si>
  <si>
    <t>Diberikan 1 jam sebelum makan atau 2 jam sesudah makan, dan menjelang tidur malam</t>
  </si>
  <si>
    <t>Tablet : Dewasa : 1-2 tablet 1-2 tablet 3-4 kali/hari Anak 6-12 tahun : 1/2-1 tablet 3-4 kali/hari Suspensi forte : Dewasa dan anak &gt; 12 tahun : 1-2 sendok takar 3-4 kali/hari Anak 6-12 tahun : 1/2-1 sendok takar 3-4 kali/hari</t>
  </si>
  <si>
    <t>Mengurangi asam lambung, gastritis, tukak lambung, tukak duodenum</t>
  </si>
  <si>
    <t>Dus, 10 Strip @ 10 Tablet kunyah</t>
  </si>
  <si>
    <t>Gangguan fungsi ginjal berat</t>
  </si>
  <si>
    <t>Pemakaian lama (&gt; 2 mingg), anak &lt; 6 tahun. Diet rendah fosfor.</t>
  </si>
  <si>
    <t>mengurangi asam lambung , gastritis , tukak lambung , tukak duodenum</t>
  </si>
  <si>
    <t>tomaag</t>
  </si>
  <si>
    <t>tomaag kaplet dried aluminium hydroxide gel mengurangi asam lambung  gastritis  tukak lambung  tukak duodenum</t>
  </si>
  <si>
    <t>DKL1309222836A1</t>
  </si>
  <si>
    <t>Lerzin Drops 15 ml</t>
  </si>
  <si>
    <t>Rp26.100 - Rp42.200</t>
  </si>
  <si>
    <t>lerzin tetes cetirizine hydrochloride rinitis menahun  rinitis alergi seasonal  konjungtivitis  pruritus  urtikaria idiopati kronis</t>
  </si>
  <si>
    <t>TI164249781</t>
  </si>
  <si>
    <t>Sanjin Watermelon Frost Insufflation 3 G</t>
  </si>
  <si>
    <t>SANJIN WATERMELON FROST INSUFFLATIONS</t>
  </si>
  <si>
    <t>Rp32.800 - Rp36.000</t>
  </si>
  <si>
    <t>1. Putar tutup botol. 2. Arahkan mulut botol pada tempat yang sakit, kemudian tekan botol hingga bubuk obat keluar. atau tarik sumbat bagian dalam keluar, sehingga bubuk obat dapat dituang keluar. 3. Tutup rapat penutup botol setelah pemakaian agar terhindar dari kelembapan.</t>
  </si>
  <si>
    <t>Disemprotkan sebanyak 2 - 4 semprot 3 - 6 kali sehari.</t>
  </si>
  <si>
    <t>Dus, Botol @ 3 g</t>
  </si>
  <si>
    <t>sanjin watermelon frost insufflations</t>
  </si>
  <si>
    <t>sanjin watermelon frost insufflation</t>
  </si>
  <si>
    <t>sanjin watermelon frost insufflation  sanjin watermelon frost insufflations membantu meredakan panas disertai tenggorokan kering</t>
  </si>
  <si>
    <t>laurier relax night with gathers pads tablet tizanidine hydrochloride pembalut menyerap cairan gumpalan maksimal</t>
  </si>
  <si>
    <t>DKL8705502729A1</t>
  </si>
  <si>
    <t>Apolar 0.5 mg/g Cream 10 g</t>
  </si>
  <si>
    <t>Rp40.800 - Rp44.900</t>
  </si>
  <si>
    <t>PENGGUNAAN OBAT INI HARUS SESUAI DENGAN PETUNJUK DOKTER. Dewasa dan anak &gt;2 tahun : Oleskan 2-4 kali sehari, dengan durasi max.8 minggu.</t>
  </si>
  <si>
    <t>apolar cream</t>
  </si>
  <si>
    <t>apolar cream krim desonide mengatasi kondisi kulit mengalami inflamasi akibat penyakit dermatitis kontak atopik</t>
  </si>
  <si>
    <t>DKL2128209617B1</t>
  </si>
  <si>
    <t>Maxlis 20 mg 4 Tablet</t>
  </si>
  <si>
    <t>Rp357.400 - Rp357.500</t>
  </si>
  <si>
    <t>PENGGUNAAN OBAT INI HARUS SESUAI DENGAN PETUNJUK DOKTER. Disfungsi ereksi: 1 kali per hari, diberikan 30 menit sebelum aktivitas seksual. Benign prostatic hyperplasia: 5 mg, 1 kali per hari. Pulmonary arterial hypertension: 40 mg, 1 kali per hari.</t>
  </si>
  <si>
    <t>INFORMASI OBAT INI HANYA UNTUK KALANGAN MEDIS. Pengobatan ketidakmampuan mencapai atau mempertahankan ereksi dengan baik untuk berhubungan seksual (disfungsi ereksi) pada pria dewasa</t>
  </si>
  <si>
    <t>pengobatan ketidakmampuan mencapai mempertahankan ereksi berhubungan seksual disfungsi ereksi pria dewasa</t>
  </si>
  <si>
    <t>maxlis</t>
  </si>
  <si>
    <t>maxlis tablet tadalafil pengobatan ketidakmampuan mencapai mempertahankan ereksi berhubungan seksual disfungsi ereksi pria dewasa</t>
  </si>
  <si>
    <t>DKL9609205504A1</t>
  </si>
  <si>
    <t>Faxiden 10 mg 10 Kaplet</t>
  </si>
  <si>
    <t>Rp1.700 - Rp4.600</t>
  </si>
  <si>
    <t>PENGGUNAAN OBAT INI HARUS SESUAI DENGAN PETUNJUK DOKTER Dewasa : 2 kali sehari 1 tablet.</t>
  </si>
  <si>
    <t>Digunakan untuk membantu mengobati peradangan pada sendi yang menyebabkan rasa sakit, bengkak dan kaku seperti pada kaki dan tangan.</t>
  </si>
  <si>
    <t>Wanita hamil, menyusui, dan mengalami masalah kesuburan.</t>
  </si>
  <si>
    <t>Obat Wajib Apotek, Obat ini dapat dibeli dan diserahkan apoteker tanpa resep dengan maksimum 1 Strip. Pembelian melebihi batas ini WAJIB RESEP DOKTER. Penderita dengan gangguan jantung, asma, gangguan ginjal, dan gangguan fungsi hati. Wanita hamil dan menyusui. Kategori Kehamilan : C (1 &amp; 2 trisemester) D, (3 trisemester)</t>
  </si>
  <si>
    <t>digunakan membantu mengobati peradangan sendi menyebabkan sakit , bengkak kaku kaki tangan</t>
  </si>
  <si>
    <t>faxiden kaplet piroxicam digunakan membantu mengobati peradangan sendi menyebabkan sakit  bengkak kaku kaki tangan</t>
  </si>
  <si>
    <t>DTL0111633037A1</t>
  </si>
  <si>
    <t>Woods Peppermint Antitussive Sirup 60 ml</t>
  </si>
  <si>
    <t>Rp21.800 - Rp25.300</t>
  </si>
  <si>
    <t>Dewasa dan anak-anak di atas 12 th: 10 ml 3 x sehari Anak-anak 6-12 th: 5 ml 3 x sehari</t>
  </si>
  <si>
    <t>Gejala Batuk non-produktif/tidak berdahak yang disertai dengan Alergi</t>
  </si>
  <si>
    <t>Hipersensitif, wanita hamil &amp; menyusui, penderita glaukoma, asma bronkial, dan kegagalan pernapasan.</t>
  </si>
  <si>
    <t>Jangan mengendarai kendaraan bermotor atau mengoperasikan mesin selama penggunaan obat. Tidak dianjurkan untuk batuk berdahak. Jika setelah 3 hari gejala tidak mereda, segera konsultasikan dengan dokter. Tidak dianjurkan untuk anak &lt; 6 th, kecuali atas petunjuk dokter. Hati-hati penggunaan pada penderita gangguan fungsi hati. Dapat menyebabkan depresi pernapasan dan susunan saraf pusat pada penggunaan dosis besar.</t>
  </si>
  <si>
    <t>gejala batuk non - produktif tidak berdahak disertai alergi</t>
  </si>
  <si>
    <t>woods peppermint antitussive</t>
  </si>
  <si>
    <t>woods peppermint antitussive sirup dextromethorphan hydrobromide gejala batuk non  produktif tidak berdahak disertai alergi</t>
  </si>
  <si>
    <t>TI114344651</t>
  </si>
  <si>
    <t>Wellness Sobusty Nex Bust 60 Kapsul</t>
  </si>
  <si>
    <t>WELLNESS SOBUSTY</t>
  </si>
  <si>
    <t>Rp256.000 - Rp612.800</t>
  </si>
  <si>
    <t>2-4 kapsul 2 kali sehari atau sesuai anjuran dokter atau ahli.</t>
  </si>
  <si>
    <t>Membantu mengatasi rheumatik dan meningkatkan daya tahan tubuh.</t>
  </si>
  <si>
    <t>Ibu hamil, menyusui</t>
  </si>
  <si>
    <t>wellness sobusty</t>
  </si>
  <si>
    <t>membantu mengatasi rheumatik meningkatkan daya tahan tubuh</t>
  </si>
  <si>
    <t>wellness sobusty nex bust</t>
  </si>
  <si>
    <t>wellness sobusty nex bust kapsul wellness sobusty membantu mengatasi rheumatik meningkatkan daya tahan tubuh</t>
  </si>
  <si>
    <t>DKL8822208717A1</t>
  </si>
  <si>
    <t>Nifedin 10 mg 10 Tablet</t>
  </si>
  <si>
    <t>Rp6.000 - Rp10.400</t>
  </si>
  <si>
    <t>Sebelum atau sesudah makan, hindari jus anggur</t>
  </si>
  <si>
    <t>PENGGUNAAN OBAT INI HARUS SESUAI DENGAN PETUNJUK DOKTER. Angina Pektoris stabil, variant dan tidak stabil, Infark Jantung : diawali 3 x sehari 1 tablet, pada Angina dapat ditingkatkan menjadi 9-12 tablet perhari dalam dosis terbagi.</t>
  </si>
  <si>
    <t>INFORMASI OBAT INI HANYA UNTUK KALANGAN MEDIS. Angina Pectoris stabil, variant, dan tidak stabil, Infark Jantung, Hipertensi, sindroma Raynaud</t>
  </si>
  <si>
    <t>Hamil.</t>
  </si>
  <si>
    <t>HARUS DENGAN RESEP DOKTER. Penderita lemah jantung, hipotensi berat.</t>
  </si>
  <si>
    <t>nifedipine</t>
  </si>
  <si>
    <t>angina pectoris stabil , variant , tidak stabil , infark jantung , hipertensi , sindroma raynaud</t>
  </si>
  <si>
    <t>nifedin</t>
  </si>
  <si>
    <t>nifedin tablet nifedipine angina pectoris stabil  variant  tidak stabil  infark jantung  hipertensi  sindroma raynaud</t>
  </si>
  <si>
    <t>TR063366641</t>
  </si>
  <si>
    <t>Innolife Assaudah 500 mg 50 Kapsul</t>
  </si>
  <si>
    <t>INNOLIFE ASSAUDAH MINYAK HABBATUSAUDA</t>
  </si>
  <si>
    <t>Rp42.200 - Rp92.900</t>
  </si>
  <si>
    <t>Dewasa: 2 kapsul per hari</t>
  </si>
  <si>
    <t>membantu memelihara kesehatan dan membantu melancarkan peredaran darah</t>
  </si>
  <si>
    <t>innolife assaudah minyak habbatusauda</t>
  </si>
  <si>
    <t>membantu memelihara kesehatan membantu melancarkan peredaran darah</t>
  </si>
  <si>
    <t>innolife assaudah</t>
  </si>
  <si>
    <t>innolife assaudah kapsul innolife assaudah minyak habbatusauda membantu memelihara kesehatan membantu melancarkan peredaran darah</t>
  </si>
  <si>
    <t>Innolife Assaudah 500 mg 85 Kapsul</t>
  </si>
  <si>
    <t>Rp55.200 - Rp96.600</t>
  </si>
  <si>
    <t>Dewasa : 2 kapsul per hari</t>
  </si>
  <si>
    <t>Botol @ 85 Kapsul</t>
  </si>
  <si>
    <t>DKL0231807008A1</t>
  </si>
  <si>
    <t>Esthero 0.625 mg 28 Tablet</t>
  </si>
  <si>
    <t>Rp189.000 - Rp257.500</t>
  </si>
  <si>
    <t>PENGGUNAAN OBAT INI HARUS SESUAI DENGAN PETUNJUK DOKTER. Sehari 1 x 1 tablet. Menopause : 0,625 mg diberikan secara siklik. Pendarahan uterus disfungsional : sehari 1 x 1 tablet 0,625 mg selama 3 siklus</t>
  </si>
  <si>
    <t>Terapi jangka panjang sulih hormon, terapi jangka pendek, pendaahan uterus disfungsional</t>
  </si>
  <si>
    <t>Dus, 1 Blister @ 28 kaplet salut gula</t>
  </si>
  <si>
    <t>Diketahui atau dicurigai neoplasia bergantung estrogen, kelainan trombofeblitis &amp; tromboembolik aktif, diketahui atau dicurigai kanker payudara,perdarahan kelamin abnormal yang tidak teridentifikasi, kehamilan.</t>
  </si>
  <si>
    <t>HARUS DENGAN RESEP DOKTER. Disfungsi jantung atau ginjal, kenaikan tekanan darah, riwayat penyakit tromboemboli, epilepsi, migren, asma. Penyakit Gallbladder, kelainan hati, pankreatitis, risiko tumor atau kanker endometrial, kanker payudara, peningkatan ukuran tumor otot polos rahim, perdarahan vagina, penyakit metanbolisme tulang berkaitan dengan hiperkalemia. Operasi, menyusui, untuk jangka pendek, Esthero bukan untuk obat KB.</t>
  </si>
  <si>
    <t>estrogens conjugated</t>
  </si>
  <si>
    <t>terapi jangka sulih hormon , terapi jangka pendek , pendaahan uterus disfungsional</t>
  </si>
  <si>
    <t>esthero</t>
  </si>
  <si>
    <t>esthero kaplet estrogens conjugated terapi jangka sulih hormon  terapi jangka pendek  pendaahan uterus disfungsional</t>
  </si>
  <si>
    <t>DTL0317619237A1</t>
  </si>
  <si>
    <t>Alco Plus Sirup 100 ml</t>
  </si>
  <si>
    <t>Rp79.000 - Rp94.500</t>
  </si>
  <si>
    <t>Dewasa dan anak &gt;12 tahun : 1 sendok takar 5 mL, Anak 6-12 tahun : 0.5 sendok takar 5 mL, Anak 2-6 tahun : 0.25 sendok takar 5 mL, Semua dosis diberikan 3 x sehari.</t>
  </si>
  <si>
    <t>Meringankan gejala bersin-bersin dan hidung tersumbat karena Flu</t>
  </si>
  <si>
    <t>pseudoephedrine hydrochloride brompheniramine maleate</t>
  </si>
  <si>
    <t>meringankan gejala bersin - bersin hidung tersumbat flu</t>
  </si>
  <si>
    <t>alco plus</t>
  </si>
  <si>
    <t>alco plus sirup pseudoephedrine hydrochloride brompheniramine maleate meringankan gejala bersin  bersin hidung tersumbat flu</t>
  </si>
  <si>
    <t>TR202241131</t>
  </si>
  <si>
    <t>New Hau Fung San Spray</t>
  </si>
  <si>
    <t>NEW HAU FUNG SAN</t>
  </si>
  <si>
    <t>Rp29.900 - Rp43.800</t>
  </si>
  <si>
    <t>Semprotkan secukupnya pada bagian yang sakit atau luka. Dapat juga dicampurkan ke dalam air hangat untuk menjadi obat kumur.</t>
  </si>
  <si>
    <t>2-3 kali tiap jam</t>
  </si>
  <si>
    <t>Membantu meredakan panas dalam yang disertai sariawan, tenggorokan kering dan bau mulut</t>
  </si>
  <si>
    <t>Botol @ 2.2 g</t>
  </si>
  <si>
    <t>new hau fung san</t>
  </si>
  <si>
    <t>membantu meredakan panas disertai sariawan , tenggorokan kering bau mulut</t>
  </si>
  <si>
    <t>new hau fung san spray membantu meredakan panas disertai sariawan  tenggorokan kering bau mulut</t>
  </si>
  <si>
    <t>DKL0302332929A1</t>
  </si>
  <si>
    <t>Proson Cream 15 g</t>
  </si>
  <si>
    <t>Rp24.300 - Rp34.800</t>
  </si>
  <si>
    <t>di oleskan tipis-tipis</t>
  </si>
  <si>
    <t>Meredakan manifestasi inflamasi dan pruritus dari psoriasis resisten atau berat dan dermatosis yang responsif terhadap kortikosteroid.</t>
  </si>
  <si>
    <t>Penyakit virus,infeksi bakteri dan jamur, akne rosasea</t>
  </si>
  <si>
    <t>meredakan manifestasi inflamasi pruritus psoriasis resisten berat dermatosis responsif kortikosteroid</t>
  </si>
  <si>
    <t>proson cream</t>
  </si>
  <si>
    <t>proson cream krim betamethasone meredakan manifestasi inflamasi pruritus psoriasis resisten berat dermatosis responsif kortikosteroid</t>
  </si>
  <si>
    <t>DKL9918816117A1</t>
  </si>
  <si>
    <t>Gerdilium 10 mg 10 Kaplet</t>
  </si>
  <si>
    <t>Rp55.000 - Rp60.500</t>
  </si>
  <si>
    <t>15 - 30 menit sebelum makan</t>
  </si>
  <si>
    <t>Dapat terjadi perdarahan pada pembuluh darah,penyempitan saluran pencernaan.</t>
  </si>
  <si>
    <t>HARUS DENGAN RESEP DOKTER. Gangguan fungsi hati dan ginjal, tidak dianjurkan penggunaan waktu panjang, wanita hamil. Belum terdapat data keamanan terkait penggunaan obat ini pada wanita hamil dan/atau menyusui. Konsultasikan kepada dokter apabila Anda sedang hamil dan/atau menyusui.Kategori kehamilan : Kategori B: Mungkin dapat digunakan oleh wanita hamil. Penelitian pada hewan uji tidak memperlihatkan ada nya risiko terhadap janin, namun belum ada bukti penelitian langsung terhadap wanita hamil.</t>
  </si>
  <si>
    <t>gerdilium</t>
  </si>
  <si>
    <t>gerdilium tablet domperidone terapi mual muntah disebabkan levodopa bromokriptin  kemoterapi radioterapi kanker  dispepsia fungsional</t>
  </si>
  <si>
    <t>DKL1940405329A1</t>
  </si>
  <si>
    <t>Protocort 0.05% Cream 10 g</t>
  </si>
  <si>
    <t>Rp32.400 - Rp42.900</t>
  </si>
  <si>
    <t>PENGGUNAAN OBAT INI HARUS SESUAI DENGAN PETUNJUK DOKTER. Oleskan pada bagian yang sakit 1-2 x/hari.</t>
  </si>
  <si>
    <t>Gejala Peradangan &amp; Pruritus pada Psoriasis resisten atau berat &amp; Dermatosis yang responsif terhadap kortikosteroid</t>
  </si>
  <si>
    <t>Obat Wajib Apotek, Obat ini dapat dibeli dan diserahkan apoteker tanpa resep dengan maksimum 1 Tube. Pembelian melebihi batas ini WAJIB RESEP DOKTER. Penggunaan di area tubuh yang luas atau jangka lama. Hamil. Bayi &amp; anak &lt;12 tahun. Hindari kontak dengan mata &amp; penggunaan pembalut tertutup.</t>
  </si>
  <si>
    <t>gejala peradangan pruritus psoriasis resisten berat dermatosis responsif kortikosteroid</t>
  </si>
  <si>
    <t>protocort cream</t>
  </si>
  <si>
    <t>protocort cream krim betamethasone dipropionate gejala peradangan pruritus psoriasis resisten berat dermatosis responsif kortikosteroid</t>
  </si>
  <si>
    <t>DTL9404210337A1</t>
  </si>
  <si>
    <t>Antiza Sirup 60 ml</t>
  </si>
  <si>
    <t>Rp22.800 - Rp28.500</t>
  </si>
  <si>
    <t>Dewasa dan anak berusia lebih dari 6 tahun : 3-4 kali sehari 1-2 sendok teh.</t>
  </si>
  <si>
    <t>Demam dan gejala-gejala batuk &amp; pilek.</t>
  </si>
  <si>
    <t>Hipertiroidisme, hipertensi, PJK, MAOI, neuropati.</t>
  </si>
  <si>
    <t>Peny jantung, DM, glaukoma, kerusakan fungsi hati &amp; ginjal, hamil. Jangan mengendarai kendaraan bermotor/menjalankan mesin. Anak kurang dari sampai 6 thn.</t>
  </si>
  <si>
    <t>paracetamol dextromethorphan hydrobromide chlorphenamine maleate phenylpropanolamine hydrochloride</t>
  </si>
  <si>
    <t>demam gejala - gejala batuk pilek</t>
  </si>
  <si>
    <t>antiza</t>
  </si>
  <si>
    <t>antiza sirup paracetamol dextromethorphan hydrobromide chlorphenamine maleate phenylpropanolamine hydrochloride demam gejala  gejala batuk pilek</t>
  </si>
  <si>
    <t>TI074525571</t>
  </si>
  <si>
    <t>Sea-Quill Super Celery 5000 60 Tablet</t>
  </si>
  <si>
    <t>SEA - QUILL SUPER CELERY 5000</t>
  </si>
  <si>
    <t>Rp340.300 - Rp730.900</t>
  </si>
  <si>
    <t>2 tablet 2 kali sehari setelah makan. Dosis pemeliharaan 2 kapsul sehari setelah makan atau sesuai anjuran ahli.</t>
  </si>
  <si>
    <t>Untuk membantu mengurangi nyeri pada persendian.</t>
  </si>
  <si>
    <t>sea quill super celery 5000</t>
  </si>
  <si>
    <t>untuk membantu mengurangi nyeri persendian</t>
  </si>
  <si>
    <t>seaquill super celery</t>
  </si>
  <si>
    <t>seaquill super celery tablet sea quill super celery 5000 untuk membantu mengurangi nyeri persendian</t>
  </si>
  <si>
    <t>DTL9230901304A1</t>
  </si>
  <si>
    <t>Molexflu 10 Kaplet</t>
  </si>
  <si>
    <t>Rp4.800 - Rp9.300</t>
  </si>
  <si>
    <t>PENGGUNAAN OBAT INI HARUS SESUAI DENGAN PETUNJUK DOKTER. Dewasa: 3 kali sehari 1 kaplet, Anak usia 6 s/d 12 tahun: 3 kali sehari 1/2 kaplet atau 2 sendok takar (10 ml).</t>
  </si>
  <si>
    <t>Mengobati gejala flu seperti demam, sakit kepala, hidung tersumbat, dan bersin-bersin.</t>
  </si>
  <si>
    <t>Dus, 15 Strip @ 10 Kaplet</t>
  </si>
  <si>
    <t>Penderita yang hipersensitif dengan komponen obat, penderita yang menggunakan obat golongan miniamine oxidase inhibitor (MOI)</t>
  </si>
  <si>
    <t>HARUS DENGAN RESEP DOKTER. Tidak boleh melebihi dosis yang dianjurkan. Dapat menyebabkan kantuk. Selama minum obat ini dianjurkan jangan mengendarai kendaraan bermotor atau menjalankan mesin. Bila demam bertahan lebih dari 3 hari, segera hubungi dokter. Hentikan penggunaan obat ini jika mengalami susah tidur dan jantung berdebar.</t>
  </si>
  <si>
    <t>mengobati gejala flu demam , sakit kepala , hidung tersumbat , bersin - bersin</t>
  </si>
  <si>
    <t>molexflu</t>
  </si>
  <si>
    <t>molexflu kaplet chlorphenamine maleate mengobati gejala flu demam  sakit kepala  hidung tersumbat  bersin  bersin</t>
  </si>
  <si>
    <t>TR142380081</t>
  </si>
  <si>
    <t>Herbatia Sari Rapet 30 Kapsul</t>
  </si>
  <si>
    <t>HERBATIA-SARI RAPET</t>
  </si>
  <si>
    <t>Rp54.200 - Rp69.800</t>
  </si>
  <si>
    <t>Dikonsumsi sesudah makan. - Sari Rapet dapat dikonsumsi wanita muda yang belum berkeluarga, karena efektif mencegah keputihan. - Penggunaan Sari Rapet dapat dihentikan sementara selama periode menstruasi.</t>
  </si>
  <si>
    <t>Meremajakan sekaligus menjaga dan merawat kesehatan organ kewanitaan, serta meningkatkan sensitivitas.</t>
  </si>
  <si>
    <t>Tidak dianjurkan untuk digunakan oleh wanita hamil.</t>
  </si>
  <si>
    <t>herbatia-sari rapet</t>
  </si>
  <si>
    <t>meremajakan menjaga merawat kesehatan organ kewanitaan , meningkatkan sensitivitas</t>
  </si>
  <si>
    <t>herbatia sari rapet</t>
  </si>
  <si>
    <t>herbatia sari rapet kapsul herbatiasari rapet meremajakan menjaga merawat kesehatan organ kewanitaan  meningkatkan sensitivitas</t>
  </si>
  <si>
    <t>QD132712011</t>
  </si>
  <si>
    <t>Afiflex Cream 50 g</t>
  </si>
  <si>
    <t>Rp39.500 - Rp48.600</t>
  </si>
  <si>
    <t>Oleskan dan pijat secara perlahan pada bagian yang sakit.</t>
  </si>
  <si>
    <t>3-4 x sehari.</t>
  </si>
  <si>
    <t>Mengatasi nyeri otot, punggung, persendian, pundak, leher, pegal-pegal, dan keseleo.</t>
  </si>
  <si>
    <t>Tube 50 g x 1</t>
  </si>
  <si>
    <t>champora</t>
  </si>
  <si>
    <t>mengatasi nyeri otot , punggung , persendian , pundak , leher , pegal - pegal , keseleo</t>
  </si>
  <si>
    <t>afiflex cream</t>
  </si>
  <si>
    <t>afiflex cream krim champora mengatasi nyeri otot  punggung  persendian  pundak  leher  pegal  pegal  keseleo</t>
  </si>
  <si>
    <t>DTL0221627217A1</t>
  </si>
  <si>
    <t>Ozen 10 mg 10 Tablet</t>
  </si>
  <si>
    <t>Rp21.000 - Rp67.300</t>
  </si>
  <si>
    <t>ozen tablet cetirizine hydrochloride rinitis menahun  rinitis alergi seasonal  konjungtivitis  pruritus  urtikaria idiopati kronis</t>
  </si>
  <si>
    <t>TR193331731</t>
  </si>
  <si>
    <t>Prostalon 6 Kapsul</t>
  </si>
  <si>
    <t>PROSTALON.</t>
  </si>
  <si>
    <t>Rp16.500 - Rp49.800</t>
  </si>
  <si>
    <t>Secara Tradisional Digunakan Untuk Membantu Memelihara Kesehatan Prostat, Mencegah dan Mengurangi Pembengkakan Prostat.</t>
  </si>
  <si>
    <t>prostalon</t>
  </si>
  <si>
    <t>secara tradisional digunakan untuk membantu memelihara kesehatan prostat , mencegah mengurangi pembengkakan prostat</t>
  </si>
  <si>
    <t>prostalon kapsul secara tradisional digunakan untuk membantu memelihara kesehatan prostat  mencegah mengurangi pembengkakan prostat</t>
  </si>
  <si>
    <t>Sensitif Vivo Fruity Affair 3 Pieces</t>
  </si>
  <si>
    <t>Rp13.000 - Rp17.700</t>
  </si>
  <si>
    <t>sensitif vivo fruity affair pieces</t>
  </si>
  <si>
    <t>sensitif vivo fruity affair pieces tablet sildenafil citrate alat kontrasepsi pasangan merencanakan program keluarga</t>
  </si>
  <si>
    <t>DKL8913302017A1</t>
  </si>
  <si>
    <t>Bestalin 25 mg 10 Tablet</t>
  </si>
  <si>
    <t>PENGGUNAAN OBAT INI HARUS SESUAI DENGAN PETUNJUK DOKTER. Dewasa : 3 x sehari 25 mg. Anak &gt;6 tahun : 50-100 dalam dosis bagi. Anak &lt;6 tahun : sehari 50 mg dalam dosis bagi. Sedatif untuk pramedikasi : Dewasa : 50-100 mg. Anak : 0,6 mg/kg BB/hari</t>
  </si>
  <si>
    <t>INFORMASI OBAT INI HANYA UNTUK KALANGAN MEDIS. Pruritus karena kondisi alergi misalnya urtikaria kronis, atopik &amp; dermatosis kontak. Menghilangkan kecemasan.</t>
  </si>
  <si>
    <t>HARUS DENGAN RESEP DOKTER. Hindari mengoperasikan kendaraan. Kategori Kehamilan: Belum terdapat data keamanan terkait penggunaan obat ini pada wanita hamil dan/atau menyusui. Konsultasikan kepada dokter apabila Anda sedang hamil dan/atau menyusui.</t>
  </si>
  <si>
    <t>hydroxyzine hydrochloride</t>
  </si>
  <si>
    <t>pruritus kondisi alergi urtikaria kronis , atopik dermatosis kontak  menghilangkan kecemasan</t>
  </si>
  <si>
    <t>bestalin</t>
  </si>
  <si>
    <t>bestalin tablet hydroxyzine hydrochloride pruritus kondisi alergi urtikaria kronis  atopik dermatosis kontak  menghilangkan kecemasan</t>
  </si>
  <si>
    <t>DKL0509215237A1</t>
  </si>
  <si>
    <t>Lerzin 5 mg/ 5 ml Sirup 60 ml</t>
  </si>
  <si>
    <t>Rp6.600 - Rp18.300</t>
  </si>
  <si>
    <t>lerzin sirup cetirizine hydrochloride rinitis menahun  rinitis alergi seasonal  konjungtivitis  pruritus  urtikaria idiopati kronis</t>
  </si>
  <si>
    <t>Innolife Assaudah 500 mg 210 Kapsul</t>
  </si>
  <si>
    <t>Rp96.600 - Rp169.900</t>
  </si>
  <si>
    <t>Botol @ 210 Kapsul</t>
  </si>
  <si>
    <t>DKL1825103610A1</t>
  </si>
  <si>
    <t>Blopress Plus 16 mg/12.5 mg 7 Tablet</t>
  </si>
  <si>
    <t>INFORMASI OBAT INI HANYA UNTUK KALANGAN MEDIS. Terapi pasien hipertensi dengan tekanan darah yang tidak terkontrol dengan Candesartan atau Hydrochlorothiazide tunggal.</t>
  </si>
  <si>
    <t>Dus, 2 Blister @ 7 Tablet</t>
  </si>
  <si>
    <t>Hipersensitivitas terhadap komponen obat. Wanita hamil dan menyusui. Kerusakan hati yang berat dan/atau kolestasis. Gout.</t>
  </si>
  <si>
    <t>HARUS DENGAN RESEP DOKTER. - Penyakit ginjal berat. - Pasien dengan penurunan volume intravaskular atau Na. - Gangguan fungsi hati atau penyakit hati progresif. Belum terdapat data keamanan terkait penggunaan obat ini pada wanita hamil dan/atau menyusui. Konsultasikan kepada dokter apabila Anda sedang hamil dan/atau menyusui.</t>
  </si>
  <si>
    <t>candesartan</t>
  </si>
  <si>
    <t>terapi pasien hipertensi tekanan darah tidak terkontrol candesartan hydrochlorothiazide tunggal</t>
  </si>
  <si>
    <t>blopress plus</t>
  </si>
  <si>
    <t>blopress plus tablet candesartan terapi pasien hipertensi teka darah tidak terkontrol candesartan hydrochlorothiazide tunggal</t>
  </si>
  <si>
    <t>- KOMBINASI-OMEPRAZOLE PELLET 8. 5</t>
  </si>
  <si>
    <t>kombinasi-omeprazole pellet 8 5</t>
  </si>
  <si>
    <t>tamezol kapsul kombinasiomeprazole pellet 8 5 tukak duodenum  tukak lambung  refluks esofagitis  hipersekresi patologis</t>
  </si>
  <si>
    <t>GKL1308020210B1</t>
  </si>
  <si>
    <t>Flunarizine 10 mg 20 Tablet</t>
  </si>
  <si>
    <t>Rp50.600 - Rp59.400</t>
  </si>
  <si>
    <t>PENGGUNAAN OBAT INI HARUS SESUAI DENGAN PETUNJUK DOKTER. Dosis maksimum yang dianjurkan adalah 10 mg/hari tetapi pengurangan dosis hingga 5 mg/hari dapat mengurangi efek samping yang timbul.</t>
  </si>
  <si>
    <t>INFORMASI OBAT INI HANYA UNTUK KALANGAN MEDIS. Mencegah migren Pengobatan pencegahan gangguan vestibular akibat gangguan peredaran darah serebral dan perifer</t>
  </si>
  <si>
    <t>Dus, 2 Blister @ 20 Tablet</t>
  </si>
  <si>
    <t>depresi, parkinson</t>
  </si>
  <si>
    <t>mencegah migren pengobatan pencegahan gangguan vestibular akibat gangguan peredaran darah serebral perifer</t>
  </si>
  <si>
    <t>flunarizine tablet mencegah migren pengobatan pencegahan gangguan vestibular akibat gangguan peredaran darah serebral perifer</t>
  </si>
  <si>
    <t>Tissue Lovers Casanova 6 Lembar</t>
  </si>
  <si>
    <t>Usapkan tissue pada daerah sensitif, biarkan 5-15 menit. Sebelum berhubungan cuci dengan sabun dan bilas air hangat</t>
  </si>
  <si>
    <t>Sesuai kebutuhan. Digunakan sebelum berhubungan intim</t>
  </si>
  <si>
    <t>Tissue yang digunakan untuk menjaga kebersihan dan meningkatkan stamina pria menjadi lebih tahan lama.</t>
  </si>
  <si>
    <t>Simpan ditempat sejuk dan terlindungan cahaya matahari. Jauhkan dari jangkauan anak-anak.</t>
  </si>
  <si>
    <t>tissue menjaga kebersihan meningkatkan stamen pria tahan</t>
  </si>
  <si>
    <t>tissue lovers casanova lembar</t>
  </si>
  <si>
    <t>tissue lovers casanova lembar tablet sildenafil citrate tissue menjaga kebersihan meningkatkan stamen pria tahan</t>
  </si>
  <si>
    <t>Paseo Tissue Elegant 250 Lembar</t>
  </si>
  <si>
    <t>Rp11.000 - Rp23.700</t>
  </si>
  <si>
    <t>Usapkan PASEO TISSUE di area atau tempat yang diperlukan</t>
  </si>
  <si>
    <t>untuk membersihkan kotoran atau mulut dan tangan Anda dengan mudah dan cepat</t>
  </si>
  <si>
    <t>Pack isi 250</t>
  </si>
  <si>
    <t>membersihkan kotoran mulut tangan anda mudah cepat</t>
  </si>
  <si>
    <t>paseo tissue elegant lembar</t>
  </si>
  <si>
    <t>paseo tissue elegant lembar tablet tizanidine hydrochloride membersihkan kotoran mulut tangan anda mudah cepat</t>
  </si>
  <si>
    <t>Woods Peppermint Expectorant Sirup 100 ml</t>
  </si>
  <si>
    <t>Rp35.500 - Rp40.300</t>
  </si>
  <si>
    <t>Dewasa dan anak &gt; 12 tahun : 3 x sehari, 10 ml Anak-anak 6-12 tahun : 3 x sehari, 5 ml</t>
  </si>
  <si>
    <t>Meredakan gejala Batuk produktif/berdahak, Batuk karena Bronchitis atau Emphysema</t>
  </si>
  <si>
    <t>Penggunaan produk ini harus mendapat perhatian khusus pada penderita gangguan pencernaan, wanita hamil maupun menyusui. Guaiafenesin akan memberikan hasil positif palsu pada uji urinary 5-HIAA dan VMA. Jika terjadi gejala atau tanda ruam kulit yang progresif seperti lepuh atau lesi mukosa hentikan segera dan hubungi dokter. Simpan dibawah suhu 30 c. Hindarkan dari cahaya matahari langsung. Tutup botol rapat dan jauhkan dari jangkauan anak-anak.</t>
  </si>
  <si>
    <t>meredakan gejala batuk produktif berdahak , batuk bronchitis emphysema</t>
  </si>
  <si>
    <t>woods peppermint expectorant sirup bromhexine hydrochloride meredakan gejala batuk produktif berdahak  batuk bronchitis emphysema</t>
  </si>
  <si>
    <t>Nutrimax Figure Plus 60 Kapsul</t>
  </si>
  <si>
    <t>Rp309.300 - Rp622.300</t>
  </si>
  <si>
    <t>Membantu meringankan gangguan lambung seperti mual, muntah, sakit perut dan perut kembung</t>
  </si>
  <si>
    <t>- Simpan di bawah suhu 30 derajat C. - Jauhkan dari jangkauan anak-anak.</t>
  </si>
  <si>
    <t>membantu meringankan gangguan lambung mual , muntah , sakit perut perut kembung</t>
  </si>
  <si>
    <t>nutrimax figure plus kapsul membantu meringankan gangguan lambung mual  muntah  sakit perut perut kembung</t>
  </si>
  <si>
    <t>DBL9933400463A1</t>
  </si>
  <si>
    <t>Ticomag Tablet</t>
  </si>
  <si>
    <t>Rp200 - Rp700</t>
  </si>
  <si>
    <t>Dewasa : 3-4 x sehari 1-2 tablet Anak 6-12 tahun : 3-4 x sehari 0.5-1 tablet</t>
  </si>
  <si>
    <t>Sakit maag, Hiperasiditas, Ulkus/tukak Peptik, Esofagitis, Gastritis, Flatulens/Kembung</t>
  </si>
  <si>
    <t>Kerusakan fungsi ginjal</t>
  </si>
  <si>
    <t>Penggunaan jangka panjang</t>
  </si>
  <si>
    <t>sakit maag , hiperasiditas , ulkus tukak peptik , esofagitis , gastritis , flatulens kembung</t>
  </si>
  <si>
    <t>ticomag</t>
  </si>
  <si>
    <t>ticomag tablet aluminium hydroxide sakit maag  hiperasiditas  ulkus tukak peptik  esofagitis  gastritis  flatulens kembung</t>
  </si>
  <si>
    <t>Cap Dragon Balsem Menthol 8 g</t>
  </si>
  <si>
    <t>Rp14.000 - Rp14.500</t>
  </si>
  <si>
    <t>Pot 8 g</t>
  </si>
  <si>
    <t>cap dragon balsem menthol</t>
  </si>
  <si>
    <t>cap dragon balsem menthol balsam mentholum mengurangi sakit kepala  melegakan pernafasan pilek mabuk perjala</t>
  </si>
  <si>
    <t>DKL0909218601A1</t>
  </si>
  <si>
    <t>Lostacef 500 mg 10 Kapsul</t>
  </si>
  <si>
    <t>Rp12.900 - Rp35.400</t>
  </si>
  <si>
    <t>lostacef</t>
  </si>
  <si>
    <t>lostacef kapsul cefadroxil mengatasi infeksi saluran pernafasan  saluran kemih kelamin infeksi kulit jaringan lunak</t>
  </si>
  <si>
    <t>DKL8817605029A1</t>
  </si>
  <si>
    <t>Nerilon 0.1% Cream 10 g</t>
  </si>
  <si>
    <t>Rp73.000 - Rp76.200</t>
  </si>
  <si>
    <t>Meredakan manifestasi peradangan pada Dermatosis yang responsif terhadap kortikosteroid yang tidak disertai infeksi</t>
  </si>
  <si>
    <t>Infeksi virus, bakteri, jamur pada kulit, jerawat, rosasea dan dermatitis perioral</t>
  </si>
  <si>
    <t>Obat Wajib Apotek, Obat ini dapat dibeli dan diserahkan apoteker tanpa resep dengan maksimum 1 Tube. Pembelian melebihi batas ini WAJIB RESEP DOKTER. Pemakaian jangka panjang dan luas, hamil, bayi dan anak &lt;4 tahun. Hindari kontak dengan mata</t>
  </si>
  <si>
    <t>diflucortolone valerate</t>
  </si>
  <si>
    <t>meredakan manifestasi peradangan dermatosis responsif kortikosteroid tidak disertai infeksi</t>
  </si>
  <si>
    <t>nerilon cream</t>
  </si>
  <si>
    <t>nerilon cream krim diflucortolone valerate meredakan manifestasi peradangan dermatosis responsif kortikosteroid tidak disertai infeksi</t>
  </si>
  <si>
    <t>GKL9732701110A1</t>
  </si>
  <si>
    <t>Ethylchloride Spray 100 ml</t>
  </si>
  <si>
    <t>Rp232.300 - Rp264.000</t>
  </si>
  <si>
    <t>Semprotkan 30 cm dari permukaan kulit hingga lapisan putih tipis dihasilkan.</t>
  </si>
  <si>
    <t>Mencegah rasa sakit akibat suntikan, prosedur operasi, cedera olahraga, dan nyeri otot mendalam.</t>
  </si>
  <si>
    <t>Botol Spray 100 ml</t>
  </si>
  <si>
    <t>mencegah sakit akibat suntikan , prosedur operasi , cedera olahraga , nyeri otot mendalam</t>
  </si>
  <si>
    <t>ethylchloride</t>
  </si>
  <si>
    <t>ethylchloride tablet piroxicam mencegah sakit akibat suntikan  prosedur operasi  cedera olahraga  nyeri otot mendalam</t>
  </si>
  <si>
    <t>placenta extract neomycin sulfate</t>
  </si>
  <si>
    <t>bioplacenton gel placenta extract neomycin sulfate luka bakar  luka infeksi  luka kronik jenis luka</t>
  </si>
  <si>
    <t>DTL1202008629A1</t>
  </si>
  <si>
    <t>Canesten Cream 5 g</t>
  </si>
  <si>
    <t>Rp27.800 - Rp35.100</t>
  </si>
  <si>
    <t>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t>
  </si>
  <si>
    <t>Dosis untuk Dewasa : 2-3 kali sehari Jangka Pemakaian : Gunakan obat minimal selama 2 minggu untuk memastikan infeksi jamur telah teratasi.</t>
  </si>
  <si>
    <t>Mengatasi jamur pada kulit, panu, kadas/kurap, kutu air, dan ruam popok.</t>
  </si>
  <si>
    <t>Hipersensitif. Krim Canesten tidak dianjurkan untuk penggunaan pada ibu hamil selama trisemester pertama dan selama menyusui. Untuk informasi lebih lanjut, konsultasikan dengan dokter kandungan.</t>
  </si>
  <si>
    <t>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</si>
  <si>
    <t>mengatasi jamur kulit , panu , kadas kurap , kutu air , ruam popok</t>
  </si>
  <si>
    <t>canesten cream</t>
  </si>
  <si>
    <t>canesten cream krim clotrimazole mengatasi jamur kulit  panu  kadas kurap  kutu air  ruam popok</t>
  </si>
  <si>
    <t>DKL0104418410B1</t>
  </si>
  <si>
    <t>Citaz 100 mg 10 Tablet</t>
  </si>
  <si>
    <t>Rp88.800 - Rp187.600</t>
  </si>
  <si>
    <t>Diberikan sekurang-kurangnya 1/2 jam sebelum atau 2 jam sesudah makan.</t>
  </si>
  <si>
    <t>PENGGUNAAN OBAT INI HARUS SESUAI DENGAN PETUNJUK DOKTER. 100 mg, 2 kali sehari.</t>
  </si>
  <si>
    <t>Terapi gejala iskhemik termasuk Ulserasi, Nyeri dan tangan-kaki yang Dingin pada Oklusi Arteri Khronik.</t>
  </si>
  <si>
    <t>Perdarahan dan hamil</t>
  </si>
  <si>
    <t>HARUS DENGAN RESEP DOKTER. Menstruasi, hamil, laktasi, bayi, cenderung perdarahan atau hemorhagik, diathesis, gangguan hati atau ginjal berat, penggunaan antikoagulan, antitrombotik, antiplatelet. Tidak direkomendasikan pada ibu hamil dan menyusui.</t>
  </si>
  <si>
    <t>terapi gejala iskhemik ulserasi , nyeri tangan - kaki dingin oklusi arteri khronik</t>
  </si>
  <si>
    <t>citaz</t>
  </si>
  <si>
    <t>citaz tablet cilostazol terapi gejala iskhemik ulserasi  nyeri tangan  kaki dingin oklusi arteri khronik</t>
  </si>
  <si>
    <t>DKI1629600267A1</t>
  </si>
  <si>
    <t>Seretide Diskus 50/100 mcg 60 Dosis</t>
  </si>
  <si>
    <t>Rp196.800 - Rp335.500</t>
  </si>
  <si>
    <t>Disemprotkan</t>
  </si>
  <si>
    <t>PENGGUNAAN OBAT INI HARUS SESUAI DENGAN PETUNJUK DOKTER. &gt; 2 th, sehari 2x 2 semprot</t>
  </si>
  <si>
    <t>Untuk terapi rutin penyakit penyumbatan saluran nafas, termasuk asma</t>
  </si>
  <si>
    <t>Dus, Strip @ 60 Blister Dosis</t>
  </si>
  <si>
    <t>untuk terapi rutin penyakit penyumbatan saluran nafas , asma</t>
  </si>
  <si>
    <t>seretide diskus dosis</t>
  </si>
  <si>
    <t>seretide diskus dosis powder fluticasone propionat untuk terapi rutin penyakit penyumbatan saluran nafas  asma</t>
  </si>
  <si>
    <t>DKL1128205601A1</t>
  </si>
  <si>
    <t>Maxcef 500 mg 10 Kapsul</t>
  </si>
  <si>
    <t>Rp72.000 - Rp152.600</t>
  </si>
  <si>
    <t>maxcef</t>
  </si>
  <si>
    <t>maxcef kapsul cefadroxil mengatasi infeksi saluran pernafasan  saluran kemih kelamin infeksi kulit jaringan lunak</t>
  </si>
  <si>
    <t>TR012312741</t>
  </si>
  <si>
    <t>Sido Muncul Nonik 30 Kapsul</t>
  </si>
  <si>
    <t>NONIK</t>
  </si>
  <si>
    <t>Rp55.100 - Rp118.800</t>
  </si>
  <si>
    <t>1 kapsul 2 kali sehari</t>
  </si>
  <si>
    <t>Memperlebar saluran pembuluh darah yang mengalami penyempitan dan melancarkan peredaran darah</t>
  </si>
  <si>
    <t>Penderita ginjal (perhatikan anjuran dokter)</t>
  </si>
  <si>
    <t>nonik</t>
  </si>
  <si>
    <t>memperlebar saluran pembuluh darah mengalami penyempitan melancarkan peredaran darah</t>
  </si>
  <si>
    <t>sido muncul nonik</t>
  </si>
  <si>
    <t>sido muncul nonik kapsul nonik memperlebar saluran pembuluh darah mengalami penyempitan melancarkan peredaran darah</t>
  </si>
  <si>
    <t>DBL2215305712A1</t>
  </si>
  <si>
    <t>SP Troches Meiji Rasa Mint 12 Tablet</t>
  </si>
  <si>
    <t>Tablet dihisap perlahan-lahan hingga larut dalam mulut tanpa dikunyah.</t>
  </si>
  <si>
    <t>6 x sehari 1 tablet, tidak lebih dari 8 tablet sehari</t>
  </si>
  <si>
    <t>Untuk infeksi bakteri dan fungi pada mulut dan tenggorokan.</t>
  </si>
  <si>
    <t>Dus, 1 Blister @ 12 Tablet Hisap</t>
  </si>
  <si>
    <t>Pasien yang hipersensitif terhadap obat</t>
  </si>
  <si>
    <t>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</si>
  <si>
    <t>untuk infeksi bakteri fungi mulut tenggorokan</t>
  </si>
  <si>
    <t>sp troches meiji rasa mint</t>
  </si>
  <si>
    <t>sp troches meiji rasa mint tablet dequalinium chloride untuk infeksi bakteri fungi mulut tenggorokan</t>
  </si>
  <si>
    <t>SP Troches Meiji Rasa Mint 6 Tablet</t>
  </si>
  <si>
    <t>Anak usia di atas 10 tahun dan dewasa: 1 tablet, diberikan 6-8 kali per hari (bila perlu). Dosis maksimal: 8 tablet per hari.</t>
  </si>
  <si>
    <t>Dus, 20 Amplop @ 1 Blister @ 6 Tablet Hisap</t>
  </si>
  <si>
    <t>Maksimal 8 tablet per hari. Hati-hati penggunaan tablet ini pada ibu hamil dan menyusui. Tidak dianjurkan penggunaan tablet ini untuk jangka waktu yang panjang.</t>
  </si>
  <si>
    <t>anadex sirup paracetamol dextromethorphan hydrobromide chlorphenamine maleate phenylpropanolamine hydrochloride flu  selesma  batuk  demam nyeri</t>
  </si>
  <si>
    <t>QL192600061</t>
  </si>
  <si>
    <t>Minyak Angin Cap Kapak 10 ml</t>
  </si>
  <si>
    <t>Gosokkan secukupnya pada kening, dada, hidung, atau pada bagian yang sakit lainnya</t>
  </si>
  <si>
    <t>Dioleskan pada bagian yang sakit</t>
  </si>
  <si>
    <t>Membantu meredakan sakit kepala, muntah dalam perjalanan, pilek, encok, dan keseleo</t>
  </si>
  <si>
    <t>Tidak digunakan untuk anak dibawah usia 2 tahun dan langsung digunakan di bawah lubang hidung. Hanya digunakan untuk pemakaian luar saja.</t>
  </si>
  <si>
    <t>membantu meredakan sakit kepala , muntah perjalanan , pilek , encok , keseleo</t>
  </si>
  <si>
    <t>angin cap kapak</t>
  </si>
  <si>
    <t>angin cap kapak minyak camphor membantu meredakan sakit kepala  muntah perjala  pilek  encok  keseleo</t>
  </si>
  <si>
    <t>DKL9621010901B1</t>
  </si>
  <si>
    <t>Pyricef 500 mg 10 Kapsul</t>
  </si>
  <si>
    <t>Rp157.400 - Rp170.100</t>
  </si>
  <si>
    <t>Dus, 5 strip @ 10 Kapsul</t>
  </si>
  <si>
    <t>pyricef</t>
  </si>
  <si>
    <t>pyricef kapsul cefadroxil mengatasi infeksi saluran pernafasan  saluran kemih kelamin infeksi kulit jaringan lunak</t>
  </si>
  <si>
    <t>GBL7802318304A2</t>
  </si>
  <si>
    <t>Paracetamol 500 mg 10 Kaplet</t>
  </si>
  <si>
    <t>Rp2.200 - Rp5.600</t>
  </si>
  <si>
    <t>Dewasa: 1-2 kaplet, 3-4 kali per hari. Penggunaan maximum 8 kaplet per hari. Anak 7-12 tahun : 0.5 - 1 kaplet, 3-4 kali per hari. Penggunaan maximum 4 kaplet per hari.</t>
  </si>
  <si>
    <t>Obat ini digunakan untuk meredakan nyeri ringan hingga sedang seperti sakit kepala, sakit gigi, nyeri otot, serta menurunkan demam.</t>
  </si>
  <si>
    <t>Parasetamol jangan diberikan kepada penderita hipersensitif/alergi terhadap Paracetamol. Penderita gangguan fungsi hati berat.</t>
  </si>
  <si>
    <t>Hati-hati penggunaan pada pasien dengan gagal ginjal, gangguan fungsi hati, dan alergi atau mengalami hipersensitivitas terhadap paracetamol. Kategori kehamilan : Kategori B: Mungkin dapat digunakan oleh wanita hamil. Penelitian pada hewan uji tidak memperlihatkan ada nya risiko terhadap janin, namun belum ada bukti penelitian langsung terhadap wanita hamil.</t>
  </si>
  <si>
    <t>obat meredakan nyeri ringan sakit kepala , sakit gigi , nyeri otot , menurunkan demam</t>
  </si>
  <si>
    <t>paracetamol kaplet obat meredakan nyeri ringan sakit kepala  sakit gigi  nyeri otot  menurunkan demam</t>
  </si>
  <si>
    <t>fasiprim suspensi trimethoprim sulfamethoxazole untuk menbgobati infeksi bakteri saluran kemih  infeksi bakteri saluran pernafasan</t>
  </si>
  <si>
    <t>DKL9508004001B1</t>
  </si>
  <si>
    <t>Indanox 300 mg 6 Kapsul</t>
  </si>
  <si>
    <t>Rp48.800 - Rp60.600</t>
  </si>
  <si>
    <t>PENGGUNAAN OBAT INI HARUS SESUAI DENGAN PETUNJUK DOKTER. Dewasa: infeksi serius, sehari 3-4 x 150-300 mg. Infeksi yang lebih berat</t>
  </si>
  <si>
    <t>DTL0526008837A1</t>
  </si>
  <si>
    <t>OBH Tropica Extra Anak Rasa Jeruk Sirup 60 ml</t>
  </si>
  <si>
    <t>Rp16.900 - Rp24.200</t>
  </si>
  <si>
    <t>Anak â€“ anak 2-5 thn : 3 x sehari, 1 sendok takar ( 5 ml ) Anak â€“ anak 6-12 thn : 3 x sehari, 2 sendok takar ( 10 ml )</t>
  </si>
  <si>
    <t>Digunakan untuk meredakan batuk dan pilek pada anak.</t>
  </si>
  <si>
    <t>Penderita dengan gangguan jantung dan diabtes mellitus. Penderita hipersensitif terhadap salah satu komponen obat ini.</t>
  </si>
  <si>
    <t>digunakan meredakan batuk pilek anak</t>
  </si>
  <si>
    <t>obh tropica extra anak rasa jeruk</t>
  </si>
  <si>
    <t>obh tropica extra anak rasa jeruk sirup ammonium chloride digunakan meredakan batuk pilek anak</t>
  </si>
  <si>
    <t>DTL8715606737A1</t>
  </si>
  <si>
    <t>Andonex Syrup 60 ml</t>
  </si>
  <si>
    <t>Rp21.600 - Rp24.000</t>
  </si>
  <si>
    <t>Dewasa: 1-2 sendok takar 3-4 kali sehari. Anak &gt; 6 tahun: 1/2 - 1 sendok takar, 3-4 kali sehari.</t>
  </si>
  <si>
    <t>Menyembuhkan batuk dengan dahak kental, batuk alergi, batuk karena rangsangan pada selaput pernafasan</t>
  </si>
  <si>
    <t>Hipertiroid, hipertensi, penyakit koroner, terapi yang menggunakan MAOI (penghambat mono amin oksidase).</t>
  </si>
  <si>
    <t>Bayi baru lahir, ibu menyusui, hipertensi, glaukoma, hipertiroidisme.</t>
  </si>
  <si>
    <t>menyembuhkan batuk dahak kental , batuk alergi , batuk rangsangan selaput pernafasan</t>
  </si>
  <si>
    <t>andonex</t>
  </si>
  <si>
    <t>andonex sirup dextromethorphan hydrobromide menyembuhkan batuk dahak kental  batuk alergi  batuk rangsangan selaput pernafasan</t>
  </si>
  <si>
    <t>Andonex Syrup 100 ml</t>
  </si>
  <si>
    <t>Rp20.000 - Rp31.700</t>
  </si>
  <si>
    <t>Botol, Sirup 100 ml x 1</t>
  </si>
  <si>
    <t>DTL1921208253B1</t>
  </si>
  <si>
    <t>Dulcolax Adult 10 mg 5 Suppositoria</t>
  </si>
  <si>
    <t>Rp165.400 - Rp176.100</t>
  </si>
  <si>
    <t>Tablet : Untuk konstipasi : Dewasa dan Anak &gt; 12 tahun : 2-3 tablet/hari. Anak 6-12 tahun : 1 tablet/hari. Suppo : Untuk konstipasi : Dewasa dan Anak &gt; 12 tahun : 1 suppo dewasa (10 mg). Anak &lt; 12 tahun : 1 suppo anak (5 mg).</t>
  </si>
  <si>
    <t>Dus,1 Strip @ 5 Suppositoria Dewasa</t>
  </si>
  <si>
    <t>Hamil dan laktasi. Penggunaan jangka panjang.</t>
  </si>
  <si>
    <t>dulcolax adult</t>
  </si>
  <si>
    <t>dulcolax adult suppositoria bisacodyl terapi konstipasi  persiapan pemeriksaan diagnostik  terapi operasi  kondisi membutuhkan defekasi</t>
  </si>
  <si>
    <t>DKL9400912204A1</t>
  </si>
  <si>
    <t>Fatibact Adult 10 Kaplet</t>
  </si>
  <si>
    <t>Rp7.700 - Rp7.900</t>
  </si>
  <si>
    <t>PENGGUNAAN OBAT INI HARUS SESUAI DENGAN PETUNJUK DOKTER. Dewasa dan anak&gt; 12 tahun 2 x sehari 2 kaplet, 6-12 tahun 2 x sehari 1 kaplet, 6 bulan - 5 tahun 2 x sehari 1/2 kaplet</t>
  </si>
  <si>
    <t>Infeksi saluram urinarius disebabkan kuman E.coli , klebsiella, Aerobacter, dan Proteus</t>
  </si>
  <si>
    <t>Dos 10X10</t>
  </si>
  <si>
    <t>Hipersensitivitas, hamil, menyusui, bayi dibawah umur 2 bulan</t>
  </si>
  <si>
    <t>infeksi saluram urinarius disebabkan kuman e  coli , klebsiella , aerobacter , proteus</t>
  </si>
  <si>
    <t>fatibact adult</t>
  </si>
  <si>
    <t>fatibact adult kaplet sulfamethoxazole infeksi saluram urinarius disebabkan kuman e  coli  klebsiella  aerobacter  proteus</t>
  </si>
  <si>
    <t>DKI0281000401A1</t>
  </si>
  <si>
    <t>Budenofalk 3 mg 10 Kapsul</t>
  </si>
  <si>
    <t>PENGGUNAAN OBAT INI HARUS SESUAI DENGAN PETUNJUK DOKTER. 1 kapsul 3 kali/hari</t>
  </si>
  <si>
    <t>Membantu remisi penyakit Crohn ringan sampai sedang yang melibatkan usus halus ileum dan/atau usus besar menurun</t>
  </si>
  <si>
    <t>Dus, Blister @ 10 kapsul</t>
  </si>
  <si>
    <t>HARUS DENGAN RESEP DOKTER. Hipertensi, TB, DM, osteoporosis, ulkus peptikum, glaukoma, riwayat diabetes, katarak, riwayat glaukoma, gangguan hati, hamil dan laktasi Kategori Kehamilan : C</t>
  </si>
  <si>
    <t>membantu remisi penyakit crohn ringan melibatkan usus halus ileum usus menurun</t>
  </si>
  <si>
    <t>budenofalk</t>
  </si>
  <si>
    <t>budenofalk kapsul budesonide membantu remisi penyakit crohn ringan melibatkan usus halus ileum usus menurun</t>
  </si>
  <si>
    <t>DTL8515605237A1</t>
  </si>
  <si>
    <t>Donexan Dx Sirup 60 ml</t>
  </si>
  <si>
    <t>Rp10.600 - Rp15.500</t>
  </si>
  <si>
    <t>diphenhydramine hydrochloride dextromethorphan hydrobromide phenylephrine hydrochloride ammonium chloride sodium citrate dihydrate</t>
  </si>
  <si>
    <t>donexan dx</t>
  </si>
  <si>
    <t xml:space="preserve">donexan dx sirup diphenhydramine hydrochloride dextromethorphan hydrobromide phenylephrine hydrochloride ammonium chloride sodium citrate dihydrate </t>
  </si>
  <si>
    <t>TR163393731</t>
  </si>
  <si>
    <t>Habbatussauda Kurma Ajwa 50 Kapsul</t>
  </si>
  <si>
    <t>HABBATUSSAUDAH OIL CAP KURMA AJWA</t>
  </si>
  <si>
    <t>Rp40.300 - Rp47.100</t>
  </si>
  <si>
    <t>habbatussaudah oil cap kurma ajwa</t>
  </si>
  <si>
    <t>habbatussauda kurma ajwa kapsul habbatussaudah oil cap kurma ajwa membantu memelihara daya tahan tubuh</t>
  </si>
  <si>
    <t>DKL1440401937A1</t>
  </si>
  <si>
    <t>Durocort Syrup 60 ml</t>
  </si>
  <si>
    <t>PENGGUNAAN OBAT INI HARUS SESUAI DENGAN PETUNJUK DOKTER. Dewasa dan anak diatas umur 12 tahun: 3-4 x sehari 5-10 ml, maks.40 ml/hari. Anak 6-12 tahun: 3 x sehari 1/2 sendok teh (2.5 ml), maks.20 ml/hari. Anak 2-6 tahun: 3 x sehari 1/2 sendok teh (1,25-2,5 ml), maks.15 ml/hari.</t>
  </si>
  <si>
    <t>INFORMASI OBAT INI HANYA UNTUK KALANGAN MEDIS. Pengobatan Kasus gangguan saluran pernapasan, alergi dermatologi, dan ocular serta gangguan inflamasi ocular</t>
  </si>
  <si>
    <t>Ulkus peptikum, infeksi jamur sistemik. Bayi baru lahir &amp; prematur.</t>
  </si>
  <si>
    <t>HARUS DENGAN RESEP DOKTER. Sirosis, herpes simpleks pada mata, emosi labil atau tendensi psikosis, kolitis ulseratif nonspesifik, divertikulitis, anastomosis intestinal yang baru, obstruksi piloroduodenal, insufisiensi ginjal, hipertensi, osteoporosis, miastenia gravis, TBC. Anak.</t>
  </si>
  <si>
    <t>pengobatan kasus gangguan saluran pernapasan , alergi dermatologi , ocular gangguan inflamasi ocular</t>
  </si>
  <si>
    <t>durocort</t>
  </si>
  <si>
    <t>durocort sirup betamethasone pengobatan kasus gangguan saluran pernapasan  alergi dermatologi  ocular gangguan inflamasi ocular</t>
  </si>
  <si>
    <t>DKI1691601017A1</t>
  </si>
  <si>
    <t>Valtrex 500 mg 14 Tablet</t>
  </si>
  <si>
    <t>Rp366.000 - Rp376.000</t>
  </si>
  <si>
    <t>PENGGUNAAN OBAT INI HARUS SESUAI DENGAN PETUNJUK DOKTER. Dewasa herpes zoster 1000 mg 3 kali/hari selama 7 hari. pasien dgn bersihan kreatinin 15-30 ml/mnt 1000 mg 2 kali/hari. Herpes simpleks episode awal 500mg 2 kali/hari selama 10 hr.episode rekuen 500mg 2 kali/hari selama 5 hari. Pasien dengan bersihan kreatin 15-30 mL/mnt tidak perlu modifikasi dosis. Pasien dengan bersihan kreatin &lt;15mL/mnt 500mg 1 kali sehari</t>
  </si>
  <si>
    <t>INFORMASI OBAT INI HANYA UNTUK KALANGAN MEDIS. Herpes zoster, herpes simplek pada kulit, membran mukosa termasuk herpes genital awal dan rekuren</t>
  </si>
  <si>
    <t>Dus, 3 Blister @ 14 Tablet</t>
  </si>
  <si>
    <t>Penderita yang hipersensitif dengan komponen obat</t>
  </si>
  <si>
    <t>HARUS DENGAN RESEP DOKTER. Hipersensitif terhadap asiklovir</t>
  </si>
  <si>
    <t>herpes zoster , herpes simplek kulit , membran mukosa herpes genital rekuren</t>
  </si>
  <si>
    <t>valtrex</t>
  </si>
  <si>
    <t>valtrex tablet valaciclovir hydrochloride herpes zoster  herpes simplek kulit  membran mukosa herpes genital rekuren</t>
  </si>
  <si>
    <t>Braito Eye Drops 10 Botol</t>
  </si>
  <si>
    <t>Rp10.500 - Rp22.600</t>
  </si>
  <si>
    <t>1-2 tetes pada mata yang sakit atau sesuai petunjuk dokter</t>
  </si>
  <si>
    <t>Mengatasi gejala mata kering, menyejukkan mata dan sebagai lubrikan mata.</t>
  </si>
  <si>
    <t>simpan ditempat sejuk, jauhkan dari jangkauan anak-anak</t>
  </si>
  <si>
    <t>mengatasi gejala mata kering , menyejukkan mata lubrikan mata</t>
  </si>
  <si>
    <t>braito eye botol</t>
  </si>
  <si>
    <t>braito eye botol tetes tetrahydrozoline hydrochloride mengatasi gejala mata kering  menyejukkan mata lubrikan mata</t>
  </si>
  <si>
    <t>DKL0833404738A1</t>
  </si>
  <si>
    <t>Droxal Dry Sirup 60 ml</t>
  </si>
  <si>
    <t>Rp64.500 - Rp65.300</t>
  </si>
  <si>
    <t>droxal</t>
  </si>
  <si>
    <t>droxal sirup cefadroxil mengatasi infeksi saluran pernafasan  saluran kemih kelamin infeksi kulit jaringan lunak</t>
  </si>
  <si>
    <t>DBL9415301812A1</t>
  </si>
  <si>
    <t>SP Troches Meiji Rasa Strawberry 12 Tablet</t>
  </si>
  <si>
    <t>Rp17.100 - Rp18.400</t>
  </si>
  <si>
    <t>sp troches meiji rasa strawberry</t>
  </si>
  <si>
    <t>sp troches meiji rasa strawberry tablet dequalinium chloride untuk infeksi bakteri fungi mulut tenggorokan</t>
  </si>
  <si>
    <t>TL162500031</t>
  </si>
  <si>
    <t>Norit 40 Tablet</t>
  </si>
  <si>
    <t>NORIT</t>
  </si>
  <si>
    <t>Rp17.800 - Rp25.900</t>
  </si>
  <si>
    <t>Diminum sesuai dengan indikasi. Tablet diminum dengan air.</t>
  </si>
  <si>
    <t>5-7 tablet per dosis. Dosis maksimum, 20 tablet per hari. Tablet diminum dengan air.</t>
  </si>
  <si>
    <t>Membantu mengurangi frekuensi buang air besar dan menyerap racun pada penderita diare. Bukan sebagai pengganti oralit.</t>
  </si>
  <si>
    <t>Dus, 1 Botol @ 40 Tablet</t>
  </si>
  <si>
    <t>Penggunaan NORIT akan menyebabkan tinja menjadi hitam. Dalam kasus diare akut setelah tiga hari pengobatan, investigasi klinis dan biokimia tambahan harus dilakukan dalam rangka untuk mengetahui penyebab keluhan. Simpan pada tempat kering dan suhu dibawah 30 C. Hindarkan dari sinar matahari langsung.</t>
  </si>
  <si>
    <t>norit</t>
  </si>
  <si>
    <t>membantu mengurangi frekuensi buang air menyerap racun penderita diare  bukan pengganti oralit</t>
  </si>
  <si>
    <t>norit tablet membantu mengurangi frekuensi buang air menyerap racun penderita diare  bukan pengganti oralit</t>
  </si>
  <si>
    <t>DKL0104418410A1</t>
  </si>
  <si>
    <t>Citaz 50 mg 10 Tablet</t>
  </si>
  <si>
    <t>Rp54.700 - Rp90.300</t>
  </si>
  <si>
    <t>Diberikan sekurang-kurangnya 30 menit sebelum atau 2 jam sesudah makan.</t>
  </si>
  <si>
    <t>DBL1000203935A1</t>
  </si>
  <si>
    <t>Pedialyte Bubble Gum Syrup 500 ml</t>
  </si>
  <si>
    <t>Rp41.800 - Rp53.900</t>
  </si>
  <si>
    <t>pedialyte bubble gum</t>
  </si>
  <si>
    <t>pedialyte bubble gum larutan dextrose monohydrate meggulangi dehidrasi ringan bayi anak  anak akibat diare</t>
  </si>
  <si>
    <t>Kondom Durex Play Vibration Ring</t>
  </si>
  <si>
    <t>Rp114.000 - Rp125.400</t>
  </si>
  <si>
    <t>Durex Vibration Ring sangat mudah digunakan cukup dengan memijat tombol On / Off dan Anda akan mendapatkan pengalaman yang unik.</t>
  </si>
  <si>
    <t>Memberikan stimulasi ekstra berupa getaran saat berhubungan intim</t>
  </si>
  <si>
    <t>memberikan stimulasi ekstra getaran berhubungan intim</t>
  </si>
  <si>
    <t>kondom durex play vibration ring</t>
  </si>
  <si>
    <t>kondom durex play vibration ring tablet sildenafil citrate memberikan stimulasi ekstra getaran berhubungan intim</t>
  </si>
  <si>
    <t>DKL1633535517A1</t>
  </si>
  <si>
    <t>Nistrol 10 mg 10 Tablet</t>
  </si>
  <si>
    <t>Rp74.300 - Rp99.000</t>
  </si>
  <si>
    <t>PENGGUNAAN OBAT INI HARUS SESUAI DENGAN PETUNJUK DOKTER. Dewasa: Dosis awal: 5 mg atau 10 mg diminum 1 x sehari, dosis dapat ditingkatkan setelah pemberian obat selama 4 minggu hingga 20 mg setiap hari jika perlu. Maksimal: 40 mg diminum 1 x sehari. Anak: Hypercholesterolaemia familial heterozigot: Usia ?10 tahun: Dosis awal: 5 mg diminum 1 x sehari, dosis dapat disesuaikan dengan kondisi pasien, minimal setelah pemberian obat selama 4 minggu. Maksimal: 20 mg diminum 1x sehari.</t>
  </si>
  <si>
    <t>INFORMASI OBAT INI HANYA UNTUK KALANGAN MEDIS. Digunakan menurunkan kadar lemak jahat, mencegah kejadian kardiovaskular (jantung) pada pasien yang berisiko tinggi</t>
  </si>
  <si>
    <t>Tidak diberikan pada penderuita penyakit hati aktif atau peningkatan transaminase serum persisten yan tidak dapat dijelaskan, gangguan ginjal berat, wanita hamil dan menyusui, dan tidak boleh digunakan bersamaan dengan siklosporin dan gemfibrozol.</t>
  </si>
  <si>
    <t>HARUS DENGAN RESEP DOKTER. Peningkatan gula darah dan kadar hemoglobin glikolisasi, gangguan hati, ibu menyusui dan wanita hamil. Kategori kehamilan: Kategori X: Kontraindikasi (tidak boleh digunakan). Terdapat hasil penelitian terhadap hewan uji dan manusia yang memperlihatkan abnormalitas terhadap janin. Obat ini dikontraindikasikan untuk wanita hamil dan yang berkemungkinan untuk hamil.</t>
  </si>
  <si>
    <t>rosuvastatin</t>
  </si>
  <si>
    <t>digunakan menurunkan kadar lemak jahat , mencegah kejadian kardiovaskular jantung pasien berisiko</t>
  </si>
  <si>
    <t>nistrol</t>
  </si>
  <si>
    <t>nistrol tablet rosuvastatin digunakan menurunkan kadar lemak jahat  mencegah kejadian kardiovaskular jantung pasien berisiko</t>
  </si>
  <si>
    <t>DTL1422253136A1</t>
  </si>
  <si>
    <t>Edorisan Oral Drop 15 ml</t>
  </si>
  <si>
    <t>Rp73.400 - Rp75.400</t>
  </si>
  <si>
    <t>Anak-anak 2-5 thn : 0,8 mL 3 kali sehari.</t>
  </si>
  <si>
    <t>Mengatasi gejala hidung tersumbat krn selesma (common cold).</t>
  </si>
  <si>
    <t>Pasien dengan disfungsi hati &amp; ginjal, hipertrofi prostat, hipertiroidisme, glaukoma, retensi urin, penyakit jantung, DM. Kehamilan &amp; laktasi. Bayi &lt;2 thn.</t>
  </si>
  <si>
    <t>mengatasi gejala hidung tersumbat krn selesma common cold</t>
  </si>
  <si>
    <t>edorisan oral drop</t>
  </si>
  <si>
    <t>edorisan oral drop tetes pseudoephedrine hydrochloride mengatasi gejala hidung tersumbat krn selesma common cold</t>
  </si>
  <si>
    <t>DKL9522712129A1</t>
  </si>
  <si>
    <t>Scanovir 5% Cream 10 g</t>
  </si>
  <si>
    <t>PENGGUNAAN OBAT INI HARUS SESUAI DENGAN PETUNJUK DOKTER. Oleskan 6 kali sehari selama 5-10 hari</t>
  </si>
  <si>
    <t>Infeksi herpes simpleks pada kulit, termasuk infeksi awal dan rekuren dari herpes genital dan herpes labialis</t>
  </si>
  <si>
    <t>HARUS DENGAN RESEP DOKTER. Hindari kontak dengan mata, mulut, vagina</t>
  </si>
  <si>
    <t>infeksi herpes simpleks kulit , infeksi rekuren herpes genital herpes labialis</t>
  </si>
  <si>
    <t>scanovir cream</t>
  </si>
  <si>
    <t>scanovir cream krim aciclovir infeksi herpes simpleks kulit  infeksi rekuren herpes genital herpes labialis</t>
  </si>
  <si>
    <t>acetylsalicylic acid glycine</t>
  </si>
  <si>
    <t>proxime tablet acetylsalicylic acid glycine membantu mencegah serangan jantung  stroke  antiplatelet menghambat pembekuan darah</t>
  </si>
  <si>
    <t>Minyak Angin Cap Kapak 14 ml</t>
  </si>
  <si>
    <t>Rp25.400 - Rp28.000</t>
  </si>
  <si>
    <t>Membantu meredakan sakit kepala, muntah dalam perjalanan, pilek, encok, keseleo</t>
  </si>
  <si>
    <t>Botol 14 ml</t>
  </si>
  <si>
    <t>Tidak digunakan untuk anak dibawah usia 2 tahun</t>
  </si>
  <si>
    <t>DTL0204419537A1</t>
  </si>
  <si>
    <t>Librofed Sirup 60 ml</t>
  </si>
  <si>
    <t>Rp22.800 - Rp25.400</t>
  </si>
  <si>
    <t>Dewasa dan anak &gt; 12 tahun : 5 ml 3 kali sehari</t>
  </si>
  <si>
    <t>DKL0122234153B1</t>
  </si>
  <si>
    <t>Trichodazol Suppositoria</t>
  </si>
  <si>
    <t>Rp21.900 - Rp28.000</t>
  </si>
  <si>
    <t>digunakan untuk mengobati beberapa jenis infeksi yang disebabkan oleh bakteri anaerob dan protozoa seperti uretritis dan vaginitis karena Trichomonas vaginalis.</t>
  </si>
  <si>
    <t>box, 10 suppositoria</t>
  </si>
  <si>
    <t>mengobati jenis infeksi disebabkan bakteri anaerob protozoa uretritis vaginitis trichomonas vaginalis</t>
  </si>
  <si>
    <t>trichodazol</t>
  </si>
  <si>
    <t>trichodazol suppositoria metronidazole mengobati jenis infeksi disebabkan bakteri anaerob protozoa uretritis vaginitis trichomonas vaginalis</t>
  </si>
  <si>
    <t>DTL7809322737A1</t>
  </si>
  <si>
    <t>Ikadryl Rasa Apel Sirup 60 ml</t>
  </si>
  <si>
    <t>Rp13.500 - Rp20.400</t>
  </si>
  <si>
    <t>Dewasa dan anak : 1-2 sendok takar tiap 4 jam</t>
  </si>
  <si>
    <t>Batuk yang berhubungan dengan selesma, flu, dan iritasi pernafasan lain, bronkitis alergi</t>
  </si>
  <si>
    <t>Sirup (Rasa Apel) 100 ml X 1</t>
  </si>
  <si>
    <t>Neonatus atau bayi prematur, serangan asma akut</t>
  </si>
  <si>
    <t>Glaukoma sudut sempit, retensi urin, hipertrofi prostat. Dapat mengganggu kemampuan mengemudi atau menjalankan mesin</t>
  </si>
  <si>
    <t>batuk berhubungan selesma , flu , iritasi pernafasan , bronkitis alergi</t>
  </si>
  <si>
    <t>ikadryl rasa apel</t>
  </si>
  <si>
    <t>ikadryl rasa apel sirup ammonium chloride batuk berhubungan selesma  flu  iritasi pernafasan  bronkitis alergi</t>
  </si>
  <si>
    <t>orezinc sirup zinc sulfate monohydrate terapi pelengkap diare anak dikombinasikan ors oral rehydration salt</t>
  </si>
  <si>
    <t>- KOMBINASI-ITRACONAZOLE PELLET 22%</t>
  </si>
  <si>
    <t>- KOMBINASI-ITRACONAZOLE PELLET 22.0</t>
  </si>
  <si>
    <t>DBL0718820733A1</t>
  </si>
  <si>
    <t>Opidiar Suspensi 120 ml</t>
  </si>
  <si>
    <t>Rp25.200 - Rp28.200</t>
  </si>
  <si>
    <t>Dewasa: diminum 3-4 kali sehari, 2 sendok takar (10 ml)stelah buang air besar , maksimum 8 sendok takar (40 mL). Anak usia 6 -12 tahun: diminum 3-4 kali sehari, 1 sendok takar (5 ml) setelah buang air besar, maksimum 4 sendok takar (20 mL). Anak &lt; 6 tahun: sesuai petunjuk Dokter.</t>
  </si>
  <si>
    <t>Digunakan untuk menghentikan diare dan mengurangi frekuensi buang air besar dan memperbaiki konsistensi feses yang cair.</t>
  </si>
  <si>
    <t>Dus, Botol @120 ml</t>
  </si>
  <si>
    <t>Hipersensitif, penderita obstruksi obat.</t>
  </si>
  <si>
    <t>Dehidrasi, dema tinggi, jika gejala-gejala masih berlansung terus, konsultasikan dengan dokter.</t>
  </si>
  <si>
    <t>digunakan menghentikan diare mengurangi frekuensi buang air memperbaiki konsistensi fes cair</t>
  </si>
  <si>
    <t>opidiar</t>
  </si>
  <si>
    <t>opidiar suspensi kaolin digunakan menghentikan diare mengurangi frekuensi buang air memperbaiki konsistensi fes cair</t>
  </si>
  <si>
    <t>QD142712221</t>
  </si>
  <si>
    <t>Parcok Sport Hot Sachet 2 g</t>
  </si>
  <si>
    <t>Rp600 - Rp1.100</t>
  </si>
  <si>
    <t>Oles dan gosokkan pada tempat yang sakit</t>
  </si>
  <si>
    <t>Membantu meredakan nyeri otot setelah olahraga, aktivitas tinggi, keseleo, dan nyeri punggung.</t>
  </si>
  <si>
    <t>Sachet @ 2 Gram</t>
  </si>
  <si>
    <t>Obat luar tidak untuk dimakan. Tidak digunakan untuk anak dibawah 3 tahun. Jangan digunakan langsung dibawah lubang hidung.</t>
  </si>
  <si>
    <t>membantu meredakan nyeri otot olahraga , aktivitas , keseleo , nyeri punggung</t>
  </si>
  <si>
    <t>parcok sport hot</t>
  </si>
  <si>
    <t>parcok sport hot sachet camphora membantu meredakan nyeri otot olahraga  aktivitas  keseleo  nyeri punggung</t>
  </si>
  <si>
    <t>DTL2113323537A1</t>
  </si>
  <si>
    <t>Lanos Plus Sirup 60 ml</t>
  </si>
  <si>
    <t>Di atas 12 tahun: 2 sendok takar (10ml), 3 kali sehari. Anak 6-12 tahun: 1 sendok takar (5ml), 3 kali sehari. Anak 2-6 tahun : 2.5ml, 3 kali sehari. Anak &lt;2 tahun : atas petunjuk dokter</t>
  </si>
  <si>
    <t>Meringankan bersin-bersin dan hidung tersumbat akibat pilek</t>
  </si>
  <si>
    <t>Gangguan ginjal dan hati, glaukoma, hipertrofi prostat, hipertiroidisme, retensi urin, hipertensi berat, pasien debilitas, hipoksia, asma, empisema, anak &lt;6 tahun, usia lanjut, hamil, dan laktasi</t>
  </si>
  <si>
    <t>meringankan bersin - bersin hidung tersumbat akibat pilek</t>
  </si>
  <si>
    <t>lanos plus</t>
  </si>
  <si>
    <t>lanos plus sirup pseudoephedrine hydrochloride chlorphenamine maleate meringankan bersin  bersin hidung tersumbat akibat pilek</t>
  </si>
  <si>
    <t>Rydian 10 mg 10 Tablet</t>
  </si>
  <si>
    <t>Rp43.000 - Rp62.000</t>
  </si>
  <si>
    <t>Pengobatan perenneal rhinitis, alergi rhinitis yang bersifat musiman, urtikaria idiopatik kronis.</t>
  </si>
  <si>
    <t>Wanita hamil dan menyusui, bayi dan anak-anak jurang dari 2 tahun, penyakit ginjal berat, hipersensitif terhadap cetirizine, idiosinkrasi terhadap cetirizine dan hidroksizin.</t>
  </si>
  <si>
    <t>Obat Wajib Apotek, Obat ini dapat dibeli dan diserahkan apoteker tanpa resep dengan maksimum 1 Strip. Pembelian melebihi batas ini WAJIB RESEP DOKTER. Wanita hamil dan menyusui, bayi dan anak-anak &lt; 2 tahun, penyakit ginjal berat, hipersensitif terhadap cetirizine, idiosinkrasi terhadap cetirizine dan hidroksizin.</t>
  </si>
  <si>
    <t>pengobatan perenneal rhinitis , alergi rhinitis bersifat musiman , urtikaria idiopatik kronis</t>
  </si>
  <si>
    <t>rydian</t>
  </si>
  <si>
    <t>rydian tablet cetirizine hydrochloride pengobatan perenneal rhinitis  alergi rhinitis bersifat musiman  urtikaria idiopatik kronis</t>
  </si>
  <si>
    <t>DKL9702323610A1</t>
  </si>
  <si>
    <t>Sinral 5 mg 10 Tablet</t>
  </si>
  <si>
    <t>Rp48.700 - Rp64.100</t>
  </si>
  <si>
    <t>PENGGUNAAN OBAT INI HARUS SESUAI DENGAN PETUNJUK DOKTER. Dewasa: 10 mg per hari, berikan pada malam hari. Dosis pemeliharaan: 10 mg / hari 5 kali/minggu.</t>
  </si>
  <si>
    <t>Pemeliharaan terapi migrain, pusing vestibular, gangguan sirkulasi perifer karena arteriopati organik</t>
  </si>
  <si>
    <t>HARUS DENGAN RESEP DOKTER. Penderita dengan riwayat depresi, parkinson, penderita yang sedang menerima terapi dengan obat beta bloker, hamil, laktasi</t>
  </si>
  <si>
    <t>pemeliharaan terapi migrain , pusing vestibular , gangguan sirkulasi perifer arteriopati organik</t>
  </si>
  <si>
    <t>sinral</t>
  </si>
  <si>
    <t>sinral tablet flunarizine hydrochloride pemeliharaan terapi migrain  pusing vestibular  gangguan sirkulasi perifer arteriopati organik</t>
  </si>
  <si>
    <t>rz sirup zinc sulfate monohydrate pelengkap pengobatan diare anak  anak dibawah 5  larutan oralit</t>
  </si>
  <si>
    <t>TI154549161</t>
  </si>
  <si>
    <t>Ardium 500 mg 15 Tablet</t>
  </si>
  <si>
    <t>ARDIUM</t>
  </si>
  <si>
    <t>Rp157.400 - Rp173.100</t>
  </si>
  <si>
    <t>Sebaiknya diberikan pada waktu makan</t>
  </si>
  <si>
    <t>Untuk gangguan peredaran darah di kaki/varises dan wasir kronik: 2 Tablet/Hari. Untuk wasir akut: 6 Tablet/Hari selama 4 hari, kemudian 4 Tablet/Hari selama 3 hari.</t>
  </si>
  <si>
    <t>Membantu meringankan gangguan peredaran darah di kaki / varises. Membantu meringankan wasir kronik dan akut.</t>
  </si>
  <si>
    <t>Dus, 4 Blister @ 15 Tablet</t>
  </si>
  <si>
    <t>ardium</t>
  </si>
  <si>
    <t>membantu meringankan gangguan peredaran darah kaki varises  membantu meringankan wasir kronik akut</t>
  </si>
  <si>
    <t>ardium tablet membantu meringankan gangguan peredaran darah kaki varises  membantu meringankan wasir kronik akut</t>
  </si>
  <si>
    <t>tobramycin dexamethasone sodium phosphate</t>
  </si>
  <si>
    <t>cendo tobroson minidose tetes tobramycin dexamethasone sodium phosphate infeksi mata disebabkan bakteri membutuhkan kortikosteroid</t>
  </si>
  <si>
    <t>DKL9508004001A1</t>
  </si>
  <si>
    <t>Indanox 150 mg 6 Kapsul</t>
  </si>
  <si>
    <t>DTL1818217737A1</t>
  </si>
  <si>
    <t>Bronchitin Sirup 60 ml</t>
  </si>
  <si>
    <t>Rp10.700 - Rp12.600</t>
  </si>
  <si>
    <t>- Anak usia 6-12 tahun: 5 ml setiap 6-8 jam. Maksimal 4 dosis dalam 24 jam.</t>
  </si>
  <si>
    <t>Untuk sementara meredakan gejala demam, hidung tersumbat, dan batuk berdahak.</t>
  </si>
  <si>
    <t>Obat ini menyebabkan rasa kantuk, sebaiknya hindari mengemudikan kendaraan bermotor atau mengoperasikan mesin. Segera konsultasikan ke dokter bila nyeri atau demam bertambah atau tidak membaik dalam 3 hari.</t>
  </si>
  <si>
    <t>paracetamol guaifenesin phenylephrine hydrochloride</t>
  </si>
  <si>
    <t>untuk meredakan gejala demam , hidung tersumbat , batuk berdahak</t>
  </si>
  <si>
    <t>bronchitin sirup paracetamol guaifenesin phenylephrine hydrochloride untuk meredakan gejala demam  hidung tersumbat  batuk berdahak</t>
  </si>
  <si>
    <t>kalcinoln cream krim neomycin sulfate fluocinolone acetonide dermatosis alergi inflamasi disertai pioderma primer sekunder</t>
  </si>
  <si>
    <t>TR182617841</t>
  </si>
  <si>
    <t>Herbakof Kids Sirup Rasa Jeruk 60 ml</t>
  </si>
  <si>
    <t>HerbaKof Kids</t>
  </si>
  <si>
    <t>Rp11.800 - Rp20.400</t>
  </si>
  <si>
    <t>Anak anak 2-12 tahun: 5 ml , 3 kali sehari</t>
  </si>
  <si>
    <t>Membantu meredakan batuk dan membantu melegakan tenggorokan pada anak</t>
  </si>
  <si>
    <t>herbakof kids</t>
  </si>
  <si>
    <t>membantu meredakan batuk membantu melegakan tenggorokan anak</t>
  </si>
  <si>
    <t>herbakof kids rasa jeruk</t>
  </si>
  <si>
    <t>herbakof kids rasa jeruk sirup herbakof kids membantu meredakan batuk membantu melegakan tenggorokan anak</t>
  </si>
  <si>
    <t>TI074625871</t>
  </si>
  <si>
    <t>A. Vogel Bronchosan Pine Cough Sirup 100 ml</t>
  </si>
  <si>
    <t>BRONCHOSAN PINE COUGH SYRUP</t>
  </si>
  <si>
    <t>Rp434.200 - Rp474.700</t>
  </si>
  <si>
    <t>Gunakan gelas ukur yang tersedia. Dewasa dan anak-anak di atas 12 tahun: 5 ? 10 ml (1 ? 2 sendok teh), diminum 2 ? 4 kali sehari. Tidak dianjurkan untuk anak di bawah 12 tahun, ibu hamil, dan menyusui, kecuali dengan saran dokter.</t>
  </si>
  <si>
    <t>Membantu meredakan batuk kering.</t>
  </si>
  <si>
    <t>Tidak dianjurkan untuk anak di bawah 12 tahun, ibu hamil, dan menyusui, kecuali dengan saran dokter.</t>
  </si>
  <si>
    <t>bronchosan pine cough syrup</t>
  </si>
  <si>
    <t>membantu meredakan batuk kering</t>
  </si>
  <si>
    <t>a vogel bronchosan pine cough</t>
  </si>
  <si>
    <t>a vogel bronchosan pine cough sirup bronchosan pine cough syrup membantu meredakan batuk kering</t>
  </si>
  <si>
    <t>cendo tobroson eye tetes tobramycin dexamethasone sodium phosphate infeksi mata disebabkan bakteri membutuhkan kortikosteroid</t>
  </si>
  <si>
    <t>DTL1622725104A1</t>
  </si>
  <si>
    <t>Bodrex Flu 4 Kaplet</t>
  </si>
  <si>
    <t>Dewasa: 1 kaplet 3 kali sehari.</t>
  </si>
  <si>
    <t>Meredakan gejala flu seperti hidung tersumbat, bersin-bersin, demam, dan sakit kepala.</t>
  </si>
  <si>
    <t>meredakan gejala flu hidung tersumbat , bersin - bersin , demam , sakit kepala</t>
  </si>
  <si>
    <t>bodrex flu</t>
  </si>
  <si>
    <t>bodrex flu kaplet paracetamol meredakan gejala flu hidung tersumbat  bersin  bersin  demam  sakit kepala</t>
  </si>
  <si>
    <t>DKI1026100375B1</t>
  </si>
  <si>
    <t>Flutias 125 mcg Inhaler</t>
  </si>
  <si>
    <t>Rp138.200 - Rp234.500</t>
  </si>
  <si>
    <t>untuk pengobatan penyakit obstruksi saluran napas yang reversible termasuk asma</t>
  </si>
  <si>
    <t>fluticasone propionate salmeterol xinafoate</t>
  </si>
  <si>
    <t>pengobatan penyakit obstruksi saluran napa reversible asma</t>
  </si>
  <si>
    <t>flutias inhaler</t>
  </si>
  <si>
    <t>flutias inhaler inhaler fluticasone propionate salmeterol xinafoate pengobatan penyakit obstruksi saluran napa reversible asma</t>
  </si>
  <si>
    <t>Stomach Tube / Ngt Terumo No.14</t>
  </si>
  <si>
    <t>Rp12.600 - Rp41.100</t>
  </si>
  <si>
    <t>Untuk nutrisi/ pemberian cairan makanan melalui mulut atau hidung.</t>
  </si>
  <si>
    <t>untuk nutrisi pemberian cairan makanan mulut hidung</t>
  </si>
  <si>
    <t>stomach tube ngt terumo no larutan povidoneiodine untuk nutrisi pemberian cairan maka mulut hidung</t>
  </si>
  <si>
    <t>DKL9222211910A1</t>
  </si>
  <si>
    <t>Formyco 200 mg 10 Tablet</t>
  </si>
  <si>
    <t>Rp73.400 - Rp76.800</t>
  </si>
  <si>
    <t>PENGGUNAAN OBAT INI HARUS SESUAI DENGAN PETUNJUK DOKTER. Dewasa : 1 tablet sekali sehari. Infeksi berat : 2 tablet perhari. Anak &gt; 2 tahun : 5 mg/kg BB/hari.</t>
  </si>
  <si>
    <t>Infeksi jamur sistemik, Kandidiasis mukokutan khronis yang tidak responsif terhadap Nistatin &amp; obat-obat lainnya</t>
  </si>
  <si>
    <t>Hipersensitivitas terhadap Ketokonazol. Penderita penyakit hati akut dan meningitis kriptokokus.</t>
  </si>
  <si>
    <t>HARUS DENGAN RESEP DOKTER. Hamil dan laktasi. Insufisiensi adrenal. Tes fungsi hati pada pada penggunaan kronik Kategori Kehamilan : C</t>
  </si>
  <si>
    <t>infeksi jamur sistemik , kandidiasis mukokutan khronis tidak responsif nistatin obat - obat</t>
  </si>
  <si>
    <t>formyco</t>
  </si>
  <si>
    <t>formyco tablet ketoconazole infeksi jamur sistemik  kandidiasis mukokutan khronis tidak responsif nistatin obat  obat</t>
  </si>
  <si>
    <t>DBL9604414933A1</t>
  </si>
  <si>
    <t>Anflat Sirup 100 ml</t>
  </si>
  <si>
    <t>Rp18.700 - Rp30.400</t>
  </si>
  <si>
    <t>Diberikan saat perut kosong : 1 jam sebelum makan atau 2 jam sesudah makan</t>
  </si>
  <si>
    <t xml:space="preserve">Dewasa : 3-4 x sehari 5-10 ml </t>
  </si>
  <si>
    <t>DKL8714802610A1</t>
  </si>
  <si>
    <t>Zoralin 200 mg 10 Tablet</t>
  </si>
  <si>
    <t>Rp25.100 - Rp40.100</t>
  </si>
  <si>
    <t>Dus, isi 10 blister @ 10 tablet</t>
  </si>
  <si>
    <t>hipersensitivitas, gangguan hati, terfenadin, astemizol,.</t>
  </si>
  <si>
    <t>zoralin</t>
  </si>
  <si>
    <t>zoralin tablet ketoconazole infeksi jamur sistemik  kandidiasis mukokutan khronis tidak responsif nistatin obat  obat</t>
  </si>
  <si>
    <t>DTL1909611637A1</t>
  </si>
  <si>
    <t>Fitrazinc 20 mg/5 ml Sirup 60 ml</t>
  </si>
  <si>
    <t>Sebelum makan (perut kosong)</t>
  </si>
  <si>
    <t>Bayi 2-6 bulan : 1/2 sendok takar (10mg) setiap hari selama 10 hari berturut-turut (meskipun diare sudah berhenti), anak-anak 6 bulan-5tahun : 1 sendok takar (20 mg) setiap hari selama 10 hari berturut-turut (meskipun diare sudah berhenti).</t>
  </si>
  <si>
    <t>Selama diare masih berlangsung, selain diberikan suplementasi Zinc, juga diberikan ORS, para ibu menyusui dianjurkan tetap menyusui atau meningkatkan frekuensi menyusui pada anak selama dan setelah diare.</t>
  </si>
  <si>
    <t>fitrazinc</t>
  </si>
  <si>
    <t>fitrazinc sirup zinc sulfate monohydrate pelengkap pengobatan diare anak  anak dibawah 5  larutan oralit</t>
  </si>
  <si>
    <t>DTL1926013837A1</t>
  </si>
  <si>
    <t>Tropidryl Plus Sirup 120 ml</t>
  </si>
  <si>
    <t>Rp12.600 - Rp18.000</t>
  </si>
  <si>
    <t>Ekspektoran &amp; antitusiv untuk meringankan batuk karena pilek atau alergi.</t>
  </si>
  <si>
    <t>diphenhydramine hydrochloride guaifenesin ammonium chloride</t>
  </si>
  <si>
    <t>ekspektoran antitusiv meringankan batuk pilek alergi</t>
  </si>
  <si>
    <t>tropidryl plus sirup diphenhydramine hydrochloride guaifenesin ammonium chloride ekspektoran antitusiv meringankan batuk pilek alergi</t>
  </si>
  <si>
    <t>TR092201211</t>
  </si>
  <si>
    <t>Permen Tolak Angin Lozenges Sachet</t>
  </si>
  <si>
    <t>TOLAK ANGIN</t>
  </si>
  <si>
    <t>Rp2.500 - Rp3.000</t>
  </si>
  <si>
    <t>Permen dihisap. Jangan dikunyah.</t>
  </si>
  <si>
    <t>Permen herbal yang dapat memberikan sensasi melegakan tenggorokan. Baik untuk perjalanan jauh.</t>
  </si>
  <si>
    <t>Plastik @ 5 Lozenges @ 2 g</t>
  </si>
  <si>
    <t>Simpan di tempat yang sejuk dan kering</t>
  </si>
  <si>
    <t>tolak angin</t>
  </si>
  <si>
    <t>permen herbal sensasi melegakan tenggorokan  baik perjalanan</t>
  </si>
  <si>
    <t>permen tolak angin lozenges</t>
  </si>
  <si>
    <t>permen tolak angin lozenges sachet tolak angin permen herbal sensasi melegakan tenggorokan  baik perjala</t>
  </si>
  <si>
    <t>TR133371891</t>
  </si>
  <si>
    <t>Kamil 3 In 1 210 Kapsul</t>
  </si>
  <si>
    <t>KAPSUL 3 IN 1 MINYAK JINTEN HITAM, MINYAK ZAITUN &amp; PROPOLIS KAMIL</t>
  </si>
  <si>
    <t>Rp82.400 - Rp170.700</t>
  </si>
  <si>
    <t>Kesehatan dan stamina : 3x1 kapsul sehari, penyakit ringan : 3x2 kapsul sehari, anak-anak : 2x1 kapsul sehari</t>
  </si>
  <si>
    <t>Botol 210 kapsul</t>
  </si>
  <si>
    <t>kapsul 3 in 1 minyak jinten hitam, minyak zaitun &amp; propolis kamil</t>
  </si>
  <si>
    <t>kamil in</t>
  </si>
  <si>
    <t xml:space="preserve">kamil in kapsul kapsul 3 in 1 minyak jinten hitam minyak zaitun  propolis kamil </t>
  </si>
  <si>
    <t>DBL1033405436A1</t>
  </si>
  <si>
    <t>Kamolas Drops 15 ml</t>
  </si>
  <si>
    <t>Rp34.700 - Rp35.800</t>
  </si>
  <si>
    <t>Anak 12-23 bulan : 1.2 mL. Bayi 4-11 bulan : 0.8 mL. Bayi 0-3 bulan : 0.4 mL. Diberikan 3-4 x sehari</t>
  </si>
  <si>
    <t>Demam, Nyeri ringan, sakit &amp; tidak nyaman akibat Pilek, Flu, Vaksinasi &amp; Tonsilektomi</t>
  </si>
  <si>
    <t>demam , nyeri ringan , sakit tidak nyaman akibat pilek , flu , vaksinasi tonsilektomi</t>
  </si>
  <si>
    <t>kamolas tetes paracetamol demam  nyeri ringan  sakit tidak nyaman akibat pilek  flu  vaksinasi tonsilektomi</t>
  </si>
  <si>
    <t>DKI1629600267C1</t>
  </si>
  <si>
    <t>Seretide Diskus 50/500 mcg 60 Dosis</t>
  </si>
  <si>
    <t>Rp381.800 - Rp475.000</t>
  </si>
  <si>
    <t>Dihirup</t>
  </si>
  <si>
    <t>PENGGUNAAN OBAT INI HARUS SESUAI DENGAN PETUNJUK DOKTER. Penyakit Obstruksi Sal Napas yg Reversibel Dws &amp; anak ?4 thn 2 inhalasi Seretide Inhaler 50 atau 125 atau 1 inhalasi Seretide Diskus 100, 250, atau 500. PPOK Dws 2 inhalasi Seretide Inhaler 125 atau 1 inhalasi Seretide Diskus 250 atau 500. Semua dosis diberikan 2 x/hr.</t>
  </si>
  <si>
    <t>Dus, Strip @ 60 blister dosis</t>
  </si>
  <si>
    <t>DKI2197301017B1</t>
  </si>
  <si>
    <t>Exforge 5 mg/160 mg 14 Tablet</t>
  </si>
  <si>
    <t>Rp255.000 - Rp325.000</t>
  </si>
  <si>
    <t>INFORMASI OBAT INI HANYA UNTUK KALANGAN MEDIS. Hipertensi esensial pada pasien yang tekanan darahnya tidak terkontrol secara adekuat dengan monoterapi.</t>
  </si>
  <si>
    <t>Dus, 2 Blister @ 14 Tablet Salut</t>
  </si>
  <si>
    <t>Hipersensitivitas. Pasien dengan angioedema herediter atau yang mengalami angioedema selama pengobatan sebelumnya dengan ACE inhibitor atau antagonis reseptor angiotensin II. Penggunaan bersama dengan aliskiren pada diabetes tipe II. Gangguan hati berat, chirrosis bilier, atau kolestasis. Kehamilan, menyusui.</t>
  </si>
  <si>
    <t>HARUS DENGAN RESEP DOKTER. Pasien dengan stenosis arteri ginjal unilateral atau bilateral, stenosis ke ginjal soliter atau setelah transplantasi ginjal baru-baru ini, gagal jantung kongestif serius, gagal jantung kronis berat, infark miokard akut, CAD obstruktif berat, stenosis aorta dan mitral atau kardiomiopati hipertrofik obstruktif. Pemberian bersama dg agen yang memblokir sistem renin-angiotensin misalnya, ACE inhibitor atau aliskiren. Hindari penggunaan bersamaan dengan aliskiren pada pasien dengan GFR &lt;30 mL/mnt. Hentikan jika angioedema berkembang. Gangguan ginjal berat (CrCl &lt;10 mL/menit), gangguan hati atau gangguan obstruktif bilier. Hindari penggunaan pada wanita yang berencana untuk hamil, selama kehamilan &amp; saat menyusui. Tidak direkomendasikan pada anak &lt;18 thn. Katagori kehamilan : Katagori D : Terbukti berisiko terhadap janin. Meski demikian, obat masih dapat digunakan jika obat diperlukan untuk mengatasi keadaan yang mengancam jiwa, atau penyakit serius, dimana obat yang lebih aman tidak dapat digunakan atau tidak efektif.</t>
  </si>
  <si>
    <t>hipertensi esensial pasien tekanan darahnya tidak terkontrol adekuat monoterapi</t>
  </si>
  <si>
    <t>exforge</t>
  </si>
  <si>
    <t>exforge tablet valsartan amlodipine besilate hipertensi esensial pasien teka darahnya tidak terkontrol adekuat monoterapi</t>
  </si>
  <si>
    <t>DTL1921208253A1</t>
  </si>
  <si>
    <t>Dulcolax Pediatric 5 mg 6 Suppositoria</t>
  </si>
  <si>
    <t>Rp69.900 - Rp154.500</t>
  </si>
  <si>
    <t>Suppo : Untuk konstipasi : Dewasa dan Anak &gt; 12 tahun : 1 suppo dewasa (10 mg). Anak &lt; 12 tahun : 1 suppo anak (5 mg). Untuk</t>
  </si>
  <si>
    <t>Dus, 1 Strip @ 6 Suppositoria</t>
  </si>
  <si>
    <t>dulcolax pediatric</t>
  </si>
  <si>
    <t>dulcolax pediatric suppositoria bisacodyl terapi konstipasi  persiapan pemeriksaan diagnostik  terapi operasi  kondisi membutuhkan defekasi</t>
  </si>
  <si>
    <t>DKL7212416829A1</t>
  </si>
  <si>
    <t>Chloramfecort H Cream 10 g</t>
  </si>
  <si>
    <t>Rp16.100 - Rp21.600</t>
  </si>
  <si>
    <t>Cream dioleskan pada area kulit yang sakit atau sesuai petunjuk dokter.</t>
  </si>
  <si>
    <t>PENGGUNAAN OBAT INI HARUS SESUAI DENGAN PETUNJUK DOKTER. 3-4 kali sehari oleskan tipis-tipis</t>
  </si>
  <si>
    <t>INFORMASI OBAT INI HANYA UNTUK KALANGAN MEDIS. Pengobatan topikal untuk penyakit infeksi kulit yang peka terhadap Chloramphenicol dan disertai radang.</t>
  </si>
  <si>
    <t>Hipersensitif terhadap obat ini. Penderita dengan penyakit tuberculosis kulit, herpes simplex, varicella vaccinia, penyakit kulit yang disebabkan oleh virus atau jamur.</t>
  </si>
  <si>
    <t>HARUS DENGAN RESEP DOKTER. Hindarkan penggunaan disekitar mata dan mulut. Hati-hati penggunaan pada wanita hamil dan menyusui, tidak dianjurkan penggunaan jangka panjang dan pada area yang luas. Penggunaan jangka panjang dapat menyebabkan super infeksi. Jika hal ini terjadi maka pengobatan harus dihentikan dan diganti dengan pengobatan lain yang tepat. Tidak dianjurkan penggunaan jangka panjang pada anak-anak.</t>
  </si>
  <si>
    <t>pengobatan topikal penyakit infeksi kulit peka chloramphenicol disertai radang</t>
  </si>
  <si>
    <t>chloramfecort h cream</t>
  </si>
  <si>
    <t>chloramfecort h cream krim chloramphenicol pengobatan topikal penyakit infeksi kulit peka chloramphenicol disertai radang</t>
  </si>
  <si>
    <t>TR102314281</t>
  </si>
  <si>
    <t>Sido Muncul Garlic 30 Kapsul</t>
  </si>
  <si>
    <t>GARLIC</t>
  </si>
  <si>
    <t>Rp53.400 - Rp83.000</t>
  </si>
  <si>
    <t>1 kapsul 1-2 x sehari</t>
  </si>
  <si>
    <t>Menjaga kesehatan jantung dan pembuluh darah, serta meningkatkan daya tahan tubuh.</t>
  </si>
  <si>
    <t>Kapsul 30 x 1</t>
  </si>
  <si>
    <t>Tidak dianjurkan bagi yang sensitif terhadap bawang putih, tekanan darah rendah, gastritis (sakit maag)</t>
  </si>
  <si>
    <t>Tidak dianjurkan untuk anak-anak dan wanita hamil/menyusui, dikonsumsi bersama obat pengencer darah, dikonsumsi dalam jumlah besar akan meningkatkan risiko perdarahan pasca operasi.</t>
  </si>
  <si>
    <t>garlic</t>
  </si>
  <si>
    <t>menjaga kesehatan jantung pembuluh darah , meningkatkan daya tahan tubuh</t>
  </si>
  <si>
    <t>sido muncul garlic</t>
  </si>
  <si>
    <t>sido muncul garlic kapsul garlic menjaga kesehatan jantung pembuluh darah  meningkatkan daya tahan tubuh</t>
  </si>
  <si>
    <t>DKL9117607017A1</t>
  </si>
  <si>
    <t>Interzol 200 mg 10 Tablet</t>
  </si>
  <si>
    <t>Kerusakan fungsi hati, hipersensitif</t>
  </si>
  <si>
    <t>HARUS DENGAN RESEP DOKTER. Hamil dan laktasi. Insufisiensi adrenal. Tes fungsi hati pada pada penggunaan kronik</t>
  </si>
  <si>
    <t>interzol</t>
  </si>
  <si>
    <t>interzol tablet ketoconazole infeksi jamur sistemik  kandidiasis mukokutan khronis tidak responsif nistatin obat  obat</t>
  </si>
  <si>
    <t>QD161614601</t>
  </si>
  <si>
    <t>Obat Gosok Bunga Merah 40 ml</t>
  </si>
  <si>
    <t>Rp22.400 - Rp25.000</t>
  </si>
  <si>
    <t>Oleskan pada bagian yang sakit atau tempat yang diinginkan</t>
  </si>
  <si>
    <t>Membantu meredakan luka dan memar akibat gigitan serangga.</t>
  </si>
  <si>
    <t>cinnamon leaf oil</t>
  </si>
  <si>
    <t>membantu meredakan luka memar akibat gigitan serangga</t>
  </si>
  <si>
    <t>obat gosok bunga merah</t>
  </si>
  <si>
    <t>obat gosok bunga merah  cinnamon leaf oil membantu meredakan luka memar akibat gigitan serangga</t>
  </si>
  <si>
    <t>DKL0634006510A1</t>
  </si>
  <si>
    <t>Gricin 125 mg 10 Tablet</t>
  </si>
  <si>
    <t>Rp4.600 - Rp5.600</t>
  </si>
  <si>
    <t>PENGGUNAAN OBAT INI HARUS SESUAI DENGAN PETUNJUK DOKTER. Dewasa: 4 kali sehari 125 mg</t>
  </si>
  <si>
    <t>Infeksi jamur (ring-worm) pada kulit, rambut dan kuku yang disebabkan oleh Microsporum, Epidermophyton dan Trichophyton.</t>
  </si>
  <si>
    <t>infeksi jamur ring - worm kulit , rambut kuku disebabkan microsporum , epidermophyton trichophyton</t>
  </si>
  <si>
    <t>gricin</t>
  </si>
  <si>
    <t>gricin tablet griseofulvin infeksi jamur ring  worm kulit  rambut kuku disebabkan microsporum  epidermophyton trichophyton</t>
  </si>
  <si>
    <t>DKL1124402410B1</t>
  </si>
  <si>
    <t>Sibelium 10mg 10 Tablet</t>
  </si>
  <si>
    <t>Rp167.300 - Rp182.900</t>
  </si>
  <si>
    <t>Pasien dengan riwayat penyakit depresi atau dengan gejala yang sudah ada sebelumnya dari penyakit Parkinson atau gangguan ekstrapiramidal lainnya. Sibelium merupakan kontraindikasi pada pasien yang diobati dengan agen _-blocking.</t>
  </si>
  <si>
    <t>sibelium</t>
  </si>
  <si>
    <t>sibelium tablet flunarizine hydrochloride pemeliharaan terapi migrain  pusing vestibular  gangguan sirkulasi perifer arteriopati organik</t>
  </si>
  <si>
    <t>skilone cream krim gentamicin sulfate betamethasone valerate pengobatan topikal infeksi sekunder  dermatosis alergi inflamasi</t>
  </si>
  <si>
    <t>Cendo Noncort Minidose 0.6 ml</t>
  </si>
  <si>
    <t>Rp50.000 - Rp60.100</t>
  </si>
  <si>
    <t>Teteskan pada mata yang sakit. Jangan digunakan lebih dari 3 hari setelah wadah dibuka.</t>
  </si>
  <si>
    <t>INFORMASI OBAT INI HANYA UNTUK KALANGAN MEDIS. Obat tetes mata steril yang digunakan untuk pengobatan inflamasi setelah operasi katarak.</t>
  </si>
  <si>
    <t>Cactch Cover, 5 botol plastik @ 0.6 mL</t>
  </si>
  <si>
    <t>Hipersensitivitas terhadap Natrium Diklofenak, penderita pemakai lensa kontak, penderita asma, urtikaria, rhinitis akut.</t>
  </si>
  <si>
    <t>HARUS DENGAN RESEP DOKTER. - Hanya digunakan pada area mata. - Sensitivitas silang dengan asam asetilsalisilat dan obat-obat nonsteroid antiinflamasi lainnya. - Jangan mengendarai kendaraan atau menjalankan mesin bila pandangan menjadi kabur. - Simpan pada suhu 30C, tutup wadah rapat-rapat, hindari kontaminasi. - Jangan dipergunakan 3 x 24 jam setelah dibuka.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</si>
  <si>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tetes mata steril pengobatan inflamasi operasi katarak</t>
  </si>
  <si>
    <t>cendo noncort minidose</t>
  </si>
  <si>
    <t>cendo noncort minidose tetes diclofenac sodium obat tetes mata steril pengobatan inflamasi operasi katarak</t>
  </si>
  <si>
    <t>DKL8500900230A1</t>
  </si>
  <si>
    <t>Bufacetine Salep 15 g</t>
  </si>
  <si>
    <t>Dioleskan pada area kulit yang sakit/terinfeksi</t>
  </si>
  <si>
    <t>bufacetine salep chloramphenicol impetigo kontagiosa  folikulititis akut  luka terinfeksi infeksi kulit organisme peka kloramfenikol</t>
  </si>
  <si>
    <t>DKL0630907429A1</t>
  </si>
  <si>
    <t>Molavir 5% Cream 5 g</t>
  </si>
  <si>
    <t>Rp6.200 - Rp11.200</t>
  </si>
  <si>
    <t>Krim dioleskan pada area kulit yang sakit/radang/terkena Herpes</t>
  </si>
  <si>
    <t>PENGGUNAAN OBAT INI HARUS SESUAI DENGAN PETUNJUK DOKTER. Dewasa : Krim dioleskan 5 x sehari setiap 4 jam selama 5 hari, dapat dlanjutkan lagi 5 hari berikutnya.</t>
  </si>
  <si>
    <t>Infeksi Herpes Simplex pada kulit termasuk infeksi awal &amp; berulang Herpes Genitalis, Herpes Labialis.</t>
  </si>
  <si>
    <t>Cream 5% X 5 Gr X 1 Tube</t>
  </si>
  <si>
    <t>Penderita dengan reaksi hipersensitivitas terhadap acyclovir dan valasiclovir.</t>
  </si>
  <si>
    <t>HARUS DENGAN RESEP DOKTER. Tidak digunakan untuk mata atau vaginal. Pemberian dosis yang berlebihan. Jangan digunakan untuk pencegahan infeksi herpes simpleks rekuren. Hamil, laktasi</t>
  </si>
  <si>
    <t>infeksi herpes simplex kulit infeksi berulang herpes genitalis , herpes labialis</t>
  </si>
  <si>
    <t>molavir cream</t>
  </si>
  <si>
    <t>molavir cream krim aciclovir infeksi herpes simplex kulit infeksi berulang herpes genitalis  herpes labialis</t>
  </si>
  <si>
    <t>Canesten Cream 10 g</t>
  </si>
  <si>
    <t>Rp45.000 - Rp54.500</t>
  </si>
  <si>
    <t>DBL7204116137A1</t>
  </si>
  <si>
    <t>OBH Combi Batuk Berdahak Menthol Sirup 100 ml</t>
  </si>
  <si>
    <t>Rp15.600 - Rp20.100</t>
  </si>
  <si>
    <t>Dosis anak (usia 6 - 12 tahun) : 3 kali sehari 1 sendok takar (5 ml) Dosis dewasa : 3 kali sehari 3 sendok takar (15 ml)</t>
  </si>
  <si>
    <t>Ammonium Chloride dalam dosis besar dapat menimbulkan asidosis metabolik dan harus digunakan dengan hati-hati pada penderita insufisiensi hati, ginjal dan paru-paru.</t>
  </si>
  <si>
    <t>obh combi batuk berdahak menthol sirup succus liquiritiae ammonium chloride meredakan gejala batuk berdahak</t>
  </si>
  <si>
    <t>DTL1821207915A1</t>
  </si>
  <si>
    <t>Dulcolax 5 mg 10 Tablet</t>
  </si>
  <si>
    <t>Rp20.800 - Rp26.800</t>
  </si>
  <si>
    <t>Tablet dianjurkan untuk diminum pada malam hari (waktu kerja obat 6-12 jam) untuk mendapatkan buang air besar keesokan harinya. Ditelan dalam keadaan utuh.</t>
  </si>
  <si>
    <t>Untuk konstipasi: Dewasa dan anak di atas usia 12 tahun : 2-3 tablet per hari. Anak 6-12 tahun : 1 tablet sekali sehari. Anak dibawah 6 tahun, konsultasika terlebih dahulu dengan dokter. Untuk persiapan diagnosti dan sebelum operasi: Penggunaan dikombinasikan dengan suppositoria. Dosis yang dianjurkan untuk org dewasa 2-4 tablet pada malam sebelumnya.</t>
  </si>
  <si>
    <t>Untuk mengatasi masalah sembelit/ susah BAB/ konstipasi. Untuk persiapan prosedur diagnostic sebelum operasi</t>
  </si>
  <si>
    <t>Dus, 1 Blister @ 10 Tablet salut Enterik</t>
  </si>
  <si>
    <t>Pasien dengan Ileus, obstruksi usus, kondisi bedah akut abdomen, apendisitis, penyakit radang usus akut &amp; nyeri perut parah yang berhubungan dengan mual &amp; muntah</t>
  </si>
  <si>
    <t>DKL0815620417A1</t>
  </si>
  <si>
    <t>Provomer 10 Tablet</t>
  </si>
  <si>
    <t>Rp32.700 - Rp34.200</t>
  </si>
  <si>
    <t>Box, 10 Strip @ 10 Tablet Salut Selaput</t>
  </si>
  <si>
    <t>pyrathiazine theoclate</t>
  </si>
  <si>
    <t>provomer</t>
  </si>
  <si>
    <t>provomer tablet pyrathiazine theoclate muntah hamil  pasca operasi  gangguan saluran cerna  mual  mabuk kendaraan</t>
  </si>
  <si>
    <t>QD101608991</t>
  </si>
  <si>
    <t>Pure Kids Inhalant Decongestant Oil 10 ml</t>
  </si>
  <si>
    <t>Rp51.700 - Rp56.900</t>
  </si>
  <si>
    <t>Teteskan ke sapu tangan atau bantal atau tungku aromaterapi atau mangkuk isi air hangat kemudian hirup uapnya.</t>
  </si>
  <si>
    <t>Anak (usia 3 bulan - 2 tahun) : 3 - 7 tetes. Anak (usia lebih dari 2 tahun - dewasa) : 8 - 12 tetes. Hirup hanya uapnya saja.</t>
  </si>
  <si>
    <t>Membantu meredakan hidung tersumbat dan melegakan pernapasan</t>
  </si>
  <si>
    <t>Hirup hanya uapnya saja. tidak ditujukan untuk diteteskan lansung ke mulut atau hidung. Hindari kontak langsung dengan mata dan kulit. Apabila tertelan segera hubungi Dokter, bila gejala terus berlanjut hubungi Dokter.</t>
  </si>
  <si>
    <t>membantu meredakan hidung tersumbat melegakan pernapasan</t>
  </si>
  <si>
    <t>pure kids inhalant decongestant oil</t>
  </si>
  <si>
    <t>pure kids inhalant decongestant oil minyak cajuput oil membantu meredakan hidung tersumbat melegakan pernapasan</t>
  </si>
  <si>
    <t>TR162693881</t>
  </si>
  <si>
    <t>No Cough Obat Batuk Herbal 120 ml</t>
  </si>
  <si>
    <t>NO COUGH</t>
  </si>
  <si>
    <t>Sesudah makan. Kocok dahulu sebelum diminum</t>
  </si>
  <si>
    <t>Dewasa : 3 x 1 sendok takar (15 ml)</t>
  </si>
  <si>
    <t>Membantu meredakan batuk, menghangatkan dan melegakan tenggorokan kering</t>
  </si>
  <si>
    <t>no cough</t>
  </si>
  <si>
    <t>membantu meredakan batuk , menghangatkan melegakan tenggorokan kering</t>
  </si>
  <si>
    <t>no cough obat batuk herbal</t>
  </si>
  <si>
    <t>no cough obat batuk herbal  no cough membantu meredakan batuk  menghangatkan melegakan tenggorokan kering</t>
  </si>
  <si>
    <t>Stomach Tube / Ngt Terumo No.16</t>
  </si>
  <si>
    <t>Rp27.500 - Rp75.800</t>
  </si>
  <si>
    <t>DTL7827806028A1</t>
  </si>
  <si>
    <t>Laxarec Gel 5 ml</t>
  </si>
  <si>
    <t>Rp26.300 - Rp29.000</t>
  </si>
  <si>
    <t>Dimasukkan ke adalam anus</t>
  </si>
  <si>
    <t>Dewasa, anak &amp; wanita hamil 1 tube sehari.</t>
  </si>
  <si>
    <t>Konstipasi. Persiapan prosedur diagnosa sebelum dan sesudah operasi dan pd kondisi yg membutuhkan defekasi.</t>
  </si>
  <si>
    <t>Tube 5 ml</t>
  </si>
  <si>
    <t>Peradangan akut pada daerah sekitar anus-rektum</t>
  </si>
  <si>
    <t>Penggunaan berlebihan dalam waktu lama dapat menyebabkan diare, ketidakseimbangan cairan dan elektrolit</t>
  </si>
  <si>
    <t>sodium laurilsulfate</t>
  </si>
  <si>
    <t>konstipasi  persiapan prosedur diagnosa operasi pd kondisi yg membutuhkan defekasi</t>
  </si>
  <si>
    <t>laxarec</t>
  </si>
  <si>
    <t>laxarec gel sodium laurilsulfate konstipasi  persiapan prosedur diagnosa operasi pd kondisi yg membutuhkan defekasi</t>
  </si>
  <si>
    <t>DTL7809204332A1</t>
  </si>
  <si>
    <t>Kompolax Sirup 60 ml</t>
  </si>
  <si>
    <t>Rp21.600 - Rp22.400</t>
  </si>
  <si>
    <t>Obat ini sebaiknya dikonsumsi dalam kondisi perut kosong lebih utamanya lagi di minum sebelum tidur untuk memaksimalkan fungsinya.</t>
  </si>
  <si>
    <t>Dewasa : 2 sendok takar emulsi. Anak 6-12 tahun : 1 sendok takar emulsi</t>
  </si>
  <si>
    <t>Untuk melembekkan feses/tinja pada konstipasi atoni, peradangan sekitar anus misalnya hemoroid, paska/setelah operasi</t>
  </si>
  <si>
    <t>Tidak untuk ibu hamil dan laktasi, anak usia kurang dari 6 tahun. Hindari pemakaian terus-menerus.pemakaian jangka panjang dapat menyebabkan diare, mual, muntah. Reaksi alergi pada kulit.</t>
  </si>
  <si>
    <t>untuk melembekkan fes tinja konstipasi atoni , peradangan anus hemoroid , paska operasi</t>
  </si>
  <si>
    <t>kompolax</t>
  </si>
  <si>
    <t>kompolax sirup glycerol untuk melembekkan fes tinja konstipasi atoni  peradangan anus hemoroid  paska operasi</t>
  </si>
  <si>
    <t>Cendo Timol 0.25 % Eye Drop 5 ml</t>
  </si>
  <si>
    <t>Rp33.700 - Rp45.100</t>
  </si>
  <si>
    <t>Menurunkan tekanan intraokuler pada penderita glaukoma dan hipertensi okuler</t>
  </si>
  <si>
    <t>Botol plastik @ 5 ml</t>
  </si>
  <si>
    <t>HARUS DENGAN RESEP DOKTER. Asma bronkrial, penyakit paru obstruktif kronis berat, sinus bradikardia, gagal jantung</t>
  </si>
  <si>
    <t>cendo timol eye drop</t>
  </si>
  <si>
    <t>cendo timol eye drop tetes timolol maleate menurunkan teka intraokuler penderita glaukoma hipertensi okuler</t>
  </si>
  <si>
    <t>DTL7802331834A1</t>
  </si>
  <si>
    <t>Exovon Elixir 60 ml</t>
  </si>
  <si>
    <t>Rp100 - Rp11.400</t>
  </si>
  <si>
    <t>Dewasa dan anak-anak diatas 10 tahun diminum 3 kali sehari 10 ml. Anak-anak 5-10 tahun diminum 3 kali sehari 5 ml Anak-anak 2-5 tahun diminum 2 kali sehari 5 ml.</t>
  </si>
  <si>
    <t>Exovon digunakan untuk meredakan batuk berdahak, mengencerkan dahak, mempermudah mengeluarkan dahak</t>
  </si>
  <si>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</si>
  <si>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exovon meredakan batuk berdahak , mengencerkan dahak , mempermudah mengeluarkan dahak</t>
  </si>
  <si>
    <t>exovon elixir</t>
  </si>
  <si>
    <t>exovon elixir larutan bromhexine hydrochloride exovon meredakan batuk berdahak  mengencerkan dahak  mempermudah mengeluarkan dahak</t>
  </si>
  <si>
    <t>DKL9616108001B1</t>
  </si>
  <si>
    <t>Thislacol 500 mg 10 Kapsul</t>
  </si>
  <si>
    <t>Rp50.800 - Rp51.900</t>
  </si>
  <si>
    <t>PENGGUNAAN OBAT INI HARUS SESUAI DENGAN PETUNJUK DOKTER. Dewasa : 3 - 4 kali sehari 500 mg. Anak : 20 - 30 mg/kg BB/hari dalam dosis terbagi, berikan tiap 6 - 8 jam. GO : 2.5 g dosis tunggal</t>
  </si>
  <si>
    <t>Demam tifoid, demam paratifoid, salmonelosis. Infeksi urogenital, hepatobiliar, GIT, saluran nafas</t>
  </si>
  <si>
    <t>Kapsul 500 Mg X 10 X 10</t>
  </si>
  <si>
    <t>Hipersensitif, anemia, hamil, laktasi</t>
  </si>
  <si>
    <t>HARUS DENGAN RESEP DOKTER. Mielosupresi, gangguan ginjal dan hati, prematur dan bayi</t>
  </si>
  <si>
    <t>demam tifoid , demam paratifoid , salmonelosis  infeksi urogenital , hepatobiliar , git , saluran nafas</t>
  </si>
  <si>
    <t>thislacol</t>
  </si>
  <si>
    <t>thislacol kapsul thiamphenicol demam tifoid  demam paratifoid  salmonelosis  infeksi urogenital  hepatobiliar  git  saluran nafas</t>
  </si>
  <si>
    <t>DTL7226108930A1</t>
  </si>
  <si>
    <t>Thrombophob Ointment 15 g</t>
  </si>
  <si>
    <t>Rp53.000 - Rp57.600</t>
  </si>
  <si>
    <t>2-3 kali sehari dioleskan tipis pada kulit. Dapat juga dioleskan pada sepotong kain kasa lalu ditempelkan pada bagian yang sakit. Jangan digososk atau diurut pada trombosis dan trombophlebitis.</t>
  </si>
  <si>
    <t>Digunakan untuk phlebitis permukaan, penyumbatan pembuluh balik (vena) yang berlebihan, cedera saat berolahraga dan kecelakaan.</t>
  </si>
  <si>
    <t>benzyl nicotinate</t>
  </si>
  <si>
    <t>digunakan phlebitis permukaan , penyumbatan pembuluh vena , cedera berolahraga kecelakaan</t>
  </si>
  <si>
    <t>thrombophob ointment</t>
  </si>
  <si>
    <t>thrombophob ointment salep benzyl nicotinate digunakan phlebitis permukaan  penyumbatan pembuluh vena  cedera berolahraga kecelakaan</t>
  </si>
  <si>
    <t>DBL9131102917A1</t>
  </si>
  <si>
    <t>Grahabion 10 Tablet</t>
  </si>
  <si>
    <t>Rp4.100 - Rp7.400</t>
  </si>
  <si>
    <t>Pengobatan defisiensi vit.B1, B6, dan B12 seperti pada Polineuritis</t>
  </si>
  <si>
    <t>pengobatan defisiensi vit  b1 , b6 , b12 polineuritis</t>
  </si>
  <si>
    <t>grahabion</t>
  </si>
  <si>
    <t>grahabion tablet thiamine nitrate pyridoxine hydrochloride cyanocobalamin pengobatan defisiensi vit  b1  b6  b12 polineuritis</t>
  </si>
  <si>
    <t>DKL0919614917A1</t>
  </si>
  <si>
    <t>Copidrel 75 mg 10 Tablet</t>
  </si>
  <si>
    <t>Rp165.800 - Rp225.300</t>
  </si>
  <si>
    <t>PENGGUNAAN OBAT INI HARUS SESUAI DENGAN PETUNJUK DOKTER. Mencegah gangguan tromboemboli: 1 tablet, diminum 1 kali sehari. Sindrom koroner akut: 1 tablet diminum 1 kali sehari dan dikombinasikan dengan aspirin.</t>
  </si>
  <si>
    <t>INFORMASI OBAT INI HANYA UNTUK KALANGAN MEDIS. Pencegah kejadian aterotrombolitik pada pasien dengan infark miokard yang baru terjadi, stroke iskhemik, atau penyakit arteri perifer.</t>
  </si>
  <si>
    <t>HARUS DENGAN RESEP DOKTER. Gangguan fungsi ginjal dan hati, wanita hamil. Katagori kehamilan : Kategori B: Mungkin dapat digunakan oleh wanita hamil. Penelitian pada hewan uji tidak memperlihatkan ada nya risiko terhadap janin, namun belum ada bukti penelitian langsung terhadap wanita hamil.</t>
  </si>
  <si>
    <t>clopidogrel</t>
  </si>
  <si>
    <t>pencegah kejadian aterotrombolitik pasien infark miokard , stroke iskhemik , penyakit arteri perifer</t>
  </si>
  <si>
    <t>copidrel</t>
  </si>
  <si>
    <t>copidrel tablet clopidogrel pencegah kejadian aterotrombolitik pasien infark miokard  stroke iskhemik  penyakit arteri perifer</t>
  </si>
  <si>
    <t>doloneurobion tablet paracetamol thiamine mononitrate pyridoxine hydrochloride cyanocobalamin obat mengurangi nyeri disebabkan neuritis neuralgia</t>
  </si>
  <si>
    <t>DKL7603809646A1</t>
  </si>
  <si>
    <t>Cendo Statrol Minidose 0.6 ml</t>
  </si>
  <si>
    <t>Rp23.100 - Rp23.800</t>
  </si>
  <si>
    <t>PENGGUNAAN OBAT INI HARUS SESUAI DENGAN PETUNJUK DOKTER. 1-2 tetes 2-4 kali sehari atau lebih.</t>
  </si>
  <si>
    <t>Pengobatan dan pencegahan infeksi akibat bakteri yang rentan terhadap Cendo Statrol.</t>
  </si>
  <si>
    <t>pengobatan pencegahan infeksi akibat bakteri rentan cendo statrol</t>
  </si>
  <si>
    <t>cendo statrol minidose</t>
  </si>
  <si>
    <t>cendo statrol minidose tetes neomycin sulfate pengobatan pencegahan infeksi akibat bakteri rentan cendo statrol</t>
  </si>
  <si>
    <t>DKI2197301017C1</t>
  </si>
  <si>
    <t>Exforge 10 mg/160 mg 14 Tablet</t>
  </si>
  <si>
    <t>Rp206.300 - Rp258.000</t>
  </si>
  <si>
    <t>Dus, 2 Strip @ 14 Tablet Salut</t>
  </si>
  <si>
    <t>Hipersensitif, gangguan ginjal berat, angioedema herediter, angioedema yang timbul selama terapiawal dengan ACE inhibitor atau antagonis reseptor angiotensin II. Penggunaan bersama dengan aliskiren pada diabetes tipe II. Gangguan hati berat, chirrosis bilier, atau kolestasis, kehamilan, menyusui.</t>
  </si>
  <si>
    <t>HARUS DENGAN RESEP DOKTER. Pasien dengan deplesi NA &amp; atau volume, stenosis arteri ginjal unilateral atau bilateral, stenosis ke ginjal soliter, kerusakan ginjal berat (CrCl &lt; 10 ml/min), gangguan hati atau gangguan obstruksi empedu, gagal jantung kongestif, CAD berat, stenosis katup aorta &amp; mitral, kardiomiopati hipertrofi obstruktif. Pantau level K. Hentikan jika angioderma berkembang. Anak &lt; 18 tahun. Kategori Kehamilan: Kategori D: Terbukti berisiko terhadap janin. Meski demikian, obat masih dapat digunakan jika obat diperlukan untuk mengatasi keadaan yang mengancam jiwa, atau penyakit serius, dimana obat yang lebih aman tidak dapat digunakan atau tidak efektif. Obat belum diketahui dapat diekskresikan melalui ASI atau tidak, konsultasikan kepada tenaga medis apabila sedang menyusui.</t>
  </si>
  <si>
    <t>profenal kaplet ibuprofen paracetamol meredakan nyeri sakit gigi  sakit kepala  nyeri otot  dismenore primer</t>
  </si>
  <si>
    <t>QD181616811</t>
  </si>
  <si>
    <t>Purekids Inhalant Decongestant Oil Lemon 10 ml</t>
  </si>
  <si>
    <t>Rp51.800 - Rp57.000</t>
  </si>
  <si>
    <t>Teteskan ke saputangan, bantal, atau ke dalam air hangat, lalu hirup uapnya.</t>
  </si>
  <si>
    <t>Usia di bawah 1 tahun : Sesuai dengan petunjuk dokter. 1 - 2 tahun : 3 - 7 tetes. Usia 2 tahun ke atas : 8 - 12 tetes. Hirup hanya uapnya saja.</t>
  </si>
  <si>
    <t>Membantu meredakan hidung tersumbat dan melegakan pernapasan.</t>
  </si>
  <si>
    <t>Dus, botol kaca @ 10 ml</t>
  </si>
  <si>
    <t>Hirup hanya uapnya saja. Tidak ditujukan untuk diteteskan langsung ke mulut atau hidung. Hindari kontak langsung dengan mata dan kulit. Apabila tertelan segera hubungi Dokter, bila gejala terus berlanjut hubungi Dokter.</t>
  </si>
  <si>
    <t>purekids inhalant decongestant oil lemon</t>
  </si>
  <si>
    <t>purekids inhalant decongestant oil lemon minyak cajuput oil membantu meredakan hidung tersumbat melegakan pernapasan</t>
  </si>
  <si>
    <t>Falmed Kasa Steril 5X6Cm 10 Lembar</t>
  </si>
  <si>
    <t>Rp10.000 - Rp16.200</t>
  </si>
  <si>
    <t>Dus @ 10 Lembar</t>
  </si>
  <si>
    <t>falmed steril xcm lembar</t>
  </si>
  <si>
    <t>falmed steril xcm lembar larutan povidoneiodine digunakan membersihkan  menutup membalut luka  bebat pusar bayi</t>
  </si>
  <si>
    <t>DTL9407803304A1</t>
  </si>
  <si>
    <t>Hufagrip Forte 10 Kaplet</t>
  </si>
  <si>
    <t>Rp4.700 - Rp7.900</t>
  </si>
  <si>
    <t>Anak-anak: 3 x sehari 1/2 kaplet. Dewasa: 3 x sehari 1-2 kaplet.</t>
  </si>
  <si>
    <t>Menurunkan demam dan meringankan gejala-gejala batuk, pilek yang menyertai influenza.</t>
  </si>
  <si>
    <t>Hipersensitif, pasien yang menggunakan obat-obatan golongan monoamine oksidase (MAO) inhibitor, penderita diabetes mellitus, penyakit jantung, hipertensi berat, penyakit arteri koroner, hipertropi prostat, hipertiroid dan glaucome.</t>
  </si>
  <si>
    <t>Gangguan fungsi hati dan ginjal</t>
  </si>
  <si>
    <t>menurunkan demam meringankan gejala - gejala batuk , pilek menyertai influenza</t>
  </si>
  <si>
    <t>hufagrip forte</t>
  </si>
  <si>
    <t>hufagrip forte kaplet chlorphenamine maleate menurunkan demam meringankan gejala  gejala batuk  pilek menyertai influenza</t>
  </si>
  <si>
    <t>obh combi batuk berdahak menthol sirup ammonium chloride succus liquiritiae meredakan gejala batuk berdahak</t>
  </si>
  <si>
    <t>Piroxicam 20 mg 10 Tablet</t>
  </si>
  <si>
    <t>Rp2.400 - Rp3.900</t>
  </si>
  <si>
    <t>PENGGUNAAN OBAT INI HARUS SESUAI DENGAN PETUNJUK DOKTER. AR, OA, ankilosa spondilitis : 1 x sehari 20mg. Gangguan muskoloskeletal akut : 40 mg/hari dalam dosis tunggal atau terbagi selama 2 hari, kemudian 1 x sehari 20 mg selama 7-14 hari. Gout akut : dosis awal 40 mg /hari dalam dosis tunggal, kemudian 40 mg dosis tunggal atau terbagi selama 4-6 hari. Tidak untuk terapi gout jangka panjang</t>
  </si>
  <si>
    <t>INFORMASI OBAT INI HANYA UNTUK KALANGAN MEDIS. Meredakan rasa nyeri pada Osteoarthritis, Ankilosa spondilitis, Gangguan muskuloskeletal akut, gout akut, dan nyeri persendian.</t>
  </si>
  <si>
    <t>HARUS DENGAN RESEP DOKTER. Riwayat ulkus gaster, gangguan jantung, hipertensi, kerusakan ginjal atau hati, retensi urine Kategori Kehamilan : C,D (trisemester 3)</t>
  </si>
  <si>
    <t>meredakan nyeri osteoarthritis , ankilosa spondilitis , gangguan muskuloskeletal akut , gout akut , nyeri persendian</t>
  </si>
  <si>
    <t>piroxicam tablet meredakan nyeri osteoarthritis  ankilosa spondilitis  gangguan muskuloskeletal akut  gout akut  nyeri persendian</t>
  </si>
  <si>
    <t>Minyak Angin Cap Kapak 5 ml</t>
  </si>
  <si>
    <t>paracetamol phenylpropanolamine hydrochloride guaifenesin chlorphenamine maleate</t>
  </si>
  <si>
    <t>millsen sirup paracetamol phenylpropanolamine hydrochloride guaifenesin chlorphenamine maleate meredakan flu  batuk  pilek anak  anak</t>
  </si>
  <si>
    <t>Minyak Angin Cap Kapak 3 ml</t>
  </si>
  <si>
    <t>Rp5.700 - Rp10.100</t>
  </si>
  <si>
    <t>Botol 3 ml</t>
  </si>
  <si>
    <t>QD111709511</t>
  </si>
  <si>
    <t>Counterpain Cream 60 g</t>
  </si>
  <si>
    <t>Rp75.900 - Rp91.700</t>
  </si>
  <si>
    <t>Meringankan rasa sakit pada otot, nyeri sendi, keseleo, dan nyeri akibat encok.</t>
  </si>
  <si>
    <t>eugenol oil</t>
  </si>
  <si>
    <t>meringankan sakit otot , nyeri sendi , keseleo , nyeri akibat encok</t>
  </si>
  <si>
    <t>counterpain cream</t>
  </si>
  <si>
    <t>counterpain cream krim eugenol oil meringankan sakit otot  nyeri sendi  keseleo  nyeri akibat encok</t>
  </si>
  <si>
    <t>Counterpain Cream 120 g</t>
  </si>
  <si>
    <t>Rp104.300 - Rp140.500</t>
  </si>
  <si>
    <t>Counterpain Cream 5 g</t>
  </si>
  <si>
    <t>Rp10.700 - Rp11.800</t>
  </si>
  <si>
    <t>Counterpain Cream 30 g</t>
  </si>
  <si>
    <t>Rp44.800 - Rp54.300</t>
  </si>
  <si>
    <t>Counterpain Cream 15 g</t>
  </si>
  <si>
    <t>Rp33.300 - Rp37.200</t>
  </si>
  <si>
    <t>physiomer baby nasal tetes ofloxacin untuk membersihkan  melembabkan meredakan hidung tersumbat anak 0  2</t>
  </si>
  <si>
    <t>Minyak Angin Cap Kapak 56 ml</t>
  </si>
  <si>
    <t>Rp73.800 - Rp89.300</t>
  </si>
  <si>
    <t>Dus, Botol kaca @ 56 ml</t>
  </si>
  <si>
    <t>DKL1804134010A1</t>
  </si>
  <si>
    <t>Frigout 0.5 mg 10 Tablet</t>
  </si>
  <si>
    <t>Rp44.000 - Rp48.900</t>
  </si>
  <si>
    <t>INFORMASI OBAT INI HANYA UNTUK KALANGAN MEDIS. Arthritis Gout Akut, profilaksis jangka pendek selama terapi awal dengan Alopurinol dan obat-obat Urikosurik</t>
  </si>
  <si>
    <t>Pasien dengan Gl serius, penyakit ginjal atau jantung</t>
  </si>
  <si>
    <t>DKI2197301017A1</t>
  </si>
  <si>
    <t>Exforge 5 mg/80 mg 14 Tablet</t>
  </si>
  <si>
    <t>Rp193.600 - Rp258.700</t>
  </si>
  <si>
    <t>Hipersensitif. Penggunaan bersamaan dengan aliskiren pada pasien DM tipe II. Hamil.</t>
  </si>
  <si>
    <t>DKL1313318137A1</t>
  </si>
  <si>
    <t>ODR Sirup 60 ml</t>
  </si>
  <si>
    <t>odr</t>
  </si>
  <si>
    <t>odr sirup ondansetron hydrochloride dihydrate penatalaksanaan mual muntah kemoterapi radioterapi  mual muntah paska operasi</t>
  </si>
  <si>
    <t>Systane Hydration Eye Drop 5 ml</t>
  </si>
  <si>
    <t>Rp97.000 - Rp106.300</t>
  </si>
  <si>
    <t>Diteteskan pada mata yang sakit.</t>
  </si>
  <si>
    <t>Teteskan 1-2 tetes pada mata yang sakit, bila perlu.</t>
  </si>
  <si>
    <t>Digunakan untuk melumasi dan membasahi mata, sebagai pereda gejala mata kering.</t>
  </si>
  <si>
    <t>digunakan melumasi membasahi mata , pereda gejala mata kering</t>
  </si>
  <si>
    <t>systane hydration eye drop</t>
  </si>
  <si>
    <t>systane hydration eye drop tetes ofloxacin digunakan melumasi membasahi mata  pereda gejala mata kering</t>
  </si>
  <si>
    <t>Systane Ultra Eye Drop 5 ml</t>
  </si>
  <si>
    <t>Rp53.600 - Rp71.600</t>
  </si>
  <si>
    <t>systane ultra eye drop</t>
  </si>
  <si>
    <t>systane ultra eye drop tetes ofloxacin digunakan melumasi membasahi mata  pereda gejala mata kering</t>
  </si>
  <si>
    <t>ondane sirup ondansetron hydrochloride dihydrate penatalaksanaan mual muntah kemoterapi radioterapi  mual muntah paska operasi</t>
  </si>
  <si>
    <t>DKL1904528917A1</t>
  </si>
  <si>
    <t>Ondavar 4 mg 10 Tablet</t>
  </si>
  <si>
    <t>Rp141.900 - Rp147.900</t>
  </si>
  <si>
    <t>ondavar</t>
  </si>
  <si>
    <t>ondavar tablet ondansetron hydrochloride dihydrate penatalaksanaan mual muntah kemoterapi radioterapi  mual muntah paska operasi</t>
  </si>
  <si>
    <t>Falmed Kasa Steril 5x4 cm 10 Lembar</t>
  </si>
  <si>
    <t>falmed steril x lembar</t>
  </si>
  <si>
    <t>falmed steril x lembar larutan povidoneiodine digunakan membersihkan  menutup membalut luka  bebat pusar bayi</t>
  </si>
  <si>
    <t>DKL9833300704A1</t>
  </si>
  <si>
    <t>Mokbios 500 mg 10 Kaplet</t>
  </si>
  <si>
    <t>Rp8.200 - Rp10.000</t>
  </si>
  <si>
    <t>PENGGUNAAN OBAT INI HARUS SESUAI DENGAN PETUNJUK DOKTER. Dewasa : 3x sehari 1 kaplet</t>
  </si>
  <si>
    <t>Pengobatan infeksi yang disebabkan oleh bakteri Gram positif atau Gram negatif yang rentan terhadap Amoksisilin.</t>
  </si>
  <si>
    <t>Hipersensitif terhadap Penisilin.</t>
  </si>
  <si>
    <t>HARUS DENGAN RESEP DOKTER. Hipersensitif terhadap Sefalosporin. Kelainan ginjal. Bayi yang lahir dari seorang ibu yang hipersensitif terhadap Penisilin.</t>
  </si>
  <si>
    <t>pengobatan infeksi disebabkan bakteri gram positif gram negatif rentan amoksisilin</t>
  </si>
  <si>
    <t>mokbios</t>
  </si>
  <si>
    <t>mokbios kaplet amoxicillin trihydrate pengobatan infeksi disebabkan bakteri gram positif gram negatif rentan amoksisilin</t>
  </si>
  <si>
    <t>pyrathiazine theoclate pyridoxine hydrochloride</t>
  </si>
  <si>
    <t>pregvomit tablet pyrathiazine theoclate pyridoxine hydrochloride profilaksis muntah paska operasi  muntah kehamilan  mabuk perjala</t>
  </si>
  <si>
    <t>DTL0435300233A1</t>
  </si>
  <si>
    <t>Prosinal Suspensi 100 mg/5ml 60 ml</t>
  </si>
  <si>
    <t>Rp33.500 - Rp38.800</t>
  </si>
  <si>
    <t>Dewasa &amp; anak diatas 12 tahun 2 sendo teh atau 10 mL 3-4 x perhari.</t>
  </si>
  <si>
    <t>Meredakan nyeri ringan s/d sedang misalnya sakit gigi, sakit kepala. Menurunkan demam.</t>
  </si>
  <si>
    <t>Riwayat tukak peptik, gangguan fungsi ginjal, gagal jantung, hipertensi, penyakit lain yang dapat menyebabkan retensi cairan, gangguan koagulasi darah, asma, SLE. Hamil.</t>
  </si>
  <si>
    <t>meredakan nyeri ringan s d sakit gigi , sakit kepala  menurunkan demam</t>
  </si>
  <si>
    <t>prosinal</t>
  </si>
  <si>
    <t>prosinal suspensi ibuprofen meredakan nyeri ringan s d sakit gigi  sakit kepala  menurunkan demam</t>
  </si>
  <si>
    <t>obh combi batuk berdahak jahe sirup succus liquiritiae ammonium chloride untuk meredakan batuk berdahak</t>
  </si>
  <si>
    <t>DKL7803809446A1</t>
  </si>
  <si>
    <t>Cendo Mycos Eye Drops 5 ml</t>
  </si>
  <si>
    <t>Rp19.500 - Rp28.300</t>
  </si>
  <si>
    <t>PENGGUNAAN OBAT INI HARUS SESUAI DENGAN PETUNJUK DOKTER. Sehari 1-3 kali, 1-2 tetes atau menurut petunjuk dokter</t>
  </si>
  <si>
    <t>Infeksi okular yang disebabkan oleh organisme yang sensitif terhadap chloromicetin, yang membutuhkan terapi kortikosteroid</t>
  </si>
  <si>
    <t>Botol 5 ml X 1</t>
  </si>
  <si>
    <t>infeksi okular disebabkan organisme sensitif chloromicetin , membutuhkan terapi kortikosteroid</t>
  </si>
  <si>
    <t>cendo mycos eye</t>
  </si>
  <si>
    <t>cendo mycos eye tetes chloramphenicol infeksi okular disebabkan organisme sensitif chloromicetin  membutuhkan terapi kortikosteroid</t>
  </si>
  <si>
    <t>Cendo Catarlent Eye Drops 15 ml</t>
  </si>
  <si>
    <t>Rp32.200 - Rp43.700</t>
  </si>
  <si>
    <t>Teteskan pada mata yang sakit.</t>
  </si>
  <si>
    <t>3 x sehari 1-2 tetes pada mata</t>
  </si>
  <si>
    <t>Katarak lentikularis, pendarahan dalam vitreous humour, opesifikasi vitreous humour</t>
  </si>
  <si>
    <t>Botol plastik @ 15 ml</t>
  </si>
  <si>
    <t>Hipersensitif terhadap komponen Cendo Catarlent Tetes Mata.</t>
  </si>
  <si>
    <t>katarak lentikularis , pendarahan vitreous humour , opesifikasi vitreous humour</t>
  </si>
  <si>
    <t>cendo catarlent eye</t>
  </si>
  <si>
    <t>cendo catarlent eye tetes potassium iodide katarak lentikularis  pendarahan vitreous humour  opesifikasi vitreous humour</t>
  </si>
  <si>
    <t>DTL9910705729A1</t>
  </si>
  <si>
    <t>ZolaGel 2% Cream 5 g</t>
  </si>
  <si>
    <t>Rp5.400 - Rp7.100</t>
  </si>
  <si>
    <t>Infeksi kuku dan kulit karena dermatofita, kandida atau jamur lain dan bakteri gram positif</t>
  </si>
  <si>
    <t>Tube 5 G X 1</t>
  </si>
  <si>
    <t>Hindari kontak mata langsung, hamil trimester 1</t>
  </si>
  <si>
    <t>infeksi kuku kulit dermatofita , kandida jamur bakteri gram positif</t>
  </si>
  <si>
    <t>zolagel cream</t>
  </si>
  <si>
    <t>zolagel cream krim miconazole nitrate infeksi kuku kulit dermatofita  kandida jamur bakteri gram positif</t>
  </si>
  <si>
    <t>DKL9102002129A1</t>
  </si>
  <si>
    <t>Baycuten-N Cream 5 g</t>
  </si>
  <si>
    <t>Rp64.400 - Rp75.700</t>
  </si>
  <si>
    <t>PENGGUNAAN OBAT INI HARUS SESUAI DENGAN PETUNJUK DOKTER. Oleskan krim 2 kali sehari.</t>
  </si>
  <si>
    <t>INFORMASI OBAT INI HANYA UNTUK KALANGAN MEDIS. Eksim dan Dermatitis, gangguan kulit seperti infeksi jamur dan/atau bakteri yang sensitif terhadap Klotrimazol.</t>
  </si>
  <si>
    <t>Hipersensitivitas. Penyakit kulit (TB, sifilis)</t>
  </si>
  <si>
    <t>TR192625351</t>
  </si>
  <si>
    <t>Grantusif Herbal Cough Syrup 60 ml</t>
  </si>
  <si>
    <t>GRANTUSIF HERBAL COUGH SYRUP</t>
  </si>
  <si>
    <t>Rp19.200 - Rp19.600</t>
  </si>
  <si>
    <t>Desawa: 3 x sehari (15 ml) Anak 6-12 tahun: 3 x sehari (5 ml)</t>
  </si>
  <si>
    <t>grantusif herbal cough syrup</t>
  </si>
  <si>
    <t>grantusif herbal cough</t>
  </si>
  <si>
    <t>grantusif herbal cough sirup grantusif herbal cough syrup membantu meredakan batuk membantu melegakan tenggorokan</t>
  </si>
  <si>
    <t>DKL1634604317B1</t>
  </si>
  <si>
    <t>Cholestor 20 mg 10 Tablet</t>
  </si>
  <si>
    <t>Rp56.900 - Rp85.600</t>
  </si>
  <si>
    <t>untuk menurunkan kolesterol jahat (LDL) dan trigliserida, serta meningkatkan jumlah kolesterol baik (HDL) di dalam darah</t>
  </si>
  <si>
    <t>box 3 strip@ 10 tablet</t>
  </si>
  <si>
    <t>atorvastatin calcium trihydrate</t>
  </si>
  <si>
    <t>menurunkan kolesterol jahat ldl trigliserida , meningkatkan kolesterol hdl darah</t>
  </si>
  <si>
    <t>cholestor</t>
  </si>
  <si>
    <t>cholestor tablet atorvastatin calcium trihydrate menurunkan kolesterol jahat ldl trigliserida  meningkatkan kolesterol hdl darah</t>
  </si>
  <si>
    <t>corsaneuron tablet thiamine hydrochloride pyridoxine hydrochloride cyanocobalamin defisiensi vit b1  b6  b12 plineuritis neuralgia</t>
  </si>
  <si>
    <t>OBH Tropica Extra Anak Rasa Jeruk Sirup 100 ml</t>
  </si>
  <si>
    <t>Rp24.700 - Rp30.100</t>
  </si>
  <si>
    <t>DKL0333305301A1</t>
  </si>
  <si>
    <t>Dacin 150 mg 10 Kapsul</t>
  </si>
  <si>
    <t>Rp14.000 - Rp14.400</t>
  </si>
  <si>
    <t>PENGGUNAAN OBAT INI HARUS SESUAI DENGAN PETUNJUK DOKTER. Dewasa 3-4 x sehari 150-300 mg, dapat ditingkatkan sampai 3-4 x sehari 300-450 mg pada infeksi berat.Anak &gt; 1 bulan 8-16 mg/kg berat badan sehari dalam 3-4 dosis terbagi. Dapat ditingkatkan sampai 16-20 mg/kg berat badan sehari pada infeksi berat.</t>
  </si>
  <si>
    <t>Infeksi sal nafas atas dan bawah, kulit dan jar lunak, serta infeksi serius lain karena bakteri anaerob yang peka</t>
  </si>
  <si>
    <t>Kapsul 150 Mg X 3 X 10'S.</t>
  </si>
  <si>
    <t>infeksi sal nafas , kulit jar lunak , infeksi serius bakteri anaerob peka</t>
  </si>
  <si>
    <t>dacin</t>
  </si>
  <si>
    <t>dacin kapsul clindamycin infeksi sal nafas  kulit jar lunak  infeksi serius bakteri anaerob peka</t>
  </si>
  <si>
    <t>DKL0333305301B1</t>
  </si>
  <si>
    <t>Dacin 300 mg 10 Kapsul</t>
  </si>
  <si>
    <t>Rp17.600 - Rp20.000</t>
  </si>
  <si>
    <t>Kapsul 300 Mg X 3 X 10'S.</t>
  </si>
  <si>
    <t>Cendo LFX Eye Drops 5 ml</t>
  </si>
  <si>
    <t>Rp81.100 - Rp108.500</t>
  </si>
  <si>
    <t>PENGGUNAAN OBAT INI HARUS SESUAI DENGAN PETUNJUK DOKTER. 1-2 tetes 3 kali sehari, dosis dapat ditingkatkan tergantung keadaan pasien</t>
  </si>
  <si>
    <t>Pengobatan topical untuk infeksi ocular eksternal mata seperti konjungtivitis yang disebabkan microorganisme</t>
  </si>
  <si>
    <t>HARUS DENGAN RESEP DOKTER. Hipersensitif terhadap levofloxacin atau antibiotic kuinolon lain, penggunaan antibiotika betalaktam</t>
  </si>
  <si>
    <t>pengobatan topical infeksi ocular eksternal mata konjungtivitis disebabkan microorganisme</t>
  </si>
  <si>
    <t>cendo lfx eye</t>
  </si>
  <si>
    <t>cendo lfx eye tetes levofloxacin pengobatan topical infeksi ocular eksternal mata konjungtivitis disebabkan microorganisme</t>
  </si>
  <si>
    <t>alerfed sirup pseudoephedrine hydrochloride triprolidine hydrochloride meringankan gejala gangguan saluran nafas rhinitis alergi vasomotor</t>
  </si>
  <si>
    <t>Cendo Catarlent Eye Drops 5 ml</t>
  </si>
  <si>
    <t>Rp20.300 - Rp32.300</t>
  </si>
  <si>
    <t>TR043331981</t>
  </si>
  <si>
    <t>Herbacure Sambiloto 40 Kapsul</t>
  </si>
  <si>
    <t>HERBACURE SAMBILOTO</t>
  </si>
  <si>
    <t>Rp60.500 - Rp121.600</t>
  </si>
  <si>
    <t>Untuk pencegahan 2 kali sehari 1 kapsul Untuk pengobatan 3 kali sehari 2 kapsul</t>
  </si>
  <si>
    <t>Membantu memelihara daya tahan tubuh dan secara tradisional digunakan untuk membantu meringankan gejala kencing manis</t>
  </si>
  <si>
    <t>Botol Isi 40</t>
  </si>
  <si>
    <t>herbacure sambiloto</t>
  </si>
  <si>
    <t>membantu memelihara daya tahan tubuh tradisional membantu meringankan gejala kencing manis</t>
  </si>
  <si>
    <t>herbacure sambiloto kapsul membantu memelihara daya tahan tubuh tradisional membantu meringankan gejala kencing manis</t>
  </si>
  <si>
    <t>Cendo Mycos Minidose 0.6 ml</t>
  </si>
  <si>
    <t>Rp19.000 - Rp24.200</t>
  </si>
  <si>
    <t>PENGGUNAAN OBAT INI HARUS SESUAI DENGAN PETUNJUK DOKTER. 1-2 tetes 1-3 kali sehari atau sesuai dengan anjuran dokter.</t>
  </si>
  <si>
    <t>Infeksi okular yang disebabkan oleh organisme yang sensitif terhadap chloromicetin, yang membutuhkan terapi kortikosteroid.</t>
  </si>
  <si>
    <t>HARUS DENGAN RESEP DOKTER. Hipersensitif terhadap komponen obat, hipertensi intra okular, infeksi virus, tuberkulosis mata.</t>
  </si>
  <si>
    <t>cendo mycos minidose</t>
  </si>
  <si>
    <t>cendo mycos minidose tetes chloramphenicol infeksi okular disebabkan organisme sensitif chloromicetin  membutuhkan terapi kortikosteroid</t>
  </si>
  <si>
    <t>trovensis tablet ondansetron hydrochloride dihydrate mual muntah akibat kemoterapi radioterapi  mual  muntah paska operasi</t>
  </si>
  <si>
    <t>DKL8813301537A1</t>
  </si>
  <si>
    <t>Lasal Expectorant Sirup 100 ml</t>
  </si>
  <si>
    <t>Rp36.900 - Rp64.900</t>
  </si>
  <si>
    <t>lasal expectorant</t>
  </si>
  <si>
    <t>lasal expectorant sirup guaifenesin salbutamol sulfate meringankan asma bronkhial  bronkhitis khronik  emfisema  kondisi bronkhospastik</t>
  </si>
  <si>
    <t>DKL7205508410A1</t>
  </si>
  <si>
    <t>Colistine 250.000 Iu 100 Tablet</t>
  </si>
  <si>
    <t>Rp172.800 - Rp326.800</t>
  </si>
  <si>
    <t>Berikan sebelum atau sesudah makan</t>
  </si>
  <si>
    <t>PENGGUNAAN OBAT INI HARUS SESUAI DENGAN PETUNJUK DOKTER. Anak 0-15 kg 1-2 tablet 3 x sehari</t>
  </si>
  <si>
    <t>DKL7205508410B1</t>
  </si>
  <si>
    <t>Colistine Tablet 1.500.000 Iu</t>
  </si>
  <si>
    <t>Rp7.100 - Rp14.400</t>
  </si>
  <si>
    <t>Berikan sesudah makan, diminum rutin</t>
  </si>
  <si>
    <t>PENGGUNAAN OBAT INI HARUS SESUAI DENGAN PETUNJUK DOKTER. Oral: bayi, anak-anak: 100.000-150.000 UI/kgBB dalam dosis bagi selama 24 jam</t>
  </si>
  <si>
    <t>DTL9502321108A1</t>
  </si>
  <si>
    <t>Nevradin E 10 Tablet</t>
  </si>
  <si>
    <t>Rp24.500 - Rp36.700</t>
  </si>
  <si>
    <t>1 tablet/dragee perhari</t>
  </si>
  <si>
    <t>Defisiensi vitamin B &amp; E</t>
  </si>
  <si>
    <t>Box isi 10 strip @ 10 tablet salut</t>
  </si>
  <si>
    <t>thiamine nitrate pyridoxine hydrochloride cyanocobalamin tocopheryl acetate</t>
  </si>
  <si>
    <t>defisiensi vitamin b e</t>
  </si>
  <si>
    <t>nevradin e</t>
  </si>
  <si>
    <t>nevradin e kaplet thiamine nitrate pyridoxine hydrochloride cyanocobalamin tocopheryl acetate defisiensi vitamin b e</t>
  </si>
  <si>
    <t>DBL0133402209A1</t>
  </si>
  <si>
    <t>Solaneuron Kaplet</t>
  </si>
  <si>
    <t>Rp1.400 - Rp1.900</t>
  </si>
  <si>
    <t>1 kaplet perhari</t>
  </si>
  <si>
    <t>Defisiensi vitamin Neurotropik, gangguan sistem Syaraf misalnya Neuralgia, Mual dan Muntah pada Kehamilan, Migren</t>
  </si>
  <si>
    <t>Dus, 10 Catch cover @ 10 Strip @ 10 kaplet salut selaput</t>
  </si>
  <si>
    <t>defisiensi vitamin neurotropik , gangguan sistem syaraf neuralgia , mual muntah kehamilan , migren</t>
  </si>
  <si>
    <t>solaneuron</t>
  </si>
  <si>
    <t>solaneuron kaplet cyanocobalamin defisiensi vitamin neurotropik  gangguan sistem syaraf neuralgia  mual muntah kehamilan  migren</t>
  </si>
  <si>
    <t>DTL2104431263A1</t>
  </si>
  <si>
    <t>Cetinal 10 mg 10 Tablet Kunyah</t>
  </si>
  <si>
    <t>Rp88.400 - Rp90.800</t>
  </si>
  <si>
    <t>cetinal kunyah</t>
  </si>
  <si>
    <t>cetinal kunyah tablet cetirizine hydrochloride kondisi alergi rinitis perenial  rinitis alergi urtikaria idiopatik kronik</t>
  </si>
  <si>
    <t>DKL1113706137A1</t>
  </si>
  <si>
    <t>Vometron Sirup 50 ml</t>
  </si>
  <si>
    <t>Rp120.100 - Rp125.200</t>
  </si>
  <si>
    <t>PENGGUNAAN OBAT INI HARUS SESUAI DENGAN PETUNJUK DOKTER. Tab Pencegahan mual &amp; muntah pasca op Awal 1 tab 1 jam sblm anestesi, diikuti dg 2 dosis dr 1 tab tiap 8 jam. Mual &amp; muntah yg diinduksi oleh radioterapi 8 mg per oral tiap 8 jam. Dosis pertama hrs diminum 1-2 jam sblm radioterapi. Inj Pengobatan mual &amp; muntah pasca op 4 mg IM sebagai dosis tunggal atau scr inj IV lambat. Mual &amp; muntah akibat kemoterapi yg sangat emetogenik Awal 8 mg scr inj IV lambat atau 15 mnt scr infus segera sblm kemoterapi, lalu dilanjutkan dg infus IV 1 mg/jam selama 2 jam. Atau 2 dosis dr 8 mg scr inj IV lambat atau infus selama 15 mnt dg selang waktu 4 jam. Kedua rejimen ini dilanjutkan dg pemberian 8 mg per oral tiap 12 jam selama 5 hr. Mual &amp; muntah akibat kemoterapi yg kurang emetogenik 8 mg scr inj IV lambat atau infus selama 15 mnt segera sblm kemoterapi atau 8 mg per oral 1-2 jam sblm kemoterapi yg dilanjutkan dg 8 mg per oral tiap 8 jam selama 5 hr.</t>
  </si>
  <si>
    <t>Mual dan muntah yang diinduksi obat kemoterapi sitotoksik, radioterapi, atau pasca operasi.</t>
  </si>
  <si>
    <t>mual muntah diinduksi obat kemoterapi sitotoksik , radioterapi , pasca operasi</t>
  </si>
  <si>
    <t>vometron sirup ondansetron hydrochloride dihydrate mual muntah diinduksi obat kemoterapi sitotoksik  radioterapi  pasca operasi</t>
  </si>
  <si>
    <t>DBL7821624163A1</t>
  </si>
  <si>
    <t>Polysilane 8 Tablet</t>
  </si>
  <si>
    <t>Rp10.000 - Rp11.700</t>
  </si>
  <si>
    <t>Berikan sebelum makan, pada saat perut kosong (dikunyah)</t>
  </si>
  <si>
    <t>Dewasa : 3-4 kali sehari 1-2 tablet. Anak &gt; 4 tahun : 2 tablet per hari.</t>
  </si>
  <si>
    <t>Sakit maag, rasa panas atau terbakar pada uluhati atau kerongkongan, Pirosis, Gastritis, Perut kembung.</t>
  </si>
  <si>
    <t>Dus, 5 Catch Cover @ 1 Strip @ 8 Tablet kunyah</t>
  </si>
  <si>
    <t>Hipersensitif dan penderita gangguan ginjal berat.</t>
  </si>
  <si>
    <t>Penggunaan jangka panjang dan dosis tinggi dapat menyebabkan kerusakan fungsi ginjal. Tidak dianjurkan pemberian pada anak-anak di bawah 6 tahun kecuali atas petunjuk dokter.</t>
  </si>
  <si>
    <t>sakit maag , panas terbakar uluhati kerongkongan , pirosis , gastritis , perut kembung</t>
  </si>
  <si>
    <t>polysilane</t>
  </si>
  <si>
    <t>polysilane tablet aluminium hydroxide sakit maag  panas terbakar uluhati kerongkongan  pirosis  gastritis  perut kembung</t>
  </si>
  <si>
    <t>DKL2122261937A1</t>
  </si>
  <si>
    <t>Bicorsan Sirup 60 ml</t>
  </si>
  <si>
    <t>Rp60.400 - Rp68.500</t>
  </si>
  <si>
    <t>PENGGUNAAN OBAT INI HARUS SESUAI DENGAN PETUNJUK DOKTER. Anak &lt; 6 tahun : 0.20-0.25 mg/KgBB atau 1.125 mcg diberikan sekali sehari atau 2 kali sehari. Anak &gt; 6 tahun : 1 sendok takar, diberikan sekali sehari atau 2 kali sehari.</t>
  </si>
  <si>
    <t>INFORMASI OBAT INI HANYA UNTUK KALANGAN MEDIS. Dispnea akibat Asma Bronkhial, Bronkhitis akut dan kronik, Emfisema Paru.</t>
  </si>
  <si>
    <t>bicorsan</t>
  </si>
  <si>
    <t>bicorsan sirup procaterol hydrochloride hemihydrate dispnea akibat asma bronkhial  bronkhitis akut kronik  emfisema paru</t>
  </si>
  <si>
    <t>Minyak Angin Cap Kapak 28 ml</t>
  </si>
  <si>
    <t>Rp42.900 - Rp48.800</t>
  </si>
  <si>
    <t>Botol @ 28 ml</t>
  </si>
  <si>
    <t>intermoxil forte sirup amoxicillin trihydrate infeksi sal nafas  sal kemih kelamin  kulit jar lunak</t>
  </si>
  <si>
    <t>DBL1025803404A1</t>
  </si>
  <si>
    <t>Trifamol 500 mg 100 Tablet</t>
  </si>
  <si>
    <t>trifamol</t>
  </si>
  <si>
    <t>trifamol kaplet paracetamol obat meredakan nyeri ringan sakit kepala  sakit gigi  nyeri otot  menurunkan demam</t>
  </si>
  <si>
    <t>QD162614351</t>
  </si>
  <si>
    <t>Cap Gajah Gondopuro Olie 50 ml</t>
  </si>
  <si>
    <t>Rp12.000 - Rp13.300</t>
  </si>
  <si>
    <t>Membantu meredakan keseleo, sakit otot pinggang dan nyeri akibat encok.</t>
  </si>
  <si>
    <t>methyl salicyllate</t>
  </si>
  <si>
    <t>membantu meredakan keseleo , sakit otot pinggang nyeri akibat encok</t>
  </si>
  <si>
    <t>cap gajah gondopuro olie</t>
  </si>
  <si>
    <t>cap gajah gondopuro olie  methyl salicyllate membantu meredakan keseleo  sakit otot pinggang nyeri akibat encok</t>
  </si>
  <si>
    <t>DBL0026006304A1</t>
  </si>
  <si>
    <t>Tropigesic 500 mg 100 Kaplet</t>
  </si>
  <si>
    <t>Rp2.500 - Rp31.300</t>
  </si>
  <si>
    <t>Botol @ 100 Kaplet</t>
  </si>
  <si>
    <t>tropigesic kaplet paracetamol obat meredakan nyeri ringan sakit kepala  sakit gigi  nyeri otot  menurunkan demam</t>
  </si>
  <si>
    <t>pyridoxine hydrochloride thiamine mononitrate cyanocobalamin</t>
  </si>
  <si>
    <t>neuromed tablet pyridoxine hydrochloride thiamine mononitrate cyanocobalamin pengobatan defisiensi vit  b1  b6  b12 polineuritis  beriberi</t>
  </si>
  <si>
    <t>pritamox sirup amoxicillin trihydrate infeksi saluran nafas  saluran pencernaan  saluran kemih kelamin  kulit jaringan lunak</t>
  </si>
  <si>
    <t>DKL8828601328A1</t>
  </si>
  <si>
    <t>Erymed 2% Gel 15 g</t>
  </si>
  <si>
    <t>Rp37.800 - Rp39.900</t>
  </si>
  <si>
    <t>Oleskan pada jerawat terutama yang radang/menonjol-merah/mengandung nanah</t>
  </si>
  <si>
    <t>PENGGUNAAN OBAT INI HARUS SESUAI DENGAN PETUNJUK DOKTER. Oleskan pada kulit yang sakit atau terinfeksi sebanyak 1-2 kali</t>
  </si>
  <si>
    <t>INFORMASI OBAT INI HANYA UNTUK KALANGAN MEDIS. Akne atau jerawat, terutama yang mengalami peradangan disertai papula (menonjol kemerahan) dan pustula (mengandung nanah/pus).</t>
  </si>
  <si>
    <t>Hipersensitif, pasien yang sedang menjalani terapi menggunakan astemizole, terfenadine, cisapride, pimozide, ergotamine atau dihydroergotamine.</t>
  </si>
  <si>
    <t>Obat Wajib Apotek, Obat ini dapat dibeli dan diserahkan apoteker tanpa resep dengan maksimum 1 Tube. Pembelian melebihi batas ini WAJIB RESEP DOKTER. Hindari kontak dengan mata, hidung, dan membran mukosa. Kategori Kehamilan: B: Mungkin dapat digunakan oleh wanita hamil. Penelitian pada hewan uji tidak memperlihatkan ada nya risiko terhadap janin, namun belum ada bukti penelitian langsung terhadap wanita hamil.</t>
  </si>
  <si>
    <t>akne jerawat , mengalami peradangan disertai papula menonjol kemerahan pustula mengandung nanah pu</t>
  </si>
  <si>
    <t>erymed</t>
  </si>
  <si>
    <t>erymed gel erythromycin akne jerawat  mengalami peradangan disertai papula menonjol kemerahan pustula mengandung ah pu</t>
  </si>
  <si>
    <t>DTL9127804424A1</t>
  </si>
  <si>
    <t>Mycorine 2% Powder 25 g</t>
  </si>
  <si>
    <t>Rp48.000 - Rp61.100</t>
  </si>
  <si>
    <t>Powder dioleskan pada area kulit yang sakit/gatal/radang</t>
  </si>
  <si>
    <t xml:space="preserve">Oleskan powder 1-2 x sehari selama 2-4 minggu </t>
  </si>
  <si>
    <t>DBL7203400323A1</t>
  </si>
  <si>
    <t>Obat Anak Sumang Rasa Original Sachet</t>
  </si>
  <si>
    <t>Rp700 - Rp800</t>
  </si>
  <si>
    <t>Umur 2-3 tahun: 1 bungkus 3-4 kali sehari Umur 4-6 tahun: 2 bungkus 3-4 kali sehari</t>
  </si>
  <si>
    <t>Dus, 200 sachet @ 425 mg</t>
  </si>
  <si>
    <t>obat anak sumang rasa original</t>
  </si>
  <si>
    <t>obat anak sumang rasa original powder paracetamol meringankan sakit sakit kepala  sakit gigi menurunkan demam</t>
  </si>
  <si>
    <t>DKI1952900110B1</t>
  </si>
  <si>
    <t>Concor AM 5 mg/10 mg 10 Tablet</t>
  </si>
  <si>
    <t>Dapat diberikan sebelum atau sesudah makan.</t>
  </si>
  <si>
    <t>PENGGUNAAN OBAT INI HARUS SESUAI DENGAN PETUNJUK DOKTER. 1 tablet per hari. Gangguan hati atau ginjal berat (CrCl &lt;20 mL/mnt) Bisoprolol tidak lebih dari 10 mg per hari.</t>
  </si>
  <si>
    <t>INFORMASI OBAT INI HANYA UNTUK KALANGAN MEDIS. Hipertensi essensial pada pasien dengan tekanan darah yang tidak cukup dikendalikan dengan terapi obat tunggal.</t>
  </si>
  <si>
    <t>Hipersensitivitas terhadap amlodipin, derivatif dihidropiridin &amp; bisoprolol. Syok kardiogenik. Amlodipin: hipotensi berat, obstruksi aliran darah ventrikel kiri (stenosis aorta berat) dan gagal jantung dgn hemodinamik tdk stabil setelah infark miokard akut. Bisoprolol: gagal jantung akut atau sedang dalam episode gagal jantung yg membutuhkan terapi inotropik IV</t>
  </si>
  <si>
    <t>dextromethorphan hydrobromide doxylamine succinate</t>
  </si>
  <si>
    <t>vicks formula sirup dextromethorphan hydrobromide doxylamine succinate meringankan batuk tidak berdahak disertai bersin  bersin alergi</t>
  </si>
  <si>
    <t>DKL0831528436A1</t>
  </si>
  <si>
    <t>Renasistin Drops 15 ml</t>
  </si>
  <si>
    <t>Rp66.700 - Rp78.300</t>
  </si>
  <si>
    <t>renasistin</t>
  </si>
  <si>
    <t>renasistin powder cefadroxil monohydrate mengatasi infeksi saluran pernafasan  saluran kemih kelamin infeksi kulit jaringan lunak</t>
  </si>
  <si>
    <t>DBL1843200189A1</t>
  </si>
  <si>
    <t>Oxycan Green 500 cc Kaleng</t>
  </si>
  <si>
    <t>Rp41.900 - Rp71.500</t>
  </si>
  <si>
    <t>Buka tutup kecil bagian atas kaleng. Lepaskan penutup dan lekatkan pada kepala kaleng sebagai masker. Tutup hidung dengan masker. Tekan kepala kaleng dan hirup dalam-dalam selama 2 detik.</t>
  </si>
  <si>
    <t>Digunakan sesuai kebutuhan.</t>
  </si>
  <si>
    <t>Memenuhi kebutuhan oksigen dan membantu mengembalikan kadar oksigen dalam tubuh seperti keadaan normal.</t>
  </si>
  <si>
    <t>Kaleng @ 500 CC</t>
  </si>
  <si>
    <t>Bayi prematur</t>
  </si>
  <si>
    <t>Jauhkan dari api dan panas sinar matahari. Jauhkan dari jangkauan anak-anak. Jangan melubangi kaleng. Jangan menyemprot langsung ke api atau pakaian. Jauhkan dari oli atau minyak untuk menghindari bahaya meledak.</t>
  </si>
  <si>
    <t>gas</t>
  </si>
  <si>
    <t>oxygen</t>
  </si>
  <si>
    <t>memenuhi kebutuhan oksigen membantu mengembalikan kadar oksigen tubuh normal</t>
  </si>
  <si>
    <t>oxycan green cc kaleng</t>
  </si>
  <si>
    <t>oxycan green cc kaleng gas oxygen memenuhi kebutuhan oksigen membantu mengembalikan kadar oksigen tubuh normal</t>
  </si>
  <si>
    <t>pyridoxine hydrochloride thiamine nitrate cyanocobalamin</t>
  </si>
  <si>
    <t>neurosanbe tablet pyridoxine hydrochloride thiamine nitrate cyanocobalamin untuk pengobatan kekurangan vitamin b1  b6 b12 polineuritis</t>
  </si>
  <si>
    <t>DBL8509201137A1</t>
  </si>
  <si>
    <t>Fasidol Syrup 60 ml</t>
  </si>
  <si>
    <t>Rp6.300 - Rp13.400</t>
  </si>
  <si>
    <t>0-1 tahun : 1/2 sendok takar (2,5 ml) 3-4 kali sehari, 1-2 tahun : 1 sendok takar (5 ml), 2-6 tahun : 1-2 sendok takar (5-10 ml) 3-4 kali sehari, 6-9 tahun : 2-3 sendok takar (10-15 ml) 3-4 kali sehari, 9-12 tahun : 3-4 sendok takar (15-20 ml) 3-4 kali sehari, Atau sesuai petunjuk dokter</t>
  </si>
  <si>
    <t>Mengurangi rasa sakit pada sakit kepala, sakit gigi, dan nyeri setelah operasi, menurunkan panas pada influenza dan setelah vaksinasi.</t>
  </si>
  <si>
    <t>1. Hati-hati penggunaan obat ini pada penderita penyakit ginjal. Bila setelah 2 hari demam tidak menurun atau setelah 5 hari nyeri tidak menghilang, segera hubungi unit pelayan kesehatan</t>
  </si>
  <si>
    <t>mengurangi sakit sakit kepala , sakit gigi , nyeri operasi , menurunkan panas influenza vaksinasi</t>
  </si>
  <si>
    <t>fasidol sirup paracetamol mengurangi sakit sakit kepala  sakit gigi  nyeri operasi  menurunkan panas influenza vaksinasi</t>
  </si>
  <si>
    <t>DBL7215806416B1</t>
  </si>
  <si>
    <t>Neurobion 10 Tablet</t>
  </si>
  <si>
    <t>Rp26.600 - Rp32.100</t>
  </si>
  <si>
    <t>1 tablet, diminum 1 kali per hari atau sesuai anjuran dokter.</t>
  </si>
  <si>
    <t>Suplemen ini digunakan untuk pencegahan dan pengobatan penyakit karena kekurangan vitamin B1, B6, B12, seperti neuritis perifer, neuralgia.</t>
  </si>
  <si>
    <t>Dus, 25 blister @ 10 tablet</t>
  </si>
  <si>
    <t>Belum terdapat data keamanan terkait penggunaan obat ini pada wanita hamil dan/atau menyusui. Konsultasikan kepada dokter apabila Anda sedang hamil dan/atau menyusui.</t>
  </si>
  <si>
    <t>suplemen pencegahan pengobatan penyakit kekurangan vitamin b1 , b6 , b12 , neuritis perifer , neuralgia</t>
  </si>
  <si>
    <t>neurobion</t>
  </si>
  <si>
    <t>neurobion tablet cyanocobalamin suplemen pencegahan pengobatan penyakit kekurangan vitamin b1  b6  b12  neuritis perifer  neuralgia</t>
  </si>
  <si>
    <t>DTL1140000165A1</t>
  </si>
  <si>
    <t>Selsun Yellow Shampo 60 ml</t>
  </si>
  <si>
    <t>Rp23.700 - Rp33.000</t>
  </si>
  <si>
    <t>Untuk keramas</t>
  </si>
  <si>
    <t>Keramaskan Selsun pada rambut dan kulit kepala dengan merata, biarkan 2-3 mrnit untuk mendapatkan hasil maksimal. Gunakan 2 kali seminggu secara teratur sampai ketombe hilang.</t>
  </si>
  <si>
    <t>Menghilangkan ketombe tingkat sedang sampai dengan berat dan sekaligus menghilangkan gatal-gatal karena ketombe dikulit kepala</t>
  </si>
  <si>
    <t>menghilangkan ketombe tingkat berat menghilangkan gatal - gatal ketombe dikulit kepala</t>
  </si>
  <si>
    <t>selsun yellow shampo</t>
  </si>
  <si>
    <t>selsun yellow shampo  selenium sulfide menghilangkan ketombe tingkat berat menghilangkan gatal  gatal ketombe dikulit kepala</t>
  </si>
  <si>
    <t>DKL9917615729A1</t>
  </si>
  <si>
    <t>Zoter Cream 5 g</t>
  </si>
  <si>
    <t>Rp78.800 - Rp80.500</t>
  </si>
  <si>
    <t>PENGGUNAAN OBAT INI HARUS SESUAI DENGAN PETUNJUK DOKTER. 4-6 x sehari</t>
  </si>
  <si>
    <t>INFORMASI OBAT INI HANYA UNTUK KALANGAN MEDIS. Infeksi virus herpes simpleks pada kulit dan selaput lendir, infeksi virus herpes zoster</t>
  </si>
  <si>
    <t>HARUS DENGAN RESEP DOKTER. Hipersensitivitas Kategori Kehamilan : B</t>
  </si>
  <si>
    <t>infeksi virus herpes simpleks kulit selaput lendir , infeksi virus herpes zoster</t>
  </si>
  <si>
    <t>zoter cream</t>
  </si>
  <si>
    <t>zoter cream krim aciclovir infeksi virus herpes simpleks kulit selaput lendir  infeksi virus herpes zoster</t>
  </si>
  <si>
    <t>renasistin tetes cefadroxil monohydrate mengatasi infeksi saluran pernafasan  saluran kemih kelamin infeksi kulit jaringan lunak</t>
  </si>
  <si>
    <t>neurodex tablet pyridoxine hydrochloride thiamine nitrate cyanocobalamin untuk pengobatan kekurangan vitamin b1  b6  b12  polineuritis</t>
  </si>
  <si>
    <t>insulin glargine</t>
  </si>
  <si>
    <t>lantus xr solostar insulin pen injeksi insulin glargine mengendalikan kadar gula darah pasien diabetes mellitus</t>
  </si>
  <si>
    <t>DKI1529800210A1</t>
  </si>
  <si>
    <t>Nebilet 5 mg 14 Tablet</t>
  </si>
  <si>
    <t>Rp122.700 - Rp135.000</t>
  </si>
  <si>
    <t>Dikonsumsi bersama makanan dan dengan waktu yang sama.</t>
  </si>
  <si>
    <t>PENGGUNAAN OBAT INI HARUS SESUAI DENGAN PETUNJUK DOKTER. Hipertensi : Dewasa : 5 mg sekali sehari. Dalam kombinasi dengan agen antihipertensi lain 5 mg ditambah hidroklorotiazid 12,5-25 mg. Lansia lebih dari 65 tahun Mulai 2,5 mg setiap hari. Dapat ditingkatkan menjadi 5 mg setiap hari. Gagal jantung kronis : Awal 1,25 mg sekali sehari, tingkatkan dengan interval 1-2 minggu berdasarkan toleransi pasien menjadi 2,5 mg, 5 mg &amp; 10 mg sekali sehari.</t>
  </si>
  <si>
    <t>INFORMASI OBAT INI HANYA UNTUK KALANGAN MEDIS. Pengobatan hipertensi esensial &amp; gagal jantung kronis ringan &amp; sedang stabil selain terapi standar pada pasien usia lanjut.</t>
  </si>
  <si>
    <t>Dus, 2 Blister @ 14 tablet</t>
  </si>
  <si>
    <t>Hipersensitivitas. Insufisiensi atau gangguan hati. Gagal jantung akut, syok kardiogenik atau episode dekompensasi gagal jantung. Sindrom sinus sakit termasuk blok SA, Blok jantung derajat 2 &amp; 3 (tanpa alat pacu jantung), riwayat bronkospasme &amp; asma bronkial</t>
  </si>
  <si>
    <t>DKL9621011138A1</t>
  </si>
  <si>
    <t>Pyricef Dry Sirup 60 ml</t>
  </si>
  <si>
    <t>Rp72.300 - Rp79.700</t>
  </si>
  <si>
    <t>pyricef sirup cefadroxil monohydrate mengatasi infeksi saluran pernafasan  saluran kemih kelamin infeksi kulit jaringan lunak</t>
  </si>
  <si>
    <t>DKL9131503301B1</t>
  </si>
  <si>
    <t>Renasistin 500 mg 10 Kapsul</t>
  </si>
  <si>
    <t>Rp112.300 - Rp128.100</t>
  </si>
  <si>
    <t>Dus, 3 strip @ 10 Kapsul</t>
  </si>
  <si>
    <t>renasistin kapsul cefadroxil monohydrate mengatasi infeksi saluran pernafasan  saluran kemih kelamin infeksi kulit jaringan lunak</t>
  </si>
  <si>
    <t>DBL1603400423A1</t>
  </si>
  <si>
    <t>Obat Anak Sumang Rasa Jeruk Sachet</t>
  </si>
  <si>
    <t>Rp600 - Rp700</t>
  </si>
  <si>
    <t>Dus, 100 sachet @ 500 mg</t>
  </si>
  <si>
    <t>obat anak sumang rasa jeruk</t>
  </si>
  <si>
    <t>obat anak sumang rasa jeruk powder paracetamol meringankan sakit sakit kepala  sakit gigi menurunkan demam</t>
  </si>
  <si>
    <t>lapifed tablet pseudoephedrine hydrochloride triprolidine hydrochloride meringankan gejala peradangan saluran pernafasan  rinitis alergi  rinitis vasomotor</t>
  </si>
  <si>
    <t>DBL2203400823A1</t>
  </si>
  <si>
    <t>Obat Anak Sumang Rasa Anggur Sachet</t>
  </si>
  <si>
    <t>Dus, 100 sachet @ 425 mg</t>
  </si>
  <si>
    <t>obat anak sumang rasa anggur</t>
  </si>
  <si>
    <t>obat anak sumang rasa anggur powder paracetamol meringankan sakit sakit kepala  sakit gigi menurunkan demam</t>
  </si>
  <si>
    <t>DBL0133301809B1</t>
  </si>
  <si>
    <t>Mersibion 5000 mcg 10 Kaplet</t>
  </si>
  <si>
    <t>Rp17.500 - Rp26.700</t>
  </si>
  <si>
    <t>mersibion</t>
  </si>
  <si>
    <t>mersibion kaplet thiamine nitrate pyridoxine hydrochloride cyanocobalamin pengobatan defisiensi vit  b1  b6  b12 polineuritis  beriberi</t>
  </si>
  <si>
    <t>DKL9608007301B1</t>
  </si>
  <si>
    <t>Qcef 500 mg 6 Kapsul</t>
  </si>
  <si>
    <t>Rp76.800 - Rp85.400</t>
  </si>
  <si>
    <t>Dus, 5 strip @ 6 Kapsul</t>
  </si>
  <si>
    <t>qcef</t>
  </si>
  <si>
    <t>qcef kapsul cefadroxil monohydrate mengatasi infeksi saluran pernafasan  saluran kemih kelamin infeksi kulit jaringan lunak</t>
  </si>
  <si>
    <t>DKL9713015229A1</t>
  </si>
  <si>
    <t>Matrovir Cream 10 gr</t>
  </si>
  <si>
    <t>Rp16.000 - Rp22.300</t>
  </si>
  <si>
    <t>Oleskan pada bagian kulit atau bagian yang sakit sesuai dengan aturan pakai</t>
  </si>
  <si>
    <t>Virus herpes simpleks, infeksi kulit termasuk herpes genital rekuren dan herpes labialis</t>
  </si>
  <si>
    <t>HARUS DENGAN RESEP DOKTER. Tidak untuk digunakan pada lapisan mukosa, seperti mulut, mata, atau vaginal.Tidak untuk pencegahan infeksi herpes simples rekuren. Hamil, laktasi, anak. Kategori Kehamilan : B</t>
  </si>
  <si>
    <t>matrovir cream gr</t>
  </si>
  <si>
    <t>matrovir cream gr krim aciclovir virus herpes simpleks  infeksi kulit herpes genital rekuren herpes labialis</t>
  </si>
  <si>
    <t>DKL1722254443A1</t>
  </si>
  <si>
    <t>Sansulin Log g Catridge</t>
  </si>
  <si>
    <t>Rp228.100 - Rp256.800</t>
  </si>
  <si>
    <t>Ditentukan dokter. Disuntikan secara subkutan pada area perut, lengan atas atau paha.</t>
  </si>
  <si>
    <t>PENGGUNAAN OBAT INI HARUS SESUAI DENGAN PETUNJUK DOKTER. Dosis bersifat individual, 1 x sehari diinjeksi secra subkutan, diberikan pada waktu yang sama tiap harinya.</t>
  </si>
  <si>
    <t>INFORMASI OBAT INI HANYA UNTUK KALANGAN MEDIS. Pengobatan diabetes mellitus pada dewasa dan anak 6 tahun keatas, di mana pengobatan pengobatan insulin diperlukan.</t>
  </si>
  <si>
    <t>HARUS DENGAN RESEP DOKTER. Pasien dengan gangguan ginjal dan hati. Wanita hamil dan ibu menyusui. Anak usia kurang dari 6 tahun.</t>
  </si>
  <si>
    <t>pengobatan diabetes mellitus dewasa anak 6 keatas , pengobatan pengobatan insulin</t>
  </si>
  <si>
    <t>sansulin log catridge</t>
  </si>
  <si>
    <t>sansulin log catridge injeksi insulin pengobatan diabetes mellitus dewasa anak 6 keatas  pengobatan pengobatan insulin</t>
  </si>
  <si>
    <t>QD171715251</t>
  </si>
  <si>
    <t>Transpulmin Baby Balsam 10 g</t>
  </si>
  <si>
    <t>Rp52.100 - Rp54.900</t>
  </si>
  <si>
    <t>Dioleskan pada dada, punggung &amp; leher</t>
  </si>
  <si>
    <t>Dioleskan 2-4 kali sehari, sesuai dengan kebutuhan.</t>
  </si>
  <si>
    <t>Meredakan nyeri punggung, Sakit kepala, Sakit perut &amp; memberi kehangatan pada pasien Influenza.</t>
  </si>
  <si>
    <t>Dus, Botol @ 10 g</t>
  </si>
  <si>
    <t>Hipersensitif terhadap salah satu komponen produk.</t>
  </si>
  <si>
    <t>Hentikan penggunaan bila terjadi iritasi. Hindarkan kontak dengan mata, luka terbuka, kulit yang terinfeksi. Jauhkan dari jangkauan anak-anak, jangan digunakan langsung dibawah lubang hidung.</t>
  </si>
  <si>
    <t>chamomile</t>
  </si>
  <si>
    <t>meredakan nyeri punggung , sakit kepala , sakit perut kehangatan pasien influenza</t>
  </si>
  <si>
    <t>transpulmin baby balsam</t>
  </si>
  <si>
    <t>transpulmin baby balsam balsam chamomile meredakan nyeri punggung  sakit kepala  sakit perut kehangatan pasien influenza</t>
  </si>
  <si>
    <t>DTL7808102404A1</t>
  </si>
  <si>
    <t>Ultraflu 4 Tablet</t>
  </si>
  <si>
    <t>Rp4.000 - Rp4.700</t>
  </si>
  <si>
    <t>Dosis dewasa 3 - 4 kali per hari 1 kaplet. Anak (usia anak 6-12 tahun): 2 x per hari 1/2 kaplet</t>
  </si>
  <si>
    <t>Flu, demam, sakit kepala, hidung tersumbat &amp; bersin-bersin.</t>
  </si>
  <si>
    <t>Dus, 25 Catch Cover @ 1 Strip @ 4 kaplet</t>
  </si>
  <si>
    <t>flu , demam , sakit kepala , hidung tersumbat bersin - bersin</t>
  </si>
  <si>
    <t>ultraflu</t>
  </si>
  <si>
    <t>ultraflu kaplet paracetamol phenylpropanolamine hydrochloride chlorphenamine maleate flu  demam  sakit kepala  hidung tersumbat bersin  bersin</t>
  </si>
  <si>
    <t>hydrocortisone acetate neomycin sulfate</t>
  </si>
  <si>
    <t>erla neo hydrocort cream krim hydrocortisone acetate neomycin sulfate salep mengobati alergi  eksim  infeski jamur</t>
  </si>
  <si>
    <t>DKI1077402717B1</t>
  </si>
  <si>
    <t>Aprovel 150 mg 14 Tablet</t>
  </si>
  <si>
    <t>Rp265.500 - Rp268.200</t>
  </si>
  <si>
    <t>PENGGUNAAN OBAT INI HARUS SESUAI DENGAN PETUNJUK DOKTER. 1 X sehari 1 tablet, dapat ditingkatkan sampai 2 tablet perhari. Usia lanjut : diawali 1/2 tablet</t>
  </si>
  <si>
    <t>Hipertensi esensial, untuk mengurangi mikro &amp; makro-albuminuriapada pasien Hipertensi dengan dan atau nefropati diabetes yang disebabkan oleh NIDDM</t>
  </si>
  <si>
    <t>Dus, 2 Blister @ 14 tablet salut</t>
  </si>
  <si>
    <t>Penggunaan bersamaan dengan/ aliskiren pada pasien dengan/ diabetes dan gangguan ginjal (GFR &lt;60 mL/menit). Kehamilan.</t>
  </si>
  <si>
    <t>HARUS DENGAN RESEP DOKTER. Kewaspadaan khusus pada Pasien dengan stenosis arteri ginjal unilateral atau bilateral, penipisan volume intravaskular, stenosis aorta atau mitral, atau kardiomiopati hipertrofik obstruktif. Gangguan ginjal. Laktasi. Kategori Kehamilan : Kategori D: Terbukti berisiko terhadap janin. Meski demikian, obat masih dapat digunakan jika obat diperlukan untuk mengatasi keadaan yang mengancam jiwa, atau penyakit serius, dimana obat yang lebih aman tidak dapat digunakan atau tidak efektif.</t>
  </si>
  <si>
    <t>hipertensi esensial , mengurangi mikro makro - albuminuriapada pasien hipertensi nefropati diabetes disebabkan niddm</t>
  </si>
  <si>
    <t>aprovel tablet irbesartan hipertensi esensial  mengurangi mikro makro  albuminuriapada pasien hipertensi nefropati diabetes disebabkan niddm</t>
  </si>
  <si>
    <t>DKL1033211233A1</t>
  </si>
  <si>
    <t>Progyl 125 mg/5 ml Suspensi 60 ml</t>
  </si>
  <si>
    <t>PENGGUNAAN OBAT INI HARUS SESUAI DENGAN PETUNJUK DOKTER. Dewasa, usus amoebiasis : 750 mg, tiga kali sehari selama 5 sampai 10 hari.Dewasa, hepatik amoebiasis: 750 mg, tiga kali sehari selama 5 sampai 10 hari.Anak-anak: 35-50mg/kg/24 jam,. dibagi menjadi tiga dosis, selama 10 hari.</t>
  </si>
  <si>
    <t>INFORMASI OBAT INI HANYA UNTUK KALANGAN MEDIS. - Infeksi yang disebabkan oleh kuman anaerob dan protozoa yang sensitif terhadap Metronidazole. - Pencegahan infeksi anaerob sebelum dan sesudah operasi.</t>
  </si>
  <si>
    <t>HARUS DENGAN RESEP DOKTER. Hati-hati penggunaannya pada pasien dengan riwayat kejang.</t>
  </si>
  <si>
    <t>progyl</t>
  </si>
  <si>
    <t>progyl suspensi metronidazole benzoate  infeksi disebabkan kuman anaerob protozoa sensitif metronidazole   pencegahan infeksi anaerob operasi</t>
  </si>
  <si>
    <t>DBL8327900210A3</t>
  </si>
  <si>
    <t>Zetamol 500 mg 10 Kaplet</t>
  </si>
  <si>
    <t>Rp5.300 - Rp5.400</t>
  </si>
  <si>
    <t>zetamol tablet paracetamol obat meredakan nyeri ringan sakit kepala  sakit gigi  nyeri otot  menurunkan demam</t>
  </si>
  <si>
    <t>DKL9809209629A1</t>
  </si>
  <si>
    <t>Genalten 0.1% Cream 5 g</t>
  </si>
  <si>
    <t>Rp8.000 - Rp10.900</t>
  </si>
  <si>
    <t>PENGGUNAAN OBAT INI HARUS SESUAI DENGAN PETUNJUK DOKTER. Sehari, 3 sampai 4 kali</t>
  </si>
  <si>
    <t>Infeksi kulit primer maupun sekunder disebabkan bakteri gram negatif aerobik yang sensitif</t>
  </si>
  <si>
    <t>hipersensitivitas, bayi prematur.</t>
  </si>
  <si>
    <t>Obat Wajib Apotek, Obat ini dapat dibeli dan diserahkan apoteker tanpa resep dengan maksimum 1 Tube. Pembelian melebihi batas ini WAJIB RESEP DOKTER. Tidak boleh digunakan untuk mata dan daerah sekitar mata. Hentikan pengobatan bila terjadi iritasi atau sensitisasi. Dapat terjadi pertumbuhan yang berlebihan dari mikroorganisme yang tidak rentan pada pemakaian jangka panjang. Begitu terjadi superinfeksi, Kategori Kehamilan : D</t>
  </si>
  <si>
    <t>infeksi kulit primer sekunder disebabkan bakteri gram negatif aerobik sensitif</t>
  </si>
  <si>
    <t>genalten cream</t>
  </si>
  <si>
    <t>genalten cream krim gentamicin sulfate infeksi kulit primer sekunder disebabkan bakteri gram negatif aerobik sensitif</t>
  </si>
  <si>
    <t>DKL1916711329A1</t>
  </si>
  <si>
    <t>Gentason-N Cream 5 g</t>
  </si>
  <si>
    <t>Rp8.500 - Rp9.100</t>
  </si>
  <si>
    <t>Oleskan pada kulit yang terinfeksi.</t>
  </si>
  <si>
    <t>PENGGUNAAN OBAT INI HARUS SESUAI DENGAN PETUNJUK DOKTER. Oleskan krim 2-3 x sehari.</t>
  </si>
  <si>
    <t>INFORMASI OBAT INI HANYA UNTUK KALANGAN MEDIS. Inflamasi disertai infeksi sekunder yang disebabkan oleh organisme yang peka terhadap neomisin.</t>
  </si>
  <si>
    <t>Hipersensitivitas. Herpes simpleks, vaksinia, varisela, TB kulit. Infeksi kulit primer karena jamur atau bakteri. Infeksi sekunder atau primer karena ragi. Rosasea, akne vulgaris, dermatitis perioral. Otitis eksterna dengan perforasi membran timpani.</t>
  </si>
  <si>
    <t>HARUS DENGAN RESEP DOKTER. Hanya untuk pemakaian luar, tidak untuk mata. Hentikan pengobatan jika terjadi iritasi atau sensitisasi. Hindari penggunaan jangka panjang, terutama pada bayi dan anak. Lama terapi pada remaja dan pada muka maksimal 5 hari dan tidak boleh gunakan pembalut. Hamil, laktasi. Tidak untuk digunakan pada daerah yang luas atau waktu lama. Kategori Kehamilan : D</t>
  </si>
  <si>
    <t>inflamasi disertai infeksi sekunder disebabkan organisme peka neomisin</t>
  </si>
  <si>
    <t>gentasonn cream</t>
  </si>
  <si>
    <t>gentasonn cream krim betamethasone valerate neomycin sulfate inflamasi disertai infeksi sekunder disebabkan organisme peka neomisin</t>
  </si>
  <si>
    <t>DKI1952900110C1</t>
  </si>
  <si>
    <t>Concor AM 10 mg/5 mg 10 Tablet</t>
  </si>
  <si>
    <t>Rp156.700 - Rp158.200</t>
  </si>
  <si>
    <t>Cap Dragon Balsem Menthol Refill 5 g</t>
  </si>
  <si>
    <t>Rp10.600 - Rp11.700</t>
  </si>
  <si>
    <t>Dus, 12 Pieces @ 5 g</t>
  </si>
  <si>
    <t>cap dragon balsem menthol refill</t>
  </si>
  <si>
    <t>cap dragon balsem menthol refill balsam mentholum mengurangi sakit kepala  melegakan pernafasan pilek mabuk perjala</t>
  </si>
  <si>
    <t>Selsun Yellow Shampo 120 ml</t>
  </si>
  <si>
    <t>Rp50.500 - Rp51.000</t>
  </si>
  <si>
    <t>Botol @120 ml</t>
  </si>
  <si>
    <t>DKL9608004330A1</t>
  </si>
  <si>
    <t>Fuladic Salep 5 g</t>
  </si>
  <si>
    <t>Rp73.700 - Rp78.200</t>
  </si>
  <si>
    <t>Dioleskan pada daerah yang sakit</t>
  </si>
  <si>
    <t>PENGGUNAAN OBAT INI HARUS SESUAI DENGAN PETUNJUK DOKTER. Oleskan sehari 3 kali, lama pengobatan sekitar 7 hari dan dapat dipakai dengan atau tanpa pembalut</t>
  </si>
  <si>
    <t>Lesi dikulit primer dan sekunder yang disebabkan oleh Staphylococci, seperti pada abses, furunkulosis, impetigo, folikulitis dan hidradenitis</t>
  </si>
  <si>
    <t>Obat Wajib Apotek, Obat ini dapat dibeli dan diserahkan apoteker tanpa resep dengan maksimum 1 Tube. Pembelian melebihi batas ini WAJIB RESEP DOKTER. Bila digunakan untuk kulit muka, jangan kena mata, Dapat meningkatkan resiko sensitisasi dan berkembangnya resistensi antibiotik, Keamanan penggunaan pada wanita hamil dan menyusui belum diketahui oleh karena itu perlu diperhitungkan untung ruginya.</t>
  </si>
  <si>
    <t>sodium fusidate</t>
  </si>
  <si>
    <t>lesi dikulit primer sekunder disebabkan staphylococci , abs , furunkulosis , impetigo , folikulitis hidradenitis</t>
  </si>
  <si>
    <t>fuladic</t>
  </si>
  <si>
    <t>fuladic salep sodium fusidate lesi dikulit primer sekunder disebabkan staphylococci  abs  furunkulosis  impetigo  folikulitis hidradenitis</t>
  </si>
  <si>
    <t>DKL7200914829A1</t>
  </si>
  <si>
    <t>Bufacort-N 0.5% Cream 5 g</t>
  </si>
  <si>
    <t>Rp15.500 - Rp18.400</t>
  </si>
  <si>
    <t>Pada kulit yang sakit dengan merata dan tipis</t>
  </si>
  <si>
    <t>PENGGUNAAN OBAT INI HARUS SESUAI DENGAN PETUNJUK DOKTER. 2 - 3 kali sehari dan bila perlu bisa ditingkatkan.</t>
  </si>
  <si>
    <t>Untuk dermatitis yang terinfeksi atau yang tampak ada infeksi sekunder seperti Pyoderma, Impetigo furunculosis, Acne dan Eksim.</t>
  </si>
  <si>
    <t>HARUS DENGAN RESEP DOKTER. Bila infeksi sekunder tidak tampak, dianjurkan untuk dibuat cultur lebih dahulu. Pasien dengan renal impairment lebih mudah terkena neomycin ototaxicity. Bila terjadi iritasi, pemakaian harus dihentikan dan diberikan pengobatan yang sesuai.</t>
  </si>
  <si>
    <t>untuk dermatitis terinfeksi infeksi sekunder pyoderma , impetigo furunculosis , acne eksim</t>
  </si>
  <si>
    <t>bufacortn cream</t>
  </si>
  <si>
    <t>bufacortn cream krim hydrocortisone acetate untuk dermatitis terinfeksi infeksi sekunder pyoderma  impetigo furunculosis  acne eksim</t>
  </si>
  <si>
    <t>I-Free Terapi Hangat Nyeri Haid 2 Pads</t>
  </si>
  <si>
    <t>Rp17.100 - Rp26.400</t>
  </si>
  <si>
    <t>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t>
  </si>
  <si>
    <t>Pad untuk perawatan saat nyeri haid dengan terapi hangat</t>
  </si>
  <si>
    <t>Dus @ 2 pads</t>
  </si>
  <si>
    <t>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</si>
  <si>
    <t>pad perawatan nyeri haid terapi hangat</t>
  </si>
  <si>
    <t>ifree terapi hangat nyeri haid pads</t>
  </si>
  <si>
    <t>ifree terapi hangat nyeri haid pads tablet sildenafil citrate pad perawatan nyeri haid terapi hangat</t>
  </si>
  <si>
    <t>DTL1833541735A1</t>
  </si>
  <si>
    <t>Cooling 5 Plus Orange 15 ml</t>
  </si>
  <si>
    <t>Rp34.400 - Rp52.800</t>
  </si>
  <si>
    <t>Semprotkan atau oleskan sedikit pada daerah yang sakit.</t>
  </si>
  <si>
    <t>Semprotkan pada area sakit, bila perlu diulang tiap 3-4 jam</t>
  </si>
  <si>
    <t>Menghilangkan rasa sakit misalnya pada saat sariawan, sakit gigi, radang gusi, dan sakit saat pertumbuhan gigi.</t>
  </si>
  <si>
    <t>Dus, Botol Semprot @ 15 ml</t>
  </si>
  <si>
    <t>Hipersensitivitas. Riwayat methemoglobinemia.</t>
  </si>
  <si>
    <t>Jangan ditelan. Belum terdapat data keamanan terkait penggunaan obat ini pada wanita hamil dan/atau menyusui. Konsultasikan kepada dokter apabila Anda sedang hamil dan/atau menyusui.</t>
  </si>
  <si>
    <t>benzocaine</t>
  </si>
  <si>
    <t>menghilangkan sakit sariawan , sakit gigi , radang gusi , sakit pertumbuhan gigi</t>
  </si>
  <si>
    <t>cooling plus orange</t>
  </si>
  <si>
    <t>cooling plus orange larutan benzocaine menghilangkan sakit sariawan  sakit gigi  radang gusi  sakit pertumbuhan gigi</t>
  </si>
  <si>
    <t>DBL7813003663A1</t>
  </si>
  <si>
    <t>Inzana 80 mg 4 Tablet Kunyah</t>
  </si>
  <si>
    <t>Rp2.100 - Rp2.400</t>
  </si>
  <si>
    <t>Anak umur 1-2 tahun: 3 - 4 x sehari 1 tablet. Anak umur 3-5 tahun: 3 - 4 x sehari 1 1/2 - 2 tablet. Anak umur 6-12 tahun: 3 - 4 x sehari 2 1/2 - 5 tablet</t>
  </si>
  <si>
    <t>Dus, 12 Blister @ 4 Tablet</t>
  </si>
  <si>
    <t>Penderita hemofilia, trombositopenia, varicella atau cacar air atau chickenpox dan gejala flu, hipersensitif terhadap salisilat, Penderita alergi (termasuk asma), tukak lambung (maag), pernah atau sering mengalami pendarahan di bawah kulit (konsultasikan dengan dokter).</t>
  </si>
  <si>
    <t>Hati-hati penggunaan obat pada penderita gangguan fungsi hati, Ibu hamil, menyusui dan dehidrasi, Hentikan pengobatan bila terjadi tinitus / gangguan pendengaran, pusing. Penggunaan pada penderita yang mengkonsumsi alkohol, dapat meningkatkan resiko.</t>
  </si>
  <si>
    <t>inzana kunyah</t>
  </si>
  <si>
    <t>inzana kunyah tablet acetylsalicylic acid meringankan gejala flu demam  sakit kepala  hidung tersumbat  bersin  bersin</t>
  </si>
  <si>
    <t>ibuprofen micronized</t>
  </si>
  <si>
    <t>hufagrip tmp suspensi ibuprofen micronized menurunkan panas demam  meringankan nyeri ringan  sakit gigi  sakit kepala</t>
  </si>
  <si>
    <t>DKI1953000217A1</t>
  </si>
  <si>
    <t>Vardipin 5/80 mg 14 Tablet</t>
  </si>
  <si>
    <t>Rp186.100 - Rp204.700</t>
  </si>
  <si>
    <t>INFORMASI OBAT INI HANYA UNTUK KALANGAN MEDIS. Hipertensi essensial pada pasien dengan tekanan darah yang tidak cukup dikendalikan dengan terapi obat tunggal</t>
  </si>
  <si>
    <t>HARUS DENGAN RESEP DOKTER. Pasien dengan deplesi NA &amp; atau volume, stenosis arteri ginjal unilateral atau bilateral, stenosis ke ginjal soliter, kerusakan ginjal berat (CrCl &lt; 10 ml/min), gangguan hati atau gangguan obstruksi empedu, gagal jantung kongestif, CAD berat, stenosis katup aorta &amp; mitral, kardiomiopati hipertrofi obstruktif. Pantau level K. Hentikan jika angioderma berkembang. Anak &lt; 18 tahun. Kategori Kehamilan: D</t>
  </si>
  <si>
    <t>hipertensi essensial pasien tekanan darah tidak dikendalikan terapi obat tunggal</t>
  </si>
  <si>
    <t>vardipin tablet valsartan amlodipine besilate hipertensi essensial pasien teka darah tidak dikendalikan terapi obat tunggal</t>
  </si>
  <si>
    <t>DKL0633207938A1</t>
  </si>
  <si>
    <t>Vroxil Dry Sirup 60 ml</t>
  </si>
  <si>
    <t>Rp62.800 - Rp65.500</t>
  </si>
  <si>
    <t>vroxil</t>
  </si>
  <si>
    <t>vroxil sirup cefadroxil monohydrate mengatasi infeksi saluran pernafasan  saluran kemih kelamin infeksi kulit jaringan lunak</t>
  </si>
  <si>
    <t>DKL9511623038A1</t>
  </si>
  <si>
    <t>Staforin 125 mg Dry Sirup 60 ml</t>
  </si>
  <si>
    <t>Rp56.100 - Rp85.300</t>
  </si>
  <si>
    <t>PENGGUNAAN OBAT INI HARUS SESUAI DENGAN PETUNJUK DOKTER. Dewasa ISK bag bawah tanpa komplikasi : 1 - 2 g dosis tunggal atau terbagi dalam 2 dosis. ISK lain : 2 g/hari dalam 2 dosis teragi. Infeksi kulit dan struktur kulit : 1 g/hari dosis tunggal atau terbagi dalam 2 dosis. Faringitis dan tonsilitis : 1 g/hari</t>
  </si>
  <si>
    <t>Infeksi sal nafas atas dan bawah, kulit dan jar lunak, sal genitourinari, osteomielitis, artritis septik</t>
  </si>
  <si>
    <t>HARUS DENGAN RESEP DOKTER. Pasien alergi terhadap penisilin, gangguan fungsi ginjal, kolitis</t>
  </si>
  <si>
    <t>infeksi sal nafas , kulit jar lunak , sal genitourinari , osteomielitis , artritis septik</t>
  </si>
  <si>
    <t>staforin</t>
  </si>
  <si>
    <t>staforin sirup cefadroxil monohydrate infeksi sal nafas  kulit jar lunak  sal genitourinari  osteomielitis  artritis septik</t>
  </si>
  <si>
    <t>QD151714141</t>
  </si>
  <si>
    <t>Copal Balsem 36 g</t>
  </si>
  <si>
    <t>Rp19.500 - Rp28.700</t>
  </si>
  <si>
    <t>Gosokkan pada bagian tubuh yang sakit</t>
  </si>
  <si>
    <t>Gosokkan secukupnya</t>
  </si>
  <si>
    <t>Masuk angin, flu, hidung tersumbat, sakit kepala, sakit perus, digigit serangga</t>
  </si>
  <si>
    <t>Tube 36 G</t>
  </si>
  <si>
    <t>Hentikan pemakaian bila terjadi reaksi iritasi, Hanya untuk pemakaian luar.</t>
  </si>
  <si>
    <t>masuk angin , flu , hidung tersumbat , sakit kepala , sakit peru , digigit serangga</t>
  </si>
  <si>
    <t>copal balsem</t>
  </si>
  <si>
    <t>copal balsem balsam camphora masuk angin  flu  hidung tersumbat  sakit kepala  sakit peru  digigit serangga</t>
  </si>
  <si>
    <t>DKL9513304801A1</t>
  </si>
  <si>
    <t>Clinmas 150 mg 10 Kapsul</t>
  </si>
  <si>
    <t>Rp56.100 - Rp59.000</t>
  </si>
  <si>
    <t>PENGGUNAAN OBAT INI HARUS SESUAI DENGAN PETUNJUK DOKTER. Dewasa 150-450 mg 4 x sehari</t>
  </si>
  <si>
    <t>DBL9117606810A1</t>
  </si>
  <si>
    <t>Pamol 500 mg 10 Tablet</t>
  </si>
  <si>
    <t>Rp9.800 - Rp12.700</t>
  </si>
  <si>
    <t>Dewasa: 1 - 2 kaplet, 3 sampai 4 kali per hari. Penggunaan maximum 8 kaplet per hari. Anak (6 - 12 tahun): 1/2 - 1 kaplet, 3 sampai 4 kali per hari. Penggunaan maximum 4 kaplet per hari.</t>
  </si>
  <si>
    <t>Meredakan sakit kepala, sakit gigi, nyeri otot, menurunkan demam dan nyeri paska vaksinasi.</t>
  </si>
  <si>
    <t>Penderita gangguan fungsi hati berat dan hipersensitif.</t>
  </si>
  <si>
    <t>Pasien dengan penyakit ginjal, dan pengonsumsi alkohol harap berhati-hati mengunakan obat ini</t>
  </si>
  <si>
    <t>meredakan sakit kepala , sakit gigi , nyeri otot , menurunkan demam nyeri paska vaksinasi</t>
  </si>
  <si>
    <t>pamol tablet paracetamol meredakan sakit kepala  sakit gigi  nyeri otot  menurunkan demam nyeri paska vaksinasi</t>
  </si>
  <si>
    <t>DKL2031547410A1</t>
  </si>
  <si>
    <t>Mierin 10 mg 10 Tablet</t>
  </si>
  <si>
    <t>Rp75.900 - Rp76.700</t>
  </si>
  <si>
    <t>Dikonsumsi dengan atau tanpa makanan dan konsumsi dengan waktu yang sama</t>
  </si>
  <si>
    <t>INFORMASI OBAT INI HANYA UNTUK KALANGAN MEDIS. Menurunkan kolesterol total, LDL, apoliprotein b dan trigliseridadan meningkatkan HDL pada pasien hiperkolesterol primer.</t>
  </si>
  <si>
    <t>HARUS DENGAN RESEP DOKTER. Singkirkan atau obati penyebab sekunder dislipidemia sebelum memulai terapi. Gangguan ginjal dan hati. Kehamilan dan menyusui.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</si>
  <si>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ezetimibe</t>
  </si>
  <si>
    <t>menurunkan kolesterol total , ldl , apoliprotein b trigliseridadan meningkatkan hdl pasien hiperkolesterol primer</t>
  </si>
  <si>
    <t>mierin</t>
  </si>
  <si>
    <t>mierin tablet ezetimibe menurunkan kolesterol total  ldl  apoliprotein b trigliseridadan meningkatkan hdl pasien hiperkolesterol primer</t>
  </si>
  <si>
    <t>chlorphenamine maleate dextromethorphan hydrobromide</t>
  </si>
  <si>
    <t>siladex antitussive sirup chlorphenamine maleate dextromethorphan hydrobromide meredakan batuk tidak berdahak batuk kering disertai alergi</t>
  </si>
  <si>
    <t>DKL9916109438B1</t>
  </si>
  <si>
    <t>Tisacef 250 mg/5 ml 60 ml</t>
  </si>
  <si>
    <t>Rp99.000 - Rp101.700</t>
  </si>
  <si>
    <t>tisacef</t>
  </si>
  <si>
    <t>tisacef sirup cefadroxil monohydrate mengatasi infeksi saluran pernafasan  saluran kemih kelamin infeksi kulit jaringan lunak</t>
  </si>
  <si>
    <t>DKL8917606310A1</t>
  </si>
  <si>
    <t>Zoter 200 mg 10 Tablet</t>
  </si>
  <si>
    <t>Rp83.000 - Rp84.000</t>
  </si>
  <si>
    <t>PENGGUNAAN OBAT INI HARUS SESUAI DENGAN PETUNJUK DOKTER. Dewasa Infeksi virus herpes simplex 200 mg diminum 5x per hari atau setiap 4 jam. pengobatan selama 5 hari atau lebih panjang pada infeksi berat. Anak umur &gt;2 thn: sama dengan dosis dewasa, diminum selama 5 hari. Anak &lt;2 tahun: 0.5 kali dosis dewasa.</t>
  </si>
  <si>
    <t>Infeksi virus Herpes Simplex pada Kulit dan membran Mukosa, termasuk Herpes Genital awal dan berulang, Herpes Zoster</t>
  </si>
  <si>
    <t>Hipersensitivitas terhadap asiklovir</t>
  </si>
  <si>
    <t>HARUS DENGAN RESEP DOKTER. Hamil dan Laktasi, pasien lanjut usia, gangguan ginjal berat.</t>
  </si>
  <si>
    <t>infeksi virus herpes simplex kulit membran mukosa , herpes genital berulang , herpes zoster</t>
  </si>
  <si>
    <t>zoter</t>
  </si>
  <si>
    <t>zoter tablet aciclovir infeksi virus herpes simplex kulit membran mukosa  herpes genital berulang  herpes zoster</t>
  </si>
  <si>
    <t>DKL8715603010B1</t>
  </si>
  <si>
    <t>Meprotrin Forte 10 Tablet</t>
  </si>
  <si>
    <t>Rp21.100 - Rp21.400</t>
  </si>
  <si>
    <t>Infeksi saluran kemih, infeksi saluran pencernaan, infeksi saluran pernapasan, &amp; infeksi toksoplasmosis.</t>
  </si>
  <si>
    <t>Gangguan berat fungsi hati atau ginjal, hipersensitivitas terhadap Sulfonamida, diskrasia darah. Wanita hamil &amp; menyusui. Bayi berusia kurang dari 2 bulan. Porfiria.</t>
  </si>
  <si>
    <t>HARUS DENGAN RESEP DOKTER. Pasien yang kekurangan Asam Folat, keadaan nutrisi yang buruk, atau kekurangan G6PD. Lansia dan pasien dengan penurunan fungsi ginjal.</t>
  </si>
  <si>
    <t>infeksi saluran kemih , infeksi saluran pencernaan , infeksi saluran pernapasan , infeksi toksoplasmosis</t>
  </si>
  <si>
    <t>meprotrin forte</t>
  </si>
  <si>
    <t>meprotrin forte tablet sulfamethoxazole infeksi saluran kemih  infeksi saluran pencernaan  infeksi saluran pernapasan  infeksi toksoplasmosis</t>
  </si>
  <si>
    <t>DKI0387101010A1</t>
  </si>
  <si>
    <t>Ezetrol 10 mg 10 Tablet</t>
  </si>
  <si>
    <t>Rp243.800 - Rp268.300</t>
  </si>
  <si>
    <t>HARUS DENGAN RESEP DOKTER. Pasien yang hipersensitif terhadap komponen obat ini,pasien dengan penyakit liver dan pasien yang sedang hamil dan menyusui.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</si>
  <si>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ezetrol</t>
  </si>
  <si>
    <t>ezetrol tablet ezetimibe menurunkan kolesterol total  ldl  apoliprotein b trigliseridadan meningkatkan hdl pasien hiperkolesterol primer</t>
  </si>
  <si>
    <t>rhinos junior sirup pseudoephedrine hydrochloride chlorphenamine maleate obat meringankan gejala bersin  bersin hidung tersumbat pilek</t>
  </si>
  <si>
    <t>clindamycin hydrochloride</t>
  </si>
  <si>
    <t>dacin kapsul clindamycin hydrochloride infeksi sal nafas  kulit jar lunak  infeksi serius bakteri anaerob peka</t>
  </si>
  <si>
    <t>DKL0435301117A1</t>
  </si>
  <si>
    <t>Lesvatin 10 mg 10 Tablet</t>
  </si>
  <si>
    <t>Rp70.900 - Rp107.000</t>
  </si>
  <si>
    <t>PENGGUNAAN OBAT INI HARUS SESUAI DENGAN PETUNJUK DOKTER. Diawali 1 x sehari 0.5-1 tablet pada malam hari, maximum : 1 x sehari 4 tablet-malam hari.</t>
  </si>
  <si>
    <t>Tambahan terhadap diet untuk menurunkan kadar tinggi Kolesterol Total dan LDL pada Hiperkolesterolemia Primer (tipe IIa dan IIb).</t>
  </si>
  <si>
    <t>Penyakit hati aktif, peningkatan persisten transaminase serum. Hamil dan laktasi.</t>
  </si>
  <si>
    <t>HARUS DENGAN RESEP DOKTER. Anak dan remaja. Pemeriksaan kolesterol secara periodik perlu dilakukan selama terapi. Pasien alkoholik, riwayat penyakit hati. Tidak untuk hiperkolesterolemia familial homozigot dan hipergliseridemia ( tipe I, IV, V). Hentikan penggunaan pada pasien deng</t>
  </si>
  <si>
    <t>tambahan diet menurunkan kadar kolesterol total ldl hiperkolesterolemia primer tipe iia iib</t>
  </si>
  <si>
    <t>lesvatin</t>
  </si>
  <si>
    <t>lesvatin tablet simvastatin tambahan diet menurunkan kadar kolesterol total ldl hiperkolesterolemia primer tipe iia iib</t>
  </si>
  <si>
    <t>DKL1821207716A1</t>
  </si>
  <si>
    <t>Buscopan 10 mg 10 Tablet</t>
  </si>
  <si>
    <t>Rp44.100 - Rp50.400</t>
  </si>
  <si>
    <t>PENGGUNAAN OBAT INI HARUS SESUAI DENGAN PETUNJUK DOKTER. 4 kali sehari 1-2 tablet</t>
  </si>
  <si>
    <t>INFORMASI OBAT INI HANYA UNTUK KALANGAN MEDIS. Gangguan spastik pada saluran cerna, saluran empedu, saluran kemih dan saluran genital wanita</t>
  </si>
  <si>
    <t>Dus, 10 Blister @ 10 Tablet Salut gula</t>
  </si>
  <si>
    <t>Miastenia gravis, megakolon</t>
  </si>
  <si>
    <t>Obat Wajib Apotek, Obat ini dapat dibeli dan diserahkan apoteker tanpa resep dengan maksimum 2 Strip. Pembelian melebihi batas ini WAJIB RESEP DOKTER. Glaukoma sudut sempit, takiaritmia, penderita obstruksi saluran kemih dan usus kecil.</t>
  </si>
  <si>
    <t>hyoscine butylbromide</t>
  </si>
  <si>
    <t>gangguan spastik saluran cerna , saluran empedu , saluran kemih saluran genital wanita</t>
  </si>
  <si>
    <t>buscopan</t>
  </si>
  <si>
    <t>buscopan tablet hyoscine butylbromide gangguan spastik saluran cerna  saluran empedu  saluran kemih saluran genital wanita</t>
  </si>
  <si>
    <t>DKL0621632501B1</t>
  </si>
  <si>
    <t>Drovax 500 mg 10 Kapsul</t>
  </si>
  <si>
    <t>drovax</t>
  </si>
  <si>
    <t>drovax kapsul cefadroxil monohydrate mengatasi infeksi saluran pernafasan  saluran kemih kelamin infeksi kulit jaringan lunak</t>
  </si>
  <si>
    <t>DKL0833404601A1</t>
  </si>
  <si>
    <t>Droxal 500 mg 10 Kapsul</t>
  </si>
  <si>
    <t>Rp157.100 - Rp160.600</t>
  </si>
  <si>
    <t>Dus, 5 strip @ 10 ml</t>
  </si>
  <si>
    <t>droxal kapsul cefadroxil monohydrate mengatasi infeksi saluran pernafasan  saluran kemih kelamin infeksi kulit jaringan lunak</t>
  </si>
  <si>
    <t>DKL0833404738B1</t>
  </si>
  <si>
    <t>Droxal Forte Dry Sirup 250 mg</t>
  </si>
  <si>
    <t>Rp96.200 - Rp97.300</t>
  </si>
  <si>
    <t>droxal forte</t>
  </si>
  <si>
    <t>droxal forte sirup cefadroxil mengatasi infeksi saluran pernafasan  saluran kemih kelamin infeksi kulit jaringan lunak</t>
  </si>
  <si>
    <t>DKL9905028303A1</t>
  </si>
  <si>
    <t>Rhinos SR 10 Kapsul</t>
  </si>
  <si>
    <t>PENGGUNAAN OBAT INI HARUS SESUAI DENGAN PETUNJUK DOKTER. Dewasa dan anak diatas 12 tahun: 1 kapsul, 2 kali perhari atau setiap 12 jam.</t>
  </si>
  <si>
    <t>INFORMASI OBAT INI HANYA UNTUK KALANGAN MEDIS. Meredakan gejala yang berhubungan dengan rinitis alergi misalnya bersin, hidung tersumbat, rinore, pruritus &amp; lakrimasi.</t>
  </si>
  <si>
    <t>Dus, 5 Blister @ 10 Kapsul pelepasan lambat</t>
  </si>
  <si>
    <t>Hipersensitivitas terhadap agen adrenergik. Penyakit KV misalnya, insufisiensi koroner, aritmia</t>
  </si>
  <si>
    <t>copidrel tablet clopidogrel bisulfate pencegah kejadian aterotrombolitik pasien infark miokard  stroke iskhemik  penyakit arteri perifer</t>
  </si>
  <si>
    <t>paracetamol ammonium chloride chlorphenamine maleate pseudoephedrine hydrochloride succus liquiritiae</t>
  </si>
  <si>
    <t>anakonidin obh sirup paracetamol ammonium chloride chlorphenamine maleate pseudoephedrine hydrochloride succus liquiritiae meringankan batuk pilek</t>
  </si>
  <si>
    <t>Guardian Dental Floss Toothpick Mint 50 Pieces</t>
  </si>
  <si>
    <t>Rp25.500 - Rp33.700</t>
  </si>
  <si>
    <t>Untuk membersihkan plak dan makanan yang terselip di antara gigi.</t>
  </si>
  <si>
    <t>Pack @ 50 Pieces</t>
  </si>
  <si>
    <t>untuk membersihkan plak makanan terselip gigi</t>
  </si>
  <si>
    <t>guardian dental floss toothpick mint pieces</t>
  </si>
  <si>
    <t>guardian dental floss toothpick mint pieces tablet tizanidine hydrochloride untuk membersihkan plak maka terselip gigi</t>
  </si>
  <si>
    <t>DKL9615609817A1</t>
  </si>
  <si>
    <t>Anbiolid 150 mg 10 Tablet</t>
  </si>
  <si>
    <t>Rp68.900 - Rp69.700</t>
  </si>
  <si>
    <t>PENGGUNAAN OBAT INI HARUS SESUAI DENGAN PETUNJUK DOKTER. Dewasa : 2 kali sehari 150 mg. Anak-anak &gt;4 tahun : sehari 5-8 mg/kg BB dalam 2 dosis terbagi. Digunakan sebelum makan</t>
  </si>
  <si>
    <t>Infeksi telinga, hidung, tenggorokan, infeksi bronchopulmonary, kelamin (tidak termasuk infeksi gonococcal) dan infeksi kulit</t>
  </si>
  <si>
    <t>Hipersensitivitas, kombinasi dengan turunan ergot</t>
  </si>
  <si>
    <t>HARUS DENGAN RESEP DOKTER. Disfungsi hati</t>
  </si>
  <si>
    <t>DKL1815627501A1</t>
  </si>
  <si>
    <t>Ancefa 500 mg 6 Tablet</t>
  </si>
  <si>
    <t>Rp79.300 - Rp83.200</t>
  </si>
  <si>
    <t>ancefa</t>
  </si>
  <si>
    <t>ancefa kapsul cefadroxil monohydrate mengatasi infeksi saluran pernafasan  saluran kemih kelamin infeksi kulit jaringan lunak</t>
  </si>
  <si>
    <t>DKL9815613338A1</t>
  </si>
  <si>
    <t>Ancefa Dry Sirup 60 ml</t>
  </si>
  <si>
    <t>Rp46.200 - Rp58.400</t>
  </si>
  <si>
    <t>ancefa suspensi cefadroxil monohydrate mengatasi infeksi saluran pernafasan  saluran kemih kelamin infeksi kulit jaringan lunak</t>
  </si>
  <si>
    <t>siladex dmp sirup dextromethorphan hydrobromide diphenhydramine hydrochloride meredakan batuk tidak berdahak batuk kering disertai alergi</t>
  </si>
  <si>
    <t>DKL9509204604A1</t>
  </si>
  <si>
    <t>Fargetix 500 mg 10 Kaplet</t>
  </si>
  <si>
    <t>Rp7.100 - Rp8.600</t>
  </si>
  <si>
    <t>PENGGUNAAN OBAT INI HARUS SESUAI DENGAN PETUNJUK DOKTER. Dewasa dan anak 500 mg, selanjutnya 250 mg tiap 6 jam</t>
  </si>
  <si>
    <t>Sakit kepala, sakit gigi, nyeri waktu haid, nyeri paska bedah, nyeri otot</t>
  </si>
  <si>
    <t>Dus, 10 strip @10 tablet</t>
  </si>
  <si>
    <t>hipersensitvitas, luka lambung, gangguan hati, ginjal, hamil, menyusui</t>
  </si>
  <si>
    <t>Obat Wajib Apotek, Obat ini dapat dibeli dan diserahkan apoteker tanpa resep dengan maksimum 2 Strip. Pembelian melebihi batas ini WAJIB RESEP DOKTER. - Kategori Kehamilan : C</t>
  </si>
  <si>
    <t>sakit kepala , sakit gigi , nyeri haid , nyeri paska bedah , nyeri otot</t>
  </si>
  <si>
    <t>fargetix</t>
  </si>
  <si>
    <t>fargetix kaplet mefenamic acid sakit kepala  sakit gigi  nyeri haid  nyeri paska bedah  nyeri otot</t>
  </si>
  <si>
    <t>Nourish Beauty Care Acne Plast Blue</t>
  </si>
  <si>
    <t>Rp18.300 - Rp21.500</t>
  </si>
  <si>
    <t>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t>
  </si>
  <si>
    <t>Menyamarkan dan mengatasi jerawat dengan cara menyerap cairan jerawat.</t>
  </si>
  <si>
    <t>menyamarkan mengatasi jerawat menyerap cairan jerawat</t>
  </si>
  <si>
    <t>nourish beauty care acne plast blue</t>
  </si>
  <si>
    <t>nourish beauty care acne plast blue tablet tizanidine hydrochloride menyamarkan mengatasi jerawat menyerap cairan jerawat</t>
  </si>
  <si>
    <t>DKL1530708501A1</t>
  </si>
  <si>
    <t>Dolofen-F 400 mg 10 Kapsul</t>
  </si>
  <si>
    <t>Rp10.400 - Rp12.600</t>
  </si>
  <si>
    <t>PENGGUNAAN OBAT INI HARUS SESUAI DENGAN PETUNJUK DOKTER. Dewasa inflamasi &amp; analgesik: 3-4 kali sehari 400mg. analgesik: 3-4 kali sehari 200-400mg, maks. 2400mg/hari. anak 8-12th: 3-4 kali sehari 200mg. 3-7th: 3-4 kali sehari 100mg. 1-2th: 3-4 kali sehari 50mg.</t>
  </si>
  <si>
    <t>INFORMASI OBAT INI HANYA UNTUK KALANGAN MEDIS. untuk nyeri ringan sampai dengan sedang seperti nyeri pasca operasi, nyeri pada penyakit reumatik, nyeri otot, dan untuk meredakan demam</t>
  </si>
  <si>
    <t>Penderita yang hipersensitif terhadap asetosal (aspirin) atau obat antiinflamasi non steroid lainnya, dan wanita hamil trimester 3.Penderita dengan syndroma nasal polyps, angioedema dan reaksi bronkospasme terhadap asetosal (aspirin) atau antiinflamasi non steroid yang lain.</t>
  </si>
  <si>
    <t>Obat Wajib Apotek, Obat ini dapat dibeli dan diserahkan apoteker tanpa resep dengan maksimum 1 Strip. Pembelian melebihi batas ini WAJIB RESEP DOKTER. Penderita gangguan fungsi ginjal, gagal jantung, hipertensi, dan penyakit lain yang mengakibatkan retensi cairan tubuh, asma, gangguan pembekuan darah, lupus ertematosus sistemik.Hati-hati penggunaan pada anak usia di bawah 1 tahun, wanita hamil trimester 1 dan 2, dan ibu menyusui.Hati-hati pemberian pada penderita tukak lambung atau mempunyai riwayat tukak lambung.Hati-hati pada penderita yang sedang mendapatkan antikoagulan kumarin.</t>
  </si>
  <si>
    <t>nyeri ringan nyeri pasca operasi , nyeri penyakit reumatik , nyeri otot , meredakan demam</t>
  </si>
  <si>
    <t>dolofenf</t>
  </si>
  <si>
    <t>dolofenf kapsul ibuprofen nyeri ringan nyeri pasca operasi  nyeri penyakit reumatik  nyeri otot  meredakan demam</t>
  </si>
  <si>
    <t>DKL8304116833A1</t>
  </si>
  <si>
    <t>Bactoprim Combi Sirup 50 ml</t>
  </si>
  <si>
    <t>PENGGUNAAN OBAT INI HARUS SESUAI DENGAN PETUNJUK DOKTER. Anak berusia 5-12 tahun : 2 kali sehari 2 sendok teh, Anak berusia 6 bulan - 5 tahun : 2 kali sehari 1 sendok teh, Anak berusia 2-6 bulan : 2 kali sehari 1/2 sendok teh, Pada infeksi berat, dosis dapat ditingkatkan.</t>
  </si>
  <si>
    <t>Infeksi saluran pencernaan, saluran pernapasan, kulit dan infeksi lain yang disebabkan oleh mikroorganisme yang rentan terhadap Kotrimoksazol.</t>
  </si>
  <si>
    <t>infeksi saluran pencernaan , saluran pernapasan , kulit infeksi disebabkan mikroorganisme rentan kotrimoksazol</t>
  </si>
  <si>
    <t>bactoprim combi</t>
  </si>
  <si>
    <t>bactoprim combi suspensi sulfamethoxazole infeksi saluran pencernaan  saluran pernapasan  kulit infeksi disebabkan mikroorganisme rentan kotrimoksazol</t>
  </si>
  <si>
    <t>DKL8714802238A1</t>
  </si>
  <si>
    <t>Bidicef Dry Syrup 60 ml</t>
  </si>
  <si>
    <t>Rp18.200 - Rp40.700</t>
  </si>
  <si>
    <t>bidicef</t>
  </si>
  <si>
    <t>bidicef sirup cefadroxil monohydrate mengatasi infeksi saluran pernafasan  saluran kemih kelamin infeksi kulit jaringan lunak</t>
  </si>
  <si>
    <t>DTL7204217010A1</t>
  </si>
  <si>
    <t>Demacolin 10 Tablet</t>
  </si>
  <si>
    <t>Rp7.300 - Rp10.200</t>
  </si>
  <si>
    <t>Dewasa : 1 tablet 3 kali per hari. Anak 6-12 tahun : 0.5 tablet 3 kali sehari.</t>
  </si>
  <si>
    <t>Obat ini digunakan untuk meringankan gejala flu seperti demam, sakit kepala, hidung tersumbat dan bersin-bersin.</t>
  </si>
  <si>
    <t>Dus, Amplop @ 1 Strip @ 10 tablet</t>
  </si>
  <si>
    <t>Pasien dengan riwayat hipersensitif terhadap salah satu komposisi dari Demacolin. Pasien yang memiliki riwayat gangguan fungsi hati yang berat. Pasien yang peka terhadap obat simpatomimetik lain, penderita tekanan darah tinggi berat dan yang mendapat terapi obat anti depresan MAO.</t>
  </si>
  <si>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 Belum terdapat data keamanan terkait penggunaan obat ini pada wanita hamil dan/atau menyusui. Konsultasikan kepada dokter apabila Anda sedang hamil dan/atau menyusui.</t>
  </si>
  <si>
    <t>obat meringankan gejala flu demam , sakit kepala , hidung tersumbat bersin - bersin</t>
  </si>
  <si>
    <t>demacolin</t>
  </si>
  <si>
    <t>demacolin tablet chlorphenamine maleate obat meringankan gejala flu demam  sakit kepala  hidung tersumbat bersin  bersin</t>
  </si>
  <si>
    <t>DTL2122728728A1</t>
  </si>
  <si>
    <t>Neo Rheumacyl Anti Inflammation IBP Gel 30 g</t>
  </si>
  <si>
    <t>Rp12.400 - Rp12.800</t>
  </si>
  <si>
    <t>Meredakan nyeri dan inflamasi akibat rematik keseleo &amp; cedera olahraga.</t>
  </si>
  <si>
    <t>Tube @ 30 g</t>
  </si>
  <si>
    <t>meredakan nyeri inflamasi akibat rematik keseleo cedera olahraga</t>
  </si>
  <si>
    <t>neo rheumacyl anti inflammation ibp</t>
  </si>
  <si>
    <t>neo rheumacyl anti inflammation ibp gel ibuprofen meredakan nyeri inflamasi akibat rematik keseleo cedera olahraga</t>
  </si>
  <si>
    <t>DKL8922209701A1</t>
  </si>
  <si>
    <t>Cefat 250 mg 10 Kapsul</t>
  </si>
  <si>
    <t>cefat</t>
  </si>
  <si>
    <t>cefat kapsul cefadroxil monohydrate mengatasi infeksi saluran pernafasan  saluran kemih kelamin infeksi kulit jaringan lunak</t>
  </si>
  <si>
    <t>DKL9827910817B1</t>
  </si>
  <si>
    <t>Zendalat 10 mg 10 Tablet</t>
  </si>
  <si>
    <t>Rp3.600 - Rp9.200</t>
  </si>
  <si>
    <t>Diperlukan tenggang waktu minimal 2 jam diantara dua dosis pemberian. Tablet salut selaput biasanya diminum sebelum makan dengan air. Jika diinginkan mula kerja obat yang sangat cepat, tablet salut selaput dapat dikunyah dan biarkan isinya menyebar di dalam mulut.</t>
  </si>
  <si>
    <t>PENGGUNAAN OBAT INI HARUS SESUAI DENGAN PETUNJUK DOKTER. Untuk hipertensi : 10 - 40 mg, 2x sehari atau 20-90 mg sekali sehari. Untuk angina pektoris : 10-40 mg, 2x sehari atau 30-90 mg sekali sehari. Atau sesuai dengan petunjuk dokter.</t>
  </si>
  <si>
    <t>Pengobatan dan profilaksis insufisiensi koroner kronik, angina pektoris serta pada keadaan setelah infark jantung, dan sebagai obat pelengkap untuk hipertensi.</t>
  </si>
  <si>
    <t>Penderita yang hipersensitif terhadap Nifedipin. Wanita hamil dan menyusui. Penderita hipotensi dan syok kardiogenik.</t>
  </si>
  <si>
    <t>HARUS DENGAN RESEP DOKTER. Hati-hati penggunaan Nifedipine pada pediatrik dan geriatrik, penderita gangguan fungsi ginjal. Hati-hati penggunaan Nifedipine pada penderita Diabetes mellitus karena dapat meningkatkan kadar glukosa darah. Nifedipine harus dihentikan pada penderita yang mengalami iskemia setelah penggunaan.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</si>
  <si>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profilaksis insufisiensi koroner kronik , angina pektoris infark jantung , obat pelengkap hipertensi</t>
  </si>
  <si>
    <t>zendalat</t>
  </si>
  <si>
    <t>zendalat tablet nifedipine pengobatan profilaksis insufisiensi koroner kronik  angina pektoris infark jantung  obat pelengkap hipertensi</t>
  </si>
  <si>
    <t>DKL0415618133A1</t>
  </si>
  <si>
    <t>Nifudiar Sirup 60 ml</t>
  </si>
  <si>
    <t>PENGGUNAAN OBAT INI HARUS SESUAI DENGAN PETUNJUK DOKTER. Dewasa : 1-2 sendok takar 3 kali/hari. Anak dan bayi &gt; 6 bulan : 1 sendok takar 3 kali/hari. Bayi &lt; 6 bulan : 1 sendok takar 2 kali/hari.</t>
  </si>
  <si>
    <t>Terapi diare karena kuman E Colidan Staph, kolopati spesifik dan non spesifik pada dewasa dan anak.</t>
  </si>
  <si>
    <t>HARUS DENGAN RESEP DOKTER. Reduction of normal microbial flora.</t>
  </si>
  <si>
    <t>terapi diare kuman e colidan staph , kolopati spesifik non spesifik dewasa anak</t>
  </si>
  <si>
    <t>nifudiar</t>
  </si>
  <si>
    <t>nifudiar suspensi nifuroxazide terapi diare kuman e colidan staph  kolopati spesifik non spesifik dewasa anak</t>
  </si>
  <si>
    <t>QD191616831</t>
  </si>
  <si>
    <t>Purekids Inhalant Decongestant Oil Geranium 10 ml</t>
  </si>
  <si>
    <t>Rp56.900 - Rp57.900</t>
  </si>
  <si>
    <t>Cukup teteskan ke tungku aromaterapi / sapu tangan / bantal lalu hirup uapnya. Untuk pemakaian di tungku efektif di ruangan ber AC dengan ukuran maksimal 3 x 3 m. Untuk pemakaian di tissu / saputangan, cukup letakkan di samping kepala anak pada jarak 20 ï¿½ 30 cm.</t>
  </si>
  <si>
    <t>3 bulan - 2 tahun = 3 - 7 tetes &gt; 2 tahun = 8 - 12 tetes</t>
  </si>
  <si>
    <t>Membantu melegakan pilek &amp; hidung tersumbat pada bayi dan anak.</t>
  </si>
  <si>
    <t>membantu melegakan pilek hidung tersumbat bayi anak</t>
  </si>
  <si>
    <t>purekids inhalant decongestant oil geranium</t>
  </si>
  <si>
    <t>purekids inhalant decongestant oil geranium minyak cajuput oil membantu melegakan pilek hidung tersumbat bayi anak</t>
  </si>
  <si>
    <t>DKL0319924101A1</t>
  </si>
  <si>
    <t>Droxefa 500 mg 10 Tablet</t>
  </si>
  <si>
    <t>droxefa</t>
  </si>
  <si>
    <t>droxefa kapsul cefadroxil monohydrate mengatasi infeksi saluran pernafasan  saluran kemih kelamin infeksi kulit jaringan lunak</t>
  </si>
  <si>
    <t>DBL9624502804A1</t>
  </si>
  <si>
    <t>Panadol 500 mg 10 Kaplet</t>
  </si>
  <si>
    <t>Rp12.000 - Rp15.400</t>
  </si>
  <si>
    <t>Dewasa dan anak usia lebih dari 12 tahun : 1 - 2 kaplet, 3-4 kali sehari (Maksimum 8 kaplet dalam 24 jam). Anak-anak usia 6-11 tahun : 1/2 - 1 kaplet, 3-4 kali sehari (maksimum 4 kaplet dalam 24 jam). Minimum interval penggunaan dosis adalah 4 jam. Jangan melebihi dosis yang dianjurkan, atau menurut aturan dokter.</t>
  </si>
  <si>
    <t>Obat ini digunakan untuk meredakan nyeri ringan hingga sedang seperti sakit kepala, sakit gigi, sakit pada otot, serta menurunkan demam.</t>
  </si>
  <si>
    <t>Penderita yang hipersensitif terhadap paracetamol dan bahan lain dalam obat ini. Penderita dengan gangguan fungsi hati.</t>
  </si>
  <si>
    <t>obat meredakan nyeri ringan sakit kepala , sakit gigi , sakit otot , menurunkan demam</t>
  </si>
  <si>
    <t>panadol</t>
  </si>
  <si>
    <t>panadol kaplet paracetamol obat meredakan nyeri ringan sakit kepala  sakit gigi  sakit otot  menurunkan demam</t>
  </si>
  <si>
    <t>DKL0506412801A1</t>
  </si>
  <si>
    <t>Erphadrox Kapsul 500 mg</t>
  </si>
  <si>
    <t>Rp15.900 - Rp16.200</t>
  </si>
  <si>
    <t>Dus, 2 strip @ 10 Kapsul</t>
  </si>
  <si>
    <t>erphadrox</t>
  </si>
  <si>
    <t>erphadrox kapsul cefadroxil monohydrate mengatasi infeksi saluran pernafasan  saluran kemih kelamin infeksi kulit jaringan lunak</t>
  </si>
  <si>
    <t>TR083680581</t>
  </si>
  <si>
    <t>Jamu Ban Leng 15 ml</t>
  </si>
  <si>
    <t>JAMU BAN LENG</t>
  </si>
  <si>
    <t>Rp16.500 - Rp22.800</t>
  </si>
  <si>
    <t>Diminum 3-4 kali sehari (sakit keras : 6-7 kali sehari) - Dewasa : 1 sendok teh - Anak : 1/2 sendok teh - Bayi : 3 sampai 5 tetes Minum dengan air atau teh hangat</t>
  </si>
  <si>
    <t>Membantu meredakan gejala masuk angin seperti batuk, pilek, tenggorokan kering dan sakit perut</t>
  </si>
  <si>
    <t>jamu ban leng</t>
  </si>
  <si>
    <t>membantu meredakan gejala masuk angin batuk , pilek , tenggorokan kering sakit perut</t>
  </si>
  <si>
    <t>jamu ban leng jamu membantu meredakan gejala masuk angin batuk  pilek  tenggorokan kering sakit perut</t>
  </si>
  <si>
    <t>DKL0633518001B1</t>
  </si>
  <si>
    <t>Fluxar 150 mg 1 Kapsul</t>
  </si>
  <si>
    <t>Rp74.500 - Rp83.400</t>
  </si>
  <si>
    <t>Kriptokokosis,kandidiasi mukosa,kandidiasi genetikal teritama kandidiasis di vagina,dermatomikosis,profilaksis dari infeksi jamur</t>
  </si>
  <si>
    <t>DUS, 1 BLISTER @ 5 KAPSUL</t>
  </si>
  <si>
    <t>kriptokokosis , kandidiasi mukosa , kandidiasi genetikal teritama kandidiasis vagina , dermatomikosis , profilaksis infeksi jamur</t>
  </si>
  <si>
    <t>fluxar</t>
  </si>
  <si>
    <t>fluxar kapsul fluconazole kriptokokosis  kandidiasi mukosa  kandidiasi genetikal teritama kandidiasis vagina  dermatomikosis  profilaksis infeksi jamur</t>
  </si>
  <si>
    <t>siladex antitussive sirup chlorphenamine maleate dextromethorphan hydrobromide meringankan batuk tidak berdahak batuk kering disertai alergi</t>
  </si>
  <si>
    <t>Jamu Ban Leng 100 ml</t>
  </si>
  <si>
    <t>Rp41.800 - Rp47.400</t>
  </si>
  <si>
    <t>Jamu Ban Leng 50 ml</t>
  </si>
  <si>
    <t>Rp30.000 - Rp35.400</t>
  </si>
  <si>
    <t>Dus Botol @ 50 ml</t>
  </si>
  <si>
    <t>- KOMBINASI-ITRACONAZOLE PELLET 22.0%</t>
  </si>
  <si>
    <t>kombinasi-itraconazole pellet 220%</t>
  </si>
  <si>
    <t>sporacid kapsul kombinasiitraconazole pellet 220 dermatomiosis  kandidiasis  mikosis sistemik  tinea corporis  tinea pidea  tinea kapitis</t>
  </si>
  <si>
    <t>TR112627151</t>
  </si>
  <si>
    <t>OB Herbal Junior Sirup 60 ml</t>
  </si>
  <si>
    <t>OBAT BATUK HERBAL JUNIOR PLUS MADU</t>
  </si>
  <si>
    <t>Rp16.500 - Rp20.900</t>
  </si>
  <si>
    <t>Diberikan sesudah makan. Kocok dahulu sebelum diminum.</t>
  </si>
  <si>
    <t>Anak usia 6-12 tahun : 3 kali sehari 2 sendok takar (10 ml)</t>
  </si>
  <si>
    <t>Tidak untuk digunakan lebih dari 6 minggu. Simpan pada suhu kamar, tidak lebih dari 30 C</t>
  </si>
  <si>
    <t>obat batuk herbal junior plus madu</t>
  </si>
  <si>
    <t>ob herbal junior</t>
  </si>
  <si>
    <t>ob herbal junior sirup obat batuk herbal junior plus madu membantu meredakan batuk melegakan tenggorokan</t>
  </si>
  <si>
    <t>DKL9421007401C1</t>
  </si>
  <si>
    <t>Lando 300 mg 10 Kapsul</t>
  </si>
  <si>
    <t>Rp70.000 - Rp113.500</t>
  </si>
  <si>
    <t>Dapat diberikan bersama atau tanpa makanan : Telan utuh dengan segelas air &amp; dalam posisi tegak.</t>
  </si>
  <si>
    <t>PENGGUNAAN OBAT INI HARUS SESUAI DENGAN PETUNJUK DOKTER. Dewasa :Infeksi ringan sampai dengan sedang 150-300 mg 4 x/hari. Infeksi berat: 300-450 mg 4 x/hari. Anak &gt;1 bulan: Infeksi ringan sampai dengan sedang 8-16 mg/kgBB/hari dibagi 3-4 dosis. Infeksi berat 16-20 mg/kgBB/hari dibagi 3-4 dosis.</t>
  </si>
  <si>
    <t>Infeksi saluran nafas atas &amp; bawah, otitis media akut, infeksi kulit, osteomielitis, infeksi anaerob.</t>
  </si>
  <si>
    <t>HARUS DENGAN RESEP DOKTER. Bayi baru lahir, gangguan fungsi hati atau ginjal. Hamil &amp; laktasi.</t>
  </si>
  <si>
    <t>infeksi saluran nafas , otitis medium akut , infeksi kulit , osteomielitis , infeksi anaerob</t>
  </si>
  <si>
    <t>lando</t>
  </si>
  <si>
    <t>lando kapsul clindamycin hydrochloride infeksi saluran nafas  otitis medium akut  infeksi kulit  osteomielitis  infeksi anaerob</t>
  </si>
  <si>
    <t>DKL9526002233A1</t>
  </si>
  <si>
    <t>Zultrop Sirup 60 ml</t>
  </si>
  <si>
    <t>Pengobatan infeksi saluran pencernaan, saluran pernapasan, kulit dan infeksi lain yang disebabkan oleh mikroorganisme yang rentan terhadap Kotrimoksazol.</t>
  </si>
  <si>
    <t>pengobatan infeksi saluran pencernaan , saluran pernapasan , kulit infeksi disebabkan mikroorganisme rentan kotrimoksazol</t>
  </si>
  <si>
    <t>zultrop</t>
  </si>
  <si>
    <t>zultrop suspensi sulfamethoxazole pengobatan infeksi saluran pencernaan  saluran pernapasan  kulit infeksi disebabkan mikroorganisme rentan kotrimoksazol</t>
  </si>
  <si>
    <t>DKL9913309938A1</t>
  </si>
  <si>
    <t>Lapicef 125 mg/5 ml Dry Sirup 60 ml</t>
  </si>
  <si>
    <t>lapicef sirup cefadroxil monohydrate mengatasi infeksi saluran pernafasan  saluran kemih kelamin infeksi kulit jaringan lunak</t>
  </si>
  <si>
    <t>DKL9913309938B1</t>
  </si>
  <si>
    <t>Lapicef 250 mg/5 ml Dry Sirup 60 ml</t>
  </si>
  <si>
    <t>Rp68.300 - Rp121.600</t>
  </si>
  <si>
    <t>DKL9913309801B1</t>
  </si>
  <si>
    <t>Lapicef 500 mg 10 Kapsul</t>
  </si>
  <si>
    <t>Rp138.600 - Rp159.600</t>
  </si>
  <si>
    <t>lapicef kapsul cefadroxil monohydrate mengatasi infeksi saluran pernafasan  saluran kemih kelamin infeksi kulit jaringan lunak</t>
  </si>
  <si>
    <t>lapicef tetes cefadroxil monohydrate mengatasi infeksi saluran pernafasan  saluran kemih kelamin infeksi kulit jaringan lunak</t>
  </si>
  <si>
    <t>DKL1240802901A1</t>
  </si>
  <si>
    <t>Widoxil 500 mg 10 Kapsul</t>
  </si>
  <si>
    <t>Rp87.200 - Rp120.900</t>
  </si>
  <si>
    <t>widoxil</t>
  </si>
  <si>
    <t>widoxil kapsul cefadroxil monohydrate mengatasi infeksi saluran pernafasan  saluran kemih kelamin infeksi kulit jaringan lunak</t>
  </si>
  <si>
    <t>alxil kapsul cefadroxil monohydrate mengatasi infeksi saluran pernafasan  saluran kemih kelamin infeksi kulit jaringan lunak</t>
  </si>
  <si>
    <t>DKL0535302901A1</t>
  </si>
  <si>
    <t>Vocefa 500 mg 10 Kapsul</t>
  </si>
  <si>
    <t>Rp137.000 - Rp145.100</t>
  </si>
  <si>
    <t>vocefa</t>
  </si>
  <si>
    <t>vocefa kapsul cefadroxil monohydrate mengatasi infeksi saluran pernafasan  saluran kemih kelamin infeksi kulit jaringan lunak</t>
  </si>
  <si>
    <t>DKL1616705201A1</t>
  </si>
  <si>
    <t>Gencef 500 mg 10 Kapsul</t>
  </si>
  <si>
    <t>Rp10.000 - Rp12.200</t>
  </si>
  <si>
    <t>Dus, 10 Strip @ 10 kapsul</t>
  </si>
  <si>
    <t>gencef</t>
  </si>
  <si>
    <t>gencef kapsul cefadroxil monohydrate mengatasi infeksi saluran pernafasan  saluran kemih kelamin infeksi kulit jaringan lunak</t>
  </si>
  <si>
    <t>ammonium chloride pseudoephedrine hydrochloride chlorphenamine maleate succus liquiritiae</t>
  </si>
  <si>
    <t xml:space="preserve">obh tropica extra anak rasa strawberry sirup ammonium chloride pseudoephedrine hydrochloride chlorphenamine maleate succus liquiritiae </t>
  </si>
  <si>
    <t>maxcef kapsul cefadroxil monohydrate mengatasi infeksi saluran pernafasan  saluran kemih kelamin infeksi kulit jaringan lunak</t>
  </si>
  <si>
    <t>DKL1128205538B1</t>
  </si>
  <si>
    <t>Maxcef 250 mg Dry Sirup 60 ml</t>
  </si>
  <si>
    <t>Rp79.900 - Rp107.500</t>
  </si>
  <si>
    <t>Infeksi saluran napas atas dan bawah, infeksi kulit dan jaringan lunak, ISK, artritis septik dan osteomielitis.</t>
  </si>
  <si>
    <t>"HARUS DENGAN RESEP DOKTER. Gagal ginjal, hipersensitivitas terhadap penisilin. Hamil dan laktasi."</t>
  </si>
  <si>
    <t>infeksi saluran napa , infeksi kulit jaringan lunak , isk , artritis septik osteomielitis</t>
  </si>
  <si>
    <t>maxcef sirup cefadroxil monohydrate infeksi saluran napa  infeksi kulit jaringan lunak  isk  artritis septik osteomielitis</t>
  </si>
  <si>
    <t>DKL9909211704A1</t>
  </si>
  <si>
    <t>Fasiprim Forte 10 Kaplet</t>
  </si>
  <si>
    <t>Rp6.400 - Rp13.300</t>
  </si>
  <si>
    <t>hipersensitivitas, gagal ginjal berat, alergi</t>
  </si>
  <si>
    <t>HARUS DENGAN RESEP DOKTER. Hipersensitif Kategori Kehamilan : C</t>
  </si>
  <si>
    <t>fasiprim forte</t>
  </si>
  <si>
    <t>fasiprim forte kaplet trimethoprim sulfamethoxazole untuk menbgobati infeksi bakteri saluran kemih  infeksi bakteri saluran pernafasan</t>
  </si>
  <si>
    <t>DKL0909218738B1</t>
  </si>
  <si>
    <t>Lostacef 250 mg/5 ml Dry Sirup 60 ml</t>
  </si>
  <si>
    <t>Rp14.000 - Rp46.500</t>
  </si>
  <si>
    <t>lostacef sirup cefadroxil monohydrate mengatasi infeksi saluran pernafasan  saluran kemih kelamin infeksi kulit jaringan lunak</t>
  </si>
  <si>
    <t>fatibact adult kaplet trimethoprim sulfamethoxazole infeksi saluram urinarius disebabkan kuman e  coli  klebsiella  aerobacter  proteus</t>
  </si>
  <si>
    <t>OB Herbal Ziplong Cair 12 ml 5 Sachet</t>
  </si>
  <si>
    <t>Rp7.500 - Rp22.300</t>
  </si>
  <si>
    <t>Dewasa: 3 kali sehari 1 sachet (12 ml). Anak-anak: 3 kali sehari 0.5 sachet (6 ml).</t>
  </si>
  <si>
    <t>Membantu meredakan batuk. Membantu menghangatkan dan melegakan tenggorokan.</t>
  </si>
  <si>
    <t>membantu meredakan batuk  membantu menghangatkan melegakan tenggorokan</t>
  </si>
  <si>
    <t>ob herbal ziplong cair sachet ob herbal ziplong membantu meredakan batuk  membantu menghangatkan melegakan tenggorokan</t>
  </si>
  <si>
    <t>guaifenesin chlorphenamine maleate pseudoephedrine hydrochloride paracetamol</t>
  </si>
  <si>
    <t>coparcetin sirup guaifenesin chlorphenamine maleate pseudoephedrine hydrochloride paracetamol bekerja analgetik  antipiretik  antihistamin  ekspektoran  dekongestan hidung</t>
  </si>
  <si>
    <t>TL202286041</t>
  </si>
  <si>
    <t>Nanotech Euca Card Sachet</t>
  </si>
  <si>
    <t>NANOTECH EUCA CARD</t>
  </si>
  <si>
    <t>Rp30.400 - Rp44.400</t>
  </si>
  <si>
    <t>Gunakan produk di sekitar area dada atau hidung dengan menghirup aroma produk</t>
  </si>
  <si>
    <t>Membantu melegakan tenggorokan, hidung tersumbat yang menyertai gangguan di saluran pernapasan, dan sebagai aromaterapi yang menyegarkan</t>
  </si>
  <si>
    <t>Sachet @ 2 gram</t>
  </si>
  <si>
    <t>Untuk penggunaan luar, hentikan penggunaan jiika terjadi alergi</t>
  </si>
  <si>
    <t>nanotech euca card</t>
  </si>
  <si>
    <t>membantu melegakan tenggorokan , hidung tersumbat menyertai gangguan saluran pernapasan , aromaterapi menyegarkan</t>
  </si>
  <si>
    <t>otech euca card sachet membantu melegakan tenggorokan  hidung tersumbat menyertai gangguan saluran pernapasan  aromaterapi menyegarkan</t>
  </si>
  <si>
    <t>DKL8521000738A1</t>
  </si>
  <si>
    <t>Vibramox Dry Sirup 60 ml</t>
  </si>
  <si>
    <t>Rp7.100 - Rp7.600</t>
  </si>
  <si>
    <t>PENGGUNAAN OBAT INI HARUS SESUAI DENGAN PETUNJUK DOKTER. Dewasa : 3x sehari 2-4 sdt. Anak berusia 2-10 tahun : 3 x sehari 1-2 sdt. Anak berusia kurang dari 2 tahun : 3 x sehari 1/2-1 sdt.</t>
  </si>
  <si>
    <t>Infeksi saluran nafas, saluran cerna, saluran kemih, kulit dan jaringan lunak, osteomielitis, tiroid</t>
  </si>
  <si>
    <t>HARUS DENGAN RESEP DOKTER. Hipersensitivitas terhadap Sefalosporin. Kerusakan ginjal. Leukemia limfatik.</t>
  </si>
  <si>
    <t>infeksi saluran nafas , saluran cerna , saluran kemih , kulit jaringan lunak , osteomielitis , tiroid</t>
  </si>
  <si>
    <t>vibramox</t>
  </si>
  <si>
    <t>vibramox sirup amoxicillin infeksi saluran nafas  saluran cerna  saluran kemih  kulit jaringan lunak  osteomielitis  tiroid</t>
  </si>
  <si>
    <t>Sanadryl DMP Sirup 120 ml</t>
  </si>
  <si>
    <t>Rp30.800 - Rp36.300</t>
  </si>
  <si>
    <t>Dikonsumsi bersama atau setelah makanan.</t>
  </si>
  <si>
    <t>Dewasa : 3-4 kali sehari 2 sendok takar (10 mL). Anak 6-12 tahun : 3-4 kali sehari 1 sendok takar (5 ml). Atau menurut petunjuk dokter.</t>
  </si>
  <si>
    <t>Obat ini digunakan untuk meringankan gejala batuk tidak berdahak yang menimbulkan rasa sakit atau batuk karena alergi.</t>
  </si>
  <si>
    <t>Hati-hati penggunaan pada penderita dengan penyakit hati, asma, glaukoma. Hamil, anak-anak. Mempengaruhi kemampuan mengemudi/ menjalankan mesin.</t>
  </si>
  <si>
    <t>obat meringankan gejala batuk tidak berdahak menimbulkan sakit batuk alergi</t>
  </si>
  <si>
    <t>sanadryl dmp sirup ammonium chloride obat meringankan gejala batuk tidak berdahak menimbulkan sakit batuk alergi</t>
  </si>
  <si>
    <t>TR183315501</t>
  </si>
  <si>
    <t>Jamu Iboe Sambiloto Herbal 30 Kapsul</t>
  </si>
  <si>
    <t>Rp56.100 - Rp77.200</t>
  </si>
  <si>
    <t>Membantu memelihara daya tahan tubuh, membantu memelihara kesehatan hati.</t>
  </si>
  <si>
    <t>membantu memelihara daya tahan tubuh , membantu memelihara kesehatan hati</t>
  </si>
  <si>
    <t>jamu iboe sambiloto herbal</t>
  </si>
  <si>
    <t>jamu iboe sambiloto herbal kapsul sambiloto membantu memelihara daya tahan tubuh  membantu memelihara kesehatan hati</t>
  </si>
  <si>
    <t>DKL1616705138A1</t>
  </si>
  <si>
    <t>Gencef 125 mg/5 ml Dry Syrup 60 ml</t>
  </si>
  <si>
    <t>Rp10.100 - Rp15.200</t>
  </si>
  <si>
    <t>gencef sirup cefadroxil monohydrate mengatasi infeksi saluran pernafasan  saluran kemih kelamin infeksi kulit jaringan lunak</t>
  </si>
  <si>
    <t>DKL9931107501B1</t>
  </si>
  <si>
    <t>Grafacef 500 mg 10 Kapsul</t>
  </si>
  <si>
    <t>Rp83.600 - Rp84.500</t>
  </si>
  <si>
    <t>grafacef</t>
  </si>
  <si>
    <t>grafacef kapsul cefadroxil monohydrate mengatasi infeksi saluran pernafasan  saluran kemih kelamin infeksi kulit jaringan lunak</t>
  </si>
  <si>
    <t>QD201789501</t>
  </si>
  <si>
    <t>Copal Balsem 25 g</t>
  </si>
  <si>
    <t>Oleskan secukupnya pada bagian yang membutuhkan</t>
  </si>
  <si>
    <t>Masuk angin, flu, hidung tersumbat, sakit kepala, sakit perut, digigit serangga</t>
  </si>
  <si>
    <t>Tube 25 G</t>
  </si>
  <si>
    <t>masuk angin , flu , hidung tersumbat , sakit kepala , sakit perut , digigit serangga</t>
  </si>
  <si>
    <t>copal balsem balsam camphora masuk angin  flu  hidung tersumbat  sakit kepala  sakit perut  digigit serangga</t>
  </si>
  <si>
    <t>DKL9902327638B1</t>
  </si>
  <si>
    <t>Alxil 125 mg/5 ml Dry Sirup 60 ml</t>
  </si>
  <si>
    <t>Rp53.400 - Rp56.900</t>
  </si>
  <si>
    <t>alxil sirup cefadroxil monohydrate mengatasi infeksi saluran pernafasan  saluran kemih kelamin infeksi kulit jaringan lunak</t>
  </si>
  <si>
    <t>Guardian Dental Floss Toothpick Wax 50 Pieces</t>
  </si>
  <si>
    <t>Rp25.500 - Rp33.500</t>
  </si>
  <si>
    <t>guardian dental floss toothpick wax pieces</t>
  </si>
  <si>
    <t>guardian dental floss toothpick wax pieces tablet tizanidine hydrochloride untuk membersihkan plak maka terselip gigi</t>
  </si>
  <si>
    <t>DKL1122249533A1</t>
  </si>
  <si>
    <t>Sanfuro 250 mg/5 ml 60 ml</t>
  </si>
  <si>
    <t>Rp48.600 - Rp58.600</t>
  </si>
  <si>
    <t>sanfuro</t>
  </si>
  <si>
    <t>sanfuro suspensi nifuroxazide terapi diare kuman e colidan staph  kolopati spesifik non spesifik dewasa anak</t>
  </si>
  <si>
    <t>DKL9802325410A1</t>
  </si>
  <si>
    <t>Inhitril 5 mg 10 Tablet</t>
  </si>
  <si>
    <t>Rp31.900 - Rp39.900</t>
  </si>
  <si>
    <t>PENGGUNAAN OBAT INI HARUS SESUAI DENGAN PETUNJUK DOKTER. Untuk hipertensi esensial : 10 mg. Untuk terapi tambahan gagal jantung kongestif (dalam kombinasi dengan diuretik) : 2.5 mg 1 kali/hari.</t>
  </si>
  <si>
    <t>INFORMASI OBAT INI HANYA UNTUK KALANGAN MEDIS. Hipertensi esensial dan renovaskular. Sebagai terapi tambahan untuk gagal jantung kongestif (dalam kombinasi dengan diuretik).</t>
  </si>
  <si>
    <t>HARUS DENGAN RESEP DOKTER. Hamil dan laktasi, anak, gangguan fungsi ginjal, pasien dengan deplesi volume cairan tubuh karena terapi diuretik, gagal jantung berat, pembatasan asupan garam, dialisis, diare, muntah, kardiomiopati hipertrofi, stenosis aorta. Kategori kehamilan : Kategori D: Terbukti berisiko terhadap janin. Meski demikian, obat masih dapat digunakan jika obat diperlukan untuk mengatasi keadaan yang mengancam jiwa, atau penyakit serius, dimana obat yang lebih aman tidak dapat digunakan atau tidak efektif.</t>
  </si>
  <si>
    <t>hipertensi esensial renovaskular  sebagai terapi tambahan gagal jantung kongestif kombinasi diuretik</t>
  </si>
  <si>
    <t>inhitril</t>
  </si>
  <si>
    <t>inhitril tablet lisinopril dihydrate hipertensi esensial renovaskular  sebagai terapi tambahan gagal jantung kongestif kombinasi diuretik</t>
  </si>
  <si>
    <t>DKL1608024229A1</t>
  </si>
  <si>
    <t>Scacid Cream 10 gr</t>
  </si>
  <si>
    <t>Rp38.500 - Rp58.400</t>
  </si>
  <si>
    <t>mengobati kudis yang disebabkan oleh tungau yang menempel pada kulit dan kutu yang hidup di kulit kepala</t>
  </si>
  <si>
    <t>mengobati kudis disebabkan tungau menempel kulit kutu hidup kulit kepala</t>
  </si>
  <si>
    <t>scacid cream gr</t>
  </si>
  <si>
    <t>scacid cream gr krim permethrin mengobati kudis disebabkan tungau menempel kulit kutu hidup kulit kepala</t>
  </si>
  <si>
    <t>TR052751701</t>
  </si>
  <si>
    <t>Borobudur Sendi Cream Cabe 60 g</t>
  </si>
  <si>
    <t>SENDI CREAM PLUS CABE</t>
  </si>
  <si>
    <t>Rp37.300 - Rp65.800</t>
  </si>
  <si>
    <t>Gosokkan pada tempat yang sakit.</t>
  </si>
  <si>
    <t>Membantu meredakan encok, pegal linu dan terkilir</t>
  </si>
  <si>
    <t>Untuk obat luar. Jauhkan dari area mata dan luka terbuka.</t>
  </si>
  <si>
    <t>sendi cream plus cabe</t>
  </si>
  <si>
    <t>membantu meredakan encok , pegal linu terkilir</t>
  </si>
  <si>
    <t>borobudur sendi cream cabe</t>
  </si>
  <si>
    <t>borobudur sendi cream cabe krim sendi cream plus cabe membantu meredakan encok  pegal linu terkilir</t>
  </si>
  <si>
    <t>GKL0208505001B1</t>
  </si>
  <si>
    <t>Cefadroxil 500 mg 10 Kapsul</t>
  </si>
  <si>
    <t>Rp10.600 - Rp15.600</t>
  </si>
  <si>
    <t>cefadroxil kapsul cefadroxil monohydrate mengatasi infeksi saluran pernafasan  saluran kemih kelamin infeksi kulit jaringan lunak</t>
  </si>
  <si>
    <t>DKL1840403010A1</t>
  </si>
  <si>
    <t>Moxam 7.5 mg 10 Tablet</t>
  </si>
  <si>
    <t>Rp50.800 - Rp83.600</t>
  </si>
  <si>
    <t>Terapi simptomatik jangka pendek untuk osteoartritis eksaserbasi akut, terapi simptomatik jangka panjang untuk artritis reumatoid.</t>
  </si>
  <si>
    <t>Sensitif terhadap aspirin &amp; AINS lain, asma, polip nasal, angioedema, atau urtikaria.</t>
  </si>
  <si>
    <t>HARUS DENGAN RESEP DOKTER. Hipersensitif komponen</t>
  </si>
  <si>
    <t>terapi simptomatik jangka pendek osteoartritis eksaserbasi akut , terapi simptomatik jangka artritis reumatoid</t>
  </si>
  <si>
    <t>moxam</t>
  </si>
  <si>
    <t>moxam tablet meloxicam terapi simptomatik jangka pendek osteoartritis eksaserbasi akut  terapi simptomatik jangka artritis reumatoid</t>
  </si>
  <si>
    <t>DKL9802325410B1</t>
  </si>
  <si>
    <t>Inhitril 10 mg 10 Tablet</t>
  </si>
  <si>
    <t>Rp37.200 - Rp64.000</t>
  </si>
  <si>
    <t>HARUS DENGAN RESEP DOKTER. Hamil dan laktasi, anak, usia lanjut, gangguan fungsi ginjal, hipotensi simtomatik ,gagal jantung kongestif, pembedahan atau anestesi, pasien hemodialisis, hipersensitivitas atau edema angioneurotik, desensitisasi, infark miokard akut. Kategori kehamilan : Kategori D: Terbukti berisiko terhadap janin. Meski demikian, obat masih dapat digunakan jika obat diperlukan untuk mengatasi keadaan yang mengancam jiwa, atau penyakit serius, dimana obat yang lebih aman tidak dapat digunakan atau tidak efektif.</t>
  </si>
  <si>
    <t>DKL1840403010B1</t>
  </si>
  <si>
    <t>Moxam 15 mg Tablet</t>
  </si>
  <si>
    <t>Rp10.300 - Rp13.300</t>
  </si>
  <si>
    <t>DKL0124218010B1</t>
  </si>
  <si>
    <t>Mobiflex 15 mg 10 Tablet</t>
  </si>
  <si>
    <t>Rp93.400 - Rp102.100</t>
  </si>
  <si>
    <t>Tukak peptik aktif, insufisiensi hati berat, insufisiensi ginjal berat non dialisis, anak, remaja &lt; 15 th, hamil, laktasi, perdarahan saluran cerna, perdarahan serebrovaskuler atau gangguan perdarahan lain, asma, gangguan pembekuan darah atau mendapat terapi antikoagulan.</t>
  </si>
  <si>
    <t>HARUS DENGAN RESEP DOKTER. Riwayat penyakit saluran cerna bagian atas, dehidrasi, gagal jantung kongestif, hipovolemia, sirosis hati, sindroma nefrotik, penyakit ginjal, mendapat terapi antikoagulan, gagal ginjal stadium akhir, pasien dengan kondisi lemah fisik.</t>
  </si>
  <si>
    <t>mobiflex</t>
  </si>
  <si>
    <t>mobiflex tablet meloxicam terapi simptomatik jangka pendek osteoartritis eksaserbasi akut  terapi simptomatik jangka artritis reumatoid</t>
  </si>
  <si>
    <t>TR192328761</t>
  </si>
  <si>
    <t>Sido Muncul Natural Tolak Linu 50 Soft Capsule</t>
  </si>
  <si>
    <t>TOLAK LINU</t>
  </si>
  <si>
    <t>Rp163.700 - Rp198.200</t>
  </si>
  <si>
    <t>sebelum tidur atau setelah melakukan aktifitas atau olahraga</t>
  </si>
  <si>
    <t>1-2 kapsul sebelum tidur dan 1-2 kapsul sehabis melakukan aktivitas atau olahraga</t>
  </si>
  <si>
    <t>Mengandung gingseng, hati-hati pada penderita Hipertensi. Tidak direkomendasikan untuk ibu hamil dan menyusui</t>
  </si>
  <si>
    <t>tolak linu</t>
  </si>
  <si>
    <t>sido muncul natural tolak linu soft capsule</t>
  </si>
  <si>
    <t>sido muncul natural tolak linu soft capsule  tolak linu membantu meredakan pegal linu nyeri sendi</t>
  </si>
  <si>
    <t>DKL8922209701B1</t>
  </si>
  <si>
    <t>Cefat 500 mg 10 Kapsul</t>
  </si>
  <si>
    <t>Rp137.000 - Rp164.100</t>
  </si>
  <si>
    <t>DKL0830908910A1</t>
  </si>
  <si>
    <t>Lexigo 6 mg 10 Tablet</t>
  </si>
  <si>
    <t>Rp5.300 - Rp8.600</t>
  </si>
  <si>
    <t>PENGGUNAAN OBAT INI HARUS SESUAI DENGAN PETUNJUK DOKTER. Dewasa: Sehari 3 kali 1-2 Tablet (6-12 mg).</t>
  </si>
  <si>
    <t>Vertigo, pusing dan gangguan keseimbangan yang selalu diikuti dengan gangguan sirkulasi darah otak, gangguan Meniere.</t>
  </si>
  <si>
    <t>vertigo , pusing gangguan keseimbangan diikuti gangguan sirkulasi darah otak , gangguan meniere</t>
  </si>
  <si>
    <t>lexigo</t>
  </si>
  <si>
    <t>lexigo tablet betahistine mesilate vertigo  pusing gangguan keseimbangan diikuti gangguan sirkulasi darah otak  gangguan meniere</t>
  </si>
  <si>
    <t>QI164809301</t>
  </si>
  <si>
    <t>Yunnan Baiyao Plaster 5 Pieces</t>
  </si>
  <si>
    <t>Rp83.200 - Rp99.100</t>
  </si>
  <si>
    <t>Ditempel pada bagian yang sakit 8 - 12 jam.</t>
  </si>
  <si>
    <t>Membantu meredakan nyeri otot, pegal linu serta membantu mengurangi bengkak atau memar.</t>
  </si>
  <si>
    <t>Dus @ 5 Pieces Plaster</t>
  </si>
  <si>
    <t>1. Tidak boleh digunakan oleh wanita hamil. 2. Tidak digunakan untuk anak-anak dibawah 2 tahun. 3. Tidak digunakan bawah lubang hidung.</t>
  </si>
  <si>
    <t>membantu meredakan nyeri otot , pegal linu membantu mengurangi bengkak memar</t>
  </si>
  <si>
    <t>yunnan baiyao plaster pieces</t>
  </si>
  <si>
    <t>yun baiyao plaster pieces   menthol membantu meredakan nyeri otot  pegal linu membantu mengurangi bengkak memar</t>
  </si>
  <si>
    <t>DKL0317619729B1</t>
  </si>
  <si>
    <t>Moisderm 20% Cream 20 g</t>
  </si>
  <si>
    <t>Rp90.300 - Rp99.400</t>
  </si>
  <si>
    <t>Krim dioleskan pada area kulit yang terkena (kering/gatal/radang)</t>
  </si>
  <si>
    <t>Ikhtiosis dan kondisi kulit kering lainnya, Hiperkeratosis atau kondisi kulit bersisik seperti Psoriasis atau Dermatitis Atopik</t>
  </si>
  <si>
    <t>Obat Wajib Apotek, Obat ini dapat dibeli dan diserahkan apoteker tanpa resep dengan maksimum 1 Tube. Pembelian melebihi batas ini WAJIB RESEP DOKTER. Hindari kontak dengan mata atau kulit terluka atau meradang, selaput mukosa, dan fisura</t>
  </si>
  <si>
    <t>ikhtiosis kondisi kulit kering , hiperkeratosis kondisi kulit bersisik psoriasis dermatitis atopik</t>
  </si>
  <si>
    <t>moisderm cream</t>
  </si>
  <si>
    <t>moisderm cream krim urea ikhtiosis kondisi kulit kering  hiperkeratosis kondisi kulit bersisik psoriasis dermatitis atopik</t>
  </si>
  <si>
    <t>woods peppermint expectorant sirup bromhexine hydrochloride guaifenesin meredakan gejala batuk produktif berdahak  batuk bronchitis emphysema</t>
  </si>
  <si>
    <t>fluocinolone acetonide gentamicin sulfate</t>
  </si>
  <si>
    <t>sinobiotik cream krim fluocinolone acetonide gentamicin sulfate seluruh dermatosis responsif kortikosteroid terancam infeksi bakterial sekunder</t>
  </si>
  <si>
    <t>QD071707431</t>
  </si>
  <si>
    <t>Neo Rheumacyl Joint Care Cream 30 g</t>
  </si>
  <si>
    <t>Rp23.900 - Rp51.100</t>
  </si>
  <si>
    <t>Oleskan secukupnya pada daerah persendian</t>
  </si>
  <si>
    <t>Membantu mengurangi nyeri sendi dan menjaga kesehatan persendian</t>
  </si>
  <si>
    <t>Krim 30 Gr X 1 Tube</t>
  </si>
  <si>
    <t>Alergi pada salah satu komponen obat</t>
  </si>
  <si>
    <t>d-glucosamine hcl</t>
  </si>
  <si>
    <t>membantu mengurangi nyeri sendi menjaga kesehatan persendian</t>
  </si>
  <si>
    <t>neo rheumacyl joint care cream</t>
  </si>
  <si>
    <t>neo rheumacyl joint care cream krim dglucosamine hcl membantu mengurangi nyeri sendi menjaga kesehatan persendian</t>
  </si>
  <si>
    <t>glucosamine sulphate</t>
  </si>
  <si>
    <t>neo rheumacyl joint care cream krim glucosamine sulphate membantu mengurangi nyeri sendi menjaga kesehatan persendian</t>
  </si>
  <si>
    <t>DKL9406409830A1</t>
  </si>
  <si>
    <t>Tigalin Salep 10 g</t>
  </si>
  <si>
    <t>Rp32.000 - Rp32.400</t>
  </si>
  <si>
    <t>Salep dioleskan pada bagian kulit yang terluka</t>
  </si>
  <si>
    <t>Oleskan salep 2-3 x sehari</t>
  </si>
  <si>
    <t>Impetigo, pencegahan infeksi pada luka iris ringan/minor, luka gores &amp; luka bakar</t>
  </si>
  <si>
    <t>Hipersensitivitas selama penggunaan jangka lama atau pada penggunaan pembalut tertutup, kerusakan kulit yang berlebihan</t>
  </si>
  <si>
    <t>impetigo , pencegahan infeksi luka iris ringan minor , luka gore luka bakar</t>
  </si>
  <si>
    <t>tigalin</t>
  </si>
  <si>
    <t>tigalin salep bacitracin zinc impetigo  pencegahan infeksi luka iris ringan minor  luka gore luka bakar</t>
  </si>
  <si>
    <t>TR185616781</t>
  </si>
  <si>
    <t>Minyak Tawon 912 50 ml</t>
  </si>
  <si>
    <t>MINYAK TAWON 912</t>
  </si>
  <si>
    <t>Rp24.300 - Rp32.900</t>
  </si>
  <si>
    <t>Membantu memberikan rasa hangat, membantu meringankan gatal-gatal, dan membantu menghindari gigitan nyamuk</t>
  </si>
  <si>
    <t>Hanya untuk pemakaian luar, jauhkan dari jangkauan anak-anak</t>
  </si>
  <si>
    <t>minyak tawon 912</t>
  </si>
  <si>
    <t>membantu hangat , membantu meringankan gatal - gatal , membantu menghindari gigitan nyamuk</t>
  </si>
  <si>
    <t>tawon</t>
  </si>
  <si>
    <t>tawon minyak minyak tawon 912 membantu hangat  membantu meringankan gatal  gatal  membantu menghindari gigitan nyamuk</t>
  </si>
  <si>
    <t>DTL0434003537A1</t>
  </si>
  <si>
    <t>Novatusin Sirup 60 ml</t>
  </si>
  <si>
    <t>Rp6.700 - Rp14.500</t>
  </si>
  <si>
    <t>Dewasa dan anak &gt; 12 tahun: sehari 3 x 4 sdtk</t>
  </si>
  <si>
    <t>DBL0831528141A1</t>
  </si>
  <si>
    <t>Callusol 10 ml</t>
  </si>
  <si>
    <t>- SALICYLIC ACID. LACTIC ACID. LAUROMACROGOLUM 400</t>
  </si>
  <si>
    <t>Rp33.700 - Rp40.700</t>
  </si>
  <si>
    <t>Callusol dituangkan ke kapas/kasa, dtempelkan di bagian yang dibutuhkan selama semalam</t>
  </si>
  <si>
    <t>Mata ikan, kulit yang mengeras , kutil dan kalus (kapalan).</t>
  </si>
  <si>
    <t>Dus, 10 Botol @ 10 ml</t>
  </si>
  <si>
    <t>Callusol sebaiknya tidak digunakan pada bayi dan penderita dengan gangguan ginjal. Selama masa menyusui, callusol tidak boleh digunakan pada payudara. Hanya digunakan pada kulit bagian luar. Bila timbul iritasi pada kulit, terapi harus dihentikan. Jangan sampai terkena mata atau selaput lendir, bila hal ini terjadi cucilah mata dan selaput lendir dengan air. Simpan pada suhu dibawah 30 C.</t>
  </si>
  <si>
    <t>salicylic acid lactic acid lauromacrogolum 400</t>
  </si>
  <si>
    <t>mata ikan , kulit mengeras , kutil kalus kapalan</t>
  </si>
  <si>
    <t>callusol</t>
  </si>
  <si>
    <t>callusol larutan salicylic acid lactic acid lauromacrogolum 400 mata ikan  kulit mengeras  kutil kalus kapalan</t>
  </si>
  <si>
    <t>DKI1909500229A1</t>
  </si>
  <si>
    <t>Emla 5% Cream 5 gr</t>
  </si>
  <si>
    <t>Rp68.000 - Rp69.900</t>
  </si>
  <si>
    <t>Oleskan pada lapisan yang tebal dan gunakan secara tipis</t>
  </si>
  <si>
    <t>PENGGUNAAN OBAT INI HARUS SESUAI DENGAN PETUNJUK DOKTER. Oleskan 1,5 g/10cm2</t>
  </si>
  <si>
    <t>INFORMASI OBAT INI HANYA UNTUK KALANGAN MEDIS. Anestesi topikal pada kulit yang berhubungan dengan penggunaan jarum suntik prosedur pembedahan superfisisal.</t>
  </si>
  <si>
    <t>Methhemoglobinemia kongenital atau idiopatik. Bayi prematur (lahir sblm kehamilan 37 minggu).</t>
  </si>
  <si>
    <t>HARUS DENGAN RESEP DOKTER. Penggunaan pada luka terbuka (selain tukak pada tungkai)</t>
  </si>
  <si>
    <t>QD162714511</t>
  </si>
  <si>
    <t>Krim Otot Geliga 60 g</t>
  </si>
  <si>
    <t>Rp15.000 - Rp30.700</t>
  </si>
  <si>
    <t>Gunakan secukupnya dan pijat perlahan pada daerah yang sakit hingga krip terserap oleh kulit</t>
  </si>
  <si>
    <t>3-4 kali sehari secukupnya. untuk anak &lt;12th konsultasikan dengan dokter sebelum penggunaan.</t>
  </si>
  <si>
    <t>Membantu meredakan sakit dan nyeri punggung, pundak, nyeri pada persendian, keseleo, kram dan masalah otot lainnya.</t>
  </si>
  <si>
    <t>Hanya untuk pemakaian luar. hindari pemakaian pada luka atau kulit yang rusak. tidak untuk anak-anak &lt;2tahun.</t>
  </si>
  <si>
    <t>membantu meredakan sakit nyeri punggung , pundak , nyeri persendian , keseleo , kram otot</t>
  </si>
  <si>
    <t>otot geliga krim menthol membantu meredakan sakit nyeri punggung  pundak  nyeri persendian  keseleo  kram otot</t>
  </si>
  <si>
    <t>DKL1240700701A1</t>
  </si>
  <si>
    <t>Pharmaxil 500 mg 10 Kapsul</t>
  </si>
  <si>
    <t>Rp12.500 - Rp14.900</t>
  </si>
  <si>
    <t>pharmaxil</t>
  </si>
  <si>
    <t>pharmaxil kapsul cefadroxil monohydrate mengatasi infeksi saluran pernafasan  saluran kemih kelamin infeksi kulit jaringan lunak</t>
  </si>
  <si>
    <t>Hyperil 5 mg 10 Tablet</t>
  </si>
  <si>
    <t>Rp81.300 - Rp107.800</t>
  </si>
  <si>
    <t>PENGGUNAAN OBAT INI HARUS SESUAI DENGAN PETUNJUK DOKTER. Untuk hipertensi : awal tanpa diuretik 2.5 mg 1 kali/hari disesuaikan respon tekanan darah. Pemeliharaan : 2.5-5 mg/hari terbagi dalam 1-2 dosis. Jika respon tekanan darah berkurang dengan pemberian 1 kali/hari pada akhir ienterval pemberian obat, dosis ditingkatkan atau pemberian obat 2 kali/hari. Bila tekanan darah tidak dapat dikontrol hanya dengan ramipril, penggobatan dapat dikombinasikan dengan diuretik.</t>
  </si>
  <si>
    <t>INFORMASI OBAT INI HANYA UNTUK KALANGAN MEDIS. Hyperil berfungsi untuk mengobati tekanan darah tinggi (hipertensi), dan gagal jantung kongestif dengan miokardinal infark akut</t>
  </si>
  <si>
    <t>Pasien dengan riwayat penyakit angioedema, dan hipersensitif terhadap ramipril.</t>
  </si>
  <si>
    <t>HARUS DENGAN RESEP DOKTER. Hati hati penggunaan terhadap anak-anak, ibu hamil dan menyusui, pasien dengan kerusakan fungsi hati, gagal jantung kongestif berat dengan fungsi ginjal terganggu, pasien dialisis, pada dosis awal atau pada peningkatan dosis, dan gangguan ginjal.</t>
  </si>
  <si>
    <t>hyperil berfungsi mengobati tekanan darah hipertensi , gagal jantung kongestif miokardinal infark akut</t>
  </si>
  <si>
    <t>hyperil tablet ramipril hyperil berfungsi mengobati teka darah hipertensi  gagal jantung kongestif miokardinal infark akut</t>
  </si>
  <si>
    <t>Krim Otot Geliga 30 g</t>
  </si>
  <si>
    <t>Rp10.500 - Rp19.800</t>
  </si>
  <si>
    <t>Tube 30 G</t>
  </si>
  <si>
    <t>DTL1834011804A1</t>
  </si>
  <si>
    <t>Parafen 10 Tablet</t>
  </si>
  <si>
    <t>Dewasa : 1 kaplet 3 - 4 kali sehari, atau sesuai anjuran dokter.</t>
  </si>
  <si>
    <t>Meringankan rasa nyeri pada sakit gigi, sakit kepala, nyeri haid ( dismenore primer ) dan menurunkan demam.</t>
  </si>
  <si>
    <t>meringankan nyeri sakit gigi , sakit kepala , nyeri haid dismenore primer menurunkan demam</t>
  </si>
  <si>
    <t>parafen</t>
  </si>
  <si>
    <t>parafen kaplet ibuprofen meringankan nyeri sakit gigi  sakit kepala  nyeri haid dismenore primer menurunkan demam</t>
  </si>
  <si>
    <t>DKL1440702038A1</t>
  </si>
  <si>
    <t>Pharmaxil 125 Dry Syrup 60 ml</t>
  </si>
  <si>
    <t>Rp15.300 - Rp18.900</t>
  </si>
  <si>
    <t>Dus, Botol @ 60 Ml</t>
  </si>
  <si>
    <t>pharmaxil sirup cefadroxil monohydrate mengatasi infeksi saluran pernafasan  saluran kemih kelamin infeksi kulit jaringan lunak</t>
  </si>
  <si>
    <t>DKL1705055217C1</t>
  </si>
  <si>
    <t>Orinox 120 mg 10 Tablet</t>
  </si>
  <si>
    <t>PENGGUNAAN OBAT INI HARUS SESUAI DENGAN PETUNJUK DOKTER. - Nyeri akut setelah operasi gigi : 90 mg 1 kali sehari. Durasi maksimal : 3 hari. - Rheumatoid arthritis : 60 mg 1 kali sehari, dapat ditingkatkan hingga 90 mg 1 kali sehari sesuai kebutuhan. - Osteoarthritis : 30 mg 1 kali sehari, dapat ditingkatkan maksimum hingga 60 mg 1 kali sehari jika diperlukan.</t>
  </si>
  <si>
    <t>INFORMASI OBAT INI HANYA UNTUK KALANGAN MEDIS. Meredakan tanda-tanda dan gejala-gejala Osteoarthritis, Rheumatoid Arhritis dan Ankilosing Spondilitis pada orang dewasa.</t>
  </si>
  <si>
    <t>Hipersensitif terhadap etoricoxib. Gagal jantung kongestif (GJK) (NYHA II-IV). Riwayat penyakit jantung iskemik, penyakit arteri perifer dan/atau penyakit serebrovaskular.</t>
  </si>
  <si>
    <t>HARUS DENGAN RESEP DOKTER. Belum terdapat data keamanan terkait penggunaan obat ini pada wanita hamil dan/atau menyusui. Konsultasikan kepada dokter apabila Anda sedang hamil dan/atau menyusui.</t>
  </si>
  <si>
    <t>meredakan tanda - tanda gejala - gejala osteoarthritis , rheumatoid arhritis ankilosing spondilitis orang dewasa</t>
  </si>
  <si>
    <t>orinox</t>
  </si>
  <si>
    <t>orinox tablet etoricoxib meredakan tanda  tanda gejala  gejala osteoarthritis  rheumatoid arhritis ankilosing spondilitis orang dewasa</t>
  </si>
  <si>
    <t>DKL9216905409A1</t>
  </si>
  <si>
    <t>Omegesic 10 Tablet</t>
  </si>
  <si>
    <t>INFORMASI OBAT INI HANYA UNTUK KALANGAN MEDIS. Meredakan nyeri: sakit kepala, sakit gigi, sakit sewaktu menstruasi, neuralgia, lumbago dan nyeri otot.</t>
  </si>
  <si>
    <t>meredakan nyeri sakit kepala , sakit gigi , sakit menstruasi , neuralgia , lumbago nyeri otot</t>
  </si>
  <si>
    <t>omegesic</t>
  </si>
  <si>
    <t>omegesic kaplet cyanocobalamin meredakan nyeri sakit kepala  sakit gigi  sakit menstruasi  neuralgia  lumbago nyeri otot</t>
  </si>
  <si>
    <t>DKI1509700503A1</t>
  </si>
  <si>
    <t>Pletaal SR 100 mg 10 Kapsul</t>
  </si>
  <si>
    <t>Rp167.000 - Rp206.100</t>
  </si>
  <si>
    <t>Dikonsumsi saat perut kosong.</t>
  </si>
  <si>
    <t>PENGGUNAAN OBAT INI HARUS SESUAI DENGAN PETUNJUK DOKTER. 1 kali sehari 1 tablet</t>
  </si>
  <si>
    <t>INFORMASI OBAT INI HANYA UNTUK KALANGAN MEDIS. Pengobatan untuk mencegah terbentuknya penggumpalan darah akibat aktivitas trombosit, serta mencegah terjadinya sumbatan pada otak.</t>
  </si>
  <si>
    <t>Dus, 1 Alumunium Pillow @3 Blister @ 10 Kapsul</t>
  </si>
  <si>
    <t>gangguan fungsi hati sedang hingga berat, gangguan fungsi ginjal , kehamilan dan menyusui.</t>
  </si>
  <si>
    <t>HARUS DENGAN RESEP DOKTER. Pasien dengan masalah jantung yang berat. Pasien dengan masalah tekanan darah. Pasien yang akan melakukan pembedahan termasuk pencabutan gigi. Pasien yang mudah mengalami memar atau perdarahan.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</si>
  <si>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pengobatan mencegah terbentuknya penggumpalan darah akibat aktivitas trombosit , mencegah sumbatan otak</t>
  </si>
  <si>
    <t>pletaal sr</t>
  </si>
  <si>
    <t>pletaal sr kapsul cilostazol pengobatan mencegah terbentuknya penggumpalan darah akibat aktivitas trombosit  mencegah sumbatan otak</t>
  </si>
  <si>
    <t>DKL1130908701B1</t>
  </si>
  <si>
    <t>Lexicam 20 mg 10 Kapsul</t>
  </si>
  <si>
    <t>Terapi simptomatik rematoid artritis, osteoartritis, ankilosing spondilitis, gangguan muskuloskeletal akut dan gout akut.</t>
  </si>
  <si>
    <t>terapi simptomatik rematoid artritis , osteoartritis , ankilosing spondilitis , gangguan muskuloskeletal akut gout akut</t>
  </si>
  <si>
    <t>lexicam</t>
  </si>
  <si>
    <t>lexicam kapsul piroxicam terapi simptomatik rematoid artritis  osteoartritis  ankilosing spondilitis  gangguan muskuloskeletal akut gout akut</t>
  </si>
  <si>
    <t>DKL9517609801B1</t>
  </si>
  <si>
    <t>Sedrofen 500 mg 10 Kapsul</t>
  </si>
  <si>
    <t>Rp182.000 - Rp206.300</t>
  </si>
  <si>
    <t>sedrofen</t>
  </si>
  <si>
    <t>sedrofen kapsul cefadroxil monohydrate mengatasi infeksi saluran pernafasan  saluran kemih kelamin infeksi kulit jaringan lunak</t>
  </si>
  <si>
    <t>DKL0830908701A1</t>
  </si>
  <si>
    <t>Lexicam 10 mg 10 Kapsul</t>
  </si>
  <si>
    <t>Rp2.500 - Rp2.600</t>
  </si>
  <si>
    <t>bentrio nasal spray lemon oil membantu megkap alergen virus  meringankan gejala disebabkan alergen virus hirup</t>
  </si>
  <si>
    <t>DKL8317602417A1</t>
  </si>
  <si>
    <t>Spiranter 1.5 MIU 10 Tablet</t>
  </si>
  <si>
    <t>Rp98.600 - Rp128.800</t>
  </si>
  <si>
    <t>PENGGUNAAN OBAT INI HARUS SESUAI DENGAN PETUNJUK DOKTER. Dewasa : 1 tablet 3 kali sehari. Anak : 50 - 100 mg/kg BB/hari terbagi dalam 2 - 4 dosis</t>
  </si>
  <si>
    <t>Infeksi saluran nafas, kulit dan jaringan lunak karena bakteri staph, strep dan pneumokokus yang peka</t>
  </si>
  <si>
    <t>Alergi terhadap spiramisin</t>
  </si>
  <si>
    <t>infeksi saluran nafas , kulit jaringan lunak bakteri staph , strep pneumokokus peka</t>
  </si>
  <si>
    <t>spiranter miu</t>
  </si>
  <si>
    <t>spiranter miu tablet spiramycin infeksi saluran nafas  kulit jaringan lunak bakteri staph  strep pneumokokus peka</t>
  </si>
  <si>
    <t>DKL1633536017A1</t>
  </si>
  <si>
    <t>Etorvel 60 mg 10 Tablet</t>
  </si>
  <si>
    <t>Rp71.200 - Rp92.000</t>
  </si>
  <si>
    <t>PENGGUNAAN OBAT INI HARUS SESUAI DENGAN PETUNJUK DOKTER. -OA, nyeri muskuloskeletal kronis. Max: 60 mg satu kali sehari. Nyeri akut yang terkait dengan operasi gigi / Max: 120 mg sekali sehari. Insufisiensi hati ringan: Max: 60 mg sekali sehari. Insufisiensi hati moderat: Max 60 mg sekali setiap hari.</t>
  </si>
  <si>
    <t>Mengurangi nyeri dan bengkak pada sendi dan otot penderita osteoarthritis, rematik, ankylosing spondylitis, dan asam urat.</t>
  </si>
  <si>
    <t>mengurangi nyeri bengkak sendi otot penderita osteoarthritis , rematik , ankylosing spondylitis , asam urat</t>
  </si>
  <si>
    <t>etorvel</t>
  </si>
  <si>
    <t>etorvel tablet etoricoxib mengurangi nyeri bengkak sendi otot penderita osteoarthritis  rematik  ankylosing spondylitis  asam urat</t>
  </si>
  <si>
    <t>DKL0212519710B1</t>
  </si>
  <si>
    <t>Nopril 10 mg 10 Tablet</t>
  </si>
  <si>
    <t>Rp39.900 - Rp51.200</t>
  </si>
  <si>
    <t>PENGGUNAAN OBAT INI HARUS SESUAI DENGAN PETUNJUK DOKTER. Untuk hipertensi esensial : awal 10 mg. Pemeliharaan : 20 mg dosis tunggal. Dosis dapat ditingkatkan bila tidak diperoleh respon yang diinginkan sesudah 2-4 minggu. Maksimal 80 mg/hari. Untuk pasien yang hipersensitif dimana pemberian diuretik tidak d</t>
  </si>
  <si>
    <t>INFORMASI OBAT INI HANYA UNTUK KALANGAN MEDIS. Hipertensi esensial dan renovaskular. Sebagai terapi tambahan terhadap digitalis dan atau diuretik untuk gagal jantung kongestif.</t>
  </si>
  <si>
    <t>Riwayat angioedema.</t>
  </si>
  <si>
    <t>nopril</t>
  </si>
  <si>
    <t>nopril tablet lisinopril dihydrate hipertensi esensial renovaskular  sebagai terapi tambahan digitalis diuretik gagal jantung kongestif</t>
  </si>
  <si>
    <t>DKL9511622801B1</t>
  </si>
  <si>
    <t>Staforin 500 mg 10 Kapsul</t>
  </si>
  <si>
    <t>Rp158.400 - Rp174.100</t>
  </si>
  <si>
    <t>staforin kapsul cefadroxil monohydrate mengatasi infeksi saluran pernafasan  saluran kemih kelamin infeksi kulit jaringan lunak</t>
  </si>
  <si>
    <t>DKL1133525010B1</t>
  </si>
  <si>
    <t>Prohytens 5 mg 10 Tablet</t>
  </si>
  <si>
    <t>Rp70.400 - Rp83.400</t>
  </si>
  <si>
    <t>PENGGUNAAN OBAT INI HARUS SESUAI DENGAN PETUNJUK DOKTER. Dosis awal 2,5mg sekali sehari, dapat ditingkatkan 2x nya dengan interval 2-3 minggu. Dosis pemeliharaan : 2.3-5 mg setiap hari. Dosis maksimal 10 mg / hari</t>
  </si>
  <si>
    <t>Tekanan darah tinggi. Mengurangi resiko serangan jantung, stroke, kematian kardiovaskular atau kebutuhan untuk prosedur revaskularisasi</t>
  </si>
  <si>
    <t>Prohytens Tab 5 Mg 30'S</t>
  </si>
  <si>
    <t>tekanan darah  mengurangi resiko serangan jantung , stroke , kematian kardiovaskular kebutuhan prosedur revaskularisasi</t>
  </si>
  <si>
    <t>prohytens</t>
  </si>
  <si>
    <t>prohytens tablet ramipril teka darah  mengurangi resiko serangan jantung  stroke  kematian kardiovaskular kebutuhan prosedur revaskularisasi</t>
  </si>
  <si>
    <t>DTL9720610204A1</t>
  </si>
  <si>
    <t>Ponflu 4 Kaplet</t>
  </si>
  <si>
    <t>Kaplet Dewasa : 1 kaplet 3 x/hari. Anak 6-12 thn 1/2 kaplet 3 x/hari.</t>
  </si>
  <si>
    <t>Meredakan gejala2 Influensa seperti Demam, Sakit Kepala, sumbatan Pernafasan, Bersin disertai Batuk</t>
  </si>
  <si>
    <t>Disfungsi hati &amp; ginjal, pasien yang mengkonsumsi alkohol secara berlebihan, glaukoma, hipertrofi prostat, hipertiroidisme, retensi urin, hipertensi, lanjut usia, pasien dalam kondisi lemah fisik. Hamil, laktasi. Dpt mengganggu kemampuan mengemudi atau menjalankan mesin.</t>
  </si>
  <si>
    <t>meredakan gejala2 influensa demam , sakit kepala , sumbatan pernafasan , bersin disertai batuk</t>
  </si>
  <si>
    <t>ponflu</t>
  </si>
  <si>
    <t>ponflu kaplet chlorphenamine maleate meredakan gejala2 influensa demam  sakit kepala  sumbatan pernafasan  bersin disertai batuk</t>
  </si>
  <si>
    <t>DBL8104001804A1</t>
  </si>
  <si>
    <t>Citomol 500 mg 10 Kaplet</t>
  </si>
  <si>
    <t>citomol</t>
  </si>
  <si>
    <t>citomol kaplet paracetamol obat meredakan nyeri ringan sakit kepala  sakit gigi  nyeri otot  menurunkan demam</t>
  </si>
  <si>
    <t>quantidex sirup triprolidine hydrochloride pseudoephedrine hydrochloride mengurangi gejala gangguan saluran napa rinitis alergi  rinitis vasomotorik</t>
  </si>
  <si>
    <t>inha tablet isoniazid pyridoxine hydrochloride obat pengobatan pencegahan tuberkulosis  terapi tunggal kombinasi obat anti tuberkulosis</t>
  </si>
  <si>
    <t>DKL0909218738A1</t>
  </si>
  <si>
    <t>Lostacef 125 mg/5 ml Dry Sirup 60 ml</t>
  </si>
  <si>
    <t>Rp10.000 - Rp34.100</t>
  </si>
  <si>
    <t>Vigel 2in1 125 gr</t>
  </si>
  <si>
    <t>Gunakan sesuai kebutuhan pada organ intim, tambahkan bila perlu. Pada penggunaan kondom, oleskan Vigel 2in1 di luar kondom setelah dipakai. Untuk pemijatan, gunakan gel secukupnya selama pemijatan, tambahkan bila perlu.</t>
  </si>
  <si>
    <t>Dapat digunakan sebagai pelicin pada organ intim dan kondom, dapat digubakan juga untuk aktivitas pijat (massage).</t>
  </si>
  <si>
    <t>Tube 125 G</t>
  </si>
  <si>
    <t>VIGEL 2in1 bukan alat kontrasepsi. Hindari kontak dengan mata. Jika terjadi iritasi, hentikan penggunaan produk ini. Jika terjadi iritasi berkelanjutan, hubungi dokter. Jauhkan dari jangkauan anak-anak.</t>
  </si>
  <si>
    <t>dapat pelicin organ intim kondom , digubakan aktivitas pijat massage</t>
  </si>
  <si>
    <t>vigel in gr</t>
  </si>
  <si>
    <t>vigel in gr tablet sildenafil citrate dapat pelicin organ intim kondom  digubakan aktivitas pijat massage</t>
  </si>
  <si>
    <t>ifree terapi hangat nyeri haid pads tablet tizanidine hydrochloride pad perawatan nyeri haid terapi hangat</t>
  </si>
  <si>
    <t>DTL7822231337A1</t>
  </si>
  <si>
    <t>Sanaflu Plus Batuk Sirup 60 ml</t>
  </si>
  <si>
    <t>Rp10.300 - Rp15.100</t>
  </si>
  <si>
    <t>Dewasa : 3-4 kali sehari 4 sendok takar (20 mL). Anak 6-12 tahun : 3 kali sehari 2 sendok takar (10 mL)</t>
  </si>
  <si>
    <t>Meredakan Flu, sakit Kepala, Hidung tersumbat, Batuk, Pilek, Demam</t>
  </si>
  <si>
    <t>Hipertensi, pasien penderita hipertensi parah, penyakit jantung, diabetes mellitus dan gangguan fungsi hati.</t>
  </si>
  <si>
    <t>Gangguan fungsi hati dan ginjal, glaukoma, hipertrofi prostat, hipertiroid, retensi urin, gangguan jantung, DM. Anak &lt;6 tahun. Hamil, menyusui. Peminum alkohol. Pasien debil dan hipoksia. Asma, emfisema</t>
  </si>
  <si>
    <t>meredakan flu , sakit kepala , hidung tersumbat , batuk , pilek , demam</t>
  </si>
  <si>
    <t>sanaflu plus batuk</t>
  </si>
  <si>
    <t>sanaflu plus batuk sirup dextromethorphan hydrobromide meredakan flu  sakit kepala  hidung tersumbat  batuk  pilek  demam</t>
  </si>
  <si>
    <t>Pepsodent Tooth Brush Bamboo Salt</t>
  </si>
  <si>
    <t>Rp13.000 - Rp21.200</t>
  </si>
  <si>
    <t>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t>
  </si>
  <si>
    <t>Sebagai alat untuk membantu membersihkan gigi dan menjangkau bagian belakang gigi.</t>
  </si>
  <si>
    <t>sebagai alat membantu membersihkan gigi menjangkau gigi</t>
  </si>
  <si>
    <t>pepsodent tooth brush bamboo salt</t>
  </si>
  <si>
    <t>pepsodent tooth brush bamboo salt tablet tizanidine hydrochloride sebagai alat membantu membersihkan gigi menjangkau gigi</t>
  </si>
  <si>
    <t>DKL9511623038B1</t>
  </si>
  <si>
    <t>Staforin Forte 250 mg Sirup 60 ml</t>
  </si>
  <si>
    <t>Rp56.300 - Rp120.800</t>
  </si>
  <si>
    <t>staforin forte</t>
  </si>
  <si>
    <t>staforin forte sirup cefadroxil mengatasi infeksi saluran pernafasan  saluran kemih kelamin infeksi kulit jaringan lunak</t>
  </si>
  <si>
    <t>DKL9813308338A1</t>
  </si>
  <si>
    <t>Aclam 125/31.25 mg Dry Sirup 60 ml</t>
  </si>
  <si>
    <t>Rp59.800 - Rp94.400</t>
  </si>
  <si>
    <t>PENGGUNAAN OBAT INI HARUS SESUAI DENGAN PETUNJUK DOKTER. 3 kali sehari 2 sendok teh.</t>
  </si>
  <si>
    <t>Infeksi saluran nafas atas &amp; bawah, saluran kemih, gonore dimana penyebabnya adalah bakteri yang memproduksi penisilinase.</t>
  </si>
  <si>
    <t>Syrup Kering 60 ml</t>
  </si>
  <si>
    <t>Bayi yang lahir dari ibu yang alergi penisilin. Hipersensitif terhadap sefalosporin atau alergen lain sebelumnya. Hamil, laktasi. Superinfeksi</t>
  </si>
  <si>
    <t>HARUS DENGAN RESEP DOKTER. Hipersensitif terhadap sefalosporin</t>
  </si>
  <si>
    <t>infeksi saluran nafas , saluran kemih , gonore dimana penyebabnya bakteri memproduksi penisilinase</t>
  </si>
  <si>
    <t>aclam</t>
  </si>
  <si>
    <t>aclam sirup amoxicillin trihydrate infeksi saluran nafas  saluran kemih  gonore dimana penyebabnya bakteri memproduksi penisilinase</t>
  </si>
  <si>
    <t>Halykoo Soothing Throat spray with hyaluronic Acid 15 ml</t>
  </si>
  <si>
    <t>Rp83.900 - Rp112.200</t>
  </si>
  <si>
    <t>Semprotkan pada tenggorokan. Jangan makan dan minum hingga 15 menit setelah pengaplikasian spray.</t>
  </si>
  <si>
    <t>3 x Sehari, 2 x Semprot</t>
  </si>
  <si>
    <t>Melindungi &amp; Meredakan nyeri karena iritasi tenggorokan pada anak.</t>
  </si>
  <si>
    <t>melindungi meredakan nyeri iritasi tenggorokan anak</t>
  </si>
  <si>
    <t>halykoo soothing throat with hyaluronic acid</t>
  </si>
  <si>
    <t>halykoo soothing throat with hyaluronic acid tablet tizanidine hydrochloride melindungi meredakan nyeri iritasi tenggorokan anak</t>
  </si>
  <si>
    <t>DKL0400202117A2</t>
  </si>
  <si>
    <t>Abbotic 500 mg 10 Tablet</t>
  </si>
  <si>
    <t>Infeksi saluran nafas, otitis media (radang telinga tengah) akut, infeksi kulit dan struktur kulit</t>
  </si>
  <si>
    <t>HARUS DENGAN RESEP DOKTER. Kerusakan hati atau ginjal. Hamil, laktasi Kategori Kehamilan : C</t>
  </si>
  <si>
    <t>infeksi saluran nafas , otitis medium radang telinga akut , infeksi kulit struktur kulit</t>
  </si>
  <si>
    <t>abbotic tablet clarithromycin infeksi saluran nafas  otitis medium radang telinga akut  infeksi kulit struktur kulit</t>
  </si>
  <si>
    <t>Abbotic 125 mg/5 ml Dry Sirup 60 ml</t>
  </si>
  <si>
    <t>Rp248.700 - Rp250.800</t>
  </si>
  <si>
    <t>PENGGUNAAN OBAT INI HARUS SESUAI DENGAN PETUNJUK DOKTER. Anak : 7.5 mg/kg BB/12 jam selama 5-10 hari. Dosis dapat ditingkatkan maksimal : 500 mg/12 jam</t>
  </si>
  <si>
    <t>HARUS DENGAN RESEP DOKTER. Kerusakan hati atau ginjal. Hamil, laktasi</t>
  </si>
  <si>
    <t>abbotic sirup clarithromycin infeksi saluran nafas  otitis medium radang telinga akut  infeksi kulit struktur kulit</t>
  </si>
  <si>
    <t>DKL9118809338A1</t>
  </si>
  <si>
    <t>Opicef Dry Sirup 60 ml</t>
  </si>
  <si>
    <t>Rp46.700 - Rp69.700</t>
  </si>
  <si>
    <t>opicef</t>
  </si>
  <si>
    <t>opicef sirup cefadroxil monohydrate mengatasi infeksi saluran pernafasan  saluran kemih kelamin infeksi kulit jaringan lunak</t>
  </si>
  <si>
    <t>DKL9517609938A1</t>
  </si>
  <si>
    <t>Sedrofen Dry Sirup 60 ml</t>
  </si>
  <si>
    <t>Rp57.800 - Rp104.500</t>
  </si>
  <si>
    <t>sedrofen sirup cefadroxil monohydrate mengatasi infeksi saluran pernafasan  saluran kemih kelamin infeksi kulit jaringan lunak</t>
  </si>
  <si>
    <t>DTL1530708310A1</t>
  </si>
  <si>
    <t>Oskadryl PE 4 Tablet</t>
  </si>
  <si>
    <t>Dewasa : 3 kali sehari 1 Tablet</t>
  </si>
  <si>
    <t>Meredakan batuk, bersin-bersin akibat alergi, hidung tersumbat, &amp; melegakan pernafasan.</t>
  </si>
  <si>
    <t>Dus, 25 Catch @ 4 Strip</t>
  </si>
  <si>
    <t>Pasien yang hipersensitif terhadap salah satu komposisi dari Oskadryl PE. Pasien yang memiliki riwayat Asma. Wanita yang sedang menyusui</t>
  </si>
  <si>
    <t>meredakan batuk , bersin - bersin akibat alergi , hidung tersumbat , melegakan pernafasan</t>
  </si>
  <si>
    <t>oskadryl pe</t>
  </si>
  <si>
    <t>oskadryl pe tablet dextromethorphan hydrobromide meredakan batuk  bersin  bersin akibat alergi  hidung tersumbat  melegakan pernafasan</t>
  </si>
  <si>
    <t>DKL8304501502A1</t>
  </si>
  <si>
    <t>Super Tetra 250 mg 6 Kapsul Lunak</t>
  </si>
  <si>
    <t>Rp9.000 - Rp9.600</t>
  </si>
  <si>
    <t>Dus, 20 Strip @ 6 Kapsul lunak</t>
  </si>
  <si>
    <t>super tetra lunak</t>
  </si>
  <si>
    <t>super tetra lunak kapsul tetracycline hydrochloride infeksi sebabkan mikroorganisme gram positif gram negatif sensitif tetracyclin</t>
  </si>
  <si>
    <t>DBL9710801404A1</t>
  </si>
  <si>
    <t>Itamol 10 Kaplet</t>
  </si>
  <si>
    <t>Rp2.500 - Rp8.300</t>
  </si>
  <si>
    <t>Anak-anak 6-12 tahun: 3-4 kali sehari 0.5 kaplet Dewasa: 3-4 kali sehari 1 kaplet Atau menurut petunjuk dokter.</t>
  </si>
  <si>
    <t>Obat ini dapat digunakan untuk menurunkan demam, demam setelah vaksinasi, dan meringankan sakit pada otot, sakit kepala, sakit gigi.</t>
  </si>
  <si>
    <t>Dus, 10 Amplop, 1 Strip @ 10 Kaplet</t>
  </si>
  <si>
    <t>Hipersensitivitas. Pasien dengan gangguan ginjal atau gangguan hati yang berat.</t>
  </si>
  <si>
    <t>Hati-hati penggunaannya pada pasien dengan gangguan hati dan/atau gangguan ginjal.</t>
  </si>
  <si>
    <t>obat menurunkan demam , demam vaksinasi , meringankan sakit otot , sakit kepala , sakit gigi</t>
  </si>
  <si>
    <t>itamol</t>
  </si>
  <si>
    <t>itamol kaplet paracetamol obat menurunkan demam  demam vaksinasi  meringankan sakit otot  sakit kepala  sakit gigi</t>
  </si>
  <si>
    <t>GKL0208505538A1</t>
  </si>
  <si>
    <t>Cefadroxil 125 mg/5 ml Dry Syrup 60 ml</t>
  </si>
  <si>
    <t>Rp13.600 - Rp16.300</t>
  </si>
  <si>
    <t>cefadroxil sirup cefadroxil monohydrate mengatasi infeksi saluran pernafasan  saluran kemih kelamin infeksi kulit jaringan lunak</t>
  </si>
  <si>
    <t>DKL9917615928A1</t>
  </si>
  <si>
    <t>Infeld Gel 15 g</t>
  </si>
  <si>
    <t>Rp46.000 - Rp63.300</t>
  </si>
  <si>
    <t>PENGGUNAAN OBAT INI HARUS SESUAI DENGAN PETUNJUK DOKTER. Oleskan 3-4 kali per hari</t>
  </si>
  <si>
    <t>Terapi muskuloskeletal akut, gout akut, rematoid astritis (AR), osteoartritis (OA), ankilosing spondilitis</t>
  </si>
  <si>
    <t>Obat Wajib Apotek, Obat ini dapat dibeli dan diserahkan apoteker tanpa resep dengan maksimum 1 Tube. Pembelian melebihi batas ini WAJIB RESEP DOKTER. Hanya untuk pemakaian luar. Jangan digunakan pada daerah sekitar mata, mukosa, dan luka terbuka.</t>
  </si>
  <si>
    <t>terapi muskuloskeletal akut , gout akut , rematoid astritis ar , osteoartritis oa , ankilosing spondilitis</t>
  </si>
  <si>
    <t>infeld</t>
  </si>
  <si>
    <t>infeld gel piroxicam terapi muskuloskeletal akut  gout akut  rematoid astritis ar  osteoartritis oa  ankilosing spondilitis</t>
  </si>
  <si>
    <t>DKL8511603717A1</t>
  </si>
  <si>
    <t>Ifen 400 mg 10 Tablet</t>
  </si>
  <si>
    <t>PENGGUNAAN OBAT INI HARUS SESUAI DENGAN PETUNJUK DOKTER. ï¿½ Artritis Reumatoid dan Osteoartritis: 3 ï¿½ 4 x sehari 1 tablet (200 mg atau 400 mg), disesuaikan dengan kebutuhan masing-masing penderita. ï¿½ Nyeri ringan sampai sedang: 200 ï¿½ 400 mg tiap 4 ï¿½ 6 jam sesuai kebutuhan.</t>
  </si>
  <si>
    <t>INFORMASI OBAT INI HANYA UNTUK KALANGAN MEDIS. Pengobatan simtomatik artritis reumatoid dan osteoartritis, pada fase akut dan untuk pengobatan jangka panjang. Pengobatan rasa nyeri yang ringan sampai sedang.</t>
  </si>
  <si>
    <t>Ulkus peptikum. Ibu hamil trimester III. Bronkospasme, alergi rinitis dan urtikaria karena asetosal. Hipersensitif terhadap ibuprofen.</t>
  </si>
  <si>
    <t>Obat Wajib Apotek, Obat ini dapat dibeli dan diserahkan apoteker tanpa resep dengan maksimum 1 Strip. Pembelian melebihi batas ini WAJIB RESEP DOKTER. -Pemberian bersama dengan NSAID. -Hindarkan penggunaan pada kehamilan trimester 3 karena dapat menyebabkan penutupan dini duktus arterious.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</si>
  <si>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simtomatik artritis reumatoid osteoartritis , fase akut pengobatan jangka  pengobatan nyeri ringan</t>
  </si>
  <si>
    <t>ifen</t>
  </si>
  <si>
    <t>ifen tablet ibuprofen pengobatan simtomatik artritis reumatoid osteoartritis  fase akut pengobatan jangka  pengobatan nyeri ringan</t>
  </si>
  <si>
    <t>DKL8922209938A1</t>
  </si>
  <si>
    <t>Cefat Dry Sirup 125mg/5 ml 60 ml</t>
  </si>
  <si>
    <t>Rp57.700 - Rp68.500</t>
  </si>
  <si>
    <t>cefat sirup cefadroxil monohydrate mengatasi infeksi saluran pernafasan  saluran kemih kelamin infeksi kulit jaringan lunak</t>
  </si>
  <si>
    <t>DKL1802009517A1</t>
  </si>
  <si>
    <t>Nimotop 30 mg 10 Tablet</t>
  </si>
  <si>
    <t>Sebelum atau sesudah makan dan harus konsisten setiap harinya sebelum atau sesudah makan. Telan utuh, jangan dikunyah/dihancurkan.</t>
  </si>
  <si>
    <t>PENGGUNAAN OBAT INI HARUS SESUAI DENGAN PETUNJUK DOKTER. Diberikan paska/melanjutkan terapi infus NIMOTOP : 6 x sehari 2 tablet selama 7 hari. Pada gangguan fungsi Hati atau Ginjal berat, kurangi dosis sesuai dengan hasil pengukuran tekanan darah dan EKG.</t>
  </si>
  <si>
    <t>Pencegahan dan terapi defisit Neurologik Iskhemik yang disebabkan vasospasme Serebral yang terjadi setelah pendarahan Subarakhnoid akibat Aneurisma</t>
  </si>
  <si>
    <t>Penggunaan bersama dengan rifampisin, obat antilepsi, fenobarbital, fenotion, dan karbamazepin. Laktasi</t>
  </si>
  <si>
    <t>HARUS DENGAN RESEP DOKTER. Edema serebral menyeluruh atau peningkatan TIK yang berat</t>
  </si>
  <si>
    <t>DKL0308013110B1</t>
  </si>
  <si>
    <t>Naletal Tablet 50 mg</t>
  </si>
  <si>
    <t>Rp7.800 - Rp10.000</t>
  </si>
  <si>
    <t>Pengobatan bermacam-macam gejala iskemia seperti ulkus, rasa sakit, dan rasa dingin yang menyertai dari penyakit penyumbatan pembuluh arteri kronis.</t>
  </si>
  <si>
    <t>Pada pasien gagal jantung kongestif, hemorrhage, ibu hamil, dan hipersensitif terhadap Silostazol.</t>
  </si>
  <si>
    <t>HARUS DENGAN RESEP DOKTER. Berbahaya bagi penderita gagal jantung berat. Pantau trombosit dan Jumlah sel darah putih secara periodik. Hindari penggunaan obat ini pada penderita perdarahan patologis aktif. Hati-hati jika sedang menstruasi, kecenderungan perdarahan atau diastesis hemoragik, kerusakan ginjal akut atau hati. Tidak direkomendasikan pada ibu hamil dan menyusui.</t>
  </si>
  <si>
    <t>pengobatan - gejala iskemia ulkus , sakit , dingin menyertai penyakit penyumbatan pembuluh arteri kronis</t>
  </si>
  <si>
    <t>naletal</t>
  </si>
  <si>
    <t>naletal tablet cilostazol pengobatan  gejala iskemia ulkus  sakit  dingin menyertai penyakit penyumbatan pembuluh arteri kronis</t>
  </si>
  <si>
    <t>DTL7210906637A1</t>
  </si>
  <si>
    <t>Pectorin Sirup 120 ml</t>
  </si>
  <si>
    <t>Rp13.000 - Rp32.300</t>
  </si>
  <si>
    <t>Dewasa : Sehari 3-4 15 ml ( 3 sendok takar ) Anak ( 6 -12 tahun ): Sehari 3-4 7,5 ml ( 1 1/2 sendok takar)</t>
  </si>
  <si>
    <t>Segala macam batuk-batuk karena pilek,influenza,bronchitis,astma,kebanyakan merokok dsb,sebagai expectorantia.</t>
  </si>
  <si>
    <t>Sirup 120 ml X 1 Botol</t>
  </si>
  <si>
    <t>segala batuk - batuk pilek , influenza , bronchitis , astma , kebanyakan merokok dsb , expectorantia</t>
  </si>
  <si>
    <t>pectorin</t>
  </si>
  <si>
    <t>pectorin sirup ammonium chloride segala batuk  batuk pilek  influenza  bronchitis  astma  kebanyakan merokok dsb  expectorantia</t>
  </si>
  <si>
    <t>Naletal 100 mg 10 Tablet</t>
  </si>
  <si>
    <t>Rp84.200 - Rp139.400</t>
  </si>
  <si>
    <t>lostacef kapsul cefadroxil monohydrate mengatasi infeksi saluran pernafasan  saluran kemih kelamin infeksi kulit jaringan lunak</t>
  </si>
  <si>
    <t>DKL7804522537A1</t>
  </si>
  <si>
    <t>Nifural Sirup 60 ml</t>
  </si>
  <si>
    <t>Rp78.700 - Rp94.500</t>
  </si>
  <si>
    <t>PENGGUNAAN OBAT INI HARUS SESUAI DENGAN PETUNJUK DOKTER. Dewasa: 3 x sehari 1-2 sendok takar (5 ml - 10 ml) Anak dan bayi &gt; 6 bulan : 3 x sehari 1 sendok takar (5 ml) Bayi &lt; 6 bulan : 2 x sehari 1 sendok takar (5 ml)</t>
  </si>
  <si>
    <t>INFORMASI OBAT INI HANYA UNTUK KALANGAN MEDIS. Diare akut, kolopati spesifik &amp; non-spesifik, diare karena E.coli &amp; staph, pada anak &amp; dewasa.</t>
  </si>
  <si>
    <t>Hipertiroid, intoleransi yodium, kerusakan fungsi ginjal dan hati.</t>
  </si>
  <si>
    <t>HARUS DENGAN RESEP DOKTER. Kelainan neurologi.</t>
  </si>
  <si>
    <t>diare akut , kolopati spesifik non - spesifik , diare e  coli staph , anak dewasa</t>
  </si>
  <si>
    <t>nifural</t>
  </si>
  <si>
    <t>nifural sirup nifuroxazide diare akut  kolopati spesifik non  spesifik  diare e  coli staph  anak dewasa</t>
  </si>
  <si>
    <t>DKL8918807001B1</t>
  </si>
  <si>
    <t>Opicef 500 mg 10 Kapsul</t>
  </si>
  <si>
    <t>opicef kapsul cefadroxil monohydrate mengatasi infeksi saluran pernafasan  saluran kemih kelamin infeksi kulit jaringan lunak</t>
  </si>
  <si>
    <t>DKL9508004129A1</t>
  </si>
  <si>
    <t>Elox 0.1% Cream 10 g</t>
  </si>
  <si>
    <t>Rp92.100 - Rp111.500</t>
  </si>
  <si>
    <t>INFORMASI OBAT INI HANYA UNTUK KALANGAN MEDIS. Meringankan manifestasi inflamasi dan pruritus dari dermatosis yang responsif terhadap kortikosteroid seperti psoriasis dan dermatitis atopik</t>
  </si>
  <si>
    <t>Dus,Tube @ 10 G</t>
  </si>
  <si>
    <t>Tuberkulosis, herpes simplek, varisela, sensitif terhadap mometason furoat</t>
  </si>
  <si>
    <t>HARUS DENGAN RESEP DOKTER. Hentikan terapi bila terjadi iritasi atau sensitisasi. Absorpsi sistemik dapat meningkatkan bila permukaan kulit yang diobati luas. Penggunaan yang lama pada bayi dan anak. Hindari kontak dengan mata. Hamil, laktasi Kategori Kehamilan : C</t>
  </si>
  <si>
    <t>meringankan manifestasi inflamasi pruritus dermatosis responsif kortikosteroid psoriasis dermatitis atopik</t>
  </si>
  <si>
    <t>elox cream</t>
  </si>
  <si>
    <t>elox cream krim mometasone furoate meringankan manifestasi inflamasi pruritus dermatosis responsif kortikosteroid psoriasis dermatitis atopik</t>
  </si>
  <si>
    <t>Dr Ortho Cervical Collar Soft Oh-002-M</t>
  </si>
  <si>
    <t>Rp200.400 - Rp249.400</t>
  </si>
  <si>
    <t>Penyangga leher. Mengurangi pergerakan leher yang berlebihan selama proses pemulihan</t>
  </si>
  <si>
    <t>penyangga leher  mengurangi pergerakan leher prose pemulihan</t>
  </si>
  <si>
    <t>dr ortho cervical collar soft ohm</t>
  </si>
  <si>
    <t>dr ortho cervical collar soft ohm larutan povidoneiodine penyangga leher  mengurangi pergerakan leher prose pemulihan</t>
  </si>
  <si>
    <t>DKL1740402429A1</t>
  </si>
  <si>
    <t>Iflacort 0.1% Cream 5 g</t>
  </si>
  <si>
    <t>Rp41.600 - Rp52.300</t>
  </si>
  <si>
    <t>Krim dioleskan pada area kulit yang radang atau gatal</t>
  </si>
  <si>
    <t>INFORMASI OBAT INI HANYA UNTUK KALANGAN MEDIS. Meredakan gejala inflamasi dan Pruritus pada Dermatosis yang reponsif terhadap Kortikosteroid (Psoriasis dan Dermatitis Atopik)</t>
  </si>
  <si>
    <t>Riwayat hipersensitif terhadap mometason furoat atau kortikosteroid lain</t>
  </si>
  <si>
    <t>HARUS DENGAN RESEP DOKTER. Absorpsi sistemik meningkat jika digunakan secara luar pada permukaan tubuh. Penggunaan jangka panjang pada bayi dan anak. Hindari kontak dengan mata. Hamil dan laktasi.</t>
  </si>
  <si>
    <t>meredakan gejala inflamasi pruritus dermatosis reponsif kortikosteroid psoriasis dermatitis atopik</t>
  </si>
  <si>
    <t>iflacort cream</t>
  </si>
  <si>
    <t>iflacort cream krim mometasone furoate meredakan gejala inflamasi pruritus dermatosis reponsif kortikosteroid psoriasis dermatitis atopik</t>
  </si>
  <si>
    <t>Iflacort 0.1% Cream 10 g</t>
  </si>
  <si>
    <t>Rp68.700 - Rp83.700</t>
  </si>
  <si>
    <t>INFORMASI OBAT INI HANYA UNTUK KALANGAN MEDIS. Meredakan gejala inflamasi &amp; Pruritus dari Dermatosis yang reponsif terhadap Kortikosteroid (Psoriasis dan Dermatitis Atopik)</t>
  </si>
  <si>
    <t>HARUS DENGAN RESEP DOKTER. Absorpsi sistemik meningkat jika digunakan secara luar pada permukaan tubuh. Penggunaan jangka panjang pada bayi dan anak. Hindari kontak dengan mata. Hamil dan laktasi</t>
  </si>
  <si>
    <t>Nexcare Bandage Tatoo Waterproof 2 Lembar</t>
  </si>
  <si>
    <t>Rp6.500 - Rp10.200</t>
  </si>
  <si>
    <t>nexcare bandage tatoo waterproof lembar</t>
  </si>
  <si>
    <t>nexcare bandage tatoo waterproof lembar larutan povidoneiodine membantu mempercepat prose penyembuhan luka  melindungi kuman kotoran</t>
  </si>
  <si>
    <t>Elastomull Haft 8 cm x 4 M</t>
  </si>
  <si>
    <t>Rp56.700 - Rp63.500</t>
  </si>
  <si>
    <t>ElastomullÂ® adalah perban fiksasi yang sangat elastis yang terbuat dari katun 42%, viscose 29% dan poliamida 29%. Struktur tenunan yang berkerut membantu mencegah slip. Lilitab perban hanya perlu sekitar sepertiga dari biasanya. Konstriksi atau kemacetan tidak terjadi saat perban diaplikasikan dengan benar. Kandungan katun yang sangat tinggi dan struktur tenunan yang ringan membuat ElastomullÂ® sangat menyenangkan untuk dipakai.</t>
  </si>
  <si>
    <t>ElastomullÂ® cocok untuk fiksasi pembalut luka, terutama pada bagian tubuh yang sering tergerak dan menekuk dan pada persendian.</t>
  </si>
  <si>
    <t>Roll Ukuran 8 Cm X 4 M</t>
  </si>
  <si>
    <t>elastomull cocok fiksasi pembalut luka , tubuh tergerak menekuk persendian</t>
  </si>
  <si>
    <t>elastomull haft x m</t>
  </si>
  <si>
    <t>elastomull haft x m larutan povidoneiodine elastomull cocok fiksasi pembalut luka  tubuh tergerak menekuk persendian</t>
  </si>
  <si>
    <t>DTL1422722637A1</t>
  </si>
  <si>
    <t>Bodrexin Pilek Dan Alergi Pe Sirup 56 ml</t>
  </si>
  <si>
    <t>Rp12.200 - Rp14.400</t>
  </si>
  <si>
    <t>Anak 6-12 tahun : 2 sendok takar. Anak 2-5 tahun : 1 sendok takar. Diberikan 3 kali sehari</t>
  </si>
  <si>
    <t>Meredakan rinitis alergi, bersin-bersin dan hidung tersumbat</t>
  </si>
  <si>
    <t>Peka terhadap obat simpatomimetik lain. Hipertensi berat. Terapi bersama dengan MAOI</t>
  </si>
  <si>
    <t>Gangguan fungsi ginjal, hipertensi, glaukoma, hipertrofi prostat, retensi urin, penyakit jantung, DM. Anak &lt;2 tahun. Hamil, laktasi</t>
  </si>
  <si>
    <t>meredakan rinitis alergi , bersin - bersin hidung tersumbat</t>
  </si>
  <si>
    <t>bodrexin pilek dan alergi pe</t>
  </si>
  <si>
    <t>bodrexin pilek dan alergi pe sirup chlorphenamine maleate meredakan rinitis alergi  bersin  bersin hidung tersumbat</t>
  </si>
  <si>
    <t>DTL9213007604A1</t>
  </si>
  <si>
    <t>Inza 4 Tablet</t>
  </si>
  <si>
    <t>Anak-anak 6-12 tahun : 3x sehari 1/2 kaplet Dewasa : 3 x sehari 1 kaplet</t>
  </si>
  <si>
    <t>Untuk meringankan gejala flu seperti demam, sakit kepala, hidung tersumbat dan bersin-bersin.</t>
  </si>
  <si>
    <t>Dus, 25 Catch cover @ 1 Strip @ 4 Tablet salut selaput</t>
  </si>
  <si>
    <t>Penderita yang hipersensitif terhadap obat ini Penderita dengan gangguan fungsi hati yang berat.</t>
  </si>
  <si>
    <t>Hati-hati penggunaan pada penderita dengan gangguan fungsi hati dan ginjal, glaukoma, hipertrofi prostate, hipertiroid, gangguan jantung dan diabetes mellitus. Tidak dianjurkan untuk anak dibawah 2 tahun, wanita hamil, dan menyusui kecuali atas petunjuk dokter. Selama minum obat ini tidak boleh mengendarai kendaraan bermotor atau menjalankan mesin. Hati-hati penggunaan bersamaan dengan obat lain yang menekan susunan saraf pusat. Penggunaan pada penderita yang mengkonsumsi alcohol dapat meningkatkan risiko kerusakan fungsi hati.</t>
  </si>
  <si>
    <t>untuk meringankan gejala flu demam , sakit kepala , hidung tersumbat bersin - bersin</t>
  </si>
  <si>
    <t>inza</t>
  </si>
  <si>
    <t>inza kaplet chlorphenamine maleate untuk meringankan gejala flu demam  sakit kepala  hidung tersumbat bersin  bersin</t>
  </si>
  <si>
    <t>DKL0633208017A1</t>
  </si>
  <si>
    <t>Dome 10 mg 10 Tablet</t>
  </si>
  <si>
    <t>Rp38.500 - Rp45.600</t>
  </si>
  <si>
    <t>Dispesia fungsional, mual akut dan muntah-muntah, termasuk yang disebabkan karena levodopa dan bromokriptin yang lama terapinya lebih dari 12 minggu</t>
  </si>
  <si>
    <t>Tablet 3 Trip X 10</t>
  </si>
  <si>
    <t>Hipersensitif, penderita dengan prolaktinoma</t>
  </si>
  <si>
    <t>HARUS DENGAN RESEP DOKTER. Gangguan hati dan ginjal, laktasi, hamil. Pemakaian jangka panjang, anak</t>
  </si>
  <si>
    <t>dispesia fungsional , mual akut muntah - muntah , disebabkan levodopa bromokriptin terapinya 12 minggu</t>
  </si>
  <si>
    <t>dome tablet domperidone dispesia fungsional  mual akut muntah  muntah  disebabkan levodopa bromokriptin terapinya 12 minggu</t>
  </si>
  <si>
    <t>opidiar suspensi kaolin pectin digunakan menghentikan diare mengurangi frekuensi buang air memperbaiki konsistensi fes cair</t>
  </si>
  <si>
    <t>DTL7813020337A1</t>
  </si>
  <si>
    <t>Calorex Sirup 60 ml</t>
  </si>
  <si>
    <t>Rp14.800 - Rp18.400</t>
  </si>
  <si>
    <t>Anak 6-12 thn : sehari 3x 10 ml, anak &gt; 12 thn : 3x 15-20 ml</t>
  </si>
  <si>
    <t>gejala flu seperti demam, sakit kepala, hidung tersumbat dan bersin-bersin disertai batuk</t>
  </si>
  <si>
    <t>gejala flu demam , sakit kepala , hidung tersumbat bersin - bersin disertai batuk</t>
  </si>
  <si>
    <t>calorex</t>
  </si>
  <si>
    <t>calorex sirup chlorphenamine maleate gejala flu demam  sakit kepala  hidung tersumbat bersin  bersin disertai batuk</t>
  </si>
  <si>
    <t>dextromethorphan hydrobromide phenylpropanolamine hydrochloride guaifenesin</t>
  </si>
  <si>
    <t>codecon sirup dextromethorphan hydrobromide phenylpropanolamine hydrochloride guaifenesin meredakan batuk nonproduktif tidak berdahak hidung tersumbat flu</t>
  </si>
  <si>
    <t>DBL9005006263A1</t>
  </si>
  <si>
    <t>Magalat 4 Tablet</t>
  </si>
  <si>
    <t>Rp3.600 - Rp5.900</t>
  </si>
  <si>
    <t>Diberikan diantara waktu makan dan menjelang tidur malam</t>
  </si>
  <si>
    <t>1-2 tablet atau 1-2 sendok takar 3-4 kali/hari</t>
  </si>
  <si>
    <t>Gangguan lambung karena hiperasiditas dengan atau tanpa rasa kembung. Pengobatan simptomatis ulkus peptik, gastritis, esofagitis, hernia hiatus</t>
  </si>
  <si>
    <t>Tablet Kunyah 60</t>
  </si>
  <si>
    <t>Insufisiensi ginjal</t>
  </si>
  <si>
    <t>Pemakaian jangka panjang</t>
  </si>
  <si>
    <t>magaldrate</t>
  </si>
  <si>
    <t>gangguan lambung hiperasiditas kembung  pengobatan simptomatis ulkus peptik , gastritis , esofagitis , hernia hiatus</t>
  </si>
  <si>
    <t>magalat</t>
  </si>
  <si>
    <t>magalat tablet magaldrate gangguan lambung hiperasiditas kembung  pengobatan simptomatis ulkus peptik  gastritis  esofagitis  hernia hiatus</t>
  </si>
  <si>
    <t>DBL7214707908A1</t>
  </si>
  <si>
    <t>Obimin-Af 30 Tablet</t>
  </si>
  <si>
    <t>Rp34.900 - Rp87.000</t>
  </si>
  <si>
    <t>Saat dan sesudah makan</t>
  </si>
  <si>
    <t>Tambahan nutrisi sblm &amp; ssdh melahirkan. Utk mengatasi ggn yg sering diderita selama kehamilan.</t>
  </si>
  <si>
    <t>Dus, Botol @ 30 tablet</t>
  </si>
  <si>
    <t>tambahan nutrisi sblm ssdh melahirkan  utk mengatasi ggn yg diderita kehamilan</t>
  </si>
  <si>
    <t>obiminaf kaplet ascorbic acid tambahan nutrisi sblm ssdh melahirkan  utk mengatasi ggn yg diderita kehamilan</t>
  </si>
  <si>
    <t>diphenhydramine hydrochloride guaifenesin phenylpropanolamine hydrochloride</t>
  </si>
  <si>
    <t>collerin sirup diphenhydramine hydrochloride guaifenesin phenylpropanolamine hydrochloride meredakan batuk berdahak  batuk alergi batuk berhubungan pilek</t>
  </si>
  <si>
    <t>laproton kapsul kombinasilansoprazole pellet 8 5 tukak duodenum  tukak lambung  esofagitis erosif  sindrom zollinger  ellison</t>
  </si>
  <si>
    <t>DBL0304128636A1</t>
  </si>
  <si>
    <t>Maltofer Drops 30 ml</t>
  </si>
  <si>
    <t>Rp76.500 - Rp86.900</t>
  </si>
  <si>
    <t>Bayi (usia sampai 1 tahun): 2-4 tetes sebanyak 1 kali/hari Anak-anak (1-12 tahun): 4-6 tetes sebanyak 1 kali/hari Anak &gt; 12 tahun, dewasa, dan ibu menyusui: 4-6 tetes sebanyak 1 kali/hari Wanita hamil: 1-2 ml sebanyak 1 kali/hari</t>
  </si>
  <si>
    <t>Pengobatan dan pencegahan defisiensi zat besi dan asam folat selama hamil dan sesudah melahirkan</t>
  </si>
  <si>
    <t>Kelebihan zat besi atau gangguan penggunaan zat besi dan anemia yang tidak diakibatkan karena defisiensi zat besi</t>
  </si>
  <si>
    <t>ferric hydroxide polymaltose complex</t>
  </si>
  <si>
    <t>pengobatan pencegahan defisiensi zat besi asam folat hamil melahirkan</t>
  </si>
  <si>
    <t>maltofer</t>
  </si>
  <si>
    <t>maltofer tetes ferric hydroxide polymaltose complex pengobatan pencegahan defisiensi zat besi asam folat hamil melahirkan</t>
  </si>
  <si>
    <t>DTL1604525704A1</t>
  </si>
  <si>
    <t>Decolgen Pe 10 Tablet</t>
  </si>
  <si>
    <t>3-4 x sehari 1 tablet</t>
  </si>
  <si>
    <t>Meredakan nyeri/sakit, menurunkan panas/demam, melegakan Hidung tersumbat &amp; sebagai Antihistamin.</t>
  </si>
  <si>
    <t>Hipertiroidisme, hipertensi, penyakit jantung</t>
  </si>
  <si>
    <t>- MAGNESIUM HYDROXIDE. SIMETHICONE EMULSION 30. DRIED ALUMINIUM HYDROXIDE GEL</t>
  </si>
  <si>
    <t>magnesium hydroxide simethicone emulsion 30 dried aluminium hydroxide gel</t>
  </si>
  <si>
    <t>lambucid suspensi magnesium hydroxide simethicone emulsion 30 dried aluminium hydroxide gel meredakan gejala sakit maag</t>
  </si>
  <si>
    <t>GKL1805061329A1</t>
  </si>
  <si>
    <t>Mometasone Cream 10 g</t>
  </si>
  <si>
    <t>Rp18.900 - Rp71.100</t>
  </si>
  <si>
    <t>INFORMASI OBAT INI HANYA UNTUK KALANGAN MEDIS. Meringakan manifestasi inflamasi dan pruritus dari dermatosis yang responsif terhadap kortikosteroid, psoriasis, dermatitisk atopik</t>
  </si>
  <si>
    <t>hipersensitif terhadap mometason</t>
  </si>
  <si>
    <t>HARUS DENGAN RESEP DOKTER. Hentikan penggunaan obat ini jika terjadi iritasi atau sensitisasi. Jangan ditutup dengan kasa pembalut. Hindari penggunaan secara berlebihan. Tidak untuk penggunaan pada mata. Bayi dan 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</si>
  <si>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meringakan manifestasi inflamasi pruritus dermatosis responsif kortikosteroid , psoriasis , dermatitisk atopik</t>
  </si>
  <si>
    <t>mometasone cream krim mometasone furoate meringakan manifestasi inflamasi pruritus dermatosis responsif kortikosteroid  psoriasis  dermatitisk atopik</t>
  </si>
  <si>
    <t>Kasa Hidrofil Darma Husada 16 Lembar</t>
  </si>
  <si>
    <t>Kasa steril ini digunakan untuk operasi besar/kecil, khitan, penutup luka, dan bebat pusar bayi.</t>
  </si>
  <si>
    <t>Dus isi 16 lembar</t>
  </si>
  <si>
    <t>kasa steril operasi , khitan , penutup luka , bebat pusar bayi</t>
  </si>
  <si>
    <t>hidrofil darma husada lembar</t>
  </si>
  <si>
    <t>hidrofil darma husada lembar larutan povidoneiodine kasa steril operasi  khitan  penutup luka  bebat pusar bayi</t>
  </si>
  <si>
    <t>DKL8511603410A1</t>
  </si>
  <si>
    <t>Profertil 50 mg 10 Tablet</t>
  </si>
  <si>
    <t>Rp192.400 - Rp268.600</t>
  </si>
  <si>
    <t>PENGGUNAAN OBAT INI HARUS SESUAI DENGAN PETUNJUK DOKTER. Infertilitas anovulatorik : 1 tablet / hari selama 5 hari, dimulai pada hari ke-5 siklus menstruasi atau kapan saja pada kasus amenore. Ovulasi terjadi 6-10 hari setelah dosis terakhir. Bila tidak terjadi ovulasi dilanjutkan dengan 2 x sehari 1 tablet selama 5 hari : Oligospermia : 1 tablet / hari selama 40-90 hari</t>
  </si>
  <si>
    <t>INFORMASI OBAT INI HANYA UNTUK KALANGAN MEDIS. Infertilitas pada pasien dengan amenore, sindroma Stein-Leventhal, perdarahan uterus fungsional dengan gangguan ovulasi</t>
  </si>
  <si>
    <t>hipersensitif, wanita hamil, penyakit hati, pendarahan tidak normal pada rahim, penderita kista, penderita tiroid dan tumor.</t>
  </si>
  <si>
    <t>HARUS DENGAN RESEP DOKTER. Kehamilan multipel, gangguan penglihatan</t>
  </si>
  <si>
    <t>infertilitas pasien amenore , sindroma stein - leventhal , perdarahan uterus fungsional gangguan ovulasi</t>
  </si>
  <si>
    <t>profertil</t>
  </si>
  <si>
    <t>profertil tablet clomifene citrate infertilitas pasien amenore  sindroma stein  leventhal  perdarahan uterus fungsional gangguan ovulasi</t>
  </si>
  <si>
    <t>DKL0317620129A1</t>
  </si>
  <si>
    <t>Intercon Cream 10 g</t>
  </si>
  <si>
    <t>Rp95.500 - Rp143.000</t>
  </si>
  <si>
    <t>Dioleskan pada area kulit yang sakit/radang/gatal</t>
  </si>
  <si>
    <t>Meredakan gejala inflamasi &amp; Pruritus pada Dermatosis yang reponsif terhadap Kortikosteroid seperti Psoriasis dan Dermatitis Atopik</t>
  </si>
  <si>
    <t>Infeksi virus pada kulit, TBC, akne, rosasea, dermatitis perioral, infeksi jamur pada kulit dan kondisi ulseratif</t>
  </si>
  <si>
    <t>HARUS DENGAN RESEP DOKTER. Iritasi atau sensitisasi (hentikan penggunaan). Hamil, anak &lt;2 tahun. Tidak untuk terapi ruam popok</t>
  </si>
  <si>
    <t>intercon cream</t>
  </si>
  <si>
    <t>intercon cream krim mometasone furoate meredakan gejala inflamasi pruritus dermatosis reponsif kortikosteroid psoriasis dermatitis atopik</t>
  </si>
  <si>
    <t>DKL0317620030A1</t>
  </si>
  <si>
    <t>Intercon Salep 10 g</t>
  </si>
  <si>
    <t>Rp110.700 - Rp143.000</t>
  </si>
  <si>
    <t>Meredakan gejala inflamasi &amp; Pruritus/gatal2 pada Dermatosis yang reponsif terhadap Kortikosteroid seperti Psoriasis dan Dermatitis Atopik</t>
  </si>
  <si>
    <t>meredakan gejala inflamasi pruritus gatal2 dermatosis reponsif kortikosteroid psoriasis dermatitis atopik</t>
  </si>
  <si>
    <t>intercon</t>
  </si>
  <si>
    <t>intercon salep mometasone furoate meredakan gejala inflamasi pruritus gatal2 dermatosis reponsif kortikosteroid psoriasis dermatitis atopik</t>
  </si>
  <si>
    <t>DKI0990401014B1</t>
  </si>
  <si>
    <t>Glucotrol XL 10 mg 30 Tablet</t>
  </si>
  <si>
    <t>Bersama sarapan pagi.</t>
  </si>
  <si>
    <t>PENGGUNAAN OBAT INI HARUS SESUAI DENGAN PETUNJUK DOKTER. 0.5 tablet perhari. Maximum 2 tablet perhari.</t>
  </si>
  <si>
    <t>Tambahan terhadap diet dan olahraga untuk memperbaiki kontrol Glikemik pada pasien Diabetes tipe-2 (NIDDM).</t>
  </si>
  <si>
    <t>Dus, 1 Botol @ 30 Tablet Lepas Lambat</t>
  </si>
  <si>
    <t>Insufisiensi hati dan ginjal berat</t>
  </si>
  <si>
    <t>DKL0406412629A1</t>
  </si>
  <si>
    <t>Momet Cream 5 g</t>
  </si>
  <si>
    <t>momet cream</t>
  </si>
  <si>
    <t>momet cream krim mometasone furoate meringankan manifestasi inflamasi pruritus dermatosis responsif kortikosteroid psoriasis dermatitis atopik</t>
  </si>
  <si>
    <t>DKL7203809346A1</t>
  </si>
  <si>
    <t>Cendo Fenicol 1% Eye Drops 5 ml</t>
  </si>
  <si>
    <t>Rp28.400 - Rp36.700</t>
  </si>
  <si>
    <t>PENGGUNAAN OBAT INI HARUS SESUAI DENGAN PETUNJUK DOKTER. 2 Tetes 3-4 kali sehari</t>
  </si>
  <si>
    <t>Konjungtivitis karena infeksi E.Coli, H.Influenzae, Staphylococcus Aureus, Streptococcus Hemolyticus</t>
  </si>
  <si>
    <t>Obat Wajib Apotek, Obat ini dapat dibeli dan diserahkan apoteker tanpa resep dengan maksimum 1 Botol. Pembelian melebihi batas ini WAJIB RESEP DOKTER. - tidak boleh di gunakan lebih dari lima hari - tidak boleh melebihi dosis</t>
  </si>
  <si>
    <t>konjungtivitis infeksi e  coli , h  influenzae , staphylococcus aureus , streptococcus hemolyticus</t>
  </si>
  <si>
    <t>cendo fenicol eye tetes chloramphenicol konjungtivitis infeksi e  coli  h  influenzae  staphylococcus aureus  streptococcus hemolyticus</t>
  </si>
  <si>
    <t>DKL9508003301A1</t>
  </si>
  <si>
    <t>Norsec 4 Kapsul</t>
  </si>
  <si>
    <t>Rp56.300 - Rp74.100</t>
  </si>
  <si>
    <t>Pengobatan jangka pendek untuk tukak duodenal, tukak lambung, refluks esofagitis, sindrom Zollinger-Ellison</t>
  </si>
  <si>
    <t>Dus, 5 Strip @ 4 Kapsul Lepas Tunda</t>
  </si>
  <si>
    <t>Pasien yang memiliki riwayat hipersensitif pada omepr</t>
  </si>
  <si>
    <t>Obat Wajib Apotek, Obat ini dapat dibeli dan diserahkan apoteker tanpa resep dengan maksimum 2 Strip. Pembelian melebihi batas ini WAJIB RESEP DOKTER. Kemungkinan keganasan di lambung harus disingkirkan sebelum terapi. Monitor efek hipoklorhidia &amp; hipergastrinemia pada terapi jangka lama. Hamil, laktasi, anak.</t>
  </si>
  <si>
    <t>pengobatan jangka pendek tukak duodenal , tukak lambung , refluks esofagitis , sindrom zollinger - ellison</t>
  </si>
  <si>
    <t>norsec</t>
  </si>
  <si>
    <t>norsec kapsul omeprazole pengobatan jangka pendek tukak duodenal  tukak lambung  refluks esofagitis  sindrom zollinger  ellison</t>
  </si>
  <si>
    <t>TR153288601</t>
  </si>
  <si>
    <t>Jamu Iboe Natural Drink Kulit Manggis 5 Sachet</t>
  </si>
  <si>
    <t>IBOE KULIT MANGGIS</t>
  </si>
  <si>
    <t>Rp13.000 - Rp13.800</t>
  </si>
  <si>
    <t>Seduh 1 bungkus Jamoe Ibu dengan air matang 150 ml, aduk hingga larut. Dapat diminum dalam keadaan dingin.</t>
  </si>
  <si>
    <t>Diminum 1-3 kali sehari.</t>
  </si>
  <si>
    <t>Dus, 5 bungkus @ 25 gram</t>
  </si>
  <si>
    <t>iboe kulit manggis</t>
  </si>
  <si>
    <t>jamu iboe natural drink kulit manggis</t>
  </si>
  <si>
    <t>jamu iboe natural drink kulit manggis sachet iboe kulit manggis membantu memelihara daya tahan tubuh</t>
  </si>
  <si>
    <t>QI144509131</t>
  </si>
  <si>
    <t>Strepsil Original 8 Tablet</t>
  </si>
  <si>
    <t>Rp16.200 - Rp17.900</t>
  </si>
  <si>
    <t>Dapat dikonsumsi setiap 2 - 3 jam sekali. Tidak lebih dari 12 tablet hisap per hari</t>
  </si>
  <si>
    <t>Sesuai kebutuhan, tidak lebih dari 12 tablet sehari.</t>
  </si>
  <si>
    <t>Melegakan sakit tenggorokan dan sariwan Membunuh bakteri penyebab sakit tenggorokan dan infeksi mulut</t>
  </si>
  <si>
    <t>melegakan sakit tenggorokan sariwan membunuh bakteri penyebab sakit tenggorokan infeksi mulut</t>
  </si>
  <si>
    <t>strepsil original</t>
  </si>
  <si>
    <t>strepsil original tablet amylmetacresol melegakan sakit tenggorokan sariwan membunuh bakteri penyebab sakit tenggorokan infeksi mulut</t>
  </si>
  <si>
    <t>DKL0535800728A1</t>
  </si>
  <si>
    <t>Mesone Gel 10 g</t>
  </si>
  <si>
    <t>Untuk meringankan manifestasi inflamasi dan pruritus pada dermatosis yang responsif terhadap kortikosteroid seperti psoriasis dan dermatitis atopik.</t>
  </si>
  <si>
    <t>HARUS DENGAN RESEP DOKTER. Hentikan penggunaan jika terjadi iritasi. Pada kasus infeksi, berikan kombinasi Mesone dengan antibakteri atau antivirus. Hindari kontak dengan mata.</t>
  </si>
  <si>
    <t>untuk meringankan manifestasi inflamasi pruritus dermatosis responsif kortikosteroid psoriasis dermatitis atopik</t>
  </si>
  <si>
    <t>mesone</t>
  </si>
  <si>
    <t>mesone gel mometasone furoate untuk meringankan manifestasi inflamasi pruritus dermatosis responsif kortikosteroid psoriasis dermatitis atopik</t>
  </si>
  <si>
    <t>DKL0535800829A1</t>
  </si>
  <si>
    <t>Mesone 0.1% Cream 10 g</t>
  </si>
  <si>
    <t>INFORMASI OBAT INI HANYA UNTUK KALANGAN MEDIS. Meredakan manifestasi peradangan dan pruritus dari dermatosis yang responsif terhadap kortikosteroid misalnya psoriasis dan dermatitis atopik</t>
  </si>
  <si>
    <t>Sensitif terhadap kortikosteroid lain atau salah satu komponen obat ini</t>
  </si>
  <si>
    <t>HARUS DENGAN RESEP DOKTER. Hentikan penggunaan jika terjadi iritasi. Hindari kontak dengan mata.</t>
  </si>
  <si>
    <t>meredakan manifestasi peradangan pruritus dermatosis responsif kortikosteroid psoriasis dermatitis atopik</t>
  </si>
  <si>
    <t>mesone cream</t>
  </si>
  <si>
    <t>mesone cream krim mometasone furoate meredakan manifestasi peradangan pruritus dermatosis responsif kortikosteroid psoriasis dermatitis atopik</t>
  </si>
  <si>
    <t>TR022316511</t>
  </si>
  <si>
    <t>Jamu Iboe Kunir Putih Herbal 30 Kapsul</t>
  </si>
  <si>
    <t>KUNIR PUTIH (CURCUMA MANGGA)</t>
  </si>
  <si>
    <t>Rp53.800 - Rp72.800</t>
  </si>
  <si>
    <t>3 kali sehari 2 Kapsul</t>
  </si>
  <si>
    <t>Secara tradisional digunakan dalam pencegahan dan pengobatan kanker.</t>
  </si>
  <si>
    <t>kunir putih (curcuma mangga)</t>
  </si>
  <si>
    <t>secara tradisional pencegahan pengobatan kanker</t>
  </si>
  <si>
    <t>jamu iboe kunir putih herbal</t>
  </si>
  <si>
    <t>jamu iboe kunir putih herbal kapsul kunir putih curcuma mangga secara tradisional pencegahan pengobatan kanker</t>
  </si>
  <si>
    <t>DKL1733537682A1</t>
  </si>
  <si>
    <t>Monell 10 mg 10 Tablet</t>
  </si>
  <si>
    <t>Rp62.200 - Rp62.600</t>
  </si>
  <si>
    <t>Mual dan muntah akut, Dispepsia/gangguan pencernaan, Mual &amp; Muntah pada anak akibat kemoterapi dan radioterapi</t>
  </si>
  <si>
    <t>Box isi 5 strip @ 10 tablet</t>
  </si>
  <si>
    <t>mual muntah akut , dispepsia gangguan pencernaan , mual muntah anak akibat kemoterapi radioterapi</t>
  </si>
  <si>
    <t>monell tablet domperidone mual muntah akut  dispepsia gangguan pencernaan  mual muntah anak akibat kemoterapi radioterapi</t>
  </si>
  <si>
    <t>DBL0204128137A1</t>
  </si>
  <si>
    <t>Maltofer Sirup 150 ml</t>
  </si>
  <si>
    <t>Rp75.700 - Rp89.800</t>
  </si>
  <si>
    <t>2-3 kali sehari 1 tablet sampai Hb mencapai nilai normal</t>
  </si>
  <si>
    <t>Pengobatan dan pencegahan defisiensi zat besi dan asam folat selamahamil dan sesudah melahirkan</t>
  </si>
  <si>
    <t>pengobatan pencegahan defisiensi zat besi asam folat selamahamil melahirkan</t>
  </si>
  <si>
    <t>maltofer sirup ferric hydroxide polymaltose complex pengobatan pencegahan defisiensi zat besi asam folat selamahamil melahirkan</t>
  </si>
  <si>
    <t>DKL9922231017A1</t>
  </si>
  <si>
    <t>Trovensis 4 mg 10 Tablet</t>
  </si>
  <si>
    <t>Rp162.000 - Rp257.300</t>
  </si>
  <si>
    <t>PENGGUNAAN OBAT INI HARUS SESUAI DENGAN PETUNJUK DOKTER. Untuk pencegahan mual dan muntah yang berhubungan degnan kemoterapi kanker yang cukup emetogenik dewasa 8 mg 2 x/hari. Dosis pertama harus diberikan 30 menit sebelum kemoterapi dan dosis selanjutnya diberikan tiap 4-8 jam. Selanjutnya diberikan 8 mg 2 x/hari selama 1-2 hari setelah kemoterapi selesai dilanjutkan. Anak 4-12 tahun 4 mg 4 x/hari. Pencegahan mual dan muntah yang berhubungan dengan radioterapi 8 mg 1-2 jam sebelum radioterapi, dan dosis berikutnya diberikan 8 jam sesudah dosis pertama. Untuk Mual dan muntah pasca operasi 16 mg sebagai dosis tunggal 1 jam sebelum dilakukan induksi anestesi,</t>
  </si>
  <si>
    <t>Mengatasi mual dan muntah yang dipicu oleh kemoterapi dan radioterapi. Mual dan muntah pasca operasi.</t>
  </si>
  <si>
    <t>Tablet 4 Mg X 10 X 1</t>
  </si>
  <si>
    <t>mengatasi mual muntah dipicu kemoterapi radioterapi  mual muntah pasca operasi</t>
  </si>
  <si>
    <t>trovensis tablet ondansetron hydrochloride dihydrate mengatasi mual muntah dipicu kemoterapi radioterapi  mual muntah pasca operasi</t>
  </si>
  <si>
    <t>Lomatuell H 10cm X 10Cm</t>
  </si>
  <si>
    <t>Rp17.300 - Rp20.300</t>
  </si>
  <si>
    <t>Bersihkan luka sebelum dipasangkan Lomatuell, kemudian potong Lomatuell H seluas daerah luka, dan tempelkan pada luka.</t>
  </si>
  <si>
    <t>Kain Kasa jala yang digunakan untuk melindungi luka dari infeksi bakteri sekaligus membantu pemulihan luka.</t>
  </si>
  <si>
    <t>Dus, 10 Lembar @ 10 X 10 cm</t>
  </si>
  <si>
    <t>Tidak dianjurkan pada luka bakar yang melibatkan luas permukaan tubuh yang sangat luas (tubuh yang terbakar 30% atau lebih).</t>
  </si>
  <si>
    <t>kain kasa jala melindungi luka infeksi bakteri membantu pemulihan luka</t>
  </si>
  <si>
    <t>lomatuell h x</t>
  </si>
  <si>
    <t>lomatuell h x larutan povidoneiodine kain kasa jala melindungi luka infeksi bakteri membantu pemulihan luka</t>
  </si>
  <si>
    <t>DKL9921013510A1</t>
  </si>
  <si>
    <t>Costil 10 mg 6 Tablet</t>
  </si>
  <si>
    <t>Rp33.200 - Rp35.400</t>
  </si>
  <si>
    <t>1 Dos Isi 5 Strip X 6 Tablet</t>
  </si>
  <si>
    <t>costil</t>
  </si>
  <si>
    <t>costil tablet domperidone dispesia fungsional  mual akut muntah  muntah  disebabkan levodopa bromokriptin terapinya 12 minggu</t>
  </si>
  <si>
    <t>policresulen cinchocaine hydrochloride</t>
  </si>
  <si>
    <t>faktu salep policresulen cinchocaine hydrochloride hemoroid wasir internal eksternal disertai peradangan perdarahan  goresan2 luka anus</t>
  </si>
  <si>
    <t>DKL9730904429A1</t>
  </si>
  <si>
    <t>Lexacorton 25 mg/g Cream 5 g</t>
  </si>
  <si>
    <t>Ekzema, Inflamasi, Dermatitis dan penyakit kulit lainnya yang disebabkan faktor alergi yang responsif terhadap Kortikosteroid</t>
  </si>
  <si>
    <t>Obat Wajib Apotek, Obat ini dapat dibeli dan diserahkan apoteker tanpa resep dengan maksimum 1 Tube. Pembelian melebihi batas ini WAJIB RESEP DOKTER. Hindari penggunaan jangka panjang pada anak, bayi, dan area wajah. Lama terapi pada anak tidak boleh &gt;7-10 hari. Pruritus, psoriasis. Hamil, laktasi. Hindari penggunaan pada are tubuh yang luas atau terapi jangka panjang</t>
  </si>
  <si>
    <t>ekzema , inflamasi , dermatitis penyakit kulit disebabkan faktor alergi responsif kortikosteroid</t>
  </si>
  <si>
    <t>lexacorton cream</t>
  </si>
  <si>
    <t>lexacorton cream krim hydrocortisone acetate ekzema  inflamasi  dermatitis penyakit kulit disebabkan faktor alergi responsif kortikosteroid</t>
  </si>
  <si>
    <t>Vaseline Swab 10 cm X 10 cm</t>
  </si>
  <si>
    <t>Rp7.500 - Rp15.400</t>
  </si>
  <si>
    <t>Bersihkan luka sebelum dipasangkan Vaseline Swab, kemudian potong Vaseline Swab seluas daerah luka, dan tempelkan pada luka.</t>
  </si>
  <si>
    <t>vaseline swab x</t>
  </si>
  <si>
    <t>vaseline swab x larutan povidoneiodine kain kasa jala melindungi luka infeksi bakteri membantu pemulihan luka</t>
  </si>
  <si>
    <t>DTL0110803937A1</t>
  </si>
  <si>
    <t>Berlifed Sirup 60 ml</t>
  </si>
  <si>
    <t>Rp40.200 - Rp40.300</t>
  </si>
  <si>
    <t>Anak 2-5 tahun : 3 kali sehari 2.5 mL</t>
  </si>
  <si>
    <t>DKI0990401014A1</t>
  </si>
  <si>
    <t>Glucotrol XL 5 mg 30 Tablet</t>
  </si>
  <si>
    <t>Rp134.800 - Rp221.100</t>
  </si>
  <si>
    <t>PENGGUNAAN OBAT INI HARUS SESUAI DENGAN PETUNJUK DOKTER. 1 tablet perhari. Maximum 4 tablet perhari.</t>
  </si>
  <si>
    <t>Dus, Botol 30 Tablet</t>
  </si>
  <si>
    <t>lzinc sirup zinc sulfate monohydrate terapi pelengkap diare anak  anak  digunakan garam rehidrasi oral oralit</t>
  </si>
  <si>
    <t>DBL8506302133A1</t>
  </si>
  <si>
    <t>Kaotin Suspensi 60 ml</t>
  </si>
  <si>
    <t>Rp11.000 - Rp19.400</t>
  </si>
  <si>
    <t>Sebelum dan atau setelah makan</t>
  </si>
  <si>
    <t>Dewasa dan anak &gt; 12 tahun: 2 sendok takar (10ml) setiap setelah buang air besar , maksimum 12 sendok takar dalam waktu 24 jam. Anak 6-12 tahun: 1 sendok takar (5ml) setiap setelah buang air besar. Maksimum 6 sendok takar dalam waktu 24 jam.</t>
  </si>
  <si>
    <t>KAOTIN SUSPENSI digunakan untuk membantu pengobatan simtomatik pada diare, karena pencernaan yang tidak normal, dan diare karena penyebab lain yang tidak diketahui secara pasti.</t>
  </si>
  <si>
    <t>Pasien dengan sembelit atau obstruksi usus.</t>
  </si>
  <si>
    <t>Pastikan asupan cairan terpenuhi selama pengobatan.</t>
  </si>
  <si>
    <t>kaotin suspensi membantu pengobatan simtomatik diare , pencernaan tidak normal , diare penyebab tidak</t>
  </si>
  <si>
    <t>kaotin</t>
  </si>
  <si>
    <t>kaotin suspensi kaolin kaotin suspensi membantu pengobatan simtomatik diare  pencernaan tidak normal  diare penyebab tidak</t>
  </si>
  <si>
    <t>DKL0828404510A1</t>
  </si>
  <si>
    <t>Vomina 10 mg 10 Tablet</t>
  </si>
  <si>
    <t>Rp7.100 - Rp9.300</t>
  </si>
  <si>
    <t>Tablet 10 Mg X 1 X 10</t>
  </si>
  <si>
    <t>Tumor hipofisis : prolaktinoma</t>
  </si>
  <si>
    <t>vomina</t>
  </si>
  <si>
    <t>vomina tablet domperidone dispesia fungsional  mual akut muntah  muntah  disebabkan levodopa bromokriptin terapinya 12 minggu</t>
  </si>
  <si>
    <t>Elox 0.1% Cream 5 g</t>
  </si>
  <si>
    <t>Rp60.000 - Rp72.500</t>
  </si>
  <si>
    <t>Dus,Tube @ 5 G</t>
  </si>
  <si>
    <t>DKL9911629817B1</t>
  </si>
  <si>
    <t>Vomceran Tablet 8 mg</t>
  </si>
  <si>
    <t>Rp26.400 - Rp37.300</t>
  </si>
  <si>
    <t>PENGGUNAAN OBAT INI HARUS SESUAI DENGAN PETUNJUK DOKTER. Pencegahan mual &amp; muntah sesudah operasi: Awal 8 mg tablet 1 jam sesudah anestesi, diikuti dengan 8 mg tablet tiap 8 jam selama 16 jam. Dewasa, Kemoterapi yang sangat emetogenik: Pemberian dosis oral (minum) 8 mg tiap 12 jam selama 5 hari diberikan setelah pemberian melalui IV sebelum kemoterapi. Kemoterapi yang kurang emetogenik: Pemberian dosis oral (minum) 8 mg tiap 12 jam selama 5 hari diberikan setelah pemberian melalui IV sebelum kemoterapi. Radioterapi 8 mg diminum tiap 8 jam, 1-2 jam sebelum fraksi pertama radioterapi. Frekuensi pemberian terapi tergantung dari lamanya radioterapi.</t>
  </si>
  <si>
    <t>Penanganan mual dan muntah yang diinduksi oleh kemoterapi yang sitotoksik &amp; radioterapi. Mual dan muntah pasca operasi</t>
  </si>
  <si>
    <t>Dus, 1 Strip @ 10 Tablet salut selaput</t>
  </si>
  <si>
    <t>HARUS DENGAN RESEP DOKTER. Gangguan hati sedang dan berat. Hamil &amp; laktasi</t>
  </si>
  <si>
    <t>penanganan mual muntah diinduksi kemoterapi sitotoksik radioterapi  mual muntah pasca operasi</t>
  </si>
  <si>
    <t>vomceran</t>
  </si>
  <si>
    <t>vomceran tablet ondansetron hydrochloride pega mual muntah diinduksi kemoterapi sitotoksik radioterapi  mual muntah pasca operasi</t>
  </si>
  <si>
    <t>- HYPROMELLOSE. DEXTRAN 70. GLYCEROL</t>
  </si>
  <si>
    <t>hypromellose dextran 70 glycerol</t>
  </si>
  <si>
    <t>cendo eyefresh plus minidose tetes hypromellose dextran 70 glycerol meringankan gejala iritasi ringan infeksi mata</t>
  </si>
  <si>
    <t>DKL9306605041A1</t>
  </si>
  <si>
    <t>Elocon Lotion 30 ml</t>
  </si>
  <si>
    <t>Rp350.400 - Rp371.500</t>
  </si>
  <si>
    <t>Oleskan ke bagian yang sakit</t>
  </si>
  <si>
    <t>Meringankan manifestasi inflamasi dan pruritus pada dermatosis yang responsif terhadap kortikosteroid, psoriasis, dermatitis atopik</t>
  </si>
  <si>
    <t>meringankan manifestasi inflamasi pruritus dermatosis responsif kortikosteroid , psoriasis , dermatitis atopik</t>
  </si>
  <si>
    <t>elocon lotion</t>
  </si>
  <si>
    <t>elocon lotion larutan mometasone furoate meringankan manifestasi inflamasi pruritus dermatosis responsif kortikosteroid  psoriasis  dermatitis atopik</t>
  </si>
  <si>
    <t>DKL9911629817A1</t>
  </si>
  <si>
    <t>Vomceran 4 mg 10 Tablet</t>
  </si>
  <si>
    <t>PENGGUNAAN OBAT INI HARUS SESUAI DENGAN PETUNJUK DOKTER. Mual - Muntah paska operasi : Pencegahan : Diawali 2 tablet 1 jam sebelum anestesi, dilanjutkan dengan 2 tablet tiap 8 jam sampai menccapai 16 jam.</t>
  </si>
  <si>
    <t>Mual dan Muntah akibat kemo- &amp; radioterapi, mencegah mual-muntah paska operasi</t>
  </si>
  <si>
    <t>mual muntah akibat kemo - radioterapi , mencegah mual - muntah paska operasi</t>
  </si>
  <si>
    <t>vomceran tablet ondansetron hydrochloride dihydrate mual muntah akibat kemo  radioterapi  mencegah mual  muntah paska operasi</t>
  </si>
  <si>
    <t>Ikadryl Rasa Apel Sirup 100 ml</t>
  </si>
  <si>
    <t>Rp15.500 - Rp27.400</t>
  </si>
  <si>
    <t>Dewasa dan anak : 1-2 sendok takar 5 mL tiap 4 jam</t>
  </si>
  <si>
    <t>Batuk yang berhubungan dengan Pilek, Flu &amp; iritasi saluan nafas lainnya, Bronkitis Alergi</t>
  </si>
  <si>
    <t>batuk berhubungan pilek , flu iritasi saluan nafas , bronkitis alergi</t>
  </si>
  <si>
    <t>ikadryl rasa apel sirup ammonium chloride batuk berhubungan pilek  flu iritasi saluan nafas  bronkitis alergi</t>
  </si>
  <si>
    <t>DKL7619929810A1</t>
  </si>
  <si>
    <t>Hustab 10 Tablet</t>
  </si>
  <si>
    <t>Rp4.300 - Rp5.600</t>
  </si>
  <si>
    <t>PENGGUNAAN OBAT INI HARUS SESUAI DENGAN PETUNJUK DOKTER. Dewasa : 3 x sehari 1-2 tablet. Anak : 3 x sehari 0.5 tablet</t>
  </si>
  <si>
    <t>Bronkosekretolitik pada Batuk yang berhubungan dengan iritasi berlebihan pada membran mukosa, saluran nafas &amp; produksi dahak yang kental</t>
  </si>
  <si>
    <t>Box Isi 30 Strip @ 10 Tablet</t>
  </si>
  <si>
    <t>bronkosekretolitik batuk berhubungan iritasi membran mukosa , saluran nafas produksi dahak kental</t>
  </si>
  <si>
    <t>hustab</t>
  </si>
  <si>
    <t>hustab tablet bromhexine hydrochloride bronkosekretolitik batuk berhubungan iritasi membran mukosa  saluran nafas produksi dahak kental</t>
  </si>
  <si>
    <t>DKL0213310710A1</t>
  </si>
  <si>
    <t>Genoclom 50 mg 10 Tablet</t>
  </si>
  <si>
    <t>Rp180.000 - Rp215.100</t>
  </si>
  <si>
    <t>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t>
  </si>
  <si>
    <t>Terapi infertilitas wanita karena oligomenore atau amenore sekunder. Juga untuk meningkatkan spermatogenesis pada pria dengan Oligospermia</t>
  </si>
  <si>
    <t>perdarahan uterus abnormal, pembesaran ovarium, disfungsi tiroid, hamil &amp; laktasi, pasien dengan penyakit hati, lesi organik, intrakranial.</t>
  </si>
  <si>
    <t>HARUS DENGAN RESEP DOKTER. Kemungkinan kehamilan ganda</t>
  </si>
  <si>
    <t>terapi infertilitas wanita oligomenore amenore sekunder  juga meningkatkan spermatogenesis pria oligospermia</t>
  </si>
  <si>
    <t>genoclom</t>
  </si>
  <si>
    <t>genoclom tablet clomifene citrate terapi infertilitas wanita oligomenore amenore sekunder  juga meningkatkan spermatogenesis pria oligospermia</t>
  </si>
  <si>
    <t>Kasa Hidrophile Hexa Husada 16 x 16 cm 12 Lembar</t>
  </si>
  <si>
    <t>Rp4.600 - Rp4.900</t>
  </si>
  <si>
    <t>Bersihkan luka dari kotoran, bakteri dan partikel untuk mencegah infeksi. Keringkan kulit sekitar luka dengan lembut. Tutup luka dari kotoran dan bakteri menggunakan kasa atau verban.</t>
  </si>
  <si>
    <t>Untuk menutup luka agar tidak terkontaminasi dengan bakteri &amp; mencegah terjadinya infeksi?.</t>
  </si>
  <si>
    <t>Box @ 12 Lembar</t>
  </si>
  <si>
    <t>untuk menutup luka tidak terkontaminasi bakteri mencegah infeksi ?</t>
  </si>
  <si>
    <t>hidrophile hexa husada x lembar</t>
  </si>
  <si>
    <t xml:space="preserve">hidrophile hexa husada x lembar larutan povidoneiodine untuk menutup luka tidak terkontaminasi bakteri mencegah infeksi </t>
  </si>
  <si>
    <t>caffeine ephedrine hydrochloride paracetamol</t>
  </si>
  <si>
    <t>esepuluh tablet caffeine ephedrine hydrochloride paracetamol meringankan gejala flu disertai demam  sakit kepala hidung tersumbat</t>
  </si>
  <si>
    <t>DKL9608006210A1</t>
  </si>
  <si>
    <t>Forasma 2.5 mg 10 Tablet</t>
  </si>
  <si>
    <t>Rp11.900 - Rp19.300</t>
  </si>
  <si>
    <t>PENGGUNAAN OBAT INI HARUS SESUAI DENGAN PETUNJUK DOKTER. Dewasa: sehari 3 x 2-3 sdtk atau sehari 3 x 11-2 tablet. Anak sehari 3 x 1-2 sdtk atau 3 x 1 tablet</t>
  </si>
  <si>
    <t>Meringankan spasme bronki pada penyakit saluran pernafasan kronik seperti asma bronkial, bronkitis, emfisema</t>
  </si>
  <si>
    <t>Tablet 5 X 10</t>
  </si>
  <si>
    <t>meringankan spasme bronki penyakit saluran pernafasan kronik asma bronkial , bronkitis , emfisema</t>
  </si>
  <si>
    <t>forasma</t>
  </si>
  <si>
    <t>forasma tablet terbutaline sulfate meringankan spasme bronki penyakit saluran pernafasan kronik asma bronkial  bronkitis  emfisema</t>
  </si>
  <si>
    <t>DKL9608006337A1</t>
  </si>
  <si>
    <t>Forasma Sirup 60 ml</t>
  </si>
  <si>
    <t>Rp27.700 - Rp41.400</t>
  </si>
  <si>
    <t>PENGGUNAAN OBAT INI HARUS SESUAI DENGAN PETUNJUK DOKTER. Dewasa : 2-3 kali sehari 2-3 sendok teh. Anak berusia 7-15 tahun : 2-3 kali sehari 1-2 sendok teh. Anak berusia 3-7 tahun : 2-3 kali sehari 1/2 -1 sendok teh. Anak berusia kurang dari 3 tahun : 2-3 kali sehari 1/4 sendok teh.</t>
  </si>
  <si>
    <t>Asma bronkhial, bronkhitis konis, emfisema &amp; penyakit paru lain dimana bronkhospasme merupakan faktor komplikasi.</t>
  </si>
  <si>
    <t>Sirup 1,5 Mg/5 ml X 60 ml.</t>
  </si>
  <si>
    <t>asma bronkhial , bronkhitis konis , emfisema penyakit paru dimana bronkhospasme faktor komplikasi</t>
  </si>
  <si>
    <t>forasma sirup terbutaline sulfate asma bronkhial  bronkhitis konis  emfisema penyakit paru dimana bronkhospasme faktor komplikasi</t>
  </si>
  <si>
    <t>DKL0519610417A1</t>
  </si>
  <si>
    <t>Regit 10 mg 10 Tablet</t>
  </si>
  <si>
    <t>Rp55.200 - Rp56.900</t>
  </si>
  <si>
    <t>Diberikan 30 menit sebelum makan dan sebelum tidur.</t>
  </si>
  <si>
    <t>PENGGUNAAN OBAT INI HARUS SESUAI DENGAN PETUNJUK DOKTER. Dewasa: 1 tablet diminum hingga 3 kali sehari. Maksimal: 3 tablet setiap hari. Anak usia &gt; 12 tahun dengan berat badan &gt; 35 kg: Sama seperti dosis dewasa.</t>
  </si>
  <si>
    <t>Dus, 5 Strip @10 Tablet salut selaput</t>
  </si>
  <si>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t>
  </si>
  <si>
    <t>HARUS DENGAN RESEP DOKTER. Menderita tumr pituitari,gangguan fungs ihati dan ginjal, wanita hamil dan menyusui. Kategori kehamilan : Katagori B: Mungkin dapat digunakan oleh wanita hamil. Penelitian pada hewan uji tidak memperlihatkan ada nya risiko terhadap janin, namun belum ada bukti penelitian langsung terhadap wanita hamil.</t>
  </si>
  <si>
    <t>regit tablet domperidone maleate terapi mual muntah disebabkan levodopa bromokriptin  kemoterapi radioterapi kanker  dispepsia fungsional</t>
  </si>
  <si>
    <t>paracetamol phenylpropanolamine hydrochloride</t>
  </si>
  <si>
    <t>farnirex kaplet paracetamol phenylpropanolamine hydrochloride meringankan gejala flu demam  sakit kepala  hidung tersumbat  bersin  bersin</t>
  </si>
  <si>
    <t>DTL7219908133A1</t>
  </si>
  <si>
    <t>Febrinex Sirup 60 ml</t>
  </si>
  <si>
    <t>Rp17.600 - Rp22.000</t>
  </si>
  <si>
    <t>2-4 tahun : 3-4 x sehari 5ml, 4-7 tahun : 3-4 x sehari 10ml</t>
  </si>
  <si>
    <t>Mengobati flu yang disertai dengan gejala-gejala demam, sakit kepala, batuk, pilek dan alergi</t>
  </si>
  <si>
    <t>Penderita gangguan fungsi hati</t>
  </si>
  <si>
    <t>mengobati flu disertai gejala - gejala demam , sakit kepala , batuk , pilek alergi</t>
  </si>
  <si>
    <t>febrinex</t>
  </si>
  <si>
    <t>febrinex suspensi dexchlorpheniramine maleate mengobati flu disertai gejala  gejala demam  sakit kepala  batuk  pilek alergi</t>
  </si>
  <si>
    <t>DKL0128603141A1</t>
  </si>
  <si>
    <t>Desolex 0.05% Lotion 10 ml</t>
  </si>
  <si>
    <t>Rp35.600 - Rp36.200</t>
  </si>
  <si>
    <t>Botol 10 ml Dalam Dus</t>
  </si>
  <si>
    <t>desolex lotion</t>
  </si>
  <si>
    <t>desolex lotion larutan desonide dermatitis atopik kontak    ekzim anak  pruritus  eritema  iritasi sinar matahari dermatitis</t>
  </si>
  <si>
    <t>DTL0331108110A1</t>
  </si>
  <si>
    <t>Graxine 10 Tablet</t>
  </si>
  <si>
    <t>graxine</t>
  </si>
  <si>
    <t>graxine tablet bromhexine hydrochloride bronkosekretolitik batuk berhubungan iritasi membran mukosa  saluran nafas produksi dahak kental</t>
  </si>
  <si>
    <t>GKL2007925929A1</t>
  </si>
  <si>
    <t>Clobetasol Cream 10 gr</t>
  </si>
  <si>
    <t>Rp16.800 - Rp20.300</t>
  </si>
  <si>
    <t>Krim dioleskan tipis-tipis pada area kulit yang sakit, radang atau gatal</t>
  </si>
  <si>
    <t>PENGGUNAAN OBAT INI HARUS SESUAI DENGAN PETUNJUK DOKTER. 2 kali sehari</t>
  </si>
  <si>
    <t>INFORMASI OBAT INI HANYA UNTUK KALANGAN MEDIS. Untuk mengobati gangguan kulit seperti psoriasis, eksim, dermatosis yang responsif terhadap kortikosteroid.</t>
  </si>
  <si>
    <t>Dus, Tube @ 10 Gr</t>
  </si>
  <si>
    <t>HARUS DENGAN RESEP DOKTER. - Obat tidak boleh terkena sinar matahari langsung - Tidak boleh mencampurkan obat dengan perawatan kulit lainnya - Pada penderita sindrom cushing - Penderita orang tua dengan riwayat jantung, gangguan hati dan ginjal</t>
  </si>
  <si>
    <t>untuk mengobati gangguan kulit psoriasis , eksim , dermatosis responsif kortikosteroid</t>
  </si>
  <si>
    <t>clobetasol cream gr</t>
  </si>
  <si>
    <t>clobetasol cream gr krim clobetasol propionate untuk mengobati gangguan kulit psoriasis  eksim  dermatosis responsif kortikosteroid</t>
  </si>
  <si>
    <t>DKL7203814731A1</t>
  </si>
  <si>
    <t>Cendo Mycos Eye Ointment 3.5 g</t>
  </si>
  <si>
    <t>Rp34.200 - Rp41.400</t>
  </si>
  <si>
    <t>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t>
  </si>
  <si>
    <t>PENGGUNAAN OBAT INI HARUS SESUAI DENGAN PETUNJUK DOKTER. Oleskan pada kelopak mata 2-3 kali sehari atau sesuai petunjuk dokter.</t>
  </si>
  <si>
    <t>INFORMASI OBAT INI HANYA UNTUK KALANGAN MEDIS. Infeksi okular yang disebabkan oleh organisme yang sensitif terhadap chloramphenicol yang membutuhkan terapi kortikosteroid.</t>
  </si>
  <si>
    <t>Hipersensitif, infeksi jamur sistemik, glaukoma, penderita aktif tbc</t>
  </si>
  <si>
    <t>HARUS DENGAN RESEP DOKTER. Hati-hati pada penderita hipertensi, diabetes. Penggunaan jangka panjang dapat menyebabkan pertumbuhan berlebihan dari mikroorganisme yang tidak peka, seperti fungi. Bila terjadi segera hentikan pengobatan. Tidak boleh digunakan 30 hari setelah dibuka. Hindari menyetir atau mengoperasikan mesin selama penggunaan obat ini.</t>
  </si>
  <si>
    <t>infeksi okular disebabkan organisme sensitif chloramphenicol membutuhkan terapi kortikosteroid</t>
  </si>
  <si>
    <t>cendo mycos eye ointment</t>
  </si>
  <si>
    <t>cendo mycos eye ointment salep chloramphenicol infeksi okular disebabkan organisme sensitif chloramphenicol membutuhkan terapi kortikosteroid</t>
  </si>
  <si>
    <t>Nebulizer Mask Adult</t>
  </si>
  <si>
    <t>1. Masukkan obat ke wadah atau cangkir obat pada nebulizer. Saat memasukkan obat, pastikan dosis yang diberikan sesuai anjuran atau resep dokter. 2. Sambungkan masker ke cangkir nebulizer. 3. Pasang selang penyambung ke kompresor dan cangkir nebulizer. 4. Saat alat sudah siap, nyalakan mesin kompresor. Jika berfungsi normal, alat akan mengeluarkan kabut atau uap yang berisi obat.</t>
  </si>
  <si>
    <t>Masker yang digunakan pada alat nebulizer agar cairan obat mudah dihirup oleh pasien atau pengguna melalui pernafasan.</t>
  </si>
  <si>
    <t>Plastik, 1 Set Mask</t>
  </si>
  <si>
    <t>masker alat nebulizer cairan obat mudah dihirup pasien pengguna pernafasan</t>
  </si>
  <si>
    <t>nebulizer mask adult</t>
  </si>
  <si>
    <t>nebulizer mask adult tablet aminophylline masker alat nebulizer cairan obat mudah dihirup pasien pengguna pernafasan</t>
  </si>
  <si>
    <t>DTI9586001546A1</t>
  </si>
  <si>
    <t>Alcon Tears Naturale II 15 ml</t>
  </si>
  <si>
    <t>Berikan 1-2 tetes ke dalam mata sesuai kebutuhan</t>
  </si>
  <si>
    <t>Mengatasi sindroma mata kering karena kekurangan sekresi air mata</t>
  </si>
  <si>
    <t>mengatasi sindroma mata kering kekurangan sekresi air mata</t>
  </si>
  <si>
    <t>alcon tears naturale ii</t>
  </si>
  <si>
    <t>alcon tears naturale ii tetes dextran 70 mengatasi sindroma mata kering kekurangan sekresi air mata</t>
  </si>
  <si>
    <t>DTL0920936637A1</t>
  </si>
  <si>
    <t>Zinkid Sirup 10mg/5ml 100ml</t>
  </si>
  <si>
    <t>Rp37.700 - Rp43.000</t>
  </si>
  <si>
    <t>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t>
  </si>
  <si>
    <t>Hipersensitif, apabila anak memiliki kadar seng rendah pada aliran darah.</t>
  </si>
  <si>
    <t>zinkid mgml</t>
  </si>
  <si>
    <t>zinkid mgml sirup zinc sulfate monohydrate pelengkap pengobatan diare anak  anak dibawah 5  larutan oralit</t>
  </si>
  <si>
    <t>DKL9206604029A1</t>
  </si>
  <si>
    <t>Elocon 0.1% Cream 5 g</t>
  </si>
  <si>
    <t>Rp84.600 - Rp102.400</t>
  </si>
  <si>
    <t>INFORMASI OBAT INI HANYA UNTUK KALANGAN MEDIS. Meredakan inflamasi dan gejala pruritus, psoriasis dan dermatitis atopik pada dermatosis yang responsif terhadap kortikosteroid.</t>
  </si>
  <si>
    <t>meredakan inflamasi gejala pruritus , psoriasis dermatitis atopik dermatosis responsif kortikosteroid</t>
  </si>
  <si>
    <t>elocon cream</t>
  </si>
  <si>
    <t>elocon cream krim mometasone furoate meredakan inflamasi gejala pruritus  psoriasis dermatitis atopik dermatosis responsif kortikosteroid</t>
  </si>
  <si>
    <t>TR163391241</t>
  </si>
  <si>
    <t>Neobumin Ekstrak Ikan Gabus 30 Kapsul</t>
  </si>
  <si>
    <t>NEOBUMIN</t>
  </si>
  <si>
    <t>3 x Sehari 1-2 Kapsul</t>
  </si>
  <si>
    <t>Membantu memelihara kesehatan tubuh, dan membantu meningkatkan daya tahan tubuh.</t>
  </si>
  <si>
    <t>Dus, Botol @30 Kapsul</t>
  </si>
  <si>
    <t>neobumin</t>
  </si>
  <si>
    <t>membantu memelihara kesehatan tubuh , membantu meningkatkan daya tahan tubuh</t>
  </si>
  <si>
    <t>neobumin ekstrak ikan gabus</t>
  </si>
  <si>
    <t>neobumin ekstrak ikan gabus kapsul neobumin membantu memelihara kesehatan tubuh  membantu meningkatkan daya tahan tubuh</t>
  </si>
  <si>
    <t>DKL0707117129A1</t>
  </si>
  <si>
    <t>Cordeson Cream 10 g</t>
  </si>
  <si>
    <t>Rp20.600 - Rp20.900</t>
  </si>
  <si>
    <t>Pengobatan dermatitis atopic, dermatitis kontak dan berbagai jenis dermatitis lainnya, pruritis ani, vulvae dan psoriasis.</t>
  </si>
  <si>
    <t>tube 10 g</t>
  </si>
  <si>
    <t>pengobatan dermatitis atopic , dermatitis kontak jenis dermatitis , pruritis ani , vulva psoriasis</t>
  </si>
  <si>
    <t>cordeson cream</t>
  </si>
  <si>
    <t>cordeson cream krim desonide pengobatan dermatitis atopic  dermatitis kontak jenis dermatitis  pruritis ani  vulva psoriasis</t>
  </si>
  <si>
    <t>HT222601101</t>
  </si>
  <si>
    <t>Gastin Force Sirup 200 ml</t>
  </si>
  <si>
    <t>GASTIN FORCE</t>
  </si>
  <si>
    <t>Dewasa: 1- 3 kali sehari 10 ml.</t>
  </si>
  <si>
    <t>Sebagai terapi suportif untuk meringankan gangguan pada lambung seperti rasa perih pada perut, rasa tidak nyaman pada perut, serta rasa kembung.</t>
  </si>
  <si>
    <t>gastin force</t>
  </si>
  <si>
    <t>sebagai terapi suportif meringankan gangguan lambung perih perut , tidak nyaman perut , kembung</t>
  </si>
  <si>
    <t>gastin force sirup sebagai terapi suportif meringankan gangguan lambung perih perut  tidak nyaman perut  kembung</t>
  </si>
  <si>
    <t>Gastin Force Sirup 100 ml</t>
  </si>
  <si>
    <t>Rp46.000 - Rp66.700</t>
  </si>
  <si>
    <t>Dewasa : 1-3 kali sehari 10 ml.</t>
  </si>
  <si>
    <t>DKL2017629833A1</t>
  </si>
  <si>
    <t>Sucralbat Suspensi 100 ml</t>
  </si>
  <si>
    <t>Rp88.200 - Rp92.500</t>
  </si>
  <si>
    <t>PENGGUNAAN OBAT INI HARUS SESUAI DENGAN PETUNJUK DOKTER. Dewasa: 1 gram (2 sendok takar), 4 x sehari selama 4 - 8 minggu. Maksimal 8 gram per hari.</t>
  </si>
  <si>
    <t>INFORMASI OBAT INI HANYA UNTUK KALANGAN MEDIS. Pengobatan jangka pendek (sampai dengan 8 minggu) ulkus gaster, ulkus duodenum, gastritis kronik</t>
  </si>
  <si>
    <t>Hipersensitif, pasien dengan gagal ginjal kronis karena obat ini bisa menyebabkan nefropati yang diinduksi oleh aluminium.</t>
  </si>
  <si>
    <t>HARUS DENGAN RESEP DOKTER. Gangguan ginjal (hindari bila berat). Kehamilan dan menyusui. Sedian suspensi sebaiknya hanya digunakan sampai 1minggu setelah dibuka tutup segel.</t>
  </si>
  <si>
    <t>kombinasi-sucralfate suspension</t>
  </si>
  <si>
    <t>pengobatan jangka pendek 8 minggu ulkus gaster , ulkus duodenum , gastritis kronik</t>
  </si>
  <si>
    <t>sucralbat</t>
  </si>
  <si>
    <t>sucralbat suspensi kombinasisucralfate suspension pengobatan jangka pendek 8 minggu ulkus gaster  ulkus duodenum  gastritis kronik</t>
  </si>
  <si>
    <t>Elocon 0.1% Cream 10 g</t>
  </si>
  <si>
    <t>Rp127.200 - Rp153.900</t>
  </si>
  <si>
    <t>INFORMASI OBAT INI HANYA UNTUK KALANGAN MEDIS. Meringankan manifestasi inflamasi &amp; pruritus dari dermatosis yang responsif terhadap kortikosteroid, seperti psoriasis dan dermatitis atopik.</t>
  </si>
  <si>
    <t>meringankan manifestasi inflamasi pruritus dermatosis responsif kortikosteroid , psoriasis dermatitis atopik</t>
  </si>
  <si>
    <t>elocon cream krim mometasone furoate meringankan manifestasi inflamasi pruritus dermatosis responsif kortikosteroid  psoriasis dermatitis atopik</t>
  </si>
  <si>
    <t>transpulmin sirup liquorice essence pipazetate hydrochloride isothipendyl hydrochloride guaifenesin untuk meredakan batuk produktif non produktif</t>
  </si>
  <si>
    <t>GTL2022727681A1</t>
  </si>
  <si>
    <t>Zinc 20 mg 10 Tablet</t>
  </si>
  <si>
    <t>Rp1.800 - Rp19.300</t>
  </si>
  <si>
    <t>Pengobatan Diare Akut Dewasa: 10-20 mg, diminum satu kali per hari, lama pengobatan 10-14 hari meskipun diare sudah berhenti. Anak-anak usia 6 bulan-5 tahun: 20 mg, diminum satu kali per hari, lama pengobatan 10 hari meskipun diare sudah berhenti.</t>
  </si>
  <si>
    <t>Obat ini digunakan untuk membantu memperkuat sistem kekebalan tubuh, dan mengatasi defisiensi zinc pada kasus diare.</t>
  </si>
  <si>
    <t>Dus, 10 Strip @ 10 Tablet Dispersibel</t>
  </si>
  <si>
    <t>Hindari penggunaan pada penderita dengan defisiensi Tembaga (Copper)</t>
  </si>
  <si>
    <t>Hati-hati penggunaan pada penderita gangguan ginjal, anak-anak, kehamilan dan menyusui, Bacalah Aturan Pakainya.</t>
  </si>
  <si>
    <t>obat membantu memperkuat sistem kekebalan tubuh , mengatasi defisiensi zinc diare</t>
  </si>
  <si>
    <t>zinc tablet zinc sulfate monohydrate obat membantu memperkuat sistem kekebalan tubuh  mengatasi defisiensi zinc diare</t>
  </si>
  <si>
    <t>DKL7803816146A1</t>
  </si>
  <si>
    <t>Cendo Siloxan Eye Drop 5 ml</t>
  </si>
  <si>
    <t>Rp58.200 - Rp82.600</t>
  </si>
  <si>
    <t>Teteskan pada kantung kelopak mata bawah tersebut dan jangan berkedip</t>
  </si>
  <si>
    <t>PENGGUNAAN OBAT INI HARUS SESUAI DENGAN PETUNJUK DOKTER. Teteskan 1-2 tetes pada mata 2-4 kali sehari.</t>
  </si>
  <si>
    <t>INFORMASI OBAT INI HANYA UNTUK KALANGAN MEDIS. Bantuan pra-operasi pengangkatan katarak dan implan lensa mata</t>
  </si>
  <si>
    <t>Hipersensitivitas terhadap salah satu komponen dalam obat ini.</t>
  </si>
  <si>
    <t>HARUS DENGAN RESEP DOKTER. - Hindarkan dari sinar matahari langsung</t>
  </si>
  <si>
    <t>sodium chloride</t>
  </si>
  <si>
    <t>bantuan pra - operasi pengangkatan katarak implan lensa mata</t>
  </si>
  <si>
    <t>cendo siloxan eye drop</t>
  </si>
  <si>
    <t>cendo siloxan eye drop tetes sodium chloride bantuan pra  operasi pengangkatan katarak implan lensa mata</t>
  </si>
  <si>
    <t>DKL9408001417A1</t>
  </si>
  <si>
    <t>Galflux 10 mg 20 Tablet</t>
  </si>
  <si>
    <t>Rp94.500 - Rp111.000</t>
  </si>
  <si>
    <t>galflux</t>
  </si>
  <si>
    <t>galflux tablet domperidone dispesia fungsional  mual akut muntah  muntah  disebabkan levodopa bromokriptin terapinya 12 minggu</t>
  </si>
  <si>
    <t>paracetamol ephedrine hydrochloride chlorphenamine maleate guaifenesin</t>
  </si>
  <si>
    <t>flukol xtra tablet paracetamol ephedrine hydrochloride chlorphenamine maleate guaifenesin dan anti radikal bebas anti oksidan</t>
  </si>
  <si>
    <t>DTL7804215937A1</t>
  </si>
  <si>
    <t>Demacolin Sirup 60 ml</t>
  </si>
  <si>
    <t>Rp15.800 - Rp36.700</t>
  </si>
  <si>
    <t>Anak-anak 2 - 5 tahun : 1 sendok takar (5 ml), 3 kali sehari. Anak-anak 6 - 12 tahun : 2 sendok takar (5 ml), 3 kali sehari.</t>
  </si>
  <si>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pusing.Kategori kehamilan :Belum terdapat data keamanan terkait penggunaan obat ini pada wanita hamil dan/atau menyusui. Konsultasikan kepada dokter apabila Anda sedang hamil dan/atau menyusui.</t>
  </si>
  <si>
    <t>demacolin sirup chlorphenamine maleate obat meringankan gejala flu demam  sakit kepala  hidung tersumbat bersin  bersin</t>
  </si>
  <si>
    <t>Kasa Steril Onemed 16 X 16 cm 16 Pouch</t>
  </si>
  <si>
    <t>Rp13.600 - Rp16.000</t>
  </si>
  <si>
    <t>Dus @ 16 Pouch</t>
  </si>
  <si>
    <t>steril onemed x pouch</t>
  </si>
  <si>
    <t>steril onemed x pouch larutan povidoneiodine kasa steril operasi  khitan  penutup luka  bebat pusar bayi</t>
  </si>
  <si>
    <t>DKL0832005437A1</t>
  </si>
  <si>
    <t>Ventolin Expectorant Sirup 100 ml</t>
  </si>
  <si>
    <t>Rp81.700 - Rp81.800</t>
  </si>
  <si>
    <t>Sebaiknya diberikan pada saat perut kosong : Berikan 1 jam sblm atau 2 jam sesudah makan.</t>
  </si>
  <si>
    <t>PENGGUNAAN OBAT INI HARUS SESUAI DENGAN PETUNJUK DOKTER. Dewasa : 10-20 ml, 2-3 kali/hari Anak-anak : 2-6 tahun : 5-10 ml, 2-3 kali/hari 6-12 tahun : 10 ml, 2-3 kali/hari &gt;12 tahun : 10-20 ml, 2-3 kali/hari</t>
  </si>
  <si>
    <t>INFORMASI OBAT INI HANYA UNTUK KALANGAN MEDIS. Meredakan bronkospasme pada bronkial asma, bronkitis kronis, &amp; emfisema dan meredakan sumbatan saluran napas.</t>
  </si>
  <si>
    <t>Pasien yang memiliki riwayat hipersensitif pada salbutamol atau obat agonis adrenoreseptor beta-2 lainnya.</t>
  </si>
  <si>
    <t>HARUS DENGAN RESEP DOKTER. Tirotoksikosis, hipokalemia. Monitor keseimbangan cairan &amp; fungsi kardiorespirasi. Hamil &amp; laktasi. Kategori Kehamilan : C</t>
  </si>
  <si>
    <t>meredakan bronkospasme bronkial asma , bronkitis kronis , emfisema meredakan sumbatan saluran napa</t>
  </si>
  <si>
    <t>ventolin expectorant</t>
  </si>
  <si>
    <t>ventolin expectorant sirup guaifenesin meredakan bronkospasme bronkial asma  bronkitis kronis  emfisema meredakan sumbatan saluran napa</t>
  </si>
  <si>
    <t>DKL1131531617A1</t>
  </si>
  <si>
    <t>Sysmuco 100 mg 10 Tablet</t>
  </si>
  <si>
    <t>Rp58.200 - Rp64.000</t>
  </si>
  <si>
    <t>Ulkus Lambung dikombinasikan dengan obat2 penghambat pompa proton, antikholinergik atau antagonis H2 &amp; terapi Gastritis</t>
  </si>
  <si>
    <t>HARUS DENGAN RESEP DOKTER. Usia lanjut, anak, hamil dan laktasi Kategori Kehamilan : C</t>
  </si>
  <si>
    <t>ulkus lambung dikombinasikan obat2 penghambat pompa proton , antikholinergik antagonis h2 terapi gastritis</t>
  </si>
  <si>
    <t>sysmuco</t>
  </si>
  <si>
    <t>sysmuco tablet rebamipide ulkus lambung dikombinasikan obat2 penghambat pompa proton  antikholinergik antagonis h2 terapi gastritis</t>
  </si>
  <si>
    <t>chloramphenicol prednisolone</t>
  </si>
  <si>
    <t>chloramfecort h cream krim chloramphenicol prednisolone pengobatan topikal penyakit infeksi kulit peka chloramphenicol disertai radang</t>
  </si>
  <si>
    <t>prednisolone chloramphenicol</t>
  </si>
  <si>
    <t>chloramfecort h cream krim prednisolone chloramphenicol pengobatan topikal penyakit infeksi kulit peka chloramphenicol disertai radang</t>
  </si>
  <si>
    <t>DTL1508103004A1</t>
  </si>
  <si>
    <t>Ultraflu PE 4 Tablet</t>
  </si>
  <si>
    <t>Rp3.300 - Rp3.500</t>
  </si>
  <si>
    <t>Dewasa dan anak diatas 12 tahun : sehari 3 kali 1 kaplet</t>
  </si>
  <si>
    <t>Meringankan gejala flu seperti demam, sakit kepala, hidung tersumbat dan bersin-bersin.</t>
  </si>
  <si>
    <t>Tidak boleh diberikan pada penderita yang peka terhadap obat simpatomimetik lain (misal ephedrine, phenylprepanolamine HCL, phenylephrine), penderita tekanan darah tinggu berat dan yang mendapat terapi antidepresan tipe MAO.</t>
  </si>
  <si>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t>
  </si>
  <si>
    <t>meringankan gejala flu demam , sakit kepala , hidung tersumbat bersin - bersin</t>
  </si>
  <si>
    <t>ultraflu pe</t>
  </si>
  <si>
    <t>ultraflu pe kaplet chlorphenamine maleate meringankan gejala flu demam  sakit kepala  hidung tersumbat bersin  bersin</t>
  </si>
  <si>
    <t>DKL7606605530A1</t>
  </si>
  <si>
    <t>Diprogenta Salep 10 g</t>
  </si>
  <si>
    <t>Rp136.400 - Rp137.500</t>
  </si>
  <si>
    <t>PENGGUNAAN OBAT INI HARUS SESUAI DENGAN PETUNJUK DOKTER. Oleskan 2 x sehari</t>
  </si>
  <si>
    <t>Meredakan gejala peradangan dari Dermatosis yang responsif terhadap Kortikosteroid dengan komplikasi infeksi sekunder</t>
  </si>
  <si>
    <t>Kepekaan terhadap Diprogenta. Vaccinia, varisela dan tuberkulosis kulit. Tidak digunakan untuk infeksi yang disebabkan oleh jamur dan virus</t>
  </si>
  <si>
    <t>HARUS DENGAN RESEP DOKTER. Hentikan penggunaan bila terjadi iritasi atau sensitisasi. Hindari penggunaan jangka panjang dan pada area tubuh yang luas. Tidak untuk digunakan pada mata. Anak. Hamil dan laktasi</t>
  </si>
  <si>
    <t>meredakan gejala peradangan dermatosis responsif kortikosteroid komplikasi infeksi sekunder</t>
  </si>
  <si>
    <t>diprogenta</t>
  </si>
  <si>
    <t>diprogenta salep betamethasone dipropionate gentamicin sulfate meredakan gejala peradangan dermatosis responsif kortikosteroid komplikasi infeksi sekunder</t>
  </si>
  <si>
    <t>DTL8505501101B1</t>
  </si>
  <si>
    <t>Longatin 25 mg 4 Kapsul</t>
  </si>
  <si>
    <t>Meredakan gejala batuk tidak produktif, bronkhitis akut &amp; kronis, laringitis, trakheitis, flu, pilek.</t>
  </si>
  <si>
    <t>Kapsul 25 Mg X 1 X 4</t>
  </si>
  <si>
    <t>Hindari menggunakan obat ini dalam masalah tiroid. Jangan mengkonsumsi obat jika menderita diabetes, pembesaran prostat. Konsultasikan dengan dokter sebelum mengkonsumsi obat ini jika pasien menderita penyakit ginjal atau jantung</t>
  </si>
  <si>
    <t>meredakan gejala batuk tidak produktif , bronkhitis akut kronis , laringitis , trakheitis , flu , pilek</t>
  </si>
  <si>
    <t>longatin kapsul noscapine meredakan gejala batuk tidak produktif  bronkhitis akut kronis  laringitis  trakheitis  flu  pilek</t>
  </si>
  <si>
    <t>Kasa Steril Husada 16 X 16 cm 16 Lembar</t>
  </si>
  <si>
    <t>Gunakan untuk melindungi luka terbuka</t>
  </si>
  <si>
    <t>Kasa steril yang digunakan untuk operasi besar/kecil, khitan, penutup luka dan bebat pusar bayi.</t>
  </si>
  <si>
    <t>Dus @ 16 Piece</t>
  </si>
  <si>
    <t>kasa steril operasi , khitan , penutup luka bebat pusar bayi</t>
  </si>
  <si>
    <t>steril husada x lembar</t>
  </si>
  <si>
    <t>steril husada x lembar larutan povidoneiodine kasa steril operasi  khitan  penutup luka bebat pusar bayi</t>
  </si>
  <si>
    <t>Accu Chek Softclix 100 Lancets</t>
  </si>
  <si>
    <t>Rp116.200 - Rp197.200</t>
  </si>
  <si>
    <t>Pijat lembut ujung jari. Usap ujung jari dengan kapas alkohol. Lakukan penusukan pada jari yang sudah diusap dengan alkohol. Darah yang keluar dari ujung jari di teteskan pada test strip.</t>
  </si>
  <si>
    <t>Jarum untuk pemeriksaan kadar gula darah, asam urat dan kolesterol</t>
  </si>
  <si>
    <t>Dus @ 100 Piece</t>
  </si>
  <si>
    <t>jarum pemeriksaan kadar gula darah , asam urat kolesterol</t>
  </si>
  <si>
    <t>accu chek softclix lancets tablet pioglitazone hydrochloride jarum pemeriksaan kadar gula darah  asam urat kolesterol</t>
  </si>
  <si>
    <t>FF182200771E</t>
  </si>
  <si>
    <t>Vipalbumin Plus 3 Sachet</t>
  </si>
  <si>
    <t>VIPALBUMIN PLUS</t>
  </si>
  <si>
    <t>Rp242.700 - Rp277.200</t>
  </si>
  <si>
    <t>Tuang serbuk (isi sachet) ke dalam gelas, ambil air minum ï¿½50 ml, tambahkan sedikit demi sedikit sambil diaduk hingga tercampur, siap diminum.</t>
  </si>
  <si>
    <t>Dewasa: Hipoalbumin: 2 ï¿½ 3 Sachet per hari Memelihara kesehatan: 1 Sachet per hari</t>
  </si>
  <si>
    <t>Membantu menjaga kesehatan daya tahan tubuh dan membantu meningkatkan kadar albumin pada kondisi hipoalbuminemia.</t>
  </si>
  <si>
    <t>Dus, 3 Sachet @ 10 G</t>
  </si>
  <si>
    <t>Simpan pada suhu di bawah 30 derajat Celcius, di tempat kering serta terlindung dari sinar matahari.</t>
  </si>
  <si>
    <t>vipalbumin plus</t>
  </si>
  <si>
    <t>membantu menjaga kesehatan daya tahan tubuh membantu meningkatkan kadar albumin kondisi hipoalbuminemia</t>
  </si>
  <si>
    <t>vipalbumin plus sachet membantu menjaga kesehatan daya tahan tubuh membantu meningkatkan kadar albumin kondisi hipoalbuminemia</t>
  </si>
  <si>
    <t>Diprogenta Salep 5 g</t>
  </si>
  <si>
    <t>Rp82.200 - Rp93.000</t>
  </si>
  <si>
    <t>INFORMASI OBAT INI HANYA UNTUK KALANGAN MEDIS. Meredakan gejala peradangan dari Dermatosis yang responsif terhadap Kortikosteroid dengan komplikasi infeksi sekunder</t>
  </si>
  <si>
    <t>HARUS DENGAN RESEP DOKTER. Hentikan penggunaan bila terjadi iritasi atau sensitisasi. Hindari penggunaan jangka panjang dan pada area tubuh yang luas. Tidak untuk digunakan pada mata. Anak. Hamil dan laktasi Kategori Kehamilan : D</t>
  </si>
  <si>
    <t>DKL1842200229A1</t>
  </si>
  <si>
    <t>Pi Kang Shuang Cream 5 g</t>
  </si>
  <si>
    <t>Rp12.100 - Rp18.600</t>
  </si>
  <si>
    <t>Oleskan secara tipis pada permukaan kulit yang sakit, maksimum pemakaian selama 1 minggu, bila tidak ada perubahan, segera konsultasikan kepada dokter Anda.</t>
  </si>
  <si>
    <t>PENGGUNAAN OBAT INI HARUS SESUAI DENGAN PETUNJUK DOKTER. Oleskan pada daerah yang sakit, 2-3 kali sehari.</t>
  </si>
  <si>
    <t>INFORMASI OBAT INI HANYA UNTUK KALANGAN MEDIS. Mengobati penyakit kulit yang disebabkan oleh jamur seperti panu, kurap, dan kudis.</t>
  </si>
  <si>
    <t>Hanya untuk penggunaan luar. Jangan dioleskan pada kulit dengan luka terbuka.</t>
  </si>
  <si>
    <t>HARUS DENGAN RESEP DOKTER. Hanya untuk pemakaian luar badan.</t>
  </si>
  <si>
    <t>mengobati penyakit kulit disebabkan jamur panu , kurap , kudis</t>
  </si>
  <si>
    <t>pi kang shuang cream</t>
  </si>
  <si>
    <t>pi kang shuang cream krim miconazole nitrate mengobati penyakit kulit disebabkan jamur panu  kurap  kudis</t>
  </si>
  <si>
    <t>DTL8710800937A1</t>
  </si>
  <si>
    <t>Anacetine Sirup 60 ml</t>
  </si>
  <si>
    <t>Rp11.700 - Rp16.300</t>
  </si>
  <si>
    <t>Bayi usia di bawah 2 tahun: 3 x sehari 1/2 sendok takar (2.5 ml) Anak usia 2 - 6 tahun: 3 x sehari 1 sendok takar (5 ml) Anak usia 6 - 12 tahun: 3 x sehari 2 sendok takar (10 ml) Dewasa: 3 x sehari 4 sednok takar (20 ml)</t>
  </si>
  <si>
    <t>Untuk meringankan demam, sakit kepala dan bersin-bersin yang disertai batuk.</t>
  </si>
  <si>
    <t>Gangguan fungsi hati. Dapat mengganggu kemampuan mengemudi kendaraan atau menjalankan mesin. Konsumsi alkohol dapat meningkatkan risiko kerusakan fungsi hati.</t>
  </si>
  <si>
    <t>untuk meringankan demam , sakit kepala bersin - bersin disertai batuk</t>
  </si>
  <si>
    <t>anacetine</t>
  </si>
  <si>
    <t>anacetine sirup paracetamol chlorphenamine maleate guaifenesin untuk meringankan demam  sakit kepala bersin  bersin disertai batuk</t>
  </si>
  <si>
    <t>DBL8716102436A1</t>
  </si>
  <si>
    <t>Xepamol Drops 15 ml</t>
  </si>
  <si>
    <t>Rp30.100 - Rp39.100</t>
  </si>
  <si>
    <t>Anak 1-3 thn 0.6-1.2 mL, ?1 thn 0.6 mL. Diberikan 3-4 x/hari.</t>
  </si>
  <si>
    <t>Meredakan Demam &amp; Nyeri seperti pada nyeri Sendi, nyeri Telinga, sakit Kepala, Reumatik, Flu atau infeksi lainnya</t>
  </si>
  <si>
    <t>Peny. Hati atau ginjal.</t>
  </si>
  <si>
    <t>Hentikan jika tanda-tanda awal reaksi alergi. Obat ini harus digunakan secara hati-hati pada pasien yang mempunyai penyakit asma. Jika anda mengkonsumsi alkohol, potensi terjadinya kerusakan hati sangat tinggi terutama pada pemakaian jangka panjang dan dosis yang lebih tinggi. Hati-hati menggunakan obat ini pada pasien dengan gangguan fungsi hati dan ginjal.</t>
  </si>
  <si>
    <t>meredakan demam nyeri nyeri sendi , nyeri telinga , sakit kepala , reumatik , flu infeksi</t>
  </si>
  <si>
    <t>xepamol</t>
  </si>
  <si>
    <t>xepamol tetes paracetamol meredakan demam nyeri nyeri sendi  nyeri telinga  sakit kepala  reumatik  flu infeksi</t>
  </si>
  <si>
    <t>Hansaplast Roll Kain 1.25Cm X 1M</t>
  </si>
  <si>
    <t>Perban dianjurkan untuk digunakan pada kulit yang kering dan bersih. Sebelum pemakaian, bersihkan kulit dari kotoran dan keringkan dengan perlahan. Selanjutnya, perban dapat merekat dengan kuat dan aman.</t>
  </si>
  <si>
    <t>Produk ini digunakan untuk merekatkan kasa steril atau perban dan plester langsung pada kulit.</t>
  </si>
  <si>
    <t>Dus @ 20 Roll @ 1.25 cm x 1 m</t>
  </si>
  <si>
    <t>produk merekatkan kasa steril perban plester langsung kulit</t>
  </si>
  <si>
    <t>hansaplast roll kain x m</t>
  </si>
  <si>
    <t>hansaplast roll kain x m larutan povidoneiodine produk merekatkan kasa steril perban plester langsung kulit</t>
  </si>
  <si>
    <t>TR183321301</t>
  </si>
  <si>
    <t>He-Man 60 Kapsul</t>
  </si>
  <si>
    <t>HE MAN</t>
  </si>
  <si>
    <t>Rp15.700 - Rp303.300</t>
  </si>
  <si>
    <t>2 kali sehari 2 Kapsul</t>
  </si>
  <si>
    <t>Secara Tradisional Digunakan Untuk Membantu Memelihara Kesehatan Pria dan Meningkatkan Vitalitas Pria.</t>
  </si>
  <si>
    <t>he man</t>
  </si>
  <si>
    <t>secara tradisional digunakan untuk membantu memelihara kesehatan pria meningkatkan vitalitas pria</t>
  </si>
  <si>
    <t>heman</t>
  </si>
  <si>
    <t>heman kapsul he man secara tradisional digunakan untuk membantu memelihara kesehatan pria meningkatkan vitalitas pria</t>
  </si>
  <si>
    <t>DTL0609216404A1</t>
  </si>
  <si>
    <t>Alermax Tablet 10 Tablet</t>
  </si>
  <si>
    <t>Rp800 - Rp2.300</t>
  </si>
  <si>
    <t>Anak-anak 2-6 tahun : 1/4 kaplet 3-4 kali sehari. Anak-anak : 1/2 kaplet 3-4 kali sehari. Dewasa : 1 kaplet 3-4 kali sehari</t>
  </si>
  <si>
    <t>Rinitis alergika, menifestasi alergi kulit seperti urtikaria (biduran/kaligata) &amp; angioedema, urtikaria karena dingin.</t>
  </si>
  <si>
    <t>Hipersensitif, anak usia &lt; 2 tahun , asma akut</t>
  </si>
  <si>
    <t>Hipertrofi prostat, retensi urin, pasien dengan risiko glaukoma sudut sempit, obstruksi pyloroduodenal, gangguan fungsi hati dan epilepsi. Jangan mengemudi atau mengoperasikan mesin yang membutuhkan konsentrasi tinggi selama menggunakan obat ini.</t>
  </si>
  <si>
    <t>rinitis alergika , menifestasi alergi kulit urtikaria biduran kaligata angioedema , urtikaria dingin</t>
  </si>
  <si>
    <t>alermax</t>
  </si>
  <si>
    <t>alermax kaplet chlorphenamine maleate rinitis alergika  menifestasi alergi kulit urtikaria biduran kaligata angioedema  urtikaria dingin</t>
  </si>
  <si>
    <t>DKL9832707203A1</t>
  </si>
  <si>
    <t>Rindopump 20 mg 10 Kapsul</t>
  </si>
  <si>
    <t>Rp123.200 - Rp142.300</t>
  </si>
  <si>
    <t>Sebaiknya diberikan bersama makanan : Berikan segera sblm makan. Telan utuh dengan air. Jangan dikunyah atau digerus.</t>
  </si>
  <si>
    <t>PENGGUNAAN OBAT INI HARUS SESUAI DENGAN PETUNJUK DOKTER. Tukak lambung, tukak duodenum, esofagitis 20 mg 1 x/hari selama 2-4 minggu. Dosis dapat ditingkatkan mjd 40 mg/hari. Sindrom Zollinger-Ellison Awal 60 mg 1 x/hari. Bila dosis &gt;80 mg/hari, berikan 2 x/hari.</t>
  </si>
  <si>
    <t>Terapi jangka pendek tukak duodenum, tukak lambung, refluks esofagitis, sindroma Zollinger-Ellison</t>
  </si>
  <si>
    <t>HARUS DENGAN RESEP DOKTER. Kemungkinan adanya keganasan di lambung hrs disingkirkan sblm pemberian terapi. Anak. Hamil &amp; laktasi.</t>
  </si>
  <si>
    <t>terapi jangka pendek tukak duodenum , tukak lambung , refluks esofagitis , sindroma zollinger - ellison</t>
  </si>
  <si>
    <t>rindopump</t>
  </si>
  <si>
    <t>rindopump kapsul omeprazole terapi jangka pendek tukak duodenum  tukak lambung  refluks esofagitis  sindroma zollinger  ellison</t>
  </si>
  <si>
    <t>Herocyn Bedak Kulit 85 g</t>
  </si>
  <si>
    <t>Rp13.000 - Rp18.200</t>
  </si>
  <si>
    <t>Untuk pencegahan taburkan pada bagian tubuh setelah mandi. Untuk pengobatan taburkan dan gosokkan pada bagian tubuh yang terdapat gangguan kulit beberapa kali sehari.</t>
  </si>
  <si>
    <t>Untuk membantu meredakan gangguan kulit seperti biang keringat dan gatal-gatal.</t>
  </si>
  <si>
    <t>Dus, Kaleng @ 85 g</t>
  </si>
  <si>
    <t>Simpan di tempat sejuk, jauhkan dari jangkauan anak-anak.</t>
  </si>
  <si>
    <t>untuk membantu meredakan gangguan kulit biang keringat gatal - gatal</t>
  </si>
  <si>
    <t>herocyn bedak kulit  balsamum peruvianum natural untuk membantu meredakan gangguan kulit biang keringat gatal  gatal</t>
  </si>
  <si>
    <t>DTL1322722237A2</t>
  </si>
  <si>
    <t>Bodrex Flu Dan Batuk Berdahak Pe Sirup 60 ml</t>
  </si>
  <si>
    <t>Rp13.200 - Rp13.300</t>
  </si>
  <si>
    <t>Dewasa : 3 kali sehari 15 mL. Anak : 3 kali sehari 7.5 mL</t>
  </si>
  <si>
    <t>Meredakan gejala flu yang disertai dengan batuk berdahak</t>
  </si>
  <si>
    <t>Pasien dengan hipertensi atau punya kecenderungan hipertensi atau stroke, seperti kelebihan BB dan lanjut usia. Pasien dengan tukak lambung, gangguan fungsi hati dan ginjal, glaukoma, hipertrofi prostat, retensi urin, penyakit jantung, DM. Dapat meningkat</t>
  </si>
  <si>
    <t>meredakan gejala flu disertai batuk berdahak</t>
  </si>
  <si>
    <t>bodrex flu dan batuk berdahak pe</t>
  </si>
  <si>
    <t>bodrex flu dan batuk berdahak pe sirup bromhexine hydrochloride meredakan gejala flu disertai batuk berdahak</t>
  </si>
  <si>
    <t>DKL9431507646B1</t>
  </si>
  <si>
    <t>Isotic Adretor 0.5% Eye Drops 5 ml</t>
  </si>
  <si>
    <t>Diteteskan pada mata yang Glaukoma</t>
  </si>
  <si>
    <t>Menurunkan TIO. Pengobatan glaukoma sudut terbuka kronis, glaukoma sekunder.</t>
  </si>
  <si>
    <t>Botol 5 mL dalam dus</t>
  </si>
  <si>
    <t>Asma bronkial, PPOK, sinus bradikardia, blok AV derajat 2 atau 3, syok kardiogenik</t>
  </si>
  <si>
    <t>HARUS DENGAN RESEP DOKTER. Insufisiensi serebrovaskuler, hamil</t>
  </si>
  <si>
    <t>menurunkan tio  pengobatan glaukoma sudut terbuka kronis , glaukoma sekunder</t>
  </si>
  <si>
    <t>isotic adretor eye</t>
  </si>
  <si>
    <t>isotic adretor eye tetes timolol maleate menurunkan tio  pengobatan glaukoma sudut terbuka kronis  glaukoma sekunder</t>
  </si>
  <si>
    <t>DKL1422253536A1</t>
  </si>
  <si>
    <t>Cerini Drop 20 ml</t>
  </si>
  <si>
    <t>Rp87.000 - Rp94.200</t>
  </si>
  <si>
    <t>cerini drop</t>
  </si>
  <si>
    <t>cerini drop tetes cetirizine hydrochloride rinitis menahun  rinitis alergi seasonal  konjungtivitis  pruritus  urtikaria idiopati kronis</t>
  </si>
  <si>
    <t>DKL1121205217B1</t>
  </si>
  <si>
    <t>Telfast 120 mg 10 Tablet</t>
  </si>
  <si>
    <t>Rp134.300 - Rp134.400</t>
  </si>
  <si>
    <t>Berikan sebelum makan. Jangan diberikan bersama jus buah</t>
  </si>
  <si>
    <t>PENGGUNAAN OBAT INI HARUS SESUAI DENGAN PETUNJUK DOKTER. Dewasa &amp; anak &gt;= 12 tahun : 1 x sehari 1 tablet</t>
  </si>
  <si>
    <t>INFORMASI OBAT INI HANYA UNTUK KALANGAN MEDIS. Meredakan gejala-gejala yang berhubungan dengan Rinitis Alergi pada orang dewasa &amp; anak berusia 12 tahun atau lebih</t>
  </si>
  <si>
    <t>HARUS DENGAN RESEP DOKTER. Hamil &amp; menyusui. Lansia. Kerusakan ginjal atau hati</t>
  </si>
  <si>
    <t>meredakan gejala - gejala berhubungan rinitis alergi orang dewasa anak berusia 12</t>
  </si>
  <si>
    <t>telfast tablet fexofenadine hydrochloride meredakan gejala  gejala berhubungan rinitis alergi orang dewasa anak berusia 12</t>
  </si>
  <si>
    <t>TR202601241</t>
  </si>
  <si>
    <t>Antangin Habbatussauda 12 Sachet</t>
  </si>
  <si>
    <t>ANTANGIN HABBATUSSAUDA</t>
  </si>
  <si>
    <t>Rp45.600 - Rp46.900</t>
  </si>
  <si>
    <t>Sesudah makan atau dicampurkan dengan air teh hangat 0,5 gelas</t>
  </si>
  <si>
    <t>Dewasa: 3 x sehari 1 sachet. Anak usia 6-12 tahun: 3 x sehari 1/2 sachet.</t>
  </si>
  <si>
    <t>Membantu meredakan masuk angin, meriang, rasa mual, perut kembung, capek dan pusing serta melegakan tenggorokan</t>
  </si>
  <si>
    <t>Dus, 12 Sachet @ 15 ML</t>
  </si>
  <si>
    <t>Simpan ditempat kering, sejuk dan terhindar dari sinar matahari langsung. Simpan pada suhu 30 C</t>
  </si>
  <si>
    <t>antangin habbatussauda</t>
  </si>
  <si>
    <t>membantu meredakan masuk angin , meriang , mual , perut kembung , capek pusing melegakan tenggorokan</t>
  </si>
  <si>
    <t>antangin habbatussauda sachet membantu meredakan masuk angin  meriang  mual  perut kembung  capek pusing melegakan tenggorokan</t>
  </si>
  <si>
    <t>DKL0222237146A1</t>
  </si>
  <si>
    <t>Flamergi Eye Drops 5 ml</t>
  </si>
  <si>
    <t>Rp20.300 - Rp28.800</t>
  </si>
  <si>
    <t>Diteteskan pada mata yang merah</t>
  </si>
  <si>
    <t>PENGGUNAAN OBAT INI HARUS SESUAI DENGAN PETUNJUK DOKTER. 1-2 tetes setiap 3-4 jam atau lebih jarang.</t>
  </si>
  <si>
    <t>Menghilangkan kemerahan pada mata akibat iritasi dan/atau penyumbatan dan kondisi2 alergi atau inflamasi mata.</t>
  </si>
  <si>
    <t>Glaukoma sudut sempit</t>
  </si>
  <si>
    <t>HARUS DENGAN RESEP DOKTER. Bayi dan anak. Pemberian bersamaan dengan MAOI</t>
  </si>
  <si>
    <t>menghilangkan kemerahan mata akibat iritasi penyumbatan kondisi2 alergi inflamasi mata</t>
  </si>
  <si>
    <t>flamergi eye</t>
  </si>
  <si>
    <t>flamergi eye tetes naphazoline hydrochloride menghilangkan kemerahan mata akibat iritasi penyumbatan kondisi2 alergi inflamasi mata</t>
  </si>
  <si>
    <t>TL210655181</t>
  </si>
  <si>
    <t>Rhea Health Tone 10 ml</t>
  </si>
  <si>
    <t>HEALTH TONE</t>
  </si>
  <si>
    <t>Rp68.500 - Rp89.600</t>
  </si>
  <si>
    <t>2 x 1 ml sehari setelah makan</t>
  </si>
  <si>
    <t>Membantu memperbaiki sistem imunitas tubuh sebagai salah satu upaya memelihara kesehatan tubuh.</t>
  </si>
  <si>
    <t>Botol @ 10 ml</t>
  </si>
  <si>
    <t>Simpan di tempat kering dan terhindar dari sinar matahari langsung. Simpan pada suhu &lt; 30 derajat celcius</t>
  </si>
  <si>
    <t>health tone</t>
  </si>
  <si>
    <t>membantu memperbaiki sistem imunitas tubuh salah upaya memelihara kesehatan tubuh</t>
  </si>
  <si>
    <t>rhea health tone</t>
  </si>
  <si>
    <t>rhea health tone  health tone membantu memperbaiki sistem imunitas tubuh salah upaya memelihara kesehatan tubuh</t>
  </si>
  <si>
    <t>DTL1121205217A1</t>
  </si>
  <si>
    <t>Telfast 60 mg 10 Tablet</t>
  </si>
  <si>
    <t>Rp61.200 - Rp73.500</t>
  </si>
  <si>
    <t>Dua kali sehari untuk orang dewasa dan anak-anak berusia 12 tahun ke atas</t>
  </si>
  <si>
    <t>Tidak dianjurkan menggunakan TELFAST 60 mg apabila Anda mempunyai alergi terhadap bahan yang terkandung di dalam obat ini.</t>
  </si>
  <si>
    <t>Pemberian TELFAST 60 mg pada orang tua dan pasien dengan gangguan ginjal atau hati harus diberikan dengan perhatian khusus.</t>
  </si>
  <si>
    <t>Antangin Habbatussauda 5 Sachet</t>
  </si>
  <si>
    <t>Rp3.500 - Rp21.600</t>
  </si>
  <si>
    <t>TR032326781</t>
  </si>
  <si>
    <t>Biolife IM-Reg 10 Kapsul</t>
  </si>
  <si>
    <t>BIO-LIFE IMREG</t>
  </si>
  <si>
    <t>Rp85.900 - Rp106.200</t>
  </si>
  <si>
    <t>2 x sehari 1-2 kapsul</t>
  </si>
  <si>
    <t>Mengembalikan atau meningkatkan fungsi kekebalan tubuh untuk menghilangkan virus atau menghambat pertumbuhan virus</t>
  </si>
  <si>
    <t>bio-life imreg</t>
  </si>
  <si>
    <t>mengembalikan meningkatkan fungsi kekebalan tubuh menghilangkan virus menghambat pertumbuhan virus</t>
  </si>
  <si>
    <t>biolife imreg</t>
  </si>
  <si>
    <t>biolife imreg kapsul biolife imreg mengembalikan meningkatkan fungsi kekebalan tubuh menghilangkan virus menghambat pertumbuhan virus</t>
  </si>
  <si>
    <t>TR132672221</t>
  </si>
  <si>
    <t>Antangin Mint 12 Sachet</t>
  </si>
  <si>
    <t>ANTANGIN MINT</t>
  </si>
  <si>
    <t>Rp34.700 - Rp48.400</t>
  </si>
  <si>
    <t>antangin mint</t>
  </si>
  <si>
    <t>antangin mint sachet membantu meredakan masuk angin  meriang  mual  perut kembung  capek pusing melegakan tenggorokan</t>
  </si>
  <si>
    <t>DKL2008519448A1</t>
  </si>
  <si>
    <t>Forotic Tetes Telinga 5 ml</t>
  </si>
  <si>
    <t>Rp127.800 - Rp140.600</t>
  </si>
  <si>
    <t>Teteskan ke dalam telinga yang sakit, dibiarkan di telinga selama 10 menit.</t>
  </si>
  <si>
    <t>PENGGUNAAN OBAT INI HARUS SESUAI DENGAN PETUNJUK DOKTER. 2 kali sehari, 6 - 10 teteskan di telinga yang sakit.</t>
  </si>
  <si>
    <t>INFORMASI OBAT INI HANYA UNTUK KALANGAN MEDIS. Forotic memiliki indikasi untuk mengobati otitis media supuratif kronik, otitis eksterna.</t>
  </si>
  <si>
    <t>Pasien dengan hipersensitivitas terhadap ofloxacin.</t>
  </si>
  <si>
    <t>HARUS DENGAN RESEP DOKTER. 1. Tidak boleh diberikan lebih dari 4 minggu. 2. Gunakan hanya dengan cara penetesan. 3. Terapi topikal dengan penetesan obat ini umumnya berlaku ketika peradangan terlokalisasi di mukosa telinga tengah pada pasien dengan timpanitis. Ketika peradangan meluas ke daerah sekitar tympanum, terapi sistemik dengan obat oral harus dipertimbangkan dalam kombinasi dengan terapi topikal. 4. Jika larutannya dingin, pusing bisa terjadi. Jadi, gunakan obat pada suhu yang sama dengan suhu tubuh. 5. Keamanan ofloxacin tetes telinga telah dikonfirmasi dalam uji klinis pada anak, dan dimungkinkan untuk menggunakan obat ini untuk anak.</t>
  </si>
  <si>
    <t>forotic memiliki indikasi mengobati otitis medium supuratif kronik , otitis eksterna</t>
  </si>
  <si>
    <t>forotic tetes telinga</t>
  </si>
  <si>
    <t>forotic tetes telinga tetes ofloxacin forotic memiliki indikasi mengobati otitis medium supuratif kronik  otitis eksterna</t>
  </si>
  <si>
    <t>DKI0252501667A1</t>
  </si>
  <si>
    <t>Spiriva Combo Pack 18 mcg 10 Kapsul</t>
  </si>
  <si>
    <t>Rp213.300 - Rp355.700</t>
  </si>
  <si>
    <t>Dapat diberikan bersama atau tanpa makanan : Kapsul Spiriva tidak boleh ditelan.</t>
  </si>
  <si>
    <t>PENGGUNAAN OBAT INI HARUS SESUAI DENGAN PETUNJUK DOKTER. 1 kapsul dihirup 1 kali sehari</t>
  </si>
  <si>
    <t>Terapi rumat untuk PPOK (termasuk bronkitis kronis dan emfisema), dispnea, dan mencegah eksaserbasi</t>
  </si>
  <si>
    <t>Dus, 1 Blister @ 10 Kapsul + Handihaler</t>
  </si>
  <si>
    <t>Hipersensitif terhadap atropin atau derivatnya, seperti ipratropium atau oksitropium</t>
  </si>
  <si>
    <t>HARUS DENGAN RESEP DOKTER. Tidak untuk terapi awal episode akut bronkospasme. Dapat menyebabkan reaksi hipersensitivitas mendadak. Glaukoma sudut sempit, hiperplasia prostat atau obstruksi leher kandung kemih, gangguan ginjal sedang s/d berat. Hamil, laktasi</t>
  </si>
  <si>
    <t>tiotropium bromide</t>
  </si>
  <si>
    <t>terapi rumat ppok bronkitis kronis emfisema , dispnea , mencegah eksaserbasi</t>
  </si>
  <si>
    <t>spiriva combo pack</t>
  </si>
  <si>
    <t>spiriva combo pack powder tiotropium bromide terapi rumat ppok bronkitis kronis emfisema  dispnea  mencegah eksaserbasi</t>
  </si>
  <si>
    <t>DTL2022727937A2</t>
  </si>
  <si>
    <t>Bodrex Batuk Double Action 60 ml</t>
  </si>
  <si>
    <t>3 kali sehari 15 ml</t>
  </si>
  <si>
    <t>Meredakan batuk berdahak dan tidak berdahak.</t>
  </si>
  <si>
    <t>guaifenesin dextromethorphan hydrobromide bromhexine hydrochloride</t>
  </si>
  <si>
    <t>meredakan batuk berdahak tidak berdahak</t>
  </si>
  <si>
    <t>bodrex batuk double action</t>
  </si>
  <si>
    <t>bodrex batuk double action sirup guaifenesin dextromethorphan hydrobromide bromhexine hydrochloride meredakan batuk berdahak tidak berdahak</t>
  </si>
  <si>
    <t>DKI1851303467A1</t>
  </si>
  <si>
    <t>Bricasma Turbuhaler 0.5 mg</t>
  </si>
  <si>
    <t>PENGGUNAAN OBAT INI HARUS SESUAI DENGAN PETUNJUK DOKTER. Dewasa &amp; anak &gt;12 thn 1/2-1 inhalasi sebanyak yang diperlukan atau jika digunakan sebagai terapi pemeliharaan berkala, diberikan tiap 6 jam. Kasus berat: Dosis tunggal dapat ditingkatkan s/d 3 inhalasi. Maks: 4 inhalasi dalam 24 jam. Anak 7-12 thn 1/2 -1 inhalasi sebanyak yang diperlukan atau jika digunakan sebagai terapi pemeliharaan berkala, diberikan tiap 6 jam. Kasus berat: Dosis tunggal dapat ditingkatkan s/d 2 inhalasi. Maks: 2 mg (4 inhalasi). Respules Anak &gt;25 kg 5 mg dihirup hingga 2-4 x dalam periode 24 jam.</t>
  </si>
  <si>
    <t>Asma bronkhial, Bronkhitis khronik &amp; Emfisema, penyakit2 Paru lainnya yang menimbulkan komplikasi Bronkhospasme,</t>
  </si>
  <si>
    <t>Dus, 1 Turbuhaler @ 100 Dosis.</t>
  </si>
  <si>
    <t>Obat Wajib Apotek, Obat ini dapat dibeli dan diserahkan apoteker tanpa resep dengan maksimum 1 Box. Pembelian melebihi batas ini WAJIB RESEP DOKTER. Hipertiroidisme, DM. Gangguan ginjal, penyakit KV, hipokalemia. Hamil &amp; wanita dalam kondisi partus.</t>
  </si>
  <si>
    <t>asma bronkhial , bronkhitis khronik emfisema , penyakit2 paru menimbulkan komplikasi bronkhospasme ,</t>
  </si>
  <si>
    <t>bricasma turbuhaler</t>
  </si>
  <si>
    <t xml:space="preserve">bricasma turbuhaler powder terbutaline sulfate asma bronkhial  bronkhitis khronik emfisema  penyakit2 paru menimbulkan komplikasi bronkhospasme </t>
  </si>
  <si>
    <t>DKL0210706948A1</t>
  </si>
  <si>
    <t>Nelicort Ear Drops 10 ml</t>
  </si>
  <si>
    <t>Diteteskan kedalam lubang telinga yang sakit</t>
  </si>
  <si>
    <t>Otitis Externa akut dan khronik yang disebabkan mikroorganisme yang sensitif, Inflamasi/radang pada Telinga</t>
  </si>
  <si>
    <t>HARUS DENGAN RESEP DOKTER. Pertumbuhan berlebihan dari organisme yang tidak peka, termasuk jamur</t>
  </si>
  <si>
    <t>otitis externa akut khronik disebabkan mikroorganisme sensitif , inflamasi radang telinga</t>
  </si>
  <si>
    <t>nelicort ear</t>
  </si>
  <si>
    <t>nelicort ear tetes fludrocortisone acetate otitis externa akut khronik disebabkan mikroorganisme sensitif  inflamasi radang telinga</t>
  </si>
  <si>
    <t>tamezol kapsul kombinasiomeprazole enteric coated pellets 85 tukak duodenum  tukak lambung  refluks esofagitis  hipersekresi patologis</t>
  </si>
  <si>
    <t>DKL7212416529A1</t>
  </si>
  <si>
    <t>Chloramfecort Cream 10 g</t>
  </si>
  <si>
    <t>Rp17.600 - Rp19.100</t>
  </si>
  <si>
    <t>Cream dioleskan pada area kulit terinfeksi</t>
  </si>
  <si>
    <t>PENGGUNAAN OBAT INI HARUS SESUAI DENGAN PETUNJUK DOKTER. 2x sehari oleskan tipis</t>
  </si>
  <si>
    <t>INFORMASI OBAT INI HANYA UNTUK KALANGAN MEDIS. Terapi penyakit kkulit akibat alergi spteksim, infeksi sekunder yang menyertai radang kkulit</t>
  </si>
  <si>
    <t>Tidak diberikan pada area kulit yang mengalami infeksi jamur atau virus, Tidak diberikan pada kulit yang mengalami peradangan akibat TB atau sifilis, Hipersensitif</t>
  </si>
  <si>
    <t>HARUS DENGAN RESEP DOKTER. Pemakaian jangka panjang atau untuk profilaksis, terjadi kekambuhan pada penghentian mendadak. Hindari kontak dengan mata</t>
  </si>
  <si>
    <t>terapi penyakit kkulit akibat alergi spteksim , infeksi sekunder menyertai radang kkulit</t>
  </si>
  <si>
    <t>chloramfecort cream</t>
  </si>
  <si>
    <t>chloramfecort cream krim chloramphenicol terapi penyakit kkulit akibat alergi spteksim  infeksi sekunder menyertai radang kkulit</t>
  </si>
  <si>
    <t>DTL9723405004A1</t>
  </si>
  <si>
    <t>Coparcetin 10 Tablet</t>
  </si>
  <si>
    <t>Rp10.300 - Rp14.800</t>
  </si>
  <si>
    <t>Dewasa : 3 kali sehari 1 kaplet. Anak usia 6-12 tahun : 3 kali sehari 0.5 kaplet.</t>
  </si>
  <si>
    <t>Meringankan gejala flu seperti demam, sakit kepala, hidung, dan bersin-bersin yang disertai batuk.</t>
  </si>
  <si>
    <t>Gangguan jantung, diabetes mellitus, gangguan fungsi hati, hipersensitif terhadap komponen obat.</t>
  </si>
  <si>
    <t>Dapat menyebabkan kantuk.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</si>
  <si>
    <t>meringankan gejala flu demam , sakit kepala , hidung , bersin - bersin disertai batuk</t>
  </si>
  <si>
    <t>coparcetin kaplet chlorphenamine maleate meringankan gejala flu demam  sakit kepala  hidung  bersin  bersin disertai batuk</t>
  </si>
  <si>
    <t>DKI1532300243A1</t>
  </si>
  <si>
    <t>Levemir 1 Flexpen</t>
  </si>
  <si>
    <t>Rp150.900 - Rp291.800</t>
  </si>
  <si>
    <t>Disuntikkan sebelum atau sesudah makan. Bagi pasien yang membutuhkan dosis 2 x sehari, dosis malam dapat diberikan bersama makan malam atau menjelang tidur malam.</t>
  </si>
  <si>
    <t>PENGGUNAAN OBAT INI HARUS SESUAI DENGAN PETUNJUK DOKTER. Dosis bersifat individual, injeksi subkutan (SC) - Dikombinasikan dengan antidiabetik oral : Dosis awal 0.1-0.2 IU/kg BB atau 10 IU pada pasien dewasa, 1 kali sehari. - Ketika digunakan sebagai bagian regimen insulin basal-bolus : 1-2 x sehari dengan dosis yang disesuaikan dengan individu.</t>
  </si>
  <si>
    <t>INFORMASI OBAT INI HANYA UNTUK KALANGAN MEDIS. Pengobatan Diabetes Melitus pada orang dewasa, remaja dan anak berusia 2 tahun dan diatasnya.</t>
  </si>
  <si>
    <t>Hipersensitif terhadap zat aktif atau eksipien dalam obat.</t>
  </si>
  <si>
    <t>HARUS DENGAN RESEP DOKTER. - Dosis yang tidak adekuat atau penghentian terapi dapat menyebabkan hiperglikemia dan ketoasidosis diabetikum. - Sebaiknya dilakukan rotasi/penggantian lokasi pemberian injeksi secara rutin untuk mengurangi atau mencegah reaksi yang tidak diinginkan. - Pengurangan jadwal makan atau latihan fisik yang berat dan tidak diperhitungkan dapat menyebabkan hipoglikemia. - Sebagai akibat dari hipoglikemia, kemampuan pasien untuk mengemudi atau menjalankan mesin dapat terganggu. - Kasus gagal jantung kongestif telah dilaporkan ketika thiazolidinediones digunakan dalam kombinasi dengan insulin. Thiazolidinediones harus dihentikan jika terjadi gejala penurunan fungsi jantung. - Pemindahan ke jenis atau merek insulin lain harus dilakukan di bawah pengawasan medis atau dokter.</t>
  </si>
  <si>
    <t>insulin detemir</t>
  </si>
  <si>
    <t>pengobatan diabetes melitus orang dewasa , remaja anak berusia 2 diatasnya</t>
  </si>
  <si>
    <t>levemir flexpen</t>
  </si>
  <si>
    <t>levemir flexpen injeksi insulin detemir pengobatan diabetes melitus orang dewasa  remaja anak berusia 2 diatasnya</t>
  </si>
  <si>
    <t>DKL0516908210A1</t>
  </si>
  <si>
    <t>Omedom 10 Tablet</t>
  </si>
  <si>
    <t>Rp6.800 - Rp16.500</t>
  </si>
  <si>
    <t>Dus, 10 Strip @ 10 Tablet 10 Mg</t>
  </si>
  <si>
    <t>Hipersensitif terhadap domperidone, penderita prolactinoma tumor hipofise</t>
  </si>
  <si>
    <t>omedom tablet domperidone dispesia fungsional  mual akut muntah  muntah  disebabkan levodopa bromokriptin terapinya 12 minggu</t>
  </si>
  <si>
    <t>DKL1600204917A1</t>
  </si>
  <si>
    <t>Scopamin 10 mg 10 Tablet</t>
  </si>
  <si>
    <t>Rp24.000 - Rp26.800</t>
  </si>
  <si>
    <t>PENGGUNAAN OBAT INI HARUS SESUAI DENGAN PETUNJUK DOKTER. Dewasa dan anak &gt; 12 tahun : 4 kali sehari 2 tablet Anak 6-12 tahun : 3 kali sehari 1 tablet</t>
  </si>
  <si>
    <t>nyeri paroksismal pada penyakit di lambung dan usus halus, nyeri spastik pada saluran kemih, dismenore.</t>
  </si>
  <si>
    <t>Dus, 10 Strip @ 10 Tablet Salut</t>
  </si>
  <si>
    <t>hipersensitivitas, glaukoma sudut sempit, myasthenia gravis, toksik pada usus besar, stenosis mekanik pada saluran GI, retensi urin, takikardia.</t>
  </si>
  <si>
    <t>Obat Wajib Apotek, Obat ini dapat dibeli dan diserahkan apoteker tanpa resep dengan maksimum 2 Strip. Pembelian melebihi batas ini WAJIB RESEP DOKTER. hamil, gangguan fungsi hati, ginjal,takikardia, laktasi.</t>
  </si>
  <si>
    <t>nyeri paroksismal penyakit lambung usus halus , nyeri spastik saluran kemih , dismenore</t>
  </si>
  <si>
    <t>scopamin</t>
  </si>
  <si>
    <t>scopamin tablet hyoscine butylbromide nyeri paroksismal penyakit lambung usus halus  nyeri spastik saluran kemih  dismenore</t>
  </si>
  <si>
    <t>DKI1271601853A1</t>
  </si>
  <si>
    <t>Ultraproct-N Suppositoria</t>
  </si>
  <si>
    <t>Rp21.600 - Rp26.100</t>
  </si>
  <si>
    <t>PENGGUNAAN OBAT INI HARUS SESUAI DENGAN PETUNJUK DOKTER. 1 suppo 2 kali/hari. Pada keluhan berat, masukkan 3 suppo pada 3 hari pertama, kemudian kurangi dosis sampai dengan 1 suppo/hari atau 2 hari 1 kali. Lama terapi maksimal 4 minggu.</t>
  </si>
  <si>
    <t>INFORMASI OBAT INI HANYA UNTUK KALANGAN MEDIS. Hemoroid, fisura anal superfisial, proktitis, ekstrim anal, pengobatan pra dan pasca operasi</t>
  </si>
  <si>
    <t>Hipersensitivitas. Infeksi topikal di daerah yang terkena. Gejala gangguan berikut di daerah yang terkena: Lesi kulit spesifik (sifilis, TBC), cacar air, reaksi vaksinasi, herpes genitalis.</t>
  </si>
  <si>
    <t>HARUS DENGAN RESEP DOKTER. Hamil &amp; laktasi. Sebaiknya tidak digunakan selama trimester pertama kehamilan. Tidak dianjurkan untuk digunakan pada anak &lt;18 thn.</t>
  </si>
  <si>
    <t>fluocortolone pivalate</t>
  </si>
  <si>
    <t>hemoroid , fisura anal superfisial , proktitis , ekstrim anal , pengobatan pra pasca operasi</t>
  </si>
  <si>
    <t>ultraproctn</t>
  </si>
  <si>
    <t>ultraproctn suppositoria fluocortolone pivalate hemoroid  fisura anal superfisial  proktitis  ekstrim anal  pengobatan pra pasca operasi</t>
  </si>
  <si>
    <t>proson cream krim betamethasone dipropionate meredakan manifestasi inflamasi pruritus psoriasis resisten berat dermatosis responsif kortikosteroid</t>
  </si>
  <si>
    <t>Dr Ortho Cervical Collar Soft Oh-002-L</t>
  </si>
  <si>
    <t>Rp216.800 - Rp245.900</t>
  </si>
  <si>
    <t>dr ortho cervical collar soft ohl</t>
  </si>
  <si>
    <t>dr ortho cervical collar soft ohl larutan povidoneiodine penyangga leher  mengurangi pergerakan leher prose pemulihan</t>
  </si>
  <si>
    <t>Dr Ortho Cervical Collar Soft Oh-002-Xl</t>
  </si>
  <si>
    <t>Rp204.900 - Rp224.500</t>
  </si>
  <si>
    <t>dr ortho cervical collar soft ohxl</t>
  </si>
  <si>
    <t>dr ortho cervical collar soft ohxl larutan povidoneiodine penyangga leher  mengurangi pergerakan leher prose pemulihan</t>
  </si>
  <si>
    <t>Dr Ortho Cervical Collar Soft Oh-002-S</t>
  </si>
  <si>
    <t>Rp216.700 - Rp227.700</t>
  </si>
  <si>
    <t>dr ortho cervical collar soft ohs</t>
  </si>
  <si>
    <t>dr ortho cervical collar soft ohs larutan povidoneiodine penyangga leher  mengurangi pergerakan leher prose pemulihan</t>
  </si>
  <si>
    <t>Arm Sling Ukuran XL</t>
  </si>
  <si>
    <t>Rp40.500 - Rp50.400</t>
  </si>
  <si>
    <t>Letakkan lengan yang terluka ke dalam kantong dengan pas siku pas di saku sudut. Sesuaikan panjang gendongan kemudian kunci ke posisi horizontal lengan yang nyaman</t>
  </si>
  <si>
    <t>Untuk menunjang bahu, tangan, otot, tulang punggung dan ligamen dari cedera.</t>
  </si>
  <si>
    <t>Box, 1 pieces</t>
  </si>
  <si>
    <t>untuk menunjang bahu , tangan , otot , tulang punggung ligamen cedera</t>
  </si>
  <si>
    <t>arm sling ukuran xl</t>
  </si>
  <si>
    <t>arm sling ukuran xl larutan povidoneiodine untuk menunjang bahu  tangan  otot  tulang punggung ligamen cedera</t>
  </si>
  <si>
    <t>TI164450851</t>
  </si>
  <si>
    <t>Lo Han Kuo Infusion 12 Tablet</t>
  </si>
  <si>
    <t>LO HAN KUO</t>
  </si>
  <si>
    <t>Rp17.300 - Rp28.700</t>
  </si>
  <si>
    <t>Larutkan satu potong Lo Han Kuo dengan 100 ml air hangat (bisa juga air dingin), diaduk sampai larut, kemudian diminum.</t>
  </si>
  <si>
    <t>Digunakan 1-2 kali dalam 1 kotak kecil (14 gram) per hari dalam 100 cc air.</t>
  </si>
  <si>
    <t>Untuk membantu meredakan gejala panas dalam yang disertai batuk.</t>
  </si>
  <si>
    <t>Dus, 12 Kotak @ 1 Boli @ 14 g</t>
  </si>
  <si>
    <t>lo han kuo</t>
  </si>
  <si>
    <t>untuk membantu meredakan gejala panas disertai batuk</t>
  </si>
  <si>
    <t>lo han kuo infusion</t>
  </si>
  <si>
    <t>lo han kuo infusion tablet lo han kuo untuk membantu meredakan gejala panas disertai batuk</t>
  </si>
  <si>
    <t>DKL9830905929A1</t>
  </si>
  <si>
    <t>Bevalex Cream 5 g</t>
  </si>
  <si>
    <t>Rp16.400 - Rp23.300</t>
  </si>
  <si>
    <t>INFORMASI OBAT INI HANYA UNTUK KALANGAN MEDIS. Meredakan Dermatosis yang responsif terhadap Kortikosteroid yang mengalami infeksi sekunder oleh organisme yang sensitif terhadap Neomisin</t>
  </si>
  <si>
    <t>HARUS DENGAN RESEP DOKTER. Tidak untuk mata. Iritasi atau sensitisasi (hentikan penggunaan). Penggunaan jangka panjang terutama pada anak. Penggunaan pada remaja dan area wajah tidak boleh &gt;5 hari. Hindari penggunaan pembalut. Hamil, laktasi. Hindari penggunaan pada area tubuh yang terluka</t>
  </si>
  <si>
    <t>meredakan dermatosis responsif kortikosteroid mengalami infeksi sekunder organisme sensitif neomisin</t>
  </si>
  <si>
    <t>bevalex cream</t>
  </si>
  <si>
    <t>bevalex cream krim betamethasone valerate meredakan dermatosis responsif kortikosteroid mengalami infeksi sekunder organisme sensitif neomisin</t>
  </si>
  <si>
    <t>Arm Sling Ukuran S</t>
  </si>
  <si>
    <t>Rp13.100 - Rp46.000</t>
  </si>
  <si>
    <t>arm sling ukuran s</t>
  </si>
  <si>
    <t>arm sling ukuran s larutan povidoneiodine untuk menunjang bahu  tangan  otot  tulang punggung ligamen cedera</t>
  </si>
  <si>
    <t>DKL9710703846A1</t>
  </si>
  <si>
    <t>Litrol Eye Drop 5 ml</t>
  </si>
  <si>
    <t>Rp18.000 - Rp26.700</t>
  </si>
  <si>
    <t>PENGGUNAAN OBAT INI HARUS SESUAI DENGAN PETUNJUK DOKTER. 1-2 tetes 4-6 kali sehari</t>
  </si>
  <si>
    <t>Kondisi inflamasi pada mata yang responsif terhadap steroid &amp; ada infeksi bakterial pada mata.</t>
  </si>
  <si>
    <t>Dus, 10 Botol @ 5 ml</t>
  </si>
  <si>
    <t>Hipersensitivitas terhadap neomisin &amp; polimiksin.</t>
  </si>
  <si>
    <t>HARUS DENGAN RESEP DOKTER. Penggunaan jangka panjang dapat menyebabkan sensitisasi kulit &amp; resistensi bakteri.</t>
  </si>
  <si>
    <t>dexamethasone sodium phosphate</t>
  </si>
  <si>
    <t>kondisi inflamasi mata responsif steroid infeksi bakterial mata</t>
  </si>
  <si>
    <t>litrol eye drop</t>
  </si>
  <si>
    <t>litrol eye drop tetes dexamethasone sodium phosphate kondisi inflamasi mata responsif steroid infeksi bakterial mata</t>
  </si>
  <si>
    <t>TR142376811</t>
  </si>
  <si>
    <t>Nature's Boss Kunyit Putih 30 Kapsul</t>
  </si>
  <si>
    <t>NATURE`S BOSS KUNYIT PUTIH</t>
  </si>
  <si>
    <t>Rp96.600 - Rp131.500</t>
  </si>
  <si>
    <t>1-3 kapsul 1 hari sesuai kebutuhan atau menurut anjuran dokter.</t>
  </si>
  <si>
    <t>Membantu memelihara kondisi kesehatan pada penderita kanker.</t>
  </si>
  <si>
    <t>nature`s boss kunyit putih</t>
  </si>
  <si>
    <t>membantu memelihara kondisi kesehatan penderita kanker</t>
  </si>
  <si>
    <t>natures boss kunyit putih</t>
  </si>
  <si>
    <t>natures boss kunyit putih kapsul natures boss kunyit putih membantu memelihara kondisi kesehatan penderita kanker</t>
  </si>
  <si>
    <t>TR193628271</t>
  </si>
  <si>
    <t>Madu Jadied Kid's Platinum 165 g</t>
  </si>
  <si>
    <t>MADU JADIED KIDS</t>
  </si>
  <si>
    <t>Rp22.000 - Rp28.400</t>
  </si>
  <si>
    <t>Anak 2 bulan-1 tahun : 5 ml 2 kali sehari</t>
  </si>
  <si>
    <t>GKL1505051115B1</t>
  </si>
  <si>
    <t>Pantoprazole 40 mg 10 Tablet</t>
  </si>
  <si>
    <t>Rp69.600 - Rp133.300</t>
  </si>
  <si>
    <t>Diberikan sebelum atau saat makan pagi. Telan utuh, jangan dikunyah/dihancurkan</t>
  </si>
  <si>
    <t>PENGGUNAAN OBAT INI HARUS SESUAI DENGAN PETUNJUK DOKTER. Dewasa: 1 tablet per hari, selama 4-8 minggu</t>
  </si>
  <si>
    <t>INFORMASI OBAT INI HANYA UNTUK KALANGAN MEDIS. Simtomatik GERD atau gangguan refluks non erosive Pengobatan jangka panjang refluks esofagitis sedang dan berat</t>
  </si>
  <si>
    <t>Dus, 1 Strip @ 10 Tablet Salut Enterik</t>
  </si>
  <si>
    <t>Hipersensitivitas, disfungsi hati dan ginjal</t>
  </si>
  <si>
    <t>HARUS DENGAN RESEP DOKTER. Memantau enzim hati pada pasien dengan gangguan hati yang berat. Hentikan jika enzim hati meningkat. Pasien &gt; 65 tahun, dengan riwayat lambung ulkus duodenum/ perdarahan GI atas. Osteoporosis. Pasien yang kekurangan nutrisi tubuh. Kehamilan dan menyusui. Anak-anak.</t>
  </si>
  <si>
    <t>simtomatik gerd gangguan refluks non erosive pengobatan jangka refluks esofagitis berat</t>
  </si>
  <si>
    <t>pantoprazole tablet pantoprazole sodium simtomatik gerd gangguan refluks non erosive pengobatan jangka refluks esofagitis berat</t>
  </si>
  <si>
    <t>Arm Sling Ukuran L</t>
  </si>
  <si>
    <t>1 pack</t>
  </si>
  <si>
    <t>arm sling ukuran l</t>
  </si>
  <si>
    <t>arm sling ukuran l larutan povidoneiodine untuk menunjang bahu  tangan  otot  tulang punggung ligamen cedera</t>
  </si>
  <si>
    <t>Medisafe Fit C Blood Glucometer Terumo</t>
  </si>
  <si>
    <t>Rp57.200 - Rp56.000</t>
  </si>
  <si>
    <t>Alat untuk mengukur kadar gula darah dalam tubuh</t>
  </si>
  <si>
    <t>alat mengukur kadar gula darah tubuh</t>
  </si>
  <si>
    <t>medisafe fit c blood glucometer terumo</t>
  </si>
  <si>
    <t>medisafe fit c blood glucometer terumo tablet pioglitazone hydrochloride alat mengukur kadar gula darah tubuh</t>
  </si>
  <si>
    <t>Glucodr Bio Sensor AGM 2100 Tes Gula Darah</t>
  </si>
  <si>
    <t>Masukkan strip dalam alat, tetesekan darah distrip, tunggu sampai alat menunjukkan kadar gula darah yang diperiksa</t>
  </si>
  <si>
    <t>1 strip untuk setiap kali pengukuran</t>
  </si>
  <si>
    <t>Mengukur kadar glukosa (gula) darah</t>
  </si>
  <si>
    <t>mengukur kadar glukosa gula darah</t>
  </si>
  <si>
    <t>glucodr bio sensor agm tes gula darah</t>
  </si>
  <si>
    <t>glucodr bio sensor agm tes gula darah tablet pioglitazone hydrochloride mengukur kadar glukosa gula darah</t>
  </si>
  <si>
    <t>DKI0259201443A5</t>
  </si>
  <si>
    <t>Lantus Solostar 1 Flexpen</t>
  </si>
  <si>
    <t>Rp112.300 - Rp269.000</t>
  </si>
  <si>
    <t>Injeksi secara subkutan.</t>
  </si>
  <si>
    <t>PENGGUNAAN OBAT INI HARUS SESUAI DENGAN PETUNJUK DOKTER. Dosis bersifat individual, injeksi subkutan (SC) Diberikan 1 kali sehari pada waktu yang sama tiap harinya.</t>
  </si>
  <si>
    <t>Dus, 5 Solostar Pen @ Cartridge 3 ml</t>
  </si>
  <si>
    <t>HARUS DENGAN RESEP DOKTER. - Hiperglikemia atau hipoglikemia dengan perubahan regimen insulin, perlu dilakukan dibawah pengawasan medis yang ketat. - Hati-hati terjadinya hipoglikemia. Tingkatkan frekuensi pemantauan glukosa dengan perubahan pada: dosis insulin, obat penurun glukosa yang diberikan bersama, pola makan, aktivitas fisik</t>
  </si>
  <si>
    <t>DKL2017630037A1</t>
  </si>
  <si>
    <t>Respituss Syrup 120 ml</t>
  </si>
  <si>
    <t>Rp94.100 - Rp96.800</t>
  </si>
  <si>
    <t>PENGGUNAAN OBAT INI HARUS SESUAI DENGAN PETUNJUK DOKTER. Dewasa : 3 x 2 sdt per hari. Anak 2 bulan s/d 4 tahun : 3 x sehari 2 mg/kg BB</t>
  </si>
  <si>
    <t>NFORMASI OBAT INI HANYA UNTUK KALANGAN MEDIS. Terapi simptomatik batuk non produktif</t>
  </si>
  <si>
    <t>nformasi obat ini hanya untuk kalangan medis  terapi simptomatik batuk non produktif</t>
  </si>
  <si>
    <t>respituss</t>
  </si>
  <si>
    <t>respituss sirup levodropropizine nformasi obat ini hanya untuk kalangan medis  terapi simptomatik batuk non produktif</t>
  </si>
  <si>
    <t>GlucoSure AutoCode Blood Glucose Monitoring System</t>
  </si>
  <si>
    <t>Alat kesehatan untuk memantau kadar gula darah.</t>
  </si>
  <si>
    <t>alat kesehatan memantau kadar gula darah</t>
  </si>
  <si>
    <t>glucosure autocode blood glucose monitoring system</t>
  </si>
  <si>
    <t>glucosure autocode blood glucose monitoring system tablet pioglitazone hydrochloride alat kesehatan memantau kadar gula darah</t>
  </si>
  <si>
    <t>DKL1718830329A1</t>
  </si>
  <si>
    <t>Betasin Cream 5 g</t>
  </si>
  <si>
    <t>Oleskan tipis-tipis pada daerah yang gatal atau sakit.</t>
  </si>
  <si>
    <t>PENGGUNAAN OBAT INI HARUS SESUAI DENGAN PETUNJUK DOKTER. 2 kali sehari. Pada pagi hari dan malam hari.</t>
  </si>
  <si>
    <t>INFORMASI OBAT INI HANYA UNTUK KALANGAN MEDIS. Meredakan penyakit kulit dengan peradangan yang sensitif atau responsif terhadap kortikosteroid dan mengalami infeksi sekunder.</t>
  </si>
  <si>
    <t>Hipersensitivitas. Tidak untuk infeksi karena virus dan jamur.</t>
  </si>
  <si>
    <t>HARUS DENGAN RESEP DOKTER. Hentikan penggunaan apabila terjadi iritasi.</t>
  </si>
  <si>
    <t>meredakan penyakit kulit peradangan sensitif responsif kortikosteroid mengalami infeksi sekunder</t>
  </si>
  <si>
    <t>betasin cream</t>
  </si>
  <si>
    <t>betasin cream krim betamethasone dipropionate meredakan penyakit kulit peradangan sensitif responsif kortikosteroid mengalami infeksi sekunder</t>
  </si>
  <si>
    <t>ibuprofen thiamine mononitrate pyridoxine hydrochloride cyanocobalamin</t>
  </si>
  <si>
    <t>neo rheumacyl neuro kaplet ibuprofen thiamine mononitrate pyridoxine hydrochloride cyanocobalamin meringankan nyeri disertai kebas  kesemutan kram</t>
  </si>
  <si>
    <t>DTL9105009528A1</t>
  </si>
  <si>
    <t>Voltadex Gel 20 g</t>
  </si>
  <si>
    <t>Rp26.000 - Rp29.000</t>
  </si>
  <si>
    <t>Dioleskan 3-4 kali sehari pada bagian-bagian yang sakit sambil digosok secara perlahan-lahan</t>
  </si>
  <si>
    <t>Membantu meredakan nyeri otot dan persendian seperti yang disebabkan oleh sprain, strain dan memar. Membantu meredakan rematik dan lainnya</t>
  </si>
  <si>
    <t>Dus, Tube 20 g</t>
  </si>
  <si>
    <t>Hipersensitif, pasien yang memiliki riwayat alergi setelah penggunaan aspirin atau NSAID lainnya.</t>
  </si>
  <si>
    <t>Hanya digunakan pada permukaan kulit yang utuh/sehat. Hindari kontak dengan mata dan selaput lendir.</t>
  </si>
  <si>
    <t>membantu meredakan nyeri otot persendian disebabkan sprain , strain memar  membantu meredakan rematik</t>
  </si>
  <si>
    <t>voltadex</t>
  </si>
  <si>
    <t>voltadex gel diclofenac sodium membantu meredakan nyeri otot persendian disebabkan sprain  strain memar  membantu meredakan rematik</t>
  </si>
  <si>
    <t>DKL8322220538A1</t>
  </si>
  <si>
    <t>Biothicol Dry Sirup 60 ml</t>
  </si>
  <si>
    <t>Rp25.000 - Rp37.200</t>
  </si>
  <si>
    <t>PENGGUNAAN OBAT INI HARUS SESUAI DENGAN PETUNJUK DOKTER. Dewasa, anak, bayi &gt;2 minggu : 50 mg/kg BB/hari terbagi dalam 3-4 dosis. Bayi &lt;2 minggu dan prematur : 25 mg/kg BB/hari terbagi dalam 4 dosis</t>
  </si>
  <si>
    <t>Infeksi yang disebabkan Salmonella, H influenzae terutama infeksi meningeal, riketsia, bakteri Gr - penyebab bakteremia,meningitis</t>
  </si>
  <si>
    <t>HARUS DENGAN RESEP DOKTER. Hamil, laktasi, bayi prematur, bayi baru lahir. Superinfeksi Kategori Kehamilan : C</t>
  </si>
  <si>
    <t>infeksi disebabkan salmonella , h influenzae infeksi meningeal , riketsia , bakteri gr - penyebab bakteremia , meningitis</t>
  </si>
  <si>
    <t>biothicol sirup thiamphenicol infeksi disebabkan salmonella  h influenzae infeksi meningeal  riketsia  bakteri gr  penyebab bakteremia  meningitis</t>
  </si>
  <si>
    <t>DKL8322201901A1</t>
  </si>
  <si>
    <t>Biothicol 250 mg 10 Kapsul</t>
  </si>
  <si>
    <t>Rp22.100 - Rp28.100</t>
  </si>
  <si>
    <t>biothicol kapsul thiamphenicol infeksi disebabkan salmonella  h influenzae infeksi meningeal  riketsia  bakteri gr  penyebab bakteremia  meningitis</t>
  </si>
  <si>
    <t>TR175604351</t>
  </si>
  <si>
    <t>PUREBB Warming Oil 60 ml</t>
  </si>
  <si>
    <t>PUREBB WARMING OIL</t>
  </si>
  <si>
    <t>Rp33.300 - Rp45.800</t>
  </si>
  <si>
    <t>Usapkan secara merata pada perut, punggung dan dada termasuk bagian tubuh yang mudah digigit nyamuk seperti leher, tangan dan kaki setiap kali sehabis mandi.</t>
  </si>
  <si>
    <t>purebb warming oil</t>
  </si>
  <si>
    <t>purebb warming oil minyak  membantu hangat tubuh bayi  membantu meredakan perut kembung  membantu menghindari gigitan nyamuk</t>
  </si>
  <si>
    <t>DBL8831501304A1</t>
  </si>
  <si>
    <t>Farmadol 500 mg 10 Tablet</t>
  </si>
  <si>
    <t>Rp4.400 - Rp5.700</t>
  </si>
  <si>
    <t>Meredakan sakit kepala, sakit gigi, nyeri otot, menurunkan demam yang menyertai flu &amp; paska vaksinasi</t>
  </si>
  <si>
    <t>meredakan sakit kepala , sakit gigi , nyeri otot , menurunkan demam menyertai flu paska vaksinasi</t>
  </si>
  <si>
    <t>farmadol</t>
  </si>
  <si>
    <t>farmadol kaplet paracetamol meredakan sakit kepala  sakit gigi  nyeri otot  menurunkan demam menyertai flu paska vaksinasi</t>
  </si>
  <si>
    <t>DTL1122702410B1</t>
  </si>
  <si>
    <t>Neo Rheumacyl 20 Tablet</t>
  </si>
  <si>
    <t>Rp9.500 - Rp11.600</t>
  </si>
  <si>
    <t>Dewasa : 1 tablet, 3-4 kali sehari</t>
  </si>
  <si>
    <t>Untuk meringankan nyeri sedang sampai berat pada otot dan sendi, pegal linu, nyeri haid dan nyeri sesudah pembedahan.</t>
  </si>
  <si>
    <t>Blister @ 20 Tablet</t>
  </si>
  <si>
    <t>Penderita yang hipersensitif dengan komponen obat, pengguna Aspirin, hamil dan menyusui, memiliki gangguan hati, ulkus peptikum.</t>
  </si>
  <si>
    <t>Penderita dengan riwayat ulkus peptikum yang berat dan aktif, penderita dengan gangguan fungsi hati dan ginjal, kehamilan tiga bulan terakhir, laktasi, penderita bronkhospastik terhadap acetocal, asma, rintis dan urtikaria, hipertensi.</t>
  </si>
  <si>
    <t>untuk meringankan nyeri berat otot sendi , pegal linu , nyeri haid nyeri pembedahan</t>
  </si>
  <si>
    <t>neo rheumacyl</t>
  </si>
  <si>
    <t>neo rheumacyl tablet ibuprofen untuk meringankan nyeri berat otot sendi  pegal linu  nyeri haid nyeri pembedahan</t>
  </si>
  <si>
    <t>DBL0408510810A1</t>
  </si>
  <si>
    <t>Dapyrin 500 mg 10 Tablet</t>
  </si>
  <si>
    <t>Rp3.100 - Rp3.200</t>
  </si>
  <si>
    <t>Dus, 20 Strip @ 10 Tablet</t>
  </si>
  <si>
    <t>dapyrin</t>
  </si>
  <si>
    <t>dapyrin tablet paracetamol meredakan sakit kepala  sakit gigi  nyeri otot  menurunkan demam menyertai flu paska vaksinasi</t>
  </si>
  <si>
    <t>Hyperoil Vegetal Formulation 5 ml Vial Gel</t>
  </si>
  <si>
    <t>Oleskan 2-3 kali sehari pada area yang bermasalah</t>
  </si>
  <si>
    <t>Luka bakar, onychomycosis (jamur kuku), infeksi jamur, infeksi bakteri, herpes</t>
  </si>
  <si>
    <t>Vial @ 5 ml</t>
  </si>
  <si>
    <t>luka bakar , onychomycosis jamur kuku , infeksi jamur , infeksi bakteri , herpes</t>
  </si>
  <si>
    <t>hyperoil vegetal formulation vial</t>
  </si>
  <si>
    <t>hyperoil vegetal formulation vial larutan povidoneiodine luka bakar  onychomycosis jamur kuku  infeksi jamur  infeksi bakteri  herpes</t>
  </si>
  <si>
    <t>TR112624961</t>
  </si>
  <si>
    <t>Sido Muncul Tolak Linu Herbal 5 Sachet</t>
  </si>
  <si>
    <t>SIDO MUNCUL TOLAK LINU</t>
  </si>
  <si>
    <t>Rp14.900 - Rp20.600</t>
  </si>
  <si>
    <t>Bisa diminum langsung dari sachetnya atau dicampur dengan 50 ml air. Kocok dahulu sebelum diminum.</t>
  </si>
  <si>
    <t>1-2 sachet sebelum tidur dan 1-2 sachet sehabis melakukan aktivitas atau olahraga.</t>
  </si>
  <si>
    <t>Baca petunjuk penggunaan. Jika keluhan berlanjut hubungi dokter. Tidak direkomendasikan untuk wanita hamil dan menyusui serta penderita gangguan ginjal. Simpan ditempat kering dan sejuk.</t>
  </si>
  <si>
    <t>sido muncul tolak linu</t>
  </si>
  <si>
    <t>sido muncul tolak linu herbal</t>
  </si>
  <si>
    <t>sido muncul tolak linu herbal sachet sido muncul tolak linu membantu meredakan pegal linu nyeri sendi</t>
  </si>
  <si>
    <t>QD212677771</t>
  </si>
  <si>
    <t>Konicare Minyak Kayu Putih Hot 125 ml</t>
  </si>
  <si>
    <t>Rp49.300 - Rp64.900</t>
  </si>
  <si>
    <t>Usapkan secara merata pada perut, punggung dan dada termasuk bagian tubuh terbuka yang mudah digigit nyamuk seperti leher, tangan dan kaki, setiap kali sehabis mandi.</t>
  </si>
  <si>
    <t>Membantu menghangatkan badan, meredakan gejala masuk angin, dan meredakan pegal-pegal</t>
  </si>
  <si>
    <t>membantu menghangatkan badan , meredakan gejala masuk angin , meredakan pegal - pegal</t>
  </si>
  <si>
    <t>konicare kayu putih hot</t>
  </si>
  <si>
    <t>konicare kayu putih hot minyak menthol membantu menghangatkan badan  meredakan gejala masuk angin  meredakan pegal  pegal</t>
  </si>
  <si>
    <t>TI084526961</t>
  </si>
  <si>
    <t>Wellness Wheat Grass 500 mg 60 Tablet</t>
  </si>
  <si>
    <t>WELLNESS WHEAT GRASS</t>
  </si>
  <si>
    <t>Rp195.000 - Rp333.700</t>
  </si>
  <si>
    <t>Anak : 1 tablet perhari Dewasa : 3 tablet perhari</t>
  </si>
  <si>
    <t>Suplemen kesehatan yang dapat menjaga kesehatan jantung dan melancarkan aliran darah sehingga meningkatkan transport oksigen ke sel</t>
  </si>
  <si>
    <t>wellness wheat grass</t>
  </si>
  <si>
    <t>suplemen kesehatan menjaga kesehatan jantung melancarkan aliran darah meningkatkan transport oksigen sel</t>
  </si>
  <si>
    <t>wellness wheat grass tablet suplemen kesehatan menjaga kesehatan jantung melancarkan aliran darah meningkatkan transport oksigen sel</t>
  </si>
  <si>
    <t>DKL0800202238B1</t>
  </si>
  <si>
    <t>Abbotic Forte 250 mg/5 ml Dry Syrup 50 ml</t>
  </si>
  <si>
    <t>Rp321.800 - Rp331.000</t>
  </si>
  <si>
    <t>PENGGUNAAN OBAT INI HARUS SESUAI DENGAN PETUNJUK DOKTER. 7.5 mg/kg BB/12 jam selama 5-10 hari.</t>
  </si>
  <si>
    <t>Dry Sirup 250 Mg/5 ml X 50 ml X 1</t>
  </si>
  <si>
    <t>abbotic forte</t>
  </si>
  <si>
    <t>abbotic forte sirup clarithromycin infeksi saluran nafas  otitis medium radang telinga akut  infeksi kulit struktur kulit</t>
  </si>
  <si>
    <t>DKL7206313731A1</t>
  </si>
  <si>
    <t>Erlamycetin 1% Salep Mata 3.5 g</t>
  </si>
  <si>
    <t>Rp15.100 - Rp18.300</t>
  </si>
  <si>
    <t>oleskan pada mata yang sakit</t>
  </si>
  <si>
    <t>PENGGUNAAN OBAT INI HARUS SESUAI DENGAN PETUNJUK DOKTER. oleskan 3 kali sehari</t>
  </si>
  <si>
    <t>INFORMASI OBAT INI HANYA UNTUK KALANGAN MEDIS. Pengobatan konjunctivitis bakteri disebabkan oleh Escherichia coli, Haemophilus influenzae, Staphylococcus aereus, streptococcus haemolyticus</t>
  </si>
  <si>
    <t>Dus, Tube @ 3.5 g</t>
  </si>
  <si>
    <t>Obat Wajib Apotek, Obat ini dapat dibeli dan diserahkan apoteker tanpa resep dengan maksimum 1 Tube. Pembelian melebihi batas ini WAJIB RESEP DOKTER. ibu menyusui, wanita hamil, fungsi ginja l yang buruk</t>
  </si>
  <si>
    <t>pengobatan konjunctivitis bakteri disebabkan escherichia coli , haemophilus influenzae , staphylococcus aereus , streptococcus haemolyticus</t>
  </si>
  <si>
    <t>erlamycetin mata</t>
  </si>
  <si>
    <t>erlamycetin mata salep chloramphenicol pengobatan konjunctivitis bakteri disebabkan escherichia coli  haemophilus influenzae  staphylococcus aereus  streptococcus haemolyticus</t>
  </si>
  <si>
    <t>DKL2028209217B1</t>
  </si>
  <si>
    <t>Ulcerid Tablet 40 mg</t>
  </si>
  <si>
    <t>Rp4.700 - Rp8.300</t>
  </si>
  <si>
    <t>PENGGUNAAN OBAT INI HARUS SESUAI DENGAN PETUNJUK DOKTER. Duodenal-Gastric ulcer/Tukak Usus halus-Lambung : 2 x sehari 1 tablet selama 4-8 minggu. Pemeliharaan : 1 tablet perhari. Reflux Esofagitis : 2 x sehari 1 tablet selama 6-12 minggu. Untuk sidrom Zollinger-Ellison : 1-6 tablet 4 kali/hari</t>
  </si>
  <si>
    <t>Tukak duodenum, tukak lambung, sindroma Zollinger-Ellison. Pendarahan GI, erosi lambung, refluks esofagitis</t>
  </si>
  <si>
    <t>Jangan menggunakan obat ini untuk pasien yang memiliki riwayat hipersensitif pada famotidine atau obat golongan antagonis reseptor H2 lainnya.</t>
  </si>
  <si>
    <t>Obat Wajib Apotek, Obat ini dapat dibeli dan diserahkan apoteker tanpa resep dengan maksimum 10 Tablet. Pembelian melebihi batas ini WAJIB RESEP DOKTER. Gangguan ginjal berat</t>
  </si>
  <si>
    <t>tukak duodenum , tukak lambung , sindroma zollinger - ellison  pendarahan gi , erosi lambung , refluks esofagitis</t>
  </si>
  <si>
    <t>ulcerid</t>
  </si>
  <si>
    <t>ulcerid tablet famotidine tukak duodenum  tukak lambung  sindroma zollinger  ellison  pendarahan gi  erosi lambung  refluks esofagitis</t>
  </si>
  <si>
    <t>- AZITHROMYCIN TASTE MASKING GRANULES 7.5</t>
  </si>
  <si>
    <t>azithromycin taste masking granules 75</t>
  </si>
  <si>
    <t>aztrin sirup azithromycin taste masking granules 75 infeksi saluran nafas  kulit jaringan lunak  pengobatan pneumonia lingkungan</t>
  </si>
  <si>
    <t>DKL1700206414A1</t>
  </si>
  <si>
    <t>Abbotic Xl 500 mg 10 Tablet</t>
  </si>
  <si>
    <t>PENGGUNAAN OBAT INI HARUS SESUAI DENGAN PETUNJUK DOKTER. 500-1000 mg/24 jam selama 7-14 hari</t>
  </si>
  <si>
    <t>Dus, 1 Blister @ 10 Tablet Pelepasan Lambat</t>
  </si>
  <si>
    <t>abbotic xl</t>
  </si>
  <si>
    <t>abbotic xl tablet clarithromycin infeksi saluran nafas  otitis medium radang telinga akut  infeksi kulit struktur kulit</t>
  </si>
  <si>
    <t>DKL9115301246A1</t>
  </si>
  <si>
    <t>Dibekacin 0.3% Eye Drops 5 ml</t>
  </si>
  <si>
    <t>Rp90.000 - Rp98.200</t>
  </si>
  <si>
    <t>Diteteskan pada mata yg sakit/radang</t>
  </si>
  <si>
    <t>PENGGUNAAN OBAT INI HARUS SESUAI DENGAN PETUNJUK DOKTER. 4 x sehari 2 tetes</t>
  </si>
  <si>
    <t>Ulkus pada Kornea, infeksi kelenjar Tarsal, Hordeolum, Blefaritis, Dakriosistitis, Konjungtivitis, Keratitis, Episkleritis.</t>
  </si>
  <si>
    <t>Hypersensitivity to dibekacin sulfate.</t>
  </si>
  <si>
    <t>HARUS DENGAN RESEP DOKTER. Superinfeksi</t>
  </si>
  <si>
    <t>dibekacin sulfate</t>
  </si>
  <si>
    <t>ulkus kornea , infeksi kelenjar tarsal , hordeolum , blefaritis , dakriosistitis , konjungtivitis , keratitis , episkleritis</t>
  </si>
  <si>
    <t>dibekacin eye</t>
  </si>
  <si>
    <t>dibekacin eye tetes dibekacin sulfate ulkus kornea  infeksi kelenjar tarsal  hordeolum  blefaritis  dakriosistitis  konjungtivitis  keratitis  episkleritis</t>
  </si>
  <si>
    <t>DKL9904125810B1</t>
  </si>
  <si>
    <t>Artrilox 15 mg 10 Tablet</t>
  </si>
  <si>
    <t>Rp90.100 - Rp99.600</t>
  </si>
  <si>
    <t>PENGGUNAAN OBAT INI HARUS SESUAI DENGAN PETUNJUK DOKTER. Dosis maksimal yang dianjurkan : sehari 15 mg. Artritis reumatoid : sehari 15 mg</t>
  </si>
  <si>
    <t>Nexcare Micropore Plester Roll 2 Inch</t>
  </si>
  <si>
    <t>Rp46.600 - Rp86.100</t>
  </si>
  <si>
    <t>Rekatkan bersamaan dengan kasa untuk menutupi bagian yang luka.</t>
  </si>
  <si>
    <t>Plester microphore atau surgery tape digunakan untuk menempelkan perban, kasa, dan alat medis</t>
  </si>
  <si>
    <t>plester microphore surgery tape menempelkan perban , kasa , alat medis</t>
  </si>
  <si>
    <t>nexcare micropore plester roll inch</t>
  </si>
  <si>
    <t>nexcare micropore plester roll inch larutan povidoneiodine plester microphore surgery tape menempelkan perban  kasa  alat medis</t>
  </si>
  <si>
    <t>DBL8718902604A1</t>
  </si>
  <si>
    <t>Analpim 500 mg 10 Kaplet</t>
  </si>
  <si>
    <t>Meredakan sakit kepala, sakit gigi, nyeri otot, menurunkan demam yang menyertai flu &amp; paska vaksinasi.</t>
  </si>
  <si>
    <t>analpim kaplet paracetamol meredakan sakit kepala  sakit gigi  nyeri otot  menurunkan demam menyertai flu paska vaksinasi</t>
  </si>
  <si>
    <t>DKL8527902504A1</t>
  </si>
  <si>
    <t>Alvita 10 Kaplet</t>
  </si>
  <si>
    <t>Rp5.500 - Rp13.100</t>
  </si>
  <si>
    <t>1 kaplet 3 kali sehari, maksimum 4 kaplet sehari.</t>
  </si>
  <si>
    <t>Untuk meringankan rasa sakit yang berat yang disebabkan oleh neuritis dan neuralgia</t>
  </si>
  <si>
    <t>untuk meringankan sakit berat disebabkan neuritis neuralgia</t>
  </si>
  <si>
    <t>alvita</t>
  </si>
  <si>
    <t>alvita kaplet metamizole sodium thiamine hydrochloride pyridoxine hydrochloride cyanocobalamin untuk meringankan sakit berat disebabkan neuritis neuralgia</t>
  </si>
  <si>
    <t>DBL9230902704A1</t>
  </si>
  <si>
    <t>Alphamol 600 mg 10 Kaplet</t>
  </si>
  <si>
    <t>Rp5.600 - Rp6.900</t>
  </si>
  <si>
    <t>Demam pasca vaksinasi, sakit kepala, mialgia, nyeri sendi, sakit gigi, dismenore, nyeri telinga</t>
  </si>
  <si>
    <t>Kaplet 600 Mg X 15 X 10</t>
  </si>
  <si>
    <t>Sedang mendapat terapi kumarin. Gangguan hati dan ginjal</t>
  </si>
  <si>
    <t>demam pasca vaksinasi , sakit kepala , mialgia , nyeri sendi , sakit gigi , dismenore , nyeri telinga</t>
  </si>
  <si>
    <t>alphamol</t>
  </si>
  <si>
    <t>alphamol kaplet paracetamol demam pasca vaksinasi  sakit kepala  mialgia  nyeri sendi  sakit gigi  dismenore  nyeri telinga</t>
  </si>
  <si>
    <t>phenylpropanolamine hydrochloride chlorphenamine maleate guaifenesin paracetamol</t>
  </si>
  <si>
    <t>flutamol sirup phenylpropanolamine hydrochloride chlorphenamine maleate guaifenesin paracetamol demam  sakit kepala  batuk  pilek  hidung tersumbat  alergi</t>
  </si>
  <si>
    <t>Pepsodent Tooth Brush Himalayan Rock Salt</t>
  </si>
  <si>
    <t>Rp14.400 - Rp20.800</t>
  </si>
  <si>
    <t>pepsodent tooth brush himalayan rock salt</t>
  </si>
  <si>
    <t>pepsodent tooth brush himalayan rock salt tablet tizanidine hydrochloride sebagai alat membantu membersihkan gigi menjangkau gigi</t>
  </si>
  <si>
    <t>DTL1021634228A1</t>
  </si>
  <si>
    <t>Aclonac Emulgel 1% 20 g</t>
  </si>
  <si>
    <t>Rp26.700 - Rp39.000</t>
  </si>
  <si>
    <t>Dioleskan pada bagian yang sakit.</t>
  </si>
  <si>
    <t>3 kali sehari oleskan tipis</t>
  </si>
  <si>
    <t>Peradangan akibat trauma pada tendon, ligamenta, otot dan sendi, misalnya yang disebabkan oleh terkilir, keseleo, dan memar.</t>
  </si>
  <si>
    <t>Tube 20 G</t>
  </si>
  <si>
    <t>peradangan akibat trauma tendon , ligamenta , otot sendi , disebabkan terkilir , keseleo , memar</t>
  </si>
  <si>
    <t>aclonac emulgel</t>
  </si>
  <si>
    <t>aclonac emulgel gel diclofenac sodium peradangan akibat trauma tendon  ligamenta  otot sendi  disebabkan terkilir  keseleo  memar</t>
  </si>
  <si>
    <t>DBL0123402704A2</t>
  </si>
  <si>
    <t>Mirasic 500 mg 10 Kaplet</t>
  </si>
  <si>
    <t>Rp5.300 - Rp9.900</t>
  </si>
  <si>
    <t>mirasic kaplet paracetamol meredakan sakit kepala  sakit gigi  nyeri otot  menurunkan demam menyertai flu paska vaksinasi</t>
  </si>
  <si>
    <t>aclonac emulgel gel diclofenac diethylamine peradangan akibat trauma tendon  ligamenta  otot sendi  disebabkan terkilir  keseleo  memar</t>
  </si>
  <si>
    <t>DKL7606605429A1</t>
  </si>
  <si>
    <t>Diprogenta Cream 5 g</t>
  </si>
  <si>
    <t>Rp89.000 - Rp106.200</t>
  </si>
  <si>
    <t>INFORMASI OBAT INI HANYA UNTUK KALANGAN MEDIS. Meredakan manifestasi peradangan dari dermatosis dengan komplikasi infeksi sekunder yang memberi respon terhadap kortikosteroid.</t>
  </si>
  <si>
    <t>Sensitivitas terhadap Diprogenta. Vaccinia, varicella dan TBC kulit. Tidak digunakan untuk infeksi yang disebabkan oleh jamur dan virus.</t>
  </si>
  <si>
    <t>meredakan manifestasi peradangan dermatosis komplikasi infeksi sekunder respon kortikosteroid</t>
  </si>
  <si>
    <t>diprogenta cream</t>
  </si>
  <si>
    <t>diprogenta cream krim betamethasone dipropionate gentamicin sulfate meredakan manifestasi peradangan dermatosis komplikasi infeksi sekunder respon kortikosteroid</t>
  </si>
  <si>
    <t>DKL9709208004A1</t>
  </si>
  <si>
    <t>Scopma 10 mg 10 Kaplet</t>
  </si>
  <si>
    <t>Rp14.700 - Rp25.200</t>
  </si>
  <si>
    <t>PENGGUNAAN OBAT INI HARUS SESUAI DENGAN PETUNJUK DOKTER. Dewasa : 1-2 kaplet 4 kali/hari. Anak 6-12 tahun : 1 kaplet 3 kali/hari.</t>
  </si>
  <si>
    <t>INFORMASI OBAT INI HANYA UNTUK KALANGAN MEDIS. Spasme/kram saluran cerna dan saluran kemih kelamin, Pencegahan dan pengobatan nyeri menstruasi (Dismenorea)</t>
  </si>
  <si>
    <t>Glaukoma, megakolon, toksik, hipertrofi prostat dengan retensi urin, porfiria, takikardia, stenosis mekanis pada saluran cerna,</t>
  </si>
  <si>
    <t>Obat Wajib Apotek, Obat ini dapat dibeli dan diserahkan apoteker tanpa resep dengan maksimum 2 Strip. Pembelian melebihi batas ini WAJIB RESEP DOKTER. Hamil, laktasi, usia lanjut, kolitis ulseratif, ileus paralitik, stenosis pilorus, gangguan jantung. Hindari minuman beralkohol.</t>
  </si>
  <si>
    <t>spasme kram saluran cerna saluran kemih kelamin , pencegahan pengobatan nyeri menstruasi dismenorea</t>
  </si>
  <si>
    <t>scopma</t>
  </si>
  <si>
    <t>scopma kaplet hyoscine butylbromide spasme kram saluran cerna saluran kemih kelamin  pencegahan pengobatan nyeri menstruasi dismenorea</t>
  </si>
  <si>
    <t>diclofenac sodium thiamine mononitrate pyridoxine hydrochloride cyanocobalamin</t>
  </si>
  <si>
    <t>neurofenac plus tablet diclofenac sodium thiamine mononitrate pyridoxine hydrochloride cyanocobalamin meredakan nyeri berat berhubungan neuritis neuralgia</t>
  </si>
  <si>
    <t>DKL9813308338B1</t>
  </si>
  <si>
    <t>Aclam Forte 250/62.5 mg Dry Sirup 60 ml</t>
  </si>
  <si>
    <t>Rp100.100 - Rp124.900</t>
  </si>
  <si>
    <t>aclam forte</t>
  </si>
  <si>
    <t>aclam forte sirup amoxicillin trihydrate infeksi saluran nafas  saluran kemih  gonore dimana penyebabnya bakteri memproduksi penisilinase</t>
  </si>
  <si>
    <t>GKL1005044610A1</t>
  </si>
  <si>
    <t>Terazosin 1 mg 10 Tablet</t>
  </si>
  <si>
    <t>Rp36.900 - Rp46.700</t>
  </si>
  <si>
    <t>Tablet pertama dari kekuatan dosis yang ditentukan harus diambil pada malam hari pada waktu tidur. Tablet berikut kekuatan yang sama dapat diambil di pagi hari. Jika perlu untuk menghentikan terapi terazosin, dosis harus dititrasi ulang dimulai dengan 1 mg terazosin pada waktu tidur.</t>
  </si>
  <si>
    <t>PENGGUNAAN OBAT INI HARUS SESUAI DENGAN PETUNJUK DOKTER. Dosis awal, Dosis tunggal terendah 1 mg sebelum tidur untuk semua pasien, yang tidak boleh dilampaui. Dosis selanjutnya, pengobatan hipertensi ringan sampai sedang: Dosis harian tunggal dapat ditingkatkan dengan sekitar 2x dosis pada interval mingguan. Dosis pemeliharaan 2 mg / hari mungkin cukup dengan meningkatkan hingga 10 mg jika diperlukan (studi klinis mendukung penggunaan 2 - 10 mg sebagai dosis pemeliharaan). Dosis maksimum adalah 20 mg terazosin per hari. Pengobatan Hiperplasia Prostatic Benigna: Dosis dapat ditingkatkan sekitar 2x pada interval mingguan atau dua mingguanDosis pemeliharaan biasanya 5 hingga 10 mg sekali sehari. Perawatan harus dimulai dengan menggunakan tablet 1 mg selama tujuh hari, 2 tablet mg selama 14 hari dan 5 tablet mg selama 7 hari. Respon terhadap pengobatan harus ditinjau kembali dalam empat minggu.</t>
  </si>
  <si>
    <t>INFORMASI OBAT INI HANYA UNTUK KALANGAN MEDIS. Pengobatan hipertensi ringan sampai sedang. Pengobatan simtomatik obstruksi urin yang disebabkan oleh benign prostatic hyperplasia (BPH).</t>
  </si>
  <si>
    <t>Pasien yang diketahui hipersensitivitas terhadap zat aktif, untuk quinazolines lainnya (misalnya prazosin, doxazosin</t>
  </si>
  <si>
    <t>HARUS DENGAN RESEP DOKTER. Konsultasi terlebih dahulu dengan dokter atau apoteker jika memiliki alergi quinazolines atau penghambat alfa lainnya seperti doxazosin atau prazosin atau jika Anda memiliki alergi lain. Menghindari mengemudi atau tugas berbahaya selama 12 jam setelah dosis pertama, setelah dosis ditingkatkan, dan ketika obat ini dimulai kembali setelah dihentikan. Batasi minuman beralkohol.Orang dewasa yang lebih tua mungkin lebih sensitif terhadap efek samping ini. Selama kehamilan, obat ini harus digunakan hanya ketika jelas diperlukan.</t>
  </si>
  <si>
    <t>pengobatan hipertensi ringan  pengobatan simtomatik obstruksi urin disebabkan benign prostatic hyperplasia bph</t>
  </si>
  <si>
    <t>terazosin</t>
  </si>
  <si>
    <t>terazosin tablet terazosin hydrochloride pengobatan hipertensi ringan  pengobatan simtomatik obstruksi urin disebabkan benign prostatic hyperplasia bph</t>
  </si>
  <si>
    <t>DKL1705055217A1</t>
  </si>
  <si>
    <t>Orinox 60 mg 10 Tablet</t>
  </si>
  <si>
    <t>PENGGUNAAN OBAT INI HARUS SESUAI DENGAN PETUNJUK DOKTER. Atritis Osteoarthritis: Dosis yang direkomendasikan yaitu 60 mg sekali sehari Analgesik Nyeri akut pada pembedahan gigi: Dosis yang direkomendasikan yaitu 120 mg sekali sehari. Etoricoxib 120 mg hanya digunakan pada saat gejala nyeri akut Nyeri kronis musculoskeletal: Dosis yang direkomendasikan yaitu 60 mg sekali sehari</t>
  </si>
  <si>
    <t>INFORMASI OBAT INI HANYA UNTUK KALANGAN MEDIS. Meringankan gejala osteoarthritis (OA), meringankan nyeri muskuloskeletal kronis, meringankan nyeri akut pada pembedahan gigi.</t>
  </si>
  <si>
    <t>Hipersensitivitas terhadap komponen yang terkandung dalam sediaan, Gagal jantung kongestif (NYHA II-IV), Penyakit iskemia jantung, arteri perifer, dan/atau serebrovaskular (termasuk pasien yang baru melakukan bedah arteri coroner atau angioplasti).</t>
  </si>
  <si>
    <t>HARUS DENGAN RESEP DOKTER. Kehamilan : Sebagaimana diketahui untuk obat yang menghambat sintesis prostaglandin, penggunaan etoricoxib harus dihindari pada masa akhir kehamilan karena dapat menyebabkan penutupan premature pada ductus arteriosus. Tidak ada studi yang terkontrol dan memadai tentang penggunaan etoricoxib pada wanita hamil. Etoricoxib dapat diberikan pada dua trimester awal kehamilan hanya jika manfaatnya lebih besar dari risiko yang mungkin muncul pada fetus. Menyusui : Etoricoxib diekskresikan ke dalam air susu tikus. Tidak diketahui apakah obat ini juga diekskresikan ke dalam air susu ibu. Dikarenakan banyak obat yang diekskresikan melalui air susu dan adanya kemungkinan efek samping akibat obat penghambat sintesis prostaglandin pada bayi yang disusui, maka keputusan untuk tidak lagi menyusui atau menghentikan obat harus dilakukan, dengan juga mempertimbangkan pentingnya pemberian obat untuk ibu menyusui.</t>
  </si>
  <si>
    <t>meringankan gejala osteoarthritis oa , meringankan nyeri muskuloskeletal kronis , meringankan nyeri akut pembedahan gigi</t>
  </si>
  <si>
    <t>orinox tablet etoricoxib meringankan gejala osteoarthritis oa  meringankan nyeri muskuloskeletal kronis  meringankan nyeri akut pembedahan gigi</t>
  </si>
  <si>
    <t>DKL9904125810A1</t>
  </si>
  <si>
    <t>Artrilox 7.5 mg 10 Tablet</t>
  </si>
  <si>
    <t>Rp43.200 - Rp60.500</t>
  </si>
  <si>
    <t>PENGGUNAAN OBAT INI HARUS SESUAI DENGAN PETUNJUK DOKTER. Osteoartritis 7,5 mg per hari, bila diperlukan bisa ditingkatkan menjadi 15 mg per hari. Artritis reumatoid 15 mg per hari, dosis dapat dikurangi hingga 7,5 mg per hari. Penderita gagal ginjal berat dengan dialisis, dosis tidak boleh melebihi 7,5 mg per hari.</t>
  </si>
  <si>
    <t>Terapi jangka pendek eksaserbasi osteo artritis akut</t>
  </si>
  <si>
    <t>DKL0213311709A1</t>
  </si>
  <si>
    <t>Dom 10 mg 10 Tablet</t>
  </si>
  <si>
    <t>Rp58.300 - Rp58.400</t>
  </si>
  <si>
    <t>Perdarahan, obstruksi atau perforasi saluran cerna</t>
  </si>
  <si>
    <t>dom</t>
  </si>
  <si>
    <t>dom kaplet domperidone maleate dispesia fungsional  mual akut muntah  muntah  disebabkan levodopa bromokriptin terapinya 12 minggu</t>
  </si>
  <si>
    <t>DBL9206307910A1</t>
  </si>
  <si>
    <t>Erlamol 500 mg 10 Tablet</t>
  </si>
  <si>
    <t>erlamol</t>
  </si>
  <si>
    <t>erlamol tablet paracetamol meredakan sakit kepala  sakit gigi  nyeri otot  menurunkan demam menyertai flu paska vaksinasi</t>
  </si>
  <si>
    <t>DTL1504523437A1</t>
  </si>
  <si>
    <t>Decolgen Kids Flu Sirup 60 ml</t>
  </si>
  <si>
    <t>Rp13.200 - Rp13.600</t>
  </si>
  <si>
    <t>Anak 6 - 12 tahun: 3 x sehari 10 ml (2 sendok takar). Dewasa dan anak diatas 12 tahun: 3 x sehari 20 ml (4 sendok takar).</t>
  </si>
  <si>
    <t>Meringankan gejala flu seperti demam, sakit kepala, bersin-bersin dan hidung tersumbat.</t>
  </si>
  <si>
    <t>DKL9822215209B1</t>
  </si>
  <si>
    <t>Bicrolid Kaplet 500 mg</t>
  </si>
  <si>
    <t>Rp30.300 - Rp36.800</t>
  </si>
  <si>
    <t>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t>
  </si>
  <si>
    <t>Faringitis atau tonsilitis, sinusitis maksilaris akut, bronkitis kronis eksaserbasi akut, infeksi kulit dan strukturnya tanpa komplikasi</t>
  </si>
  <si>
    <t>HARUS DENGAN RESEP DOKTER. Hamil, laktasi, kerusakan hati</t>
  </si>
  <si>
    <t>faringitis tonsilitis , sinusitis maksilaris akut , bronkitis kronis eksaserbasi akut , infeksi kulit strukturnya komplikasi</t>
  </si>
  <si>
    <t>bicrolid</t>
  </si>
  <si>
    <t>bicrolid kaplet clarithromycin faringitis tonsilitis  sinusitis maksilaris akut  bronkitis kronis eksaserbasi akut  infeksi kulit strukturnya komplikasi</t>
  </si>
  <si>
    <t>DKL9422215209A1</t>
  </si>
  <si>
    <t>Bicrolid 250 mg 10 Kaplet</t>
  </si>
  <si>
    <t>Rp112.200 - Rp154.900</t>
  </si>
  <si>
    <t>Kaplet 250 Mg X 3 X 10</t>
  </si>
  <si>
    <t>DKI1890701817B1</t>
  </si>
  <si>
    <t>Olmetec Plus 40 mg/12.5 mg 10 Tablet</t>
  </si>
  <si>
    <t>Rp146.000 - Rp255.800</t>
  </si>
  <si>
    <t>PENGGUNAAN OBAT INI HARUS SESUAI DENGAN PETUNJUK DOKTER. Dewasa 1 x sehari 1 tablet. Gangguan ginjal (CrCl 30-60 mL/min): Dosis tidak lebih dari 20 mg per hari</t>
  </si>
  <si>
    <t>Pengobatan hipertensi esensial jika TD tdk dpt dikendalikan scr adekuat oleh olmesartan medoksomil atau hidroklorortiazid saja.</t>
  </si>
  <si>
    <t>Tablet 40 Mg/12.5 Mg X 30</t>
  </si>
  <si>
    <t>Hipersensitivitas thd olmesartan medoxomil, hidroklorotiazid, atau thd substansi turunan sulfonamid lainnya. Ggn ginjal berat</t>
  </si>
  <si>
    <t>GKL2113324036A1</t>
  </si>
  <si>
    <t>Cefadroxil 150mg/ml Drop 15 ml</t>
  </si>
  <si>
    <t>Rp31.300 - Rp62.500</t>
  </si>
  <si>
    <t>cefadroxil drop</t>
  </si>
  <si>
    <t>cefadroxil drop powder cefadroxil monohydrate mengatasi infeksi saluran pernafasan  saluran kemih kelamin infeksi kulit jaringan lunak</t>
  </si>
  <si>
    <t>DKL0617621917B1</t>
  </si>
  <si>
    <t>Diflam 50 mg 10 Tablet</t>
  </si>
  <si>
    <t>Rp54.400 - Rp61.900</t>
  </si>
  <si>
    <t>Sebaiknya berikan setelah makan</t>
  </si>
  <si>
    <t>PENGGUNAAN OBAT INI HARUS SESUAI DENGAN PETUNJUK DOKTER. Dewasa: sehari 100-150 mg, terbagi dalam 2-3 dosis. Anak &gt; 14 tahun dan kasus ringan: sehari 75-100 mg terbagi dalam 2-3 dosis</t>
  </si>
  <si>
    <t>Mengobati gejala-gejala arthritis reumatik, osteoarthritis, spondilitis ankilosa, gout akut, serta nyeri muskuloskeletal lain</t>
  </si>
  <si>
    <t>HARUS DENGAN RESEP DOKTER. Gangguan GI atau riwayat tukak GI, kolitis ulseratif atau penyakit Crohn, gangguan hati, jantung dan ginjal</t>
  </si>
  <si>
    <t>DTL0121907004A1</t>
  </si>
  <si>
    <t>Phenzacol 10 Kaplet</t>
  </si>
  <si>
    <t>Rp5.200 - Rp9.600</t>
  </si>
  <si>
    <t>Dewasa dan anak &gt; 12 tahun : 3-4 x sehari 1 tablet, Anak 6-12 tahun : 3-4 x sehari 0.5 tablet</t>
  </si>
  <si>
    <t>Meredakan gejala Demam, Sakit Kepala, Hidung tersumbat yang berhubungan dengan Flu, Pilek &amp; Rinitis alergi</t>
  </si>
  <si>
    <t>Gangguan jantung, DM, gangguan fungsi hati yang berat. Sensitif terhadap obat simpatomimetik lain. Hipertensi berat. Mendapat obat antidepresan MAOI</t>
  </si>
  <si>
    <t>Gangguan fungsi hati dan ginjal, glaukoma, hipertrofi prostat, hipertiroid, retensi urin. Anak &lt;6 tahun. Hamil, laktasi. Penggunaan bersama obat penekan SSP. Mempengaruhi kemampuan mengemudi atau menjalankan mesin. Penderita yang lemah fisik, hipoksia.</t>
  </si>
  <si>
    <t>meredakan gejala demam , sakit kepala , hidung tersumbat berhubungan flu , pilek rinitis alergi</t>
  </si>
  <si>
    <t>phenzacol</t>
  </si>
  <si>
    <t>phenzacol kaplet chlorphenamine maleate meredakan gejala demam  sakit kepala  hidung tersumbat berhubungan flu  pilek rinitis alergi</t>
  </si>
  <si>
    <t>Konicare Minyak Kayu Putih Hot 60 ml</t>
  </si>
  <si>
    <t>Rp25.900 - Rp29.300</t>
  </si>
  <si>
    <t>Usapkan secara merata pada perut, punggung dan dada termasuk bagian tubuh terbuka yang mudah digigit nyamuk seperti leher, tangan dan kaki, setiap kali sehabis mandi</t>
  </si>
  <si>
    <t>THE EDGE Blood Lactate 25 Test Strip</t>
  </si>
  <si>
    <t>Alat kesehatan untuk mengukur kadar laktat dalam darah.</t>
  </si>
  <si>
    <t>alat kesehatan mengukur kadar laktat darah</t>
  </si>
  <si>
    <t>the edge blood lactate test strip</t>
  </si>
  <si>
    <t>the edge blood lactate test strip tablet kombinasivalsartan blend 32 alat kesehatan mengukur kadar laktat darah</t>
  </si>
  <si>
    <t>TR092600561</t>
  </si>
  <si>
    <t>Antangin Gingermocha 15 ml</t>
  </si>
  <si>
    <t>ANTANGIN MOCHA</t>
  </si>
  <si>
    <t>Rp2.000 - Rp3.800</t>
  </si>
  <si>
    <t>antangin mocha</t>
  </si>
  <si>
    <t>antangin gingermocha</t>
  </si>
  <si>
    <t>antangin gingermocha  antangin mocha membantu meredakan masuk angin  meriang  mual  perut kembung  capek pusing melegakan tenggorokan</t>
  </si>
  <si>
    <t>DKL0809218004A1</t>
  </si>
  <si>
    <t>Neosma 2.5 mg 10 Kaplet</t>
  </si>
  <si>
    <t>Rp1.400 - Rp6.400</t>
  </si>
  <si>
    <t>PENGGUNAAN OBAT INI HARUS SESUAI DENGAN PETUNJUK DOKTER. Dewasa : 2-3 x sehari 1-2 kaplet, Anak 12-15 tahun : 2-3 x sehari 1 kaplet, maximum 3 kaplet perhari</t>
  </si>
  <si>
    <t>Bronkhodilator pada Asma Bronkhial, Bronkhospasme pada Bronkhitis Khronik, Emfisema &amp; penyakit Paru lainnya dengan komplikasi konstriksi Bronkus.</t>
  </si>
  <si>
    <t>Penderita gangguan fungsi hati berat, tirotoksikosis, toksemia gravidarum, abortus iminens</t>
  </si>
  <si>
    <t>Obat Wajib Apotek, Obat ini dapat dibeli dan diserahkan apoteker tanpa resep dengan maksimum 2 Strip. Pembelian melebihi batas ini WAJIB RESEP DOKTER. Hipertensi, gangguan KV, hipertiroid, DM, pasien dengan riwayat kejang. Hamil, laktasi. Anak &lt; 12 tahun</t>
  </si>
  <si>
    <t>bronkhodilator asma bronkhial , bronkhospasme bronkhitis khronik , emfisema penyakit paru komplikasi konstriksi bronkus</t>
  </si>
  <si>
    <t>neosma</t>
  </si>
  <si>
    <t>neosma kaplet terbutaline sulfate bronkhodilator asma bronkhial  bronkhospasme bronkhitis khronik  emfisema penyakit paru komplikasi konstriksi bronkus</t>
  </si>
  <si>
    <t>DTL1423412504A1</t>
  </si>
  <si>
    <t>Axaprofen 10 Kaplet</t>
  </si>
  <si>
    <t>Rp700 - Rp6.400</t>
  </si>
  <si>
    <t>3-4 x Sehari 1 Tablet</t>
  </si>
  <si>
    <t>Meringankan rasa nyeri pada nyeri otot, nyeri sendi, sakit kepala, sakit gigi, dan menurunkan demam.</t>
  </si>
  <si>
    <t>meringankan nyeri nyeri otot , nyeri sendi , sakit kepala , sakit gigi , menurunkan demam</t>
  </si>
  <si>
    <t>axaprofen</t>
  </si>
  <si>
    <t>axaprofen kaplet paracetamol ibuprofen meringankan nyeri nyeri otot  nyeri sendi  sakit kepala  sakit gigi  menurunkan demam</t>
  </si>
  <si>
    <t>DKL9705017401C1</t>
  </si>
  <si>
    <t>Anerocid 150 mg 10 Kapsul</t>
  </si>
  <si>
    <t>PENGGUNAAN OBAT INI HARUS SESUAI DENGAN PETUNJUK DOKTER. 1 kapsul 1 kali sehari</t>
  </si>
  <si>
    <t>Infeksi serius saluran nafas bag bwh, kulit &amp; jar lunak, intra abdominal. Osteomielitis.</t>
  </si>
  <si>
    <t>Kapsul 150 mg x 50</t>
  </si>
  <si>
    <t>Hipersensitif terhadap klindamisin atau linkomisin.</t>
  </si>
  <si>
    <t>HARUS DENGAN RESEP DOKTER. Riwayat penyakit GI terutama kolitis. Penyakit hati atau ginjal berat. Hamil, laktasi. Bayi prematur, usia lanjut. Monitor fungsi hati &amp; ginjal selama penggunaan jangka panjang.</t>
  </si>
  <si>
    <t>infeksi serius saluran nafas bag bwh , kulit jar lunak , intra abdominal  osteomielitis</t>
  </si>
  <si>
    <t>anerocid</t>
  </si>
  <si>
    <t>anerocid kapsul clindamycin hydrochloride infeksi serius saluran nafas bag bwh  kulit jar lunak  intra abdominal  osteomielitis</t>
  </si>
  <si>
    <t>DKL9815613338B1</t>
  </si>
  <si>
    <t>Ancefa Forte Dry Sirup 60 ml</t>
  </si>
  <si>
    <t>Rp77.300 - Rp99.600</t>
  </si>
  <si>
    <t>ancefa forte</t>
  </si>
  <si>
    <t>ancefa forte sirup cefadroxil monohydrate mengatasi infeksi saluran pernafasan  saluran kemih kelamin infeksi kulit jaringan lunak</t>
  </si>
  <si>
    <t>DKL1803816546A1</t>
  </si>
  <si>
    <t>Cendo Vernacel Eye Drop 5 ml</t>
  </si>
  <si>
    <t>Rp19.700 - Rp29.600</t>
  </si>
  <si>
    <t>PENGGUNAAN OBAT INI HARUS SESUAI DENGAN PETUNJUK DOKTER. Teteskan 1-2 tetes pada mata yang sakit hingga 4 kali sehari. Sesaat setelah penetesan obat pada mata, sebagaian pasien terkadang mengalami tingling sensation.</t>
  </si>
  <si>
    <t>Vernacel di gunakan untuk meredakan sementara rasa gatal pada mata serta mata merah karena kelebihan lendir pada mata.</t>
  </si>
  <si>
    <t>HARUS DENGAN RESEP DOKTER. - Hanya untuk pemakaian luar - Tidak untuk anak, hamil dan menyusui</t>
  </si>
  <si>
    <t>vernacel meredakan gatal mata mata merah kelebihan lendir mata</t>
  </si>
  <si>
    <t>cendo vernacel eye drop</t>
  </si>
  <si>
    <t>cendo vernacel eye drop tetes naphazoline hydrochloride vernacel meredakan gatal mata mata merah kelebihan lendir mata</t>
  </si>
  <si>
    <t>pseudoephedrine hydrochloride chlorphenamine maleate dextromethorphan hydrobromide</t>
  </si>
  <si>
    <t>hufagrip bp anak sirup pseudoephedrine hydrochloride chlorphenamine maleate dextromethorphan hydrobromide untuk meringankan batuk tidak berdahak pilek</t>
  </si>
  <si>
    <t>ancefa forte suspensi cefadroxil monohydrate mengatasi infeksi saluran pernafasan  saluran kemih kelamin infeksi kulit jaringan lunak</t>
  </si>
  <si>
    <t>DKL0712417704A1</t>
  </si>
  <si>
    <t>Kimoxil 500 mg 10 Kapsul</t>
  </si>
  <si>
    <t>Rp25.800 - Rp37.300</t>
  </si>
  <si>
    <t>Berikan Bersama makanan</t>
  </si>
  <si>
    <t>PENGGUNAAN OBAT INI HARUS SESUAI DENGAN PETUNJUK DOKTER. Dewasa dan anak &gt; 20 kg : 250 - 500 mg tiap 8 jam. Anak &lt; 20 kg : 20 - 40 mg/kg BB/hari, diberikan dalam dosis terbagi setiap 8 jam. Pasien dengan dialisis peritoneal : maksimal : 500 mg/hari. GO uretritis : 3 g dosis tunggal</t>
  </si>
  <si>
    <t>Infeksi sal nafas, sal Gl, sal kemih dan infeksi lain yang disebabkan kuman gram + dan - yang sensitif</t>
  </si>
  <si>
    <t>Kapsul 500 Mg X 60</t>
  </si>
  <si>
    <t>HARUS DENGAN RESEP DOKTER. Hipersensitif terhadap sefalosporin. Gangguan gijal. Leukemia limfatik</t>
  </si>
  <si>
    <t>infeksi sal nafas , sal gl , sal kemih infeksi disebabkan kuman gram - sensitif</t>
  </si>
  <si>
    <t>kimoxil</t>
  </si>
  <si>
    <t>kimoxil kaplet amoxicillin trihydrate infeksi sal nafas  sal gl  sal kemih infeksi disebabkan kuman gram  sensitif</t>
  </si>
  <si>
    <t>DKL1733214417B1</t>
  </si>
  <si>
    <t>Mefoz 8 mg 10 Tablet</t>
  </si>
  <si>
    <t>Rp221.400 - Rp226.900</t>
  </si>
  <si>
    <t>PENGGUNAAN OBAT INI HARUS SESUAI DENGAN PETUNJUK DOKTER. Mencegah emesis tertunda setelah kemoterapi Dewasa: 8 mg 2 x sehari hingga 5 hari setelah pengobatan. Profilaksis mual dan muntah akibat kemoterapi Dewasa: Kemoterapi emetogenik sedang: 8 mg diberikan 0,5-2 jam sebelum kemoterapi, diikuti 8 mg setelah 8 atau 12 jam. Kemoterapi yang sangat emetogenik: 24 mg sebagai dosis tunggal, diberikan 0,5-2 jam sebelum kemoterapi. Anak: Kemoterapi emetogenik sedang: 4-11 tahun 4 mg 30 menit sebelum kemoterapi. Ulangi dosis pada 4 dan 8 jam setelah dosis awal</t>
  </si>
  <si>
    <t>DKL1021638637A2</t>
  </si>
  <si>
    <t>Narfoz Sirup 60 ml</t>
  </si>
  <si>
    <t>Rp113.900 - Rp125.300</t>
  </si>
  <si>
    <t>PENGGUNAAN OBAT INI HARUS SESUAI DENGAN PETUNJUK DOKTER. Mencegah Mual - Muntah paska operasi : Diawali 2 sendok takar 5 cc 1 jam sebelum anestesi, dilanjutkan dengan 2 sendok takar 5 cc tiap 8 jam atau sampai tiap 16 jam.</t>
  </si>
  <si>
    <t>INFORMASI OBAT INI HANYA UNTUK KALANGAN MEDIS. Mual dan Muntah akibat kemoterapi atau radioterapi, mencegah &amp; terapi mual-muntah paska operasi</t>
  </si>
  <si>
    <t>Pasien dengan sindrom QT panjang bawaan. Penggunaan bersamaan dari apomorphine</t>
  </si>
  <si>
    <t>mual muntah akibat kemoterapi radioterapi , mencegah terapi mual - muntah paska operasi</t>
  </si>
  <si>
    <t>narfoz sirup ondansetron hydrochloride dihydrate mual muntah akibat kemoterapi radioterapi  mencegah terapi mual  muntah paska operasi</t>
  </si>
  <si>
    <t>SP Troches Meiji Rasa Strawberry 6 Tablet</t>
  </si>
  <si>
    <t>Rp13.300 - Rp15.700</t>
  </si>
  <si>
    <t>Hisap satu tablet perlahan-lahan hingga larut dalam mulut setiap 2-3 jam sekali. Maksimum 8 tablet per hari.</t>
  </si>
  <si>
    <t>Dus, 1 Blister @ 6 Tablet Hisap</t>
  </si>
  <si>
    <t>Penderita yang mengalami alergi atau hipersensitif terhadap kandungan tablet ini.</t>
  </si>
  <si>
    <t>sp troches meiji rasa strawberry tablet dequalinium chloride untuk infeksi bakteri jamur fungi rongga mulut tenggorokan</t>
  </si>
  <si>
    <t>meprotrin forte tablet sulfamethoxazole trimethoprim infeksi saluran kemih  infeksi saluran pencernaan  infeksi saluran pernapasan  infeksi toksoplasmosis</t>
  </si>
  <si>
    <t>DKL9016105101A1</t>
  </si>
  <si>
    <t>Mestamox 500 mg 10 Kapsul</t>
  </si>
  <si>
    <t>Rp45.500 - Rp47.000</t>
  </si>
  <si>
    <t>PENGGUNAAN OBAT INI HARUS SESUAI DENGAN PETUNJUK DOKTER. Dewasa : 250 - 500 mg tiap 8 jam, anak : 25 - 50 mg/kg BB/hari terbagi dalam 3 dosis, berikan tiap 8 jam</t>
  </si>
  <si>
    <t>Infeksi sal nafas, GIT, kemih kelamin, kulit dan jar lunak karena bakteri G + &amp; G-</t>
  </si>
  <si>
    <t>Hipersensitif penisilin. Infeksi mononukeus</t>
  </si>
  <si>
    <t>HARUS DENGAN RESEP DOKTER. Hipersensitif sefalosporin, gangguan ginjal, leukemia limfatik</t>
  </si>
  <si>
    <t>infeksi sal nafas , git , kemih kelamin , kulit jar lunak bakteri g g -</t>
  </si>
  <si>
    <t>mestamox</t>
  </si>
  <si>
    <t xml:space="preserve">mestamox kapsul amoxicillin trihydrate infeksi sal nafas  git  kemih kelamin  kulit jar lunak bakteri g g </t>
  </si>
  <si>
    <t>DKL9016105438A1</t>
  </si>
  <si>
    <t>Mestamox Dry Sirup 60 ml</t>
  </si>
  <si>
    <t>Rp30.700 - Rp31.300</t>
  </si>
  <si>
    <t>PENGGUNAAN OBAT INI HARUS SESUAI DENGAN PETUNJUK DOKTER. Dewasa : 10-20 ml 3 kali sehari Anak-anak : 7-13 ml 3 kali sehari</t>
  </si>
  <si>
    <t xml:space="preserve">mestamox sirup amoxicillin trihydrate infeksi sal nafas  git  kemih kelamin  kulit jar lunak bakteri g g </t>
  </si>
  <si>
    <t>TR183219161</t>
  </si>
  <si>
    <t>Jamu Iboe Natural Drink Lidah Buaya 5 Sachet</t>
  </si>
  <si>
    <t>IBOE NATURAL DRINK LIDAH BUAYA</t>
  </si>
  <si>
    <t>Rp12.800 - Rp13.200</t>
  </si>
  <si>
    <t>iboe natural drink lidah buaya</t>
  </si>
  <si>
    <t>jamu iboe natural drink lidah buaya</t>
  </si>
  <si>
    <t>jamu iboe natural drink lidah buaya sachet iboe natural drink lidah buaya membantu melancarkan buang air</t>
  </si>
  <si>
    <t>Tissue Magic Power Hitam 6 Lembar</t>
  </si>
  <si>
    <t>Rp15.200 - Rp16.800</t>
  </si>
  <si>
    <t>Usapkan tissue magic power pada alat vital anda dengan rata, diamkan selama 3-5 menit. Sebelum berhubungan cuci alat vital dengan sabun dan bilas dengan air hangat.</t>
  </si>
  <si>
    <t>Membersihkan, mencegah bakteri, meningkatkan kekuatan dalam berhubungan, serta mencegah ejakulasi dini.</t>
  </si>
  <si>
    <t>Box @ 6 Lembar</t>
  </si>
  <si>
    <t>membersihkan , mencegah bakteri , meningkatkan kekuatan berhubungan , mencegah ejakulasi</t>
  </si>
  <si>
    <t>tissue magic power hitam lembar</t>
  </si>
  <si>
    <t>tissue magic power hitam lembar tablet sildenafil citrate membersihkan  mencegah bakteri  meningkatkan kekuatan berhubungan  mencegah ejakulasi</t>
  </si>
  <si>
    <t>Navitae Eye Drop 15 ml</t>
  </si>
  <si>
    <t>INFORMASI OBAT INI HANYA UNTUK KALANGAN MEDIS. Menghilangkan rasa terbakar, iritasi, dan ketidaknyamanan yang disebabkan karena kekeringan pada mata dan untuk mempercepat perbaikan permukaan ocular</t>
  </si>
  <si>
    <t>menghilangkan terbakar , iritasi , ketidaknyamanan disebabkan kekeringan mata mempercepat perbaikan permukaan ocular</t>
  </si>
  <si>
    <t>navitae eye drop</t>
  </si>
  <si>
    <t>navitae eye drop tetes ofloxacin menghilangkan terbakar  iritasi  ketidaknyama disebabkan kekeringan mata mempercepat perbaikan permukaan ocular</t>
  </si>
  <si>
    <t>DKI1091600456A1</t>
  </si>
  <si>
    <t>Flixonase Nasal Spray</t>
  </si>
  <si>
    <t>Rp271.800 - Rp365.800</t>
  </si>
  <si>
    <t>PENGGUNAAN OBAT INI HARUS SESUAI DENGAN PETUNJUK DOKTER. dewasa dan anak-anak berusia di atas 12 tahun, semprotkan 100 mcg (2 semprotan) ke dalam tiap lubang hidung 1 kali sehari di pagi hari.Dosis dapat ditingkatkan hingga 2 kali sehari, namun tetap diperhatikan penggunaan maksimum obat ini tidak lebih dari 200 mcg (4 semprotan) tiap lubang hidung.Untuk anak-anak usia 4-11 tahun, semprotkan 50 mcg (1 semprotan) ke dalam tiap lubang hidung.</t>
  </si>
  <si>
    <t>Digunakan sebagai obat untuk penderita polip hidung, rhinitis alergi, asma dan dermatitis yang diresepkan dokter.</t>
  </si>
  <si>
    <t>Dus, Botol @ 120 Dosis</t>
  </si>
  <si>
    <t>HARUS DENGAN RESEP DOKTER. Riwayat alergi terhadap luticasone atau obat golongan steroid lainnya.Riwayat alergi terhadap protein susu sapi.Fluticasone inhalasi tidak diperbolehkan untuk anak dibawah 12 tahun.</t>
  </si>
  <si>
    <t>digunakan obat penderita polip hidung , rhinitis alergi , asma dermatitis diresepkan dokter</t>
  </si>
  <si>
    <t>flixonase nasal</t>
  </si>
  <si>
    <t>flixonase nasal spray fluticasone propionate digunakan obat penderita polip hidung  rhinitis alergi  asma dermatitis diresepkan dokter</t>
  </si>
  <si>
    <t>DTL9731107009A1</t>
  </si>
  <si>
    <t>Flucadex 10 Kaplet</t>
  </si>
  <si>
    <t>Rp10.000 - Rp12.900</t>
  </si>
  <si>
    <t>Dewasa : 1 kaplet. Anak 6-12 tahun : 1/2 kaplet. Diberikan 3 kali sehari. Atau menurut petunjuk dokter.</t>
  </si>
  <si>
    <t>Meringankan gejala flu, seperti demam, sakit kepala, hidung tersumbat, dan bersin-bersin yang disertai batuk.</t>
  </si>
  <si>
    <t>Dus, 10 Catch Cover @ 1 Strip @ 10 Kaplet salut selaput</t>
  </si>
  <si>
    <t>Hipersensitivitas, gangguan jantung, DM, gangguan fungsi hati yang berat dan pasien yang mendapatkan terapi obat antidepresan tipe MAOI.</t>
  </si>
  <si>
    <t>Hati-hati penggunaan pada penderita dengan gangguan fungsi hati dan ginjal, tekanan darah tinggi, glaukoma, hipertrofiprostat, hipertiroid, dan retensi urin. Tidak dianjurkan penggunaan pada anak dibawah 6 tahun, wanita hamil dan menyusui, lanjut usia dan berat badan berlebih. Tidak boleh melebihi dosis yang dianjurkan. Selama penggunaan obat ini tidak dianjurkan untuk menyetir atau menjalankan mesin. Apabila setelah 3 hari gejala tidak membaik, segera hubungi dokter atau unit pelayanan kesehatan. Hentikan penggunaan obat apabila terjadi susah tidur, jantung berdebar dan pusing.</t>
  </si>
  <si>
    <t>meringankan gejala flu , demam , sakit kepala , hidung tersumbat , bersin - bersin disertai batuk</t>
  </si>
  <si>
    <t>flucadex kaplet chlorphenamine maleate meringankan gejala flu  demam  sakit kepala  hidung tersumbat  bersin  bersin disertai batuk</t>
  </si>
  <si>
    <t>DKL9318811309A1</t>
  </si>
  <si>
    <t>Tequinol 500 mg 10 Kaplet</t>
  </si>
  <si>
    <t>Rp183.000 - Rp184.900</t>
  </si>
  <si>
    <t>INFORMASI OBAT INI HANYA UNTUK KALANGAN MEDIS. Pengobatan infeksi saluran pernafasan, pencernaan, infeksi saluran kemih, dan infeksi perut, termasuk infeksi oleh bakteri.</t>
  </si>
  <si>
    <t>Dus, 3 Strip @ 10 Kaplet salut selaput</t>
  </si>
  <si>
    <t>pengobatan infeksi saluran pernafasan , pencernaan , infeksi saluran kemih , infeksi perut , infeksi bakteri</t>
  </si>
  <si>
    <t>tequinol</t>
  </si>
  <si>
    <t>tequinol kaplet ciprofloxacin hydrochloride pengobatan infeksi saluran pernafasan  pencernaan  infeksi saluran kemih  infeksi perut  infeksi bakteri</t>
  </si>
  <si>
    <t>Aqua Maris Strong Nasal Spray 30 ml</t>
  </si>
  <si>
    <t>Rp122.000 - Rp123.000</t>
  </si>
  <si>
    <t>Semprotkan ke dalam masing-masing lubang hidung</t>
  </si>
  <si>
    <t>Semprotkan ke dalam lubang hidung sebanyak 3-4 kali sehari. Cocok untuk digunakan anak usia diatas 8 tahun dan dewasa.</t>
  </si>
  <si>
    <t>Melegakan hidung tersumbat &amp; membersihkan saluran hidung harian untuk mengatasi kekeringan pada hidung.</t>
  </si>
  <si>
    <t>melegakan hidung tersumbat membersihkan saluran hidung harian mengatasi kekeringan hidung</t>
  </si>
  <si>
    <t>aqua maris strong nasal</t>
  </si>
  <si>
    <t>aqua maris strong nasal tetes ofloxacin melegakan hidung tersumbat membersihkan saluran hidung harian mengatasi kekeringan hidung</t>
  </si>
  <si>
    <t>DTL1611644904A1</t>
  </si>
  <si>
    <t>Procold Flu 6 Kaplet</t>
  </si>
  <si>
    <t>Rp4.100 - Rp4.200</t>
  </si>
  <si>
    <t>Dewasa dan anak &gt; 12 tahun : 1 kaplet, diminum 3 kali per hari. Anak 6-12 tahun : 1/2 kaplet, diminum 3 kali per hari.</t>
  </si>
  <si>
    <t>Meringankan gejala-gejala flu seperti demam, sakit kepala, hidung tersumbat dan bersin-bersin.</t>
  </si>
  <si>
    <t>Dus, 24 Blister @ 6 Kaplet</t>
  </si>
  <si>
    <t>Hati- hati penggunaan pada penderita dengan gangguan fungsi hati dan ginjal. Hati-hati penggunaan pada penderita penyakit jantung, Diabetes Mellitus, glaukoma, dan gangguan kejang. Tidak dianjurkan penggunaan pada anak usia di bawah 6 tahun, wanita hamil dan menyusui kecuali atas petunjuk dokter. Penggunaan pada penderita yang mengkonsumsi alkohol dapat meningkatkan resiko kerusakan hati.</t>
  </si>
  <si>
    <t>meringankan gejala - gejala flu demam , sakit kepala , hidung tersumbat bersin - bersin</t>
  </si>
  <si>
    <t>procold flu</t>
  </si>
  <si>
    <t>procold flu kaplet chlorphenamine maleate meringankan gejala  gejala flu demam  sakit kepala  hidung tersumbat bersin  bersin</t>
  </si>
  <si>
    <t>Marimer Hypertonic Nasal Spray 100 ml</t>
  </si>
  <si>
    <t>1. miringkan kepala Anda ke samping dan dengan lembut, masukkan ujung nosel ke lubang hidung atas 2. Semprotkan Marimer Hypertonic, dan ulangi di lubang hidung lain 3. Tegakkan kepala Anda lurus dan biarkan lendir keluar, lalu bersihkan cairan berlebih atau tiup hidung Anda 4. cuci ujungnya dengan air hangat setelah digunakan. bilas dan lap</t>
  </si>
  <si>
    <t>Membantu untuk membersihkan saluran nasal, dekongesti hidung tersumbat, dan sebagai pelengkap terapi gangguan THT</t>
  </si>
  <si>
    <t>membantu membersihkan saluran nasal , dekongesti hidung tersumbat , pelengkap terapi gangguan tht</t>
  </si>
  <si>
    <t>marimer hypertonic nasal</t>
  </si>
  <si>
    <t>marimer hypertonic nasal tetes ofloxacin membantu membersihkan saluran nasal  dekongesti hidung tersumbat  pelengkap terapi gangguan tht</t>
  </si>
  <si>
    <t>DBL8515300712A1</t>
  </si>
  <si>
    <t>SP Troches Meiji Rasa Melon 12 Tablet</t>
  </si>
  <si>
    <t>Rp15.500 - Rp20.000</t>
  </si>
  <si>
    <t>sp troches meiji rasa melon</t>
  </si>
  <si>
    <t>sp troches meiji rasa melon tablet dequalinium chloride untuk infeksi bakteri jamur fungi rongga mulut tenggorokan</t>
  </si>
  <si>
    <t>DTL7218906637A1</t>
  </si>
  <si>
    <t>Pim-Tra-Kol Kids Sirup Strawberry 60 ml</t>
  </si>
  <si>
    <t>Rp13.500 - Rp19.300</t>
  </si>
  <si>
    <t>Anak usia 2 - 6 tahun: 3 x sehari 5 ml Anak usia 6 - 12 tahun: 3 x sehari 10 ml Atau menurut petunjuk dokter</t>
  </si>
  <si>
    <t>Menurunkan demam, sakit kepala, batuk berdahak disertai alergi</t>
  </si>
  <si>
    <t>Tidak untuk dikonsumsi oleh penderita yang hipersensitif terhadap komponen obat ini. Pasien yang mempunyai gangguan fungsi hati yang berat</t>
  </si>
  <si>
    <t>Simpan dibawah suhu 30 C dalam wadah tertutup baik dan terlindung dari cahaya. Jangan gunakan produk setelah tutup dibuka lebih dari 7 hari</t>
  </si>
  <si>
    <t>menurunkan demam , sakit kepala , batuk berdahak disertai alergi</t>
  </si>
  <si>
    <t>pimtrakol kids strawberry</t>
  </si>
  <si>
    <t>pimtrakol kids strawberry sirup paracetamol guaifenesin chlorphenamine maleate menurunkan demam  sakit kepala  batuk berdahak disertai alergi</t>
  </si>
  <si>
    <t>- ISOSORBIDE DINITRATE 25 IN LACTOSE</t>
  </si>
  <si>
    <t>isosorbide dinitrate 25 in lactose</t>
  </si>
  <si>
    <t>cedocard tablet isosorbide dinitrate 25 in lactose pengobatan pencegahan angina pektoris  gagal jantung kongestif berat refrakter</t>
  </si>
  <si>
    <t>DKL8721002504A1</t>
  </si>
  <si>
    <t>Vibramox 500 mg 10 Kaplet</t>
  </si>
  <si>
    <t>Rp10.200 - Rp27.500</t>
  </si>
  <si>
    <t>PENGGUNAAN OBAT INI HARUS SESUAI DENGAN PETUNJUK DOKTER. Dewasa : 3 x sehari 1 kaplet.</t>
  </si>
  <si>
    <t>vibramox kaplet amoxicillin trihydrate infeksi saluran nafas  saluran cerna  saluran kemih  kulit jaringan lunak  osteomielitis  tiroid</t>
  </si>
  <si>
    <t>DKL8300200417B1</t>
  </si>
  <si>
    <t>Urixin 400 mg 10 Tablet</t>
  </si>
  <si>
    <t>Rp150.900 - Rp174.600</t>
  </si>
  <si>
    <t>PENGGUNAAN OBAT INI HARUS SESUAI DENGAN PETUNJUK DOKTER. Untuk ISK akut 800 mg/hari dalam 2 dosis terbagi, selama 7-10 hari. Untuk ISK kronik 800-1200 mg/hari dalam 2-3 dosis terbagi, selama 2 minggu atau lebih.</t>
  </si>
  <si>
    <t>INFORMASI OBAT INI HANYA UNTUK KALANGAN MEDIS. Infeksi Gr - yang serius atau berat, disebabkan oleh organisme yang peka antara lain strep, pneumokokus dan staph, termasuk bakteri anaerob</t>
  </si>
  <si>
    <t>Hipersensitivitas. Gangguan ginjal berat (CrCl mL/menit).</t>
  </si>
  <si>
    <t>pipemidic acid</t>
  </si>
  <si>
    <t>infeksi gr - serius berat , disebabkan organisme peka strep , pneumokokus staph , bakteri anaerob</t>
  </si>
  <si>
    <t>urixin</t>
  </si>
  <si>
    <t>urixin tablet pipemidic acid infeksi gr  serius berat  disebabkan organisme peka strep  pneumokokus staph  bakteri anaerob</t>
  </si>
  <si>
    <t>DKL0304421501B1</t>
  </si>
  <si>
    <t>Urfamycin 500 mg 10 Kapsul</t>
  </si>
  <si>
    <t>Rp68.000 - Rp80.600</t>
  </si>
  <si>
    <t>Hamil dan laktasi, infeksi ringan atau untuk profilaksis</t>
  </si>
  <si>
    <t>urfamycin</t>
  </si>
  <si>
    <t>urfamycin kapsul thiamphenicol infeksi disebabkan salmonella  h influenzae infeksi meningeal  riketsia  bakteri gr  penyebab bakteremia  meningitis</t>
  </si>
  <si>
    <t>DKI1271601729A1</t>
  </si>
  <si>
    <t>Ultraproct-N Cream 10 g</t>
  </si>
  <si>
    <t>Rp139.800 - Rp146.200</t>
  </si>
  <si>
    <t>Oleskan pada daerah sekitar anus.</t>
  </si>
  <si>
    <t>PENGGUNAAN OBAT INI HARUS SESUAI DENGAN PETUNJUK DOKTER. oleskan 2-3 kali sehari.</t>
  </si>
  <si>
    <t>Ada proses TB atau sifilis pada area yang akan dionati. Penyakit virus (vaksinia, cacar air).</t>
  </si>
  <si>
    <t>HARUS DENGAN RESEP DOKTER. Hamil, laktasi , kontak dengan mata. Kategori Kehamilan : C</t>
  </si>
  <si>
    <t>ultraproctn cream</t>
  </si>
  <si>
    <t>ultraproctn cream krim fluocortolone pivalate hemoroid  fisura anal superfisial  proktitis  ekstrim anal  pengobatan pra pasca operasi</t>
  </si>
  <si>
    <t>SP Troches Meiji Rasa Melon 6 Tablet</t>
  </si>
  <si>
    <t>Rp12.700 - Rp15.700</t>
  </si>
  <si>
    <t>GKL0502337810A1</t>
  </si>
  <si>
    <t>Cilostazol 100 mg 10 Tablet</t>
  </si>
  <si>
    <t>Rp82.400 - Rp130.100</t>
  </si>
  <si>
    <t>Saat perut kosong. Diminum 1 jam sebelum makan atau 2 jam setelah makan.</t>
  </si>
  <si>
    <t>PENGGUNAAN OBAT INI HARUS SESUAI DENGAN PETUNJUK DOKTER. Dewasa: 2 kali sehari 100 mg.</t>
  </si>
  <si>
    <t>INFORMASI OBAT INI HANYA UNTUK KALANGAN MEDIS. Pengobatan gejala iskemia seperti ulkus, rasa sakit dan dingin yang disebabkan karena adanya penyumbatan arteri kronis, pencegahan kambuhan infark otak.</t>
  </si>
  <si>
    <t>Congestive heart failure</t>
  </si>
  <si>
    <t>HARUS DENGAN RESEP DOKTER. Perdarahan, gagal jantung kongesi dan kehamilan.</t>
  </si>
  <si>
    <t>pengobatan gejala iskemia ulkus , sakit dingin disebabkan penyumbatan arteri kronis , pencegahan kambuhan infark otak</t>
  </si>
  <si>
    <t>cilostazol tablet pengobatan gejala iskemia ulkus  sakit dingin disebabkan penyumbatan arteri kronis  pencegahan kambuhan infark otak</t>
  </si>
  <si>
    <t>Aqua Maris Baby Nasal Spray 50 ml</t>
  </si>
  <si>
    <t>Semprotkan ke dalam lubang hidung sebanyak 2-6 kali sehari.</t>
  </si>
  <si>
    <t>aqua maris baby nasal</t>
  </si>
  <si>
    <t>aqua maris baby nasal tetes ofloxacin melegakan hidung tersumbat membersihkan saluran hidung harian mengatasi kekeringan hidung</t>
  </si>
  <si>
    <t>DKL0420601410C1</t>
  </si>
  <si>
    <t>Suprazid 300 mg 10 Tablet</t>
  </si>
  <si>
    <t>PENGGUNAAN OBAT INI HARUS SESUAI DENGAN PETUNJUK DOKTER. Dewasa : Kemoprofilaksis monoterapi : 4-5 mg/kg BB/hari atau 1 tablet perhari sebagai dosis tunggal. Terapi kombinasi dengan obat anti Tuberkulosis lain : 5 mg/kg BB/hari (maximum 1 tablet/hari) atau INH 15 mg/kg BB + Ethambutol 50 mg/kg BB + Streptomy</t>
  </si>
  <si>
    <t>Pengobatan dan pencegahan Tuberkulosis, sebagai monoterapi atau kombinasi dengan obat anti Tuberkulosis lain. Sebagai monoterapi pada Tuberkulosis primer ringan</t>
  </si>
  <si>
    <t>Reaksi hipersensitif berat, termasuk hepatitis akibat obat, penyakit hati akut. Epilepsi. Gangguan fungsi hati dan ginjal. Alkoholisme kronik</t>
  </si>
  <si>
    <t>HARUS DENGAN RESEP DOKTER. Pasien epilepsi yang diterapi secara simultan denganfenition. Kerusakan fungsi hati dan ginjal. Hepatitis berat pada penggunaan jangka pnjang atau konsumsi alkohol</t>
  </si>
  <si>
    <t>pengobatan pencegahan tuberkulosis , monoterapi kombinasi obat anti tuberkulosis  sebagai monoterapi tuberkulosis primer ringan</t>
  </si>
  <si>
    <t>suprazid</t>
  </si>
  <si>
    <t>suprazid tablet isoniazid pengobatan pencegahan tuberkulosis  monoterapi kombinasi obat anti tuberkulosis  sebagai monoterapi tuberkulosis primer ringan</t>
  </si>
  <si>
    <t>TR203639171</t>
  </si>
  <si>
    <t>Paramorina Active Grow Sirup 100 ml</t>
  </si>
  <si>
    <t>PARAMORINA AG</t>
  </si>
  <si>
    <t>Rp54.900 - Rp70.800</t>
  </si>
  <si>
    <t>Membantu mengatasi anak terlambat jalan dan membantu anak yang memiliki tinggi badan yang kurang ideal.</t>
  </si>
  <si>
    <t>paramorina ag</t>
  </si>
  <si>
    <t>membantu mengatasi anak terlambat jalan membantu anak memiliki badan ideal</t>
  </si>
  <si>
    <t>paramorina active grow</t>
  </si>
  <si>
    <t>paramorina active grow sirup paramorina ag membantu mengatasi anak terlambat jalan membantu anak memiliki badan ideal</t>
  </si>
  <si>
    <t>TR182616761</t>
  </si>
  <si>
    <t>Tresnojoyo Madu TJ Extra 250 g</t>
  </si>
  <si>
    <t>MADU TJ EXTRA</t>
  </si>
  <si>
    <t>Rp37.000 - Rp44.900</t>
  </si>
  <si>
    <t>Dapat dikonsumsi dengan roti atau dicampur air dingin, teh dan susu</t>
  </si>
  <si>
    <t>3 kali sehari, 1-2 sendok makan atau sesuai kebutuhan</t>
  </si>
  <si>
    <t>Membantu memelihara kesehatan dan membantu memelihara daya tahan tubuh</t>
  </si>
  <si>
    <t>madu tj extra</t>
  </si>
  <si>
    <t>membantu memelihara kesehatan membantu memelihara daya tahan tubuh</t>
  </si>
  <si>
    <t>tresnojoyo madu tj extra</t>
  </si>
  <si>
    <t>tresnojoyo madu tj extra madu madu tj extra membantu memelihara kesehatan membantu memelihara daya tahan tubuh</t>
  </si>
  <si>
    <t>Tresnojoyo Madu TJ Extra 150 g</t>
  </si>
  <si>
    <t>Rp27.800 - Rp30.600</t>
  </si>
  <si>
    <t>DKI1005500609A1</t>
  </si>
  <si>
    <t>Xyzal 5 mg 10 Tablet</t>
  </si>
  <si>
    <t>PENGGUNAAN OBAT INI HARUS SESUAI DENGAN PETUNJUK DOKTER. Dewasa dan anak diatas 12 tahun: sehari 1x5 mg</t>
  </si>
  <si>
    <t>INFORMASI OBAT INI HANYA UNTUK KALANGAN MEDIS. Rinitis alergi musiman, rinitis alergi perenial, urtikaria idiopatik kronik, rinitis alergi persisten</t>
  </si>
  <si>
    <t>Dus, 5 Blister @ 10 Kaplet Salut Selaput</t>
  </si>
  <si>
    <t>Penderita yang hipersensitif terhadap levocetirizine, gangguan ginjal berat, hamil dan menyusui.</t>
  </si>
  <si>
    <t>HARUS DENGAN RESEP DOKTER. Pasien dengan gangguan herediter intoleransi galaktosa, defisiensi laktose atau malabsorpsi glukosa-galaktosa</t>
  </si>
  <si>
    <t>rinitis alergi musiman , rinitis alergi perenial , urtikaria idiopatik kronik , rinitis alergi persisten</t>
  </si>
  <si>
    <t>xyzal</t>
  </si>
  <si>
    <t>xyzal kaplet levocetirizine dihydrochloride rinitis alergi musiman  rinitis alergi perenial  urtikaria idiopatik kronik  rinitis alergi persisten</t>
  </si>
  <si>
    <t>xyzal kaplet levocetirizine hydrochloride rinitis alergi musiman  rinitis alergi perenial  urtikaria idiopatik kronik  rinitis alergi persisten</t>
  </si>
  <si>
    <t>DKL9728909110A1</t>
  </si>
  <si>
    <t>Dexclosan 10 Tablet</t>
  </si>
  <si>
    <t>Rp2.300 - Rp4.600</t>
  </si>
  <si>
    <t>Saat makan</t>
  </si>
  <si>
    <t>PENGGUNAAN OBAT INI HARUS SESUAI DENGAN PETUNJUK DOKTER. 0,5-10mg per hari</t>
  </si>
  <si>
    <t>INFORMASI OBAT INI HANYA UNTUK KALANGAN MEDIS. Membantu mengobati rematik artritis, shock, asma bronkhial, dermatitis dan urtikaria, serta gejala alergik lainnya.</t>
  </si>
  <si>
    <t>Memiliki indikasi ulkus peptikum, infeksi jamur.</t>
  </si>
  <si>
    <t>HARUS DENGAN RESEP DOKTER. Hipotiroid, sirosis hati, terapi jangka lama</t>
  </si>
  <si>
    <t>membantu mengobati rematik artritis , shock , asma bronkhial , dermatitis urtikaria , gejala alergik</t>
  </si>
  <si>
    <t>dexclosan</t>
  </si>
  <si>
    <t>dexclosan tablet dexamethasone dexchlorpheniramine maleate membantu mengobati rematik artritis  shock  asma bronkhial  dermatitis urtikaria  gejala alergik</t>
  </si>
  <si>
    <t>TR162696531</t>
  </si>
  <si>
    <t>Madu TJ Panas Dalam 150 g</t>
  </si>
  <si>
    <t>Rp21.800 - Rp26.300</t>
  </si>
  <si>
    <t>diminum langsung atau dilarutkan air</t>
  </si>
  <si>
    <t>3 kali sehari 1-2 sendok makan</t>
  </si>
  <si>
    <t>Meredakan gejala panas dalam seperti sariawan, bibir pecah-pecah, tenggorokan kering, serta melegakan tenggorokan.</t>
  </si>
  <si>
    <t>Botol 150 G</t>
  </si>
  <si>
    <t>meredakan gejala panas sariawan , bibir pecah - pecah , tenggorokan kering , melegakan tenggorokan</t>
  </si>
  <si>
    <t>madu tj panas dalam madu meredakan gejala panas sariawan  bibir pecah  pecah  tenggorokan kering  melegakan tenggorokan</t>
  </si>
  <si>
    <t>TR193630501</t>
  </si>
  <si>
    <t>Sakura Darusyifa Sari Kurma Madu Angkak Plus Propolis Jambu Biji 470 g</t>
  </si>
  <si>
    <t>SAKURA DARUSYIFA</t>
  </si>
  <si>
    <t>Anak-anak : 3 kali sehari 1-2 sendok teh Dewasa : 3 kali sehari 1-2 sendok makan</t>
  </si>
  <si>
    <t>Dus, Botol @ 470 g</t>
  </si>
  <si>
    <t>Simpan ditempat sejuk dan kering. Hindari dari sinar matahari langsung</t>
  </si>
  <si>
    <t>sakura darusyifa</t>
  </si>
  <si>
    <t>sakura darusyifa sari kurma madu angkak plus propolis jambu biji</t>
  </si>
  <si>
    <t>sakura darusyifa sari kurma madu angkak plus propolis jambu biji madu sakura darusyifa membantu memelihara kesehatan</t>
  </si>
  <si>
    <t>DKL9621011138B1</t>
  </si>
  <si>
    <t>Pyricef Forte Dry Sirup 250 mg</t>
  </si>
  <si>
    <t>Rp126.600 - Rp128.000</t>
  </si>
  <si>
    <t>pyricef forte</t>
  </si>
  <si>
    <t>pyricef forte sirup cefadroxil monohydrate mengatasi infeksi saluran pernafasan  saluran kemih kelamin infeksi kulit jaringan lunak</t>
  </si>
  <si>
    <t>durocort sirup betamethasone dexchlorpheniramine maleate pengobatan kasus gangguan saluran pernapasan  alergi dermatologi  ocular gangguan inflamasi ocular</t>
  </si>
  <si>
    <t>FF142300581</t>
  </si>
  <si>
    <t>X-Gra 150 mg 10 Kapsul</t>
  </si>
  <si>
    <t>X-GRA</t>
  </si>
  <si>
    <t>2 kapsul / hari, diminum sebelum tidur secara rutin minimal selama 1 bulan.</t>
  </si>
  <si>
    <t>Meningkatkan stamina dan kesegaran tubuh, membantu meningkatkan stamina pria, membantu mengatasi disfungsi ereksi dan ejakulasi dini</t>
  </si>
  <si>
    <t>Dus, 4 Blister @ 10 Kapsul</t>
  </si>
  <si>
    <t>Hipersensitif terhadap bahan obat, kanker prostat, hipertensi berat dan gagal ginjal.</t>
  </si>
  <si>
    <t>x-gra</t>
  </si>
  <si>
    <t>meningkatkan stamen kesegaran tubuh , membantu meningkatkan stamen pria , membantu mengatasi disfungsi ereksi ejakulasi</t>
  </si>
  <si>
    <t>xgra</t>
  </si>
  <si>
    <t>xgra kapsul xgra meningkatkan stamen kesegaran tubuh  membantu meningkatkan stamen pria  membantu mengatasi disfungsi ereksi ejakulasi</t>
  </si>
  <si>
    <t>DKL9230902510A1</t>
  </si>
  <si>
    <t>Lexahist 4 mg 10 Tablet</t>
  </si>
  <si>
    <t>Rp1.200 - Rp1.600</t>
  </si>
  <si>
    <t>Manifestasi alergi di kulit / pada urtikaria dan angioderma</t>
  </si>
  <si>
    <t>DKL9131503409A1</t>
  </si>
  <si>
    <t>Renapar 10 Tablet</t>
  </si>
  <si>
    <t>Rp26.400 - Rp35.600</t>
  </si>
  <si>
    <t>INFORMASI OBAT INI HANYA UNTUK KALANGAN MEDIS. Suplemen K dan Mg pada penyakit Jantung dan Hati, Hipokalemia dan Hipomagnesia akibat pemakaian Diuretik jangka panjang</t>
  </si>
  <si>
    <t>Penyakit ginjal kronis, gangguan ekskresi kalium dan magnesium.</t>
  </si>
  <si>
    <t>HARUS DENGAN RESEP DOKTER. Penderita hiperkalemia dan hipermagnesema</t>
  </si>
  <si>
    <t>aspartate magnesium</t>
  </si>
  <si>
    <t>suplemen k mg penyakit jantung hati , hipokalemia hipomagnesia akibat pemakaian diuretik jangka</t>
  </si>
  <si>
    <t>renapar</t>
  </si>
  <si>
    <t>renapar kaplet aspartate magnesium suplemen k mg penyakit jantung hati  hipokalemia hipomagnesia akibat pemakaian diuretik jangka</t>
  </si>
  <si>
    <t>Tresnojoyo Madu TJ Extra 500 g</t>
  </si>
  <si>
    <t>Rp52.300 - Rp69.100</t>
  </si>
  <si>
    <t>DKL9832205837A1</t>
  </si>
  <si>
    <t>Nipe Sirup 100 ml</t>
  </si>
  <si>
    <t>PENGGUNAAN OBAT INI HARUS SESUAI DENGAN PETUNJUK DOKTER. Anak &gt; 6 tahun : 3-4 x sehari 2 sendok takar 5 mL, Anak 2-6 tahun : 3-4 x sehari 1 sendok takar 5 mL.</t>
  </si>
  <si>
    <t>Meredakan gejala yang berhubungan dengan influenza seperti Demam, Sakit Kepala, Pilek, Nyeri Otot dan Hidung tersumbat</t>
  </si>
  <si>
    <t>Asma, diabetes, hipertensi, gangguan jantung, dan gangguan pada tiroid</t>
  </si>
  <si>
    <t>HARUS DENGAN RESEP DOKTER. Gangguan ginjal, glaukoma, insomnia, gugup, sakit kepala, palpitasi. Dapat mengganggu kemampuan mengemudi atau menjalankan mesin. Hamil dan laktasi, anak &lt;2 tahun Kategori Kehamilan : C</t>
  </si>
  <si>
    <t>isothipendyl hydrochloride</t>
  </si>
  <si>
    <t>meredakan gejala berhubungan influenza demam , sakit kepala , pilek , nyeri otot hidung tersumbat</t>
  </si>
  <si>
    <t>nipe</t>
  </si>
  <si>
    <t>nipe sirup isothipendyl hydrochloride meredakan gejala berhubungan influenza demam  sakit kepala  pilek  nyeri otot hidung tersumbat</t>
  </si>
  <si>
    <t>TR212346461</t>
  </si>
  <si>
    <t>Konilife Fertilive 30 Kapsul</t>
  </si>
  <si>
    <t>KONILIFE FERTILIVE</t>
  </si>
  <si>
    <t>Rp168.000 - Rp188.700</t>
  </si>
  <si>
    <t>KONILIFE FERTILIVE merupakan obat tradisional dengan kandungan ekstrak akar Ashwagandha efektif membantu memelihara stamina pria</t>
  </si>
  <si>
    <t>konilife fertilive</t>
  </si>
  <si>
    <t>konilife fertilive obat tradisional kandungan ekstrak akar ashwagandha efektif membantu memelihara stamen pria</t>
  </si>
  <si>
    <t>konilife fertilive kapsul konilife fertilive obat tradisional kandungan ekstrak akar ashwagandha efektif membantu memelihara stamen pria</t>
  </si>
  <si>
    <t>DKL9618207533A1</t>
  </si>
  <si>
    <t>Nufaprim Sirup 60 ml</t>
  </si>
  <si>
    <t>Rp5.900 - Rp6.100</t>
  </si>
  <si>
    <t>PENGGUNAAN OBAT INI HARUS SESUAI DENGAN PETUNJUK DOKTER. Dosis anak usia 5-12 tahun : 2 x sehari 2 sendok teh. Dosis anak usia 6 bulan-5 tahun : 2 x sehari 1 sendok teh. Dosis anak usia 2-6 bulan : 2 x sehari 1/2 sendok teh.</t>
  </si>
  <si>
    <t>Infeksi saluran pernapasan, infeksi saluran pernapasan, infeksi saluran kemih, infeksi mikobakteri, demam tifus</t>
  </si>
  <si>
    <t>Pasien dengan riwayat alergi terhadap trimethoprim dan sulfamethoxazole, atau obat-obat golongan sulfonamide lainnya, pasien dengan gangguan hati dan ginjal yang berat, wanita hamil terutama menjelang kelahiran, anak &lt; 2 tahun</t>
  </si>
  <si>
    <t>HARUS DENGAN RESEP DOKTER. Pemakaian selama menyusui sebaiknya dikonsultasikan pada dokter. Penggunaan harus dihentikan jika tanda-tanda awal reaksi alergi seperti ruam, gatal, sakit tenggorokan, demam, arthralgia, pucat, atau tanda-tanda lainnya muncul. Hati-hati pada pasien yang mempunyai penyakit asma bronkial.</t>
  </si>
  <si>
    <t>infeksi saluran pernapasan , infeksi saluran pernapasan , infeksi saluran kemih , infeksi mikobakteri , demam tifus</t>
  </si>
  <si>
    <t>nufaprim</t>
  </si>
  <si>
    <t>nufaprim suspensi sulfamethoxazole infeksi saluran pernapasan  infeksi saluran pernapasan  infeksi saluran kemih  infeksi mikobakteri  demam tifus</t>
  </si>
  <si>
    <t>Pigeon Nose Cleaner (Aspirator Nasal)</t>
  </si>
  <si>
    <t>Letakkan ujung pompa ke hidung si kecil dan Ibu memompanya dengan perlahan.</t>
  </si>
  <si>
    <t>Alat untuk membantu menyedot lendir (ingus) dari hidung bayi, sehingga pernafasannya menjadi lebih lega.</t>
  </si>
  <si>
    <t>Sachet, @ 1 Piece</t>
  </si>
  <si>
    <t>Jangan masukkan bagian ujung yang berhubungan dengan hidung secara paksa kedalam lubang hidung bayi. Jangan gunakan pembersih hidung jika terdapat luka pada hidung bayi.</t>
  </si>
  <si>
    <t>alat membantu menyedot lendir ingus hidung bayi , pernafasannya lega</t>
  </si>
  <si>
    <t>pigeon nose cleaner aspirator nasal</t>
  </si>
  <si>
    <t>pigeon nose cleaner aspirator nasal  lemon oil alat membantu menyedot lendir ingus hidung bayi  pernafasannya lega</t>
  </si>
  <si>
    <t>Baby Safe Nasal Aspirator Nas01</t>
  </si>
  <si>
    <t>baby safe nasal aspirator nas</t>
  </si>
  <si>
    <t>baby safe nasal aspirator nas  lemon oil alat membantu menyedot lendir ingus hidung bayi  pernafasannya lega</t>
  </si>
  <si>
    <t>DTL8914704137A1</t>
  </si>
  <si>
    <t>Cohistan Expectorant Sirup 100 ml</t>
  </si>
  <si>
    <t>Rp42.600 - Rp55.200</t>
  </si>
  <si>
    <t>Dewasa : 3-4 x sehari 1 sendok makan (15 ml). Anak usia 7-12 tahun : 3-4 x sehari 1/2 sendok makan (15 ml). Anak usia 2-6 tahun : 3-4 x sehari 1 sendok teh (5 ml).</t>
  </si>
  <si>
    <t>Mencairkan sekresi/mukus Trakheobronkhial yang kental dan meredakan batuk produktif dan batuk karena alergi.</t>
  </si>
  <si>
    <t>Penyakit infeksi saluran napas bawah</t>
  </si>
  <si>
    <t>Cohistan Expectorant Sirup 60 ml</t>
  </si>
  <si>
    <t>Rp26.900 - Rp32.500</t>
  </si>
  <si>
    <t>DKL9118809338B1</t>
  </si>
  <si>
    <t>Opicef Forte Dry Sirup 60 ml</t>
  </si>
  <si>
    <t>Rp76.700 - Rp102.400</t>
  </si>
  <si>
    <t>Dus, Botol @60 ml</t>
  </si>
  <si>
    <t>opicef forte</t>
  </si>
  <si>
    <t>opicef forte sirup cefadroxil monohydrate mengatasi infeksi saluran pernafasan  saluran kemih kelamin infeksi kulit jaringan lunak</t>
  </si>
  <si>
    <t>QD193717001</t>
  </si>
  <si>
    <t>Sean Zalf Salep 6 g</t>
  </si>
  <si>
    <t>Bilas dan keringkan bagian kulit yang bermasalah.</t>
  </si>
  <si>
    <t>Oleskan salep secara merata pada area tersebut sebanyak 3x sehari.</t>
  </si>
  <si>
    <t>Membantu meringankan penyakit kulit seperti kudis, kurap, dan panu. Membantu melakukan proses pengelupasan kulit mati.</t>
  </si>
  <si>
    <t>acidum salycilicum</t>
  </si>
  <si>
    <t>membantu meringankan penyakit kulit kudis , kurap , panu  membantu prose pengelupasan kulit mati</t>
  </si>
  <si>
    <t>sean zalf</t>
  </si>
  <si>
    <t>sean zalf  acidum salycilicum membantu meringankan penyakit kulit kudis  kurap  panu  membantu prose pengelupasan kulit mati</t>
  </si>
  <si>
    <t>DKL9104205810A1</t>
  </si>
  <si>
    <t>Penmox 500 mg 10 Kaplet</t>
  </si>
  <si>
    <t>Rp23.300 - Rp39.900</t>
  </si>
  <si>
    <t>PENGGUNAAN OBAT INI HARUS SESUAI DENGAN PETUNJUK DOKTER. Dewasa dan anak dengan berat badan lebih dari 20 kg : 250-500 mg/hari. Anak dengan berat badan kurang dari 20 kg : 20-40 mg/kg berat badan/hari. Diberikan tiap 8 jam dalam dosis terbagi.</t>
  </si>
  <si>
    <t>Infeksi saluran nafas, saluran kemih dan kelamin, kulit dan infeksi lainnya yang disebabkan oleh mikroorganisme yang sensitif terhadap Amoksisilin.</t>
  </si>
  <si>
    <t>Hipersensitif terhadap Penisilin. Mononukleosis menular.</t>
  </si>
  <si>
    <t>HARUS DENGAN RESEP DOKTER. Hipersensitif terhadap Sefalosporin. Kerusakan ginjal. Leumia limfatik.</t>
  </si>
  <si>
    <t>infeksi saluran nafas , saluran kemih kelamin , kulit infeksi disebabkan mikroorganisme sensitif amoksisilin</t>
  </si>
  <si>
    <t>penmox</t>
  </si>
  <si>
    <t>penmox tablet amoxicillin trihydrate infeksi saluran nafas  saluran kemih kelamin  kulit infeksi disebabkan mikroorganisme sensitif amoksisilin</t>
  </si>
  <si>
    <t>DKL0111633037A1</t>
  </si>
  <si>
    <t>Woods Peppermint Antitussive Sirup 100 ml</t>
  </si>
  <si>
    <t>Rp36.000 - Rp40.700</t>
  </si>
  <si>
    <t>Hipersensitif, Wanita hamil dan menyusui, penderita glaucoma, asma bronkhial, kegagalan pernafasan sebaiknya tidak menggunakan obat ini.</t>
  </si>
  <si>
    <t>Hati-hati penggunaan pada pasien peminum alkohol atau obat penenang, gangguan fungsi hati. Selama pemakaian jangan mengemudikan kendaraan bermotor atau menjalankan mesin. Tidak dianjurkan untuk batuk berdahak. Jika batuk tidak berkurang atau bertambah berat setelah 3 hari segera hubungi dokter. Tidak dianjurkan untuk anak-anak dibawah 6 tahun, kecuali atas petunjuk dokter. Hati-hati untuk penderita dalam keadaan mengantuk, debil dan hipoksia (kekurangan oksigen).</t>
  </si>
  <si>
    <t>woods peppermint antitussive sirup dextromethorphan hydrobromide diphenhydramine hydrochloride gejala batuk non  produktif tidak berdahak disertai alergi</t>
  </si>
  <si>
    <t>TR142276181</t>
  </si>
  <si>
    <t>Komix Lo Han Kuo 4 Sachet</t>
  </si>
  <si>
    <t>KOMIX LO HAN KUO+</t>
  </si>
  <si>
    <t>Rp8.500 - Rp12.200</t>
  </si>
  <si>
    <t>Larutkan 1 stick pack dengan 200 ml air hangat.</t>
  </si>
  <si>
    <t>Dewasa : 3 x 1 stick pack per hari.</t>
  </si>
  <si>
    <t>Membantu meredakan panas dalam, melegakan tenggorokan dan gejala batuk.</t>
  </si>
  <si>
    <t>Dus, 4 Sachet @ 7 g</t>
  </si>
  <si>
    <t>Simpan pada suhu di bawah 30 C</t>
  </si>
  <si>
    <t>komix lo han kuo+</t>
  </si>
  <si>
    <t>membantu meredakan panas , melegakan tenggorokan gejala batuk</t>
  </si>
  <si>
    <t>komix lo han kuo</t>
  </si>
  <si>
    <t>komix lo han kuo sachet komix lo han kuo membantu meredakan panas  melegakan tenggorokan gejala batuk</t>
  </si>
  <si>
    <t>vibramox sirup amoxicillin trihydrate infeksi saluran nafas  saluran cerna  saluran kemih  kulit jaringan lunak  osteomielitis  tiroid</t>
  </si>
  <si>
    <t>DKL1021016009A2</t>
  </si>
  <si>
    <t>Vibranat 6 Kaplet</t>
  </si>
  <si>
    <t>Rp98.400 - Rp121.500</t>
  </si>
  <si>
    <t>Sebelum / sesudah makan, dihabiskan</t>
  </si>
  <si>
    <t>PENGGUNAAN OBAT INI HARUS SESUAI DENGAN PETUNJUK DOKTER. Dewasa &amp; anak berusia &gt; 12 tahun : untuk infeksi ringan 250 mg 3 kali sehari setiap hari. Sedangkan untuk infeksi berat 1 kaplet 3 kali sehari setiap hari</t>
  </si>
  <si>
    <t>Infeksi di saluran pernfasan bagian atas &amp; bawah, infeksi di saluran kemih, infeksi di kulit &amp; jaringan lunak, infeksi di tulang &amp; persendian</t>
  </si>
  <si>
    <t>Dus, 5 Strip @ Kaplet Salut Selaput</t>
  </si>
  <si>
    <t>Hipersensitifitas. Bayi yang lahir dari ibu yang mempunyai hipersensitifitas terhadap penisilin atau derivatnya. Riwayat jaundice cholestatic (fungsi hati yang terganggu)</t>
  </si>
  <si>
    <t>HARUS DENGAN RESEP DOKTER. Penyakit hati berat, kelainan pada ginjal</t>
  </si>
  <si>
    <t>infeksi saluran pernfasan , infeksi saluran kemih , infeksi kulit jaringan lunak , infeksi tulang persendian</t>
  </si>
  <si>
    <t>vibranat</t>
  </si>
  <si>
    <t>vibranat kaplet amoxicillin infeksi saluran pernfasan  infeksi saluran kemih  infeksi kulit jaringan lunak  infeksi tulang persendian</t>
  </si>
  <si>
    <t>phenylephrine hydrochloride zinc sulfate heptahydrate</t>
  </si>
  <si>
    <t>zinc prima eye tetes phenylephrine hydrochloride zinc sulfate heptahydrate mengurangi ketegangan kelelahan mata membaca  menonton televisi</t>
  </si>
  <si>
    <t>DKL9505507409B1</t>
  </si>
  <si>
    <t>Danoclav Kaplet</t>
  </si>
  <si>
    <t>Rp10.700 - Rp11.500</t>
  </si>
  <si>
    <t>PENGGUNAAN OBAT INI HARUS SESUAI DENGAN PETUNJUK DOKTER. Dewasa dan anak &gt; 12 tahun infeksi ringan : 250 mg. infeksi berat : 500 mg. diberikan 3 kali sehari</t>
  </si>
  <si>
    <t>Infeksi sal nafas atas dan bawah, infeksi jar lunak, ISK, osteomielitis, peritoditis, infeksi pasca operasi</t>
  </si>
  <si>
    <t>Kaplet 500 Mg X 30</t>
  </si>
  <si>
    <t>Hipersensitif terhadap penisilin. Bayi lahir dari ibu yang hipersensitif terhadap penisilin</t>
  </si>
  <si>
    <t>HARUS DENGAN RESEP DOKTER. Gangguan ginjal</t>
  </si>
  <si>
    <t>infeksi sal nafas , infeksi jar lunak , isk , osteomielitis , peritoditis , infeksi pasca operasi</t>
  </si>
  <si>
    <t>danoclav</t>
  </si>
  <si>
    <t>danoclav kaplet amoxicillin trihydrate infeksi sal nafas  infeksi jar lunak  isk  osteomielitis  peritoditis  infeksi pasca operasi</t>
  </si>
  <si>
    <t>DKL0307915501A1</t>
  </si>
  <si>
    <t>Hicholfen Kapsul 100 mg</t>
  </si>
  <si>
    <t>Rp700 - Rp1.000</t>
  </si>
  <si>
    <t>PENGGUNAAN OBAT INI HARUS SESUAI DENGAN PETUNJUK DOKTER. 1 x sehari 1 kapsul</t>
  </si>
  <si>
    <t>INFORMASI OBAT INI HANYA UNTUK KALANGAN MEDIS. Mengurangi kadar kolesterol dan trigliserida dalam serum pada pasien hiperlipidemia tipe IIa, IIb, III, IV &amp; V.</t>
  </si>
  <si>
    <t>Dus,5 Strip @ 6 Kapsul</t>
  </si>
  <si>
    <t>Hipersensitivitas. Gangguan hati dan atau ginjal berat. Anak.</t>
  </si>
  <si>
    <t>HARUS DENGAN RESEP DOKTER. Beritahu dokter jika menggunakan warfarin. Berkonsultasi dengan dokter jika Anda memiliki ginjal atau hati gangguan, diabetes, hipertiroidisme, ginjal atau hati penyakit, gangguan otot atau kurang terkontrol diabetes mellitus. Memonitor tes fungsi hati dan jumlah darah secara teratur.Kategori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</si>
  <si>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mengurangi kadar kolesterol trigliserida serum pasien hiperlipidemia tipe iia , iib , ii , iv v</t>
  </si>
  <si>
    <t>hicholfen</t>
  </si>
  <si>
    <t>hicholfen kapsul fenofibrate mengurangi kadar kolesterol trigliserida serum pasien hiperlipidemia tipe iia  iib  ii  iv v</t>
  </si>
  <si>
    <t>DKL9505015001B1</t>
  </si>
  <si>
    <t>Dexycol 500 mg 10 Kapsul</t>
  </si>
  <si>
    <t>INFORMASI OBAT INI HANYA UNTUK KALANGAN MEDIS. Infeksi yang disebabkan Salmonella, H influenzae terutama infeksi meningeal, riketsia, bakteri Gr - penyebab bakteremia,meningitis</t>
  </si>
  <si>
    <t>Hipersensitif. Kelainan hematopoietik, anuria, gangguan fungsi hati atau ginjal berat. Tidak untuk profilaksis</t>
  </si>
  <si>
    <t>dexycol</t>
  </si>
  <si>
    <t>dexycol kapsul thiamphenicol infeksi disebabkan salmonella  h influenzae infeksi meningeal  riketsia  bakteri gr  penyebab bakteremia  meningitis</t>
  </si>
  <si>
    <t>DKL0331108237A1</t>
  </si>
  <si>
    <t>Vosea Sirup 30 ml</t>
  </si>
  <si>
    <t>Rp8.000 - Rp10.300</t>
  </si>
  <si>
    <t>Diberikan 1/2 jam sebelum makan</t>
  </si>
  <si>
    <t>PENGGUNAAN OBAT INI HARUS SESUAI DENGAN PETUNJUK DOKTER. Dewasa di atas 12 tahun : 3 kali sehari, 1-2 sendok takar, Anak - anak : Maks. 0,5 mg/kg BB sehari dibagi dalam beberapa takaran</t>
  </si>
  <si>
    <t>Mual dan muntah karena obat radiasi, atau pasca operasi. Meringan kan perasaan panas yang berhubungan dengan refluks esofagitis.</t>
  </si>
  <si>
    <t>Obstruksi, perdarahan dan perforasi saluran cerna, epilepsi, feokromositoma dan gangguan ekstrapiramidal. Hipersensitif terhadap metoclopramide HCl</t>
  </si>
  <si>
    <t>HARUS DENGAN RESEP DOKTER. Usia lanjut,Anak, Hamil dan laktasi. Hipersensivitas pada prokain dan prokainamid, gangguan fungsi ginjal, gangguan mental seperti depresi. Dapat mengganggu kemampuan mengemudi atau menjalankan mesin.</t>
  </si>
  <si>
    <t>mual muntah obat radiasi , pasca operasi  meringan perasaan panas berhubungan refluks esofagitis</t>
  </si>
  <si>
    <t>vosea</t>
  </si>
  <si>
    <t>vosea sirup metoclopramide hydrochloride mual muntah obat radiasi  pasca operasi  meringan perasaan panas berhubungan refluks esofagitis</t>
  </si>
  <si>
    <t>DKL0611636982A1</t>
  </si>
  <si>
    <t>Vomitas FDT 10 mg 10 Tablet</t>
  </si>
  <si>
    <t>INFORMASI OBAT INI HANYA UNTUK KALANGAN MEDIS. Dispesia fungsional, mual akut dan muntah-muntah, termasuk yang disebabkan karena levodopa dan bromokriptin yang lama terapinya lebih dari 12 minggu.</t>
  </si>
  <si>
    <t>Dus, 5 Blister @ 10 Tablet Cepat Larut</t>
  </si>
  <si>
    <t>vomitas fdt</t>
  </si>
  <si>
    <t>vomitas fdt tablet domperidone dispesia fungsional  mual akut muntah  muntah  disebabkan levodopa bromokriptin terapinya 12 minggu</t>
  </si>
  <si>
    <t>provomer tablet pyrathiazine theoclate pyridoxine hydrochloride muntah hamil  pasca operasi  gangguan saluran cerna  mual  mabuk kendaraan</t>
  </si>
  <si>
    <t>GKL0319925301A1</t>
  </si>
  <si>
    <t>Gemfibrozil 300 mg 10 Kapsul</t>
  </si>
  <si>
    <t>Rp6.900 - Rp14.000</t>
  </si>
  <si>
    <t>PENGGUNAAN OBAT INI HARUS SESUAI DENGAN PETUNJUK DOKTER. 2 kapsul 2 x sehari</t>
  </si>
  <si>
    <t>INFORMASI OBAT INI HANYA UNTUK KALANGAN MEDIS. Pengobatan hiperkolesterolemia, mencegah resiko timbulnya penyakit jantung koroner dengan menurunkan LDL dan menaikkan hdl, pengobatan hipertrigliseridemia</t>
  </si>
  <si>
    <t>Dus, 10 Blister @ 10 kapsul</t>
  </si>
  <si>
    <t>hipersensitif, batu empedu, bayi baru lahir, anak-anak, wanita hamil, menyusui</t>
  </si>
  <si>
    <t>HARUS DENGAN RESEP DOKTER. Penderita dengan gangguan fungsi hati dan ginjal yang berat, penyakit kandung empedu dan penderita yang hipersensitif terhadap gemfibrozil Kategori Kehamilan : C</t>
  </si>
  <si>
    <t>pengobatan hiperkolesterolemia , mencegah resiko timbulnya penyakit jantung koroner menurunkan ldl menaikkan hdl , pengobatan hipertrigliseridemia</t>
  </si>
  <si>
    <t>gemfibrozil kapsul pengobatan hiperkolesterolemia  mencegah resiko timbulnya penyakit jantung koroner menurunkan ldl menaikkan hdl  pengobatan hipertrigliseridemia</t>
  </si>
  <si>
    <t>Pamol 500 mg 4 Tablet</t>
  </si>
  <si>
    <t>Rp4.400 - Rp5.000</t>
  </si>
  <si>
    <t>Dus, 25 Catch Cover @ 4 Tablet</t>
  </si>
  <si>
    <t>pamol tablet paracetamol meredakan sakit kepala  sakit gigi  nyeri otot  menurunkan demam menyertai flu paska vaksinasi</t>
  </si>
  <si>
    <t>prednisolone acetate polymyxin b sulfate neomycin sulfate</t>
  </si>
  <si>
    <t>cendo polypred minidose tetes prednisolone acetate polymyxin b sulfate neomycin sulfate tetes mata steril infeksi mata</t>
  </si>
  <si>
    <t>vomceran tablet ondansetron hydrochloride dihydrate pega mual muntah diinduksi kemoterapi sitotoksik radioterapi  mual muntah pasca operasi</t>
  </si>
  <si>
    <t>DKL8703807746A1</t>
  </si>
  <si>
    <t>Cendo Conal Eye Drops 5 ml</t>
  </si>
  <si>
    <t>Rp25.700 - Rp28.900</t>
  </si>
  <si>
    <t>PENGGUNAAN OBAT INI HARUS SESUAI DENGAN PETUNJUK DOKTER. 1-2 tetes pada mata yang sakit 3-4 kali sehari atau sesuai kebutuhan</t>
  </si>
  <si>
    <t>Cendo Conal merupakan tetes mata untuk meringankan alergi ringan dan peradangan pada mata merah</t>
  </si>
  <si>
    <t>mepyramine maleate</t>
  </si>
  <si>
    <t>cendo conal tetes mata meringankan alergi ringan peradangan mata merah</t>
  </si>
  <si>
    <t>cendo conal eye</t>
  </si>
  <si>
    <t>cendo conal eye tetes mepyramine maleate cendo conal tetes mata meringankan alergi ringan peradangan mata merah</t>
  </si>
  <si>
    <t>Cendo Conal Minidose 0.6 ml</t>
  </si>
  <si>
    <t>Rp27.600 - Rp28.200</t>
  </si>
  <si>
    <t>PENGGUNAAN OBAT INI HARUS SESUAI DENGAN PETUNJUK DOKTER. Teteskan 1-2 tetes sehari, 3-4 kali pada mata yang sakit diatas katung konjungtiva.</t>
  </si>
  <si>
    <t>Tetes mata 0,6 ml x 5</t>
  </si>
  <si>
    <t>cendo conal minidose</t>
  </si>
  <si>
    <t>cendo conal minidose tetes mepyramine maleate cendo conal tetes mata meringankan alergi ringan peradangan mata merah</t>
  </si>
  <si>
    <t>DKL1035306882A1</t>
  </si>
  <si>
    <t>Vomistop FT 10 mg 10 Tablet</t>
  </si>
  <si>
    <t>Rp53.600 - Rp54.200</t>
  </si>
  <si>
    <t>vomistop ft</t>
  </si>
  <si>
    <t>vomistop ft tablet domperidone dispesia fungsional  mual akut muntah  muntah  disebabkan levodopa bromokriptin terapinya 12 minggu</t>
  </si>
  <si>
    <t>DKL9906402804B1</t>
  </si>
  <si>
    <t>Erphatrim Forte 10 Kaplet</t>
  </si>
  <si>
    <t>Rp6.100 - Rp10.100</t>
  </si>
  <si>
    <t>PENGGUNAAN OBAT INI HARUS SESUAI DENGAN PETUNJUK DOKTER. Dewasa dan anak usia lebih 12 tahun : 2 x sehari 1 kaplet selama 10 - 14 hari. Shigellosis : 2 x sehari 2 kaplet selama 5 hari. Anak usia 6 - 12 tahun : 2 x sehari 1/2 kaplet selama 10 - 14 hari. Shigellosis : 2 x sehari 1/2 kaplet selama 5 hari. Dikonsumsi bersamaan dengan makanan</t>
  </si>
  <si>
    <t>Infeksi saluran kemih, infeksi gastro intestinal, saluran nafas, telinga hidung tenggorokan, toksoplasmosis.</t>
  </si>
  <si>
    <t>HARUS DENGAN RESEP DOKTER. Saat menggunakan obat ini agar minum air yang banyak untuk mencegah kristaluria. Penderita dengan kegagalan fungsi ginjal, dosis harus dikurangi. Pemberiannya harus dijarangkan untuk menghindari efek kumulatif dalam darah. Pada pengobatan jangka panjang dianjurkan pemeriksaan darah yang teratur dan berkala, karena ada kemungkinan terjadi diskrasia darah. Tidak untuk mengobati faringitis yang disebabkan oleh Beta hemolitik streptococcus grup A Hentikan penggunaan cotrimoxazole bila sejal awal penggunaan ditemukan ruam kulit atau tanda-tanda efek samping lain yang serius.</t>
  </si>
  <si>
    <t>infeksi saluran kemih , infeksi gastro intestinal , saluran nafas , telinga hidung tenggorokan , toksoplasmosis</t>
  </si>
  <si>
    <t>erphatrim forte</t>
  </si>
  <si>
    <t>erphatrim forte kaplet sulfamethoxazole infeksi saluran kemih  infeksi gastro intestinal  saluran nafas  telinga hidung tenggorokan  toksoplasmosis</t>
  </si>
  <si>
    <t>DKL1940405201B1</t>
  </si>
  <si>
    <t>Zemyc Kapsul 150 mg</t>
  </si>
  <si>
    <t>PENGGUNAAN OBAT INI HARUS SESUAI DENGAN PETUNJUK DOKTER. - Kandidiasis vulvovag: Dewasa hari ke-1 150 mg dosis tunggal. - Kandidiasis sistemik: Dewasa hari ke-1 400 mg dosis tunggal, dilanjutkan dengan 200 mg 1 kali sehari selama 4 minggu dan 2 minggu setelah terjadi perbaikan gejala. - Kandidiasis esofageal: Dewasa: 50 mg 1 kali sehari selama 14-30 hari. - Kandidiasis orofaringeal: Dewasa 50 mg 1 kali sehari selama 1-2 minggu. - Meningitis akibat cryptococcuc neoformans: Dewasa hari ke-1 400 mg dosis tunggal, dilanjutkan dengan 200-400 mg 1 kali sehari selama 10-12 minggu setelah cairan serebrospinal steril. Supresi relaps pada pasien dengan AIDS 200 mg 1 kali sehari.</t>
  </si>
  <si>
    <t>INFORMASI OBAT INI HANYA UNTUK KALANGAN MEDIS. Terapi kandidiasis vulvovag, esofangeal, orofaringeal, dan infeksi kandidiasis sistemik yang serius dan meningitis akibat cryptococcus neoformans</t>
  </si>
  <si>
    <t>Dus, 3 Strip @ 1 Kapsul</t>
  </si>
  <si>
    <t>Hipersensitif terhadap fluconazole. Penggunaan bersamaan dengan erythromycin.</t>
  </si>
  <si>
    <t>HARUS DENGAN RESEP DOKTER. Gangguan fungsi hati, usia kurang dari 16 tahun, hipersensitif terhadap fluconazole dan golongan azole.</t>
  </si>
  <si>
    <t>terapi kandidiasis vulvovag , esofangeal , orofaringeal , infeksi kandidiasis sistemik serius meningitis akibat cryptococcus neoformans</t>
  </si>
  <si>
    <t>zemyc</t>
  </si>
  <si>
    <t>zemyc kapsul fluconazole terapi kandidiasis vulvovag  esofangeal  orofaringeal  infeksi kandidiasis sistemik serius meningitis akibat cryptococcus neoformans</t>
  </si>
  <si>
    <t>bodrex flu kaplet paracetamol phenylephrine hydrochloride meredakan gejala flu hidung tersumbat  bersin  bersin  demam  sakit kepala</t>
  </si>
  <si>
    <t>DKL9513306301B1</t>
  </si>
  <si>
    <t>Lacophen 500 mg 10 Kapsul</t>
  </si>
  <si>
    <t>Rp59.500 - Rp62.400</t>
  </si>
  <si>
    <t>lacophen kapsul thiamphenicol infeksi disebabkan salmonella  h influenzae infeksi meningeal  riketsia  bakteri gr  penyebab bakteremia  meningitis</t>
  </si>
  <si>
    <t>zultrop suspensi sulfamethoxazole trimethoprim pengobatan infeksi saluran pencernaan  saluran pernapasan  kulit infeksi disebabkan mikroorganisme rentan kotrimoksazol</t>
  </si>
  <si>
    <t>TL162500021</t>
  </si>
  <si>
    <t>Ardium 1000 mg 10 Tablet</t>
  </si>
  <si>
    <t>ARDIUM 1000</t>
  </si>
  <si>
    <t>Rp211.000 - Rp232.200</t>
  </si>
  <si>
    <t>Sebaiknya diberikan bersama makanan: diberikan saat makan.</t>
  </si>
  <si>
    <t>Untuk gangguan peredaran darah di kaki/varises dan wasir kronik: 2 tablet/hari. Untuk wasir akut: 3 tablet/hari selama 4 hari, kemudian 2 tablet/hari selama 3 hari.</t>
  </si>
  <si>
    <t>Membantu meringankan gangguan peredaran darah di kaki/ varises. Membantu meringankan wasir kronik dan akut.</t>
  </si>
  <si>
    <t>ardium 1000</t>
  </si>
  <si>
    <t>ardium tablet ardium 1000 membantu meringankan gangguan peredaran darah kaki varises  membantu meringankan wasir kronik akut</t>
  </si>
  <si>
    <t>DKL0633207938B1</t>
  </si>
  <si>
    <t>Vroxil Forte Sirup 60 ml</t>
  </si>
  <si>
    <t>Rp77.700 - Rp86.800</t>
  </si>
  <si>
    <t>vroxil forte</t>
  </si>
  <si>
    <t>vroxil forte sirup cefadroxil monohydrate mengatasi infeksi saluran pernafasan  saluran kemih kelamin infeksi kulit jaringan lunak</t>
  </si>
  <si>
    <t>DKL0535303038B1</t>
  </si>
  <si>
    <t>Vocefa Forte Dry Sirup 60 ml</t>
  </si>
  <si>
    <t>Rp84.600 - Rp103.200</t>
  </si>
  <si>
    <t>vocefa forte</t>
  </si>
  <si>
    <t>vocefa forte sirup cefadroxil monohydrate mengatasi infeksi saluran pernafasan  saluran kemih kelamin infeksi kulit jaringan lunak</t>
  </si>
  <si>
    <t>TR142578011</t>
  </si>
  <si>
    <t>Jesscool Jeruk Nipis Effervescent 6 Tablet</t>
  </si>
  <si>
    <t>JESSCOOL</t>
  </si>
  <si>
    <t>Pencegahan dewasa: sehari 1 x 1 tablet. Anak 6-12 tahun : 1/2 tablet sehari 1 x. pengobatan dewasa: sehari 2-3 x 1 tablet. Anak 6-12 tahun: sehari 2-3 x 1/2 tablet</t>
  </si>
  <si>
    <t>Untuk pencegahan dan pengobatan nyeri tenggorokan,skorbut, bibir pecah-pcah, konstipasi</t>
  </si>
  <si>
    <t>Tablet Eff 1 X 1</t>
  </si>
  <si>
    <t>jesscool</t>
  </si>
  <si>
    <t>untuk pencegahan pengobatan nyeri tenggorokan , skorbut , bibir pecah - pcah , konstipasi</t>
  </si>
  <si>
    <t>jesscool jeruk nipis effervescent</t>
  </si>
  <si>
    <t>jesscool jeruk nipis effervescent tablet jesscool untuk pencegahan pengobatan nyeri tenggorokan  skorbut  bibir pecah  pcah  konstipasi</t>
  </si>
  <si>
    <t>DKL1609223936A1</t>
  </si>
  <si>
    <t>Roverton Drops 15 ml</t>
  </si>
  <si>
    <t>Rp17.500 - Rp38.100</t>
  </si>
  <si>
    <t>PENGGUNAAN OBAT INI HARUS SESUAI DENGAN PETUNJUK DOKTER. Drops: 15mg/ml drops (1 ml = 20 tetes) Anak-anak s/d 2 tahun: 0.5 ml (10 tetes) 2 x sehari.</t>
  </si>
  <si>
    <t>INFORMASI OBAT INI HANYA UNTUK KALANGAN MEDIS. Sebagai sekretolitik pada gangguan saluran nafas akut dan kronis khususnya pada eksaserbasi bronkitis kronis dan bronkitis asmatik.</t>
  </si>
  <si>
    <t>Hipersensitif terhadap Ambroxol.</t>
  </si>
  <si>
    <t>HARUS DENGAN RESEP DOKTER. Ambroxol hanya dapat digunakan selama kehamilan (terutama trisemester awal) dan menyusui jika memang benar-benar diperlukan.</t>
  </si>
  <si>
    <t>sebagai sekretolitik gangguan saluran nafas akut kronis eksaserbasi bronkitis kronis bronkitis asmatik</t>
  </si>
  <si>
    <t>roverton</t>
  </si>
  <si>
    <t>roverton tetes ambroxol hydrochloride sebagai sekretolitik gangguan saluran nafas akut kronis eksaserbasi bronkitis kronis bronkitis asmatik</t>
  </si>
  <si>
    <t>DKL9808010838A1</t>
  </si>
  <si>
    <t>Leomoxyl Dry Syrup 125 mg/5 ml 60 ml</t>
  </si>
  <si>
    <t>Rp30.300 - Rp36.400</t>
  </si>
  <si>
    <t>PENGGUNAAN OBAT INI HARUS SESUAI DENGAN PETUNJUK DOKTER. Dewasa &amp; Anak &gt; 20 kg 250-500 mg 3 x sehari. Anak &gt; 8 kg 125-250 mg. Diberikan tiap 8 jam.Gonorrhoea 3 g sebagai dosis tunggal.</t>
  </si>
  <si>
    <t>Infeksi saluran pernafasan bagian atas, infeksi saluran kemih, tifus dan paratifus, infeksi kulit dan jaringan lunak.</t>
  </si>
  <si>
    <t>Hipersensitif terhadap penisilin. Mononukleosis menular.</t>
  </si>
  <si>
    <t>HARUS DENGAN RESEP DOKTER. Kerusakan ginjal atau hati</t>
  </si>
  <si>
    <t>infeksi saluran pernafasan , infeksi saluran kemih , tifus paratifus , infeksi kulit jaringan lunak</t>
  </si>
  <si>
    <t>leomoxyl sirup amoxicillin trihydrate infeksi saluran pernafasan  infeksi saluran kemih  tifus paratifus  infeksi kulit jaringan lunak</t>
  </si>
  <si>
    <t>DTL1322722137A2</t>
  </si>
  <si>
    <t>Bodrex Flu Dan Batuk Tidak Berdahak Pe Sirup 60 ml</t>
  </si>
  <si>
    <t>Rp10.500 - Rp12.600</t>
  </si>
  <si>
    <t>Meredakan gejala flu yang disertai dengan batuk kering</t>
  </si>
  <si>
    <t>Peka terhadap obat simpatomimetik lain, hipertensi berat dan gangguan fungsi hati, terapi bersama dengan MAOI</t>
  </si>
  <si>
    <t>Gangguan fungsi hati dan ginjal, glaukoma, hipertrofi prostat, hipertiroid, penyakit jantung, DM. Dapat meningkatkan risiko gangguan fungsi hati pada pasien yang mengkonsumsi alkohol. Pasien dalam kondisi lemah fisik dan hipoksia. Hipertensi. Anak &lt;2 tahu</t>
  </si>
  <si>
    <t>meredakan gejala flu disertai batuk kering</t>
  </si>
  <si>
    <t>bodrex flu dan batuk tidak berdahak pe</t>
  </si>
  <si>
    <t>bodrex flu dan batuk tidak berdahak pe sirup dextromethorphan hydrobromide meredakan gejala flu disertai batuk kering</t>
  </si>
  <si>
    <t>Cendo Asthenof 15 mg Eye Drops 5 ml</t>
  </si>
  <si>
    <t>Rp25.000 - Rp30.300</t>
  </si>
  <si>
    <t>Teteskan pada mata yang terkena iritasi.</t>
  </si>
  <si>
    <t>Untuk meringankan gejala kemerahan pada mata serta mengurangi rasa tidak nyaman karena iritasi mata ringan.</t>
  </si>
  <si>
    <t>Hanya untuk pemakaian luar,Jangan dipakai jika larutan berubah warna atau keruhUntuk mencegah kontaminasi, jangan menyentuh ujung penetes,Botol ditutup rapat setelah dipakai,Jauhkan dari jangkauan anak-anak,Jika terasa sakit, gangguan penglihatan, terjadi kemerahan dan iritasi berlajut atau keadaan makin parah lebih dari 72 jam, hentikan pemakaian dan konsultasikan dengan dokter</t>
  </si>
  <si>
    <t>untuk meringankan gejala kemerahan mata mengurangi tidak nyaman iritasi mata ringan</t>
  </si>
  <si>
    <t>cendo asthenof eye</t>
  </si>
  <si>
    <t>cendo asthenof eye tetes hypromellose untuk meringankan gejala kemerahan mata mengurangi tidak nyaman iritasi mata ringan</t>
  </si>
  <si>
    <t>DTL1933215537A1</t>
  </si>
  <si>
    <t>Bromedcyl Plus Sirup 60 ml</t>
  </si>
  <si>
    <t>Rp31.300 - Rp42.700</t>
  </si>
  <si>
    <t>&gt;12 th: 2 sendok takar 3kali sehari, anak &lt;12 th: 1 sendok takar 3 kali sehari</t>
  </si>
  <si>
    <t>Bekerja sebagai Sekretolitik (mukolitik) dan ekspektoran untuk meredakan batuk berdahak dan mempermudah pengeluaran dahak</t>
  </si>
  <si>
    <t>Hipersensitif terhadap komponen obat, pasien yang menderita ulkus lambung</t>
  </si>
  <si>
    <t>bekerja sekretolitik mukolitik ekspektoran meredakan batuk berdahak mempermudah pengeluaran dahak</t>
  </si>
  <si>
    <t>bromedcyl plus</t>
  </si>
  <si>
    <t>bromedcyl plus sirup bromhexine hydrochloride guaifenesin bekerja sekretolitik mukolitik ekspektoran meredakan batuk berdahak mempermudah pengeluaran dahak</t>
  </si>
  <si>
    <t>DTL9731107234A1</t>
  </si>
  <si>
    <t>Bronkris Eliksir 60 ml</t>
  </si>
  <si>
    <t>Rp5.600 - Rp6.800</t>
  </si>
  <si>
    <t>Dewasa dan anak &gt;10 tahun : 2 sendok takar (10 ml), 3 kali sehari. Anak 5-10 tahun : 1 sendok takar (5 ml), 3 kali sehari. Anak 2-5 tahun : 1 sendok takar (5 ml), 2 kali sehari.</t>
  </si>
  <si>
    <t>Untuk mengobati batu berdahak, batuk karena flu, batuk karena asma, bronkitis akut atau kronis.</t>
  </si>
  <si>
    <t>DUs, Botol @ 60 ml</t>
  </si>
  <si>
    <t>Belum terdapat data kontraindikasi penggunaan obat Bromhexine HCl.</t>
  </si>
  <si>
    <t>Penderita tukak lambung. wanita hamil (terutama trimester 1)</t>
  </si>
  <si>
    <t>untuk mengobati batu berdahak , batuk flu , batuk asma , bronkitis akut kronis</t>
  </si>
  <si>
    <t>bronkris eliksir</t>
  </si>
  <si>
    <t>bronkris eliksir larutan bromhexine hydrochloride untuk mengobati batu berdahak  batuk flu  batuk asma  bronkitis akut kronis</t>
  </si>
  <si>
    <t>DKL0406502838A1</t>
  </si>
  <si>
    <t>Etabiotic Dry Sirup 60 ml</t>
  </si>
  <si>
    <t>Rp7.900 - Rp15.800</t>
  </si>
  <si>
    <t>PENGGUNAAN OBAT INI HARUS SESUAI DENGAN PETUNJUK DOKTER. Dewasa : 250 mg 4 kali sehari atau 500 mg 2 kali sehari. Anak 5 - 10 tahun : 125 - 250 mg, 2 - 5 tahun : 125 mg, &lt; 2 tahun : 62.5 mg. Diberikan 4 kali sehari. GO : 3.5 g + 1 g probenesid</t>
  </si>
  <si>
    <t>Infeksi bakteri Gr + dan Gr - pada sal nafas, sal Gl, sal biliari dan meningen. ISK</t>
  </si>
  <si>
    <t>Hipersensitivitas, pasien dengan riwayat alergi terhadap penisilin</t>
  </si>
  <si>
    <t>HARUS DENGAN RESEP DOKTER. Hipersensitif sefalosporin. Pemakaian jangka panjang membutuhkan pemeriksaan ginjal, hati dan hemopoeitik. Gangguan ginjal. Leukemia limfatik</t>
  </si>
  <si>
    <t>infeksi bakteri gr gr - sal nafas , sal gl , sal biliari meningen  isk</t>
  </si>
  <si>
    <t>etabiotic</t>
  </si>
  <si>
    <t>etabiotic sirup ampicillin trihydrate infeksi bakteri gr gr  sal nafas  sal gl  sal biliari meningen  isk</t>
  </si>
  <si>
    <t>- DEXTRAN 70. HYPROMELLOSE</t>
  </si>
  <si>
    <t>dextran 70 hypromellose</t>
  </si>
  <si>
    <t>alcon tears naturale ii tetes dextran 70 hypromellose mengatasi sindroma mata kering kekurangan sekresi air mata</t>
  </si>
  <si>
    <t>kaotin suspensi pectin kaolin kaotin suspensi membantu pengobatan simtomatik diare  pencernaan tidak normal  diare penyebab tidak</t>
  </si>
  <si>
    <t>DKL0903812546A1</t>
  </si>
  <si>
    <t>Cendo Glaoplus Minidose 0.6 ml</t>
  </si>
  <si>
    <t>Rp104.200 - Rp141.800</t>
  </si>
  <si>
    <t>PENGGUNAAN OBAT INI HARUS SESUAI DENGAN PETUNJUK DOKTER. 1 tetes 1 x sehari, penggunaan pada malam hari memberi efek yang optimal</t>
  </si>
  <si>
    <t>INFORMASI OBAT INI HANYA UNTUK KALANGAN MEDIS. Untuk menurunkan tekanan intra okular pada penderita open angle glaucoma dan hipertensi okular</t>
  </si>
  <si>
    <t>Dus, Catch Cover @ 5 Botol @ 0.6 ml</t>
  </si>
  <si>
    <t>untuk menurunkan tekanan intra okular penderita open angle glaucoma hipertensi okular</t>
  </si>
  <si>
    <t>cendo glaoplus minidose</t>
  </si>
  <si>
    <t>cendo glaoplus minidose tetes latanoprost untuk menurunkan teka intra okular penderita open angle glaucoma hipertensi okular</t>
  </si>
  <si>
    <t>DKL0903812446A1</t>
  </si>
  <si>
    <t>Cendo Glaopen Minidose 0.6 ml</t>
  </si>
  <si>
    <t>Rp99.100 - Rp161.400</t>
  </si>
  <si>
    <t>cendo glaopen minidose</t>
  </si>
  <si>
    <t>cendo glaopen minidose tetes latanoprost untuk menurunkan teka intra okular penderita open angle glaucoma hipertensi okular</t>
  </si>
  <si>
    <t>TR142679501</t>
  </si>
  <si>
    <t>Entrostop Anak Sirup 10 ml</t>
  </si>
  <si>
    <t>ENTROSTOP HERBAL ANAK</t>
  </si>
  <si>
    <t>Rp2.900 - Rp3.600</t>
  </si>
  <si>
    <t>Dewasa : 2 sachet 3 kali/hari. Anak-Anak umur 6-12 tahun: 1 sachet 3 kali/hari.</t>
  </si>
  <si>
    <t>Konstipasi.</t>
  </si>
  <si>
    <t>entrostop herbal anak</t>
  </si>
  <si>
    <t>entrostop anak</t>
  </si>
  <si>
    <t>entrostop anak sirup entrostop herbal anak membantu mengurangi frekuensi buang air mencret diare membantu memadatkan tinja</t>
  </si>
  <si>
    <t>GKL1740500717A1</t>
  </si>
  <si>
    <t>Dexketoprofen 25 mg 10 Tablet</t>
  </si>
  <si>
    <t>Rp37.100 - Rp44.900</t>
  </si>
  <si>
    <t>Diminum pada perut kosong, 30 menit sebelum makan tertama untuk meredakan nyeri akut dengan cepat.</t>
  </si>
  <si>
    <t>PENGGUNAAN OBAT INI HARUS SESUAI DENGAN PETUNJUK DOKTER. 12.5 mg tiap 4-6 jam atau 25 mg tiap 8 jam. Nyeri pasca operasi : 25 mg tiap 8 jam. Dosis maksimal 75 mg per hari.</t>
  </si>
  <si>
    <t>INFORMASI OBAT INI HANYA UNTUK KALANGAN MEDIS. Terapi simpatomimetik nyeri ringan hingga sedang seperti nyeri muskuloskeletal dan nyeri paska operasi, dismenore, sakit gigi</t>
  </si>
  <si>
    <t>Hipersensitivitas dengan OAINS lainnya, asma, bronkhopasme, rinitis akut, polip nasal, urtikaria, edema angioneurotik yang dipicu OAINS lainnya. Gangguan fungsi ginjal sedang dan berat, gangguan fungsi hati berat, hamil (trimester 3) dan laktasi.</t>
  </si>
  <si>
    <t>HARUS DENGAN RESEP DOKTER. Riwayat alergi obat, hipertensi tidak terkontrol, riwayat penyakit jantung, asma bronkial, esofagitis, gastritis, dan tukak peptik. Hentikan jika terjadi pendarahan atau tukak saluran cerna. Menghambat agregasi platelet dan memperpanjang waktu perdarahan. Tidak dianjurkan untuk penggunaan jangka panjang. Gangguan ginjal ringan, gangguan hati ringan dan sedang, lanjut usia dan hamil (trimester 1 &amp; 2).</t>
  </si>
  <si>
    <t>terapi simpatomimetik nyeri ringan nyeri muskuloskeletal nyeri paska operasi , dismenore , sakit gigi</t>
  </si>
  <si>
    <t>dexketoprofen tablet dexketoprofen trometamol terapi simpatomimetik nyeri ringan nyeri muskuloskeletal nyeri paska operasi  dismenore  sakit gigi</t>
  </si>
  <si>
    <t>DKL1940405201A1</t>
  </si>
  <si>
    <t>Zemyc 50 mg 10 Kapsul</t>
  </si>
  <si>
    <t>Rp199.900 - Rp284.500</t>
  </si>
  <si>
    <t>PENGGUNAAN OBAT INI HARUS SESUAI DENGAN PETUNJUK DOKTER. Kandidiasis vulvovag: Dewasa hari ke-1 150 mg dosis tunggal. Kandidiasis sistemik Dewasa hari ke-1 400 mg dosis tunggal, dilanjutkan dengan 200 mg 1 kali sehari selama 4 minggu dan 2 minggu setelah terjadi perbaikan gejala. Kandidiasis esofageal: Dewasa: 50 mg 1 kali sehari selama 14-30 hari. Kandidiasis orofaringeal: Dewasa 50 mg 1 kali sehari selama 1-2 minggu. Meningitis akibat cryptococcuc neoformans: Dewasa hari ke-1 400 mg dosis tunggal, dilanjutkan dengan 200-400 mg 1 kali sehari selama 10-12 minggu setelah cairan serebrospinal steril. Supresi relaps pada pasien dengan AIDS 200 mg 1 kali sehari.</t>
  </si>
  <si>
    <t>Terapi Kandidiasis Vulvovaginal, Esofageal, Orofaringeal dan infeksi Kandida sistemik serius, juga Meningitis akibat kriptokokus neoformans</t>
  </si>
  <si>
    <t>Dos Isi 1 Strip X 10 Tablet</t>
  </si>
  <si>
    <t>terapi kandidiasis vulvovaginal , esofageal , orofaringeal infeksi kandida sistemik serius , meningitis akibat kriptokokus neoformans</t>
  </si>
  <si>
    <t>zemyc kapsul fluconazole terapi kandidiasis vulvovaginal  esofageal  orofaringeal infeksi kandida sistemik serius  meningitis akibat kriptokokus neoformans</t>
  </si>
  <si>
    <t>TI174557371</t>
  </si>
  <si>
    <t>Kingto Luo Han Guo Peipa Hanpian 12 Tablet</t>
  </si>
  <si>
    <t>LUOHANGUO PEIPA HANPIAN</t>
  </si>
  <si>
    <t>Rp12.400 - Rp17.000</t>
  </si>
  <si>
    <t>Dihisap, 3 kali 1 tablet dalam sehari</t>
  </si>
  <si>
    <t>Membantu meredakan batuk berdahak serta tenggorokan kering.</t>
  </si>
  <si>
    <t>Dus, 2 Strip @ 6 Tablet</t>
  </si>
  <si>
    <t>Hati-hati pada penderita diabetes. Jauhkan dari jangkauan anak-anak. Simpan di tempat sejuk dan kering serta hindari dari sinar matahari.</t>
  </si>
  <si>
    <t>luohanguo peipa hanpian</t>
  </si>
  <si>
    <t>membantu meredakan batuk berdahak tenggorokan kering</t>
  </si>
  <si>
    <t>kingto luo han guo peipa hanpian</t>
  </si>
  <si>
    <t>kingto luo han guo peipa hanpian tablet luohanguo peipa hanpian membantu meredakan batuk berdahak tenggorokan kering</t>
  </si>
  <si>
    <t>DKL9407908938A1</t>
  </si>
  <si>
    <t>Fusaltrax Dry Sirup 60 ml</t>
  </si>
  <si>
    <t>Rp11.700 - Rp15.300</t>
  </si>
  <si>
    <t>PENGGUNAAN OBAT INI HARUS SESUAI DENGAN PETUNJUK DOKTER. Dws 3x 500mg , anak-anak 50 mg/kgBB /hari terbagi salam tiap 6 jam</t>
  </si>
  <si>
    <t>Tifoid, paratifoid, infeksi saluran nafas, ISK, bruselosis, salmonella sp,riketsia,meningitis,infeksi berat lainnya.</t>
  </si>
  <si>
    <t>Hipersensitif, anuria, ggn fungsi hati atau ginjal parah</t>
  </si>
  <si>
    <t>tifoid , paratifoid , infeksi saluran nafas , isk , bruselosis , salmonella sp , riketsia , meningitis , infeksi berat</t>
  </si>
  <si>
    <t>fusaltrax</t>
  </si>
  <si>
    <t>fusaltrax sirup thiamphenicol tifoid  paratifoid  infeksi saluran nafas  isk  bruselosis  salmonella sp  riketsia  meningitis  infeksi berat</t>
  </si>
  <si>
    <t>DTL0208507604A1</t>
  </si>
  <si>
    <t>Corhinza 10 Kaplet</t>
  </si>
  <si>
    <t>Rp4.300 - Rp4.400</t>
  </si>
  <si>
    <t>Dewasa : 1 kaplet 3 kali sehari, Anak-anak 6 - 12 tahun : 1/2 kaplet 3 kali sehari.</t>
  </si>
  <si>
    <t>Gejala-gejala Flu seperti Pilek, sakit Kepala, Hidung Tersumbat, Bersin-bersin yang terkait dengan Batuk</t>
  </si>
  <si>
    <t>hipersensitif terhadap salah satu komponen Corhinza, Pasien yang sensitif terhadap obat simpatomimetik lain</t>
  </si>
  <si>
    <t>Tidak boleh diberikan pada penderita yang diberikan obat simpatomimetik lain (mis: ephedrine, phenylpropanolamine). Hati-hati pada pasien tekanan darah tinggi. Hentikan penggunaan bila terjadi jantung berdebar, susah tidur, pusing. Tidak dianjurkan untuk anak-anak di bawah 6 tahun, wanita hamil dan menyusui</t>
  </si>
  <si>
    <t>gejala - gejala flu pilek , sakit kepala , hidung tersumbat , bersin - bersin terkait batuk</t>
  </si>
  <si>
    <t>corhinza</t>
  </si>
  <si>
    <t>corhinza kaplet chlorphenamine maleate gejala  gejala flu pilek  sakit kepala  hidung tersumbat  bersin  bersin terkait batuk</t>
  </si>
  <si>
    <t>DTL9322213737A1</t>
  </si>
  <si>
    <t>Tremenza Sirup 60 ml</t>
  </si>
  <si>
    <t>Rp28.900 - Rp33.000</t>
  </si>
  <si>
    <t>Dewasa &amp; Anak &gt; 12 tahun : 3 kali sehari 2 sendok takar (@10 ml). Anak 6-12 tahun : 3 kali sehari 1 sendok takar (@5 ml.). Anak 2-5 tahun : 3 kali sehari 0.5 sendok takar (@2.5 ml) .</t>
  </si>
  <si>
    <t>Tremenza diindikasikan untuk meringankan gejala-gejala flu karena alergi pada saluran pernafasan bagian atas yang memerlukan dekongestan nasal dan antihistamin</t>
  </si>
  <si>
    <t>Penyakit saluran napas bawah, termasuk asma. Glaukoma, hipertensi, diabetes, penyakit arteri koroner, terapi MAOI</t>
  </si>
  <si>
    <t>Peringatan : Awas, Obat Keras Bacalah Aturan Pakainya. Wanita hamil dan menyusui, anak usia kurang dari 2 tahun. Mempengaruhi kemampuan mengemudi atau mengoperasikan mesin yang disebabkan oleh rasa kantuk setelah penggunaan obat.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</si>
  <si>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tremenza diindikasikan meringankan gejala - gejala flu alergi saluran pernafasan dekongestan nasal antihistamin</t>
  </si>
  <si>
    <t>tremenza sirup pseudoephedrine hydrochloride tremenza diindikasikan meringankan gejala  gejala flu alergi saluran pernafasan dekongestan nasal antihistamin</t>
  </si>
  <si>
    <t>DTL8618202009A1</t>
  </si>
  <si>
    <t>Colfin 10 Kaplet</t>
  </si>
  <si>
    <t>Rp9.000 - Rp13.000</t>
  </si>
  <si>
    <t>Dewasa : 3 x sehari 1 tablet</t>
  </si>
  <si>
    <t>Meringankan gejala flu seperti demam, sakit kepala, hidung tersumbat dan bersin-bersin yang disertai batuk</t>
  </si>
  <si>
    <t>Penderita dengan gangguan jantung, gangguan fungsi hati yang berat dan hipersensitif.</t>
  </si>
  <si>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t>
  </si>
  <si>
    <t>meringankan gejala flu demam , sakit kepala , hidung tersumbat bersin - bersin disertai batuk</t>
  </si>
  <si>
    <t>colfin</t>
  </si>
  <si>
    <t>colfin kaplet ammonium chloride meringankan gejala flu demam  sakit kepala  hidung tersumbat bersin  bersin disertai batuk</t>
  </si>
  <si>
    <t>DKL8503803746A1</t>
  </si>
  <si>
    <t>Cendo Polydex Minidose 0.6 ml</t>
  </si>
  <si>
    <t>Rp34.400 - Rp43.800</t>
  </si>
  <si>
    <t>PENGGUNAAN OBAT INI HARUS SESUAI DENGAN PETUNJUK DOKTER. 4-6 x sehari 1-2 tetes</t>
  </si>
  <si>
    <t>INFORMASI OBAT INI HANYA UNTUK KALANGAN MEDIS. Pengobatan jangka pendek pada kondisi mata yang responsif terhadap steroid apabila diperlukan juga antibiotik sebagai pencegahan</t>
  </si>
  <si>
    <t>Catch Cover, 5 Botol Plastik @ 0.6 ml</t>
  </si>
  <si>
    <t>HARUS DENGAN RESEP DOKTER. Hipersensitif terhadap komponen, dan penyakit akibat virus atau fungi</t>
  </si>
  <si>
    <t>pengobatan jangka pendek kondisi mata responsif steroid antibiotik pencegahan</t>
  </si>
  <si>
    <t>cendo polydex minidose</t>
  </si>
  <si>
    <t>cendo polydex minidose tetes dexamethasone sodium phosphate pengobatan jangka pendek kondisi mata responsif steroid antibiotik pencegahan</t>
  </si>
  <si>
    <t>DTL0917624581A1</t>
  </si>
  <si>
    <t>Interzinc 20 mg 10 Tablet</t>
  </si>
  <si>
    <t>Rp55.300 - Rp65.500</t>
  </si>
  <si>
    <t>Semua dosis diberikan selama 10 hari berturut-turut meskipun diare sudah berhenti</t>
  </si>
  <si>
    <t>Anak 6 bulan-5 tahun : 1 tablet/hari, Bayi 2-6 bulan : 0.5 tablet/hari, Semua dosis diberikan selama 10 hari berturut-turut walaupun diare sudah berhenti.</t>
  </si>
  <si>
    <t>Rehidrasi komplementer untuk pengganti cairan tubuh, mencegah dehidrasi pada anak, dapat bersamaan dengan larutan rehidrasi oral</t>
  </si>
  <si>
    <t>Dus, 1 Blister @ 10 Tablet Dispersibel</t>
  </si>
  <si>
    <t>Cairan rehidrasi oral harus tetap diberikan disamping suplementasi Zn.</t>
  </si>
  <si>
    <t>rehidrasi komplementer pengganti cairan tubuh , mencegah dehidrasi anak , bersamaan larutan rehidrasi oral</t>
  </si>
  <si>
    <t>interzinc</t>
  </si>
  <si>
    <t>interzinc tablet zinc sulfate rehidrasi komplementer pengganti cairan tubuh  mencegah dehidrasi anak  bersamaan larutan rehidrasi oral</t>
  </si>
  <si>
    <t>DTL9710902204A1</t>
  </si>
  <si>
    <t>Paraflu 10 Kaplet</t>
  </si>
  <si>
    <t>Meringankan gejala flu seperti demam, sakit kepala, hidung tersumbat dan bersin-bersin yang disertai batuk.</t>
  </si>
  <si>
    <t>Kaplet 10 x10</t>
  </si>
  <si>
    <t>Hati-hati penggunaan pada penderita dengan gangguan fungsi hati dan ginjal, glaukoma, hipertrofi prostat, hipertiroid, dan retensi urin, nak dibawah 6 tahun, wanita hamil dan menyusui. tidak boleh mengendarai bermotor atau menjalankan mesin. Penggunaan pada penderita yang mengkonsumsi alkohol dapat meningkatkan resiko kerusakan fungsi hati</t>
  </si>
  <si>
    <t>paraflu kaplet chlorphenamine maleate meringankan gejala flu demam  sakit kepala  hidung tersumbat bersin  bersin disertai batuk</t>
  </si>
  <si>
    <t>GKL1205046729A1</t>
  </si>
  <si>
    <t>Desoximetasone 0.25 % Cream 15 gr</t>
  </si>
  <si>
    <t>Rp15.900 - Rp19.100</t>
  </si>
  <si>
    <t>desoximetasone cream gr</t>
  </si>
  <si>
    <t>desoximetasone cream gr krim desoximetasone meredakan gejala peradangan  radang akut berat  kelai kulit alergis kronis  psoriasis</t>
  </si>
  <si>
    <t>DTL0527804133A1</t>
  </si>
  <si>
    <t>Prosic Sirup 60 ml</t>
  </si>
  <si>
    <t>Rp24.600 - Rp30.000</t>
  </si>
  <si>
    <t>Diminum setelah makan atau bersamaan dengan makanan</t>
  </si>
  <si>
    <t>Dewasa : 3-4 kali sehari 10 ml , Anak-anak : 1-2 tahun : 3-4 kali sehari 2,5 ml. 3-7 tahun : 3-4 kali sehari 5 ml. 8 - 12 tahun : 3 - 4 kali sehari 10 ml.</t>
  </si>
  <si>
    <t>Menurunkan demam dan mengurangi nyeri ringan sampai sedang dan nyeri pada sakit kepala, sakit tenggorokan, sakit gigi dan setelah operasi.</t>
  </si>
  <si>
    <t>Prosic Suspensi X 60 ml X 1'S</t>
  </si>
  <si>
    <t>Hipersensitif, penderita asma, urtikaria, penyakit bawaan jantung dan gangguan fungsi ginjal.</t>
  </si>
  <si>
    <t>Sebaiknya diberikan bersama makanan untuk menghindari nyeri perut, hati-hati penggunaan untuk anak &lt;18 tahun, hati-hati penggunaan pada pasien usia lanjut, hati-hati penggunaan pada ibu menyusui, bila sakit berlanjut hubungi dokter.</t>
  </si>
  <si>
    <t>menurunkan demam mengurangi nyeri ringan nyeri sakit kepala , sakit tenggorokan , sakit gigi operasi</t>
  </si>
  <si>
    <t>prosic</t>
  </si>
  <si>
    <t>prosic suspensi ibuprofen menurunkan demam mengurangi nyeri ringan nyeri sakit kepala  sakit tenggorokan  sakit gigi operasi</t>
  </si>
  <si>
    <t>DBL8831501463A1</t>
  </si>
  <si>
    <t>Farmacrol Forte 10 Tablet</t>
  </si>
  <si>
    <t>Rp13.000 - Rp14.300</t>
  </si>
  <si>
    <t>Saat perut kosong atau sebelum makan</t>
  </si>
  <si>
    <t>Dewasa : 3-4 x sehari 1 tablet kunyah Anak : 3-4 x sehari 0.5 tablet kunyah</t>
  </si>
  <si>
    <t>Sakit maag, Hiperasiditas, Tukak/Ulkus lambung-usus halus, Gastritis, Perut kembung</t>
  </si>
  <si>
    <t>Dus, 10 Amplop @ 1 Blister @ 10 Tablet kunyah</t>
  </si>
  <si>
    <t>Gangguan fungsi ginjal parah</t>
  </si>
  <si>
    <t>Diet rendah fosfat. Pemakaian jangka panjang.</t>
  </si>
  <si>
    <t>sakit maag , hiperasiditas , tukak ulkus lambung - usus halus , gastritis , perut kembung</t>
  </si>
  <si>
    <t>farmacrol forte</t>
  </si>
  <si>
    <t>farmacrol forte tablet aluminium hydroxide sakit maag  hiperasiditas  tukak ulkus lambung  usus halus  gastritis  perut kembung</t>
  </si>
  <si>
    <t>QD193617051</t>
  </si>
  <si>
    <t>Minosep Obat Kumur 0.2% 60 ml (Merah)</t>
  </si>
  <si>
    <t>- Chlorhexidine Gluconate Solution 20%</t>
  </si>
  <si>
    <t>Rp30.000 - Rp44.500</t>
  </si>
  <si>
    <t>Kumur-kumur selama 30 detik sampai 1 menit pada pagi dan malam hari sebelum tidur. Dianjurkan tidak berkumur dengan air selesai berkumur.</t>
  </si>
  <si>
    <t>2 x Sehari 10 ml</t>
  </si>
  <si>
    <t>Perlindungan terhadap kuman, meringankan sariawan dan membantu memberi rasa segar di mulut</t>
  </si>
  <si>
    <t>Botol plastik @ 60 ml</t>
  </si>
  <si>
    <t>Hanya untuk dikumur. Jauhkan dari jangkauan anak-anak</t>
  </si>
  <si>
    <t>chlorhexidine gluconate solution 20%</t>
  </si>
  <si>
    <t>perlindungan kuman , meringankan sariawan membantu segar mulut</t>
  </si>
  <si>
    <t>minosep obat kumur merah</t>
  </si>
  <si>
    <t>minosep obat kumur merah larutan chlorhexidine gluconate solution 20 perlindungan kuman  meringankan sariawan membantu segar mulut</t>
  </si>
  <si>
    <t>DKL9604308129A1</t>
  </si>
  <si>
    <t>Dermaral 2% Cream 10 g</t>
  </si>
  <si>
    <t>Rp12.700 - Rp18.800</t>
  </si>
  <si>
    <t>PENGGUNAAN OBAT INI HARUS SESUAI DENGAN PETUNJUK DOKTER. Oleskan 1-2 kali sehari. Pengobatan beberapa hari setelah gejala hilang. Lama pengobatan pada Tinea versikolor: 2-3 minggu Infeksi jamur: 2-3 minggu Tinea kruris: 2-4 minggu Tinea korporis: 3-4 minggu Tinea pedis: 4-6 minggu</t>
  </si>
  <si>
    <t>Infeksi dermatofit: tinea korporis, tinea kruris, tinea pedis. Kandidiasis kulit dan tinea versikolor</t>
  </si>
  <si>
    <t>Cream 2% X 10 G X 1</t>
  </si>
  <si>
    <t>Penderita yang telah diobati dengan topikal steroid untuk jangka lama. Tidak untuk di mata</t>
  </si>
  <si>
    <t>infeksi dermatofit tinea korporis , tinea kruris , tinea pedis  kandidiasis kulit tinea versikolor</t>
  </si>
  <si>
    <t>dermaral cream</t>
  </si>
  <si>
    <t>dermaral cream krim ketoconazole infeksi dermatofit tinea korporis  tinea kruris  tinea pedis  kandidiasis kulit tinea versikolor</t>
  </si>
  <si>
    <t>DTL0426008337A1</t>
  </si>
  <si>
    <t>OBH Tropica Plus Sirup 100 ml</t>
  </si>
  <si>
    <t>Rp20.300 - Rp32.700</t>
  </si>
  <si>
    <t>Dewasa dan anak &gt;12 tahun: 3-4 kali sehari 3 sendok takar 5ml. anak 6-12 tahun: 3-4 kali sehari 2 sendok takar 5ml.</t>
  </si>
  <si>
    <t>Meredakan batuk dengan gejala flu seperti, demam, hidung tersumbat, bersin, dan sakit kepala</t>
  </si>
  <si>
    <t>Sirup 100 ml X 1</t>
  </si>
  <si>
    <t>Dapat mengganggu kemampuan mengemudi dan menjalankan mesin, tidak untuk penderita yang peka pada obat simpatometik lain, penderita hipertensi, penderita dengan terapi antidepresan yang menghambat moniamin okidase (MAO)</t>
  </si>
  <si>
    <t>meredakan batuk gejala flu , demam , hidung tersumbat , bersin , sakit kepala</t>
  </si>
  <si>
    <t>obh tropica plus</t>
  </si>
  <si>
    <t>obh tropica plus sirup ammonium chloride meredakan batuk gejala flu  demam  hidung tersumbat  bersin  sakit kepala</t>
  </si>
  <si>
    <t>TR152690421</t>
  </si>
  <si>
    <t>Konicare Minyak Kayu Putih 30 ml</t>
  </si>
  <si>
    <t>KONICARE MINYAK KAYU PUTIH</t>
  </si>
  <si>
    <t>Rp13.600 - Rp15.100</t>
  </si>
  <si>
    <t>Membantu menghangatkan badan dan membantu meredakan gejala masuk angin</t>
  </si>
  <si>
    <t>Obat luar. Simpan pada tempat kering, suhu dibawah 30 C serta terlindung dari cahaya.</t>
  </si>
  <si>
    <t>konicare minyak kayu putih</t>
  </si>
  <si>
    <t>membantu menghangatkan badan membantu meredakan gejala masuk angin</t>
  </si>
  <si>
    <t>konicare kayu putih</t>
  </si>
  <si>
    <t>konicare kayu putih minyak konicare minyak kayu putih membantu menghangatkan badan membantu meredakan gejala masuk angin</t>
  </si>
  <si>
    <t>DBL2013322336A1</t>
  </si>
  <si>
    <t>Apetics Drops 15 ml</t>
  </si>
  <si>
    <t>Rp35.400 - Rp35.500</t>
  </si>
  <si>
    <t>Anak usian dibawah 1 tahun: 3-4 kali sehari, 0.6 ml (60 mg). Anak usia 1-2 tahun: 3-4 kali sehari, 0,6 ml- 1,2 ml (60 mg-120 mg) atau sesuai peyunjuk dokter</t>
  </si>
  <si>
    <t>Menurunkan demam yang menyertai flu dan demam setelah vaksinasi atau imunsasi. Meringankan rasa sakit seperti sakit kepala dan sakit gigi</t>
  </si>
  <si>
    <t>Simpan pada suhu dibawah 30 C, terlindung dari cahaya. setelah kemasan dibuka, produk dapat disimpan selama 20 hari. Jauhkan dari jangkauan anak-anak.</t>
  </si>
  <si>
    <t>menurunkan demam menyertai flu demam vaksinasi imunsasi  meringankan sakit sakit kepala sakit gigi</t>
  </si>
  <si>
    <t>apetics</t>
  </si>
  <si>
    <t>apetics tetes paracetamol menurunkan demam menyertai flu demam vaksinasi imunsasi  meringankan sakit sakit kepala sakit gigi</t>
  </si>
  <si>
    <t>Desolex 0.05% Lotion 30 ml</t>
  </si>
  <si>
    <t>Rp67.000 - Rp73.700</t>
  </si>
  <si>
    <t>Dermatitis Atopik dan Kontak, macam2 Ekzim terutama pada anak, Pruritus, Eritema, iritasi sinar matahari dan Dermatitis lainnya</t>
  </si>
  <si>
    <t>HARUS DENGAN RESEP DOKTER. Pemakaian pada daerah yang luas dan jangka lama Kategori Kehamilan : C</t>
  </si>
  <si>
    <t>dermatitis atopik kontak , macam2 ekzim anak , pruritus , eritema , iritasi sinar matahari dermatitis</t>
  </si>
  <si>
    <t>desolex lotion larutan desonide dermatitis atopik kontak  macam2 ekzim anak  pruritus  eritema  iritasi sinar matahari dermatitis</t>
  </si>
  <si>
    <t>DKL2006319530A1</t>
  </si>
  <si>
    <t>Enbatic Plus Salep 10 g</t>
  </si>
  <si>
    <t>Rp19.800 - Rp35.200</t>
  </si>
  <si>
    <t>neomycin sulfate polymyxin b sulfate bacitracin zinc</t>
  </si>
  <si>
    <t>enbatic plus</t>
  </si>
  <si>
    <t>enbatic plus salep neomycin sulfate polymyxin b sulfate bacitracin zinc dermatitis terinfeksi dermatitis komplikasi infeksi bakterial</t>
  </si>
  <si>
    <t>Konicare Minyak Kayu Putih 125 ml</t>
  </si>
  <si>
    <t>Rp40.000 - Rp68.800</t>
  </si>
  <si>
    <t>Konicare Minyak Kayu Putih 60 ml</t>
  </si>
  <si>
    <t>Rp21.000 - Rp31.400</t>
  </si>
  <si>
    <t>Serenity Commode Chair FS-609U</t>
  </si>
  <si>
    <t>Commode chair atau kursi toilet itu adalah alat bantu khusus yang digunakan untuk pasien buang air besar.</t>
  </si>
  <si>
    <t>commode chair kursi toilet alat bantu khusus pasien buang air</t>
  </si>
  <si>
    <t>serenity commode chair fsu</t>
  </si>
  <si>
    <t>serenity commode chair fsu larutan povidoneiodine commode chair kursi toilet alat bantu khusus pasien buang air</t>
  </si>
  <si>
    <t>DTL0535801241A1</t>
  </si>
  <si>
    <t>Erazol Lotion 30 ml</t>
  </si>
  <si>
    <t>Oleskan ke bagian kulit yang terinfeksi.</t>
  </si>
  <si>
    <t>Pada penderita dermatotitis seboroik dapat dioleskan pada bagian yang terinfeksi 1 atau 2 kali sehari. Pemakaian harus dilanjutkan hingga beberpa waktu, setidaknya sampai beberapa hari setelah gejala hilang.</t>
  </si>
  <si>
    <t>Pengobatan infeksi dermatofita pada kulit seperti tinea korporis, tinea kruris, tinea pedis, dan tinea manus</t>
  </si>
  <si>
    <t>Hindari kontak dengan mata, hanya untuk pemakaian luar, tidak dianjurkan untuk wanita hamil dan menyusui, keamanan untuk anak-anak belum diketahui pasti</t>
  </si>
  <si>
    <t>pengobatan infeksi dermatofita kulit tinea korporis , tinea kruris , tinea pedis , tinea manus</t>
  </si>
  <si>
    <t>erazol lotion</t>
  </si>
  <si>
    <t>erazol lotion larutan ketoconazole pengobatan infeksi dermatofita kulit tinea korporis  tinea kruris  tinea pedis  tinea manus</t>
  </si>
  <si>
    <t>DTL2007812737A1</t>
  </si>
  <si>
    <t>Hufagripp BP Dewasa Sirup 60 ml</t>
  </si>
  <si>
    <t>Rp18.400 - Rp22.100</t>
  </si>
  <si>
    <t>Dewasa - Anak &gt;12 tahun : 3 x sehari 1 sendok takar</t>
  </si>
  <si>
    <t>Untuk meringankan batuk tidak berdahak dan pilek.</t>
  </si>
  <si>
    <t>pseudoephedrine hydrochloride dextromethorphan hydrobromide chlorphenamine maleate</t>
  </si>
  <si>
    <t>hufagripp bp dewasa</t>
  </si>
  <si>
    <t>hufagripp bp dewasa sirup pseudoephedrine hydrochloride dextromethorphan hydrobromide chlorphenamine maleate untuk meringankan batuk tidak berdahak pilek</t>
  </si>
  <si>
    <t>DKI0868204317A1</t>
  </si>
  <si>
    <t>Yaz 28 Tablet</t>
  </si>
  <si>
    <t>Rp339.000 - Rp410.200</t>
  </si>
  <si>
    <t>PENGGUNAAN OBAT INI HARUS SESUAI DENGAN PETUNJUK DOKTER. 1 tablet/hari dikonsumsi pada jam yang sama selama 28 hari berturut-turut. Tiap tablet dari kemasan baru dikonsumsi 1 hari sesudah hari penggunaan tablet terakhir pada kemasan yang sebelumnya</t>
  </si>
  <si>
    <t>INFORMASI OBAT INI HANYA UNTUK KALANGAN MEDIS. Kontrasepsi oral, terapi simtomatik untuk penyakit premenstrual disforik (PMDD) pada wanita yang memilih metode kontrasepsi oral</t>
  </si>
  <si>
    <t>Tablet 28 X 1</t>
  </si>
  <si>
    <t>Kejadian trombosis vena atau arteri/tromboembolik, trombosis prodromal</t>
  </si>
  <si>
    <t>DKL8528601141A1</t>
  </si>
  <si>
    <t>Erymed 2% Solution 30 ml</t>
  </si>
  <si>
    <t>Rp34.400 - Rp48.900</t>
  </si>
  <si>
    <t>Akne/jerawat, terutama yang mengalami peradangan disertai papula (menonjol kemerahan) dan pustula (mengandung nanah/pus).</t>
  </si>
  <si>
    <t>HARUS DENGAN RESEP DOKTER. Hindari kontak dengan mata, hidung, dan selaput lendir lainnya</t>
  </si>
  <si>
    <t>erymed solution</t>
  </si>
  <si>
    <t>erymed solution larutan erythromycin akne jerawat  mengalami peradangan disertai papula menonjol kemerahan pustula mengandung ah pu</t>
  </si>
  <si>
    <t>DKL9604120729A1</t>
  </si>
  <si>
    <t>Dermacoid Lipo Cream 10 g</t>
  </si>
  <si>
    <t>Rp69.000 - Rp78.900</t>
  </si>
  <si>
    <t>PENGGUNAAN OBAT INI HARUS SESUAI DENGAN PETUNJUK DOKTER. Oleskan secukupnya 2-4 kali sehari</t>
  </si>
  <si>
    <t>Untuk pengobatan untuk kelainan kulit akibat proses-proses eksim, peradangan atau alergi.</t>
  </si>
  <si>
    <t>hydrocortisone butyrate</t>
  </si>
  <si>
    <t>untuk pengobatan kelainan kulit akibat prose - prose eksim , peradangan alergi</t>
  </si>
  <si>
    <t>dermacoid lipo cream</t>
  </si>
  <si>
    <t>dermacoid lipo cream krim hydrocortisone butyrate untuk pengobatan kelai kulit akibat prose  prose eksim  peradangan alergi</t>
  </si>
  <si>
    <t>cyanocobalamin metamizole sodium pyridoxine hydrochloride thiamine hydrochloride</t>
  </si>
  <si>
    <t>novapyron kaplet cyanocobalamin metamizole sodium pyridoxine hydrochloride thiamine hydrochloride untuk meringankan sakit disebabkan neuritis sakit berat</t>
  </si>
  <si>
    <t>QD151713881</t>
  </si>
  <si>
    <t>Molakrim Cream 30 g</t>
  </si>
  <si>
    <t>Rp15.500 - Rp18.100</t>
  </si>
  <si>
    <t>Dioleskan pada bagian yang sakit, seperlunya saja</t>
  </si>
  <si>
    <t>1-3 x sehari atau sesuai kebutuhan</t>
  </si>
  <si>
    <t>Untuk mengurangi nyeri punggung, sakit kepala karena kekakuan otot, nyeri pasca trauma, keseleo</t>
  </si>
  <si>
    <t>Hindari penggunaan pada daerah sekitar mata, selaput lendir dan luka terbuka</t>
  </si>
  <si>
    <t>eugenolum</t>
  </si>
  <si>
    <t>untuk mengurangi nyeri punggung , sakit kepala kekakuan otot , nyeri pasca trauma , keseleo</t>
  </si>
  <si>
    <t>molakrim cream</t>
  </si>
  <si>
    <t>molakrim cream krim eugenolum untuk mengurangi nyeri punggung  sakit kepala kekakuan otot  nyeri pasca trauma  keseleo</t>
  </si>
  <si>
    <t>DKL1015304410A1</t>
  </si>
  <si>
    <t>Loximei 7.5 mg 10 Tablet</t>
  </si>
  <si>
    <t>Rp62.800 - Rp64.000</t>
  </si>
  <si>
    <t>Terapi simtomatik jangka pendek untuk eksaserbasi akut OA. Terapi simtomatik jangka panjang untuk AR (poliartritis kronik).</t>
  </si>
  <si>
    <t>Pengobatan nyeri pada operasi CABG (Coronary Artery Bypass Graft).</t>
  </si>
  <si>
    <t>HARUS DENGAN RESEP DOKTER. Riwayat penyakit saluran cerna bagian atas</t>
  </si>
  <si>
    <t>DBL2006319636A1</t>
  </si>
  <si>
    <t>Erlamol Drops 15 ml</t>
  </si>
  <si>
    <t>Rp11.300 - Rp18.400</t>
  </si>
  <si>
    <t>erlamol tetes paracetamol meredakan sakit kepala  sakit gigi  nyeri otot  menurunkan demam menyertai flu paska vaksinasi</t>
  </si>
  <si>
    <t>DBL9608006604A1</t>
  </si>
  <si>
    <t>Maganol 500 mg 12 Kaplet</t>
  </si>
  <si>
    <t>Dus, 10 Strip X 12 Tablet</t>
  </si>
  <si>
    <t>maganol</t>
  </si>
  <si>
    <t>maganol kaplet paracetamol meredakan sakit kepala  sakit gigi  nyeri otot  menurunkan demam menyertai flu paska vaksinasi</t>
  </si>
  <si>
    <t>DKL0813704210B1</t>
  </si>
  <si>
    <t>Meflam 15 mg 10 Tablet</t>
  </si>
  <si>
    <t>Rp104.900 - Rp117.400</t>
  </si>
  <si>
    <t>Terapi simtomatik jangka pendek untuk eksasaerbasi akut OA. Terapi simtomatik jangka panjang untuk AR (poliartritis kronik).</t>
  </si>
  <si>
    <t>Penyakit ginjal berat. Aktif (dlm wkt 6 bln) atau riwayat tukak lambung erjuren. Gagal ginjal non dialisis berat. Perdarahan GI, perdarahan serebrovaskuler atau gangguan perdarahan lain. Gangguan fungsi hati berat</t>
  </si>
  <si>
    <t>DKL9832205736A1</t>
  </si>
  <si>
    <t>Nipe Drops 15 ml</t>
  </si>
  <si>
    <t>Rp98.000 - Rp109.700</t>
  </si>
  <si>
    <t>PENGGUNAAN OBAT INI HARUS SESUAI DENGAN PETUNJUK DOKTER. Anak &gt; 6 tahun : 3-4 x sehari 2-4 mL, Anak 2-6 tahun : 3-4 x sehari 1-2 mL.</t>
  </si>
  <si>
    <t>INFORMASI OBAT INI HANYA UNTUK KALANGAN MEDIS. Meredakan gejala yang berhubungan dengan influenza seperti Demam, Sakit Kepala, Pilek, Nyeri Otot dan Hidung tersumbat</t>
  </si>
  <si>
    <t>HARUS DENGAN RESEP DOKTER. Gangguan ginjal, glaukoma, insomnia, gugup, sakit kepala, palpitasi. Dapat mengganggu kemampuan mengemudi atau menjalankan mesin. Hamil dan laktasi, anak &lt;2 tahun</t>
  </si>
  <si>
    <t>nipe tetes isothipendyl hydrochloride meredakan gejala berhubungan influenza demam  sakit kepala  pilek  nyeri otot hidung tersumbat</t>
  </si>
  <si>
    <t>DBL9308000633A1</t>
  </si>
  <si>
    <t>Cupanol Suspensi 60 ml</t>
  </si>
  <si>
    <t>Rp21.500 - Rp27.900</t>
  </si>
  <si>
    <t>Anak &lt; 1 tahun : 3-4 x sehari 2.5 ml suspensi, Anak 1-3 tahun : 3-4 x sehari 2.5 ml suspensi, Anak 3-6 tahun : 3-4 x sehari 5 ml suspensi, Anak 6-12 tahun : 3-4 x sehari 5-10 ml suspensi, Di atas 12 tahun : 3-4 x sehari 15-20 ml suspensi.</t>
  </si>
  <si>
    <t>Menurunkan demam, meredakan sakit kepala, sakit gigi dan nyeri ringan lainnya, meredakan nyeri pada arthritis ringan.</t>
  </si>
  <si>
    <t>Pemakaian Cupanol suspensi (paracetamol) harus dihentikan jika tanda-tanda awal reaksi alergi seperti ruam, gatal, sakit tenggorokan, demam, arthralgia, pucat, atau tanda-tanda lainnya muncul, karena jika terjadi bisa berakibat fatal.</t>
  </si>
  <si>
    <t>menurunkan demam , meredakan sakit kepala , sakit gigi nyeri ringan , meredakan nyeri arthritis ringan</t>
  </si>
  <si>
    <t>cupanol</t>
  </si>
  <si>
    <t>cupanol suspensi paracetamol menurunkan demam  meredakan sakit kepala  sakit gigi nyeri ringan  meredakan nyeri arthritis ringan</t>
  </si>
  <si>
    <t>- MAGNESIUM TRISILICATE. CALCIUM CARBONATE. SIMETHICONE EMULSION 30</t>
  </si>
  <si>
    <t>magnesium trisilicate calcium carbonate simethicone emulsion 30</t>
  </si>
  <si>
    <t>maag suspensi magnesium trisilicate calcium carbonate simethicone emulsion 30 hiperasiditas  gastritis  tukak lambung  peptik esofagitis  antiflatulen</t>
  </si>
  <si>
    <t>DTL1624504537A1</t>
  </si>
  <si>
    <t>Triaminic Pilek Sirup 60 ml</t>
  </si>
  <si>
    <t>Rp85.900 - Rp89.800</t>
  </si>
  <si>
    <t>â€¢ Usia di bawah 6 tahun: atas petunjuk dokter â€¢ Anak-anak 6-12 tahun: 1 sendok takar (5ml), 3 kali sehari â€¢ Di atas 12 tahun 2 sendok takar (10ml), 3 kali sehari</t>
  </si>
  <si>
    <t>Obat pilek dengan varian rasa Jeruk yang meredakan bersin-bersin dan hidung tersumbat yang disebabkan oleh pilek.</t>
  </si>
  <si>
    <t>Gangguan jantung, DM, digunakan bersama MAOI</t>
  </si>
  <si>
    <t>Gangguan ginjal dan hati, glaukoma, hipertrofi prostat, hipertiroidisme, retensi urin, hipertensi berat, pasien debilitas, hipoksia, asma, empisema, anak &lt;6 tahun, usia lanjut. Hamil, laktasi</t>
  </si>
  <si>
    <t>obat pilek varian jeruk meredakan bersin - bersin hidung tersumbat disebabkan pilek</t>
  </si>
  <si>
    <t>triaminic pilek</t>
  </si>
  <si>
    <t>triaminic pilek sirup chlorphenamine maleate obat pilek varian jeruk meredakan bersin  bersin hidung tersumbat disebabkan pilek</t>
  </si>
  <si>
    <t>Accu Chek Softclix Lancets 200 Lancets</t>
  </si>
  <si>
    <t>Rp202.400 - Rp352.000</t>
  </si>
  <si>
    <t>Dus @ 200 Lancets</t>
  </si>
  <si>
    <t>accu chek softclix lancets lancets</t>
  </si>
  <si>
    <t>accu chek softclix lancets lancets tablet pioglitazone hydrochloride jarum pemeriksaan kadar gula darah  asam urat kolesterol</t>
  </si>
  <si>
    <t>DKL0133701110B1</t>
  </si>
  <si>
    <t>Movi-Cox 15 mg 10 Tablet</t>
  </si>
  <si>
    <t>Rp158.700 - Rp283.900</t>
  </si>
  <si>
    <t>Dapat diberikan bersama atau tanpa makanan : Dpt diberikan bersama makanan jika timbul rasa tdk nyaman pd GI.</t>
  </si>
  <si>
    <t>PENGGUNAAN OBAT INI HARUS SESUAI DENGAN PETUNJUK DOKTER. 15 mg/hr, dpt dikurangi s/d 7.5 mg/hr. OA 7.5 mg/hr dpt ditingkatkan s/d 15 mg/hr. Spondilitis ankilosa 15 mg/hr. Dpt dikurangi mjd 7.5 mg/hr. Pasien dialisis dg gagal ginjal berat Maks: 7.5 mg/hr.</t>
  </si>
  <si>
    <t>Terapi jangka pendek OA eksaserbasi akut &amp; terapi jangka panjang AR. Terapi simtomatik spondilitis ankilosa</t>
  </si>
  <si>
    <t>Tukak peptik aktif, insufisiensi hati berat. Insufisiensi ginjal berat non dialisis, anak &amp; remaja &lt;15 thn, hamil atau laktasi. Perdarahan GI, serebrovaskular atau perdarahan lain, asma. Ggn pembekuan darah atau sedang mendapat terapi antikoagulan (rute I</t>
  </si>
  <si>
    <t>HARUS DENGAN RESEP DOKTER. Riwayat peny GI bag atas, pasien dehidrasi, pasien dg gagal jantung kongestif, hipovolemia, sirosis hati, sindrom nefrotik, peny ginjal, sedang mendapat terapi diuretik atau antikoagulan, gagal ginjal stadium akhir, pasien dlm kondisi sangat lemah.</t>
  </si>
  <si>
    <t>terapi jangka pendek oa eksaserbasi akut terapi jangka ar  terapi simtomatik spondilitis ankilosa</t>
  </si>
  <si>
    <t>movicox</t>
  </si>
  <si>
    <t>movicox tablet meloxicam terapi jangka pendek oa eksaserbasi akut terapi jangka ar  terapi simtomatik spondilitis ankilosa</t>
  </si>
  <si>
    <t>DKL0133701110A1</t>
  </si>
  <si>
    <t>Movi-Cox 7.5 mg 10 Tablet</t>
  </si>
  <si>
    <t>Rp95.600 - Rp174.500</t>
  </si>
  <si>
    <t>PENGGUNAAN OBAT INI HARUS SESUAI DENGAN PETUNJUK DOKTER. Dewasa OA 7.5 mg per hari, dapat ditingkatkan sampai dengan 15 mg per haari. RA 15 mg per hari, dapat di turunkan sampai dengan 7.5 mg per hari. Pasien dengan resiko tinggi mengalami efek samping Awal 7.5 mg per hari. Pasien dengan gagal ginjal berat Dosi</t>
  </si>
  <si>
    <t>Terapi simtomatik jangka pendek untuk esksaserbasi akut OA. Terapi simtomatik jangka panjang untuk RA (poliartritis kronik)</t>
  </si>
  <si>
    <t>Tablet 7.5 Mg X 20</t>
  </si>
  <si>
    <t>Tukak lambung aktif, pendarahan GI &amp; serebrovaskular, gangguan pendarahan lain. Insufisiensi hati dan ginjal (tanpa dialisis). Pasien dengan asma, polip nasal, anglodema, atau urtikaria yang diinduksi oleh asamsalisilat atau AINS lain. Anak dan remaja &lt; 1</t>
  </si>
  <si>
    <t>HARUS DENGAN RESEP DOKTER. Riwayat gangguan GI bagian atas, terapi antihemostatik. Ulkus peptik atau pendarahan GI (hentikan pemberian). Pasien dengan penurunan aliran darah ke ginjal misalnya pada dhidrasi, gagal ginjal kongesif, sirosis hati, sindrom nefrotik, penyakit ginjal, te</t>
  </si>
  <si>
    <t>terapi simtomatik jangka pendek esksaserbasi akut oa  terapi simtomatik jangka ra poliartritis kronik</t>
  </si>
  <si>
    <t>movicox tablet meloxicam terapi simtomatik jangka pendek esksaserbasi akut oa  terapi simtomatik jangka ra poliartritis kronik</t>
  </si>
  <si>
    <t>DTL9128602141A1</t>
  </si>
  <si>
    <t>Ketomed 2% Scalp Solution 60 ml</t>
  </si>
  <si>
    <t>Rp48.500 - Rp67.700</t>
  </si>
  <si>
    <t>Oleskan pada kulit kepala yang basah, diamkan 3-5 menit lalu bilas hingga bersih</t>
  </si>
  <si>
    <t>Pitiriasis versikolor Pengobatan: Oleskan pada kulit kepala yang basah sekali sehari selama Maks 5 hari. Pencegahan: Oleskan pada kulit kepala yang basah sekali sehari selama Maks 3 hari sebelum terpapar sinar matahari. Dermatitis seboroik &amp; Ketombe Pengobatan: Oleskan pada kulit kulit kepala yang basah 2 x seminggu selama 2-4 minggu. Pencegahan: Oleskan pada kulit kulit kepala yang basah setiap 1-2 minggu sekali.</t>
  </si>
  <si>
    <t>Mengobati infeksi kulit kepala seperti demartitis sebaroik ringan, dan ketombe yang disebabkan oleh Pytirosporum ovale</t>
  </si>
  <si>
    <t>Hipersensitivitas. Gangguan hati akut atau kronis. Hamil (dengan sindrom Cushing) dan menyusui (oral).</t>
  </si>
  <si>
    <t>Hindari area mata. Hati-hati penggunaan pada Anak-anak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</si>
  <si>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mengobati infeksi kulit kepala demartitis sebaroik ringan , ketombe disebabkan pytirosporum ovale</t>
  </si>
  <si>
    <t>ketomed scalp solution</t>
  </si>
  <si>
    <t>ketomed scalp solution larutan ketoconazole mengobati infeksi kulit kepala demartitis sebaroik ringan  ketombe disebabkan pytirosporum ovale</t>
  </si>
  <si>
    <t>DTL9014803729A1</t>
  </si>
  <si>
    <t>Zoralin 2% Cream 10 g</t>
  </si>
  <si>
    <t>Rp23.400 - Rp32.400</t>
  </si>
  <si>
    <t>Oleskan ke bagian yang terinfeksi jamur</t>
  </si>
  <si>
    <t>Oleskan 1-2 kali sehari.</t>
  </si>
  <si>
    <t>Tinea korporis, tinea kluis, tinea manus, tinea pedis, tinea versikolor, kandidiasis kutaneus</t>
  </si>
  <si>
    <t>Hipersensitif terhadap ketoconazole.</t>
  </si>
  <si>
    <t>tinea korporis , tinea kluis , tinea manus , tinea pedis , tinea versikolor , kandidiasis kutaneus</t>
  </si>
  <si>
    <t>zoralin cream</t>
  </si>
  <si>
    <t>zoralin cream krim ketoconazole tinea korporis  tinea kluis  tinea manus  tinea pedis  tinea versikolor  kandidiasis kutaneus</t>
  </si>
  <si>
    <t>DKL0434601629A1</t>
  </si>
  <si>
    <t>Afucid 2% Salep 5 g</t>
  </si>
  <si>
    <t>Rp52.500 - Rp58.400</t>
  </si>
  <si>
    <t>Dioleskan ke tempat yang sakit.</t>
  </si>
  <si>
    <t>PENGGUNAAN OBAT INI HARUS SESUAI DENGAN PETUNJUK DOKTER. Dewasa : oleskan 3-4 x sehari sampai sembuh. Jika menggunakan kasa ganti, frekuensi dapat dikurangi menjadi 1-2 x. anak : oleskan 3-4 x sehari sampai sembuh. Jika menggunakan kasa ganti, frekuensi dapat dikurangi menjadi 1-2 x.</t>
  </si>
  <si>
    <t>Impetigo kontagiosum, folikulitis superfisial, furunkulosis, sikosis barbae, hidradenitis aksilaris, abses, paronikia, eritrasma.</t>
  </si>
  <si>
    <t>Infeksi akibat organisme yang tidak sensitif terhadap asam fusidat, terutama Pseudomonas aeruginosa</t>
  </si>
  <si>
    <t>Obat Wajib Apotek, Obat ini dapat dibeli dan diserahkan apoteker tanpa resep dengan maksimum 1 Tube. Pembelian melebihi batas ini WAJIB RESEP DOKTER. Hindari penggunaan pada bagian mata. Penggunaan jangka lama dapat meningkatkan risiko sensitisasi kulit dan resistensi bakteri. Hamil trimester terakhir. Bayi baru lahir</t>
  </si>
  <si>
    <t>impetigo kontagiosum , folikulitis superfisial , furunkulosis , sikosis barbae , hidradenitis aksilaris , abs , paronikia , eritrasma</t>
  </si>
  <si>
    <t>afucid</t>
  </si>
  <si>
    <t>afucid krim fusidic acid impetigo kontagiosum  folikulitis superfisial  furunkulosis  sikosis barbae  hidradenitis aksilaris  abs  paronikia  eritrasma</t>
  </si>
  <si>
    <t>Lagesil Sirup 170 ml</t>
  </si>
  <si>
    <t>Rp33.000 - Rp59.200</t>
  </si>
  <si>
    <t>1-3 jam sesudah makan dan menjelang tidur malam</t>
  </si>
  <si>
    <t>Sakit maag, Hiperasiditas lambung, Tukak lambung/Usus halus, akumulasi gas dalam saluran cerna</t>
  </si>
  <si>
    <t>Botol @ 170 ml</t>
  </si>
  <si>
    <t>Gagal ginjal</t>
  </si>
  <si>
    <t>sakit maag , hiperasiditas lambung , tukak lambung usus halus , akumulasi gas saluran cerna</t>
  </si>
  <si>
    <t>lagesil suspensi aluminium hydroxide sakit maag  hiperasiditas lambung  tukak lambung usus halus  akumulasi gas saluran cerna</t>
  </si>
  <si>
    <t>vaseline swab x tablet pioglitazone hydrochloride kain kasa jala melindungi luka infeksi bakteri membantu pemulihan luka</t>
  </si>
  <si>
    <t>Rp18.400 - Rp20.300</t>
  </si>
  <si>
    <t>lomatuell h x tablet pioglitazone hydrochloride kain kasa jala melindungi luka infeksi bakteri membantu pemulihan luka</t>
  </si>
  <si>
    <t>DKL7215303612A1</t>
  </si>
  <si>
    <t>FG Troches 10 Tablet</t>
  </si>
  <si>
    <t>Rp18.900 - Rp21.800</t>
  </si>
  <si>
    <t>Tablet dihisap-hisap hingga larut seluruhnya</t>
  </si>
  <si>
    <t>PENGGUNAAN OBAT INI HARUS SESUAI DENGAN PETUNJUK DOKTER. Dewasa: 1 - 2 tablet, dihisap 4 - 5 kali perhari. Anak-anak : 1 tablet, dihisap 4 - 5 kali perhari.</t>
  </si>
  <si>
    <t>INFORMASI OBAT INI HANYA UNTUK KALANGAN MEDIS. Antibiotik untuk penyakit ingivitis, stomatitis, faringitis, bronkitis, tonsilitis, angina vincent, difteri faringeal, priodontitis.</t>
  </si>
  <si>
    <t>Dus, 12 Strip @ 10 Tablet Hisap</t>
  </si>
  <si>
    <t>Tidak boleh digunakan pada penderita yang hipersensitif atau alergi terhadap komponen FG Troches, atau penderita yang mempunyai riwayat alergi terhadap obat dari golongan aminoglikosida seperti streptomisin, kanamisin, gentamisin, fradiomisin atau bacitracin.</t>
  </si>
  <si>
    <t>HARUS DENGAN RESEP DOKTER. Jangan mengkonsumsi obat ini dalam waktu lebih dari 1 minggu. Hentikan pengobatan obat ini dalam waktu lebih dari 1 minggu. Hentikan pengobatan apabila terjadi reaksi hipersensitivitas atau alergi. Kategori kehamilan : Kategori D: Terbukti berisiko terhadap janin. Meski demikian, obat masih dapat digunakan jika obat diperlukan untuk mengatasi keadaan yang mengancam jiwa, atau penyakit serius, dimana obat yang lebih aman tidak dapat digunakan atau tidak efektif.</t>
  </si>
  <si>
    <t>antibiotik penyakit ingivitis , stomatitis , faringitis , bronkitis , tonsilitis , angina vincent , difteri faringeal , priodontitis</t>
  </si>
  <si>
    <t>fg troches</t>
  </si>
  <si>
    <t>fg troches tablet gramicidin antibiotik penyakit ingivitis  stomatitis  faringitis  bronkitis  tonsilitis  angina vincent  difteri faringeal  priodontitis</t>
  </si>
  <si>
    <t>DTL9513305510A1</t>
  </si>
  <si>
    <t>Lacoldin 10 Tablet</t>
  </si>
  <si>
    <t>Dewasa dan anak lebih dari 12 tahun : 3-4 x sehari 1 tablet. Anak 6-12 tahun : 3-4 x sehari 1/2 tablet.</t>
  </si>
  <si>
    <t>Meringankan gejala demam, sakit kepala, hidung tersumbat yang berhubungan dengan flu, selesma, &amp; rinitis alergi.</t>
  </si>
  <si>
    <t>Terapi MAOI, glaukoma.</t>
  </si>
  <si>
    <t>Penyakit jantung, DM, hipertrofi prostat, hipertensi, gangguan ginjal &amp; hati. Hamil &amp; laktasi. Dapat mengganggu kemampuan mengemudi atau menjalankan mesin.</t>
  </si>
  <si>
    <t>meringankan gejala demam , sakit kepala , hidung tersumbat berhubungan flu , selesma , rinitis alergi</t>
  </si>
  <si>
    <t>lacoldin</t>
  </si>
  <si>
    <t>lacoldin tablet chlorphenamine maleate meringankan gejala demam  sakit kepala  hidung tersumbat berhubungan flu  selesma  rinitis alergi</t>
  </si>
  <si>
    <t>GBL1619932616A1</t>
  </si>
  <si>
    <t>Tablet Tambah Darah 10 Tablet</t>
  </si>
  <si>
    <t>Rp4.200 - Rp8.400</t>
  </si>
  <si>
    <t>Ferrous Fumarate (zat besi) diserap baik saat perut kosong, tetapi dapat diminum bersamaan dengan makanan jika terjadi gejala mual. Tablet diminum dengan segelas penuh air mineral (240 ml). Tidak disarankan berbaring setelah minum tablet ini (setidaknya 30 menit setelah konsumsi tablet).</t>
  </si>
  <si>
    <t>Dewasa : 1 tablet 1 kali sehari</t>
  </si>
  <si>
    <t>Membantu memenuhi kebutuhan zat besi dan asam folat tubuh, serta mengatasi anemia megaloblastik.</t>
  </si>
  <si>
    <t>Haemosiderosis, haemochromatosis, ulkus peptikum, inflammatory bowel disease. Penggunaan bersama dimercaprol dan atau parenteral Fe.</t>
  </si>
  <si>
    <t>Simpan pada suhu di bawah 30 celcius, dalam wadah tertutup rapat, terlindung dari cahaya dan kelembaban.</t>
  </si>
  <si>
    <t>ferrous fumarate</t>
  </si>
  <si>
    <t>membantu memenuhi kebutuhan zat besi asam folat tubuh , mengatasi anemia megaloblastik</t>
  </si>
  <si>
    <t>tambah darah</t>
  </si>
  <si>
    <t>tambah darah tablet ferrous fumarate membantu memenuhi kebutuhan zat besi asam folat tubuh  mengatasi anemia megaloblastik</t>
  </si>
  <si>
    <t>Anadex 10 Kaplet</t>
  </si>
  <si>
    <t>Rp40.900 - Rp41.500</t>
  </si>
  <si>
    <t>dewasa: 3-4 kali sehari 1 tablet</t>
  </si>
  <si>
    <t>Untuk meringankan gejala-gejala flu seperti demam, sakit kepala, hidung tersumbat dan bersin-bersin</t>
  </si>
  <si>
    <t>Dus, 10 Amplop @ 1 Strip @ 10 Kaplet Salut Gula</t>
  </si>
  <si>
    <t>Penyakit jantung, DM, hipertensi, glaukoma, gangguan fungsi hati atau ginjal, hamil, mengganggu kemampuan mengemudi atau menjalankan mesin. Hentikan penggunaan jika terjadi susah tidur, jantung berdebar. Kategori Kehamilan : C Studi pada binatang percobaan telah memperlihatkan adanya efek samping obat pada janin dan tidak ada studi terkontrol pada wanita. Obat hanya diberikan bila besarnya manfaat yang diharapkan sebanding dengan potensi resiko terhadap janin</t>
  </si>
  <si>
    <t>untuk meringankan gejala - gejala flu demam , sakit kepala , hidung tersumbat bersin - bersin</t>
  </si>
  <si>
    <t>anadex kaplet chlorphenamine maleate untuk meringankan gejala  gejala flu demam  sakit kepala  hidung tersumbat bersin  bersin</t>
  </si>
  <si>
    <t>DKL0630908229A1</t>
  </si>
  <si>
    <t>Mofulex Cream 5 g</t>
  </si>
  <si>
    <t>Rp26.600 - Rp28.500</t>
  </si>
  <si>
    <t>TB, herpes simpleks, varisela</t>
  </si>
  <si>
    <t>Hentikan penggunaan jika terjadi iritasi atau sensitisasi. Dapat menyebabkan supresi adrenal pada bayi dan anak. Penggunaan pada area tubuh yang luas. Jangan ditutup dengan kasa pembalut. Hindari kontak dengan mata. Hamil, laktasi</t>
  </si>
  <si>
    <t>mofulex cream</t>
  </si>
  <si>
    <t>mofulex cream krim mometasone furoate meredakan gejala inflamasi pruritus gatal2 dermatosis reponsif kortikosteroid psoriasis dermatitis atopik</t>
  </si>
  <si>
    <t>DTL0502005210A1</t>
  </si>
  <si>
    <t>Saridon 4 Tablet</t>
  </si>
  <si>
    <t>Rp4.800 - Rp5.300</t>
  </si>
  <si>
    <t>Dewasa : 1-2 tablet Anak usia 6-12 tahun : 1/2 - 1 tablet Dapat dikonsumsi 3 hari sekali</t>
  </si>
  <si>
    <t>Sakit kepala, demam, sakit gigi, neuralgia, dismenore, rasa lelah/lesu akibat selesma dan penyakit virus lainnya</t>
  </si>
  <si>
    <t>Dus, 30 Blister @ 4 tablet</t>
  </si>
  <si>
    <t>Kelainan fungsi ginjal &amp; hati, anemia hemolitik, porfiria, hepatitis akut.</t>
  </si>
  <si>
    <t>Anak usia sekolah dini, wanita hamil, pasien pengkonsumsi alkohol</t>
  </si>
  <si>
    <t>sakit kepala , demam , sakit gigi , neuralgia , dismenore , lelah lesu akibat selesma penyakit virus</t>
  </si>
  <si>
    <t>saridon</t>
  </si>
  <si>
    <t>saridon tablet caffeine sakit kepala  demam  sakit gigi  neuralgia  dismenore  lelah lesu akibat selesma penyakit virus</t>
  </si>
  <si>
    <t>DKL0422239429A1</t>
  </si>
  <si>
    <t>Mefurosan Cream 10 g</t>
  </si>
  <si>
    <t>Rp96.300 - Rp105.900</t>
  </si>
  <si>
    <t>Rosasea pada wajah, akne vulgaris, dermatitis perioral, pruritus perianal dan genital, erupsi akibat popok, infeksi bakteri (impetigo), virus (herpes simpleks, herpes zoster), dan jamur (infeksi kandida atau dermatofita), varisela, TBC, sifilis, reaksi pa</t>
  </si>
  <si>
    <t>HARUS DENGAN RESEP DOKTER. Supresi poros hipotalamus-pituitari-adrenal yang reversibel. Area kulit yang diterapi tidak boleh ditutup atau diperban. Jangan digunakan pada wajah, ketiak, atau lipat paha. Hindari kontak dengan mata</t>
  </si>
  <si>
    <t>mefurosan cream</t>
  </si>
  <si>
    <t>mefurosan cream krim mometasone furoate meredakan gejala inflamasi pruritus gatal2 dermatosis reponsif kortikosteroid psoriasis dermatitis atopik</t>
  </si>
  <si>
    <t>Beurer Ih 21 Compressor Nebulizer</t>
  </si>
  <si>
    <t>Rp839.200 - Rp1.405.300</t>
  </si>
  <si>
    <t>Nebulizer yang dirancang untuk mengobati saluran pernapasan bagian atas dan bawah, masuk angin dan asma serta penyakit pernapasan.</t>
  </si>
  <si>
    <t>Dus @ 1 piece unit alat</t>
  </si>
  <si>
    <t>nebulizer dirancang mengobati saluran pernapasan , masuk angin asma penyakit pernapasan</t>
  </si>
  <si>
    <t>beurer ih compressor nebulizer</t>
  </si>
  <si>
    <t>beurer ih compressor nebulizer larutan povidoneiodine nebulizer dirancang mengobati saluran pernapasan  masuk angin asma penyakit pernapasan</t>
  </si>
  <si>
    <t>Serenity Commode Chair FS-696</t>
  </si>
  <si>
    <t>Rp619.600 - Rp889.100</t>
  </si>
  <si>
    <t>serenity commode chair fs</t>
  </si>
  <si>
    <t>serenity commode chair fs larutan povidoneiodine commode chair kursi toilet alat bantu khusus pasien buang air</t>
  </si>
  <si>
    <t>DKL1228206317A1</t>
  </si>
  <si>
    <t>Simprofen 25 mg 10 Tablet</t>
  </si>
  <si>
    <t>Rp80.100 - Rp104.100</t>
  </si>
  <si>
    <t>PENGGUNAAN OBAT INI HARUS SESUAI DENGAN PETUNJUK DOKTER. 1 tablet 3 kali sehari</t>
  </si>
  <si>
    <t>Meredakan nyeri ringan sampai sedang, nyeri musculoskeletal yang akut, dismenore, sakit gigi dan nyeri paska operasi</t>
  </si>
  <si>
    <t>Tablet salut selaput 25 mg x 3 x 10</t>
  </si>
  <si>
    <t>Hipersensitivitas. Riwayat asma, bronkospasme, rinitis akut atau polip hidung, urtikaria atau edema angioneurotik, tukak lambung yang aktif maupun yang dugaan, dispepsi kronik, perdarahan lambung, penyakit Chron atau colitis ulseratif, gagal jantung yang berat, gangguan ginjal yang sedang sampai berat, gangguan hati yang berat, kecenderungan perdarahan, pasien yang menjalani terapi antikoagulan. Kehamilan dan menyusui</t>
  </si>
  <si>
    <t>HARUS DENGAN RESEP DOKTER. Riwayat alergi, gejala penyakit saluran cerna, perubahan sel-sel darah, fungsi hati, ginjal atau jantung yang abnormal. Anak-anak dan lansia.</t>
  </si>
  <si>
    <t>meredakan nyeri ringan , nyeri musculoskeletal akut , dismenore , sakit gigi nyeri paska operasi</t>
  </si>
  <si>
    <t>simprofen</t>
  </si>
  <si>
    <t>simprofen tablet dexketoprofen trometamol meredakan nyeri ringan  nyeri musculoskeletal akut  dismenore  sakit gigi nyeri paska operasi</t>
  </si>
  <si>
    <t>betamethasone dipropionate neomycin sulfate bacitracin zinc</t>
  </si>
  <si>
    <t>scanderma plus cream krim betamethasone dipropionate neomycin sulfate bacitracin zinc dermatitis terinfeksi dermatitis komplikasi infeksi bakterial</t>
  </si>
  <si>
    <t>DKL9617611329A1</t>
  </si>
  <si>
    <t>Salticin 1 mg/g Cream 5 g</t>
  </si>
  <si>
    <t>Rp32.000 - Rp44.400</t>
  </si>
  <si>
    <t>Impetigo Kontagiosa, Folikulitis superfisial, Dermatitis Ekzematoid terinfeksi, Akne/Jerawat berisi nanah</t>
  </si>
  <si>
    <t>Hipersensitif terhadap gentamisin. Infeksi virus dan jamur</t>
  </si>
  <si>
    <t>Obat Wajib Apotek, Obat ini dapat dibeli dan diserahkan apoteker tanpa resep dengan maksimum 1 Tube. Pembelian melebihi batas ini WAJIB RESEP DOKTER. -hindari kontak dengan mata - tidak efektif untuk jamur dan virus -tidak untuk penggunaan jangka panjang Kategori Kehamilan : D</t>
  </si>
  <si>
    <t>impetigo kontagiosa , folikulitis superfisial , dermatitis ekzematoid terinfeksi , akne jerawat berisi nanah</t>
  </si>
  <si>
    <t>salticin cream</t>
  </si>
  <si>
    <t>salticin cream krim gentamicin sulfate impetigo kontagiosa  folikulitis superfisial  dermatitis ekzematoid terinfeksi  akne jerawat berisi ah</t>
  </si>
  <si>
    <t>Serenity Commode Chair FS-813</t>
  </si>
  <si>
    <t>Rp456.500 - Rp635.800</t>
  </si>
  <si>
    <t>Serenity Commode Chair FS-894</t>
  </si>
  <si>
    <t>Rp537.700 - Rp680.000</t>
  </si>
  <si>
    <t>DKL1834613314A1</t>
  </si>
  <si>
    <t>Fonylin MR 60 mg 10 Tablet</t>
  </si>
  <si>
    <t>Rp59.600 - Rp66.500</t>
  </si>
  <si>
    <t>Berikan bersama makan pagi. Telan utuh, jangan dikunyah/dihancurkan.</t>
  </si>
  <si>
    <t>INFORMASI OBAT INI HANYA UNTUK KALANGAN MEDIS. Semua jenis diabetes, diabetes dengan atau tanpa kegemukan pada orang dewasa, diabetes pada lanjut usia dan diabetes dengan komplikasi vaskular</t>
  </si>
  <si>
    <t>Dus, 3 strip @ 10 tablet lepas lambat</t>
  </si>
  <si>
    <t>HARUS DENGAN RESEP DOKTER. Meningkatkan risiko hipoglikemia pada individu dengan malnutrisi, waktu makan yg tdk teratur, melewatkan jadwal makan, ketidakseimbangan antara olahraga dan asupan karbohidrat, ggn tiroid, hipopituitari dan insufisiensi adrenal, Demam, trauma, infeksi, atau pembedahan. Monitor kadar glukosa darah dan kadar hemoglobin. Defisiensi G6PD. Hamil.</t>
  </si>
  <si>
    <t>semua jenis diabetes , diabetes kegemukan orang dewasa , diabetes usia diabetes komplikasi vaskular</t>
  </si>
  <si>
    <t>fonylin mr</t>
  </si>
  <si>
    <t>fonylin mr tablet gliclazide semua jenis diabetes  diabetes kegemukan orang dewasa  diabetes usia diabetes komplikasi vaskular</t>
  </si>
  <si>
    <t>DKL0304421033A1</t>
  </si>
  <si>
    <t>Neciblok Suspensi 100 ml</t>
  </si>
  <si>
    <t>Rp101.200 - Rp111.800</t>
  </si>
  <si>
    <t>Saat perut kosong : 1 jam sebelum makan atau 2 jam setelah makan</t>
  </si>
  <si>
    <t>PENGGUNAAN OBAT INI HARUS SESUAI DENGAN PETUNJUK DOKTER. Dewasa : 4 x sehari 2 sendok takar 5cc selama 4-8 minggu</t>
  </si>
  <si>
    <t>INFORMASI OBAT INI HANYA UNTUK KALANGAN MEDIS. Sakit maag, Tukak Lambung, Tukak Usus halus, Gastritis kronik (s/d 8 minggu)</t>
  </si>
  <si>
    <t>Dus, 1 Botol @100 ml</t>
  </si>
  <si>
    <t>HARUS DENGAN RESEP DOKTER. Gangguan ginjal kronik, laktasi Kategori Kehamilan : B</t>
  </si>
  <si>
    <t>sakit maag , tukak lambung , tukak usus halus , gastritis kronik s d 8 minggu</t>
  </si>
  <si>
    <t>neciblok</t>
  </si>
  <si>
    <t>neciblok suspensi sucralfate sakit maag  tukak lambung  tukak usus halus  gastritis kronik s d 8 minggu</t>
  </si>
  <si>
    <t>Neciblok Suspensi 200 ml</t>
  </si>
  <si>
    <t>Rp151.100 - Rp156.300</t>
  </si>
  <si>
    <t>Sakit maag, Tukak Lambung, Tukak Usus halus, Gastritis kronik (s/d 8 minggu)</t>
  </si>
  <si>
    <t>Dus, 1 Botol @200 ml</t>
  </si>
  <si>
    <t>QD032701211</t>
  </si>
  <si>
    <t>Pagoda Salep 10 gr</t>
  </si>
  <si>
    <t>Oleskan sehari 3 kali pada bagian kulit</t>
  </si>
  <si>
    <t>Gatal-gatal di telapak tangan, kaki, selangkangan paha, kutu air, panu, kurap, kudis,</t>
  </si>
  <si>
    <t>Kaleng @ 10 g</t>
  </si>
  <si>
    <t>Hipersensitf</t>
  </si>
  <si>
    <t>Hanya untuk obat luar.</t>
  </si>
  <si>
    <t>gatal - gatal telapak tangan , kaki , selangkangan paha , kutu air , panu , kurap , kudis ,</t>
  </si>
  <si>
    <t>pagoda gr</t>
  </si>
  <si>
    <t xml:space="preserve">pagoda gr  asam benzoat gatal  gatal telapak tangan  kaki  selangkangan paha  kutu air  panu  kurap  kudis </t>
  </si>
  <si>
    <t>DKL9422710037A1</t>
  </si>
  <si>
    <t>Mucoxol Sirup 60 ml</t>
  </si>
  <si>
    <t>Rp24.700 - Rp37.700</t>
  </si>
  <si>
    <t>PENGGUNAAN OBAT INI HARUS SESUAI DENGAN PETUNJUK DOKTER. Dewasa : 3 kali sehari 5 mL. Pada terapi jangka panjang, dosis dapat dikurangi menjadi 2 kali sehari. Anak 6-12 tahun : 3 kali sehari 2.5 mL</t>
  </si>
  <si>
    <t>Sekretolitik pada gangguan pernapasan akut dan kronis, terutama pada eksaserbasi bronkitis kronis, bronkitis asmatik dan asma bronkial</t>
  </si>
  <si>
    <t>Sirup 30 Mg/5 ml X 60 ml X 1 Botol</t>
  </si>
  <si>
    <t>Pasien dengan riwayat alergi obat ambroxol, Pasien yang menderita ulkus pada lambung</t>
  </si>
  <si>
    <t>sekretolitik gangguan pernapasan akut kronis , eksaserbasi bronkitis kronis , bronkitis asmatik asma bronkial</t>
  </si>
  <si>
    <t>mucoxol</t>
  </si>
  <si>
    <t>mucoxol sirup ambroxol hydrochloride sekretolitik gangguan pernapasan akut kronis  eksaserbasi bronkitis kronis  bronkitis asmatik asma bronkial</t>
  </si>
  <si>
    <t>DKL9232000330A1</t>
  </si>
  <si>
    <t>Dermovate 0.05% Salep 10 g</t>
  </si>
  <si>
    <t>Rp111.000 - Rp122.100</t>
  </si>
  <si>
    <t>PENGGUNAAN OBAT INI HARUS SESUAI DENGAN PETUNJUK DOKTER. Digunakan 1-2 kali sehari</t>
  </si>
  <si>
    <t>INFORMASI OBAT INI HANYA UNTUK KALANGAN MEDIS. Pengobatan jangka pendek dermatosis yang lebih resisten, seperti psoriasis, eksim, liken planus, lupus eritematosus discoid</t>
  </si>
  <si>
    <t>Infeksi kulit yang tidak diobati, rosacea (kulit kemerahan dan bintik yang menyerupai jerawat), jerawat, gatal pada kulit tanpa peradangan, gatal pada alat kelamin dan pada lubang anus, peradangan pada kulit di area mulut.</t>
  </si>
  <si>
    <t>HARUS DENGAN RESEP DOKTER. Hati-hati penggunaan pada pasien dengan riwayat hipersensitif kortikosteroid. Penggunaan jangka panjang pada anak-anak dapat menyebabkan perubahan atrofi pada wajah. Hindari kontak langsung dengan mata</t>
  </si>
  <si>
    <t>pengobatan jangka pendek dermatosis resisten , psoriasis , eksim , liken planus , lupus eritematosus discoid</t>
  </si>
  <si>
    <t>dermovate</t>
  </si>
  <si>
    <t>dermovate salep clobetasol propionate pengobatan jangka pendek dermatosis resisten  psoriasis  eksim  liken planus  lupus eritematosus discoid</t>
  </si>
  <si>
    <t>DKL9422709910A1</t>
  </si>
  <si>
    <t>Mucoxol 30 mg 10 Tablet</t>
  </si>
  <si>
    <t>Rp14.900 - Rp15.000</t>
  </si>
  <si>
    <t>PENGGUNAAN OBAT INI HARUS SESUAI DENGAN PETUNJUK DOKTER. Dewasa : 3 kali sehari 1 tablet. Pada terapi jangka panjang dosis dapat dikurangi menjadi 2 kali sehari</t>
  </si>
  <si>
    <t>Tablet 30 Mg X 10 X 10</t>
  </si>
  <si>
    <t>mucoxol tablet ambroxol hydrochloride sekretolitik gangguan pernapasan akut kronis  eksaserbasi bronkitis kronis  bronkitis asmatik asma bronkial</t>
  </si>
  <si>
    <t>DKI0868204416A1</t>
  </si>
  <si>
    <t>Diane-35 21 Tablet</t>
  </si>
  <si>
    <t>Rp145.800 - Rp229.900</t>
  </si>
  <si>
    <t>PENGGUNAAN OBAT INI HARUS SESUAI DENGAN PETUNJUK DOKTER. 1 x sehari 1 tablet dimulai pada hari ke-1 siklus haid selama 21 hari diikuti masa istirahat selama 7 hari.</t>
  </si>
  <si>
    <t>INFORMASI OBAT INI HANYA UNTUK KALANGAN MEDIS. Kontrasepsi oral, hirsutism (pertumbuhan rambut berlebih pada wanita di area yang biasanya tumbuh rambut pada pria), jerawat.</t>
  </si>
  <si>
    <t>Dus, 1 Blister @ 21 Tablet Salut Gula</t>
  </si>
  <si>
    <t>Hamil, laktasi, gangguan fungsi hati berat, riwayat iketrus idiopatik atau pruritus selama hamil, sindroma Dubin-Johnson, sindrom Rotor, tumor hati, tromboembolik, anemia sel sabit, dalam pengobatan kanker payudara atau endometrium, DM berat, gangguan met</t>
  </si>
  <si>
    <t>HARUS DENGAN RESEP DOKTER. Hentikan penggunaan jika terjadi migren, sakit kepala, gangguan penglihatan atau kehilangan pendengaran. Tromboflebitis atau tromboemboli, rasa nyeri dan sesak dada, 6 minggu sebelum operasi besar, jaundice, hepatitis, gatal seluruh badan, epilepsi, penin, gangguan ginjal, obesitas. Estrogen atau progestogen tidak boleh dikonsumsi selama pengobatan dengan DIANE-35.</t>
  </si>
  <si>
    <t>cyproterone acetate</t>
  </si>
  <si>
    <t>kontrasepsi oral , hirsutism pertumbuhan rambut berlebih wanita area tumbuh rambut pria , jerawat</t>
  </si>
  <si>
    <t>diane</t>
  </si>
  <si>
    <t>diane tablet cyproterone acetate kontrasepsi oral  hirsutism pertumbuhan rambut berlebih wanita area tumbuh rambut pria  jerawat</t>
  </si>
  <si>
    <t>DKL9602323129A1</t>
  </si>
  <si>
    <t>Bersol 0.05% Cream 15 g</t>
  </si>
  <si>
    <t>Rp40.300 - Rp57.000</t>
  </si>
  <si>
    <t>Krim dioleskan pada area kulit yang sakit</t>
  </si>
  <si>
    <t>Pengobatan jangka pendek untuk Psoriasis, Ekzema yang membandel/resisten, Likhen Planus, Lupus Eritematosus.</t>
  </si>
  <si>
    <t>Rosasea, dermatitis perioral, infeksi virus kutaneus primer</t>
  </si>
  <si>
    <t>TR092601251</t>
  </si>
  <si>
    <t>Cap Lang Minyak Sereh Sitronella 30 ml</t>
  </si>
  <si>
    <t>SITRONELA</t>
  </si>
  <si>
    <t>Rp4.900 - Rp10.100</t>
  </si>
  <si>
    <t>Gosokkan secukupnya pada bagian tubuh yang diinginkan</t>
  </si>
  <si>
    <t>Membantu meredakan nyeri sendi, pegal-pegal, keseleo, dan gigitan nyamuk/serangga.</t>
  </si>
  <si>
    <t>Hati-hati penggunaan pada kulit yang sensitif terhadap bahan yang terkandung dalam produk ini. Simpan ditempat sejuk, dibawah suhu 30 C dan hindarkan dari sinar matahari langsung</t>
  </si>
  <si>
    <t>sitronela</t>
  </si>
  <si>
    <t>membantu meredakan nyeri sendi , pegal - pegal , keseleo , gigitan nyamuk serangga</t>
  </si>
  <si>
    <t>cap lang sereh sitronella</t>
  </si>
  <si>
    <t>cap lang sereh sitronella minyak sitronela membantu meredakan nyeri sendi  pegal  pegal  keseleo  gigitan nyamuk serangga</t>
  </si>
  <si>
    <t>candesartan cilexetil hydrochlorothiazide</t>
  </si>
  <si>
    <t>blopress plus tablet candesartan cilexetil hydrochlorothiazide terapi pasien hipertensi teka darah tidak terkontrol candesartan hydrochlorothiazide tunggal</t>
  </si>
  <si>
    <t>DKI1954300115A1</t>
  </si>
  <si>
    <t>Ezol 20 mg 7 Tablet</t>
  </si>
  <si>
    <t>Dikonsumsi saat perut kosong (1 jam sebelum makan)</t>
  </si>
  <si>
    <t>PENGGUNAAN OBAT INI HARUS SESUAI DENGAN PETUNJUK DOKTER. - Gastroesophageal Reflux Disease (GERD) : Dewasa : 20-40 mg, perhari selama 4 minggu, dapat lebih dari 4 minggu jika diperlukan. - Ulkus peptikum akibat infeksi H.Pylori : Dewasa : 20 mg, 2 kali sehari selama 7 hari atau 40 mg perhari selama 10 hari, diberikan sebagai terapi kombinasi dengan amoxicllin dan clarithromycin. - Sindrom Zollinger-Ellison : Dewasa : dosis awal 40 mg, 2 kali sehari. Dosis lazim : 80-160 mg per hari dapat ditingkatkan menjadi 240 mg per hari jika dibutuhkan.</t>
  </si>
  <si>
    <t>INFORMASI OBAT INI HANYA UNTUK KALANGAN MEDIS. Gastroesophageal Reflux Disease (GERD), Sindrom Zollinger-Ellison, dan ulkus peptikum yang disebabkan H.Pylori.</t>
  </si>
  <si>
    <t>Dus, 4 Strip @ 7 Tablet Salut Enterik</t>
  </si>
  <si>
    <t>Hipersensitifitas.</t>
  </si>
  <si>
    <t>HARUS DENGAN RESEP DOKTER. - Pasien yang memiliki keganasan pada lambung. - Pasien yang mengalami pengeroposan pada tulang (osteoporosis). - Pasien penderita kerusakan hati yang berat. -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</si>
  <si>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gastroesophageal reflux disease gerd , sindrom zollinger - ellison , ulkus peptikum disebabkan h  pylori</t>
  </si>
  <si>
    <t>ezol tablet esomeprazole magnesium gastroesophageal reflux disease gerd  sindrom zollinger  ellison  ulkus peptikum disebabkan h  pylori</t>
  </si>
  <si>
    <t>DKL7219929629A1</t>
  </si>
  <si>
    <t>Fluocort-N Cream 5 g</t>
  </si>
  <si>
    <t>Rp22.000 - Rp24.100</t>
  </si>
  <si>
    <t>Krim dioleskan pada area kulit dan/atau mukosa yang radang atau radang &amp; gatal</t>
  </si>
  <si>
    <t>Inflamasi lokal, kondisi2 Pruritik &amp; Alergi pada kulit dan mukosa yang membutuhkan terapi antibakterial secara bersamaan.</t>
  </si>
  <si>
    <t>TBC kulit, infeksi jamur dan bakteri kecuali dengan kemoterapi, virus (herpes simpleks, vaccina, varisela), cacingan, akne vulgaris, skabies, dermatitis perioral, penggunaan jangka panjang pada kehamilan</t>
  </si>
  <si>
    <t>HARUS DENGAN RESEP DOKTER. Hindari mata, kontak dengan luka terbuka, jangka lama</t>
  </si>
  <si>
    <t>inflamasi lokal , kondisi2 pruritik alergi kulit mukosa membutuhkan terapi antibakterial bersamaan</t>
  </si>
  <si>
    <t>fluocortn cream</t>
  </si>
  <si>
    <t>fluocortn cream salep fluocinolone acetonide inflamasi lokal  kondisi2 pruritik alergi kulit mukosa membutuhkan terapi antibakterial bersamaan</t>
  </si>
  <si>
    <t>DTL8519902934A1</t>
  </si>
  <si>
    <t>Hustab P Sirup 60 ml</t>
  </si>
  <si>
    <t>PENGGUNAAN OBAT INI HARUS SESUAI DENGAN PETUNJUK DOKTER. Dewasa &amp; Anak &gt; 10 tahun : 3-4 x sehari 2 sendok takar 5 mL, Anak &lt; 10 tahun : 2-4 x sehari 1 sendok takar 5 mL. (note : di reference tidak dituliskan dosis utk sirup, ini adlh interpretasi konversi dari dosis tablet yg tertulis, dg asumsi takaran kom</t>
  </si>
  <si>
    <t>hustab p</t>
  </si>
  <si>
    <t>hustab p larutan bromhexine hydrochloride bronkosekretolitik batuk berhubungan iritasi membran mukosa  saluran nafas produksi dahak kental</t>
  </si>
  <si>
    <t>heparin sodium benzyl nicotinate</t>
  </si>
  <si>
    <t>thrombophob ointment salep heparin sodium benzyl nicotinate digunakan phlebitis permukaan  penyumbatan pembuluh vena  cedera berolahraga kecelakaan</t>
  </si>
  <si>
    <t>DBL7815617037A1</t>
  </si>
  <si>
    <t>Pyrexin Sirup 120 mg/5 ml 60 ml</t>
  </si>
  <si>
    <t>Rp9.000 - Rp14.100</t>
  </si>
  <si>
    <t>Dewasa 3 x sehari 1 sendok takar, anak-anak : 3 x sehari 1/2 sendok takar</t>
  </si>
  <si>
    <t>Analgesik, untuk pengobatan separti sakit kepala, migren, nyeri haid, atralgia, neurlgia, analgetik untuk meredakan demam</t>
  </si>
  <si>
    <t>analgesik , pengobatan separti sakit kepala , migren , nyeri haid , atralgia , neurlgia , analgetik meredakan demam</t>
  </si>
  <si>
    <t>pyrexin sirup paracetamol analgesik  pengobatan separti sakit kepala  migren  nyeri haid  atralgia  neurlgia  analgetik meredakan demam</t>
  </si>
  <si>
    <t>DBL1206314237A1</t>
  </si>
  <si>
    <t>Erlamol Sirup 60 ml</t>
  </si>
  <si>
    <t>Rp8.000 - Rp28.200</t>
  </si>
  <si>
    <t>erlamol sirup paracetamol meredakan sakit kepala  sakit gigi  nyeri otot  menurunkan demam menyertai flu paska vaksinasi</t>
  </si>
  <si>
    <t>DTL0404424004A1</t>
  </si>
  <si>
    <t>Mixagrip Flu 4 Kaplet</t>
  </si>
  <si>
    <t>Dewasa dan anak di atas 12 th: 3 - 4 kali per hari 1 kaplet. Anak 6-12 th: 3 - 4 kali per hari 1/2 kaplet.</t>
  </si>
  <si>
    <t>Meringankan gejala-gejala flu seperti bersin-bersin, hidung tersumbat, demam dan sakit kepala.</t>
  </si>
  <si>
    <t>Selama minum obat ini tidak boleh mengendarai kendaraan bermotor, hentikan pengobatan jika terjadi susah tidur, jantung berdebar dan pusing, jika gejala tidak hilang setelah minum obat ini selama 7 hari disertai demam tinggi segera hubungi dokter. Tidak dianjurkan penggunaan pada anak usia di bawah 6 th, wanita hamil dan menyusui, kecuali atas petunjuk dokter. Penggunaan pada penderita yang mengkonsumsi alkohol dapat mengakibatkan resiko kerusakan fungsi hati.</t>
  </si>
  <si>
    <t>meringankan gejala - gejala flu bersin - bersin , hidung tersumbat , demam sakit kepala</t>
  </si>
  <si>
    <t>mixagrip flu</t>
  </si>
  <si>
    <t>mixagrip flu kaplet chlorphenamine maleate meringankan gejala  gejala flu bersin  bersin  hidung tersumbat  demam sakit kepala</t>
  </si>
  <si>
    <t>DBL9321006510A1</t>
  </si>
  <si>
    <t>Pyridol 500 mg 10 Tablet</t>
  </si>
  <si>
    <t>Rp3.400 - Rp6.900</t>
  </si>
  <si>
    <t>pyridol tablet paracetamol meredakan sakit kepala  sakit gigi  nyeri otot  menurunkan demam menyertai flu paska vaksinasi</t>
  </si>
  <si>
    <t>DKL0410707429A1</t>
  </si>
  <si>
    <t>Zolacort Cream 5 g</t>
  </si>
  <si>
    <t>Rp30.100 - Rp34.200</t>
  </si>
  <si>
    <t>PENGGUNAAN OBAT INI HARUS SESUAI DENGAN PETUNJUK DOKTER. Gunakan 1-2 kali sehari</t>
  </si>
  <si>
    <t>Anti Jamur, anti Bakteri, anti Pruritus, anti Alergi &amp; anti Inflamasi topikal</t>
  </si>
  <si>
    <t>Infeksi TBC pada kulit, herpes simpleks, vaksinia, semua bentuk varisela</t>
  </si>
  <si>
    <t>HARUS DENGAN RESEP DOKTER. Hindari kontak mata, penggunaan pada wajah perlu dibatasi selama 7 hari. Hamil, laktasi</t>
  </si>
  <si>
    <t>anti jamur , anti bakteri , anti pruritus , anti alergi anti inflamasi topikal</t>
  </si>
  <si>
    <t>zolacort cream</t>
  </si>
  <si>
    <t>zolacort cream krim hydrocortisone acetate anti jamur  anti bakteri  anti pruritus  anti alergi anti inflamasi topikal</t>
  </si>
  <si>
    <t>DKL8304105401B1</t>
  </si>
  <si>
    <t>Roxidene 20 10 Kapsul</t>
  </si>
  <si>
    <t>Rp14.900 - Rp16.000</t>
  </si>
  <si>
    <t>Rheumatoid artritis, Osteoartritis, ankilosing spondilitis: Dosis awal 20 mg sebagai dosis tunggal. Dosis pemeliharaan pada umumnya 20 mg sehari atau jika diperlukan dapat diberikan 10 mg - 30 mg dalam dosis tunggal atau terbagi. Dosis lebih dari 20 mg sehari meningkatkan efek samping gastrointestinal. Gout akut: Awal 40 mg sehari sebagai dosis tunggal, diikuti 4-6 hari berikutnya 40 mg sehari dosis tunggal atau terbagi. Gangguan muskuloskeletal akut: Awal 40 mg sehari sebagai dosis tunggal atau terbagi selama 2 hari, selanjutnya 20 mg sehari selama 7-14 hari.</t>
  </si>
  <si>
    <t>Untuk mengurangi gejala pada reumatoid artritis, osteoartritis, ankilosing spondilitis, gangguan muskulosketal akut dan gout akut.</t>
  </si>
  <si>
    <t>Penderita yang mempunyai riwayat tukak lambung atau pendarahan lambung. Hipersensitif terhadap Piroxicam. Penderita yang mengalami bronkospasma, polip hidung dan angiodemaata urtikaria apabila diberikan asetosal atau obat-obatan antiinflamasi non steroid yang lain.</t>
  </si>
  <si>
    <t>untuk mengurangi gejala reumatoid artritis , osteoartritis , ankilosing spondilitis , gangguan muskulosketal akut gout akut</t>
  </si>
  <si>
    <t>roxidene</t>
  </si>
  <si>
    <t>roxidene kapsul piroxicam untuk mengurangi gejala reumatoid artritis  osteoartritis  ankilosing spondilitis  gangguan muskulosketal akut gout akut</t>
  </si>
  <si>
    <t>DBL8818804763A1</t>
  </si>
  <si>
    <t>Magtral - Strawberry 10 Tablet</t>
  </si>
  <si>
    <t>Rp3.100 - Rp4.300</t>
  </si>
  <si>
    <t>1 jam sebelum makan atau 2 jam setelah makan dan menjelang tidur</t>
  </si>
  <si>
    <t>Dewasa: 1 - 2 tablet kunyah , 3-4 kali sehari Anak: 0.5 - 1 tablet, 3-4 kali sehari</t>
  </si>
  <si>
    <t>Mengatasi hiperasiditas lambung yang berkaitan dengan tukak lambung, esofagitis, gastritis dan kembung</t>
  </si>
  <si>
    <t>Dus, 1 strip @ 10 Tablet Kunyah</t>
  </si>
  <si>
    <t>Para penderita gangguan fungsi ginjal yang berat.</t>
  </si>
  <si>
    <t>Mempunyai gangguan fungsi ginjal. sendang menggunakan obat tukak lambung lain, penderita diet fosfor.</t>
  </si>
  <si>
    <t>mengatasi hiperasiditas lambung berkaitan tukak lambung , esofagitis , gastritis kembung</t>
  </si>
  <si>
    <t>magtral strawberry</t>
  </si>
  <si>
    <t>magtral strawberry tablet dried aluminium hydroxide gel mengatasi hiperasiditas lambung berkaitan tukak lambung  esofagitis  gastritis kembung</t>
  </si>
  <si>
    <t>DTL1504522837A1</t>
  </si>
  <si>
    <t>Allerin Ekspectorant Sirup 60 ml</t>
  </si>
  <si>
    <t>Rp14.500 - Rp14.800</t>
  </si>
  <si>
    <t>Dewasa : 3 kali sehari 10 mL</t>
  </si>
  <si>
    <t>DKL9428600229C1</t>
  </si>
  <si>
    <t>Vitacid 0.025% Cream 15 g</t>
  </si>
  <si>
    <t>Rp27.600 - Rp38.200</t>
  </si>
  <si>
    <t>Dioleskan pada malam hari atau sebelum tidur.</t>
  </si>
  <si>
    <t>PENGGUNAAN OBAT INI HARUS SESUAI DENGAN PETUNJUK DOKTER. Oleskan 1 x sehari pada malam hari.</t>
  </si>
  <si>
    <t>INFORMASI OBAT INI HANYA UNTUK KALANGAN MEDIS. Acne vulgaris atau jerawat. Hiperpigmentasi berbintik-bintik, kekasaran dan kerutan halus pada kulit yang mengalami photodamage.</t>
  </si>
  <si>
    <t>acne vulgaris jerawat  hiperpigmentasi berbintik - bintik , kekasaran kerutan halus kulit mengalami photodamage</t>
  </si>
  <si>
    <t>vitacid cream krim tretinoin acne vulgaris jerawat  hiperpigmentasi berbintik  bintik  kekasaran kerutan halus kulit mengalami photodamage</t>
  </si>
  <si>
    <t>DKL9308001129A1</t>
  </si>
  <si>
    <t>Thecort Cream 5 g</t>
  </si>
  <si>
    <t>Rp66.000 - Rp85.100</t>
  </si>
  <si>
    <t>Dioleskan dalam keadaan bersih pada area kulit yang sakit atau terinfeksi.</t>
  </si>
  <si>
    <t>PENGGUNAAN OBAT INI HARUS SESUAI DENGAN PETUNJUK DOKTER. Oleskan sehari 1-2 x sesuai dengan luasnya lesi</t>
  </si>
  <si>
    <t>INFORMASI OBAT INI HANYA UNTUK KALANGAN MEDIS. Mengatasi inflamasi dan infeksi kulit yang disebabkan oleh jamur seperti Infeksi dermatitis, Intertrigo kandida, Tinea pedis</t>
  </si>
  <si>
    <t>Hipersensitivitas terhadap hidrokortison atau mikonazol. Infeksi tuberkulosis atau virus pada kulit atau yang disebabkan oleh bakteri gram-ve.</t>
  </si>
  <si>
    <t>HARUS DENGAN RESEP DOKTER. Perhatian khusus pada anak-anak. Obat ini dapat merusak agen kontrasepsi lateks (misalnya kondom atau diafragma).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</si>
  <si>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hydrocortisone</t>
  </si>
  <si>
    <t>mengatasi inflamasi infeksi kulit disebabkan jamur infeksi dermatitis , intertrigo kandida , tinea pedis</t>
  </si>
  <si>
    <t>thecort cream</t>
  </si>
  <si>
    <t>thecort cream krim hydrocortisone mengatasi inflamasi infeksi kulit disebabkan jamur infeksi dermatitis  intertrigo kandida  tinea pedis</t>
  </si>
  <si>
    <t>GKL0233506901A1</t>
  </si>
  <si>
    <t>Clindamycin 150 mg 10 Kapsul</t>
  </si>
  <si>
    <t>Rp10.000 - Rp12.100</t>
  </si>
  <si>
    <t>PENGGUNAAN OBAT INI HARUS SESUAI DENGAN PETUNJUK DOKTER. Dewasa infeksi serius : 150 - 300 mg tiap 6 jam. Infeksi lebih serius : 300 - 450 mg tiap 6 jam. Anak : infeksi berat : 8 - 16 mg/kg BB terbagi dalam 3 - 4 dosis</t>
  </si>
  <si>
    <t>Hipersensitif terhadap klidamisin atau linkomisin</t>
  </si>
  <si>
    <t>HARUS DENGAN RESEP DOKTER. Riwayat penyakit Gl, seperti kolitis, penyakit ginjal dan atau hati, superinfeksi dan pertumbuhan jamur berlebih, hamil</t>
  </si>
  <si>
    <t>clindamycin kapsul clindamycin hydrochloride infeksi gr  serius berat  disebabkan organisme peka strep  pneumokokus staph  bakteri anaerob</t>
  </si>
  <si>
    <t>thiamine disulfide pyridoxine hydrochloride cyanocobalamin</t>
  </si>
  <si>
    <t>neurobat tablet thiamine disulfide pyridoxine hydrochloride cyanocobalamin neuralgia  hilang nafsu makan anoreksia  pemulihan  mual muntah kehamilan</t>
  </si>
  <si>
    <t>flunarizine tablet flunarizine hydrochloride mencegah migren pengobatan pencegahan gangguan vestibular akibat gangguan peredaran darah serebral perifer</t>
  </si>
  <si>
    <t>DKI1191600568A2</t>
  </si>
  <si>
    <t>Seretide Inhaler 25/50 mcg 120 Dosis</t>
  </si>
  <si>
    <t>Rp187.600 - Rp192.800</t>
  </si>
  <si>
    <t>INFORMASI OBAT INI HANYA UNTUK KALANGAN MEDIS. Untuk terapi rutin penyakit penyumbatan saluran nafas, termasuk asma</t>
  </si>
  <si>
    <t>Dus,1 Canister @ 120 Dosis dengan dose counter</t>
  </si>
  <si>
    <t>salmeterol xinafoate fluticasone propionat</t>
  </si>
  <si>
    <t>seretide inhaler dosis</t>
  </si>
  <si>
    <t>seretide inhaler dosis inhaler salmeterol xinafoate fluticasone propionat untuk terapi rutin penyakit penyumbatan saluran nafas  asma</t>
  </si>
  <si>
    <t>DKI0386101146A1</t>
  </si>
  <si>
    <t>Xalacom Eye Drops 2.5 ml</t>
  </si>
  <si>
    <t>Rp627.500 - Rp801.900</t>
  </si>
  <si>
    <t>Menurunkan Tekanan Intra Okular/bola mata pada pasien dengan Glaukoma sudut-terbuka &amp; Hipertensi Okular</t>
  </si>
  <si>
    <t>HARUS DENGAN RESEP DOKTER. Jika terjadi iritasi atau reaksi alergi hentikan pemakaian dan konsultasikan dengan dokter anda.</t>
  </si>
  <si>
    <t>menurunkan tekanan intra okular bola mata pasien glaukoma sudut - terbuka hipertensi okular</t>
  </si>
  <si>
    <t>xalacom eye</t>
  </si>
  <si>
    <t>xalacom eye tetes latanoprost menurunkan teka intra okular bola mata pasien glaukoma sudut  terbuka hipertensi okular</t>
  </si>
  <si>
    <t>DKL9721620030A1</t>
  </si>
  <si>
    <t>Liposin Salep 10 g</t>
  </si>
  <si>
    <t>Rp51.300 - Rp53.600</t>
  </si>
  <si>
    <t>Oleskan secukupnya di area terinfeksi</t>
  </si>
  <si>
    <t>PENGGUNAAN OBAT INI HARUS SESUAI DENGAN PETUNJUK DOKTER. Dewasa dan Anak-anak usia di atas 2 tahun: Oleskan 1-3 kali sehari.</t>
  </si>
  <si>
    <t>INFORMASI OBAT INI HANYA UNTUK KALANGAN MEDIS. Terapi impetigo, ektima, furunkuloris, pencegahan infeksi pada lua potong minor, luka gores, dan luka bakar.</t>
  </si>
  <si>
    <t>Hipersensitifitas. Bayi prematur ataupun bayi baru lahir.</t>
  </si>
  <si>
    <t>HARUS DENGAN RESEP DOKTER. Abrasi kulit, tidak untuk digunakan pada mata, penggunakn dosis tinggi. Kategori Kehamilan: D</t>
  </si>
  <si>
    <t>bacitracin</t>
  </si>
  <si>
    <t>terapi impetigo , ektima , furunkuloris , pencegahan infeksi lua potong minor , luka gore , luka bakar</t>
  </si>
  <si>
    <t>liposin</t>
  </si>
  <si>
    <t>liposin salep bacitracin terapi impetigo  ektima  furunkuloris  pencegahan infeksi lua potong minor  luka gore  luka bakar</t>
  </si>
  <si>
    <t>DKI0251302067A1</t>
  </si>
  <si>
    <t>Symbicort 80 mcg/4.5 mcg 60 Dosis</t>
  </si>
  <si>
    <t>Rp285.700 - Rp304.500</t>
  </si>
  <si>
    <t>PENGGUNAAN OBAT INI HARUS SESUAI DENGAN PETUNJUK DOKTER. ASMA - terapi pereda &amp; pemeliharaan : Dewasa dan remaja &gt;= 12 tahun : Dosis tergantung pada keparahan penyakit, 2 inhalasi perhari. Anak &gt;= 6 tahun : 1 x sehari 1 inhalasi, maximum 4 inhalasi/hari. Terapi pemeliharaan :</t>
  </si>
  <si>
    <t>INFORMASI OBAT INI HANYA UNTUK KALANGAN MEDIS. Terapi reguler untuk Asma dimana kombinasi inhalasi Kortikosteroid &amp; agonis-Beta2 'long acting' adalah sesuai</t>
  </si>
  <si>
    <t>Dus, 1 Turbuhaler @ 60 dosis</t>
  </si>
  <si>
    <t>HARUS DENGAN RESEP DOKTER. Tirotoksikosis, feokromositoma, DM, hipokalemia yang tidak diterapi, kardiomiopati obstruktif hipertrofi, stenosis aorta subvalvular idiopatik, hipertensi berat, aneurisma atau gangguan KV berat lain. Pasien dengan perpanjangan interval QT. Asma akut berat Kategori Kehamilan : C</t>
  </si>
  <si>
    <t>terapi reguler asma dimana kombinasi inhalasi kortikosteroid agonis - beta2 long acting sesuai</t>
  </si>
  <si>
    <t>symbicort dosis</t>
  </si>
  <si>
    <t>symbicort dosis powder budesonide terapi reguler asma dimana kombinasi inhalasi kortikosteroid agonis  beta2 long acting sesuai</t>
  </si>
  <si>
    <t>DKL9319604201A1</t>
  </si>
  <si>
    <t>Lanareuma 20 mg 10 Kapsul</t>
  </si>
  <si>
    <t>Rp4.200 - Rp5.000</t>
  </si>
  <si>
    <t>PENGGUNAAN OBAT INI HARUS SESUAI DENGAN PETUNJUK DOKTER. 1 kapsul diminum setiap hari</t>
  </si>
  <si>
    <t>INFORMASI OBAT INI HANYA UNTUK KALANGAN MEDIS. Mengobati asam urat, arthritis (radang sendi), osteoarthritis, artritis reumatoid (nyeri sendi akibat reumatik).</t>
  </si>
  <si>
    <t>Dus , 10 Strip @ 10 kapsul</t>
  </si>
  <si>
    <t>Hipersensitif, penyakit radang usus, gagal jantung yang parah.</t>
  </si>
  <si>
    <t>HARUS DENGAN RESEP DOKTER. Riwayat ulkus gaster, gangguan jantung, hipertensi, kerusakan ginjal atau hati, retensi urin, ibu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</si>
  <si>
    <t>mengobati asam urat , arthritis radang sendi , osteoarthritis , artritis reumatoid nyeri sendi akibat reumatik</t>
  </si>
  <si>
    <t>lanareuma</t>
  </si>
  <si>
    <t>lanareuma kapsul piroxicam mengobati asam urat  arthritis radang sendi  osteoarthritis  artritis reumatoid nyeri sendi akibat reumatik</t>
  </si>
  <si>
    <t>Diprogenta Cream 10 g</t>
  </si>
  <si>
    <t>Rp128.400 - Rp155.400</t>
  </si>
  <si>
    <t>diprogenta cream krim betamethasone dipropionate gentamicin sulfate meredakan gejala peradangan dermatosis responsif kortikosteroid komplikasi infeksi sekunder</t>
  </si>
  <si>
    <t>DBL8931101204A1</t>
  </si>
  <si>
    <t>Grafadon 500 mg 10 Kaplet</t>
  </si>
  <si>
    <t>Rp5.400 - Rp5.700</t>
  </si>
  <si>
    <t>grafadon kaplet paracetamol meredakan sakit kepala  sakit gigi  nyeri otot  menurunkan demam menyertai flu paska vaksinasi</t>
  </si>
  <si>
    <t>DKI1488801743A2</t>
  </si>
  <si>
    <t>Humalog Mix-25 Kwikpen 1 Prefilled Pen</t>
  </si>
  <si>
    <t>Rp183.000 - Rp275.900</t>
  </si>
  <si>
    <t>Disuntikan secara subkutan pada area perut, lengan atas atau paha. 15 menit sebelum makan.</t>
  </si>
  <si>
    <t>PENGGUNAAN OBAT INI HARUS SESUAI DENGAN PETUNJUK DOKTER. Dosis bersifat individual</t>
  </si>
  <si>
    <t>INFORMASI OBAT INI HANYA UNTUK KALANGAN MEDIS. Diabetes Mellitus (DM) atau Kencing Manis, menjaga homeostasis Glukosa</t>
  </si>
  <si>
    <t>Dus, 5 Prefilled Pen @ 3 ml</t>
  </si>
  <si>
    <t>Tidak untuk pemberian intravena. Hipersensitivitas.</t>
  </si>
  <si>
    <t>HARUS DENGAN RESEP DOKTER. Pemindahan dari terapi insulin lain. Penyakit atau gangguan emosional. Gagal ginjal atau gagal hati. Perubahan aktivitas fisik atau diet. Kategori Kehamilan : Kategori B: Mungkin dapat digunakan oleh wanita hamil. Penelitian pada hewan uji tidak memperlihatkan ada nya risiko terhadap janin, namun belum ada bukti penelitian langsung terhadap wanita hamil.</t>
  </si>
  <si>
    <t>insulin lispro</t>
  </si>
  <si>
    <t>diabetes mellitus dm kencing manis , menjaga homeostasis glukosa</t>
  </si>
  <si>
    <t>humalog mix kwikpen prefilled pen</t>
  </si>
  <si>
    <t>humalog mix kwikpen prefilled pen injeksi insulin lispro diabetes mellitus dm kencing manis  menjaga homeostasis glukosa</t>
  </si>
  <si>
    <t>DKL0133402301A1</t>
  </si>
  <si>
    <t>Redusec 6 Kapsul</t>
  </si>
  <si>
    <t>Rp6.400 - Rp7.100</t>
  </si>
  <si>
    <t>PENGGUNAAN OBAT INI HARUS SESUAI DENGAN PETUNJUK DOKTER. Untuk tukak duodenum : 20 mg/hari selama 2-4 minggu. Pasien respon buruk : 40 mg/hari selama 4 minggu. Pencegahan : 10-20 mg/hari Untuk tukak lambung : 20 mg/hari selama 4-8 minggu. Pencegahan kekambuhan : 20-40 mg/hari Untuk tukak lambung, tukak duodenum, lesi gastroduodenal yang berhubungan penggunaan AINS : 20 mg/hari Untuk refluks esofagitis : 20 mg/hari selama 4-8 minggu. Kasus berat : 40 mg/hari selama 8 minggu. Terapi jangka panjang : 10-20 mg/hari Untuk Zollinger-Ellison : awal 60 mg/hari. Dosis akut : 20-120 mg/hari. Untuk dosis &gt; 80 mg/hari diberikan dalam 2 dosis terbagi</t>
  </si>
  <si>
    <t>Ulkus/tukak Lambung &amp; Usus halus termasuk yang diakibatkan oleh obat2 NSAID, Reflux Esofagitis, Sindrom Zollinger-Ellison</t>
  </si>
  <si>
    <t>Kapsul 20 Mg X 5 X 6</t>
  </si>
  <si>
    <t>Obat Wajib Apotek, Obat ini dapat dibeli dan diserahkan apoteker tanpa resep dengan maksimum 1 Strip. Pembelian melebihi batas ini WAJIB RESEP DOKTER. Singkirkan kemungkinan adanya keganasan pada tuka lambung sebelum terapi. Hamil dan laktasi</t>
  </si>
  <si>
    <t>ulkus tukak lambung usus halus diakibatkan obat2 nsaid , reflux esofagitis , sindrom zollinger - ellison</t>
  </si>
  <si>
    <t>redusec</t>
  </si>
  <si>
    <t>redusec kapsul omeprazole ulkus tukak lambung usus halus diakibatkan obat2 nsaid  reflux esofagitis  sindrom zollinger  ellison</t>
  </si>
  <si>
    <t>Allerin Ekspektoran Sirup 120 ml</t>
  </si>
  <si>
    <t>Rp23.100 - Rp26.700</t>
  </si>
  <si>
    <t>aqua maris strong nasal tablet guaifenesin melegakan hidung tersumbat membersihkan saluran hidung harian mengatasi kekeringan hidung</t>
  </si>
  <si>
    <t>DKL9608004429A1</t>
  </si>
  <si>
    <t>Fuladic Cream 5 g</t>
  </si>
  <si>
    <t>Rp54.000 - Rp85.000</t>
  </si>
  <si>
    <t>Oleskan tipis-tipis pada bagian yang terinfeksi.</t>
  </si>
  <si>
    <t>PENGGUNAAN OBAT INI HARUS SESUAI DENGAN PETUNJUK DOKTER. Dewasa: Oleskan ke daerah yang terkena 3-4 kali sehari sampai ada perbaikan. Jika pembalut kasa digunakan, maka frekuensi pemakaian dapat dikurangi menjadi 1-2 kali sehari. Anak: Oleskan ke area yang terkena 3-4 kali sehari sampai ada perbaikan. Jika pembalut kasa digunakan, maka frekuensi pemakaian dapat dikurangi menjadi 1-2 kali sehari.</t>
  </si>
  <si>
    <t>INFORMASI OBAT INI HANYA UNTUK KALANGAN MEDIS. Lesi di kulit primer dan sekunder yang disebabkan oleh Staphylococci, seperti pada abses, furunkulosis, impetigo, folikulitis dan hidradenitis</t>
  </si>
  <si>
    <t>Obat Wajib Apotek, Obat ini dapat dibeli dan diserahkan apoteker tanpa resep dengan maksimum 1 Tube. Pembelian melebihi batas ini WAJIB RESEP DOKTER. Hanya untuk penggunaan luar. Jangan dioleskan pada mata.</t>
  </si>
  <si>
    <t>lesi kulit primer sekunder disebabkan staphylococci , abs , furunkulosis , impetigo , folikulitis hidradenitis</t>
  </si>
  <si>
    <t>fuladic cream</t>
  </si>
  <si>
    <t>fuladic cream krim fusidic acid lesi kulit primer sekunder disebabkan staphylococci  abs  furunkulosis  impetigo  folikulitis hidradenitis</t>
  </si>
  <si>
    <t>DBL0609201137B1</t>
  </si>
  <si>
    <t>Fasidol Forte Syrup 60 ml</t>
  </si>
  <si>
    <t>Rp7.400 - Rp22.200</t>
  </si>
  <si>
    <t>Dewasa : 3-4 x sehari 15-30ml, maksimal 120 mL sehari. 7-12 th : 3-4 kali sehari 10ml. 4-6 th : 3-4 kali sehari 5ml. 1-3 th : 3-4 kali 2.5-5ml. 6-12 bln :3-4 x sehari 2.5ml</t>
  </si>
  <si>
    <t>Penderita dengan gangguan fungsi hati dan penderita hipersensif terhadap salah satu komponen</t>
  </si>
  <si>
    <t>fasidol forte sirup paracetamol mengurangi sakit sakit kepala  sakit gigi  nyeri operasi  menurunkan panas influenza vaksinasi</t>
  </si>
  <si>
    <t>DKI1742000543A1</t>
  </si>
  <si>
    <t>Actrapid HM Penfill</t>
  </si>
  <si>
    <t>Rp150.000 - Rp170.600</t>
  </si>
  <si>
    <t>30 menit sebelum makan, harus diikuti dengan makan makanan atau snack yang mengandung karbohidrat dalam waktu 30 menit sesudah disuntik.</t>
  </si>
  <si>
    <t>PENGGUNAAN OBAT INI HARUS SESUAI DENGAN PETUNJUK DOKTER. Dosis bersifat individual, lazimnya 0.3-1 IU/kg BB/hari, inj.SC atau IV.</t>
  </si>
  <si>
    <t>Diabetes Melitus/Kencing Manis yang membutuhkan insulin, terapi akut, termasuk stres Hiperglikemik.</t>
  </si>
  <si>
    <t>HARUS DENGAN RESEP DOKTER. Infeksi dan kondisi demam lain atau penyakit lain yang dapat meningkatkan kebutuhan akan insulin. Dapat mengganggu kemampuan mengemudi atau menjalankan mesin. Hamil.</t>
  </si>
  <si>
    <t>diabetes melitus kencing manis membutuhkan insulin , terapi akut , stres hiperglikemik</t>
  </si>
  <si>
    <t>actrapid hm penfill</t>
  </si>
  <si>
    <t>actrapid hm penfill injeksi insulin human diabetes melitus kencing manis membutuhkan insulin  terapi akut  stres hiperglikemik</t>
  </si>
  <si>
    <t>TR082679881</t>
  </si>
  <si>
    <t>Cap Lang Minyak Telon 100 ml</t>
  </si>
  <si>
    <t>TELON LANG</t>
  </si>
  <si>
    <t>Rp22.000 - Rp54.900</t>
  </si>
  <si>
    <t>Dapat digunakan setiap hari, terutama sehabis mandi dan bila udara dingin.</t>
  </si>
  <si>
    <t>Oleskan minyak telon secukupnya pada dada, perut, dan telapak kaki.</t>
  </si>
  <si>
    <t>Menjaga kehangatan tubuh bayi, meredakan perut kembung, mencegah gigitan nyamuk.</t>
  </si>
  <si>
    <t>telon lang</t>
  </si>
  <si>
    <t>menjaga kehangatan tubuh bayi , meredakan perut kembung , mencegah gigitan nyamuk</t>
  </si>
  <si>
    <t>cap lang telon</t>
  </si>
  <si>
    <t>cap lang telon minyak telon lang menjaga kehangatan tubuh bayi  meredakan perut kembung  mencegah gigitan nyamuk</t>
  </si>
  <si>
    <t>Cap Lang Minyak Telon 150 ml</t>
  </si>
  <si>
    <t>Rp33.000 - Rp77.600</t>
  </si>
  <si>
    <t>Botol 150 ml X 1</t>
  </si>
  <si>
    <t>DKL1331533817A1</t>
  </si>
  <si>
    <t>Fendex 25 mg 10 Tablet</t>
  </si>
  <si>
    <t>Sebaiknya diberikan pada saat perut kosong: Berikan 30 mnt sblm makan, terutama utk meredakan nyeri akut secara cepat.</t>
  </si>
  <si>
    <t>PENGGUNAAN OBAT INI HARUS SESUAI DENGAN PETUNJUK DOKTER. Tablet salut selaput Dewasa Dosis lazim: 12.5 mg tiap 4-6 jam atau 25 mg tiap 8 jam. Nyeri pasca operasi 5 mg tiap 8 jam. Dosis total maksimal: 75 mg/hr.</t>
  </si>
  <si>
    <t>Oral Terapi simtomatik nyeri ringan hingga sedang seperti nyeri muskuloskeletal &amp; nyeri pasca operasi, dismenore, sakit gigi.</t>
  </si>
  <si>
    <t>HARUS DENGAN RESEP DOKTER. Riwayat alergi obat, asma bronkial, esofagitis, gastritis &amp; tukak peptik. Hentikan penggunaan obat ini jika terjadi perdarahan atau tukak saluran cerna. Menghambat agregasi platelet &amp; memperpanjang waktu perdarahan. Obat yang mempengaruhi hemostasis, terapi diuretik</t>
  </si>
  <si>
    <t>GKL9922229904A1</t>
  </si>
  <si>
    <t>Erythromycin 500 mg 10 Kaplet</t>
  </si>
  <si>
    <t>Rp16.200 - Rp20.200</t>
  </si>
  <si>
    <t>Sebaiknya diberikan pada perut kosong, 1 jam atau 2 jam sebelum makan.</t>
  </si>
  <si>
    <t>PENGGUNAAN OBAT INI HARUS SESUAI DENGAN PETUNJUK DOKTER. Profilaksis infeksi bedah, Infeksi saluran pernapasan, Infeksi kulit dan jaringan lunak, Infeksi Gram-negatif yang rentan, Infeksi Gram-positif yang rentan Dewasa: 1-2 g setiap hari dalam 2-4 dosis terbagi</t>
  </si>
  <si>
    <t>DBL0307114204A1</t>
  </si>
  <si>
    <t>Zecaneuron 10 Kaplet</t>
  </si>
  <si>
    <t>Rp8.100 - Rp11.400</t>
  </si>
  <si>
    <t>Untuk pencegahan dan pengobatan kekurangan Thiamin mononitrate, Pyridoxin HCl, dan Cyanocobalamine.</t>
  </si>
  <si>
    <t>untuk pencegahan pengobatan kekurangan thiamin mononitrate , pyridoxin hcl , cyanocobalamine</t>
  </si>
  <si>
    <t>zecaneuron</t>
  </si>
  <si>
    <t>zecaneuron kaplet thiamine nitrate pyridoxine hydrochloride cyanocobalamin untuk pencegahan pengobatan kekurangan thiamin mononitrate  pyridoxin hcl  cyanocobalamine</t>
  </si>
  <si>
    <t>DKL9522213901C1</t>
  </si>
  <si>
    <t>Prolic 300 mg 10 Kapsul</t>
  </si>
  <si>
    <t>Rp102.700 - Rp116.100</t>
  </si>
  <si>
    <t>Sesudah makan. Telan utuh dengan segelas air &amp; dalam posisi tegak.</t>
  </si>
  <si>
    <t>PENGGUNAAN OBAT INI HARUS SESUAI DENGAN PETUNJUK DOKTER. Dewasa : Infeksi serius : 150 - 300 mg tiap 6 jam. Infeksi lebih serius : 300 - 450 mg tiap 6 jam. Anak : Infeksi serius : 8 - 16 mg/kg BB/hari terbagi dalam 3 - 4 dosis. Infeksi lebih serius : 16-20 mg/kgBB/hari terbagi dalam 3 - 4 dosis.</t>
  </si>
  <si>
    <t>INFORMASI OBAT INI HANYA UNTUK KALANGAN MEDIS. Infeksi berat karena bakteri anaerob dan aerob yang sensitif disebabkan oleh organisme yang peka antara lain strep, pneumokokus dan staph.</t>
  </si>
  <si>
    <t>Hipersensitivitas. Pengobatan meningitis (radang selaput otak)</t>
  </si>
  <si>
    <t>HARUS DENGAN RESEP DOKTER. Riwayat penyakit Gl, seperti kolitis, penyakit ginjal dan atau hati, superinfeksi dan pertumbuhan jamur berlebih, hamil, lanjut usia.</t>
  </si>
  <si>
    <t>infeksi berat bakteri anaerob aerob sensitif disebabkan organisme peka strep , pneumokokus staph</t>
  </si>
  <si>
    <t>prolic</t>
  </si>
  <si>
    <t>prolic kapsul clindamycin hydrochloride infeksi berat bakteri anaerob aerob sensitif disebabkan organisme peka strep  pneumokokus staph</t>
  </si>
  <si>
    <t>DTL9127800729A1</t>
  </si>
  <si>
    <t>Mycorine 2% Cream 15 g</t>
  </si>
  <si>
    <t>Rp52.000 - Rp62.800</t>
  </si>
  <si>
    <t>Tinea Korporis, Tinea Pedis, Tinea Kruris, Tinea VersiKolor: Oleskan 2 x sehari (pagi dan sore), Tinea Versikolor : Oleskan 1 x sehari. Lama terapi : 2-4 minggu</t>
  </si>
  <si>
    <t>Infeksi jamur pada kulit : Tinea Korporis, Tinea Pedis, Tinea Kruris, Tinea VersiKolor</t>
  </si>
  <si>
    <t>infeksi jamur kulit tinea korporis , tinea pedis , tinea kruris , tinea versikolor</t>
  </si>
  <si>
    <t>mycorine cream</t>
  </si>
  <si>
    <t>mycorine cream krim miconazole nitrate infeksi jamur kulit tinea korporis  tinea pedis  tinea kruris  tinea versikolor</t>
  </si>
  <si>
    <t>DKL8522206201A1</t>
  </si>
  <si>
    <t>Urotractin 400 mg 10 Kapsul</t>
  </si>
  <si>
    <t>Rp55.300 - Rp55.600</t>
  </si>
  <si>
    <t>PENGGUNAAN OBAT INI HARUS SESUAI DENGAN PETUNJUK DOKTER. 2 x sehari 1 kapsul tiap 12 jam selama minimum 10 hari untuk mencegah kemungkinan kambuh.</t>
  </si>
  <si>
    <t>INFORMASI OBAT INI HANYA UNTUK KALANGAN MEDIS. Infeksi saluran kemih kelamin yang disebabkan mikro organisme gram positif &amp; gram negatif yang sensitif</t>
  </si>
  <si>
    <t>Bayi &lt;3 bulan. Hipersensitif terhadap komponen dalam obat.</t>
  </si>
  <si>
    <t>HARUS DENGAN RESEP DOKTER. Gangguan fungsi hati dan ginjal, kerusakan susunan saraf pusat, kejang. Terpapar sinar matahari kuat. Hamil &amp; laktasi.</t>
  </si>
  <si>
    <t>infeksi saluran kemih kelamin disebabkan mikro organisme gram positif gram negatif sensitif</t>
  </si>
  <si>
    <t>urotractin</t>
  </si>
  <si>
    <t>urotractin kapsul pipemidic acid infeksi saluran kemih kelamin disebabkan mikro organisme gram positif gram negatif sensitif</t>
  </si>
  <si>
    <t>DKL8322225409A1</t>
  </si>
  <si>
    <t>Erysanbe 500 mg 10 Kaplet</t>
  </si>
  <si>
    <t>Rp38.500 - Rp47.100</t>
  </si>
  <si>
    <t>PENGGUNAAN OBAT INI HARUS SESUAI DENGAN PETUNJUK DOKTER. Dewasa &gt; 20 kg : 1 - 2 4 kali sehari. Anak &lt; 20 kg : 30 - 50 mg/kg BB/hari. Diberikan dalam dosis terbagi tiap 6 jam</t>
  </si>
  <si>
    <t>INFORMASI OBAT INI HANYA UNTUK KALANGAN MEDIS. Infeksi saluran pernapasan, kulit &amp; jaringan lunak, pneumonia, gonore, infeksi lain yang disebabkan oleh mikroorganisme yang rentan.</t>
  </si>
  <si>
    <t>HARUS DENGAN RESEP DOKTER. Kewaspadaan khusus pada penggunaan berkepanjangan, gangguan fungsi hati, insufisiensi ginjal, Ibu Hamil &amp; menyusui. Kategori kehamilan : Belum terdapat data keamanan terkait penggunaan obat ini pada wanita hamil dan/atau menyusui. Konsultasikan kepada dokter apabila Anda sedang hamil dan/atau menyusui.</t>
  </si>
  <si>
    <t>infeksi saluran pernapasan , kulit jaringan lunak , pneumonia , gonore , infeksi disebabkan mikroorganisme rentan</t>
  </si>
  <si>
    <t>erysanbe</t>
  </si>
  <si>
    <t>erysanbe kaplet erythromycin stearate infeksi saluran pernapasan  kulit jaringan lunak  pneumonia  gonore  infeksi disebabkan mikroorganisme rentan</t>
  </si>
  <si>
    <t>aqua maris baby nasal tablet guaifenesin melegakan hidung tersumbat membersihkan saluran hidung harian mengatasi kekeringan hidung</t>
  </si>
  <si>
    <t>DTL9513305637A1</t>
  </si>
  <si>
    <t>Lacoldin Sirup 60 ml</t>
  </si>
  <si>
    <t>Dewasa dan anak &gt; 12 tahun : 2 sendok takar 5 mL, Anak 6-12 tahun : 1 sendok takar 5 mL, Anak 2-6 tahun : 0.5 sendok takar 5 mL, Diberikan 3-4 x sehari</t>
  </si>
  <si>
    <t>Gangguan fungsi hati dan ginjal, glaukoma, hipertrofi prostat, hipertiroid, retensi urin. Anak &lt;6 tahun. Hamil, laktasi. Penggunaan bersama obat penekan SSP. Mempengaruhi kemampuan mengemudi atau menjalankan mesin. Penderita yang lemah fisik, hipoksia (ke</t>
  </si>
  <si>
    <t>lacoldin sirup chlorphenamine maleate meredakan gejala demam  sakit kepala  hidung tersumbat berhubungan flu  pilek rinitis alergi</t>
  </si>
  <si>
    <t>Kelo-Cote Gel 6 Gram</t>
  </si>
  <si>
    <t>Oleskan tipis pada area yang membutuhkan</t>
  </si>
  <si>
    <t>Oleskan tipis-tipis pada bekas luka 2 kali sehari. Biarkan meresap selama 4-5 menit. Disarankan untuk digunakan selama 60-90 hari</t>
  </si>
  <si>
    <t>Untuk penganan luka, baik yang lama ataupun baru. Terutama luka yang hypertrophic /keloid baik karena bekas operasi, trauma ataupun terbakar</t>
  </si>
  <si>
    <t>Kelo-Cote Gel 6 G X 1'S</t>
  </si>
  <si>
    <t>untuk penganan luka ,  terutama luka hypertrophic keloid bekas operasi , trauma terbakar</t>
  </si>
  <si>
    <t>kelocote gram</t>
  </si>
  <si>
    <t>kelocote gram krim sulfadiazine silver untuk penga luka   terutama luka hypertrophic keloid bekas operasi  trauma terbakar</t>
  </si>
  <si>
    <t>Char Mi Earpick Art 185 50 Pcs</t>
  </si>
  <si>
    <t>Rp14.400 - Rp30.400</t>
  </si>
  <si>
    <t>Cotton bud yang dilengkapi dengan Earpick memudahkan Anda dalam merawat telinga.</t>
  </si>
  <si>
    <t>Pack @ 50 pieces</t>
  </si>
  <si>
    <t>cotton bud dilengkapi earpick memudahkan anda merawat telinga</t>
  </si>
  <si>
    <t>char mi earpick art pcs</t>
  </si>
  <si>
    <t>char mi earpick art pcs tablet tizanidine hydrochloride cotton bud dilengkapi earpick memudahkan anda merawat telinga</t>
  </si>
  <si>
    <t>DKL8922209938B1</t>
  </si>
  <si>
    <t>Cefat Forte 250 mg/5 ml Dry Sirup 60 ml</t>
  </si>
  <si>
    <t>Rp104.700 - Rp118.500</t>
  </si>
  <si>
    <t>cefat forte</t>
  </si>
  <si>
    <t>cefat forte sirup cefadroxil monohydrate mengatasi infeksi saluran pernafasan  saluran kemih kelamin infeksi kulit jaringan lunak</t>
  </si>
  <si>
    <t>marimer hypertonic nasal tablet guaifenesin membantu membersihkan saluran nasal  dekongesti hidung tersumbat  pelengkap terapi gangguan tht</t>
  </si>
  <si>
    <t>iron (iii) hydroxide polymaltose complex</t>
  </si>
  <si>
    <t>maltofer sirup iron iii hydroxide polymaltose complex pengobatan pencegahan defisiensi zat besi asam folat selamahamil melahirkan</t>
  </si>
  <si>
    <t>FF152300641</t>
  </si>
  <si>
    <t>Stimuno Forte 10 Kapsul</t>
  </si>
  <si>
    <t>STIMUNO FORTE</t>
  </si>
  <si>
    <t>Rp21.500 - Rp39.900</t>
  </si>
  <si>
    <t>Dewasa (usia lebih dari 12 tahun) : 3 kali sehari 1 kapsul. Dikonsumsi usia di atas 12 tahun.</t>
  </si>
  <si>
    <t>Membantu merangsang tubuh memproduksi lebih banyak antibodi dan mengaktifkan sistem kekebalan tubuh agar daya tahan tubuh bekerja optimal.</t>
  </si>
  <si>
    <t>Pasien dengan kondisi sistem imun yang hiperreaktif, misalnya pada pasien dengan riwayat penyakit autoimun atau hipersensitivitas.</t>
  </si>
  <si>
    <t>Data keamanan penggunaan pada wanita hamil dan menyusui belum tersedia, obat hanya diberikan apabila keuntungan yang didapatkan melebihi risiko yang dapat terjadi pada janin.</t>
  </si>
  <si>
    <t>stimuno forte</t>
  </si>
  <si>
    <t>membantu merangsang tubuh memproduksi antibodi mengaktifkan sistem kekebalan tubuh daya tahan tubuh optimal</t>
  </si>
  <si>
    <t>stimuno forte kapsul membantu merangsang tubuh memproduksi antibodi mengaktifkan sistem kekebalan tubuh daya tahan tubuh optimal</t>
  </si>
  <si>
    <t>Mycorine Cream 5 gr</t>
  </si>
  <si>
    <t>Rp25.400 - Rp27.900</t>
  </si>
  <si>
    <t>Krim Tinea korporis, tinea pedis, tinea kruris Oleskan 2 x/hari (pagi &amp; sore hr). Tinea versicolorOleskan 1 x/hari. Lama terapi: 2-4 minggu. Bubuk Gunakan 1-2 x/hari selama 2-4 minggu. Lipatan-lipatan kulit Gunakan secara lebih sering.</t>
  </si>
  <si>
    <t>Infeksi jamur pada kulit: tinea korporis, tinea pedis, tinea kruris, tinea versicolor.</t>
  </si>
  <si>
    <t>Hindari kontak dengan mata. Hentikan penggunaan jika tjd reaksi sensitisasi atau iritasi.</t>
  </si>
  <si>
    <t>infeksi jamur kulit tinea korporis , tinea pedis , tinea kruris , tinea versicolor</t>
  </si>
  <si>
    <t>mycorine cream gr</t>
  </si>
  <si>
    <t>mycorine cream gr krim miconazole nitrate infeksi jamur kulit tinea korporis  tinea pedis  tinea kruris  tinea versicolor</t>
  </si>
  <si>
    <t>DKL1933215709A1</t>
  </si>
  <si>
    <t>Zitromed 500 mg 6 Kaplet</t>
  </si>
  <si>
    <t>Rp265.800 - Rp298.800</t>
  </si>
  <si>
    <t>Dapat diberikan bersama makanan untuk mengurangi rasa tidak nyaman pada GI</t>
  </si>
  <si>
    <t>INFORMASI OBAT INI HANYA UNTUK KALANGAN MEDIS. Infeksi saluran napas atas &amp; bawah, kulit &amp; struktur kulit, uretritis &amp; servisitis non GO krn Chlamydia trachomatis</t>
  </si>
  <si>
    <t>hipersensitif, pasien dengan kerusakan hati.</t>
  </si>
  <si>
    <t>HARUS DENGAN RESEP DOKTER. Gangguan ginjal sedang atau berat, gangguan hati berat. Hamil &amp; laktasi. Lansia. Hentikan pemakaian apabila terjadi reaksi alergi, gangguan hati. Pertumbuhan C. difficile.Kategori kehamilan: B</t>
  </si>
  <si>
    <t>infeksi saluran napa , kulit struktur kulit , uretritis servisitis non go krn chlamydia trachomatis</t>
  </si>
  <si>
    <t>zitromed</t>
  </si>
  <si>
    <t>zitromed kaplet azithromycin dihydrate infeksi saluran napa  kulit struktur kulit  uretritis servisitis non go krn chlamydia trachomatis</t>
  </si>
  <si>
    <t>DKL1003812946A1</t>
  </si>
  <si>
    <t>Cendo Hyalub Minidose 0.6 ml</t>
  </si>
  <si>
    <t>Rp66.100 - Rp88.400</t>
  </si>
  <si>
    <t>PENGGUNAAN OBAT INI HARUS SESUAI DENGAN PETUNJUK DOKTER. 1 tetes pada mata 5-6 kali sehari atau sesuai petunjuk dokter</t>
  </si>
  <si>
    <t>Catch cover @ 5 Botol @ 0.6 ml</t>
  </si>
  <si>
    <t>HARUS DENGAN RESEP DOKTER. Hanya untuk pemakaian luar. Kehamilan, pemakaian lensa kontak lunak. Jauhkan dari jangkauan anak-anak. Jangan digunakan jika larutan berubah warna atau keruh. Jangan dipergunakan 3 x 24 jam setelah dibuka.</t>
  </si>
  <si>
    <t>sodium hyaluronate</t>
  </si>
  <si>
    <t>cendo hyalub minidose</t>
  </si>
  <si>
    <t>cendo hyalub minidose tetes sodium hyaluronate menghilangkan terbakar  iritasi  ketidaknyama disebabkan kekeringan mata mempercepat perbaikan permukaan ocular</t>
  </si>
  <si>
    <t>DKL9028601928A2</t>
  </si>
  <si>
    <t>Kloderma Gel 0.05% 5 g</t>
  </si>
  <si>
    <t>Rp29.000 - Rp31.900</t>
  </si>
  <si>
    <t>PENGGUNAAN OBAT INI HARUS SESUAI DENGAN PETUNJUK DOKTER. Oleskan 1-2 kali sehari. Maksimal : 2 g sehari</t>
  </si>
  <si>
    <t>Psoriasis, eksim rekalsitran, liken planus, lupus eritematosus diskoid dan kondisi lainnya yang tidak memberi respon terhadap kortikosteroid yang kurang aktif</t>
  </si>
  <si>
    <t>Gel 0.05% X 5 G X 1</t>
  </si>
  <si>
    <t>Rosasea, akne dan dermatitis perioral</t>
  </si>
  <si>
    <t>DKL9306308330A1</t>
  </si>
  <si>
    <t>Genoint Salep Kulit 15G</t>
  </si>
  <si>
    <t>Rp7.800 - Rp14.800</t>
  </si>
  <si>
    <t>Oleskan pada kulit yang sakit.</t>
  </si>
  <si>
    <t>PENGGUNAAN OBAT INI HARUS SESUAI DENGAN PETUNJUK DOKTER. 3-4 kali sehari.</t>
  </si>
  <si>
    <t>INFORMASI OBAT INI HANYA UNTUK KALANGAN MEDIS. Untuk pengobatan infeksi topikal baik infeksi kulit primer maupun sekunder yang disebabkan oleh bakteri yang peka terhadap Gentamicin</t>
  </si>
  <si>
    <t>HARUS DENGAN RESEP DOKTER. Hentikan pengobatan bila terjadi iritasi atau sensitisasi. Dapat terjadi pertumbuhan yang berlebihan dari mikroorganisme yang tidak rentan pada pemakaian jangka panjang. Begitu terjadi superinfeksi,hentikan pengobatan dan berikan terapi yang sesuai. Kategori Kehamilan : D</t>
  </si>
  <si>
    <t>untuk pengobatan infeksi topikal infeksi kulit primer sekunder disebabkan bakteri peka gentamicin</t>
  </si>
  <si>
    <t>genoint kulit</t>
  </si>
  <si>
    <t>genoint kulit salep gentamicin sulfate untuk pengobatan infeksi topikal infeksi kulit primer sekunder disebabkan bakteri peka gentamicin</t>
  </si>
  <si>
    <t>DKL1705056617A1</t>
  </si>
  <si>
    <t>Deslotine 5 mg 10 Tablet</t>
  </si>
  <si>
    <t>Rp85.400 - Rp92.600</t>
  </si>
  <si>
    <t>PENGGUNAAN OBAT INI HARUS SESUAI DENGAN PETUNJUK DOKTER. Dewasa &amp; anak &gt;12 thn 5 mg 1x/ hr. Gangguan hati atau ginjal Awal 5 mg setiap hari.</t>
  </si>
  <si>
    <t>Meredakan gejala simptomatik rinitis alergi nasal &amp; non-nasal &amp; pruritus. Sesuaikan jumlah &amp; ukuran dosis pada pasien â‰¥12 tahun.</t>
  </si>
  <si>
    <t>box, 3 strip @10 tablet</t>
  </si>
  <si>
    <t>meredakan gejala simptomatik rinitis alergi nasal non - nasal pruritus  sesuaikan ukuran dosis pasien 12</t>
  </si>
  <si>
    <t>deslotine</t>
  </si>
  <si>
    <t>deslotine tablet desloratadine meredakan gejala simptomatik rinitis alergi nasal non  nasal pruritus  sesuaikan ukuran dosis pasien 12</t>
  </si>
  <si>
    <t>Bagus Nina Pantyliner Anion Natural Scent 20 Pads</t>
  </si>
  <si>
    <t>Rp19.900 - Rp30.500</t>
  </si>
  <si>
    <t>Pembalut saat keputihan atau saat keluarnya lendir berlebih dari organ kewanitaan.</t>
  </si>
  <si>
    <t>Simpan di temapt sejuk dan kering. Jangan buang ke dalam toilet.</t>
  </si>
  <si>
    <t>pembalut keputihan keluarnya lendir berlebih organ kewanitaan</t>
  </si>
  <si>
    <t>bagus nina pantyliner anion natural scent pads</t>
  </si>
  <si>
    <t>bagus nina pantyliner anion natural scent pads tablet sildenafil citrate pembalut keputihan keluarnya lendir berlebih organ kewanitaan</t>
  </si>
  <si>
    <t>hydrocortisone acetate chloramphenicol</t>
  </si>
  <si>
    <t>chloramfecort cream krim hydrocortisone acetate chloramphenicol terapi penyakit kkulit akibat alergi spteksim  infeksi sekunder menyertai radang kkulit</t>
  </si>
  <si>
    <t>TR032522231</t>
  </si>
  <si>
    <t>Tolak Angin Flu 12 Sachet</t>
  </si>
  <si>
    <t>TOLAK ANGIN FLU</t>
  </si>
  <si>
    <t>Rp51.000 - Rp56.100</t>
  </si>
  <si>
    <t>Setelah makan. Obat dapat langsung diminum atau dapat dicampur dengan setengan air hangat.</t>
  </si>
  <si>
    <t>Dewasa dan Anak diatas 12 tahun: 1 sachet, 3 kali per hari.</t>
  </si>
  <si>
    <t>Membantu meringankan gejala flu, membantu meringankan masuk angin, serta membantu memelihara daya tahan tubuh.</t>
  </si>
  <si>
    <t>Tidak boleh digunakan pada penderit multiple sklerosis, penyakit kolagen, tuberkulosis, AIDS, dan penyakit autoimun, serta penderita gangguan hati.</t>
  </si>
  <si>
    <t>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</si>
  <si>
    <t>tolak angin flu</t>
  </si>
  <si>
    <t>membantu meringankan gejala flu , membantu meringankan masuk angin , membantu memelihara daya tahan tubuh</t>
  </si>
  <si>
    <t>tolak angin flu sachet membantu meringankan gejala flu  membantu meringankan masuk angin  membantu memelihara daya tahan tubuh</t>
  </si>
  <si>
    <t>DKL0210706710A1</t>
  </si>
  <si>
    <t>Cronitin 10 mg 10 Tablet</t>
  </si>
  <si>
    <t>Rp15.000 - Rp15.500</t>
  </si>
  <si>
    <t>Meringankan gejala yang berhubungan dengan Rinitis Alergi, rasa Gatal dan Panas pada mata, gejala2 Urtikaria khronik dan gangguan2 Dermatologis-Alergis lainnya</t>
  </si>
  <si>
    <t>HARUS DENGAN RESEP DOKTER. Lelah, pusing, mulut kering, sakit kepala, sedasi, mual dan pruritus</t>
  </si>
  <si>
    <t>meringankan gejala berhubungan rinitis alergi , gatal panas mata , gejala2 urtikaria khronik gangguan2 dermatologis - alergis</t>
  </si>
  <si>
    <t>cronitin</t>
  </si>
  <si>
    <t>cronitin tablet loratadine meringankan gejala berhubungan rinitis alergi  gatal panas mata  gejala2 urtikaria khronik gangguan2 dermatologis  alergis</t>
  </si>
  <si>
    <t>TR032622221</t>
  </si>
  <si>
    <t>Tolak Angin Flu 5 Sachet</t>
  </si>
  <si>
    <t>Rp19.200 - Rp24.800</t>
  </si>
  <si>
    <t>Kocok dahulu sebelum diminum. Sesudah makan. Anjuran, sebaiknya istirahat cukup dan makan makanan bergizi.</t>
  </si>
  <si>
    <t>Diminum 3 x sehari, 1 sachet.</t>
  </si>
  <si>
    <t>Membantu meringankan gejala flu, membantu meredakan masuk angin, serta membantu memelihara daya tahan tubuh.</t>
  </si>
  <si>
    <t>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</si>
  <si>
    <t>membantu meringankan gejala flu , membantu meredakan masuk angin , membantu memelihara daya tahan tubuh</t>
  </si>
  <si>
    <t>tolak angin flu sachet membantu meringankan gejala flu  membantu meredakan masuk angin  membantu memelihara daya tahan tubuh</t>
  </si>
  <si>
    <t>DKL0820935209A1</t>
  </si>
  <si>
    <t>Rifastar 4FDC 10 Kaplet</t>
  </si>
  <si>
    <t>Rp55.000 - Rp72.900</t>
  </si>
  <si>
    <t>INFORMASI OBAT INI HANYA UNTUK KALANGAN MEDIS. Infeksi bakteri Mycobacterium tuberculosis (TBC), Mycobacterium kansasii, dan Mycobacterium xenopi</t>
  </si>
  <si>
    <t>Dus, 3 Blister @ 10 Kaplet Salut Selaput</t>
  </si>
  <si>
    <t>Penderita yang hipersensitif terhadap komponen obat, penderita neuritis optik, penderita yang tidak dapat mendeteksi adanya gangguan penglihatan, gangguan hati.</t>
  </si>
  <si>
    <t>ethambutol hydrochloride pyrazinamide isoniazid rifampicin</t>
  </si>
  <si>
    <t>infeksi bakteri mycobacterium tuberculosis tbc , mycobacterium kansasii , mycobacterium xenopi</t>
  </si>
  <si>
    <t>rifastar fdc</t>
  </si>
  <si>
    <t>rifastar fdc kaplet ethambutol hydrochloride pyrazinamide isoniazid rifampicin infeksi bakteri mycobacterium tuberculosis tbc  mycobacterium kansasii  mycobacterium xenopi</t>
  </si>
  <si>
    <t>QD151713251</t>
  </si>
  <si>
    <t>Kalpanax Salep 6 g</t>
  </si>
  <si>
    <t>Rp8.200 - Rp10.800</t>
  </si>
  <si>
    <t>Dioleskan ke bagian yang terinfeksi saat kering.</t>
  </si>
  <si>
    <t>Dioleskan ke bagian yang terinfeksi saat kering 2 kali sehari (pagi dan malam hari) atau saat terasa gatal. Walaupun gejala gatal sudah hilang, oleskan sampai 2 minggu pemakaian.</t>
  </si>
  <si>
    <t>Mengatasi infeksi jamur kulit seperti kutu air, panu, kadas, kudis, kurap, dan meringankan gatal perih karena eksim (eczema).</t>
  </si>
  <si>
    <t>Dus, 12 Pot Plastik @ 6 gram</t>
  </si>
  <si>
    <t>Tidak untuk digunakan pada bagian tahi lalat, tanda lahir, dan kutil yang ditumbuhi rambut.</t>
  </si>
  <si>
    <t>Hati-hati penggunaannya pada pasien dengan riwayat neuropati perifer.</t>
  </si>
  <si>
    <t>mengatasi infeksi jamur kulit kutu air , panu , kadas , kudis , kurap , meringankan gatal perih eksim eczema</t>
  </si>
  <si>
    <t>kalpanax   menthol mengatasi infeksi jamur kulit kutu air  panu  kadas  kudis  kurap  meringankan gatal perih eksim eczema</t>
  </si>
  <si>
    <t>DKL9707911904A1</t>
  </si>
  <si>
    <t>Proxona 10 Kaplet</t>
  </si>
  <si>
    <t>PENGGUNAAN OBAT INI HARUS SESUAI DENGAN PETUNJUK DOKTER. Dewasa : 1 tablet. 6-12 thn : 0.5 tablet. 2-6 thn : 0.25 tablet. 3-4 kali per hari.</t>
  </si>
  <si>
    <t>INFORMASI OBAT INI HANYA UNTUK KALANGAN MEDIS. Reaksi alergi yang memberi respons terhadap kortikosteroid, seperti urtikaria, rinitis alergi, dermatitis akut atau kronik, hay fever, konjungtivitis alergi.</t>
  </si>
  <si>
    <t>Infeksi jamur, Ulkus peptikum</t>
  </si>
  <si>
    <t>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</si>
  <si>
    <t>reaksi alergi respons kortikosteroid , urtikaria , rinitis alergi , dermatitis akut kronik , hay fever , konjungtivitis alergi</t>
  </si>
  <si>
    <t>proxona</t>
  </si>
  <si>
    <t>proxona kaplet dexamethasone reaksi alergi respons kortikosteroid  urtikaria  rinitis alergi  dermatitis akut kronik  hay fever  konjungtivitis alergi</t>
  </si>
  <si>
    <t>polymyxin b sulfate neomycin sulfate fludrocortisone acetate lidocaine hydrochloride</t>
  </si>
  <si>
    <t>otilon ear drop tetes polymyxin b sulfate neomycin sulfate fludrocortisone acetate lidocaine hydrochloride otitis eksterna akut kronis</t>
  </si>
  <si>
    <t>3M Micropore Plester Roll 5 cm x 9.1 m</t>
  </si>
  <si>
    <t>Rp41.200 - Rp47.300</t>
  </si>
  <si>
    <t>Pack @ 1 Roll</t>
  </si>
  <si>
    <t>m micropore plester roll x m</t>
  </si>
  <si>
    <t>m micropore plester roll x m larutan povidoneiodine plester microphore surgery tape menempelkan perban  kasa  alat medis</t>
  </si>
  <si>
    <t>QD202684711</t>
  </si>
  <si>
    <t>Freshcare Roll On Minyak Angin Citrus 10 ml</t>
  </si>
  <si>
    <t>Rp14.500 - Rp18.400</t>
  </si>
  <si>
    <t>Gunakan secukupnya pada dada, kening, hidung atau pada bagian yang sakit lainnya.</t>
  </si>
  <si>
    <t>Minyak ini digunakan untuk membantu meredakan perut kembung, pusing, masuk angin dan mabuk perjalanan.</t>
  </si>
  <si>
    <t>Hanya untuk penggunaan luar. Tidak untuk anak , 2 tahun. Jangan digunakan langsung dibawah lubang hidung. Simpan pada suhu dibawah 30 C</t>
  </si>
  <si>
    <t>minyak membantu meredakan perut kembung , pusing , masuk angin mabuk perjalanan</t>
  </si>
  <si>
    <t>freshcare roll on angin citrus</t>
  </si>
  <si>
    <t>freshcare roll on angin citrus roll camphor minyak membantu meredakan perut kembung  pusing  masuk angin mabuk perjala</t>
  </si>
  <si>
    <t>DTL1124402663A1</t>
  </si>
  <si>
    <t>Vermox Tablet 500 mg</t>
  </si>
  <si>
    <t>Rp22.800 - Rp23.900</t>
  </si>
  <si>
    <t>Obat ini dapat dikonsumsi sebelum atau sesudah makan</t>
  </si>
  <si>
    <t>Dewasa: 1 tablet kunyah, diberikan sekali sehari. Anak di atas 5 tahun: sama dengan dosis dewasa.</t>
  </si>
  <si>
    <t>Obat cacing yang digunakan untuk infeksi cacing kremi, cacing gelang, cacing tambang, cacing cambuk, atau infeksi cacing campuran tersebut.</t>
  </si>
  <si>
    <t>Dus, 24 Catch Cover @ 1 Blister @ 1 Tablet Kunyah</t>
  </si>
  <si>
    <t>Obat ini tidak untuk diberikan untuk ibu hamil, anak usia di bawah 5 tahun, serta individu yang mengalami hipersensitivitas atau alergi terhadap komponen obat ini.</t>
  </si>
  <si>
    <t>Tidak boleh melebihi dosis yang dianjurkan. Hati-hati penggunaan obat ini pada ibu hamil atau menyusui. Jika ibu menyusui mengonsumsi obat ini, maka sebaiknya menghentikan pemberian ASI kepada anaknya selama konsumsi obat ini. Mebendazole terkadang dapat menyebabkan peningkatan sekresi insulin dalam tubuh, sehingga penggunaan pada penderita harus hati-hati untuk meminimalisir terjadinya hipoglikemia. Pada pemakaian jangka lama dan dosis besar, kemungkinan akan menimbulkan neutropenia (penurunan salah satu jenis sel-sel darah putih), yang akan kembali normal jika pengobatan dihentikan.</t>
  </si>
  <si>
    <t>obat cacing infeksi cacing kremi , cacing gelang , cacing tambang , cacing cambuk , infeksi cacing campuran</t>
  </si>
  <si>
    <t>vermox</t>
  </si>
  <si>
    <t>vermox tablet mebendazole obat cacing infeksi cacing kremi  cacing gelang  cacing tambang  cacing cambuk  infeksi cacing campuran</t>
  </si>
  <si>
    <t>DKL1806102815A1</t>
  </si>
  <si>
    <t>Pariet 10 mg 14 Tablet</t>
  </si>
  <si>
    <t>Rp252.300 - Rp395.200</t>
  </si>
  <si>
    <t>Ditelan utuh tablet. Tablet jangan dikunyah atau dihancurkan</t>
  </si>
  <si>
    <t>PENGGUNAAN OBAT INI HARUS SESUAI DENGAN PETUNJUK DOKTER. - Duodenal ulcer/tukak usus halus : 1 x sehari 2 tablet pada pagi hari selama 4-8 minggu. - Gastric ulcer/Tukak Lambung : 1 x sehari 2 tablet pada pagi hari selama 6-12 minggu. - GERD/Reflux Oesophagitis erosif/ulseratif : 1 x sehari 2 tablet selama 4-8 minggu. Pemeliharaan : 1-2 tablet/hari, tergantung respon pasien Untuk terapi GERD sedang sampai berat : 1 tablet/hari pada pasien yang tidak mengalami esofagitis. Untuk eradikasi H. pylori : 2 tablet dengan klaritromisin 500 mg dan amoksisilin 1 g, diberikan 2 kali/hari selama 7 hari.</t>
  </si>
  <si>
    <t>INFORMASI OBAT INI HANYA UNTUK KALANGAN MEDIS. Maag, Tukak Lambung, Tukak Usus Halus, Reflux Esofagitis Erosif/Ulseratif, Eradikasi H.Pylori.</t>
  </si>
  <si>
    <t>Dus, 1 Strip @ 14 Tablet Salut Enterik</t>
  </si>
  <si>
    <t>Hipersensitivitas terhadap pengganti benzimidazol. Hamil dan laktasi.</t>
  </si>
  <si>
    <t>HARUS DENGAN RESEP DOKTER. Terapi jangka panjang harus dilakukan pengawasan secara berkala. Dosis kumulatif harus dijaga seminimal mungkin. Monitor fungsi tiroid. Dapat mengganggu kemampuan mengemudi dan menjalankan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</si>
  <si>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rabeprazole sodium</t>
  </si>
  <si>
    <t>maag , tukak lambung , tukak usus halus , reflux esofagitis erosif ulseratif , eradikasi h  pylori</t>
  </si>
  <si>
    <t>pariet</t>
  </si>
  <si>
    <t>pariet tablet rabeprazole sodium maag  tukak lambung  tukak usus halus  reflux esofagitis erosif ulseratif  eradikasi h  pylori</t>
  </si>
  <si>
    <t>DKI1952900110A1</t>
  </si>
  <si>
    <t>Concor AM 5 mg/5 mg 10 Tablet</t>
  </si>
  <si>
    <t>Rp152.800 - Rp158.200</t>
  </si>
  <si>
    <t>Cendo Polydex Eye Drop 5 ml</t>
  </si>
  <si>
    <t>Rp43.400 - Rp56.100</t>
  </si>
  <si>
    <t>teteskan pada mata yanng sakit</t>
  </si>
  <si>
    <t>INFORMASI OBAT INI HANYA UNTUK KALANGAN MEDIS. Pengobatan jangka pendek pada kondisi mata yang responsif terhadap steroid apabila diperlukan juga antibiotik sebagai pencegahan.</t>
  </si>
  <si>
    <t>cendo polydex eye drop</t>
  </si>
  <si>
    <t>cendo polydex eye drop tetes dexamethasone sodium phosphate pengobatan jangka pendek kondisi mata responsif steroid antibiotik pencegahan</t>
  </si>
  <si>
    <t>QD041703861</t>
  </si>
  <si>
    <t>Silver Clove Balsam 20 g</t>
  </si>
  <si>
    <t>Rp25.000 - Rp30.700</t>
  </si>
  <si>
    <t>Digunakan untuk bantuan sementara dari nyeri otot dan sendi . Formula yang unik dibuat dengan pencampuran minyak esensial dan ekstrak tumbuhan.</t>
  </si>
  <si>
    <t>Pot @ 20 g</t>
  </si>
  <si>
    <t>Tidak digunakan untuk anak dibawah usia 2 tahun. Jangan digunakan langsung dibawah hidung.</t>
  </si>
  <si>
    <t>digunakan bantuan nyeri otot sendi  formula unik pencampuran minyak esensial ekstrak tumbuhan</t>
  </si>
  <si>
    <t>silver clove balsam</t>
  </si>
  <si>
    <t>silver clove balsam balsam camphora digunakan bantuan nyeri otot sendi  formula unik pencampuran minyak esensial ekstrak tumbuhan</t>
  </si>
  <si>
    <t>Hypafix 5 cm X 5 M</t>
  </si>
  <si>
    <t>Rp91.500 - Rp105.200</t>
  </si>
  <si>
    <t>Plester yang merekatkan dalam segi medis seperti luka-luka atau infus namun memiliki kekuatan perekat lebih dibandingkan plester lainnya</t>
  </si>
  <si>
    <t>Dus @ 1 Rol @ 5 cm X 5cm</t>
  </si>
  <si>
    <t>plester merekatkan segi medis luka - luka infus memiliki kekuatan perekat dibandingkan plester</t>
  </si>
  <si>
    <t>hypafix x m</t>
  </si>
  <si>
    <t>hypafix x m larutan povidoneiodine plester merekatkan segi medis luka  luka infus memiliki kekuatan perekat dibandingkan plester</t>
  </si>
  <si>
    <t>QI226020511</t>
  </si>
  <si>
    <t>Siang Pure Oil 25 ml</t>
  </si>
  <si>
    <t>Rp92.700 - Rp93.600</t>
  </si>
  <si>
    <t>Oleskan pada bagian yang membutuhkan</t>
  </si>
  <si>
    <t>Membantu meredakan:1. Hidung tersumbat2. Sakit kepala / pusing / mabuk perjalanan3. Sakit gigi</t>
  </si>
  <si>
    <t>membantu meredakan 1  hidung tersumbat2  sakit kepala pusing mabuk perjalanan3  sakit gigi</t>
  </si>
  <si>
    <t>siang pure oil</t>
  </si>
  <si>
    <t>siang pure oil minyak camphor membantu meredakan 1  hidung tersumbat2  sakit kepala pusing mabuk perjala3  sakit gigi</t>
  </si>
  <si>
    <t>DKL0535800230A1</t>
  </si>
  <si>
    <t>Elopro 0.05% Salep 10 g</t>
  </si>
  <si>
    <t>Rp33.800 - Rp41.400</t>
  </si>
  <si>
    <t>PENGGUNAAN OBAT INI HARUS SESUAI DENGAN PETUNJUK DOKTER. Oleskan tipis-tipis merata 1-2 kali sehari</t>
  </si>
  <si>
    <t>Terapi jangka pendek pada dermatosis resisten, misalnya psoriasis, eksim rekalsitrans, liken planus, lupus eritematosus diskoid</t>
  </si>
  <si>
    <t>Salep 0.05% X 10 G X 1</t>
  </si>
  <si>
    <t>Hipersensitif terhadap klobetasol propionat. Rosasea, jerawat, dermatitis perioral, infeksi kulit karena virus (misalnya herpes simpleks, varisela). Lesi kulit karena infeksi jamur atau bakteri, pruritus genital dan perianal. Pdermatitis pada anak usia &lt;1</t>
  </si>
  <si>
    <t>HARUS DENGAN RESEP DOKTER. Hindari pengobatan jangka panjang, terutama pada anak. Hindari kontak dengan mata. Hamil, laktasi</t>
  </si>
  <si>
    <t>terapi jangka pendek dermatosis resisten , psoriasis , eksim rekalsitrans , liken planus , lupus eritematosus diskoid</t>
  </si>
  <si>
    <t>elopro</t>
  </si>
  <si>
    <t>elopro salep clobetasol propionate terapi jangka pendek dermatosis resisten  psoriasis  eksim rekalsitrans  liken planus  lupus eritematosus diskoid</t>
  </si>
  <si>
    <t>Insto Reguler Eye Drops 7.5 ml</t>
  </si>
  <si>
    <t>Rp14.900 - Rp18.100</t>
  </si>
  <si>
    <t>2-3 tetes pada setiap mata, 3-4 kali sehari atau sesuai anjuran dokter.</t>
  </si>
  <si>
    <t>Mengatasi kemerahan dan rasa perih di mata yang disebabkan oleh iritasi ringan karena debu, asap, angin, dan setelah berenang.</t>
  </si>
  <si>
    <t>Jangan menggunakan Insto jika Anda hipersensitivtas terhadap kandungan yang ada di dalam obat ini.</t>
  </si>
  <si>
    <t>Jauhkan dari jangkauan anak- anak. Tutup rapat dan hindari pencemaran. Jangan dipakai setelah dibuka 1 bulan. Jangan digunakan bila larutan berubah warna atau keruh. Jika iritasi tidak mereda dalam. 3 hari, segera minta nasehat dokter. Tidak boleh digunakan pada penderita glaukoma. Obat ini mengandung Benzalkonium klorida, penggunaan jangka panjang dan berlebihan dapat menyebabkan kerusakan selaput mata. Jangan menggunakan obat ini secara rutin dan untuk jangka panjang. Jika gejala telah hilang, hentikan penggunaan obat. Jangan menggunakan kontak lensa ketika menggunakan obat ini. Kontak lensa dapat digunakan minimal 10-15 menit setelah obat diteteskan</t>
  </si>
  <si>
    <t>mengatasi kemerahan perih mata disebabkan iritasi ringan debu , asap , angin , berenang</t>
  </si>
  <si>
    <t>insto reguler eye tetes tetrahydrozoline hydrochloride mengatasi kemerahan perih mata disebabkan iritasi ringan debu  asap  angin  bereg</t>
  </si>
  <si>
    <t>DKL1513025110A1</t>
  </si>
  <si>
    <t>Hislorex 10 Tablet</t>
  </si>
  <si>
    <t>Rp33.000 - Rp36.700</t>
  </si>
  <si>
    <t>Mengatasi okular yang terasa gatal dan terbakar, mengurangi gejala biduran yang terjadi selama 6 minggu ke atas, mengurangi gejala alergi kulit lainnya.</t>
  </si>
  <si>
    <t>mengatasi okular gatal terbakar , mengurangi gejala biduran 6 minggu , mengurangi gejala alergi kulit</t>
  </si>
  <si>
    <t>hislorex</t>
  </si>
  <si>
    <t>hislorex tablet cetirizine hydrochloride mengatasi okular gatal terbakar  mengurangi gejala biduran 6 minggu  mengurangi gejala alergi kulit</t>
  </si>
  <si>
    <t>DKL9608006801B1</t>
  </si>
  <si>
    <t>Govazol Kapsul 150 mg</t>
  </si>
  <si>
    <t>PENGGUNAAN OBAT INI HARUS SESUAI DENGAN PETUNJUK DOKTER. Dosis Dewasa untuk : Meningitis kriptokokal dimulai dengan dosis 400 mg kemudian 200-400 mg sekali sehari paling sedikit selama 6-8 minggu. Kandidiasis yang menyebar dan infeksi kandidal invasif lainnya dimulai dengan 400 mg, kemudian 200 mg sehari dan dapat dinaikkan sampai 400 mg sehari. Kandidiasis orofaringeal : 50 mg sekali sehari selama 7-14 hari. Kandidiasis esofagus : 50 mg sehari selama 14-30 hari. Kandidiasis vagina : 150 mg sebagai dosis tunggal. Dosis Anak-anak : Sesuai Anjuran Dokter</t>
  </si>
  <si>
    <t>INFORMASI OBAT INI HANYA UNTUK KALANGAN MEDIS. Untuk pengobatan Kandidiasis, seperti Kandidiasis orofaringeal dan kandidiasis esofaringeal, kandidiasis sistemik, kandidiasis vagnal, serta dapat mengobati meningitis kriptokokal.</t>
  </si>
  <si>
    <t>Dos Isi 1 Strip X 3 Tablet</t>
  </si>
  <si>
    <t>HARUS DENGAN RESEP DOKTER. Tidak direkomendasikan untuk wanita hamil dan laktasi, pasien dengan gangguan hati</t>
  </si>
  <si>
    <t>untuk pengobatan kandidiasis , kandidiasis orofaringeal kandidiasis esofaringeal , kandidiasis sistemik , kandidiasis vagnal , mengobati meningitis kriptokokal</t>
  </si>
  <si>
    <t>govazol</t>
  </si>
  <si>
    <t>govazol kapsul fluconazole untuk pengobatan kandidiasis  kandidiasis orofaringeal kandidiasis esofaringeal  kandidiasis sistemik  kandidiasis vagnal  mengobati meningitis kriptokokal</t>
  </si>
  <si>
    <t>insto reguler eye tetes tetryzoline hydrochloride mengatasi kemerahan perih mata disebabkan iritasi ringan debu  asap  angin  bereg</t>
  </si>
  <si>
    <t>TR102211591</t>
  </si>
  <si>
    <t>Herbadrink Kunyit Asam Sirih Plus Madu 25 g 5 Sachet</t>
  </si>
  <si>
    <t>HERBADRINK KUNYIT ASAM SIRIH PLUS MADU</t>
  </si>
  <si>
    <t>Rp11.200 - Rp18.200</t>
  </si>
  <si>
    <t>Larutkan 1 saset herbadrink kunyit asam ke dalam air panas atau dingin kurang lebih 150 mL, sajikan dan nikmati segera.</t>
  </si>
  <si>
    <t>Membantu melancarkan haid, menyegarkan badan, membantu mengurangi lendir pada daerah kewanitaan</t>
  </si>
  <si>
    <t>herbadrink kunyit asam sirih plus madu</t>
  </si>
  <si>
    <t>membantu melancarkan haid , menyegarkan badan , membantu mengurangi lendir daerah kewanitaan</t>
  </si>
  <si>
    <t>herbadrink kunyit asam sirih plus madu madu membantu melancarkan haid  menyegarkan badan  membantu mengurangi lendir daerah kewanitaan</t>
  </si>
  <si>
    <t>DTL9709312434A1</t>
  </si>
  <si>
    <t>Bromika Sirup 60 ml</t>
  </si>
  <si>
    <t>Rp18.700 - Rp22.100</t>
  </si>
  <si>
    <t>Dewasa dan anak &gt;10 tahun : 2 sendok takar. Anak 5-10 tahun : 1 sendok takar. Anak 2-5 tahun : Â½ sendok takar</t>
  </si>
  <si>
    <t>Terapi batuk produktif/berdahak untuk mempermudah pengeluaran dahak seperti pada Batuk yang disebabkan influensa atau radang saluran nafas</t>
  </si>
  <si>
    <t>Tukak lambung, hamil trimester 1</t>
  </si>
  <si>
    <t>terapi batuk produktif berdahak mempermudah pengeluaran dahak batuk disebabkan influensa radang saluran nafas</t>
  </si>
  <si>
    <t>bromika</t>
  </si>
  <si>
    <t>bromika larutan bromhexine hydrochloride terapi batuk produktif berdahak mempermudah pengeluaran dahak batuk disebabkan influensa radang saluran nafas</t>
  </si>
  <si>
    <t>freshcare roll on angin citrus roll  menthol minyak membantu meredakan perut kembung  pusing  masuk angin mabuk perjala</t>
  </si>
  <si>
    <t>DKL9618207404A1</t>
  </si>
  <si>
    <t>Lotharson 10 Kaplet</t>
  </si>
  <si>
    <t>Rp2.400 - Rp2.600</t>
  </si>
  <si>
    <t>lotharson</t>
  </si>
  <si>
    <t>lotharson kaplet dexamethasone reaksi alergi respons kortikosteroid  urtikaria  rinitis alergi  dermatitis akut kronik  hay fever  konjungtivitis alergi</t>
  </si>
  <si>
    <t>3M Micropore Plester Roll 1.25 cm x 9.1 m</t>
  </si>
  <si>
    <t>cyproterone acetate ethinylestradiol</t>
  </si>
  <si>
    <t>diane tablet cyproterone acetate ethinylestradiol kontrasepsi oral  hirsutism pertumbuhan rambut berlebih wanita area tumbuh rambut pria  jerawat</t>
  </si>
  <si>
    <t>DKL0830909329A1</t>
  </si>
  <si>
    <t>Gentalex Cream 5 g</t>
  </si>
  <si>
    <t>Rp6.000 - Rp7.000</t>
  </si>
  <si>
    <t>Oleskan tipis-tipis pada bagian yang membutuhkan</t>
  </si>
  <si>
    <t>Infeksi kulit primer maupun sekunder yg disebabkan bakteri gram negatif aerobic yg sensitif.</t>
  </si>
  <si>
    <t>hipersensitif, bayi prematur atau bayi baru lahir</t>
  </si>
  <si>
    <t>infeksi kulit primer sekunder yg disebabkan bakteri gram negatif aerobic yg sensitif</t>
  </si>
  <si>
    <t>gentalex cream</t>
  </si>
  <si>
    <t>gentalex cream krim gentamicin sulfate infeksi kulit primer sekunder yg disebabkan bakteri gram negatif aerobic yg sensitif</t>
  </si>
  <si>
    <t>DKI1052502475A1</t>
  </si>
  <si>
    <t>Spiriva Respimat Inhaler 2.5 mcg</t>
  </si>
  <si>
    <t>Dihirup/inhalasi</t>
  </si>
  <si>
    <t>PENGGUNAAN OBAT INI HARUS SESUAI DENGAN PETUNJUK DOKTER. 1 x sehari 2 semprot/puff pada waktu yang sama</t>
  </si>
  <si>
    <t>Terapi pemeliharaan untuk PPOK termasuk Bronkhitis Khronis &amp; Emfisema, gangguan terkait dengan Dispnea &amp; untuk mencegah exaserbasi.</t>
  </si>
  <si>
    <t>Dus, 1 Inhaler + 1 Cartridge</t>
  </si>
  <si>
    <t>HARUS DENGAN RESEP DOKTER. Tidak boleh digunakan untuk terapi awal episode akut dari bronkospasme. Reaksi hipersensitivitas dapat terjadi sesudah pemberian. Glaukoma sudut sempit, hiperplasia prostat, atau obstruksi leher kandung kemih, gangguan ginjal sedang s/d berat</t>
  </si>
  <si>
    <t>terapi pemeliharaan ppok bronkhitis khronis emfisema , gangguan terkait dispnea mencegah exaserbasi</t>
  </si>
  <si>
    <t>spiriva respimat inhaler</t>
  </si>
  <si>
    <t>spiriva respimat inhaler inhaler tiotropium bromide terapi pemeliharaan ppok bronkhitis khronis emfisema  gangguan terkait dispnea mencegah exaserbasi</t>
  </si>
  <si>
    <t>TR133367921</t>
  </si>
  <si>
    <t>Sarang Semut 30 Kapsul</t>
  </si>
  <si>
    <t>SARANG SEMUT</t>
  </si>
  <si>
    <t>Rp90.400 - Rp208.300</t>
  </si>
  <si>
    <t>Untuk pengobatan penyakit berat : 3 kali, 1-2 kapsul perhari. Untuk pengobatan penyakit ringan : 2 kali, 1-2 kapsul perhari. Untuk pencegahan dan meningkatkan stamina : 1 kali sehari 1 kapsul. Dosis untuk anak-anak dibawah 10 tahun, setengah takaran orang dewasa.</t>
  </si>
  <si>
    <t>membantu mengobati benjolan/tumor/kanker payudara, gangguan jantung, gangguan ginjal, prostat, maag, wasir/ambeien.</t>
  </si>
  <si>
    <t>sarang semut</t>
  </si>
  <si>
    <t>membantu mengobati benjolan tumor kanker payudara , gangguan jantung , gangguan ginjal , prostat , maag , wasir ambeien</t>
  </si>
  <si>
    <t>sarang semut kapsul membantu mengobati benjolan tumor kanker payudara  gangguan jantung  gangguan ginjal  prostat  maag  wasir ambeien</t>
  </si>
  <si>
    <t>TR192636601</t>
  </si>
  <si>
    <t>Laserin Madu Sirup 60 ml</t>
  </si>
  <si>
    <t>LASERIN MADU</t>
  </si>
  <si>
    <t>Rp13.400 - Rp17.000</t>
  </si>
  <si>
    <t>Anak : 3 x sehari 1-2 sendok teh</t>
  </si>
  <si>
    <t>- KOMBINASI-KOMBINASI ITRACONAZOLE PELLETS 21.74 W/W</t>
  </si>
  <si>
    <t>kombinasi-kombinasi itraconazole pellets 2174 w/w</t>
  </si>
  <si>
    <t>sporacid kapsul kombinasikombinasi itraconazole pellets 2174 ww dermatomiosis  kandidiasis  mikosis sistemik  tinea corporis  tinea pidea  tinea kapitis</t>
  </si>
  <si>
    <t>cendo asthenof eye tetes oxymetazoline hydrochloride untuk meringankan gejala kemerahan mata mengurangi tidak nyaman iritasi mata ringan</t>
  </si>
  <si>
    <t>DKL9531509010C1</t>
  </si>
  <si>
    <t>Cryptal Tablet 200 mg</t>
  </si>
  <si>
    <t>Rp59.200 - Rp92.600</t>
  </si>
  <si>
    <t>PENGGUNAAN OBAT INI HARUS SESUAI DENGAN PETUNJUK DOKTER. Kandidiasis orofaring 50 mg/hari selama 7-14 hari. Infeksi kandida mukosa (kecuali kandidiasis vaginalis) 50 mg/hari selama 14-30 hari. Pada kasus berat dosis ditingkatkan sampai 100 mg/hari. Infeksi kandida yang luas lainnya/kandidiasis yang menyebar, kandidemia 400 mg hari I, diikuti dengan 200 mg/hari tergantung pada respon klinis, dapat ditingkatkan menjadi 400 mg/hari. Meningitis Cryptococcal 400 mg 1 x/hari, diikuti dengan 200-400 mg 1 x/hari, selama 6-8 minggu.</t>
  </si>
  <si>
    <t>Pada dewasa : Meningitis kriptokokal, Kandidemia &amp; infeksi kandida sistemik lainnya. Pada anak : infeksi kandida/kriptokokal sistemik</t>
  </si>
  <si>
    <t>Tablet 200 Mg X 4'S</t>
  </si>
  <si>
    <t>HARUS DENGAN RESEP DOKTER. Hamil &amp; laktasi. Anak &lt; 16 tahun. Kerusakan ginjal.</t>
  </si>
  <si>
    <t>pada dewasa meningitis kriptokokal , kandidemia infeksi kandida sistemik  pada anak infeksi kandida kriptokokal sistemik</t>
  </si>
  <si>
    <t>cryptal</t>
  </si>
  <si>
    <t>cryptal tablet fluconazole pada dewasa meningitis kriptokokal  kandidemia infeksi kandida sistemik  pada anak infeksi kandida kriptokokal sistemik</t>
  </si>
  <si>
    <t>DKL9830701804A1</t>
  </si>
  <si>
    <t>Lorson 10 Kaplet</t>
  </si>
  <si>
    <t>Rp7.400 - Rp9.100</t>
  </si>
  <si>
    <t>PENGGUNAAN OBAT INI HARUS SESUAI DENGAN PETUNJUK DOKTER. 3-4 x sehari 1 tablet</t>
  </si>
  <si>
    <t>Ulkus peptikum, osteoporosis, psikosis atau psikoneurosis berat, tuberkulosa aktif atau tuberkulosa pasif yang masih diragukan, infeksi akut, vaksin hidup. Wanita menyusui.</t>
  </si>
  <si>
    <t>HARUS DENGAN RESEP DOKTER. Penderita tukak lambung dan kolitis ulceratif, Pasien yang memiliki gangguan fungsi hati dan ginjal misalnya pasien usia lanjut diberikan dosis terendah, ibu menyusui,</t>
  </si>
  <si>
    <t>lorson</t>
  </si>
  <si>
    <t>lorson kaplet dexamethasone reaksi alergi respons kortikosteroid  urtikaria  rinitis alergi  dermatitis akut kronik  hay fever  konjungtivitis alergi</t>
  </si>
  <si>
    <t>DTL1613711841B1</t>
  </si>
  <si>
    <t>Betadine Feminine Hygiene 60 ml</t>
  </si>
  <si>
    <t>Rp41.200 - Rp42.000</t>
  </si>
  <si>
    <t>1. Tuang BETADINE Feminine Hygiene ke tutup botol 2. Larutkan 1 tutup botol(8mL) dengan 1 Liter Air 3. Basuhkan pada area kewanitaan. Diamkan selama 1 menit, bilas dengan air bersih.</t>
  </si>
  <si>
    <t>Untuk pengobatan gunakan 2 x sehari selama 5 hari berturut-turut.</t>
  </si>
  <si>
    <t>Cairan area kewanitaan yang terinfeksi</t>
  </si>
  <si>
    <t>DKI1631600617B1</t>
  </si>
  <si>
    <t>Bioprexum 10 mg 30 Tablet</t>
  </si>
  <si>
    <t>Rp478.200 - Rp597.800</t>
  </si>
  <si>
    <t>Diberikan pagi hari sebelum makan</t>
  </si>
  <si>
    <t>PENGGUNAAN OBAT INI HARUS SESUAI DENGAN PETUNJUK DOKTER. Hipertensi : 5 mg 1 x sehari dapat ditingkatkan menjadi 10 mg 1 x sehari sesudah 1 bulan terapi. Penyakit arteri koroner stabil : Dosis awal: 5 mg 1x sehari selama 2 minggu, dapat ditingkatkan menjadi 10 mg 1 x sehari. Gagal jantung kongestif : Dosis awal: 2.5 mg, Dapat ditingkatkan menjadi 5 mg. Lanjut usia Dosis awal: 2.5 mg/hari. Semua dosis diberikan 1 x sehari</t>
  </si>
  <si>
    <t>Hipertensi, simptom gagal jantung, mengurangi resiko serangan jantung pada pasien dengan riwayat infark miokard dan/atau vaskularisasi ulangan</t>
  </si>
  <si>
    <t>Tablet 10 mg x 30 x 1</t>
  </si>
  <si>
    <t>Angioedema herediter atau idiopatik, hamil</t>
  </si>
  <si>
    <t>HARUS DENGAN RESEP DOKTER. Hipertensi renovaskular, pembedahan/anestesi, gagal ginjal, terapi bersama dengan diuretink hemat Kalium, obat neuroleptik/jenis imipramin,litium</t>
  </si>
  <si>
    <t>perindopril</t>
  </si>
  <si>
    <t>hipertensi , simptom gagal jantung , mengurangi resiko serangan jantung pasien riwayat infark miokard vaskularisasi ulangan</t>
  </si>
  <si>
    <t>bioprexum</t>
  </si>
  <si>
    <t>bioprexum tablet perindopril hipertensi  simptom gagal jantung  mengurangi resiko serangan jantung pasien riwayat infark miokard vaskularisasi ulangan</t>
  </si>
  <si>
    <t>DTL9608001965B1</t>
  </si>
  <si>
    <t>Fungasol Ss 1% Shampo 80 ml</t>
  </si>
  <si>
    <t>Rp58.600 - Rp79.000</t>
  </si>
  <si>
    <t>untuk pemakaian luar</t>
  </si>
  <si>
    <t>Tahap pengobatan: 2 kali seminggu selama 2-4 minggu</t>
  </si>
  <si>
    <t>DKI1152502775A1</t>
  </si>
  <si>
    <t>Combivent UDV 10 Vial</t>
  </si>
  <si>
    <t>Rp208.200 - Rp275.800</t>
  </si>
  <si>
    <t>PENGGUNAAN OBAT INI HARUS SESUAI DENGAN PETUNJUK DOKTER. Serangan akut : 1 ampul dapat ditingkatkan menjadi 2 unit vial dosis pada kondisi yang berat/parah. Maintenance : 1 ampul dipakai 3-4 x sehari</t>
  </si>
  <si>
    <t>INFORMASI OBAT INI HANYA UNTUK KALANGAN MEDIS. Untuk mengendalikan reversibel bronkospasma yang disebabkan oleh penyakit jantung maupun asma akut</t>
  </si>
  <si>
    <t>Dus, 20 Vial @ 2,5 ml</t>
  </si>
  <si>
    <t>Hipersensitif terhadap salbutamol atau obat agonis adrenoreseptor beta-2 lainnya. Kardiomiopati obstruktif hipertrofi atau takiaritmia.</t>
  </si>
  <si>
    <t>HARUS DENGAN RESEP DOKTER. Segera digunakan setelah kemasan dibuka untuk mengindari kontaminasi. Hindari kontak dengan mata. Dapat mengganggu kemampuan menyetir atau mengoperasikan mesin. Pasien berisiko terkena glaukoma, DM tidak terkontrol, MI yg belum lama terjadi, gangguan jantung organik atau vaskular berat, hipertiroidisme, phaeochromocytoma, risiko glaukoma sudut sempit, hipertrofi prostat atau obstruksi kandung kemih. Pasien dengan penyakit jantung berat misalnya, penyakit jantung iskemik, aritmia atau gagal jantung berat. Hamil &amp; laktasi.</t>
  </si>
  <si>
    <t>ipratropium bromide salbutamol sulfate</t>
  </si>
  <si>
    <t>untuk mengendalikan reversibel bronkospasma disebabkan penyakit jantung asma akut</t>
  </si>
  <si>
    <t>combivent udv vial</t>
  </si>
  <si>
    <t>combivent udv vial inhaler ipratropium bromide salbutamol sulfate untuk mengendalikan reversibel bronkospasma disebabkan penyakit jantung asma akut</t>
  </si>
  <si>
    <t>3M Micropore Plester Roll 2.5 cm x 9.1 m</t>
  </si>
  <si>
    <t>Duoderm Hydroactive Gel 30 g</t>
  </si>
  <si>
    <t>Oleskan gel pada kulit yang luka</t>
  </si>
  <si>
    <t>Membantu mempercepat proses penyembuhan luka dan dapat melembutkan bekas luka yg mengering sehingga cepat sembuh</t>
  </si>
  <si>
    <t>Dus, Tube @ 30g</t>
  </si>
  <si>
    <t>membantu mempercepat prose penyembuhan luka melembutkan bekas luka yg mengering cepat sembuh</t>
  </si>
  <si>
    <t>duoderm hydroactive</t>
  </si>
  <si>
    <t>duoderm hydroactive tablet pioglitazone hydrochloride membantu mempercepat prose penyembuhan luka melembutkan bekas luka yg mengering cepat sembuh</t>
  </si>
  <si>
    <t>TR092304021</t>
  </si>
  <si>
    <t>Sido Muncul Aluss 30 Kapsul</t>
  </si>
  <si>
    <t>ALUSS</t>
  </si>
  <si>
    <t>Rp63.600 - Rp78.900</t>
  </si>
  <si>
    <t>2x2 kapsul sehari selama 7 hari. Selanjutnya bisa mengkonsumsi 2x1 kapsul sehari selama 1-2 bulan atau sesuai petunjuk dokter.</t>
  </si>
  <si>
    <t>Mencegah dan mengobati jerawat, Menghilangkan bercak-bercak hitam pada kulit, Menjaga kulit tetap halus dan bersih.</t>
  </si>
  <si>
    <t>aluss</t>
  </si>
  <si>
    <t>mencegah mengobati jerawat , menghilangkan bercak - bercak hitam kulit , menjaga kulit halus bersih</t>
  </si>
  <si>
    <t>sido muncul aluss</t>
  </si>
  <si>
    <t>sido muncul aluss kapsul aluss mencegah mengobati jerawat  menghilangkan bercak  bercak hitam kulit  menjaga kulit halus bersih</t>
  </si>
  <si>
    <t>Dermatix Ultra Gel 5 g</t>
  </si>
  <si>
    <t>Rp126.400 - Rp154.900</t>
  </si>
  <si>
    <t>Pastikan luka sudah sembuh dan kering atau jahitan sudah dibuka sebelum menggunakan Dermatix. Oleskan Dermatix pada luka atau bekas jahitan yang sudah kering.</t>
  </si>
  <si>
    <t>Gunakan Dermatix 2x sehari (pagi &amp; sore) selama minimal 2 bulan. Lebih lama digunakan lebih baik hasilnya.</t>
  </si>
  <si>
    <t>Penanganan keloid &amp; jaringan parut hipertrofi yang disebabkan tindakan bedah umum, luka traumatik, &amp; luka bakar.</t>
  </si>
  <si>
    <t>Hanya untuk penggunaan luar. Hentikan pemakaian apabila terjadi iritasi. Jauhkan dari jangkauan anak-anak. Simpan pada suhu dibawah 25 C.</t>
  </si>
  <si>
    <t>penanganan keloid jaringan parut hipertrofi disebabkan tindakan bedah , luka traumatik , luka bakar</t>
  </si>
  <si>
    <t>dermatix ultra</t>
  </si>
  <si>
    <t>dermatix ultra krim sulfadiazine silver pega keloid jaringan parut hipertrofi disebabkan tindakan bedah  luka traumatik  luka bakar</t>
  </si>
  <si>
    <t>DKL9422215117A1</t>
  </si>
  <si>
    <t>Decrilip 200 mg 10 Tablet</t>
  </si>
  <si>
    <t>Rp38.600 - Rp65.100</t>
  </si>
  <si>
    <t>PENGGUNAAN OBAT INI HARUS SESUAI DENGAN PETUNJUK DOKTER. Dosis lazim : 3 x sehari 1 tablet. Pemeliharaan : 2 x sehari 1 tablet. Gangguan ginjal ringan sampai sedang : Serum bersihan kreatinin 1.6-2.5 mg/100 mL : 2 tablet/hari. Serum bersihan kreatinin 2.6-6 mg/100 mL : 1 tablet/h</t>
  </si>
  <si>
    <t>INFORMASI OBAT INI HANYA UNTUK KALANGAN MEDIS. Hiperlipidemia tipe IIa, IIb, III, IV &amp; V (klasifikasi Fredrickson) yang tidak dapat terkontrol secara adekuat melalui cara2 diet.</t>
  </si>
  <si>
    <t>Insufisiensi ginjal atau penyakit hati. Sirosis bilier, hamil dan laktasi.</t>
  </si>
  <si>
    <t>HARUS DENGAN RESEP DOKTER. Abnormalitas dari metabolisme lemak. Monitor kadar lemak untuk terapi jangka panjang. Kemungkinan hepatotoksik. Terapi rutin. Pada pasien usia lanjut, fungsi hati harus diperiksa sebelum dan selama terapi.</t>
  </si>
  <si>
    <t>bezafibrate</t>
  </si>
  <si>
    <t>hiperlipidemia tipe iia , iib , ii , iv v klasifikasi fredrickson tidak terkontrol adekuat cara2 diet</t>
  </si>
  <si>
    <t>decrilip</t>
  </si>
  <si>
    <t>decrilip tablet bezafibrate hiperlipidemia tipe iia  iib  ii  iv v klasifikasi fredrickson tidak terkontrol adekuat cara2 diet</t>
  </si>
  <si>
    <t>Biocort Cream 10 g</t>
  </si>
  <si>
    <t>Rp24.500 - Rp41.200</t>
  </si>
  <si>
    <t>Meringankan inflamasi dari dermatosis yang responsif terhadap kortikosteroid bila terkomplikasi infeksi sekunder, yang disebabkan oleh organisme yang rentan terhadap gentamisin</t>
  </si>
  <si>
    <t>Infeksi kulit yang disebabkan oleh virus dan jamur, tuberkulosa kulit.</t>
  </si>
  <si>
    <t>meringankan inflamasi dermatosis responsif kortikosteroid terkomplikasi infeksi sekunder , disebabkan organisme rentan gentamisin</t>
  </si>
  <si>
    <t>biocort cream krim betamethasone valerate meringankan inflamasi dermatosis responsif kortikosteroid terkomplikasi infeksi sekunder  disebabkan organisme rentan gentamisin</t>
  </si>
  <si>
    <t>TR132372241E</t>
  </si>
  <si>
    <t>Srongpas Gingseng 2 Kapsul</t>
  </si>
  <si>
    <t>SRONGPAS GINSENG</t>
  </si>
  <si>
    <t>Rp1.600 - Rp3.000</t>
  </si>
  <si>
    <t>Membantu memelihara kesehatan pria dan membantu meredakan sakit otot pinggang, pegal-pegal dan linu.</t>
  </si>
  <si>
    <t>Dus, 20 Strip @ 2 Kapsul</t>
  </si>
  <si>
    <t>srongpas ginseng</t>
  </si>
  <si>
    <t>membantu memelihara kesehatan pria membantu meredakan sakit otot pinggang , pegal - pegal linu</t>
  </si>
  <si>
    <t>srongpas gingseng</t>
  </si>
  <si>
    <t>srongpas gingseng kapsul srongpas ginseng membantu memelihara kesehatan pria membantu meredakan sakit otot pinggang  pegal  pegal linu</t>
  </si>
  <si>
    <t>Afucid 2% Cream 5 g</t>
  </si>
  <si>
    <t>Rp55.000 - Rp57.800</t>
  </si>
  <si>
    <t>PENGGUNAAN OBAT INI HARUS SESUAI DENGAN PETUNJUK DOKTER. 3-4 x/hari</t>
  </si>
  <si>
    <t>INFORMASI OBAT INI HANYA UNTUK KALANGAN MEDIS. Impetigo kontagiosum, folikulitis superfisial, furunkulosis, sikosis barbae, hidradenitis aksilaris, abses, paronikia, eritrasma.</t>
  </si>
  <si>
    <t>Hipersensiif</t>
  </si>
  <si>
    <t>Obat Wajib Apotek, Obat ini dapat dibeli dan diserahkan apoteker tanpa resep dengan maksimum 1 Tube. Pembelian melebihi batas ini WAJIB RESEP DOKTER. Dapat menyebabkan iritasi, reaksi alergi. Resistensi dapat terjadi pada penggunaan jangka lama. Hamil dan laktasi</t>
  </si>
  <si>
    <t>afucid cream</t>
  </si>
  <si>
    <t>afucid cream krim fusidic acid impetigo kontagiosum  folikulitis superfisial  furunkulosis  sikosis barbae  hidradenitis aksilaris  abs  paronikia  eritrasma</t>
  </si>
  <si>
    <t>DKL0522240003A1</t>
  </si>
  <si>
    <t>Aldisa SR 10 Kapsul</t>
  </si>
  <si>
    <t>PENGGUNAAN OBAT INI HARUS SESUAI DENGAN PETUNJUK DOKTER. Dewasa dan anak diatas 12 tahun: 1 kapsul, 2 kali perhari atau tiap 12 jam.</t>
  </si>
  <si>
    <t>INFORMASI OBAT INI HANYA UNTUK KALANGAN MEDIS. Meredakan gejala yang berhubungan dengan rinitis alergi dan selesma, seperti hidung tersumbat, bersin, hidung berair, gatal dan lakrimasi.</t>
  </si>
  <si>
    <t>Pasien yang sedang dalam terapi dengan MAOI atau masih dalam masa 14 hari setelah terapi MAOI dihentikan, glaukoma sudut sempit, retensi urin, hipertensi berat, penyakit arteri koroner, hipertiroid.</t>
  </si>
  <si>
    <t>HARUS DENGAN RESEP DOKTER. Konsultasikan pada dokter anda sebelum menggunakan obat ini jika memiliki kondisi penyakit sebagai berikut: glaukoma, ulkus peptik stenosis, obstruksi pioloroduodenal, hipertrofi prostat atau obstruksi leher kandung kemih, penyakit kardiovaskular, peningkatan Tekanan Intraokuler, Diabetes Melitus, usia lanjut.</t>
  </si>
  <si>
    <t>meredakan gejala berhubungan rinitis alergi selesma , hidung tersumbat , bersin , hidung berair , gatal lakrimasi</t>
  </si>
  <si>
    <t>aldisa sr</t>
  </si>
  <si>
    <t>aldisa sr kapsul loratadine meredakan gejala berhubungan rinitis alergi selesma  hidung tersumbat  bersin  hidung berair  gatal lakrimasi</t>
  </si>
  <si>
    <t>Anakonidin OBH Sirup 60 ml</t>
  </si>
  <si>
    <t>Rp14.200 - Rp17.600</t>
  </si>
  <si>
    <t>Anak 2-6 tahun : 3 kali sehari 1 sendok takar (5 mL) Anak 6-12 tahun : 3 kali sehari 2 sendok takar (10 mL)</t>
  </si>
  <si>
    <t>Untuk meredakan batuk &amp; gejala flu seperti demam, sakit kepala, hidung tersumbat, serta bersin-bersin.</t>
  </si>
  <si>
    <t>Hati-hati penggunaan pada penderita dengan gangguan fungsi hati dan ginjal, hipertiroid dan retensi urin.</t>
  </si>
  <si>
    <t>untuk meredakan batuk gejala flu demam , sakit kepala , hidung tersumbat , bersin - bersin</t>
  </si>
  <si>
    <t>anakonidin obh sirup ammonium chloride untuk meredakan batuk gejala flu demam  sakit kepala  hidung tersumbat  bersin  bersin</t>
  </si>
  <si>
    <t>DBL1840404037A1</t>
  </si>
  <si>
    <t>Dynalax 60 ml</t>
  </si>
  <si>
    <t>DBL9322707337A2</t>
  </si>
  <si>
    <t>Bodrexin Demam Sirup Rasa Jeruk 60 ml</t>
  </si>
  <si>
    <t>Rp11.400 - Rp15.700</t>
  </si>
  <si>
    <t>Anak 6-12 tahun : 2-4 sendok takar Anak 2-6 tahun : 1-2 sendok takar. Anak 1-2 tahun : 1 sendok takar. Dosis dapat diulang tiap 4-6 jam. Maksimal : 4 kali sehari. Semua dosis diberikan 3-4 kali sehari</t>
  </si>
  <si>
    <t>Menurunkan demam, termasuk demam pasca imunisasi</t>
  </si>
  <si>
    <t>pantoprazole tablet kombinasipantoprazole sodium blend 275 simtomatik gerd gangguan refluks non erosive pengobatan jangka refluks esofagitis berat</t>
  </si>
  <si>
    <t>Benoson N Cream 5 g</t>
  </si>
  <si>
    <t>Rp22.300 - Rp24.600</t>
  </si>
  <si>
    <t>oleskan pada bagian tubuh yang diinginkan</t>
  </si>
  <si>
    <t>INFORMASI OBAT INI HANYA UNTUK KALANGAN MEDIS. Meringankan inflamasi dari dermatosis yang responsif terhadap kortikosteroid bila terkomplikasi dengan infeksi sekunder yang disebabkan oleh organisme yang rentan terhadap neomisin</t>
  </si>
  <si>
    <t>Hipersensitivitas. Rosasea, akne vulgaris, dan dermatitis perioral, infeksi kulit primer oleh virus, hamil, usia lanjut, dermatosis pada anak kurang dari 2 tahun.</t>
  </si>
  <si>
    <t>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</si>
  <si>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meringankan inflamasi dermatosis responsif kortikosteroid terkomplikasi infeksi sekunder disebabkan organisme rentan neomisin</t>
  </si>
  <si>
    <t>benoson n cream krim betamethasone meringankan inflamasi dermatosis responsif kortikosteroid terkomplikasi infeksi sekunder disebabkan organisme rentan neomisin</t>
  </si>
  <si>
    <t>benoson n cream krim betamethasone valerate neomycin sulfate bila inflamasi disertai infeksi sekunder disebabkan organisme peka neomisin</t>
  </si>
  <si>
    <t>DKL0904426510A1</t>
  </si>
  <si>
    <t>Pionix 15 mg 10 Tablet</t>
  </si>
  <si>
    <t>Rp67.800 - Rp113.700</t>
  </si>
  <si>
    <t>PENGGUNAAN OBAT INI HARUS SESUAI DENGAN PETUNJUK DOKTER. Kombinasi dengan metformin atau sulfonylurea : 1 x sehari 1-2 tablet.</t>
  </si>
  <si>
    <t>INFORMASI OBAT INI HANYA UNTUK KALANGAN MEDIS. Sebagai terapi kombinasi dengan sulfonylurea atau metformin pada pasien diabetes mellitus tipe 2 yang belum terkontrol dengan monoterapi sulfonylurea atau metformin.</t>
  </si>
  <si>
    <t>Pasien dengan riwayat hipersensitif (alergi) terhadap Pioglitazone atau obat-obat yang termasuk golongan thiazolidinedione lainnya. Penderita diabetes mellitus tipe 1, prekoma dan koma diabetes atau pasien yang dalam urinenya terdapat senyawa keton (ketoasidosis). Pasien yang memiliki riwayat gagal jantung (NYHA I-IV). Pasien dengan gangguan hati, kanker kandung kemih, pasien dengan haematuria makroskopis tidak diinvestigasi. Keamanannya pada wanita hamil, ibu menyusui dan anak/remaja usia di bawah 18 tahun belum ditetapkan.</t>
  </si>
  <si>
    <t>HARUS DENGAN RESEP DOKTER. Jika terjadi disfungsi menstruasi, pertimbangkan pemberian obat ini. Tidak dianjurkan untuk Diabetes Melitus Tipe 1 atau ketoasidosis. Pasien dianjurkan untuk mengontrol dengan ketat asupan kalori ke dalam tubuh. Kehamilan dan laktasi. Anak-anak usia dibawah 18 tahun. Gangguan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</si>
  <si>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pioglitazone</t>
  </si>
  <si>
    <t>sebagai terapi kombinasi sulfonylurea metformin pasien diabetes mellitus tipe 2 terkontrol monoterapi sulfonylurea metformin</t>
  </si>
  <si>
    <t>pionix</t>
  </si>
  <si>
    <t>pionix tablet pioglitazone sebagai terapi kombinasi sulfonylurea metformin pasien diabetes mellitus tipe 2 terkontrol monoterapi sulfonylurea metformin</t>
  </si>
  <si>
    <t>Filmore Spritz Sister Mist 100 ml</t>
  </si>
  <si>
    <t>Semprotkan langsung pada bagian intim Anda. Tunggu sampai kering. Dapat digunakan sebagai tindakan kebersihan sebelum dan sesudah buang air kecil atau hubungan seksual.</t>
  </si>
  <si>
    <t>Mencegah dan membantu proses penyembuhan dari Infeksi Saluran Kemih dan Infeksi Jamur (Keputihan).</t>
  </si>
  <si>
    <t>Untuk pemakaian luar pada bagian intim saja. Hentikan pemakaian jika terjadi iritasi.</t>
  </si>
  <si>
    <t>mencegah membantu prose penyembuhan infeksi saluran kemih infeksi jamur keputihan</t>
  </si>
  <si>
    <t>filmore spritz sister mist</t>
  </si>
  <si>
    <t>filmore spritz sister mist tablet sildenafil citrate mencegah membantu prose penyembuhan infeksi saluran kemih infeksi jamur keputihan</t>
  </si>
  <si>
    <t>DKL9409309601B1</t>
  </si>
  <si>
    <t>Nomika 100 mg 10 Kapsul</t>
  </si>
  <si>
    <t>Diminum bersama atau tanpa makanan</t>
  </si>
  <si>
    <t>PENGGUNAAN OBAT INI HARUS SESUAI DENGAN PETUNJUK DOKTER. Dewasa: awal 2 kali sehari setiap 12 jam 200 mg, kemudian 100 mg. Anak usia lebih dari 8 tahun: awal 2 kali sehari setiap 12 jam 4 mg/kg BB kemudian 2 mg/kg BB. Gonore pada pasien yang sensitif terhadap penisilin: awal 2 kali sehari setiap 12 jam 200 mg, kemudian 100 mg. minimal 4 hari dengan 2-3 hari kultur pasca terapi. Karier meningokokus: 2 kali sehari setiap 12 jam 100 mg selama 5 hari. Infeksi Mycobacterium marinum 2 kali sehari 100 mg selama 5 hari. Lama terapi infeksi strep 10 hari dan sifilis 10-15 hari</t>
  </si>
  <si>
    <t>INFORMASI OBAT INI HANYA UNTUK KALANGAN MEDIS. Infeksi yang disebabkan oleh organisme yang sensitif atau resisten terhadap tetrasiklin lain, terapi tambahan untuk amubiasis intestinal akut, akne berat.</t>
  </si>
  <si>
    <t>Hipersensitivitas terhadap Tetracycline.</t>
  </si>
  <si>
    <t>HARUS DENGAN RESEP DOKTER. Penggunaan pada pasien dengan gagal ginjal dan neonatus dapat sebabkan hipoplasia email gigi, pewarnaan pada gigi selama masa pertumbuhan gigi. Hentikan pada pasien dengan superinfeksi. Monitoring berkala untuk penggunaan jangka lama. Lansia.</t>
  </si>
  <si>
    <t>minocycline hydrochloride</t>
  </si>
  <si>
    <t>infeksi disebabkan organisme sensitif resisten tetrasiklin , terapi tambahan amubiasis intestinal akut , akne berat</t>
  </si>
  <si>
    <t>nomika</t>
  </si>
  <si>
    <t>nomika kapsul minocycline hydrochloride infeksi disebabkan organisme sensitif resisten tetrasiklin  terapi tambahan amubiasis intestinal akut  akne berat</t>
  </si>
  <si>
    <t>DTL0317619337A1</t>
  </si>
  <si>
    <t>Alco Plus DMP Sirup 100 ml</t>
  </si>
  <si>
    <t>Rp47.300 - Rp77.700</t>
  </si>
  <si>
    <t>Meredakan Batuk yang disertai Bersin dan Hidung tersumbat karena Flu</t>
  </si>
  <si>
    <t>Hati-hati pada penggunaan bersama obat penekan SSP. Dapat mengganggu kemampuan mengemudi atau menjalankan mesin. Gangguan fungsi hati/ginjal. Hipertrofi prostat, hipertiroid, glaukoma, gangguan jantung, Diabetes Melitus, hipoksia, kondisi lemah, anak &lt; 2 thn. Hamil &amp; laktasi.</t>
  </si>
  <si>
    <t>pseudoephedrine hydrochloride brompheniramine maleate dextromethorphan hydrobromide</t>
  </si>
  <si>
    <t>meredakan batuk disertai bersin hidung tersumbat flu</t>
  </si>
  <si>
    <t>alco plus dmp</t>
  </si>
  <si>
    <t>alco plus dmp sirup pseudoephedrine hydrochloride brompheniramine maleate dextromethorphan hydrobromide meredakan batuk disertai bersin hidung tersumbat flu</t>
  </si>
  <si>
    <t>DKL0221627017B1</t>
  </si>
  <si>
    <t>Nislev Tablet 500 mg</t>
  </si>
  <si>
    <t>Rp30.500 - Rp50.500</t>
  </si>
  <si>
    <t>PENGGUNAAN OBAT INI HARUS SESUAI DENGAN PETUNJUK DOKTER. Dewasa dan remaja &gt; 18 tahun : 250 - 500 mg 1 kali sehari selama 7 - 14 hari</t>
  </si>
  <si>
    <t>Terapi infeksi karena mikroorganisme yang peka, misalnya pneumonia yang didapat, bronkitis kronis eksaserbasi akut, infeksi kulit dan jar lunak</t>
  </si>
  <si>
    <t>Tablet 500 Mg X 1 X 10</t>
  </si>
  <si>
    <t>Riwayat hipersensitivitas terhadap levofloksasin, kuinolon atau komponen lainnya dari obat ini</t>
  </si>
  <si>
    <t>HARUS DENGAN RESEP DOKTER. Anak dan remaja (&lt;18 tahun), hamil, laktasi</t>
  </si>
  <si>
    <t>terapi infeksi mikroorganisme peka , pneumonia , bronkitis kronis eksaserbasi akut , infeksi kulit jar lunak</t>
  </si>
  <si>
    <t>nislev tablet levofloxacin hemihydrate terapi infeksi mikroorganisme peka  pneumonia  bronkitis kronis eksaserbasi akut  infeksi kulit jar lunak</t>
  </si>
  <si>
    <t>DTL1504523001A1</t>
  </si>
  <si>
    <t>Decolsin 4 Kapsul</t>
  </si>
  <si>
    <t>Rp3.700 - Rp4.300</t>
  </si>
  <si>
    <t>Dewasa : 3 kali sehari 1 kapsul.</t>
  </si>
  <si>
    <t>Meredakan batuk yang menyertai gejala-gejala flu seperti demam, sakit kepala, hidung tersumbat, dan bersin-bersin.</t>
  </si>
  <si>
    <t>Dus, 25 Catch Cover @ 1 Strip @ 4 kapsul</t>
  </si>
  <si>
    <t>Hipersensitif, hipertiroidisme, hipertensi, penyakit jantung</t>
  </si>
  <si>
    <t>DKL9117802101A1</t>
  </si>
  <si>
    <t>Nilacol 500 mg 10 Kapsul</t>
  </si>
  <si>
    <t>Rp15.600 - Rp15.800</t>
  </si>
  <si>
    <t>PENGGUNAAN OBAT INI HARUS SESUAI DENGAN PETUNJUK DOKTER. Dewasa : 3 x sehari 1 kapsul</t>
  </si>
  <si>
    <t>Demam tifus dan paratifus, mikroorganisme yang resisten terhadap antibiotik lain dan sensitif terhadap Tiamfenikol. Infeksi sistem saluran kemih dan alat kelamin.</t>
  </si>
  <si>
    <t>Kapsul 500 Mg X 100'S</t>
  </si>
  <si>
    <t>Hipersensitif. Anuria, gangguan hati. Hamil, laktasi.</t>
  </si>
  <si>
    <t>HARUS DENGAN RESEP DOKTER. Kerusakan ginjal. Bayi prematur dan bayi cukup bulan yang baru lahir.</t>
  </si>
  <si>
    <t>demam tifus paratifus , mikroorganisme resisten antibiotik sensitif tiamfenikol  infeksi sistem saluran kemih alat kelamin</t>
  </si>
  <si>
    <t>nilacol</t>
  </si>
  <si>
    <t>nilacol kapsul thiamphenicol demam tifus paratifus  mikroorganisme resisten antibiotik sensitif tiamfenikol  infeksi sistem saluran kemih alat kelamin</t>
  </si>
  <si>
    <t>aqua maris baby nasal spray lemon oil melegakan hidung tersumbat membersihkan saluran hidung harian mengatasi kekeringan hidung</t>
  </si>
  <si>
    <t>DTL7815615410A1</t>
  </si>
  <si>
    <t>Intunal F 10 Tablet</t>
  </si>
  <si>
    <t>Dewasa: 3 kali sehari 1 tablet Anak 6 - 12 th: 3 kali sehari 0.5 tablet</t>
  </si>
  <si>
    <t>Meringankan gejala flu seperti: demam, sakit kepala, hidung tersumbat, dan bersin-bersin yang disertai batuk.</t>
  </si>
  <si>
    <t>Hipersensitivitas, gangguan fungsi hati berat, diabetes mellitus, hipertiroid, hipertensi, penyakit jantung, terapi MAOI, nefropati.</t>
  </si>
  <si>
    <t>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</si>
  <si>
    <t>meringankan gejala flu demam , sakit kepala , hidung tersumbat , bersin - bersin disertai batuk</t>
  </si>
  <si>
    <t>intunal f</t>
  </si>
  <si>
    <t>intunal f tablet dexchlorpheniramine maleate meringankan gejala flu demam  sakit kepala  hidung tersumbat  bersin  bersin disertai batuk</t>
  </si>
  <si>
    <t>DKL0427912329A1</t>
  </si>
  <si>
    <t>Zensoderm Cream 10 g</t>
  </si>
  <si>
    <t>Rp6.900 - Rp7.100</t>
  </si>
  <si>
    <t>PENGGUNAAN OBAT INI HARUS SESUAI DENGAN PETUNJUK DOKTER. 2-3x sehari oleskan tipis</t>
  </si>
  <si>
    <t>Gejala inflamasi pada dermatosis yang responsif tehadap korikosteroid disertai infeksi sekunder oleh organisme peka terhadap gentamisin.</t>
  </si>
  <si>
    <t>Dus, tube @ 10 G</t>
  </si>
  <si>
    <t>Hipersensitif, infeksi kulit primer yang disebabkan oleh jamur dan virus.</t>
  </si>
  <si>
    <t>HARUS DENGAN RESEP DOKTER. Hentikan penggunaan jika terjadi iritasi atau sensitisasi. Hindari penggunaan jangka panjang dan pada area tubuh yang luas. Tidak untuk digunakan pada mata. Hamil dan menyusui.</t>
  </si>
  <si>
    <t>gejala inflamasi dermatosis responsif tehadap korikosteroid disertai infeksi sekunder organisme peka gentamisin</t>
  </si>
  <si>
    <t>zensoderm cream</t>
  </si>
  <si>
    <t>zensoderm cream krim betamethasone valerate gejala inflamasi dermatosis responsif tehadap korikosteroid disertai infeksi sekunder organisme peka gentamisin</t>
  </si>
  <si>
    <t>DKL8716103110A1</t>
  </si>
  <si>
    <t>Xepabet 80 mg 10 Tablet</t>
  </si>
  <si>
    <t>Rp19.100 - Rp26.400</t>
  </si>
  <si>
    <t>Diabetes dengan atau tanpa obesitas, dengan komplikasi vaskular &amp; pada usia lanjut, terapi tambahan terhadap terapi Insulin, Diabetes Melitus tipe-1/IDDM.</t>
  </si>
  <si>
    <t>Tablet 80 Mg X 10 X 10</t>
  </si>
  <si>
    <t>diabetes obesitas , komplikasi vaskular usia , terapi tambahan terapi insulin , diabetes melitus tipe - 1 iddm</t>
  </si>
  <si>
    <t>xepabet</t>
  </si>
  <si>
    <t>xepabet tablet gliclazide diabetes obesitas  komplikasi vaskular usia  terapi tambahan terapi insulin  diabetes melitus tipe  1 iddm</t>
  </si>
  <si>
    <t>DBL1428406237A1</t>
  </si>
  <si>
    <t>Fasgo Forte Sirup 60 ml</t>
  </si>
  <si>
    <t>Rp16.500 - Rp24.200</t>
  </si>
  <si>
    <t>6-9 tahun: 5-7.5 ml, diberikan 3-4 kali sehari. 9-12 tahun: 7.5 - 10 ml, diberikan 2-4 kali sehari.</t>
  </si>
  <si>
    <t>FASGO FORTE SIRUP 60 ML digunakan untuk meringankan rasa nyeri, seperti: sakit kepala, sakit gigi, serta menurunkan demam.</t>
  </si>
  <si>
    <t>Hati-hati penggunaan obat ini pada penderita penyakit ginjal. Bila setelah 2 hari demam tidak menurun atau setelah 5 hari nyeri tidak menghilang, segera hubungi dokter atau rumah sakit. Penggunaan obat ini pada penderita yang mengkonsumsi alkohol, dapat meningkatkan risiko hepatotoksisitas. Simpan di bawah suhu 30 C, indungi dari cahaya. Jangan disimpan di dalam refrigerator.</t>
  </si>
  <si>
    <t>fasgo forte sirup 60 ml meringankan nyeri , sakit kepala , sakit gigi , menurunkan demam</t>
  </si>
  <si>
    <t>fasgo forte sirup paracetamol fasgo forte sirup 60 ml meringankan nyeri  sakit kepala  sakit gigi  menurunkan demam</t>
  </si>
  <si>
    <t>TR052243491</t>
  </si>
  <si>
    <t>Sido Muncul Beras Kencur 25 g 5 Sachet</t>
  </si>
  <si>
    <t>BERAS KENCUR</t>
  </si>
  <si>
    <t>Rp6.700 - Rp8.300</t>
  </si>
  <si>
    <t>1 bungkus diseduh dengan kurang lebih 150 ml (3/4 gelas) air panas / dingin. Aduk nikmati khasiat dan kesegarannya. Baik diminum pria dan wanita, tua / muda, dan anak-anak.</t>
  </si>
  <si>
    <t>Membantu meredakan pegal, membantu meredakan perut kembung dan membantu menghangatkan badan.</t>
  </si>
  <si>
    <t>Dus, 5 sachet @ 25 g</t>
  </si>
  <si>
    <t>Baca petunjuk penggunaan</t>
  </si>
  <si>
    <t>beras kencur</t>
  </si>
  <si>
    <t>membantu meredakan pegal , membantu meredakan perut kembung membantu menghangatkan badan</t>
  </si>
  <si>
    <t>sido muncul beras kencur</t>
  </si>
  <si>
    <t>sido muncul beras kencur sachet beras kencur membantu meredakan pegal  membantu meredakan perut kembung membantu menghangatkan badan</t>
  </si>
  <si>
    <t>DKL7804426838A1</t>
  </si>
  <si>
    <t>Topcillin 125 mg/5 ml Dry Sirup 60 ml</t>
  </si>
  <si>
    <t>Rp11.300 - Rp12.700</t>
  </si>
  <si>
    <t>Berikan bersama mAkanan</t>
  </si>
  <si>
    <t>PENGGUNAAN OBAT INI HARUS SESUAI DENGAN PETUNJUK DOKTER. Dewasa : 250-500 mg tiap 8 jam., Anak : 20 mg/kg BB/hari terbagi tiap 8 jam. ,Infeksi berat : dosis ganda.,GO akut : 2-3 dosis tunggal</t>
  </si>
  <si>
    <t>Infeksi saluran napas atas dan bawah, infeksi saluran urogenital,infeksi kulit dan jaringan lunak, infeksi tulang dan atau sendi</t>
  </si>
  <si>
    <t>Hipersensitif terhadap penisilin</t>
  </si>
  <si>
    <t>infeksi saluran napa , infeksi saluran urogenital , infeksi kulit jaringan lunak , infeksi tulang sendi</t>
  </si>
  <si>
    <t>topcillin</t>
  </si>
  <si>
    <t>topcillin sirup amoxicillin trihydrate infeksi saluran napa  infeksi saluran urogenital  infeksi kulit jaringan lunak  infeksi tulang sendi</t>
  </si>
  <si>
    <t>Jesscool Effervescent 1 Tablet</t>
  </si>
  <si>
    <t>(1).Larutkan 1 tablet Jesscool rasa Lemon Tea kedalam 1 gelas (150-200 ml) air dingin. (2).Tunggu hingga terlarut sempurna (3).Minum segera hingga habis</t>
  </si>
  <si>
    <t>Dewasa ( 1 Tablet effervescent 1 kali sehari) Anak-anak (6-12 tahun) : 1/2 tablet 1 kali sehari</t>
  </si>
  <si>
    <t>Membantu dalam meredakan panas dalam seperti : bibir pecah-pecah, sariawan, dan tenggorokan kering serta membantu melancarkan buang air besar.</t>
  </si>
  <si>
    <t>membantu meredakan panas bibir pecah - pecah , sariawan , tenggorokan kering membantu melancarkan buang air</t>
  </si>
  <si>
    <t>jesscool effervescent</t>
  </si>
  <si>
    <t>jesscool effervescent tablet jesscool membantu meredakan panas bibir pecah  pecah  sariawan  tenggorokan kering membantu melancarkan buang air</t>
  </si>
  <si>
    <t>DTL1124400529A1</t>
  </si>
  <si>
    <t>Nizoral Cream 5 g</t>
  </si>
  <si>
    <t>Rp50.000 - Rp58.700</t>
  </si>
  <si>
    <t>1 kali sehari pada daerah yang terinfeksi.</t>
  </si>
  <si>
    <t>Tinea korporis, Tinea kruris, Tinea manus, Tinea pedis, Kondidosis kutis, Tinea (Pityriasis) versicolor</t>
  </si>
  <si>
    <t>Krim Nizoral tidak digunakan untuk mata. Kehamilan dan laktasi.Kategori Kehamilan : C</t>
  </si>
  <si>
    <t>tinea korporis , tinea kruris , tinea manus , tinea pedis , kondidosis kutis , tinea pityriasis versicolor</t>
  </si>
  <si>
    <t>nizoral cream</t>
  </si>
  <si>
    <t>nizoral cream krim ketoconazole tinea korporis  tinea kruris  tinea manus  tinea pedis  kondidosis kutis  tinea pityriasis versicolor</t>
  </si>
  <si>
    <t>DKL9709207329A1</t>
  </si>
  <si>
    <t>Nisagon Cream 5 g</t>
  </si>
  <si>
    <t>Rp9.500 - Rp16.400</t>
  </si>
  <si>
    <t>Oleskan pada tempat yang sakit</t>
  </si>
  <si>
    <t>Rosasea, akne vulgaris dan dermatitis perioral</t>
  </si>
  <si>
    <t>TR223086651</t>
  </si>
  <si>
    <t>Sea-Quill Spirulina 60 Tablet</t>
  </si>
  <si>
    <t>SEA QUILL HERBAL SPIRULINA FRESHTER</t>
  </si>
  <si>
    <t>Rp291.000 - Rp520.000</t>
  </si>
  <si>
    <t>2 tablet 3x sehari</t>
  </si>
  <si>
    <t>Menghambat pertumbuhan dan pentrasi berbagai virus ke dalam sel. Melindungi organ hati dari kerusakan.</t>
  </si>
  <si>
    <t>sea quill herbal spirulina freshter</t>
  </si>
  <si>
    <t>menghambat pertumbuhan pentrasi virus sel  melindungi organ hati kerusakan</t>
  </si>
  <si>
    <t>seaquill spirulina</t>
  </si>
  <si>
    <t>seaquill spirulina tablet sea quill herbal spirulina freshter menghambat pertumbuhan pentrasi virus sel  melindungi organ hati kerusakan</t>
  </si>
  <si>
    <t>DKL9913309304A1</t>
  </si>
  <si>
    <t>Alegi 10 Tablet</t>
  </si>
  <si>
    <t>Rp23.700 - Rp24.000</t>
  </si>
  <si>
    <t>PENGGUNAAN OBAT INI HARUS SESUAI DENGAN PETUNJUK DOKTER. Dewasa : 1 tablet 3-4 kali sehari. Anak 6-12 thn 1/2 tab, 2-6 thn 1/4 tab 3-4 kali perhari.</t>
  </si>
  <si>
    <t>Reaksi alergi yang memberi respons terhadap kortikosteroid, seperti urtikaria, rinitis alergi, dermatitis akut atau kronik, hay fever, konjungtivitis alergi.</t>
  </si>
  <si>
    <t>tukak peptik, hipersensitif</t>
  </si>
  <si>
    <t>HARUS DENGAN RESEP DOKTER. Hipertensi, DM, gagal ginjal kronik, penyakit infeksi, osteoporosis. Kategori Kehamilan : C</t>
  </si>
  <si>
    <t>alegi</t>
  </si>
  <si>
    <t>alegi kaplet dexamethasone reaksi alergi respons kortikosteroid  urtikaria  rinitis alergi  dermatitis akut kronik  hay fever  konjungtivitis alergi</t>
  </si>
  <si>
    <t>DKL0318706110B1</t>
  </si>
  <si>
    <t>Pletaal 100 mg 10 Tablet</t>
  </si>
  <si>
    <t>Rp82.900 - Rp191.600</t>
  </si>
  <si>
    <t>PENGGUNAAN OBAT INI HARUS SESUAI DENGAN PETUNJUK DOKTER. Dewasa: 2x sehari 100 mg</t>
  </si>
  <si>
    <t>HARUS DENGAN RESEP DOKTER. Perdarahan, gagal jantung kongesi dan kehamilan. Katagori Kehamilan : katagori C: Mungkin berisiko. Obat digunakan dengan hati-hati apabila besarnya manfaat yang diperoleh melebihi besarnya risiko terhadap janin. Penelitian pada hewan uji menunjukkan risiko terhadap janin dan belum terdapat penelitian langsung terhadap wanita hamil</t>
  </si>
  <si>
    <t>pletaal</t>
  </si>
  <si>
    <t>pletaal tablet cilostazol pengobatan gejala iskemia ulkus  sakit dingin disebabkan penyumbatan arteri kronis  pencegahan kambuhan infark otak</t>
  </si>
  <si>
    <t>TR163695471</t>
  </si>
  <si>
    <t>Tresnojoyo Madu TJ Rasa Original 12 Sachet</t>
  </si>
  <si>
    <t>Madu TJ sachet</t>
  </si>
  <si>
    <t>Rp9.900 - Rp15.600</t>
  </si>
  <si>
    <t>Dus, 12 Sachet @ 20 gram</t>
  </si>
  <si>
    <t>madu tj sachet</t>
  </si>
  <si>
    <t>tresnojoyo madu tj rasa original</t>
  </si>
  <si>
    <t>tresnojoyo madu tj rasa original madu madu tj sachet membantu memelihara kesehatan membantu memelihara daya tahan tubuh</t>
  </si>
  <si>
    <t>Intunal F 4 Tablet</t>
  </si>
  <si>
    <t>Rp3.100 - Rp4.800</t>
  </si>
  <si>
    <t>Obat ini sebaiknya diberikan sesudah makan.</t>
  </si>
  <si>
    <t>Dewasa: 1 tablet, diberikan 3 kali sehari</t>
  </si>
  <si>
    <t>DBL1124403137A1</t>
  </si>
  <si>
    <t>Tempra Sirup Rasa Anggur 30 ml</t>
  </si>
  <si>
    <t>Rp27.600 - Rp28.800</t>
  </si>
  <si>
    <t>Anak 6 - 8 tahun : 2 sendok takar (10 ml). Diberikan tiap 4 jam, tapi tidak lebih dari 5 x sehari. Anak 4 - 5 tahun : 1.5 sendok takar (7.5 ml). Diberikan tiap 4 jam, tapi tidak lebih dari 5 x sehari. Anak 2-3 tahun : 1 sendok takar (5 ml). Diberikan tiap 4 jam, tapi tidak lebih dari 5 x sehari.</t>
  </si>
  <si>
    <t>Obat ini dapat digunakan untuk meredakan demam, rasa sakit dan nyeri ringan, sakit kepala dan sakit gigi, demam setelah imunisasi.</t>
  </si>
  <si>
    <t>Jangan digunakan pada penderita yang menderita kerusakan hati dan alergi terhadap Paracetamol.</t>
  </si>
  <si>
    <t>1. Bila rasa sakit bertahan lebih dari 3 hari, dan demam tidak menurun selama 2 hari, atau bila ada kemerahan pada kulit, segera hubungi dokter. 2. Seperti halnya dengan obat-obat lain, jika dalam keadaan hamil atau menyusui, konsultasikan kepada dokter sebelum menggunakan obat ini. 3. Simpan dibawah suhu 30 C, lindungi dari cahaya. 4. Hindarkan dari jangkauan anak-anak.</t>
  </si>
  <si>
    <t>obat meredakan demam , sakit nyeri ringan , sakit kepala sakit gigi , demam imunisasi</t>
  </si>
  <si>
    <t>tempra rasa anggur</t>
  </si>
  <si>
    <t>tempra rasa anggur sirup paracetamol obat meredakan demam  sakit nyeri ringan  sakit kepala sakit gigi  demam imunisasi</t>
  </si>
  <si>
    <t>DKL9221003604A1</t>
  </si>
  <si>
    <t>Astherin 2.5 mg 10 Tablet</t>
  </si>
  <si>
    <t>Rp2.400 - Rp4.000</t>
  </si>
  <si>
    <t>PENGGUNAAN OBAT INI HARUS SESUAI DENGAN PETUNJUK DOKTER. Dewasa : dosis awal 1 kaplet 3 kali sehari, lalu dinaikkan menjadi 2 kaplet 3 kali sehari setelah 2-4 minggu. Maksimum 6 kaplet/hari. Anak-anak sampai dengan berusia 12 tahun : 3 kali sehari 1/2 -1 kaplet. Maksimum : 3 kaplet/hari.</t>
  </si>
  <si>
    <t>mengobati mengi dan sesak napas karena masalah paru-paru seperti asma, penyakit paru obstruktif kronis, bronchitis, dan emfisema</t>
  </si>
  <si>
    <t>Tirotoksikosis.</t>
  </si>
  <si>
    <t>Obat Wajib Apotek, Obat ini dapat dibeli dan diserahkan apoteker tanpa resep dengan maksimum 2 Strip. Pembelian melebihi batas ini WAJIB RESEP DOKTER. Tidak dianjurkan untuk anak &lt; 12 tahun</t>
  </si>
  <si>
    <t>mengobati mengi sesak napa paru - paru asma , penyakit paru obstruktif kronis , bronchitis , emfisema</t>
  </si>
  <si>
    <t>astherin</t>
  </si>
  <si>
    <t>astherin kaplet terbutaline sulfate mengobati mengi sesak napa paru  paru asma  penyakit paru obstruktif kronis  bronchitis  emfisema</t>
  </si>
  <si>
    <t>DTL0333507641A1</t>
  </si>
  <si>
    <t>Efisol Liquid 10 ml</t>
  </si>
  <si>
    <t>Rp30.400 - Rp40.900</t>
  </si>
  <si>
    <t>Larutan 10-20 tetes dicampur air segelas 2-4 kali sehari. Sariawan: Oleskan tanpa diencerkan</t>
  </si>
  <si>
    <t>Infeksi pada selaput lendir mulut (sariawan) dan rongga mulut dan nafas mulut bau akibat infeksi tersebut</t>
  </si>
  <si>
    <t>pasien gangguan fungsi hati dan ginjal ada baiknya berkonsultasi dengan dokter terlebih dahulu sebelum mengkonsumsi obat ini.</t>
  </si>
  <si>
    <t>infeksi selaput lendir mulut sariawan rongga mulut nafas mulut bau akibat infeksi</t>
  </si>
  <si>
    <t>efisol liquid</t>
  </si>
  <si>
    <t>efisol liquid larutan dequalinium chloride infeksi selaput lendir mulut sariawan rongga mulut nafas mulut bau akibat infeksi</t>
  </si>
  <si>
    <t>DKL7622209401A1</t>
  </si>
  <si>
    <t>Sanpicillin 250 mg 10 Kapsul</t>
  </si>
  <si>
    <t>Rp11.800 - Rp12.900</t>
  </si>
  <si>
    <t>PENGGUNAAN OBAT INI HARUS SESUAI DENGAN PETUNJUK DOKTER. Dewasa dan anak &gt; 20 kg : 250 - 500 mg tiap 6 jam, &lt; 20 kg : 25 - 100 mg/kg BB dalam dosis terbagi tiap 6 jam</t>
  </si>
  <si>
    <t>Infeksi saluran kemih,infeksi saluran nafas,saluran cerna dan empedu karena kuman garam negatif dan positif.</t>
  </si>
  <si>
    <t>Hipersensitif terhadap penisilin. Infeksi mononukleosis.</t>
  </si>
  <si>
    <t>HARUS DENGAN RESEP DOKTER. Hipersensitif terhadap sefalosporin. Terapi jangka panjang : tes fungsi ginjal, hati dan darah. Gangguan ginjal. Leukemia limfatik.</t>
  </si>
  <si>
    <t>ampicillin sodium</t>
  </si>
  <si>
    <t>infeksi saluran kemih , infeksi saluran nafas , saluran cerna empedu kuman garam negatif positif</t>
  </si>
  <si>
    <t>sanpicillin</t>
  </si>
  <si>
    <t>sanpicillin kapsul ampicillin sodium infeksi saluran kemih  infeksi saluran nafas  saluran cerna empedu kuman garam negatif positif</t>
  </si>
  <si>
    <t>DKL7221628830A1</t>
  </si>
  <si>
    <t>Nebacetin Salep 5 g</t>
  </si>
  <si>
    <t>Rp27.300 - Rp33.000</t>
  </si>
  <si>
    <t>Salep dioleskan pada area yang sakit/terinfeksi</t>
  </si>
  <si>
    <t>PENGGUNAAN OBAT INI HARUS SESUAI DENGAN PETUNJUK DOKTER. Oleskan salep beberapa kali sehari</t>
  </si>
  <si>
    <t>INFORMASI OBAT INI HANYA UNTUK KALANGAN MEDIS. Infeksi bakteri permukaan kulit, seperti impetigo, bisul varises, tekanan luka, borok trofik dan membakar.</t>
  </si>
  <si>
    <t>HARUS DENGAN RESEP DOKTER. Pertumbuhan berlebihan dari organisme yang tidak peka Kategori Kehamilan : B</t>
  </si>
  <si>
    <t>neomycin sulfate bacitracin</t>
  </si>
  <si>
    <t>infeksi bakteri permukaan kulit , impetigo , bisul varises , tekanan luka , borok trofik membakar</t>
  </si>
  <si>
    <t>nebacetin salep neomycin sulfate bacitracin infeksi bakteri permukaan kulit  impetigo  bisul varises  teka luka  borok trofik membakar</t>
  </si>
  <si>
    <t>DBL0333508835A1</t>
  </si>
  <si>
    <t>Cooling 5 Mouth Spray Cool Mint 15 ml</t>
  </si>
  <si>
    <t>Rp31.500 - Rp50.100</t>
  </si>
  <si>
    <t>Semprotkan tepat ke arah tenggorokan atau pada daerah yang sakit.</t>
  </si>
  <si>
    <t>Untuk setiap kali pemakaian, cukup disemprotkan 2-3 kali, semprotan dapat diulang tiap 2 jam dan atau beberapa kali sehari</t>
  </si>
  <si>
    <t>Meredakan sakit tenggorokan, nyeri akibat sariawan, iritasi ringan pada mulut, tenggorokan dan bibir.</t>
  </si>
  <si>
    <t>Semprotan jangan mengenai lidah</t>
  </si>
  <si>
    <t>phenol</t>
  </si>
  <si>
    <t>meredakan sakit tenggorokan , nyeri akibat sariawan , iritasi ringan mulut , tenggorokan bibir</t>
  </si>
  <si>
    <t>cooling mouth cool mint</t>
  </si>
  <si>
    <t>cooling mouth cool mint larutan phenol meredakan sakit tenggorokan  nyeri akibat sariawan  iritasi ringan mulut  tenggorokan bibir</t>
  </si>
  <si>
    <t>TR082288331</t>
  </si>
  <si>
    <t>Sido Muncul Kunyit Asam 25 g 5 Sachet</t>
  </si>
  <si>
    <t>KUNYIT ASAM</t>
  </si>
  <si>
    <t>Rp7.000 - Rp14.600</t>
  </si>
  <si>
    <t>Campurkan 1 sachet jamu kunyit asam Sidomuncul ke dalam 150 ml air dingin aduk dan siap diminum. Lebih nikmat ditambahkan es batu</t>
  </si>
  <si>
    <t>1 sachet per hari atau sesuai kebutuhan</t>
  </si>
  <si>
    <t>Menghaluskan kulit, menghilangkan bau nafas dan bau badan, mengurangi nyeri saat menstruasi</t>
  </si>
  <si>
    <t>1 Dos Isi 5 Pcs</t>
  </si>
  <si>
    <t>kunyit asam</t>
  </si>
  <si>
    <t>menghaluskan kulit , menghilangkan bau nafas bau badan , mengurangi nyeri menstruasi</t>
  </si>
  <si>
    <t>sido muncul kunyit asam</t>
  </si>
  <si>
    <t>sido muncul kunyit asam sachet kunyit asam menghaluskan kulit  menghilangkan bau nafas bau badan  mengurangi nyeri menstruasi</t>
  </si>
  <si>
    <t>DKL9809209029A1</t>
  </si>
  <si>
    <t>Colipred Cream 5 g</t>
  </si>
  <si>
    <t>Rp6.300 - Rp10.300</t>
  </si>
  <si>
    <t>Oleskan pada bagian kulit yang sakit dan sekitarnya</t>
  </si>
  <si>
    <t>PENGGUNAAN OBAT INI HARUS SESUAI DENGAN PETUNJUK DOKTER. Oleskan tipis 3-4x sehari</t>
  </si>
  <si>
    <t>Nyeri inflamasi dermatosis yang responsif terhadap kortikosteroid dengan komplikasi infeksi sekunder yyang disebabkan oleh organisme yang peka terhadap kloramfenikol</t>
  </si>
  <si>
    <t>Tube 5 g</t>
  </si>
  <si>
    <t>nyeri inflamasi dermatosis responsif kortikosteroid komplikasi infeksi sekunder yyang disebabkan organisme peka kloramfenikol</t>
  </si>
  <si>
    <t>colipred cream</t>
  </si>
  <si>
    <t>colipred cream krim chloramphenicol nyeri inflamasi dermatosis responsif kortikosteroid komplikasi infeksi sekunder yyang disebabkan organisme peka kloramfenikol</t>
  </si>
  <si>
    <t>GlucoDr Bio Sensor AGM 2100 Blood Glucose Test Strip 50 Pieces</t>
  </si>
  <si>
    <t>Masukkan strip ke dalam alat Gluco Dr Biosensor, teteskan darah pada strip, tunggu sampai alat menunjukkan kadar gula darah yang diperiksa.</t>
  </si>
  <si>
    <t>Mengukur kadar glukosa (gula) darah.</t>
  </si>
  <si>
    <t>Box: 2 Botol @ 25 Pieces</t>
  </si>
  <si>
    <t>glucodr bio sensor agm blood glucose test strip pieces</t>
  </si>
  <si>
    <t>glucodr bio sensor agm blood glucose test strip pieces tablet pioglitazone hydrochloride mengukur kadar glukosa gula darah</t>
  </si>
  <si>
    <t>DBL8831501533A1</t>
  </si>
  <si>
    <t>Farmacrol Forte Suspensi 100 ml</t>
  </si>
  <si>
    <t>Rp60.000 - Rp78.300</t>
  </si>
  <si>
    <t>Dewasa: 1 sendok takar (5 ml), diminum 3-4 kali sehari. Anak-anak: ? sendok takar (2.5 ml), diminum 3-4 kali sehari.</t>
  </si>
  <si>
    <t>farmacrol forte suspensi aluminium hydroxide gel sakit maag  hiperasiditas  tukak ulkus lambung  usus halus  gastritis  perut kembung</t>
  </si>
  <si>
    <t>DKL0318706110A1</t>
  </si>
  <si>
    <t>Pletaal 50 mg 10 Tablet</t>
  </si>
  <si>
    <t>Rp111.900 - Rp123.000</t>
  </si>
  <si>
    <t>Dus,10 Blister @ 10 Tablet</t>
  </si>
  <si>
    <t>Hipersensitif, pasien yang mengalami pendarahan, wanita hamil.</t>
  </si>
  <si>
    <t>HARUS DENGAN RESEP DOKTER. Perdarahan, gagal jantung kongesi dan kehamilan.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</si>
  <si>
    <t>DKL9426002001A1</t>
  </si>
  <si>
    <t>Troviakol Kapsul 500 mg</t>
  </si>
  <si>
    <t>Rp4.400 - Rp4.600</t>
  </si>
  <si>
    <t>PENGGUNAAN OBAT INI HARUS SESUAI DENGAN PETUNJUK DOKTER. Dewasa, anak, bayi &gt; 2 minggu : 50 mg/kg BB/hari dalam 3 - 4 dosis terbagi. Bayi prematur dan bayi usia &lt; 2 minggu : 25 mg/kg BB/hari dalam 4 dosis terbagi</t>
  </si>
  <si>
    <t>Infeksi karena salmonella spp, H influenzae (terutama infeksi meningen), rickettsia, limfogranuloma psitakosis, bakteri Gr - yang menyebabkan meningitis</t>
  </si>
  <si>
    <t>Hipersensitif terhadap tiamfenikol dan kloramfenikol. Pasien dengan gangguan fungsi hati dan ginjal</t>
  </si>
  <si>
    <t>HARUS DENGAN RESEP DOKTER. Kehamil dan laktasi. Monitor fungsi hematologi secara berkala pada terapi jangka lama. Bayi prematur dan neonatus (usia &lt; 2 minggu)</t>
  </si>
  <si>
    <t>infeksi salmonella spp , h influenzae infeksi meningen , rickettsia , limfogranuloma psitakosis , bakteri gr - menyebabkan meningitis</t>
  </si>
  <si>
    <t>troviakol</t>
  </si>
  <si>
    <t>troviakol kapsul thiamphenicol infeksi salmonella spp  h influenzae infeksi meningen  rickettsia  limfogranuloma psitakosis  bakteri gr  menyebabkan meningitis</t>
  </si>
  <si>
    <t>Farmacrol Forte Suspensi 200 ml</t>
  </si>
  <si>
    <t>Rp72.500 - Rp91.600</t>
  </si>
  <si>
    <t>Dewasa : 3-4 x sehari 1 sendok takar 5 cc Anak : 3-4 x sehari 0.5 sendok takar 5 cc</t>
  </si>
  <si>
    <t>diphenhydramine hydrochloride phenylephrine hydrochloride ammonium chloride dextromethorphan hydrobromide</t>
  </si>
  <si>
    <t>ob combi batuk pilek sirup diphenhydramine hydrochloride phenylephrine hydrochloride ammonium chloride dextromethorphan hydrobromide untuk meringankan batuk pilek</t>
  </si>
  <si>
    <t>Autocheck 3in1 Monitoring System</t>
  </si>
  <si>
    <t>Rp222.200 - Rp373.000</t>
  </si>
  <si>
    <t>Alat ukur kadar gula darah, total kolesterol dan asam urat dalam satu alat</t>
  </si>
  <si>
    <t>alat ukur kadar gula darah , total kolesterol asam urat alat</t>
  </si>
  <si>
    <t>autocheck in monitoring system</t>
  </si>
  <si>
    <t>autocheck in monitoring system tablet pioglitazone hydrochloride alat ukur kadar gula darah  total kolesterol asam urat alat</t>
  </si>
  <si>
    <t>ventolin expectorant sirup salbutamol sulfate guaifenesin meredakan bronkospasme bronkial asma  bronkitis kronis  emfisema meredakan sumbatan saluran napa</t>
  </si>
  <si>
    <t>DKL9809208629B1</t>
  </si>
  <si>
    <t>Nestacort 2.5% Cream 5 gr</t>
  </si>
  <si>
    <t>Rp8.700 - Rp11.200</t>
  </si>
  <si>
    <t>PENGGUNAAN OBAT INI HARUS SESUAI DENGAN PETUNJUK DOKTER. cream dioleskan pada area kulit terinfeksi 2 x sehari.</t>
  </si>
  <si>
    <t>INFORMASI OBAT INI HANYA UNTUK KALANGAN MEDIS. Nestacort bisa digunakan secara topikal untuk mengobati penyakit eksim, dermatitis kontak, dan penyakit kulit lain yang peka terhadap kortikosteroid.</t>
  </si>
  <si>
    <t>jangan menggunakan obat ini untuk pasien yang memiliki riwayat hipersensitif pada obat golongan kortikosteroid. Nestacort, sebaiknya tidak diberikan pada pasien yang menderita infeksi jamur sistemik, penderita TBC aktif, herpes zoster, herpes simplex, dan infeksi virus lain.</t>
  </si>
  <si>
    <t>Obat Wajib Apotek, Obat ini dapat dibeli dan diserahkan apoteker tanpa resep dengan maksimum 1 Tube. Pembelian melebihi batas ini WAJIB RESEP DOKTER. Jangan menggunakan obat ini pada area mata atau dekat area mata. Area kulit yang diolesi cream Nestacort sebaiknya tidak dibalut verban, karena bisa meningkatkan penyerapannya ke dalam darah dan menimbulkan efek samping sistemik.</t>
  </si>
  <si>
    <t>nestacort topikal mengobati penyakit eksim , dermatitis kontak , penyakit kulit peka kortikosteroid</t>
  </si>
  <si>
    <t>nestacort cream gr</t>
  </si>
  <si>
    <t>nestacort cream gr krim hydrocortisone acetate nestacort topikal mengobati penyakit eksim  dermatitis kontak  penyakit kulit peka kortikosteroid</t>
  </si>
  <si>
    <t>Mediabetea Daun Hijau 30 Sachet</t>
  </si>
  <si>
    <t>Rp675.900 - Rp682.100</t>
  </si>
  <si>
    <t>Pengobatan : 1 Minggu 2 x diminum sepanjang hari Pencegahan : 1 x sehari 1 bungkus diminum sepanjang hari</t>
  </si>
  <si>
    <t>Secara tradisional digunakan untuk membantu meringankan kencing manis. Diabetes Mellitus Type I, II dan Lada.</t>
  </si>
  <si>
    <t>Box Isi 30 Sachet</t>
  </si>
  <si>
    <t>secara tradisional membantu meringankan kencing manis  diabetes mellitus type i , ii lada</t>
  </si>
  <si>
    <t>mediabetea daun hijau</t>
  </si>
  <si>
    <t>mediabetea daun hijau sachet mediabetea secara tradisional membantu meringankan kencing manis  diabetes mellitus type i  ii lada</t>
  </si>
  <si>
    <t>DKL0213021029A1</t>
  </si>
  <si>
    <t>Moteson Cream 10 g</t>
  </si>
  <si>
    <t>Rp50.100 - Rp57.800</t>
  </si>
  <si>
    <t>Oleskan tipis-tipis pada kulit yang sakit secara merata, sehingga terserap ke dalam kulit.</t>
  </si>
  <si>
    <t>PENGGUNAAN OBAT INI HARUS SESUAI DENGAN PETUNJUK DOKTER. Dioleskan 1 -2 kali sehari atau menurut petunjuk dokter.</t>
  </si>
  <si>
    <t>INFORMASI OBAT INI HANYA UNTUK KALANGAN MEDIS. Untuk mengurangi manifestasi inflamasi dan pruritus pada penyakit kulit yang responsive terhadap kortikosteroid seperti psoriasis dan atopic dermatitis.</t>
  </si>
  <si>
    <t>Penderita yang hipersensitif terhadap salah satu komponen penyusun obat ini. Penderita dengan kondisi rosacea dan ulcerative.</t>
  </si>
  <si>
    <t>HARUS DENGAN RESEP DOKTER. - Pada infeksi local yang disebabkan oleh bakteri dan jamur, pengobatan dapat diberikan bersamaan dengan anti bakteri dan anti jamur. - Bila terjadi reaksi sensitisasi dan iritasi, pengobatan sebaiknya dihentikan. - Keamanan penggunaan preparat topical yang mengandung kortikosteroid pada wanita hamil belum ditetapkan, oleh karena itu hanya diberikan bila potensial manfaat lebih besar daripada potensial resikonya terhadap janin. Mometasone furoate sebaiknya tidak diberikan pada daerah kulit yang luas atau penggunaan jangka panjang pada wanita hamil. - Hati-hati jika diberikan pada wanita menyusui karena belum diketahui jika pemberian kortikosteroid secara topical dapat menyebabkan absoprsi sistemik dan diekskresikan dalam ASI. - Absorpsi sistemik dari kortikosteroid topical meningkat jika digunakan pada permukaan tubuh yang luas atau diberikan dengan cara dibalut perban oklusif. - Penekanan pituitary adrenal axis dan sindroma cushing dapat terjadi pada anak-anak yang diobati dengan kortikosteroid. - Pengobatan kortikosteroid secara terus-menerus dapat mengganggu pertumbuhan dan perkembangan anak.</t>
  </si>
  <si>
    <t>untuk mengurangi manifestasi inflamasi pruritus penyakit kulit responsive kortikosteroid psoriasis atopic dermatitis</t>
  </si>
  <si>
    <t>moteson cream</t>
  </si>
  <si>
    <t>moteson cream krim mometasone furoate untuk mengurangi manifestasi inflamasi pruritus penyakit kulit responsive kortikosteroid psoriasis atopic dermatitis</t>
  </si>
  <si>
    <t>Sea-Quill Spirulina 30 Tablet</t>
  </si>
  <si>
    <t>Rp160.500 - Rp278.500</t>
  </si>
  <si>
    <t>DTL9809208904A1</t>
  </si>
  <si>
    <t>Brochifar 10 Kaplet</t>
  </si>
  <si>
    <t>Untuk meredakan gejala flu seperti demam, sakit kepala, hidung tersumbat, dan bersin-bersin yang disertai batuk</t>
  </si>
  <si>
    <t>Dus, 10 Amplop @ 10 Tablet</t>
  </si>
  <si>
    <t>Peka terhadap obat simtomatik lain misalnya efedrin, pseudoefedrin, fenilefrin. Hipertensi berat. Sedang mendapat terapi MAOI. Penyakit jantung, DM. Disfungsi hati berat</t>
  </si>
  <si>
    <t>Hipertensi atau punya potensi untuk hipertensi atau stroke (misalnya BB berlebihan, lansia). Disfungsi hati dan ginjal, glaukoma, hipertrofi prostat, hipertiroid, retensi urin. Anak &lt; 6 tahun. Hamil, laktasi. Dapat mengganggu kemampuan mengemudi atau menjalankan mesin. Debilitas, hipoksia. Asma, emfisema</t>
  </si>
  <si>
    <t>untuk meredakan gejala flu demam , sakit kepala , hidung tersumbat , bersin - bersin disertai batuk</t>
  </si>
  <si>
    <t>brochifar</t>
  </si>
  <si>
    <t>brochifar kaplet chlorphenamine maleate untuk meredakan gejala flu demam  sakit kepala  hidung tersumbat  bersin  bersin disertai batuk</t>
  </si>
  <si>
    <t>DKL7603809946A1</t>
  </si>
  <si>
    <t>Cendo Vasacon-A Minidose 0.6 ml</t>
  </si>
  <si>
    <t>Teteskan pada mata yang sakit sesuai kebutuhan</t>
  </si>
  <si>
    <t>PENGGUNAAN OBAT INI HARUS SESUAI DENGAN PETUNJUK DOKTER. Teteskan 1-2 tetes hingga 4 kali sehari.</t>
  </si>
  <si>
    <t>mengurangi kepekaan terhadap cahaya, mata merah, mata terasa gatal dan pedih karena alergi, konjungtivitis karena alergi</t>
  </si>
  <si>
    <t>hipersensitivitas, tekanan darah tinggi,anak di bawah 6 tahun</t>
  </si>
  <si>
    <t>antazoline hydrochloride</t>
  </si>
  <si>
    <t>mengurangi kepekaan cahaya , mata merah , mata gatal pedih alergi , konjungtivitis alergi</t>
  </si>
  <si>
    <t>cendo vasacona minidose</t>
  </si>
  <si>
    <t>cendo vasacona minidose tetes antazoline hydrochloride mengurangi kepekaan cahaya  mata merah  mata gatal pedih alergi  konjungtivitis alergi</t>
  </si>
  <si>
    <t>Leukomed T Plus 7.2 cm x 5 cm</t>
  </si>
  <si>
    <t>Leukomed T Plus cocok untuk mengeluarkan luka, sangat tahan terhadap penyerap, tahan air dan bakteri</t>
  </si>
  <si>
    <t>leukomed t plus cocok mengeluarkan luka , tahan penyerap , tahan air bakteri</t>
  </si>
  <si>
    <t>leukomed t plus x</t>
  </si>
  <si>
    <t>leukomed t plus x larutan povidoneiodine leukomed t plus cocok mengeluarkan luka  tahan penyerap  tahan air bakteri</t>
  </si>
  <si>
    <t>DKL0413312510B2</t>
  </si>
  <si>
    <t>Movix 15 mg 10 Tablet</t>
  </si>
  <si>
    <t>Rp116.000 - Rp137.400</t>
  </si>
  <si>
    <t>Sebaiknya diberikan bersama makanan : Berikan pada saat makan.</t>
  </si>
  <si>
    <t>PENGGUNAAN OBAT INI HARUS SESUAI DENGAN PETUNJUK DOKTER. Osteoartritis 7,5 mg per hari, bila diperlukan bisa ditingkatkan menjadi 15 mg per hari. Artritis reumatoid 15 mg per hari, dosis dapat dikurangi hingga 7,5 mg per hari. Penderita gagal ginjal berat dengan dialisis, dosis tidak boleh melebihi 7,5 mg per hari. Dosis maksimal meloksikam yang dianjurkan adalah 15 mg per hari.</t>
  </si>
  <si>
    <t>Terapi simtomatis jangka pendek osteoartritis eksaserbasi akut. Terapi simtomatis jangka panjang artritis reumatoid (poliartritis kronik).</t>
  </si>
  <si>
    <t>Tukak lambung aktif, pendarahan GI &amp; serebrovaskular, gangguan pendarahan lain. Insufisiensi hati dan ginjal (tanpa dialisis). Pasien dengan asma, polip nasal, anglodema, atau urtikaria yang diinduksi oleh asamsalisilat atau AINS lain. Anak dan remaja &lt; 15 tahun. Hamil &amp; laktasi.</t>
  </si>
  <si>
    <t>HARUS DENGAN RESEP DOKTER. Riwayat penyakit saluran cerna bagian atas. Terapi dengan antikoagulan dan diuretik, dehidrasi, penyakit ginjal, gagal ginjal.</t>
  </si>
  <si>
    <t>terapi simtomatis jangka pendek osteoartritis eksaserbasi akut  terapi simtomatis jangka artritis reumatoid poliartritis kronik</t>
  </si>
  <si>
    <t>movix</t>
  </si>
  <si>
    <t>movix tablet meloxicam terapi simtomatis jangka pendek osteoartritis eksaserbasi akut  terapi simtomatis jangka artritis reumatoid poliartritis kronik</t>
  </si>
  <si>
    <t>Leukomed T Plus 8 x 15 cm</t>
  </si>
  <si>
    <t>Rp22.400 - Rp40.500</t>
  </si>
  <si>
    <t>DKL0609216204B1</t>
  </si>
  <si>
    <t>Flasicox 15 mg 10 Kaplet</t>
  </si>
  <si>
    <t>Rp13.000 - Rp29.300</t>
  </si>
  <si>
    <t>PENGGUNAAN OBAT INI HARUS SESUAI DENGAN PETUNJUK DOKTER. Dosis anjuran maksimal : 15 mg perhari. Eksaserbasi OA (Osteoartritis) : 1 kali sehari 7.5 mg, bila diperlukan dosis dapat ditingkatkan samapi dengan 1 kali sehari 15 mg. AR (Artritis Reumatoid) : 1 kali sehari 15 mg, dapat dikurangi sampai dengan 7.5 mg perhari, tergantung respon klinis. Pasien dengan resiko tinggi : Awal 1 kali sehari 7.5 mg. Pasien dengan Gagal Ginjal : 1 kali sehari, dosis tidak boleh lebih dari 7.5 mg.</t>
  </si>
  <si>
    <t>Terapi simtomatik jangka pendek untuk eksaserbasi akut dari OA (Osteoartritis). Terapi simtomatik jangka panjang untuk AR (Artritis Reumatoid).</t>
  </si>
  <si>
    <t>Dus, 5 Strip @ 10 Kaplet</t>
  </si>
  <si>
    <t>HARUS DENGAN RESEP DOKTER. Hipertensi,retensi cairan, gagal jantung, penyakit krdiovaskular Kategori Kehamilan : C, D di trimester 3 atau mendekati kelahiran</t>
  </si>
  <si>
    <t>terapi simtomatik jangka pendek eksaserbasi akut oa osteoartritis  terapi simtomatik jangka ar artritis reumatoid</t>
  </si>
  <si>
    <t>flasicox</t>
  </si>
  <si>
    <t>flasicox kaplet meloxicam terapi simtomatik jangka pendek eksaserbasi akut oa osteoartritis  terapi simtomatik jangka ar artritis reumatoid</t>
  </si>
  <si>
    <t>DKL7406102410A1</t>
  </si>
  <si>
    <t>Solaxin 200 mg 10 Tablet</t>
  </si>
  <si>
    <t>Rp67.400 - Rp74.100</t>
  </si>
  <si>
    <t>PENGGUNAAN OBAT INI HARUS SESUAI DENGAN PETUNJUK DOKTER. Dewasa : 3 x sehari 1-2 tablet, Anak : 1/2 dosis dewasa</t>
  </si>
  <si>
    <t>Gejala spasme/kram yang nyeri pada gangguan muskular (nyeri punggung, sindroma servikal, periartritis pada bahu dan spondilitis deformans)</t>
  </si>
  <si>
    <t>HARUS DENGAN RESEP DOKTER. Gangguan fungsi hati atau ginjal</t>
  </si>
  <si>
    <t>chlorzoxazone</t>
  </si>
  <si>
    <t>gejala spasme kram nyeri gangguan muskular nyeri punggung , sindroma servikal , periartritis bahu spondilitis deformans</t>
  </si>
  <si>
    <t>solaxin</t>
  </si>
  <si>
    <t>solaxin tablet chlorzoxazone gejala spasme kram nyeri gangguan muskular nyeri punggung  sindroma servikal  periartritis bahu spondilitis deformans</t>
  </si>
  <si>
    <t>DKL9504413117B1</t>
  </si>
  <si>
    <t>Kaflam 50 mg 10 Tablet</t>
  </si>
  <si>
    <t>Rp28.400 - Rp52.300</t>
  </si>
  <si>
    <t>INFORMASI OBAT INI HANYA UNTUK KALANGAN MEDIS. Meredakan nyeri dan mengurangi inflamasi pada pasien Rematoid Atritis akut dan kronis, nyeri pada tulang, spondilitis ankilosa</t>
  </si>
  <si>
    <t>hipersensitif, operasi by pass jantung, tukak lambung</t>
  </si>
  <si>
    <t>meredakan nyeri mengurangi inflamasi pasien rematoid atritis akut kronis , nyeri tulang , spondilitis ankilosa</t>
  </si>
  <si>
    <t>kaflam</t>
  </si>
  <si>
    <t>kaflam tablet diclofenac potassium meredakan nyeri mengurangi inflamasi pasien rematoid atritis akut kronis  nyeri tulang  spondilitis ankilosa</t>
  </si>
  <si>
    <t>QL228036501</t>
  </si>
  <si>
    <t>Salonpas Koyo Extra Hot 10 Lembar</t>
  </si>
  <si>
    <t>Rp7.800 - Rp11.200</t>
  </si>
  <si>
    <t>1. Keringkan bagian tubuh sebelum ditempel koyo 2. Tempelkan koyo pada bagian tubuh yang terasa nyeri</t>
  </si>
  <si>
    <t>Salonpas Extra HOT adalah koyo ektra panas dari salonpas yang mampu meredakan pegal dan nyeri otot yang berlebihan.</t>
  </si>
  <si>
    <t>Sachet @ 5 x 2 Lembar</t>
  </si>
  <si>
    <t>salonpas extra hot koyo ektra panas salonpas meredakan pegal nyeri otot</t>
  </si>
  <si>
    <t>salonpas koyo extra hot lembar</t>
  </si>
  <si>
    <t>salonpas koyo extra hot lembar  capsaicin salonpas extra hot koyo ektra panas salonpas meredakan pegal nyeri otot</t>
  </si>
  <si>
    <t>TR082686101</t>
  </si>
  <si>
    <t>Rheumacyl Pegal Linu Sachet</t>
  </si>
  <si>
    <t>RHEUMACYL PEGAL LINU</t>
  </si>
  <si>
    <t>Rp1.600 - Rp3.100</t>
  </si>
  <si>
    <t>Meredakan nyeri sendi, pegal linu, nyeri akibat encok dan sakit otot pinggang dalam bentuk liquid</t>
  </si>
  <si>
    <t>Pack, 5 Sachet @ 15 ml</t>
  </si>
  <si>
    <t>rheumacyl pegal linu</t>
  </si>
  <si>
    <t>meredakan nyeri sendi , pegal linu , nyeri akibat encok sakit otot pinggang bentuk liquid</t>
  </si>
  <si>
    <t>rheumacyl pegal linu sachet meredakan nyeri sendi  pegal linu  nyeri akibat encok sakit otot pinggang bentuk liquid</t>
  </si>
  <si>
    <t>DKL0317620210A1</t>
  </si>
  <si>
    <t>Meloxin 7.5 mg 10 Tablet</t>
  </si>
  <si>
    <t>Rp94.800 - Rp105.200</t>
  </si>
  <si>
    <t>PENGGUNAAN OBAT INI HARUS SESUAI DENGAN PETUNJUK DOKTER. Rheumatoid arthritis 15 miligram per hari, dapat diturunkan menjadi 7,5 miligram per hari, Osteoarthritis 7.5 miligram per hari, bila perlu dosis dapat ditingkatkan menjadi 15 miligram per hari, Pasien dengan peningkatan resiko efek samping atau pasien lansia awal 7.5 miligram per hari, Pasien dialisis dengan gagal ginjal berat dosis tidak boleh melebihi 7.5 miligram per hari. dosis harian anjuran maksimum 15 miligram.</t>
  </si>
  <si>
    <t>Terapi simtomatik jangka pendek untuk eksaserbasi akut osteoarthritis. Terapi simtomatik jangka panjang untuk rheumatoid arthritis (poliarthritis kronis).</t>
  </si>
  <si>
    <t>Tablet 7.5 Mg X 50'S</t>
  </si>
  <si>
    <t>Hipersensitif terhadap meloxicam. Hipersensitif terhadap aspirin dan antiinflamasi nonsteroid lain. Ulkus peptik aktif, insufiensi hati berat, insufiensi ginjal berat non dialisis, anak, remaja usia kurang dari 15 tahun, hamil, laktasi, pendarahan gastrointestinal, perdarahan serebrovaskuler atau gangguan perdarahan lain.</t>
  </si>
  <si>
    <t>HARUS DENGAN RESEP DOKTER. Pasien dengan riwayat penyakit gastrointestinal bagian atas, sedang mendapat terapi koagulan. Hentikan pemberian jika terjadi ulkus peptik atau pendarahan gastrointestinal. Pasien gagal ginjal stadium akhir dengan hemodialisis tidak boleh mendapat dosis lebih dari 7,5 miligram. Pasien dengan kondisi lemah, lanjut usia. Jangan mengemudi atau menjalankan mesin selama menggunakan obat ini.</t>
  </si>
  <si>
    <t>terapi simtomatik jangka pendek eksaserbasi akut osteoarthritis  terapi simtomatik jangka rheumatoid arthritis poliarthritis kronis</t>
  </si>
  <si>
    <t>meloxin</t>
  </si>
  <si>
    <t>meloxin tablet meloxicam terapi simtomatik jangka pendek eksaserbasi akut osteoarthritis  terapi simtomatik jangka rheumatoid arthritis poliarthritis kronis</t>
  </si>
  <si>
    <t>QD161814731</t>
  </si>
  <si>
    <t>Neo Rheumacyl Koyo Hangat 10 Lembar</t>
  </si>
  <si>
    <t>Rp5.700 - Rp7.200</t>
  </si>
  <si>
    <t>Tempelkan pada daerah yang nyeri</t>
  </si>
  <si>
    <t>Meredakan nyeri otot, nyeri sendi, pegal-pegal pada punggung pinggang dan nyeri karena encok</t>
  </si>
  <si>
    <t>Dus, 10 Sachet @ 10 Plester</t>
  </si>
  <si>
    <t>meredakan nyeri otot , nyeri sendi , pegal - pegal punggung pinggang nyeri encok</t>
  </si>
  <si>
    <t>neo rheumacyl koyo hangat lembar</t>
  </si>
  <si>
    <t>neo rheumacyl koyo hangat lembar  camphor meredakan nyeri otot  nyeri sendi  pegal  pegal punggung pinggang nyeri encok</t>
  </si>
  <si>
    <t>DKL0317620210B1</t>
  </si>
  <si>
    <t>Meloxin 15 mg 10 Tablet</t>
  </si>
  <si>
    <t>PENGGUNAAN OBAT INI HARUS SESUAI DENGAN PETUNJUK DOKTER. 1-2 kali sehari 1 tablet</t>
  </si>
  <si>
    <t>Tablet 15 Mg X 10</t>
  </si>
  <si>
    <t>DKL9609206815B2</t>
  </si>
  <si>
    <t>Megatic 50 mg 10 Tablet</t>
  </si>
  <si>
    <t>Rp3.700 - Rp9.100</t>
  </si>
  <si>
    <t>Dus, 5 blister @ 10 tablet</t>
  </si>
  <si>
    <t>Penderita yang hipersensitif terhadap diklofenac atau yang menderita asma, urtikaria atau pada pemberian aspirin atau NASIA lain.Penderita tukak lambung.</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</si>
  <si>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diklofenak.Kategori Kehamilan : C</t>
  </si>
  <si>
    <t>megatic</t>
  </si>
  <si>
    <t>megatic tablet diclofenac sodium meredakan nyeri mengurangi inflamasi pasien rematoid atritis akut kronis  nyeri tulang  spondilitis ankilosa</t>
  </si>
  <si>
    <t>DKL9531104710A1</t>
  </si>
  <si>
    <t>Vosea 10 mg 10 Tablet</t>
  </si>
  <si>
    <t>Rp2.800 - Rp4.200</t>
  </si>
  <si>
    <t>30 menit sebelum makan atau sebelum tidur</t>
  </si>
  <si>
    <t>PENGGUNAAN OBAT INI HARUS SESUAI DENGAN PETUNJUK DOKTER. Dewasa di atas 12 tahun : Dewasa 3 kali sehari, 1/2 - 1 tablet Anak-anak : Maks. 0,5 mg/kgBB sehari dibagi dalam 3 dosis</t>
  </si>
  <si>
    <t>Obat Wajib Apotek, Obat ini dapat dibeli dan diserahkan apoteker tanpa resep dengan maksimum 2 Strip. Pembelian melebihi batas ini WAJIB RESEP DOKTER. Hamil. Lanjut usia. Anak &lt; 5 tahun. penggunaan bersamaan dengan fenotiazin dapat menyebabkan reaksi ekstrapiramidal. Dosis harus dikurangi pada pasien dengan disfungsi ginjal. Hipersensitif terhadap prokain atau prokainamid Kategori Kehamilan : B</t>
  </si>
  <si>
    <t>vosea tablet metoclopramide hydrochloride monohydrate mual muntah obat radiasi  pasca operasi  meringan perasaan panas berhubungan refluks esofagitis</t>
  </si>
  <si>
    <t>chlorphenamine maleate phenylephrine hydrochloride dextromethorphan hydrobromide guaifenesin</t>
  </si>
  <si>
    <t>oskadryl extra tablet chlorphenamine maleate phenylephrine hydrochloride dextromethorphan hydrobromide guaifenesin meredakan batuk  hidung tersumbat  pilek bersin  bersin</t>
  </si>
  <si>
    <t>DTL0522241063A1</t>
  </si>
  <si>
    <t>Neosanmag Fast 2 Tablet</t>
  </si>
  <si>
    <t>Dewasa dan anak &gt; 12 tahun : 1 tablet kunyah, maksimal 2 tablet kunyah/hari</t>
  </si>
  <si>
    <t>Meredakan gejala hipersekresi lambung seperti mual, nyeri lambung, nyeri epigastrium, kembung, perut terasa penuh</t>
  </si>
  <si>
    <t>Box Isi 8 Strip @ 2 Tablet Kunyah</t>
  </si>
  <si>
    <t>Hipersensitif terhadap obat penurun asam lambung lain</t>
  </si>
  <si>
    <t>Disfagia, hamil, laktasi</t>
  </si>
  <si>
    <t>meredakan gejala hipersekresi lambung mual , nyeri lambung , nyeri epigastrium , kembung , perut penuh</t>
  </si>
  <si>
    <t>neosanmag fast</t>
  </si>
  <si>
    <t>neosanmag fast tablet calcium carbonate meredakan gejala hipersekresi lambung mual  nyeri lambung  nyeri epigastrium  kembung  perut penuh</t>
  </si>
  <si>
    <t>DKL9904514403A1</t>
  </si>
  <si>
    <t>Ozid 20 mg 14 Kapsul</t>
  </si>
  <si>
    <t>- KOMBINASI-OMEPRAZOLE PELLET 8.5%</t>
  </si>
  <si>
    <t>Rp191.900 - Rp220.600</t>
  </si>
  <si>
    <t>Dus, 1 Strip X 14 Kapsul</t>
  </si>
  <si>
    <t>HARUS DENGAN RESEP DOKTER. Kemungkinan keganasan di lambung harus disingkirkan sebelum terapi. Monitor efek hipoklorhidia &amp; hipergastrinemia pada terapi jangka lama. Hamil, laktasi, anak.</t>
  </si>
  <si>
    <t>kombinasi-omeprazole pellet 85%</t>
  </si>
  <si>
    <t>ozid</t>
  </si>
  <si>
    <t>ozid kapsul kombinasiomeprazole pellet 85 pengobatan jangka pendek tukak duodenal  tukak lambung  refluks esofagitis  sindrom zollinger  ellison</t>
  </si>
  <si>
    <t>DTL9613013110A1</t>
  </si>
  <si>
    <t>Paramex Nyeri Otot 4 Tablet</t>
  </si>
  <si>
    <t>Rp1.800 - Rp2.500</t>
  </si>
  <si>
    <t>1 tablet, 3 - 4 kali per hari.</t>
  </si>
  <si>
    <t>Meringankan rasa nyeri pada nyeri otot, nyeri sendi, sakit kepala, sakit gigi, dan menurunkan demam</t>
  </si>
  <si>
    <t>Dus, 25 Catch Cover X 4 Tablet</t>
  </si>
  <si>
    <t>Penderita dengan riwayat hipersensitif terhadap Paracetamol, Ibuprofen atau obat antiinflamasi non-sterioid lainnya. Penderita dengan ulkus peptikum (tukak lambung dan usus 12 jari) yang berat dan aktif. Penderita dimana bila menggunakan Acetosal atau obat - obatan antiinflamasi non-steroid lainnya akan timbul gejala asma, rinitis (selesma), atau urtikaria (kaligata). Kehamilan 3 bulan terakhir.</t>
  </si>
  <si>
    <t>Tidak boleh melebihi dosis yang dianjurkan. Selama menggunakan obat ini jangan minum Acetosal atau obat lain yang mengandung Paracetamol atau Ibuprofen, juga obat antikoagulan (anti pembekuan darah) golongan warfarin. Hubungi dokter bila selama menggunakan obat ini terjadi efek yang tidak diinginkan. Bila setelah 5 hari nyeri tidak menghilang atau berkurang, segera hubungi dokter atau unit pelayanan kesehatan. Tidak dianjurkan untuk wanita hamil dan menyusui.</t>
  </si>
  <si>
    <t>paramex nyeri otot</t>
  </si>
  <si>
    <t>paramex nyeri otot tablet ibuprofen meringankan nyeri nyeri otot  nyeri sendi  sakit kepala  sakit gigi  menurunkan demam</t>
  </si>
  <si>
    <t>Pronalges 100 mg 10 Tablet</t>
  </si>
  <si>
    <t>PENGGUNAAN OBAT INI HARUS SESUAI DENGAN PETUNJUK DOKTER. 50-100 mg 2-3 kali sehari. Nyeri : 25-50 mg/6-8 jam</t>
  </si>
  <si>
    <t>Terapi reumatoid artritis (AR) dan osteoartritis (OA) akut dan kronis, nyeri paska operasi, paska partum dan ortopedik</t>
  </si>
  <si>
    <t>Dos Isi 5 Strip X 10 Tablet</t>
  </si>
  <si>
    <t>HARUS DENGAN RESEP DOKTER. Anak, laktasi, wanita hamil, ganguan fungsi hati, ginjal, jantung. retensi cairan dan hipertensi</t>
  </si>
  <si>
    <t>terapi reumatoid artritis ar osteoartritis oa akut kronis , nyeri paska operasi , paska partum ortopedik</t>
  </si>
  <si>
    <t>pronalges tablet ketoprofen terapi reumatoid artritis ar osteoartritis oa akut kronis  nyeri paska operasi  paska partum ortopedik</t>
  </si>
  <si>
    <t>DKL1124401017A1</t>
  </si>
  <si>
    <t>Motilium 10 mg 10 Tablet</t>
  </si>
  <si>
    <t>Rp80.600 - Rp82.500</t>
  </si>
  <si>
    <t>Dikonsumsi saat perut kosong. Diminum 15-30 menit sebelum makan</t>
  </si>
  <si>
    <t>INFORMASI OBAT INI HANYA UNTUK KALANGAN MEDIS. Mual &amp; muntah akut serta dispepsia fungsional. Pada anak diindikasikan untuk mual &amp; muntah yang disebabkan kemoterapi &amp; radioterapi untuk kanker</t>
  </si>
  <si>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</si>
  <si>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</si>
  <si>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mual muntah akut dispepsia fungsional  pada anak diindikasikan mual muntah disebabkan kemoterapi radioterapi kanker</t>
  </si>
  <si>
    <t>motilium</t>
  </si>
  <si>
    <t>motilium tablet domperidone mual muntah akut dispepsia fungsional  pada anak diindikasikan mual muntah disebabkan kemoterapi radioterapi kanker</t>
  </si>
  <si>
    <t>DTL1119928733A1</t>
  </si>
  <si>
    <t>Antimo Anak Rasa Strawberry 5 ml 10 Sachet</t>
  </si>
  <si>
    <t>Rp8.700 - Rp16.500</t>
  </si>
  <si>
    <t>1/2 jam sebelum berpergian dan lebih baik setelah makan</t>
  </si>
  <si>
    <t>Hiperemesis : Anak 2-6 tahun : 1-2 sachet setiap 6-8 jam jika perlu, tidak lebih dari sehari 75 mg. Anak 6-12 tahun : 2 sachet setiap 6-8 jam jika perlu, tidak lebih dari sehari 150 mg Diminum 1/2 jam sebelum berpergian dan lebih baik setelah makan</t>
  </si>
  <si>
    <t>Mabuk, muntah dalam perjalanan yang diderita jika mempergunakan kendaraan bermotor, kapal, kereta api atau pesawat udara</t>
  </si>
  <si>
    <t>Penderita gangguan hati, hipokalemia, hipersensitif terhadap antihistamin, retensi urin, glaukoma</t>
  </si>
  <si>
    <t>tidak ada</t>
  </si>
  <si>
    <t>mabuk , muntah perjalanan diderita kendaraan bermotor , kapal , kereta api pesawat udara</t>
  </si>
  <si>
    <t>antimo anak rasa strawberry</t>
  </si>
  <si>
    <t>antimo anak rasa strawberry suspensi dimenhydrinate mabuk  muntah perjala diderita kendaraan bermotor  kapal  kereta api pesawat udara</t>
  </si>
  <si>
    <t>flunax kaplet paracetamol phenylpropanolamine hydrochloride chlorphenamine maleate meringankan gejala flu demam  sakit kepala  hidung tersumbat  bersin  bersin</t>
  </si>
  <si>
    <t>DKL8118700110A1</t>
  </si>
  <si>
    <t>Meptin 50 mcg 10 Tablet</t>
  </si>
  <si>
    <t>Rp55.200 - Rp60.700</t>
  </si>
  <si>
    <t>Meredakan berbagai gejala yang disebabkan gangguan obstruksi/sumbatan pernafasan pada Asma Bronkhial, Bronkhitis Khronis &amp; Emfisema paru</t>
  </si>
  <si>
    <t>HARUS DENGAN RESEP DOKTER. Hipertiroidisme</t>
  </si>
  <si>
    <t>DTL7204216737A1</t>
  </si>
  <si>
    <t>Halfilyn Sirup 100 ml</t>
  </si>
  <si>
    <t>Rp14.400 - Rp18.800</t>
  </si>
  <si>
    <t>Batuk kronis maupun akut yang disebabkan oleh iritasi atau penyumbatan sputum pada saluran pernafasan, seperti pada keadaan asma, alergi, flu, dll</t>
  </si>
  <si>
    <t>batuk kronis akut disebabkan iritasi penyumbatan sputum saluran pernafasan , asma , alergi , flu , dll</t>
  </si>
  <si>
    <t>halfilyn</t>
  </si>
  <si>
    <t>halfilyn sirup ammonium chloride batuk kronis akut disebabkan iritasi penyumbatan sputum saluran pernafasan  asma  alergi  flu  dll</t>
  </si>
  <si>
    <t>DKL8928602030A1</t>
  </si>
  <si>
    <t>Kloderma 0.05% Salep 5 g</t>
  </si>
  <si>
    <t>Rp25.000 - Rp31.500</t>
  </si>
  <si>
    <t>PENGGUNAAN OBAT INI HARUS SESUAI DENGAN PETUNJUK DOKTER. Oleskan 1-2 x sehari, maximum 2 g sehari</t>
  </si>
  <si>
    <t>INFORMASI OBAT INI HANYA UNTUK KALANGAN MEDIS. Psoriasis, Ekzema yang resisten, Likhen Planus, Lupus Eritematosus diskoid &amp; kondisi2 lain yang tidak responsif terhadap steroid yang kurang kuat</t>
  </si>
  <si>
    <t>DKL9502321409B1</t>
  </si>
  <si>
    <t>Kliran 4 mg 10 Kaplet</t>
  </si>
  <si>
    <t>Rp128.100 - Rp170.700</t>
  </si>
  <si>
    <t>PENGGUNAAN OBAT INI HARUS SESUAI DENGAN PETUNJUK DOKTER. Untuk mual dan muntah akibat kemoterapi yang sangat emetogenik 8 mg secara injeksi IV lambat segera sebelum kemoterapi, lalu lanjutkan dengan infus intra vena 1 mg/jam selama 24 jam atau 2-8 mg secara injeksi intra vena lambat tiap 2-4 jam. Kedua rejimen</t>
  </si>
  <si>
    <t>Penatalaksanaan mual dan muntah yang diinduksi oleh kemoterapi dan radioterapi. Pencegahan dan pengobatan mual dan muntah pasca operasi.</t>
  </si>
  <si>
    <t>Kaplet 4 Mg X 3 X 10</t>
  </si>
  <si>
    <t>HARUS DENGAN RESEP DOKTER. Hamil dan laktasi. Gangguan fungsi hati.</t>
  </si>
  <si>
    <t>penatalaksanaan mual muntah diinduksi kemoterapi radioterapi  pencegahan pengobatan mual muntah pasca operasi</t>
  </si>
  <si>
    <t>kliran</t>
  </si>
  <si>
    <t>kliran kaplet ondansetron hydrochloride dihydrate penatalaksanaan mual muntah diinduksi kemoterapi radioterapi  pencegahan pengobatan mual muntah pasca operasi</t>
  </si>
  <si>
    <t>Complete Multi Purpose Solution 360 ml</t>
  </si>
  <si>
    <t>Rp51.700 - Rp94.000</t>
  </si>
  <si>
    <t>Secukupnya sesuai kebutuhan.</t>
  </si>
  <si>
    <t>Membersihkan, membilas, menghilangkan protein dan menyimpan lensa kontak tetap lunak (hidrofilik).</t>
  </si>
  <si>
    <t>Dus, Botol @ 360 ml</t>
  </si>
  <si>
    <t>Perhatikan masa kadaluarsa cairan pembersih lensa kontak, jangan digunakan setelah lewat masanya.</t>
  </si>
  <si>
    <t>membersihkan , membilas , menghilangkan protein menyimpan lensa kontak lunak hidrofilik</t>
  </si>
  <si>
    <t>complete multi purpose solution tablet kombinasivalsartan blend 32 membersihkan  membilas  menghilangkan protein menyimpan lensa kontak lunak hidrofilik</t>
  </si>
  <si>
    <t>DKL0317619817B1</t>
  </si>
  <si>
    <t>Invomit 8 mg 6 Tablet</t>
  </si>
  <si>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 selama &lt;5 hari. Pencegahan mual &amp; muntah karena kemoterapi: dewasa (kemoterapi yang sangat emetogenik) awal 8 mg secara injeksi IV lambat selama 15 menit sebelum kemoterapi. Lalu dilanjutkan dengan pemberian infus IV 1 mg/jam sampai 24 jam atau 2 injeksi 8 mg secara IV lambat atau 15 menit infus tiap 4 jam. Atau 8 mg secara injeksi IV lambat atau infus IV selama 15 menit sebelum kemoterapi, dilanjutkan dengan pemberian oral 8 mg 2 x/hari selama &lt;5 hari. Mual &amp; muntah pasca operasi 8 mg per oral 1 jam sebelum pemberian anestesi dilanjutkan dengan 2 dosis dari 8 mg per oral dengan interval tiap 8 jam atau 4 mg secara injeksi intra muskular/intra vena lambat dosis tunggal.</t>
  </si>
  <si>
    <t>Mual muntah pasca operasi, Pencegahan mual &amp; muntah karena kemoterapi, mual &amp; muntah yang dipicu oleh radioterapi</t>
  </si>
  <si>
    <t>Dus, 3 Strip @ 6 Tablet</t>
  </si>
  <si>
    <t>HARUS DENGAN RESEP DOKTER. Hamil trisemester 1 &amp; laktasi</t>
  </si>
  <si>
    <t>mual muntah pasca operasi , pencegahan mual muntah kemoterapi , mual muntah dipicu radioterapi</t>
  </si>
  <si>
    <t>invomit tablet ondansetron hydrochloride dihydrate mual muntah pasca operasi  pencegahan mual muntah kemoterapi  mual muntah dipicu radioterapi</t>
  </si>
  <si>
    <t>TR052751681</t>
  </si>
  <si>
    <t>Borobudur Sendi Cream Jahe 60 g</t>
  </si>
  <si>
    <t>SENDI CREAM PLUS JAHE</t>
  </si>
  <si>
    <t>Rp25.400 - Rp41.500</t>
  </si>
  <si>
    <t>Membantu meredakan pegal linu, nyeri otot pinggang, encok</t>
  </si>
  <si>
    <t>Dus, Tube @ 60 gram</t>
  </si>
  <si>
    <t>sendi cream plus jahe</t>
  </si>
  <si>
    <t>membantu meredakan pegal linu , nyeri otot pinggang , encok</t>
  </si>
  <si>
    <t>borobudur sendi cream jahe</t>
  </si>
  <si>
    <t>borobudur sendi cream jahe krim sendi cream plus jahe membantu meredakan pegal linu  nyeri otot pinggang  encok</t>
  </si>
  <si>
    <t>Kloderma 0.05% Salep 10 g</t>
  </si>
  <si>
    <t>Rp42.100 - Rp53.900</t>
  </si>
  <si>
    <t>PENGGUNAAN OBAT INI HARUS SESUAI DENGAN PETUNJUK DOKTER. Oleskan 1-2 x sehari, tidak lebih dari 50 g dioleskan per minggu. Hingga paling lama 4 minggu.</t>
  </si>
  <si>
    <t>INFORMASI OBAT INI HANYA UNTUK KALANGAN MEDIS. Pengobatan jangka pendek hanya untuk kelainan kulit inflamasi hebat seperti eksim bandel yang tidak responsif terhadap kortikosteroid yang kurang kuat</t>
  </si>
  <si>
    <t>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</si>
  <si>
    <t>pengobatan jangka pendek kelainan kulit inflamasi hebat eksim bandel tidak responsif kortikosteroid kuat</t>
  </si>
  <si>
    <t>kloderma</t>
  </si>
  <si>
    <t>kloderma salep clobetasol propionate pengobatan jangka pendek kelai kulit inflamasi hebat eksim bandel tidak responsif kortikosteroid kuat</t>
  </si>
  <si>
    <t>DKL9131503115A1</t>
  </si>
  <si>
    <t>Renadinac 50 mg 10 Tablet</t>
  </si>
  <si>
    <t>Rp3.700 - Rp9.800</t>
  </si>
  <si>
    <t>Hipersensitifitas terhadap komponen dalam obat. Pasien yg mengalami asma, tukak peptik, urtikaria, rinitis akut yg diinduksi oleh asam asetil salisilat (aspirin) atau AINS lain.</t>
  </si>
  <si>
    <t>renadinac</t>
  </si>
  <si>
    <t>renadinac tablet diclofenac sodium meredakan nyeri mengurangi inflamasi pasien rematoid atritis akut kronis  nyeri tulang  spondilitis ankilosa</t>
  </si>
  <si>
    <t>DKL0621632117B1</t>
  </si>
  <si>
    <t>Aclonac 50 mg 10 Tablet</t>
  </si>
  <si>
    <t>Rp11.600 - Rp14.000</t>
  </si>
  <si>
    <t>Kontraindikasi bagi pasien dengan perdarahan, ulserasi atau perforasi saluran cerna.</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</si>
  <si>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</si>
  <si>
    <t>aclonac</t>
  </si>
  <si>
    <t>aclonac tablet diclofenac potassium meredakan nyeri mengurangi inflamasi pasien rematoid atritis akut kronis  nyeri tulang  spondilitis ankilosa</t>
  </si>
  <si>
    <t>QD192701771E</t>
  </si>
  <si>
    <t>Balsem Otot Geliga 10 g</t>
  </si>
  <si>
    <t>Rp5.300 - Rp10.800</t>
  </si>
  <si>
    <t>Digunakan sesuai kebutuhan. Untuk anak-anak &lt;12 tahun konsultasi dengan dokter sebelum penggunaan.</t>
  </si>
  <si>
    <t>Meredakan nyeri otot dan sendi seperti nyeri akibat memar, kesleo, dan nyeri otot pada punggung</t>
  </si>
  <si>
    <t>Hindari pemakaian pada luka dan kulit yang rusak. Jauhkan dari jangkauan anak-anak, tidak digunakan untuk anak-anak dibawah 2 tahun.</t>
  </si>
  <si>
    <t>meredakan nyeri otot sendi nyeri akibat memar , kesleo , nyeri otot punggung</t>
  </si>
  <si>
    <t>balsem otot geliga</t>
  </si>
  <si>
    <t>balsem otot geliga balsam methyl salicyllate meredakan nyeri otot sendi nyeri akibat memar  kesleo  nyeri otot punggung</t>
  </si>
  <si>
    <t>DKL1319617222A1</t>
  </si>
  <si>
    <t>Livola Granul</t>
  </si>
  <si>
    <t>PENGGUNAAN OBAT INI HARUS SESUAI DENGAN PETUNJUK DOKTER. Diberikan dosis 3 sachet / hari.</t>
  </si>
  <si>
    <t>INFORMASI OBAT INI HANYA UNTUK KALANGAN MEDIS. Digunakan untuk mengurangi kadar amoniak plasma dalam kondisi hiperammonemia akibat penyakit hati akut dan kronis.</t>
  </si>
  <si>
    <t>Dus, 10 Sachet 5 gram</t>
  </si>
  <si>
    <t>Gangguan ginjal berat</t>
  </si>
  <si>
    <t>HARUS DENGAN RESEP DOKTER. Ganguan fungsi hati, wanita hamil &amp; laktasi.</t>
  </si>
  <si>
    <t>l-ornithine l-aspartate</t>
  </si>
  <si>
    <t>digunakan mengurangi kadar amoniak plasma kondisi hiperammonemia akibat penyakit hati akut kronis</t>
  </si>
  <si>
    <t>livola granul</t>
  </si>
  <si>
    <t>livola granul granula lornithine laspartate digunakan mengurangi kadar amoniak plasma kondisi hiperammonemia akibat penyakit hati akut kronis</t>
  </si>
  <si>
    <t>DTL7808101129A1</t>
  </si>
  <si>
    <t>Neo Ultrasiline Cream 1% 5 g</t>
  </si>
  <si>
    <t>Rp9.800 - Rp11.300</t>
  </si>
  <si>
    <t>Topikal, cuci bersih pada bagian kulit sebelum dioleskan krim.</t>
  </si>
  <si>
    <t>2-3 kali sehari</t>
  </si>
  <si>
    <t>Untuk pengobatan topikal dari candidiasis, Pityriasis versicolor, Tinea pedis, Tinea cruris dan tinea corporis.</t>
  </si>
  <si>
    <t>ruam kulit</t>
  </si>
  <si>
    <t>untuk pengobatan topikal candidiasis , pityriasis versicolor , tinea pedis , tinea cruris tinea corporis</t>
  </si>
  <si>
    <t>neo ultrasiline cream</t>
  </si>
  <si>
    <t>neo ultrasiline cream krim clotrimazole untuk pengobatan topikal candidiasis  pityriasis versicolor  tinea pedis  tinea cruris tinea corporis</t>
  </si>
  <si>
    <t>QD142712611</t>
  </si>
  <si>
    <t>Balsem Otot Geliga 40 g</t>
  </si>
  <si>
    <t>Rp18.700 - Rp23.700</t>
  </si>
  <si>
    <t>Hindari pemakaian pada luka dan kulit yang rusak. Jauhkan dari jangkauan anak-anak, tidak digunakan untuk anak-anak dibawah 2 tahun. Jangan digunakan langsung dibawah lubang hidung. Hentikan penggunaan dan hubungi dokter apabila keadaan memburuk.</t>
  </si>
  <si>
    <t>balsem otot geliga balsam methyl salicylate meredakan nyeri otot sendi nyeri akibat memar  kesleo  nyeri otot punggung</t>
  </si>
  <si>
    <t>DKL0206311246A1</t>
  </si>
  <si>
    <t>Genoint Eye Drops 5 ml</t>
  </si>
  <si>
    <t>Rp13.500 - Rp17.300</t>
  </si>
  <si>
    <t>PENGGUNAAN OBAT INI HARUS SESUAI DENGAN PETUNJUK DOKTER. Infeksi mata ringan : 1-2 tetes, obat tetes mata 0.3 % maksimal 6 kali sehari Infeksi mata parah : 1-2 tetes, obat tetes mata 0.3 % tiap 15 menit</t>
  </si>
  <si>
    <t>INFORMASI OBAT INI HANYA UNTUK KALANGAN MEDIS. Untuk pengobatan infeksi topikal baik infeksi kulit primer maupun sekunder yang disebabkan oleh bakteri yang peka terhadap Gentamicin.</t>
  </si>
  <si>
    <t>Hipersensitivitas. Infeksi akibat virus atau bakteri.</t>
  </si>
  <si>
    <t>Obat Wajib Apotek, Obat ini dapat dibeli dan diserahkan apoteker tanpa resep dengan maksimum 1 Botol. Pembelian melebihi batas ini WAJIB RESEP DOKTER. Hentikan pengobatan bila terjadi iritasi atau sensitisasi. Dapat terjadi pertumbuhan yang berlebihan dari mikroorganisme yang tidak rentan pada pemakaian jangka panjang. Begitu terjadi superinfeksi, hentikan pengobatan dan berikan terapi yang sesuai.</t>
  </si>
  <si>
    <t>genoint eye</t>
  </si>
  <si>
    <t>genoint eye tetes gentamicin sulfate untuk pengobatan infeksi topikal infeksi kulit primer sekunder disebabkan bakteri peka gentamicin</t>
  </si>
  <si>
    <t>GKL2002361909A1</t>
  </si>
  <si>
    <t>Azithromycin 500 mg Tablet</t>
  </si>
  <si>
    <t>Rp4.500 - Rp7.600</t>
  </si>
  <si>
    <t>PENGGUNAAN OBAT INI HARUS SESUAI DENGAN PETUNJUK DOKTER. Dewasa : 1 g dosis tunggal oral. Semua indikasi lainnya 500 mg 1 x/hari selama 3 hari. Anak 10 mg/kg BB/hari dosis tunggal selama 3 hari.</t>
  </si>
  <si>
    <t>*Jumlah Stock untuk Produk ini terbatas. Jika tidak tersedia (not available), dapat diorder kembali tanpa dikombinasikan dengan produk lain. HARUS DENGAN RESEP DOKTER. Gangguan ginjal sedang atau berat, gangguan hati berat. Hamil &amp; laktasi. Lansia. Hentikan pemakaian apabila terjadi reaksi alergi, gangguan hati. Pertumbuhan C. difficile. Kategori kehamilan: Kategori B: Mungkin dapat digunakan oleh wanita hamil. Penelitian pada hewan uji tidak memperlihatkan ada nya risiko terhadap janin, namun belum ada bukti penelitian langsung terhadap wanita hamil.</t>
  </si>
  <si>
    <t>azithromycin</t>
  </si>
  <si>
    <t>azithromycin kaplet azithromycin dihydrate infeksi saluran napa  kulit struktur kulit  uretritis servisitis non go krn chlamydia trachomatis</t>
  </si>
  <si>
    <t>Leukomed T Plus 8 cm x 10 cm</t>
  </si>
  <si>
    <t>DKL9411620604A1</t>
  </si>
  <si>
    <t>Bactesyn Tablet</t>
  </si>
  <si>
    <t>Rp35.100 - Rp38.900</t>
  </si>
  <si>
    <t>Dapat diberikan sebelum atau setelah makan. Untuk menghindari rasa tidak nyaman pada saluran cerna, sebaiknya dikonsumsi setelah makan.</t>
  </si>
  <si>
    <t>PENGGUNAAN OBAT INI HARUS SESUAI DENGAN PETUNJUK DOKTER. Dewasa dan anak dengan berat badan 30 Kg ke atas: 375 - 750 mg, diberikan 2 kali sehari. Anak kurang dari 30 Kg: 25 - 50 mg/Kg BB/hari (terbagi dalam 2 dosis). Gonore tanpa komplikasi: 2.25 g sebagai dosis tunggal + Probenecid 1 g.</t>
  </si>
  <si>
    <t>INFORMASI OBAT INI HANYA UNTUK KALANGAN MEDIS. Infeksi saluran napas, otitis media, infeksi saluran kemih, infeksi kulit dan struktur kulit, infeksi gonococcal.</t>
  </si>
  <si>
    <t>Hipersensitif terhadap komponen dalam Bactesyn.</t>
  </si>
  <si>
    <t>HARUS DENGAN RESEP DOKTER. Dapat terjadi reaksi hipersensitivitas. Lakukan pemeriksaan fungsi organ secara rutin apabila digunakan untuk jangka lama. Kategori kehamilan: Kategori B: Mungkin dapat digunakan oleh wanita hamil. Penelitian pada hewan uji tidak memperlihatkan ada nya risiko terhadap janin, namun belum ada bukti penelitian langsung terhadap wanita hamil.</t>
  </si>
  <si>
    <t>sultamicillin</t>
  </si>
  <si>
    <t>infeksi saluran napa , otitis medium , infeksi saluran kemih , infeksi kulit struktur kulit , infeksi gonococcal</t>
  </si>
  <si>
    <t>bactesyn</t>
  </si>
  <si>
    <t>bactesyn kaplet sultamicillin infeksi saluran napa  otitis medium  infeksi saluran kemih  infeksi kulit struktur kulit  infeksi gonococcal</t>
  </si>
  <si>
    <t>DKL9722222016B1</t>
  </si>
  <si>
    <t>Eflagen 50 mg 10 Tablet</t>
  </si>
  <si>
    <t>Rp28.700 - Rp32.500</t>
  </si>
  <si>
    <t>INFORMASI OBAT INI HANYA UNTUK KALANGAN MEDIS. Meredakan nyeri dan mengurangi inflamasi pada pasien Rematoid Atritis akut dan kronis, nyeri pada tulang, spondilitis ankilosa.</t>
  </si>
  <si>
    <t>Hipersensitivitas, tukak lambung, serangan asma, urtikaria, rinitis akut, Penyakit jantung iskemik, Penyakit arteri perifer, Penyakit serebrovaskuler, Gagal jantung kongestif (NYHA (New York Heart Association) kelas II-IV).</t>
  </si>
  <si>
    <t>HARUS DENGAN RESEP DOKTER. Memiliki riwayat penyakit atau faktor resiko gangguan kardiovaskular, hipertensi, retensi cairan, gagal jantung. Memiliki riwayat penyakit tukak lambung/usus, penyakit Crohn, gangguan fungsi hati, gangguan fungsi ginjal, asma, lansia, anak-anak &lt;14 tahun, ibu hamil dan menyusui. Hipersensitif terhadap diklofenak.</t>
  </si>
  <si>
    <t>eflagen</t>
  </si>
  <si>
    <t>eflagen tablet diclofenac potassium meredakan nyeri mengurangi inflamasi pasien rematoid atritis akut kronis  nyeri tulang  spondilitis ankilosa</t>
  </si>
  <si>
    <t>phenylephrine hydrochloride dextromethorphan hydrobromide</t>
  </si>
  <si>
    <t>oskadryl pe tablet phenylephrine hydrochloride dextromethorphan hydrobromide meredakan batuk  bersin  bersin akibat alergi  hidung tersumbat  melegakan pernafasan</t>
  </si>
  <si>
    <t>dextromethorphan hydrobromide phenylephrine hydrochloride</t>
  </si>
  <si>
    <t>oskadryl pe tablet dextromethorphan hydrobromide phenylephrine hydrochloride meredakan batuk  bersin  bersin akibat alergi  hidung tersumbat  melegakan pernafasan</t>
  </si>
  <si>
    <t>DKL0117617246A1</t>
  </si>
  <si>
    <t>Inmatrol Eye Drops 5 ml</t>
  </si>
  <si>
    <t>Rp61.600 - Rp70.600</t>
  </si>
  <si>
    <t>PENGGUNAAN OBAT INI HARUS SESUAI DENGAN PETUNJUK DOKTER. 2-4 x sehari 1-2 tetes</t>
  </si>
  <si>
    <t>Terapi jangka pendek untuk kondisi Mata yang responsif terhadap Steroid yang juga membutuhkan terapi profilaxis Antibiotik</t>
  </si>
  <si>
    <t>Penyakit jamur pada struktur mata, penyakit virus pada kornea dan konjungtiva, infeksi mikrobakterial pada mata</t>
  </si>
  <si>
    <t>HARUS DENGAN RESEP DOKTER. Ibu hamil. Monitor tekanan intraokular pada penggunaan jangka lama. Dapat menutupi gejala infeksi pada keadaan pirulen akut. Kondisi mata merah yang tidak terdiagnosa</t>
  </si>
  <si>
    <t>terapi jangka pendek kondisi mata responsif steroid membutuhkan terapi profilaxis antibiotik</t>
  </si>
  <si>
    <t>inmatrol eye</t>
  </si>
  <si>
    <t>inmatrol eye tetes dexamethasone sodium phosphate terapi jangka pendek kondisi mata responsif steroid membutuhkan terapi profilaxis antibiotik</t>
  </si>
  <si>
    <t>DKL9605019336A1</t>
  </si>
  <si>
    <t>Vometa Drops 10 ml</t>
  </si>
  <si>
    <t>Rp60.000 - Rp78.100</t>
  </si>
  <si>
    <t>Dikonsumsi saat perut kosong. Diminum 15-30 menit sebelum makan.</t>
  </si>
  <si>
    <t>INFORMASI OBAT INI HANYA UNTUK KALANGAN MEDIS. Mual dan muntah akut serta dispepsia fungsional. Pada anak diindikasikan untuk mual &amp; muntah yang disebabkan kemoterapi &amp; radioterapi untuk kanker.</t>
  </si>
  <si>
    <t>vometa</t>
  </si>
  <si>
    <t>vometa tetes domperidone mual muntah akut dispepsia fungsional  pada anak diindikasikan mual muntah disebabkan kemoterapi radioterapi kanker</t>
  </si>
  <si>
    <t>DKL9431507646A1</t>
  </si>
  <si>
    <t>Isotic Adretor 0.25% Eye Drops 5 ml</t>
  </si>
  <si>
    <t>Rp21.700 - Rp31.300</t>
  </si>
  <si>
    <t>PENGGUNAAN OBAT INI HARUS SESUAI DENGAN PETUNJUK DOKTER. 2 x sehari 1 tetes, bila respons klinis kurang memadai dapat ditingkatkan dengan 'Isotic Adretor 0.5%'</t>
  </si>
  <si>
    <t>Menurunkan IOP/tekanan intra okuler. Glaukoma Sudut Terbuka Khronis &amp; Glaukoma Sekunder</t>
  </si>
  <si>
    <t>menurunkan iop tekanan intra okuler  glaukoma sudut terbuka khronis glaukoma sekunder</t>
  </si>
  <si>
    <t>isotic adretor eye tetes timolol maleate menurunkan iop teka intra okuler  glaukoma sudut terbuka khronis glaukoma sekunder</t>
  </si>
  <si>
    <t>TI174357201</t>
  </si>
  <si>
    <t>Natural Factors S'Digest 90 Kapsul</t>
  </si>
  <si>
    <t>NATURAL FACTORS SDIGEST</t>
  </si>
  <si>
    <t>Rp285.000 - Rp355.400</t>
  </si>
  <si>
    <t>Dikonsumsi setelah makan atau bersama dengan makanan.</t>
  </si>
  <si>
    <t>1 kapsul 3 kali sehari.</t>
  </si>
  <si>
    <t>Membantu menjaga kesehatan sistem pencernaan dengan melindungi terhadap bakteri patogen, membantu meredakan kembung dan kram perut.</t>
  </si>
  <si>
    <t>Botol Plastik @ 90 Kapsul</t>
  </si>
  <si>
    <t>natural factors sdigest</t>
  </si>
  <si>
    <t>membantu menjaga kesehatan sistem pencernaan melindungi bakteri patogen , membantu meredakan kembung kram perut</t>
  </si>
  <si>
    <t>natural factors sdigest kapsul membantu menjaga kesehatan sistem pencernaan melindungi bakteri patogen  membantu meredakan kembung kram perut</t>
  </si>
  <si>
    <t>Betadine 10% Salep 5 g</t>
  </si>
  <si>
    <t>Rp14.000 - Rp14.800</t>
  </si>
  <si>
    <t>Hanya untuk penggunaan luar. Oleskan pada bagian yang luka.</t>
  </si>
  <si>
    <t>Oleskan satu atau dua kali sehari pada seluruh permukaan luka.</t>
  </si>
  <si>
    <t>Salep antiseptik yang digunakan untuk membunuh kuman penyebab infeksi pada luka seperti luka bakar, luka sunat, lika tergores, dan luka kecil lainnya.</t>
  </si>
  <si>
    <t>salep antiseptik membunuh kuman penyebab infeksi luka luka bakar , luka sunat , lika tergores , luka</t>
  </si>
  <si>
    <t>betadine larutan povidoneiodine salep antiseptik membunuh kuman penyebab infeksi luka luka bakar  luka sunat  lika tergores  luka</t>
  </si>
  <si>
    <t>DKL9405013733A1</t>
  </si>
  <si>
    <t>Vometa Suspensi 60 ml</t>
  </si>
  <si>
    <t>Rp64.400 - Rp78.100</t>
  </si>
  <si>
    <t>vometa suspensi domperidone mual muntah akut dispepsia fungsional  pada anak diindikasikan mual muntah disebabkan kemoterapi radioterapi kanker</t>
  </si>
  <si>
    <t>Whisper Reguler Flow Wing 10 Pads</t>
  </si>
  <si>
    <t>Rp16.000 - Rp24.400</t>
  </si>
  <si>
    <t>Pembalut wanita yang aman untuk kesehatan saat masa menstruasi membuat nyaman saat beraktivitas dan bebas dari bocor</t>
  </si>
  <si>
    <t>pembalut wanita aman kesehatan menstruasi nyaman beraktivitas bebas bocor</t>
  </si>
  <si>
    <t>whisper reguler flow wing pads</t>
  </si>
  <si>
    <t>whisper reguler flow wing pads tablet tizanidine hydrochloride pembalut wanita aman kesehatan menstruasi nyaman beraktivitas bebas bocor</t>
  </si>
  <si>
    <t>Whisper Reg Flow Wing 20 Pads</t>
  </si>
  <si>
    <t>Rp30.200 - Rp42.000</t>
  </si>
  <si>
    <t>whisper reg flow wing pads</t>
  </si>
  <si>
    <t>whisper reg flow wing pads tablet tizanidine hydrochloride pembalut wanita aman kesehatan menstruasi nyaman beraktivitas bebas bocor</t>
  </si>
  <si>
    <t>Betadine 10% Salep 10 g</t>
  </si>
  <si>
    <t>Rp23.100 - Rp28.900</t>
  </si>
  <si>
    <t>Hati-hati pada penderita yang hipersensitif terhadap iodium. Hanya untuk pemakaian luar.</t>
  </si>
  <si>
    <t>DTL9421008337A1</t>
  </si>
  <si>
    <t>Flutamol-P Sirup 60 ml</t>
  </si>
  <si>
    <t>Rp16.500 - Rp29.900</t>
  </si>
  <si>
    <t>Dewasa dan anak &gt; 12 tahun : 3 x sehari 4 sendok takar 5 mL, Anak 6-12 tahun : 3 x sehari 2 sendok takar 5 mL.</t>
  </si>
  <si>
    <t>phenylpropanolamine hydrochloride paracetamol chlorphenamine maleate dextromethorphan hydrobromide</t>
  </si>
  <si>
    <t>flutamolp</t>
  </si>
  <si>
    <t>flutamolp sirup phenylpropanolamine hydrochloride paracetamol chlorphenamine maleate dextromethorphan hydrobromide demam  sakit kepala  batuk  pilek  hidung tersumbat  alergi</t>
  </si>
  <si>
    <t>filmore spritz sister mist tablet tizanidine hydrochloride mencegah membantu prose penyembuhan infeksi saluran kemih infeksi jamur keputihan</t>
  </si>
  <si>
    <t>DKL0610708246B1</t>
  </si>
  <si>
    <t>Opthil 0.25% Eye Drops 5 ml</t>
  </si>
  <si>
    <t>Rp29.500 - Rp29.900</t>
  </si>
  <si>
    <t>PENGGUNAAN OBAT INI HARUS SESUAI DENGAN PETUNJUK DOKTER. 2 x sehari 1 tetes, bila respon terapi tidak adekuat, dapat ditingkatkan dengan 2 x sehari 1 tetes OPTHIL 0.5%</t>
  </si>
  <si>
    <t>Menurunkan TIO (Tekanan Intra Okular/bola mata) pada Glaukoma Sudut-Terbuka &amp; Hipertensi okuler</t>
  </si>
  <si>
    <t>HARUS DENGAN RESEP DOKTER. Riwayat penyakit jantung berat. Hamil dan laktasi</t>
  </si>
  <si>
    <t>menurunkan tio tekanan intra okular bola mata glaukoma sudut - terbuka hipertensi okuler</t>
  </si>
  <si>
    <t>opthil eye</t>
  </si>
  <si>
    <t>opthil eye tetes timolol maleate menurunkan tio teka intra okular bola mata glaukoma sudut  terbuka hipertensi okuler</t>
  </si>
  <si>
    <t>DKL7822225638A1</t>
  </si>
  <si>
    <t>Erysanbe Dry Sirup 60 ml</t>
  </si>
  <si>
    <t>Rp36.700 - Rp42.900</t>
  </si>
  <si>
    <t>PENGGUNAAN OBAT INI HARUS SESUAI DENGAN PETUNJUK DOKTER. Dewasa &amp; anak lebih dari 20 kg: 4 x sehari 1 kaplet</t>
  </si>
  <si>
    <t>DTL1904134737A1</t>
  </si>
  <si>
    <t>OB Combi Antitussive Rasa Menthol 60 ml</t>
  </si>
  <si>
    <t>- DEXTROMETHORPHAN HYDROBROMIDE      . DIPHENHYDRAMINE HYDROCHLORIDE</t>
  </si>
  <si>
    <t>Rp17.500 - Rp19.800</t>
  </si>
  <si>
    <t>Anak 6-12 tahun: Sehari 3 x 5 ml Anak &gt;12 tahun dan Dewasa: Sehari 3 x 10 ml</t>
  </si>
  <si>
    <t>Untuk meringankan batuk tidak berdahak disertai alergi</t>
  </si>
  <si>
    <t>Pada wanita hamil dan menyusi, penderita hipersensitif terhadap salah satu bahan aktif, penderita glaukoma, asma bronkhial, kegagalan pernafasan sebaiknya tidak menggunakan obat ini</t>
  </si>
  <si>
    <t>Penggunaan harus hati-hati pada pasien peminum alkohol, atau obat-obatan penenang. Selama minum obat ini tidak boleh mengemudikan kendaraan bermotor atau menjalankan mesin. Tidak dianjurkan untuk batuk berdahak. Jika batuk tidak berkurang atau bertambah berat setelah 3 hari segera hubungi dokter. Tidak dianjurkan untuk anak-anak di bawah 6 tahun kecuali atas petunjuk dokter. Hati-hati bila digunakan pada penerita dengan gangguan fungsi hati. Hati-hati untuk penderita dalam keadaan mengantuk, debil dan hipoksia (kekurangan oksigen). Dapat menyebabkan depresi pernafasan dan susussan saraf pusat pada penggunaan dengan dosis besar atau pada pasien dengan gangguan fungsi pernafasan (misal, asma, emfisema)</t>
  </si>
  <si>
    <t>dextromethorphan hydrobromide       diphenhydramine hydrochloride</t>
  </si>
  <si>
    <t>untuk meringankan batuk tidak berdahak disertai alergi</t>
  </si>
  <si>
    <t>ob combi antitussive rasa menthol</t>
  </si>
  <si>
    <t>ob combi antitussive rasa menthol sirup dextromethorphan hydrobromide       diphenhydramine hydrochloride untuk meringankan batuk tidak berdahak disertai alergi</t>
  </si>
  <si>
    <t>TR182315011</t>
  </si>
  <si>
    <t>Merit Plus 30 Kapsul</t>
  </si>
  <si>
    <t>MERIT PLUS</t>
  </si>
  <si>
    <t>Rp23.200 - Rp44.700</t>
  </si>
  <si>
    <t>2 kali sehari @ 2 kapsul, pagi dan malam, 20 menit sebelum makan, maksimal 4 kapsul sehari.</t>
  </si>
  <si>
    <t>Meningkatkan pembakaran lemak tubuh, Mengurangi nafsu makan, Mengurangi penyerapan lemak dalam usus dan memperlancar buang air besar.</t>
  </si>
  <si>
    <t>Dos Isi 30 Kapsul</t>
  </si>
  <si>
    <t>Tidak dianjurkan untuk wanita hamil atau penderita diare. Untuk mendapatkan hasil yang maksimal, dianjurkan diet rendah lemak dan kalori disertai dengan olahraga teratur</t>
  </si>
  <si>
    <t>merit plus</t>
  </si>
  <si>
    <t>meningkatkan pembakaran lemak tubuh , mengurangi nafsu makan , mengurangi penyerapan lemak usus memperlancar buang air</t>
  </si>
  <si>
    <t>merit plus kapsul meningkatkan pembakaran lemak tubuh  mengurangi nafsu makan  mengurangi penyerapan lemak usus memperlancar buang air</t>
  </si>
  <si>
    <t>molexflu kaplet paracetamol phenylpropanolamine hydrochloride chlorphenamine maleate mengobati gejala flu demam  sakit kepala  hidung tersumbat  bersin  bersin</t>
  </si>
  <si>
    <t>DKL8805502917B1</t>
  </si>
  <si>
    <t>Lorinid Mite 10 Tablet</t>
  </si>
  <si>
    <t>Rp16.600 - Rp22.900</t>
  </si>
  <si>
    <t>Hipertensi esensial, Edema akibat CHF/Gagal Jantung Kongestif, Sirosis Hepatik disertai Asites.</t>
  </si>
  <si>
    <t>Sensitif terhadap tiazid, sulfonamid, amilorid. Hiperkalemia, terapi dengan diuretik hemat K lain dan suplemen K, anuria, gagal ginjal akut, anak.</t>
  </si>
  <si>
    <t>HARUS DENGAN RESEP DOKTER. Usia lanjut atau lemah, diabetes, asidosis respiratorik dan metabolik, gangguan ginjal dan hati, hamil dan laktasi.</t>
  </si>
  <si>
    <t>amiloride hydrochloride</t>
  </si>
  <si>
    <t>hipertensi esensial , edema akibat chf gagal jantung kongestif , sirosis hepatik disertai asites</t>
  </si>
  <si>
    <t>lorinid mite</t>
  </si>
  <si>
    <t>lorinid mite tablet amiloride hydrochloride hipertensi esensial  edema akibat chf gagal jantung kongestif  sirosis hepatik disertai asites</t>
  </si>
  <si>
    <t>DBL9927911133A1</t>
  </si>
  <si>
    <t>Triocid Suspensi 60 ml</t>
  </si>
  <si>
    <t>Rp7.200 - Rp17.000</t>
  </si>
  <si>
    <t>Obat diberikan 1 jam sebelum makan atau 2 jam sesudah makan dan menjelang tidur pada malam hari</t>
  </si>
  <si>
    <t>Anak 6-12 tahun : 1/2-1 sendok takar suspensi, 3-4 kali sehari. Dewasa : 1-2 sendok takar suspensi, 3-4 kali sehari</t>
  </si>
  <si>
    <t>Untuk menurunkan tingkat keasaman lambung yang berlebihan, menghilangkan flatulent/kembung dan sebagai terapi tambahan pada ulkus peptikum</t>
  </si>
  <si>
    <t>Alkohol, Dehidrasi, Penggunaan obat pencahar berbasis minyak mineral, Penyakit ginjal, Reaksi alergi, Hipersensitivitas</t>
  </si>
  <si>
    <t>untuk menurunkan tingkat keasaman lambung , menghilangkan flatulent kembung terapi tambahan ulkus peptikum</t>
  </si>
  <si>
    <t>triocid</t>
  </si>
  <si>
    <t>triocid suspensi aluminium hydroxide gel untuk menurunkan tingkat keasaman lambung  menghilangkan flatulent kembung terapi tambahan ulkus peptikum</t>
  </si>
  <si>
    <t>GKL1202345501A1</t>
  </si>
  <si>
    <t>Thiamphenicol 500 mg 10 Kapsul</t>
  </si>
  <si>
    <t>Rp15.000 - Rp23.000</t>
  </si>
  <si>
    <t>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t>
  </si>
  <si>
    <t>INFORMASI OBAT INI HANYA UNTUK KALANGAN MEDIS. Mengobati infeksi yang disebabkan Salmonella, H influenzae terutama infeksi meningeal, riketsia, bakteri gram negatif, penyebab bakteremia, dan meningitis</t>
  </si>
  <si>
    <t>Hipersensitivitas, depresi sumsum tulang atau diskrasia darah yang sudah ada sebelumnya, imunisasi aktif. Kehamilan dan laktasi.</t>
  </si>
  <si>
    <t>HARUS DENGAN RESEP DOKTER. Gangguan fungsi ginjal. Selama pengobatan dianjurkan untuk banyak minum (minimal 1,5 liter sehari) untuk mencegah kristaluria. Pada penggunaan jangka panjang sebaiknya dilakukan pemeriksaan darah secara periodik karena kemungkinan terjadi diskrasia darah (anemia aplastik, anemia hipoplastik, trombositopenia, dan granulositopenia). Kehamilan, menyusui. Kategori Kehamilan : C</t>
  </si>
  <si>
    <t>mengobati infeksi disebabkan salmonella , h influenzae infeksi meningeal , riketsia , bakteri gram negatif , penyebab bakteremia , meningitis</t>
  </si>
  <si>
    <t>thiamphenicol kapsul mengobati infeksi disebabkan salmonella  h influenzae infeksi meningeal  riketsia  bakteri gram negatif  penyebab bakteremia  meningitis</t>
  </si>
  <si>
    <t>GKL1940700401B1</t>
  </si>
  <si>
    <t>Cefadroxil 250 mg 10 Kapsul</t>
  </si>
  <si>
    <t>PENGGUNAAN OBAT INI HARUS SESUAI DENGAN PETUNJUK DOKTER. - Dewasa : 1-2 gr, 2 kali sehari - Infeksi saluran kemih tidak terkomplikasi : 1-2 gr perhari dibagi 1-2 dosis. - Infeksi saluran kemih terkomplikasi 2 gr, 1 kali hari. - Infeksi kulit : 1 gr perhari, terbagi menjadi 1-2 dosis selama 10 hari. - Infeksi saluran napas ringan: 1 gr perhari dalam 2 dosis. Berat: 1-2 gr perhari dalam 2 dosis.</t>
  </si>
  <si>
    <t>adalah antibiotik yang digunakan untuk mengobati infeksi saluran pernafasan, infeksi saluran kemih dan kelamin, serta infeksi kulit dan jaringan lunak</t>
  </si>
  <si>
    <t>HARUS DENGAN RESEP DOKTER. Fungsi hati dan ginjal yang rusak</t>
  </si>
  <si>
    <t>antibiotik mengobati infeksi saluran pernafasan , infeksi saluran kemih kelamin , infeksi kulit jaringan lunak</t>
  </si>
  <si>
    <t>cefadroxil kapsul cefadroxil monohydrate antibiotik mengobati infeksi saluran pernafasan  infeksi saluran kemih kelamin  infeksi kulit jaringan lunak</t>
  </si>
  <si>
    <t>GKL0319924701A1</t>
  </si>
  <si>
    <t>Lincomycin 500 mg 10 Kapsul</t>
  </si>
  <si>
    <t>Rp21.800 - Rp31.400</t>
  </si>
  <si>
    <t>PENGGUNAAN OBAT INI HARUS SESUAI DENGAN PETUNJUK DOKTER. Dewasa : infeksi berat : 3 kali sehari 500 mg. Infeksi lebih berat : 4 kali sehari 500 mg. Anak berusia lebih dari 1 bulan : 30-60 mg/kg berat badan/hari dalam 3-4 dosis terbagi.</t>
  </si>
  <si>
    <t>INFORMASI OBAT INI HANYA UNTUK KALANGAN MEDIS. Pengobatan infeksi Gram positif serius &amp; berat yang disebabkan oleh organisme yang rentan terhadap Linkomisin terutama Staphylococcus, Streptococcus, &amp; Pneumococcus</t>
  </si>
  <si>
    <t>Hipersensitif terhadap Lincomycin atau Clindamycin. Gangguan fungsi hati, ginjal, endokrin, dan metabolik. demam reamatik, bayi, pasien dengan terapi penghambat neuromuskular, infeksi berat, infeksi virus, menyusui.</t>
  </si>
  <si>
    <t>HARUS DENGAN RESEP DOKTER. Tidak digunakan untuk infeksi ringan maupun infeksi oleh virus. Riwayat asma dan alergi terhadap zat aktif. Penyakit GI terutama kolitis. Monitoring fungsi hati dan ginjal dan test darah dilakukan secara berkala selama terapi. Hamil dan menyusui. Kategori Kehamilan: C</t>
  </si>
  <si>
    <t>pengobatan infeksi gram positif serius berat disebabkan organisme rentan linkomisin staphylococcus , streptococcus , pneumococcus</t>
  </si>
  <si>
    <t>lincomycin</t>
  </si>
  <si>
    <t>lincomycin kapsul lincomycin hydrochloride pengobatan infeksi gram positif serius berat disebabkan organisme rentan linkomisin staphylococcus  streptococcus  pneumococcus</t>
  </si>
  <si>
    <t>DTL8528901004A1</t>
  </si>
  <si>
    <t>Calortusin 10 Kaplet</t>
  </si>
  <si>
    <t>Rp7.500 - Rp8.300</t>
  </si>
  <si>
    <t>Anak-anak usia 6-12 tahun: diminum 3 kali sehari, 1/2 kaplet. Dewasa: diminum 3 kali sehari, 1 kaplet.</t>
  </si>
  <si>
    <t>Untuk meringankan gejala flu seperti demam, sakit kepala, hidung tersumbat, dan bersin-bersin yang disertai batuk.</t>
  </si>
  <si>
    <t>Penderita hipertensi, hipertiroidisme, trombosis koroner, pasien yang mendapat pengobatan dengan penghambat monoamin oksidase, gangguan fungsi hati, glaukoma, diabetes, asma, gangguan jantung, dan gondok.</t>
  </si>
  <si>
    <t>Hati-hati pada pasien yang memiliki alergi atau hipersensitif terhadap salah satu atau beberapa komponen obat. Memiliki masalah pada jantung dan penyakit diabetes melitus. Memiliki gangguan fungsi hati yang berat. Memiliki tekanan darah tinggi berat, stroke, obesitas, dan Lansia. Sedang menjalani pengobatan dengan Monoamin Oksidase Inhibitor (MAO).</t>
  </si>
  <si>
    <t>untuk meringankan gejala flu demam , sakit kepala , hidung tersumbat , bersin - bersin disertai batuk</t>
  </si>
  <si>
    <t>calortusin</t>
  </si>
  <si>
    <t>calortusin kaplet chlorphenamine maleate untuk meringankan gejala flu demam  sakit kepala  hidung tersumbat  bersin  bersin disertai batuk</t>
  </si>
  <si>
    <t>polymyxin b sulfate gramicidin neomycin sulfate</t>
  </si>
  <si>
    <t>cendo polygran eye ointment salep polymyxin b sulfate gramicidin neomycin sulfate mengatasi penyakit mata disebabkan infeksi bakteri</t>
  </si>
  <si>
    <t>mediamer b tablet pyrathiazine theoclate pyridoxine hydrochloride muntah hamil  pasca operasi  gangguan saluran cerna  mual  mabuk kendaraan</t>
  </si>
  <si>
    <t>DKL0203808431A1</t>
  </si>
  <si>
    <t>Cendo Tobroson Salep Mata 3.5 g</t>
  </si>
  <si>
    <t>Rp69.700 - Rp69.800</t>
  </si>
  <si>
    <t>Oleskan pada sekitar mata</t>
  </si>
  <si>
    <t>CENDO TOBROSON EYE OINT merupakan obat untuk membantu mengobati infeksi pada mata karena bakteri yang disertai dengan peradangan.</t>
  </si>
  <si>
    <t>Dus, Tube @ 3,5 G</t>
  </si>
  <si>
    <t>HARUS DENGAN RESEP DOKTER. - herpes simpleks akut, vaksinia, varisela, infeksi tb pada mata, infeksi jamur, penyakit virus lain pada kornea &amp; konjungtiva</t>
  </si>
  <si>
    <t>cendo tobroson eye oint obat membantu mengobati infeksi mata bakteri disertai peradangan</t>
  </si>
  <si>
    <t>cendo tobroson mata</t>
  </si>
  <si>
    <t>cendo tobroson mata salep dexamethasone cendo tobroson eye oint obat membantu mengobati infeksi mata bakteri disertai peradangan</t>
  </si>
  <si>
    <t>DKL9131503510A1</t>
  </si>
  <si>
    <t>Renapepsa 20 mg 10 Tablet</t>
  </si>
  <si>
    <t>Rp52.200 - Rp55.600</t>
  </si>
  <si>
    <t>PENGGUNAAN OBAT INI HARUS SESUAI DENGAN PETUNJUK DOKTER. Ukus duodenum aktif Terapi akut: 1 tablet, 2 x sehari selama 4-8 minggu. Terapi pemeliharaan: 1 tablet, 1 x sehari sebelum tidur. Sindrom Zollinger-Ellison 1 tablet tiap 6 jam.</t>
  </si>
  <si>
    <t>Pengobatan jangka pendek &amp; pengobatan pemeliharaan ulkus duodenum aktif. Terapi keadaan hipersekretori patologis (Sindroma Zollinger-Ellison).</t>
  </si>
  <si>
    <t>Tablet 20 mg x 3 x 10</t>
  </si>
  <si>
    <t>Obat Wajib Apotek, Obat ini dapat dibeli dan diserahkan apoteker tanpa resep dengan maksimum 1 Strip. Pembelian melebihi batas ini WAJIB RESEP DOKTER. Gangguan fungsi ginjal berat &amp; hati.</t>
  </si>
  <si>
    <t>pengobatan jangka pendek pengobatan pemeliharaan ulkus duodenum aktif  terapi hipersekretori patologis sindroma zollinger - ellison</t>
  </si>
  <si>
    <t>renapepsa</t>
  </si>
  <si>
    <t>renapepsa tablet famotidine pengobatan jangka pendek pengobatan pemeliharaan ulkus duodenum aktif  terapi hipersekretori patologis sindroma zollinger  ellison</t>
  </si>
  <si>
    <t>DKL1019615138A1</t>
  </si>
  <si>
    <t>Recustein Dry Sirup 60 ml</t>
  </si>
  <si>
    <t>Rp58.200 - Rp71.200</t>
  </si>
  <si>
    <t>PENGGUNAAN OBAT INI HARUS SESUAI DENGAN PETUNJUK DOKTER. Dewasa dan anak &gt; 30 kg: 10 mL sirup, 2 kali sehari. Berat badan 20-30 kg: 5 mL sirup, 3 kali sehari. Berat badan 15-19 kg: 5 mL sirup, 2 kali sehari.</t>
  </si>
  <si>
    <t>INFORMASI OBAT INI HANYA UNTUK KALANGAN MEDIS. Digunakan sebagai mukolitik pada gangguan saluran nafas akut dan kronis khususnya pada eksaserbasi bronkitis kronik dan bronkitis asmatik dan asma bronkial.</t>
  </si>
  <si>
    <t>Tukak lambung Gangguan hati dan ginjal berat</t>
  </si>
  <si>
    <t>digunakan mukolitik gangguan saluran nafas akut kronis eksaserbasi bronkitis kronik bronkitis asmatik asma bronkial</t>
  </si>
  <si>
    <t>recustein sirup erdosteine digunakan mukolitik gangguan saluran nafas akut kronis eksaserbasi bronkitis kronik bronkitis asmatik asma bronkial</t>
  </si>
  <si>
    <t>thiamine hydrochloride pyridoxine hydrochloride metamizole sodium monohydrate cyanocobalamin</t>
  </si>
  <si>
    <t>hufralgin kaplet thiamine hydrochloride pyridoxine hydrochloride metamizole sodium monohydrate cyanocobalamin meringankan sakit disebabkan neuritis neuralgia  sakit berat</t>
  </si>
  <si>
    <t>DTL0319923833A1</t>
  </si>
  <si>
    <t>Antimo Anak Rasa Jeruk 5 ml 10 Sachet</t>
  </si>
  <si>
    <t>Rp8.700 - Rp15.000</t>
  </si>
  <si>
    <t>jam sebelum berpergian dan lebih baik setelah makan</t>
  </si>
  <si>
    <t>Hipersensitif, hipokalemia, penderita gangguan hati, retensi urin, glaukoma.</t>
  </si>
  <si>
    <t>antimo anak rasa jeruk</t>
  </si>
  <si>
    <t>antimo anak rasa jeruk suspensi dimenhydrinate mabuk  muntah perjala diderita kendaraan bermotor  kapal  kereta api pesawat udara</t>
  </si>
  <si>
    <t>DKL0328603328A1</t>
  </si>
  <si>
    <t>Benzolac CL Gel 10 g</t>
  </si>
  <si>
    <t>Rp36.400 - Rp48.400</t>
  </si>
  <si>
    <t>Oleskan tipis dan merata 1-2 kali sehari pada tempat berjerawat setelah wajah dibersihkan, jangan digunakan dengan cara mentotolkan. Hindari kontak dengan mata, mulut, membran mukosa lainnya</t>
  </si>
  <si>
    <t>PENGGUNAAN OBAT INI HARUS SESUAI DENGAN PETUNJUK DOKTER. Oleskan gel 2 x sehari pada jerawat</t>
  </si>
  <si>
    <t>INFORMASI OBAT INI HANYA UNTUK KALANGAN MEDIS. Digunakan secara topikal untuk mengatasi acne vulgaris papula-pustula yang berat. Tidak dibenarkan untuk digunakan pada acne ringan.</t>
  </si>
  <si>
    <t>jerawat ringan, hipersensitif, hamil, menyusui, anak &lt;12 th.</t>
  </si>
  <si>
    <t>HARUS DENGAN RESEP DOKTER. HANYA UNTUK PEMAKAIAN LUAR. Jangan terkena mata, mulut dan membran mukosa lain. Simpan di lemari pendingin pada suhu 2-8 C. Jangan dibekukan. Setelah dibuka, simpan pada suhu tidak lebih dari 25 C. Jangan gunakan produk lebih dari 2 bulan setelah dibuka.</t>
  </si>
  <si>
    <t>digunakan topikal mengatasi acne vulgaris papula - pustula berat  tidak dibenarkan acne ringan</t>
  </si>
  <si>
    <t>benzolac cl</t>
  </si>
  <si>
    <t>benzolac cl gel benzoyl peroxide digunakan topikal mengatasi acne vulgaris papula  pustula berat  tidak dibenarkan acne ringan</t>
  </si>
  <si>
    <t>Masker Maskit Reusable Multiprotection Mask Adult XL 1 Pieces</t>
  </si>
  <si>
    <t>Masker pelindung alat pernafasan dari polusi dan penyakit.</t>
  </si>
  <si>
    <t>masker pelindung alat pernafasan polusi penyakit</t>
  </si>
  <si>
    <t>masker maskit reusable multiprotection mask adult xl pieces</t>
  </si>
  <si>
    <t>masker maskit reusable multiprotection mask adult xl pieces tablet tizanidine hydrochloride masker pelindung alat pernafasan polusi penyakit</t>
  </si>
  <si>
    <t>DKL1008015438A1</t>
  </si>
  <si>
    <t>Zibramax 200mg/5 ml Dry Sirup 15 ml</t>
  </si>
  <si>
    <t>Rp140.000 - Rp153.800</t>
  </si>
  <si>
    <t>PENGGUNAAN OBAT INI HARUS SESUAI DENGAN PETUNJUK DOKTER. Pengobatan selama 3 hari : 1 kali per hari 10 mg/KgBB. Pengobatan selama 5 hari : 1 kali per hari, hari ke.1: 10 mg/KgBB, hari ke 2-4: 5 mg/KgBB. Maximal: 30 mg/KgBB.</t>
  </si>
  <si>
    <t>INFORMASI OBAT INI HANYA UNTUK KALANGAN MEDIS. Pengobatan infeksi ringan sampai sedang untuk saluran pernafasan bagian bawah, saluran pernafasan bagian atas, kulit dan struktur kulit, penyakit menular seksual.</t>
  </si>
  <si>
    <t>Dus, Botol plastik @ 15 ml</t>
  </si>
  <si>
    <t>HARUS DENGAN RESEP DOKTER. - Pasien dengan miastenia gravis, gangguan elektrolit terutama hipokalemia dan hipomagnesemia, bradikardia, aritmia jantung, insufisiensi jantung berat, pemanjangan QT bawaan atau terdokumentasi, riwayat torsades de pointes. - Ginjal berat dan gangguan hati. - Anak-anak. - Kehamilan dan menyusui. - Azitromisin tidak boleh diberikan jangka panjang untuk mencegah sindrom bronkiolitis obliterans pada pasien dengan kanker darah atau kelenjar getah bening yang menjalani transplantasi sel induk hematopoietik. Kategori Kehamilan : Kategori B: Mungkin dapat digunakan oleh wanita hamil. Penelitian pada hewan uji tidak memperlihatkan ada nya risiko terhadap janin, namun belum ada bukti penelitian langsung terhadap wanita hamil.</t>
  </si>
  <si>
    <t>pengobatan infeksi ringan saluran pernafasan , saluran pernafasan , kulit struktur kulit , penyakit menular seksual</t>
  </si>
  <si>
    <t>zibramax</t>
  </si>
  <si>
    <t>zibramax sirup azithromycin dihydrate pengobatan infeksi ringan saluran pernafasan  saluran pernafasan  kulit struktur kulit  penyakit menular seksual</t>
  </si>
  <si>
    <t>naphazoline hydrochloride pheniramine maleate</t>
  </si>
  <si>
    <t>flamergi eye tetes naphazoline hydrochloride pheniramine maleate menghilangkan kemerahan mata akibat iritasi penyumbatan kondisi2 alergi inflamasi mata</t>
  </si>
  <si>
    <t>diphenhydramine hydrochloride dextromethorphan hydrobromide phenylpropanolamine hydrochloride ammonium chloride</t>
  </si>
  <si>
    <t>pyridryl plus sirup diphenhydramine hydrochloride dextromethorphan hydrobromide phenylpropanolamine hydrochloride ammonium chloride batuk produktif batuk menyertai pilek alergi</t>
  </si>
  <si>
    <t>DKL0935306737A1</t>
  </si>
  <si>
    <t>Promuxol Sirup 60 ml</t>
  </si>
  <si>
    <t>Rp35.100 - Rp44.200</t>
  </si>
  <si>
    <t>Berikan sesudah makan. Dapat dicampur dengan jus buah, susu, atau air minum</t>
  </si>
  <si>
    <t>PENGGUNAAN OBAT INI HARUS SESUAI DENGAN PETUNJUK DOKTER. Anak 6-12 tahun : 2-3 kali sehari 5 mL. Anak 2-6 tahun : 3 kali sehari 2.5 mL. Anak &lt; 2 tahun : 2 kali sehari 2.5 mL</t>
  </si>
  <si>
    <t>Sekretolitik pada gangguan saluran napas akut dan khronik, terutama pada exaserbasi Bronkhitis Khronik, Bronkhitis Asmatik &amp; Asma Bronkhial</t>
  </si>
  <si>
    <t>Sirup 15 Mg/5 ml X 60 ml X 1</t>
  </si>
  <si>
    <t>HARUS DENGAN RESEP DOKTER. Hindari penggunaan jangka panjang. Insufisiensi ginjal. Hamil trimester 1</t>
  </si>
  <si>
    <t>sekretolitik gangguan saluran napa akut khronik , exaserbasi bronkhitis khronik , bronkhitis asmatik asma bronkhial</t>
  </si>
  <si>
    <t>promuxol</t>
  </si>
  <si>
    <t>promuxol sirup ambroxol hydrochloride sekretolitik gangguan saluran napa akut khronik  exaserbasi bronkhitis khronik  bronkhitis asmatik asma bronkhial</t>
  </si>
  <si>
    <t>Rp20.000 - Rp30.500</t>
  </si>
  <si>
    <t>bagus nina pantyliner anion natural scent pads tablet tizanidine hydrochloride pembalut keputihan keluarnya lendir berlebih organ kewanitaan</t>
  </si>
  <si>
    <t>Konicare Minyak Telon 30 ml</t>
  </si>
  <si>
    <t>Rp14.700 - Rp14.800</t>
  </si>
  <si>
    <t>Membantu meredakan perut kembung serta memberikan rasa hangat pada tubuh bayi dan membantu meredakan perut kembung.</t>
  </si>
  <si>
    <t>membantu meredakan perut kembung hangat tubuh bayi membantu meredakan perut kembung</t>
  </si>
  <si>
    <t>konicare telon minyak konicare minyak telon membantu meredakan perut kembung hangat tubuh bayi membantu meredakan perut kembung</t>
  </si>
  <si>
    <t>GKL0434003401A1</t>
  </si>
  <si>
    <t>m micropore plester roll x m kapsul chloramphenicol plester microphore surgery tape menempelkan perban  kasa  alat medis</t>
  </si>
  <si>
    <t>Konicare Minyak Telon 125 ml</t>
  </si>
  <si>
    <t>Rp36.500 - Rp61.600</t>
  </si>
  <si>
    <t>Dus, Botol Plastik @ 125 ml</t>
  </si>
  <si>
    <t>TR152585031</t>
  </si>
  <si>
    <t>Antangin Good Night 4 Tablet</t>
  </si>
  <si>
    <t>ANTANGIN GOOD NIGHT</t>
  </si>
  <si>
    <t>Rp6.000 - Rp6.400</t>
  </si>
  <si>
    <t>Sebelum tidur</t>
  </si>
  <si>
    <t>2-4 tablet per hari</t>
  </si>
  <si>
    <t>Untuk membantu meredakan gejala masuk angin dan menghangatkan badan serta membantu meringankan gangguan sulit tidur</t>
  </si>
  <si>
    <t>Dus, 20 Catch cover @ 4 Tablet</t>
  </si>
  <si>
    <t>Simpan di tempat kering, sejuk dan terhindar dari sinar matahari langsung. Simpan pada suhu 30 C.</t>
  </si>
  <si>
    <t>antangin good night</t>
  </si>
  <si>
    <t>untuk membantu meredakan gejala masuk angin menghangatkan badan membantu meringankan gangguan sulit tidur</t>
  </si>
  <si>
    <t>antangin good night tablet untuk membantu meredakan gejala masuk angin menghangatkan badan membantu meringankan gangguan sulit tidur</t>
  </si>
  <si>
    <t>DKL0317619729A1</t>
  </si>
  <si>
    <t>Moisderm 10% Cream 20 g</t>
  </si>
  <si>
    <t>Rp62.700 - Rp65.700</t>
  </si>
  <si>
    <t>Krim dioleskan pada area kulit yang berisik atau kering.</t>
  </si>
  <si>
    <t>PENGGUNAAN OBAT INI HARUS SESUAI DENGAN PETUNJUK DOKTER. Oleskan krim 2 kali sehari</t>
  </si>
  <si>
    <t>INFORMASI OBAT INI HANYA UNTUK KALANGAN MEDIS. Iktiosis (kulit bersisik) dan kondisi kulit kering lainnya. Hiperkeratosis atau kondisi kulit bersisik seperti Psoriasis atau Dermatitis Atopik.</t>
  </si>
  <si>
    <t>Dus, 1 Tube @ 20 g</t>
  </si>
  <si>
    <t>Gangguan fungsi ginjal yang sangat berat.</t>
  </si>
  <si>
    <t>Obat Wajib Apotek, Obat ini dapat dibeli dan diserahkan apoteker tanpa resep dengan maksimum 1 Tube. Pembelian melebihi batas ini WAJIB RESEP DOKTER. Hindari kontak dengan mata atau kulit terluka atau meradang, selaput mukosa, dan fisura.</t>
  </si>
  <si>
    <t>iktiosis kulit bersisik kondisi kulit kering  hiperkeratosis kondisi kulit bersisik psoriasis dermatitis atopik</t>
  </si>
  <si>
    <t>moisderm cream krim urea iktiosis kulit bersisik kondisi kulit kering  hiperkeratosis kondisi kulit bersisik psoriasis dermatitis atopik</t>
  </si>
  <si>
    <t>TR226026811</t>
  </si>
  <si>
    <t>Wybert Herbal Batuk Sirup Plus 60 ml</t>
  </si>
  <si>
    <t>WYBERT HERBAL BATUK PLUS</t>
  </si>
  <si>
    <t>Rp11.000 - Rp15.900</t>
  </si>
  <si>
    <t>Dewasa: 3 x sehari 1 sendok makan (15 ml) Anak usia 6-12 tahun: 3 x sehari 1 sendok teh (5 ml)</t>
  </si>
  <si>
    <t>Membantu meredakan batuk dan membantu meredakan gejala selesma seperti hidung tersumbat atau pilek dan sakit tenggorokan.</t>
  </si>
  <si>
    <t>wybert herbal batuk plus</t>
  </si>
  <si>
    <t>membantu meredakan batuk membantu meredakan gejala selesma hidung tersumbat pilek sakit tenggorokan</t>
  </si>
  <si>
    <t>wybert herbal batuk plus sirup membantu meredakan batuk membantu meredakan gejala selesma hidung tersumbat pilek sakit tenggorokan</t>
  </si>
  <si>
    <t>DKL9232000429A1</t>
  </si>
  <si>
    <t>Dermovate 0.05% Cream 5 g</t>
  </si>
  <si>
    <t>Rp63.000 - Rp72.400</t>
  </si>
  <si>
    <t>hipersensitif, acne vulgaris, pruritus tanpa peradangan, dermatitis perioral</t>
  </si>
  <si>
    <t>HARUS DENGAN RESEP DOKTER. Hati-hati penggunaan pada pasien dengan riwayat hipersensitif kortikosteroid. Penggunaan jangka panjang pada anak-anak dapat menyebabkan perubahan atrofi pada wajah. Hindari kontak langsung dengan mata Kategori Kehamilan : C</t>
  </si>
  <si>
    <t>dermovate cream</t>
  </si>
  <si>
    <t>dermovate cream krim clobetasol propionate pengobatan jangka pendek dermatosis resisten  psoriasis  eksim  liken planus  lupus eritematosus discoid</t>
  </si>
  <si>
    <t>DKL2021208514A1</t>
  </si>
  <si>
    <t>Telfast Plus 10 Tablet</t>
  </si>
  <si>
    <t>Dikonsumsi sebelum atau sesudah makan : telan utuh, jangan dikunyah.</t>
  </si>
  <si>
    <t>PENGGUNAAN OBAT INI HARUS SESUAI DENGAN PETUNJUK DOKTER. Dewasa dan anak usia minimal 12 tahun : 1 tablet sebanyak 2 kali sehari.</t>
  </si>
  <si>
    <t>INFORMASI OBAT INI HANYA UNTUK KALANGAN MEDIS. Meredakan gejala rhinitis alergi termasuk mata dan hidung berair, gatal-gatal, dan bersin.</t>
  </si>
  <si>
    <t>Dus, 10 Blister @ 10 Tablet Pelepasan Lambat</t>
  </si>
  <si>
    <t>Glaukoma sudut tertutup. Hipersensitif terhadap komponen obat.</t>
  </si>
  <si>
    <t>HARUS DENGAN RESEP DOKTER. Hati-hati penggunaannya pada pasien dengan riwayat penyakit hipertensi.</t>
  </si>
  <si>
    <t>fexofenadine hydrochloride pseudoephedrine hydrochloride</t>
  </si>
  <si>
    <t>meredakan gejala rhinitis alergi mata hidung berair , gatal - gatal , bersin</t>
  </si>
  <si>
    <t>telfast plus</t>
  </si>
  <si>
    <t>telfast plus tablet fexofenadine hydrochloride pseudoephedrine hydrochloride meredakan gejala rhinitis alergi mata hidung berair  gatal  gatal  bersin</t>
  </si>
  <si>
    <t>DKI1235600228A1</t>
  </si>
  <si>
    <t>OestroGel 80 g</t>
  </si>
  <si>
    <t>Rp387.200 - Rp425.900</t>
  </si>
  <si>
    <t>Oleskan pada pagi &amp; sore hari pada kulit yg bersih, di bagian perut, paha, lengan, atau lumbal (kecuali payudara).</t>
  </si>
  <si>
    <t>PENGGUNAAN OBAT INI HARUS SESUAI DENGAN PETUNJUK DOKTER. 1 takaran (2.5 g)/hari selama 24-28 hari/bulan dalam kombinasi dengan progestogen selama sekurang-kurangnya 12 hari dalam tiap siklus.</t>
  </si>
  <si>
    <t>Defisiensi estrogen &amp; gejala-gejala defisiensi estrogen terutama yang berhubungan dengan menopause. Untuk pencegahan osteoporosis pada pasca menopause.</t>
  </si>
  <si>
    <t>Gel 0.06 % X 80 G X 1 Tube</t>
  </si>
  <si>
    <t>estradiol hemihydrate</t>
  </si>
  <si>
    <t>defisiensi estrogen gejala - gejala defisiensi estrogen berhubungan menopause  untuk pencegahan osteoporosis pasca menopause</t>
  </si>
  <si>
    <t>oestrogel</t>
  </si>
  <si>
    <t>oestrogel gel estradiol hemihydrate defisiensi estrogen gejala  gejala defisiensi estrogen berhubungan menopause  untuk pencegahan osteoporosis pasca menopause</t>
  </si>
  <si>
    <t>benzocaine zinc oxide dried aluminium hydroxide gel</t>
  </si>
  <si>
    <t>superhoid suppositoria benzocaine zinc oxide dried aluminium hydroxide gel analgesik utk hemoroid interna eksterna  fisura ani  proktitis</t>
  </si>
  <si>
    <t>DBL0435300909A1</t>
  </si>
  <si>
    <t>Nerva Plus Kaplet</t>
  </si>
  <si>
    <t>Rp2.300 - Rp4.300</t>
  </si>
  <si>
    <t>Defisiensi vit.B1, B6, B12 &amp; Asam Folat</t>
  </si>
  <si>
    <t>Box Isi 5 Strip @ 10 Kaplet Salut</t>
  </si>
  <si>
    <t>folic acid cyanocobalamin pyridoxine hydrochloride thiamine nitrate</t>
  </si>
  <si>
    <t>defisiensi vit  b1 , b6 , b12 asam folat</t>
  </si>
  <si>
    <t>nerva plus</t>
  </si>
  <si>
    <t>nerva plus kaplet folic acid cyanocobalamin pyridoxine hydrochloride thiamine nitrate defisiensi vit  b1  b6  b12 asam folat</t>
  </si>
  <si>
    <t>TR163391681</t>
  </si>
  <si>
    <t>Albuforce 10 Kapsul</t>
  </si>
  <si>
    <t>ALBUFORCE</t>
  </si>
  <si>
    <t>Rp67.300 - Rp83.000</t>
  </si>
  <si>
    <t>3 x sehari 1-4 kapsul, Untuk menjaga kesehatan 1 x sehari 1 kapsul</t>
  </si>
  <si>
    <t>Untuk terapi hipoalbumin, suplemen alami untuk ibu hamil, anak-anak, dewasa, dan orang tua, mempercepat proses penyembuhan penyakit</t>
  </si>
  <si>
    <t>Pasien yang hipersensitif terhadap ikan</t>
  </si>
  <si>
    <t>albuforce</t>
  </si>
  <si>
    <t>untuk terapi hipoalbumin , suplemen alami hamil , anak - anak , dewasa , orang tua , mempercepat prose penyembuhan penyakit</t>
  </si>
  <si>
    <t>albuforce kapsul untuk terapi hipoalbumin  suplemen alami hamil  anak  anak  dewasa  orang tua  mempercepat prose penyembuhan penyakit</t>
  </si>
  <si>
    <t>DKL9505016038A1</t>
  </si>
  <si>
    <t>Dexyclav Dry Sirup 60 ml</t>
  </si>
  <si>
    <t>Rp64.700 - Rp79.700</t>
  </si>
  <si>
    <t>Infeksi sal nafas atas termasuk sinusitis, tonsilitis dan otitis media</t>
  </si>
  <si>
    <t>erphatrim forte kaplet sulfamethoxazole trimethoprim infeksi saluran kemih  infeksi gastro intestinal  saluran nafas  telinga hidung tenggorokan  toksoplasmosis</t>
  </si>
  <si>
    <t>DTL0710708730A1</t>
  </si>
  <si>
    <t>ZolaGel Diaper Salep 10 g</t>
  </si>
  <si>
    <t>Rp28.800 - Rp36.600</t>
  </si>
  <si>
    <t>Oleskan pada seluruh area kulit yang terinfeksi. Bersihkan dan keringkan kulit sebelumnya</t>
  </si>
  <si>
    <t>Pengobatan infeksi basah dan kering pada kulit bayi akibat kontak dengan urin dan tinja dalam waktu lama (ruam popok)</t>
  </si>
  <si>
    <t>Hindari kontak dengan luka terbuka dan mata</t>
  </si>
  <si>
    <t>pengobatan infeksi basah kering kulit bayi akibat kontak urin tinja ruam popok</t>
  </si>
  <si>
    <t>zolagel diaper</t>
  </si>
  <si>
    <t>zolagel diaper salep miconazole nitrate pengobatan infeksi basah kering kulit bayi akibat kontak urin tinja ruam popok</t>
  </si>
  <si>
    <t>DKL0409214504A1</t>
  </si>
  <si>
    <t>Histigo 6 mg 10 Kaplet</t>
  </si>
  <si>
    <t>Rp7.300 - Rp20.600</t>
  </si>
  <si>
    <t>PENGGUNAAN OBAT INI HARUS SESUAI DENGAN PETUNJUK DOKTER. Dewasa : 3 x sehari 1-2 kaplet</t>
  </si>
  <si>
    <t>INFORMASI OBAT INI HANYA UNTUK KALANGAN MEDIS. Vertigo perifer, pusing yang berhubungan dengan gangguan keseimbangan pada gangguan sirkulasi darah atau sindrom Meniere, penyakit Meniere.</t>
  </si>
  <si>
    <t>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</si>
  <si>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vertigo perifer , pusing berhubungan gangguan keseimbangan gangguan sirkulasi darah sindrom meniere , penyakit meniere</t>
  </si>
  <si>
    <t>histigo</t>
  </si>
  <si>
    <t>histigo kaplet betahistine mesilate vertigo perifer  pusing berhubungan gangguan keseimbangan gangguan sirkulasi darah sindrom meniere  penyakit meniere</t>
  </si>
  <si>
    <t>DKL0810808307B1</t>
  </si>
  <si>
    <t>Potaflam 50 mg 10 Kaplet</t>
  </si>
  <si>
    <t>Rp5.200 - Rp15.200</t>
  </si>
  <si>
    <t>Dus, !0 Strip @ 10 Kaplet</t>
  </si>
  <si>
    <t>potaflam</t>
  </si>
  <si>
    <t>potaflam kaplet diclofenac potassium meredakan nyeri mengurangi inflamasi pasien rematoid atritis akut kronis  nyeri tulang  spondilitis ankilosa</t>
  </si>
  <si>
    <t>tomaag kaplet simethicone magnesium hydroxide dried aluminium hydroxide gel mengurangi asam lambung  gastritis  tukak lambung  tukak duodenum</t>
  </si>
  <si>
    <t>Bejo Susu Jahe Merah 10 Sachet</t>
  </si>
  <si>
    <t>Rp16.500 - Rp21.200</t>
  </si>
  <si>
    <t>Membantu menghangatkan badan, mengurangi pegal-pegal, dan menjaga daya tahan tubuh.</t>
  </si>
  <si>
    <t>Box @ 10 Sachet</t>
  </si>
  <si>
    <t>membantu menghangatkan badan , mengurangi pegal - pegal , menjaga daya tahan tubuh</t>
  </si>
  <si>
    <t>bejo susu jahe merah</t>
  </si>
  <si>
    <t>bejo susu jahe merah sachet bejo sujamer membantu menghangatkan badan  mengurangi pegal  pegal  menjaga daya tahan tubuh</t>
  </si>
  <si>
    <t>whisper reguler flow wing pads tablet sildenafil citrate pembalut wanita aman kesehatan menstruasi nyaman beraktivitas bebas bocor</t>
  </si>
  <si>
    <t>whisper reg flow wing pads tablet sildenafil citrate pembalut wanita aman kesehatan menstruasi nyaman beraktivitas bebas bocor</t>
  </si>
  <si>
    <t>DKL9019808301B1</t>
  </si>
  <si>
    <t>Dalacin C 300 mg 10 Kapsul</t>
  </si>
  <si>
    <t>Kapsul 300 Mg X 30</t>
  </si>
  <si>
    <t>dalacin c</t>
  </si>
  <si>
    <t>dalacin c kapsul clindamycin hydrochloride infeksi gr  serius berat  disebabkan organisme peka strep  pneumokokus staph  bakteri anaerob</t>
  </si>
  <si>
    <t>DKL8504301638A1</t>
  </si>
  <si>
    <t>Corsatrocin Dry Sirup 60 ml</t>
  </si>
  <si>
    <t>Rp19.800 - Rp29.500</t>
  </si>
  <si>
    <t>PENGGUNAAN OBAT INI HARUS SESUAI DENGAN PETUNJUK DOKTER. Dewasa&amp;anak &gt; 20kg 1 kaps4x/hr, 1 kapl 2x/hr, 2 tab kunyah atau 10 ml 4x/hr. anak &lt; 20 kg 30-50 mg/kgBB/hr dlm 4 dosis terbagi.</t>
  </si>
  <si>
    <t>INFORMASI OBAT INI HANYA UNTUK KALANGAN MEDIS. Infeksi saluran nafas, kulit dan jaringan lunak, pneumonia, GO, infeksi karena kuman yang peka terhadap eritromisin</t>
  </si>
  <si>
    <t>Dus, Botol @ 60 ML</t>
  </si>
  <si>
    <t>erythromycin ethyl succinate</t>
  </si>
  <si>
    <t>infeksi saluran nafas , kulit jaringan lunak , pneumonia , go , infeksi kuman peka eritromisin</t>
  </si>
  <si>
    <t>corsatrocin</t>
  </si>
  <si>
    <t>corsatrocin sirup erythromycin ethyl succinate infeksi saluran nafas  kulit jaringan lunak  pneumonia  go  infeksi kuman peka eritromisin</t>
  </si>
  <si>
    <t>DKL9922228509A1</t>
  </si>
  <si>
    <t>Herclov 500 mg 10 Kaplet</t>
  </si>
  <si>
    <t>Rp220.100 - Rp220.200</t>
  </si>
  <si>
    <t>PENGGUNAAN OBAT INI HARUS SESUAI DENGAN PETUNJUK DOKTER. Dewasa herpes zoster : 3 kali sehari 2 kaplet selama 7 hari. Herpes simpleks : 2 kali sehari 1 kaplet. Lama terapi : herpes simples rekuren : 5 hari. Infeksi awal herpes simpleks : 10 hari</t>
  </si>
  <si>
    <t>INFORMASI OBAT INI HANYA UNTUK KALANGAN MEDIS. Terapi infeksi kulit, selaput mukosa termasuk herpes ginital awal dan rekuren yang di sebabkan herpes zoster dan herpes simpleks</t>
  </si>
  <si>
    <t>Dus, 5 Strip @ 10 Kaplet Salut selaput</t>
  </si>
  <si>
    <t>HARUS DENGAN RESEP DOKTER. Gangguan fungsi ginjal. Hamil, laktasi Kategori Kehamilan : B</t>
  </si>
  <si>
    <t>terapi infeksi kulit , selaput mukosa herpes ginital rekuren sebabkan herpes zoster herpes simpleks</t>
  </si>
  <si>
    <t>herclov</t>
  </si>
  <si>
    <t>herclov kaplet valaciclovir hydrochloride terapi infeksi kulit  selaput mukosa herpes ginital rekuren sebabkan herpes zoster herpes simpleks</t>
  </si>
  <si>
    <t>DKL0917624309A1</t>
  </si>
  <si>
    <t>Inclovir 500 mg 6 Kaplet</t>
  </si>
  <si>
    <t>Rp155.000 - Rp177.100</t>
  </si>
  <si>
    <t>PENGGUNAAN OBAT INI HARUS SESUAI DENGAN PETUNJUK DOKTER. Dewasa herpes zoster : 3 kali sehari 1000 mg selama 7 hari. Herpes simpleks : 2 kali sehari 500 mg. lama terapi : episode awal : 10 hari. Episode rekuren : 5 hari. Pasien dengan gangguan ginjal (bersihan kretinin 15 - 30 mL atau menit ) herpes zoster 2 kali sehari 1000 mg. herpes simpleks : tidak perlu menyesuaikan dosis. Bersihan kreatinin &lt; 15 mL atau menit herpes zoster : 1 kali sehari 1000 mg. Herpes simpleks : 1 kali sehari 500 mg</t>
  </si>
  <si>
    <t>Pengobatan infeksi virus herpes simpleks pada kulit dan membran mukosa, termasuk herpes genital awal dan rekuren</t>
  </si>
  <si>
    <t>DKL1021639517A1</t>
  </si>
  <si>
    <t>Becantex 100 mg 10 Tablet</t>
  </si>
  <si>
    <t>Rp27.200 - Rp42.700</t>
  </si>
  <si>
    <t>Sebelum atau sesudah makan, dan menjelang tidur malam</t>
  </si>
  <si>
    <t xml:space="preserve">Sakit maag, Tukak lambung (kombinasi dengan obat2 golongan 'proton-pump inhibitors'/antikolinergik/H2 antagonis) </t>
  </si>
  <si>
    <t>DTL0917624637A1</t>
  </si>
  <si>
    <t>Interzinc Sirup 60 ml</t>
  </si>
  <si>
    <t>Rp62.600 - Rp64.800</t>
  </si>
  <si>
    <t>Anak 6 bulan-5 tahun : 1 sendok takar (5 cc) perhari, Bayi 2-6 bulan : 0.5 sendok takar (2,5 cc) perhari, Semua dosis diberikan selama 10 hari berturut-turut walaupun diare sudah berhenti.</t>
  </si>
  <si>
    <t>Rehidrasi komplementer untuk pengganti cairan tubuh, mencegah dehidrasi pada anak, dapat digunakan bersamaan dengan larutan rehidrasi oral</t>
  </si>
  <si>
    <t>interzinc sirup zinc sulfate monohydrate rehidrasi komplementer pengganti cairan tubuh  mencegah dehidrasi anak  bersamaan larutan rehidrasi oral</t>
  </si>
  <si>
    <t>DTL9815611937A1</t>
  </si>
  <si>
    <t>Eflin Syrup 60 ml</t>
  </si>
  <si>
    <t>Rp13.900 - Rp25.400</t>
  </si>
  <si>
    <t>Dewasa &amp; anak &gt; 12 thn 1 tablet atau 2 sendok teh,6-12 tahun 1 sendok teh, 2-6 tahun 1/2 sendok teh. Diberikan 3 x perhari</t>
  </si>
  <si>
    <t>Meredakan gejala-gejala ggn sal napas atas spt rinitis alergi &amp; rinitis vasomotor, selesma, &amp; influenza.</t>
  </si>
  <si>
    <t>Diabetes, hipertensi, penyakit jantung, hipertiroid, peningkatan TIO, pembesaran prostat, gangguan ginjal atau hati. Pasien yang sedang menggunakan obat-obat antihipertensi, antidepresan trisiklik, atau obat simpatometik lain. Hentikan penggunaan obat ini jika terjadi insomnia, palpitasi, atau pusing. Dapat mengganggu kemampuan untuk mengemudi atau menjalankan mesin. Hamil &amp; laktasi. Anak &lt;2 thn.</t>
  </si>
  <si>
    <t>meredakan gejala - gejala ggn sal napa spt rinitis alergi rinitis vasomotor , selesma , influenza</t>
  </si>
  <si>
    <t>eflin</t>
  </si>
  <si>
    <t>eflin sirup pseudoephedrine hydrochloride meredakan gejala  gejala ggn sal napa spt rinitis alergi rinitis vasomotor  selesma  influenza</t>
  </si>
  <si>
    <t>DKL9505016510A1</t>
  </si>
  <si>
    <t>Mertigo 6 mg 10 Tablet</t>
  </si>
  <si>
    <t>Rp42.500 - Rp53.300</t>
  </si>
  <si>
    <t>PENGGUNAAN OBAT INI HARUS SESUAI DENGAN PETUNJUK DOKTER. Dewasa : 3 x sehari 1-2 tablet</t>
  </si>
  <si>
    <t>hipersensitif, memiliki pheochromocytoma, tumor langka kelenjar adrenal</t>
  </si>
  <si>
    <t>mertigo</t>
  </si>
  <si>
    <t>mertigo tablet betahistine mesilate vertigo perifer  pusing berhubungan gangguan keseimbangan gangguan sirkulasi darah sindrom meniere  penyakit meniere</t>
  </si>
  <si>
    <t>neo rheumacyl tablet paracetamol ibuprofen untuk meringankan nyeri berat otot sendi  pegal linu  nyeri haid nyeri pembedahan</t>
  </si>
  <si>
    <t>DKL7409222633A1</t>
  </si>
  <si>
    <t>Chlorexol Suspensi 60ml</t>
  </si>
  <si>
    <t>Rp10.000 - Rp14.700</t>
  </si>
  <si>
    <t>Berikan 1 jam sebelum atau 2 jam sesudah makan (pada saat perut kosong)</t>
  </si>
  <si>
    <t>PENGGUNAAN OBAT INI HARUS SESUAI DENGAN PETUNJUK DOKTER. Untuk Dewasa, anak dan bayi lebih dari 2 minggu 50 mg/kgBB/hari terbagi dalam 3-4 dosis. Bayi kurang dari 2 minggu dan prematur 25 mg/kgBB/hari terbagi dalam 4 dosis. Penyajian: Sebaiknya diberikan pada saat perut kosong.</t>
  </si>
  <si>
    <t>Infeksi yang disebabkan oleh Salmonella, H influenzae terutama infeksi meningeal, riketsia, bakteri Gram negativ penyebab bakteremia, meningitis.</t>
  </si>
  <si>
    <t>hipersesitif, hamil, menyusui, bayi baru lahir</t>
  </si>
  <si>
    <t>infeksi disebabkan salmonella , h influenzae infeksi meningeal , riketsia , bakteri gram negativ penyebab bakteremia , meningitis</t>
  </si>
  <si>
    <t>chlorexol</t>
  </si>
  <si>
    <t>chlorexol suspensi chloramphenicol infeksi disebabkan salmonella  h influenzae infeksi meningeal  riketsia  bakteri gram negativ penyebab bakteremia  meningitis</t>
  </si>
  <si>
    <t>cyanocobalamin thiamine mononitrate pyridoxine hydrochloride</t>
  </si>
  <si>
    <t>omeneuron tablet cyanocobalamin thiamine mononitrate pyridoxine hydrochloride berfungsi memacu membantu metabolisme syaraf non  aktif rusak anti anemia</t>
  </si>
  <si>
    <t>DTL1809224881A1</t>
  </si>
  <si>
    <t>Lecozinc 10 Tablet</t>
  </si>
  <si>
    <t>Rp3.000 - Rp12.200</t>
  </si>
  <si>
    <t>Dilarutkan pada 1 sendok air minum.</t>
  </si>
  <si>
    <t>Bayi 2-6 bulan : 1/2 tablet dispersibel (Zinc 10 mg) diberikan setiap hari selama 10 hari berturut-turut (walaupun diare sudah berhenti). Anak-anak 6 bulan - 5 tahun : 1 tablet dispersibel (Zinc 20 mg) sehari selama 10 hari berturut-turut (walaupun diare sudah berhenti).</t>
  </si>
  <si>
    <t>Pelengkap untuk pengobatan diare pada anak-anak di bawah 5 tahun dan diberikan bersama dengan Garam Rehidrasi Oral (ORS) atau larutan oralit.</t>
  </si>
  <si>
    <t>pelengkap pengobatan diare anak - anak 5 garam rehidrasi oral ors larutan oralit</t>
  </si>
  <si>
    <t>lecozinc tablet zinc sulfate monohydrate pelengkap pengobatan diare anak  anak 5 garam rehidrasi oral ors larutan oralit</t>
  </si>
  <si>
    <t>DTL9710704637A1</t>
  </si>
  <si>
    <t>Valved DM Sirup 60 ml</t>
  </si>
  <si>
    <t>Dws &amp; anak &gt; 12 thn 10 mL, 6-12 thn 5 mL, 2-5 thn 2.5 mL. Diberikan 3 x/hari.</t>
  </si>
  <si>
    <t>Terapi simptomatik gangguan saluran napas atas disertai batuk kering</t>
  </si>
  <si>
    <t>Hipertensi berat atau penyakit arteri koroner berat</t>
  </si>
  <si>
    <t>Hindari digunakan bersama dengan alkohol atau obat sedatif yang bekerja sentral.</t>
  </si>
  <si>
    <t>triprolidine hydrochloride pseudoephedrine hydrochloride dextromethorphan hydrobromide</t>
  </si>
  <si>
    <t>terapi simptomatik gangguan saluran napa disertai batuk kering</t>
  </si>
  <si>
    <t>valved dm</t>
  </si>
  <si>
    <t>valved dm sirup triprolidine hydrochloride pseudoephedrine hydrochloride dextromethorphan hydrobromide terapi simptomatik gangguan saluran napa disertai batuk kering</t>
  </si>
  <si>
    <t>Dermovate 0.05% Cream 10 g</t>
  </si>
  <si>
    <t>Rp100.600 - Rp121.700</t>
  </si>
  <si>
    <t>DKL9317608538B1</t>
  </si>
  <si>
    <t>Clabat Dry Sirup 60 ml</t>
  </si>
  <si>
    <t>Berikan bersama makan</t>
  </si>
  <si>
    <t>PENGGUNAAN OBAT INI HARUS SESUAI DENGAN PETUNJUK DOKTER. Dewasa dan anak &gt; 2 tahun : 1 kaplet clabat 250 3 kali sehari dapat ditingkatkan menjadi 1 kaplet clabat 500 3 kali sehari pada infeksi berat</t>
  </si>
  <si>
    <t>Infeksi sal nafas atas dan bawah, ISK, infeksi kulit dan jar lunak, tulang dan sendi. GO tidak terkomplikasi</t>
  </si>
  <si>
    <t>HARUS DENGAN RESEP DOKTER. Hipersensitif terhadap Sefalosporin</t>
  </si>
  <si>
    <t>amoxicillin sodium</t>
  </si>
  <si>
    <t>infeksi sal nafas , isk , infeksi kulit jar lunak , tulang sendi  go tidak terkomplikasi</t>
  </si>
  <si>
    <t>clabat</t>
  </si>
  <si>
    <t>clabat sirup amoxicillin sodium infeksi sal nafas  isk  infeksi kulit jar lunak  tulang sendi  go tidak terkomplikasi</t>
  </si>
  <si>
    <t>TR032326881</t>
  </si>
  <si>
    <t>Diapet NR 4 Kapsul</t>
  </si>
  <si>
    <t>DIAPET NR</t>
  </si>
  <si>
    <t>Rp3.500 - Rp4.600</t>
  </si>
  <si>
    <t>Dewasa dan anak-anak: 2 kali sehari 2 kapsul. Penyembuhan diare akut: 2 kali sehari 2 kapsul, dengan selang waktu 1 jam</t>
  </si>
  <si>
    <t>Membantu mengurangi frekuensi buang air besar dan membantu memadatkan tinja serta menyerap racun pada penderita diare serta bukan sebagai pengganti oralit</t>
  </si>
  <si>
    <t>Tidak dianjurkan untuk anak usia &lt; 5 tahun. Penderita sebaiknya mengkonsumsi larutan cairan elektrolit tubuh. Bila dalam 3 hari tidak kunjung sembuh, sebaiknya dikonsultasikan ke dokter. Mempengaruhi absorpsi obat lain sehingga dianjurkan interval waktu 2-3 jam antara pemberian oral obat lain dengan produk ini.</t>
  </si>
  <si>
    <t>diapet nr</t>
  </si>
  <si>
    <t>membantu mengurangi frekuensi buang air membantu memadatkan tinja menyerap racun penderita diare pengganti oralit</t>
  </si>
  <si>
    <t>diapet nr kapsul membantu mengurangi frekuensi buang air membantu memadatkan tinja menyerap racun penderita diare pengganti oralit</t>
  </si>
  <si>
    <t>DKL8922209615B1</t>
  </si>
  <si>
    <t>Flamar 50 mg 10 Tablet</t>
  </si>
  <si>
    <t>Rp23.200 - Rp28.100</t>
  </si>
  <si>
    <t>Sesudah makan. Telan utuh, jangan dikunyah/dihancurkan.</t>
  </si>
  <si>
    <t>flamar</t>
  </si>
  <si>
    <t>flamar tablet diclofenac sodium meredakan nyeri mengurangi inflamasi pasien rematoid atritis akut kronis  nyeri tulang  spondilitis ankilosa</t>
  </si>
  <si>
    <t>DKL9106602330A1</t>
  </si>
  <si>
    <t>Diprosalic Salep 5 g</t>
  </si>
  <si>
    <t>Rp89.700 - Rp90.700</t>
  </si>
  <si>
    <t>PENGGUNAAN OBAT INI HARUS SESUAI DENGAN PETUNJUK DOKTER. Oleskan 2 x sehari atau lebih jarang</t>
  </si>
  <si>
    <t>Gejala inflamasi pada Psoriasis dan Seborea pada kulit kepala, lesi Psoriasis dan Dermatosis lain yang responsif terhadap Kortikosteroid.</t>
  </si>
  <si>
    <t>HARUS DENGAN RESEP DOKTER. Hentikan terapi bila terjadi kulit kering berlebihan, iritasi atau sensitisasi. Hamil, laktasi, anak. Hindari kontak dengan mata dan membran mukosa</t>
  </si>
  <si>
    <t>salicylic acid betamethasone dipropionate</t>
  </si>
  <si>
    <t>gejala inflamasi psoriasis seborea kulit kepala , lesi psoriasis dermatosis responsif kortikosteroid</t>
  </si>
  <si>
    <t>diprosalic</t>
  </si>
  <si>
    <t>diprosalic salep salicylic acid betamethasone dipropionate gejala inflamasi psoriasis seborea kulit kepala  lesi psoriasis dermatosis responsif kortikosteroid</t>
  </si>
  <si>
    <t>DKL0922246629A1</t>
  </si>
  <si>
    <t>Dolones Cream 5 g</t>
  </si>
  <si>
    <t>Rp46.500 - Rp74.700</t>
  </si>
  <si>
    <t>Oleskan krim tebal pada kulit lalu tutup dengan kasa pembalut.</t>
  </si>
  <si>
    <t>PENGGUNAAN OBAT INI HARUS SESUAI DENGAN PETUNJUK DOKTER. Oleskan krim tebal pada kulit lalu tutup dengan kasa pembalut. Untuk jumlah dan lama pemberian tergantung dari kebutuhan.</t>
  </si>
  <si>
    <t>INFORMASI OBAT INI HANYA UNTUK KALANGAN MEDIS. Anestesi topikal dalam kaitan dengan penyuntikan, misalnya injeksi IV atau pengambilan sampel darah, prosedur bedah superfisial.</t>
  </si>
  <si>
    <t>Dus, 1 Tube @ 5 mg</t>
  </si>
  <si>
    <t>Methemoglobinemia kongenital atau idiopatik. Bayi prematur (kurang dari 37 minggu)</t>
  </si>
  <si>
    <t>HARUS DENGAN RESEP DOKTER. Penggunaan pada luka terbuka atau membran mukosa</t>
  </si>
  <si>
    <t>interzinc tablet zinc sulfate monohydrate rehidrasi komplementer pengganti cairan tubuh  mencegah dehidrasi anak  bersamaan larutan rehidrasi oral</t>
  </si>
  <si>
    <t>QI204665161</t>
  </si>
  <si>
    <t>Olbas for Children 12 ml</t>
  </si>
  <si>
    <t>Teteskan Olbas for Children pada tissue atau saputangan, kemudian dekatkan (tidak menyentuh) ke hidung anak dan di hirup uap alaminya. Atau dapat ditambahkan pada air hangat dan hirup uap alaminya.</t>
  </si>
  <si>
    <t>Anak usia 3 bulan hingga 1 tahun: atas petunjuk Dokter Anak usia 1-2 tahun : 4-8 tetes. Anak usia 2 tahun keatas: 8-12 tetes.</t>
  </si>
  <si>
    <t>Meredakan hidung tersumbat karena pilek, flu, radang selaput lendir, alergi serta melegakan pernapasan pada anak.</t>
  </si>
  <si>
    <t>Tidak diperbolehkan meneteskan Olbas for Children langsung ke hidung atau mulut anak.</t>
  </si>
  <si>
    <t>meredakan hidung tersumbat pilek , flu , radang selaput lendir , alergi melegakan pernapasan anak</t>
  </si>
  <si>
    <t>olbas for children</t>
  </si>
  <si>
    <t>olbas for children  cajuput oil meredakan hidung tersumbat pilek  flu  radang selaput lendir  alergi melegakan pernapasan anak</t>
  </si>
  <si>
    <t>DKL9321006204A1</t>
  </si>
  <si>
    <t>Duramycin 500 mg 10 Kapsul</t>
  </si>
  <si>
    <t>Rp28.000 - Rp43.200</t>
  </si>
  <si>
    <t>PENGGUNAAN OBAT INI HARUS SESUAI DENGAN PETUNJUK DOKTER. Dewasa &gt; 20 kg : 1 - 2g 4 kali sehari. Anak : 30 - 50 mg/kg BB/hari. Diberikan dalam dosis terbagi tiap 6 jam</t>
  </si>
  <si>
    <t>Infeksi saluran nafas, kulit dan jaringan lunak, pneumonia, GO, infeksi karena kuman yang peka terhadap eritromisin</t>
  </si>
  <si>
    <t>dus 10x10</t>
  </si>
  <si>
    <t>HARUS DENGAN RESEP DOKTER. Gangguan fungsi hati</t>
  </si>
  <si>
    <t>duramycin</t>
  </si>
  <si>
    <t>duramycin kaplet erythromycin ethyl succinate infeksi saluran nafas  kulit jaringan lunak  pneumonia  go  infeksi kuman peka eritromisin</t>
  </si>
  <si>
    <t>DKL9505016038B1</t>
  </si>
  <si>
    <t>Dexyclav Forte Dry Sirup 60 ml</t>
  </si>
  <si>
    <t>Rp81.400 - Rp110.300</t>
  </si>
  <si>
    <t>PENGGUNAAN OBAT INI HARUS SESUAI DENGAN PETUNJUK DOKTER. Dewasa : 250-500 mg tiap 8 jam Anak : 20 mg/kg BB/hari terbagi tiap 8 jam Infeksi berat : dosis ganda GO akut : 2-3 dosis tunggal</t>
  </si>
  <si>
    <t>ferrous fumarate folic acid</t>
  </si>
  <si>
    <t>tambah darah tablet ferrous fumarate folic acid membantu memenuhi kebutuhan zat besi asam folat tubuh  mengatasi anemia megaloblastik</t>
  </si>
  <si>
    <t>DTL1604525010A1</t>
  </si>
  <si>
    <t>Paratusin 10 Tablet</t>
  </si>
  <si>
    <t>Rp10.500 - Rp19.200</t>
  </si>
  <si>
    <t>Dewasa: 3 kali sehari 1 tablet. Anak (6 - 12 tahun) : 3 kali sehari 1/2 tablet.</t>
  </si>
  <si>
    <t>Obat ini digunakan untuk meringankan gejala-gejala flu seperti demam, sakit kepala, hidung tersumbat dan bersin-bersin yang disertai batuk.</t>
  </si>
  <si>
    <t>Dus, 20 Catch Cover @ 1 strip @ 10 tablet</t>
  </si>
  <si>
    <t>Penderita dengan gangguan fungsi hati berat. Wanita usia subur karena mempunyai efek mutagenik yang potensial. Penderita yang hipersensitif terhadap salah satu komponen obat ini. Penderita dengan gangguan jantung dan diabetes melitus.</t>
  </si>
  <si>
    <t>Peringatan : Awas, Obat Keras Bacalah Aturan Pakainya.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obat-obat lain yang menekan susunan syaraf pusat. Selama minum obat ini tidak boleh mengendarai kendaraan bermotor atau menjalankan mesin. Penggunaan pada penderita yang mengkonsumsi alkohol dapat meningkatkan resiko kerusakan fungsi hati.</t>
  </si>
  <si>
    <t>obat meringankan gejala - gejala flu demam , sakit kepala , hidung tersumbat bersin - bersin disertai batuk</t>
  </si>
  <si>
    <t>paratusin</t>
  </si>
  <si>
    <t>paratusin tablet chlorphenamine maleate obat meringankan gejala  gejala flu demam  sakit kepala  hidung tersumbat bersin  bersin disertai batuk</t>
  </si>
  <si>
    <t>Sensodyne Multiaction Toothbrush Soft 2 Pieces</t>
  </si>
  <si>
    <t>Rp19.300 - Rp46.600</t>
  </si>
  <si>
    <t>Sebagai sikat gigi khusus untuk penderita gigi sensitif dan memberikan pembersihan menyeluruh untuk gigi serta gusi</t>
  </si>
  <si>
    <t>sebagai sikat gigi khusus penderita gigi sensitif pembersihan gigi gusi</t>
  </si>
  <si>
    <t>sensodyne multiaction toothbrush soft pieces</t>
  </si>
  <si>
    <t>sensodyne multiaction toothbrush soft pieces tablet tizanidine hydrochloride sebagai sikat gigi khusus penderita gigi sensitif pembersihan gigi gusi</t>
  </si>
  <si>
    <t>QD142712801</t>
  </si>
  <si>
    <t>Rheumason Balsem Gosok Hijau 15 g</t>
  </si>
  <si>
    <t>Rp6.500 - Rp12.800</t>
  </si>
  <si>
    <t>Membantu meredakan gejala sakit pinggang, sakit otot dan gatal-gatal akibat digigit serangga</t>
  </si>
  <si>
    <t>Pot Plastik 15 Gram Balsem</t>
  </si>
  <si>
    <t>membantu meredakan gejala sakit pinggang , sakit otot gatal - gatal akibat digigit serangga</t>
  </si>
  <si>
    <t>rheumason balsem gosok hijau</t>
  </si>
  <si>
    <t>rheumason balsem gosok hijau balsam camphora membantu meredakan gejala sakit pinggang  sakit otot gatal  gatal akibat digigit serangga</t>
  </si>
  <si>
    <t>TR072668211</t>
  </si>
  <si>
    <t>Bejo Jahe Merah 6 Sachet</t>
  </si>
  <si>
    <t>BEJO HERBAL</t>
  </si>
  <si>
    <t>Rp19.800 - Rp22.000</t>
  </si>
  <si>
    <t>Membantu meredakan masuk angin, perut kembung, pegal-pegal, sakit kepala, mual dan meriang.</t>
  </si>
  <si>
    <t>Box @ 12 sachet</t>
  </si>
  <si>
    <t>bejo herbal</t>
  </si>
  <si>
    <t>membantu meredakan masuk angin , perut kembung , pegal - pegal , sakit kepala , mual meriang</t>
  </si>
  <si>
    <t>bejo jahe merah</t>
  </si>
  <si>
    <t>bejo jahe merah sachet bejo herbal membantu meredakan masuk angin  perut kembung  pegal  pegal  sakit kepala  mual meriang</t>
  </si>
  <si>
    <t>Bejo Jahe Merah 12 Sachet</t>
  </si>
  <si>
    <t>Rp33.900 - Rp38.000</t>
  </si>
  <si>
    <t>Cukup 1 sachet sekali minum, bisa langsung diminum atau diseduh dengan air hangat, 1 sachet 3-5 kali sehari sesudah makan. Untuk anak-anak : 1/2 dosis dewasa</t>
  </si>
  <si>
    <t>Pack @ 12 sachet</t>
  </si>
  <si>
    <t>DKL1022247510A1</t>
  </si>
  <si>
    <t>Gliabetes 30 mg 10 Tablet</t>
  </si>
  <si>
    <t>Rp79.300 - Rp127.800</t>
  </si>
  <si>
    <t>PENGGUNAAN OBAT INI HARUS SESUAI DENGAN PETUNJUK DOKTER. Monoterapi : 15 atau 30 mg sekali sehari, dapat ditingkatkan hingga dosis maksimal menjadi 45 mg sekali sehari. Kombinasi dengan Metformin atau Sulfonilurea : 15 atau 30 mg sekali sehari.</t>
  </si>
  <si>
    <t>INFORMASI OBAT INI HANYA UNTUK KALANGAN MEDIS. Sebagai terapi kombinasi dengan sulfonilurea atau metformin pada pasien Diabetes Melitus Tipe 2 yang tidak terkontrol dengan monoterapi sulfonilurea dan metformin.</t>
  </si>
  <si>
    <t>Obat ini dikontraindikasikan pada : - Pasien yang hipersensitif terhadap pioglitazone atau salah satu bahan yang terdapat dalam formula obat. - Gagal jantung atau pada pasien yang mempunyai riwayat gagal jantung (NYHA I sampai IV). - Gangguan hati. - Penderita kanker kandung kemih atau memiliki riwayat kanker kandung kemih. - Pioglitazone dikontraindikasikan untuk dikombinasi dengan insulin.</t>
  </si>
  <si>
    <t>HARUS DENGAN RESEP DOKTER. - Jika terjadi disfungsi menstruasi, pertimbangkan pemberian obat ini. - Tidak dianjurkan untuk Diabetes Melitus Tipe 1 atau ketoasidosis. - Pasien dianjurkan untuk mengontrol dengan ketat asupan kalori ke dalam tubuh. - Kehamilan dan laktasi. - Anak-anak usia dibawah 18 tahun. - Gangguan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</si>
  <si>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sebagai terapi kombinasi sulfonilurea metformin pasien diabetes melitus tipe 2 tidak terkontrol monoterapi sulfonilurea metformin</t>
  </si>
  <si>
    <t>gliabetes</t>
  </si>
  <si>
    <t>gliabetes tablet pioglitazone sebagai terapi kombinasi sulfonilurea metformin pasien diabetes melitus tipe 2 tidak terkontrol monoterapi sulfonilurea metformin</t>
  </si>
  <si>
    <t>DKL0018816637A1</t>
  </si>
  <si>
    <t>Mucera Sirup 60 ml</t>
  </si>
  <si>
    <t>Rp36.300 - Rp43.900</t>
  </si>
  <si>
    <t>PENGGUNAAN OBAT INI HARUS SESUAI DENGAN PETUNJUK DOKTER. Dewasa &amp; anak &gt; 12 tahun : 2 x sehari 1 sendok takar (10 ml). Anak 6-11 tahun : 2-3 x sehari 1 sendok takar (5 ml). Anak 2-5 tahun : 3 x sehari 1/2 sendok takar (2.5 ml). Anak &lt;2 tahun : 2 x sehari 1/2 sendok takar (2.5 ml)</t>
  </si>
  <si>
    <t>INFORMASI OBAT INI HANYA UNTUK KALANGAN MEDIS. Sebagai sekretolitik pada gangguan saluran nafas akut dan kronis khususnya pada eksaserbasi bronkitis kronis dan bronkitis asmatik dan asma bronkial.</t>
  </si>
  <si>
    <t>sebagai sekretolitik gangguan saluran nafas akut kronis eksaserbasi bronkitis kronis bronkitis asmatik asma bronkial</t>
  </si>
  <si>
    <t>mucera</t>
  </si>
  <si>
    <t>mucera sirup ambroxol hydrochloride sebagai sekretolitik gangguan saluran nafas akut kronis eksaserbasi bronkitis kronis bronkitis asmatik asma bronkial</t>
  </si>
  <si>
    <t>Vigel Gel 60 g</t>
  </si>
  <si>
    <t>Rp31.900 - Rp35.100</t>
  </si>
  <si>
    <t>gunakan pada saat behubungan intim</t>
  </si>
  <si>
    <t>Menyerupai pelembab alami, tidak berwarna dan tidak berbau, larut dalam air dan tidak berminyak, dapat digunakan sebagai pelicin pada ginekologigi dan pembedahan</t>
  </si>
  <si>
    <t>Tube @ 60 ml</t>
  </si>
  <si>
    <t>Hindari kontak dengan mata.Jika terjadi iritasi, hentikan penggunaan produk ini. Jika terjadi iritasi berkelanjutan, hubungi dokter.Jauhkan dari jangkauan anak-anak.</t>
  </si>
  <si>
    <t>menyerupai pelembab alami , tidak berwarna tidak berbau , larut air tidak berminyak , pelicin ginekologigi pembedahan</t>
  </si>
  <si>
    <t>vigel</t>
  </si>
  <si>
    <t>vigel tablet sildenafil citrate menyerupai pelembab alami  tidak berwarna tidak berbau  larut air tidak berminyak  pelicin ginekologigi pembedahan</t>
  </si>
  <si>
    <t>Durex K-Y Jelly Personal Lubricant 50 g</t>
  </si>
  <si>
    <t>Gunakan pelumas secukupnya pada daerah intim. Dapat digunakan untuk dalam dan di luar permukaan kondom. (Hanya cocok digunakan dengan kondom lateks).</t>
  </si>
  <si>
    <t>KY Jelly merupakan pelumas terbaik untuk pelumasan (pelicin) maksimal pada organ vital dan dubur.</t>
  </si>
  <si>
    <t>Tube 50 G</t>
  </si>
  <si>
    <t>ky jelly pelumas terbaik pelumasan pelicin maksimal organ vital dubur</t>
  </si>
  <si>
    <t>durex ky jelly personal lubricant tablet sildenafil citrate ky jelly pelumas terbaik pelumasan pelicin maksimal organ vital dubur</t>
  </si>
  <si>
    <t>Whisper Heavy Flow Overnight Wings 8 Pads</t>
  </si>
  <si>
    <t>Rp16.100 - Rp26.400</t>
  </si>
  <si>
    <t>Membuat tidur lebih nyaman saat haid, Menjaga kesehatan dan kebersihan pada daerah kewanitaan.</t>
  </si>
  <si>
    <t>membuat tidur nyaman haid , menjaga kesehatan kebersihan daerah kewanitaan</t>
  </si>
  <si>
    <t>whisper heavy flow overnight wings pads</t>
  </si>
  <si>
    <t>whisper heavy flow overnight wings pads tablet sildenafil citrate membuat tidur nyaman haid  menjaga kesehatan kebersihan daerah kewanitaan</t>
  </si>
  <si>
    <t>Sensitif Vivo Lube Bubble Gum Lubricant 60 g</t>
  </si>
  <si>
    <t>Tuangkan Vivo Bubble Gum Lube secukupnya pada jari tangan anda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</si>
  <si>
    <t>Sebagai pelumas tambahan pada saat berhubungan seksual dan pada kondisi organ kewanitaan yang kering.</t>
  </si>
  <si>
    <t>Tidak mengandung spermisid. Bukan alat kontrasepsi Hindari dari daerah mata dan telinga Bukan produk steril</t>
  </si>
  <si>
    <t>sebagai pelumas tambahan berhubungan seksual kondisi organ kewanitaan kering</t>
  </si>
  <si>
    <t>sensitif vivo lube bubble gum lubricant</t>
  </si>
  <si>
    <t>sensitif vivo lube bubble gum lubricant tablet sildenafil citrate sebagai pelumas tambahan berhubungan seksual kondisi organ kewanitaan kering</t>
  </si>
  <si>
    <t>FF152600631</t>
  </si>
  <si>
    <t>Stimuno Sirup Rasa Original 60 ml</t>
  </si>
  <si>
    <t>STIMUNO</t>
  </si>
  <si>
    <t>Rp30.600 - Rp39.700</t>
  </si>
  <si>
    <t>Anak-anak usia 1 tahun ke atas : 1-3 kali sehari 1 sendok takar (5 ml). Dewasa: 1-3 kali sehari 2 sendok takar (10 ml)</t>
  </si>
  <si>
    <t>Membantu merangsang tubuh memproduksi lebih banyak antibodi dan mengaktifkan sistem kesehatan tubuh agar daya tahan tubuh bekerja optimal</t>
  </si>
  <si>
    <t>Tidak boleh digunakan pada wanita hamil, pasien dengan hipersensitivitas tehadap Phyllanthus niruri dan pasien yang menderita penyakit autoimun.</t>
  </si>
  <si>
    <t>Tutup botol dengan rapat setelah dibuka. Simpan pada suhu 30 derajat C, terlindung dari cahaya.</t>
  </si>
  <si>
    <t>stimuno</t>
  </si>
  <si>
    <t>membantu merangsang tubuh memproduksi antibodi mengaktifkan sistem kesehatan tubuh daya tahan tubuh optimal</t>
  </si>
  <si>
    <t>stimuno rasa original</t>
  </si>
  <si>
    <t>stimuno rasa original sirup stimuno membantu merangsang tubuh memproduksi antibodi mengaktifkan sistem kesehatan tubuh daya tahan tubuh optimal</t>
  </si>
  <si>
    <t>DKL8618802117A1</t>
  </si>
  <si>
    <t>Rovadin 500 mg 10 Tablet</t>
  </si>
  <si>
    <t>Rp68.900 - Rp111.000</t>
  </si>
  <si>
    <t>PENGGUNAAN OBAT INI HARUS SESUAI DENGAN PETUNJUK DOKTER. Dewasa: Sehari 4 - 6 tablet, dibagi menjadi 2-3 dosis. Anak Anak: 4- 8 tablet sehari dibagi dalam 2 dosis.</t>
  </si>
  <si>
    <t>INFORMASI OBAT INI HANYA UNTUK KALANGAN MEDIS. Mengobati toksoplasmosis, cryptosporidiosis (infeksi sistem pencernaan yang disebabkan oleh parasit Cryptosporidium parvum), infeksi protozoa, infeksi bakteri yang rentan</t>
  </si>
  <si>
    <t>Dus, 10 Strip @ 10 tablet salut</t>
  </si>
  <si>
    <t>HARUS DENGAN RESEP DOKTER. Wanita hamil dan menyusui, gangguan fungsi hati dan ginjal, diabetes melitus asidosis.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</si>
  <si>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mengobati toksoplasmosis , cryptosporidiosis infeksi sistem pencernaan disebabkan parasit cryptosporidium parvum , infeksi protozoa , infeksi bakteri rentan</t>
  </si>
  <si>
    <t>rovadin</t>
  </si>
  <si>
    <t>rovadin tablet spiramycin mengobati toksoplasmosis  cryptosporidiosis infeksi sistem pencernaan disebabkan parasit cryptosporidium parvum  infeksi protozoa  infeksi bakteri rentan</t>
  </si>
  <si>
    <t>DKL9815612937A1</t>
  </si>
  <si>
    <t>Mucos Sirup 60 ml</t>
  </si>
  <si>
    <t>Rp15.000 - Rp26.000</t>
  </si>
  <si>
    <t>PENGGUNAAN OBAT INI HARUS SESUAI DENGAN PETUNJUK DOKTER. Dewasa &amp; anak &gt; 12 tahun : 2 x sehari 2 sendok takar (10 ml). Anak 6-11 tahun : 2-3 x sehari 1 sendok takar (5 ml). Anak 2-5 tahun : 3 x sehari 1/2 sendok takar (2.5 ml). Anak &lt;2 tahun : 2 x sehari 1/2 sendok takar (2.5 ml)</t>
  </si>
  <si>
    <t>mucos</t>
  </si>
  <si>
    <t>mucos sirup ambroxol hydrochloride sebagai sekretolitik gangguan saluran nafas akut kronis eksaserbasi bronkitis kronis bronkitis asmatik asma bronkial</t>
  </si>
  <si>
    <t>DBL9522216601A1</t>
  </si>
  <si>
    <t>Prenamia 4 Kapsul</t>
  </si>
  <si>
    <t>Rp5.800 - Rp6.800</t>
  </si>
  <si>
    <t>1 kapsul sehari.</t>
  </si>
  <si>
    <t>Suplemen vitamin &amp; mineral pada anemia seperti selama masa kehamilan &amp; menyusui</t>
  </si>
  <si>
    <t>Dos Isi 25 Strip X 0.16 Tablet</t>
  </si>
  <si>
    <t>Sindrom kelebihan zat besi , thalassemia (kelainan genetik dari sel darah merah)</t>
  </si>
  <si>
    <t>feses berwarna hitam</t>
  </si>
  <si>
    <t>ferrous fumarate calcium carbonate ascorbic acid folic acid cyanocobalamin colecalciferol</t>
  </si>
  <si>
    <t>suplemen vitamin mineral anemia kehamilan menyusui</t>
  </si>
  <si>
    <t>prenamia</t>
  </si>
  <si>
    <t>prenamia kapsul ferrous fumarate calcium carbonate ascorbic acid folic acid cyanocobalamin colecalciferol suplemen vitamin mineral anemia kehamilan menyusui</t>
  </si>
  <si>
    <t>DBL1840403117A1</t>
  </si>
  <si>
    <t>Vitropic Forte 10 Tablet</t>
  </si>
  <si>
    <t>Rp21.900 - Rp36.000</t>
  </si>
  <si>
    <t>Membantu mengatasi kekurangan vitamin B1 (thiamine mononitrate), vitamin B6, dan vitamin B12, seperti pada penderita penyakit beri-beri dan polyneuritis.</t>
  </si>
  <si>
    <t>membantu mengatasi kekurangan vitamin b1 thiamine mononitrate , vitamin b6 , vitamin b12 , penderita penyakit - polyneuritis</t>
  </si>
  <si>
    <t>vitropic forte</t>
  </si>
  <si>
    <t>vitropic forte tablet cyanocobalamin membantu mengatasi kekurangan vitamin b1 thiamine mononitrate  vitamin b6  vitamin b12  penderita penyakit  polyneuritis</t>
  </si>
  <si>
    <t>tremenza sirup pseudoephedrine hydrochloride triprolidine hydrochloride tremenza diindikasikan meringankan gejala  gejala flu alergi saluran pernafasan dekongestan nasal antihistamin</t>
  </si>
  <si>
    <t>whisper heavy flow overnight wings pads tablet tizanidine hydrochloride membuat tidur nyaman haid  menjaga kesehatan kebersihan daerah kewanitaan</t>
  </si>
  <si>
    <t>TR173602971</t>
  </si>
  <si>
    <t>Madu Syifa Kids Nafsu Makan 100 ml</t>
  </si>
  <si>
    <t>MADU SYIFA KIDS NAFSU MAKAN</t>
  </si>
  <si>
    <t>Untuk umur 1 tahun 3 tahun = 3 x sehari 1 sendok teh ( 5 ml) Untuk umur 3 tahun 5 tahun = 3 x sehari 2 sendok teh( 5 ml) Untuk umur &gt; 6 tahun = 3 x sehari 1 sendok makan(15 ml)</t>
  </si>
  <si>
    <t>Membantu nafsu makan pada anak, mengatasi masuk angin dan kembung, meningkatkan daya tahan tubuh</t>
  </si>
  <si>
    <t>Dus, botol 100 ml</t>
  </si>
  <si>
    <t>madu syifa kids nafsu makan</t>
  </si>
  <si>
    <t>membantu nafsu makan anak , mengatasi masuk angin kembung , meningkatkan daya tahan tubuh</t>
  </si>
  <si>
    <t>madu syifa kids nafsu makan madu membantu nafsu makan anak  mengatasi masuk angin kembung  meningkatkan daya tahan tubuh</t>
  </si>
  <si>
    <t>QL012700021</t>
  </si>
  <si>
    <t>Tiger Balm Red 20 g</t>
  </si>
  <si>
    <t>Digosokkan pada kulit yang sakit, beberapa kali sehari</t>
  </si>
  <si>
    <t>Untuk pegal-pegal, nyeri otot, sakit kepala juga untuk meredakan gatal akibat gigitan serangga</t>
  </si>
  <si>
    <t>Hanya untuk obat luar. Hindari kontak dengan mata, selaput lendir atau daerah-daerah tuubh lain yang halus, jangan sampai kena luka terbuka atau kulit yang rusak. Hanya digunakan sesuai petunjuk. Tidak digunakan untuk anak-anak usia dibawah 2 tahun.</t>
  </si>
  <si>
    <t>untuk pegal - pegal , nyeri otot , sakit kepala meredakan gatal akibat gigitan serangga</t>
  </si>
  <si>
    <t>tiger balm red</t>
  </si>
  <si>
    <t>tiger balm red balsam cajuput oil untuk pegal  pegal  nyeri otot  sakit kepala meredakan gatal akibat gigitan serangga</t>
  </si>
  <si>
    <t>DKL8918806437A1</t>
  </si>
  <si>
    <t>Rovadin Sirup 100 ml</t>
  </si>
  <si>
    <t>Rp50.200 - Rp71.200</t>
  </si>
  <si>
    <t>PENGGUNAAN OBAT INI HARUS SESUAI DENGAN PETUNJUK DOKTER. Anak -anak : 150.000-300.000 IU/kg BB/ hari, dibagi menjadi 2-3 dosis .</t>
  </si>
  <si>
    <t>INFORMASI OBAT INI HANYA UNTUK KALANGAN MEDIS. Mengobati toksoplasmosis, cryptosporidiosis (infeksi sistem pencernaan yang disebabkan oleh parasit Cryptosporidium parvum), infeksi protozoa, infeksi bakteri yang rentan.</t>
  </si>
  <si>
    <t>Dus, Botol 100 ml</t>
  </si>
  <si>
    <t>HARUS DENGAN RESEP DOKTER. Riwayat gangguan hati, ibu menyusui dan hamil.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</si>
  <si>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rovadin sirup spiramycin mengobati toksoplasmosis  cryptosporidiosis infeksi sistem pencernaan disebabkan parasit cryptosporidium parvum  infeksi protozoa  infeksi bakteri rentan</t>
  </si>
  <si>
    <t>QD183716821</t>
  </si>
  <si>
    <t>Tjing Tjau Balsam 20 g</t>
  </si>
  <si>
    <t>Rp12.600 - Rp22.500</t>
  </si>
  <si>
    <t>Dioleskan atau digosokan secukupnya pada bagian yang sakit dan nyeri, simpan ditempat yang sejuk terlindung dari sinar matahari</t>
  </si>
  <si>
    <t>Sebagai obat gosok untuk meredakan sakit kepala, mual, nyeri otot, gatal-gatal karena gigit serangga</t>
  </si>
  <si>
    <t>Tidak digunakan dibawah lubang hidung, bawah mata, luka terbuka dan jangan digunkan untuk anak-anak</t>
  </si>
  <si>
    <t>sebagai obat gosok meredakan sakit kepala , mual , nyeri otot , gatal - gatal gigit serangga</t>
  </si>
  <si>
    <t>tjing tjau balsam</t>
  </si>
  <si>
    <t>tjing tjau balsam balsam camphora sebagai obat gosok meredakan sakit kepala  mual  nyeri otot  gatal  gatal gigit serangga</t>
  </si>
  <si>
    <t>TR132670861E</t>
  </si>
  <si>
    <t>Cap Lang Minyak Telon Plus 150 ml</t>
  </si>
  <si>
    <t>TELON LANG PLUS</t>
  </si>
  <si>
    <t>Rp35.700 - Rp79.700</t>
  </si>
  <si>
    <t>Botol @150ml</t>
  </si>
  <si>
    <t>telon lang plus</t>
  </si>
  <si>
    <t>cap lang telon plus</t>
  </si>
  <si>
    <t>cap lang telon plus minyak telon lang plus menjaga kehangatan tubuh bayi  meredakan perut kembung  mencegah gigitan nyamuk</t>
  </si>
  <si>
    <t>DKI0054200210D1</t>
  </si>
  <si>
    <t>Provera 100 mg 10 Tablet</t>
  </si>
  <si>
    <t>Rp210.500 - Rp225.300</t>
  </si>
  <si>
    <t>Berikan bersama makanan. Insidens gangguan minor pada pecernaan dapat meningkatkan seiring dengan penambahan dosis. Bila perlu, berikan bersama makanan</t>
  </si>
  <si>
    <t>PENGGUNAAN OBAT INI HARUS SESUAI DENGAN PETUNJUK DOKTER. Amenore sekunder : 2.5 - 10 mg/hari selama 5 - 10 hari. Perdarahan uterus disfungsional yang disebsbkan karena gangguan keseimbangan hormonal pada kelainan fibroid ataupun kanker rahim : 2.5 - 10 mg/hari selama 5 - 10 hari. Dimulai pada hari ke-16 atau 21 pada siklus menstruasi. terapi diberikan selama 2 siklus berturut-turut dan kemudian dihentikan untuk melihat adanya kemajuan terapi. perdarahan kembali terjadi antara hari ke-3 sampai dengan ke-7 setelah dihentikannya terapi. Endometriosis : 3 kali sehari 10 mg selama 90 hari iyang dimulai dalam siklus menstruasi</t>
  </si>
  <si>
    <t>Amenore sekunder, perdarahan uterus disfungsional yang disebabkan karena gangguan keseimbangan hormonal pada kelainan fibroid ataupun kanker rahim, endometriosis</t>
  </si>
  <si>
    <t>Tablet 100 Mg X 100</t>
  </si>
  <si>
    <t>Tromboflebitis, tromboembolik, apopleksi serebal</t>
  </si>
  <si>
    <t>Nexcare Micropore Plester Roll 1/2 Inch x 5 m</t>
  </si>
  <si>
    <t>Rp14.300 - Rp17.200</t>
  </si>
  <si>
    <t>nexcare micropore plester roll inch x m larutan povidoneiodine plester microphore surgery tape menempelkan perban  kasa  alat medis</t>
  </si>
  <si>
    <t>TR172502861</t>
  </si>
  <si>
    <t>Herbana Balance Madia Cool Down 10 Kaplet</t>
  </si>
  <si>
    <t>BALANCE MADIA COOL DOWN</t>
  </si>
  <si>
    <t>Rp35.600 - Rp36.300</t>
  </si>
  <si>
    <t>1 kaplet, 3x sehari untuk meredakan sembelit dan meredakan gejala panas dalam seperti tenggorokan kering dan sariawan</t>
  </si>
  <si>
    <t>Menghilangkan sembelit dan meredakan gejala panas dalam seperti tenggorokan kering dan sariawan</t>
  </si>
  <si>
    <t>Dus, 1 strip @10 kaplet</t>
  </si>
  <si>
    <t>balance madia cool down</t>
  </si>
  <si>
    <t>menghilangkan sembelit meredakan gejala panas tenggorokan kering sariawan</t>
  </si>
  <si>
    <t>herbana balance madia cool down</t>
  </si>
  <si>
    <t>herbana balance madia cool down kaplet balance madia cool down menghilangkan sembelit meredakan gejala panas tenggorokan kering sariawan</t>
  </si>
  <si>
    <t>TR123663651</t>
  </si>
  <si>
    <t>Bio Hsa Drops 15 ml</t>
  </si>
  <si>
    <t>BIO HSA PREMIUM</t>
  </si>
  <si>
    <t>Rp195.000 - Rp236.600</t>
  </si>
  <si>
    <t>sebelum / sesudah makan</t>
  </si>
  <si>
    <t>Menjaga kesehatan 3 tetes 1 kali sehari, pemulihan 3 tetes 2 kali sehari, penyakit kronis 3 tetes 3 x sehari</t>
  </si>
  <si>
    <t>untuk memenuhi kebutuhan gizi dalam tubuh untuk meningkatkan metabolisme, penyerapan makanan, mengatasi gangguan pencernaan, dan pemulihan</t>
  </si>
  <si>
    <t>bio hsa premium</t>
  </si>
  <si>
    <t>memenuhi kebutuhan gizi tubuh meningkatkan metabolisme , penyerapan makanan , mengatasi gangguan pencernaan , pemulihan</t>
  </si>
  <si>
    <t>bio hsa</t>
  </si>
  <si>
    <t>bio hsa tetes bio hsa premium memenuhi kebutuhan gizi tubuh meningkatkan metabolisme  penyerapan maka  mengatasi gangguan pencernaan  pemulihan</t>
  </si>
  <si>
    <t>DKL9832703509A1</t>
  </si>
  <si>
    <t>Rindoflox 500 mg 10 Kaplet</t>
  </si>
  <si>
    <t>Dapat diberikan bersama atau tanpa makanan : Dpt diberikan bersama makanan utk mengurangi rasa tdk nyaman pd GI. Jangan diberikan bersama antasida, Fe, atau produk susu. Berikan dg air minum yg banyak.</t>
  </si>
  <si>
    <t>PENGGUNAAN OBAT INI HARUS SESUAI DENGAN PETUNJUK DOKTER. Dws ISK Ringan/sedang: 250 mg 2 x/hr. Berat: 500 mg 2 x/hr. Infeksi sal napas, tulang, sendi, kulit &amp; jar lunak Ringan/sedang: 500 mg 2 x/hr. Berat: 750 mg 2 x/hr. Infeksi GI 500 mg 2 x/hr. GO akut 250 mg sebagai dosis tunggal. Osteomielitis akut Dosis tdk boleh kurang dr 750 mg 2 x/hr. Infeksi akut Lama terapi: 5-10 hr. Terapi hrs dilanjutkan s/d sekurang-kurangnya 2 hr ssdh gejala klinis berkurang atau hilang.</t>
  </si>
  <si>
    <t>Infeksi saluran napas bawah, kulit &amp; jar lunak, tulang &amp; sendi, saluran kemih, GI. Uretritis &amp; servisitis</t>
  </si>
  <si>
    <t>DKL0532400701A1</t>
  </si>
  <si>
    <t>Roksicap 500 mg 10 Kapsul</t>
  </si>
  <si>
    <t>Rp132.300 - Rp151.900</t>
  </si>
  <si>
    <t>Berikan bersama makanan.</t>
  </si>
  <si>
    <t>PENGGUNAAN OBAT INI HARUS SESUAI DENGAN PETUNJUK DOKTER. Dewasa : 1 - 2 g/hari tiap 12 jam atau dosis tunggal. ISK tanpa komplikasi (sistitis) : 1 - 2 g/hari dosis tunggal atau terbagi 2 dosis. ISK lain : 2 g/hari terbagi 2 dosis. Infeksi kulit dan jar lunak : 1 g/hari dosis tunggal atau terbagi 2 dosis. Infeksi sal nafas bawah dan atas : 1 g/hari terbagi 2 dosis, sedang samapai dengan berat : 1 - 2 g/hari terbagi 2 dosis (500 mg - 1 g tiap 12 jam). Faringitis dan tonsilitis karena streptokokus ? hemolitikus : 1 g/hari terbagi 2 dosis selama 10 hari. Anak ? 6 tahun : 500 mg 2 kali sehari, 1 - 6 tahun : 250 mg 2 kali sehari. Bayi &lt; 1 tahun : 25 mg/kg BB/hari dalam 2 dosis terbagi.</t>
  </si>
  <si>
    <t>ISK tanpa komplikasi (sistitis), infeksi kulit dan jar lunak, infeksi sal nafas bawah dan atas, faringitis dan tonsilitis karena streptokokus, hemolitikus</t>
  </si>
  <si>
    <t>Hipersensitif terhadap sefalosporin.</t>
  </si>
  <si>
    <t>HARUS DENGAN RESEP DOKTER. Hipersensitif terhadap penisilin. Gangguan fungsi ginjal, kolitis. Hindari pemakaian jangka panjang. Menyebabkan reaksi positif palsu pada tes Coombs dan pemeriksaan glukosa urin yang menggunakan larutan Fehling atau Benedict. Hamil dan bayi prematur.</t>
  </si>
  <si>
    <t>isk komplikasi sistitis , infeksi kulit jar lunak , infeksi sal nafas , faringitis tonsilitis streptokokus , hemolitikus</t>
  </si>
  <si>
    <t>roksicap</t>
  </si>
  <si>
    <t>roksicap kapsul cefadroxil monohydrate isk komplikasi sistitis  infeksi kulit jar lunak  infeksi sal nafas  faringitis tonsilitis streptokokus  hemolitikus</t>
  </si>
  <si>
    <t>TR083391941</t>
  </si>
  <si>
    <t>Yung San 12 Kapsul</t>
  </si>
  <si>
    <t>YUNG SAN (JERAWAT)</t>
  </si>
  <si>
    <t>Rp10.000 - Rp34.400</t>
  </si>
  <si>
    <t>3 kali sehari 2 kapsul. Untuk pencegahan dan perawatan kulit minumlah 2 kali sehari tiap minum 2 kapsul.</t>
  </si>
  <si>
    <t>Membantu melembutkan kulit, membantu mengurangi jerawat, bisul dan gatal. Membantu memperbaiki peredarah darah</t>
  </si>
  <si>
    <t>Botol @ 12 Kapsul</t>
  </si>
  <si>
    <t>yung san (jerawat)</t>
  </si>
  <si>
    <t>membantu melembutkan kulit , membantu mengurangi jerawat , bisul gatal  membantu memperbaiki peredarah darah</t>
  </si>
  <si>
    <t>yung san</t>
  </si>
  <si>
    <t>yung san kapsul yung san jerawat membantu melembutkan kulit  membantu mengurangi jerawat  bisul gatal  membantu memperbaiki peredarah darah</t>
  </si>
  <si>
    <t>DKL0932403038A1</t>
  </si>
  <si>
    <t>Roksicap Dry Sirup 60 ml</t>
  </si>
  <si>
    <t>Rp55.000 - Rp62.400</t>
  </si>
  <si>
    <t>PENGGUNAAN OBAT INI HARUS SESUAI DENGAN PETUNJUK DOKTER. Anak dg BB 4.5-9.1 kg 2.5 mL 2 x/hr, 9.1-13.6 kg 5 mL 2 x/hr, 13.6-18.2 kg 7.5 mL 2 x/hr, 18.2-22.7 kg 10 mL 2 x/hr, 22.7-27.3 kg 12.5 mL 2 x/hr.</t>
  </si>
  <si>
    <t>roksicap sirup cefadroxil monohydrate isk komplikasi sistitis  infeksi kulit jar lunak  infeksi sal nafas  faringitis tonsilitis streptokokus  hemolitikus</t>
  </si>
  <si>
    <t>TR173399241</t>
  </si>
  <si>
    <t>Sauda Garlic Oil Gold 200 Kapsul</t>
  </si>
  <si>
    <t>SAUDA GARLIC OIL</t>
  </si>
  <si>
    <t>Rp72.900 - Rp132.000</t>
  </si>
  <si>
    <t>Dapat membantu menormalkan tekanan darah tinggi, menurunkann kolesterol, mencegah dan mengobati stroke</t>
  </si>
  <si>
    <t>Botol @ 200 kapsul</t>
  </si>
  <si>
    <t>Tidak dianjurkan untuk penderita darah rendah</t>
  </si>
  <si>
    <t>sauda garlic oil</t>
  </si>
  <si>
    <t>dapat membantu menormalkan tekanan darah , menurunkann kolesterol , mencegah mengobati stroke</t>
  </si>
  <si>
    <t>sauda garlic oil gold</t>
  </si>
  <si>
    <t>sauda garlic oil gold kapsul sauda garlic oil dapat membantu menormalkan teka darah  menurunkann kolesterol  mencegah mengobati stroke</t>
  </si>
  <si>
    <t>DKL9222211837A1</t>
  </si>
  <si>
    <t>Epexol Sirup 120 ml</t>
  </si>
  <si>
    <t>Rp23.000 - Rp27.900</t>
  </si>
  <si>
    <t>epexol</t>
  </si>
  <si>
    <t>epexol sirup ambroxol hydrochloride sebagai sekretolitik gangguan saluran nafas akut kronis eksaserbasi bronkitis kronis bronkitis asmatik asma bronkial</t>
  </si>
  <si>
    <t>Ialuset Plus Cream 100 g</t>
  </si>
  <si>
    <t>Rp189.000 - Rp236.600</t>
  </si>
  <si>
    <t>Direkomendasikan untuk membersihkan luka terlebih dahulu setiap sebelum mengoleskan salep. Oleskan sekali sehari hingga luka sembuh</t>
  </si>
  <si>
    <t>PENGGUNAAN OBAT INI HARUS SESUAI DENGAN PETUNJUK DOKTER. Oleskan langsung pada luka sehingga terbentuk lapisan setebal 2-3 mm atau bisa juga dioleskan di kassa steril yang kemudian diletakkan di tempat luka.</t>
  </si>
  <si>
    <t>Luka &amp; luka bakar yang terinfeksi</t>
  </si>
  <si>
    <t>DKL9222211710A1</t>
  </si>
  <si>
    <t>Epexol 30 mg 10 Tablet</t>
  </si>
  <si>
    <t>Rp11.100 - Rp13.500</t>
  </si>
  <si>
    <t>PENGGUNAAN OBAT INI HARUS SESUAI DENGAN PETUNJUK DOKTER. Dewasa dan anak &gt;12 tahun: 30 mg, 2-3 kali sehari. Dapat ditingkatkan hingga 60 mg. Max. 120 mg per hari.</t>
  </si>
  <si>
    <t>epexol tablet ambroxol hydrochloride sebagai sekretolitik gangguan saluran nafas akut kronis eksaserbasi bronkitis kronis bronkitis asmatik asma bronkial</t>
  </si>
  <si>
    <t>DKL0305033810B1</t>
  </si>
  <si>
    <t>Hyperil 2.5 mg 6 Tablet</t>
  </si>
  <si>
    <t>Rp30.000 - Rp42.800</t>
  </si>
  <si>
    <t>PENGGUNAAN OBAT INI HARUS SESUAI DENGAN PETUNJUK DOKTER. HTN/Hipertensi yang belum pernah diterapi dengan Diuretik: Diawali 1 x sehari 1 tablet, dosis ditingkatkan dengan interval 1-2 minggu, dosis disesuaikan dengan tekanan darah. Pemeliharaa</t>
  </si>
  <si>
    <t>INFORMASI OBAT INI HANYA UNTUK KALANGAN MEDIS. Hipertensi (tunggal atau kombinasi dengan diuretik), Gagal Jantung Kongestif, paska Infark Miokard pada pasien dengan bukti klinis gagal jantung.</t>
  </si>
  <si>
    <t>Box Isi 10 Strip @ 6 Tablet</t>
  </si>
  <si>
    <t>HARUS DENGAN RESEP DOKTER. Anak, laktasi, kerusakan fungsi hati, gagal jantung kongestif berat dengan fungsi ginjal terganggu, pasien dialisis, pada dosis awal atau pada peningkatan dosis, gangguan ginjal, hamil.</t>
  </si>
  <si>
    <t>hipertensi tunggal kombinasi diuretik , gagal jantung kongestif , paska infark miokard pasien bukti klinis gagal jantung</t>
  </si>
  <si>
    <t>hyperil tablet ramipril hipertensi tunggal kombinasi diuretik  gagal jantung kongestif  paska infark miokard pasien bukti klinis gagal jantung</t>
  </si>
  <si>
    <t>DKL8518700110B1</t>
  </si>
  <si>
    <t>Meptin Mini 25 mcg 10 Tablet</t>
  </si>
  <si>
    <t>Rp22.800 - Rp36.800</t>
  </si>
  <si>
    <t>PENGGUNAAN OBAT INI HARUS SESUAI DENGAN PETUNJUK DOKTER. Dewasa : 2 x sehari 1-2 tablet mini, Anak &gt;= 6 tahun : 2 x sehari 1 tablet mini.</t>
  </si>
  <si>
    <t>DTL1404522410A1</t>
  </si>
  <si>
    <t>Decolgen 4 Tablet</t>
  </si>
  <si>
    <t>Rp2.100 - Rp2.900</t>
  </si>
  <si>
    <t>Obat ini digunakan untuk meredakan gejala flu seperti sakit kepala, demam, bersin-bersin dan hidung tersumbat.</t>
  </si>
  <si>
    <t>Dus, 25 Catch Cover @ 1 strip @ 4 tablet</t>
  </si>
  <si>
    <t>Tidak boleh diberikan pada penderita yang peka terhadap obat simpatomimetik, penderita tekanan darah tinggi berat, dan orang yang sedang terapi anti depresan MAOI</t>
  </si>
  <si>
    <t>Peringatan : Awas, Obat Keras Bacalah Aturan Pakainya. Penyakit jantung, diabetes, glaukoma, gangguan fungsi hati atau ginjal, hamil, dapat mempengaruhi kemampuan mengemudi/mengoperasikan mesin.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</si>
  <si>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meredakan gejala flu sakit kepala , demam , bersin - bersin hidung tersumbat</t>
  </si>
  <si>
    <t>decolgen</t>
  </si>
  <si>
    <t>decolgen tablet paracetamol phenylpropanolamine hydrochloride chlorphenamine maleate obat meredakan gejala flu sakit kepala  demam  bersin  bersin hidung tersumbat</t>
  </si>
  <si>
    <t>Hyperil 2.5 mg 10 Tablet</t>
  </si>
  <si>
    <t>Rp52.500 - Rp64.000</t>
  </si>
  <si>
    <t>PENGGUNAAN OBAT INI HARUS SESUAI DENGAN PETUNJUK DOKTER. HTN/Hipertensi yang belum pernah diterapi dengan Diuretik: Diawali 1 x sehari 1 tablet, dosis ditingkatkan dengan interval 1-2 minggu, dosis disesuaikan dengan tekanan darah.</t>
  </si>
  <si>
    <t>DKL1731539310B1</t>
  </si>
  <si>
    <t>Candefar 16 mg 10 Tablet</t>
  </si>
  <si>
    <t>Rp95.500 - Rp136.000</t>
  </si>
  <si>
    <t>PENGGUNAAN OBAT INI HARUS SESUAI DENGAN PETUNJUK DOKTER. - Pasien hipertensi : Dosis awal 4 mg per hari dan dapat ditingkatkan hingga 16 mg, satu kali sehari. - Pasien gagal jantung : 4 mg per hari.</t>
  </si>
  <si>
    <t>INFORMASI OBAT INI HANYA UNTUK KALANGAN MEDIS. - Hipertensi - Pengobatan pada pasien dengan gagal jantung dan gangguan fungsi sistolik ventrikel kiri ketika obat penghambat ACE tidak ditoleransi.</t>
  </si>
  <si>
    <t>Pasien yang hipersensitif terhadapï¿½candesartanï¿½atau komponen yang terkandung dalam formulasinya. Pasien dengan gangguan hati yang berat dengan atau tanpa ketoasidosis. Wanita hamil dan menyusui.</t>
  </si>
  <si>
    <t>HARUS DENGAN RESEP DOKTER. - Pada pasien hipertensi dengan gangguan ginjal, disarankan melakukan pemantauan secara berkala terkait kadar kalium dan kadar kreatinin dalam serum. - Pasien dengan stenosis arteri renalis, yaitu penyempitan salah satu atau lebih dari satu arteri yang mengangkut darah menuju ginjal (renal artery). - Pasien dengan intravascular volume depletion, yaitu pengurangan volume intravaskular. Kategori kehamilan: Kategori D: Terbukti berisiko terhadap janin. Meski demikian, obat masih dapat digunakan jika obat diperlukan untuk mengatasi keadaan yang mengancam jiwa, atau penyakit serius, dimana obat yang lebih aman tidak dapat digunakan atau tidak efektif.</t>
  </si>
  <si>
    <t>candefar</t>
  </si>
  <si>
    <t>candefar tablet candesartan  hipertensi  pengobatan pasien gagal jantung gangguan fungsi sistolik ventrikel kiri obat penghambat ace tidak ditoleransi</t>
  </si>
  <si>
    <t>DKL1731539310A1</t>
  </si>
  <si>
    <t>Candefar 8 mg 10 Tablet</t>
  </si>
  <si>
    <t>Rp88.000 - Rp99.600</t>
  </si>
  <si>
    <t>DKL1821207337A1</t>
  </si>
  <si>
    <t>Mucopect 15 mg/5 ml Sirup 60 ml</t>
  </si>
  <si>
    <t>Rp65.000 - Rp71.600</t>
  </si>
  <si>
    <t>Dikonsumsi bersama atau tanpa makanan</t>
  </si>
  <si>
    <t>mucopect</t>
  </si>
  <si>
    <t>mucopect sirup ambroxol hydrochloride sebagai sekretolitik gangguan saluran nafas akut kronis eksaserbasi bronkitis kronis bronkitis asmatik asma bronkial</t>
  </si>
  <si>
    <t>Herbana Relief Kunyit 30 Kapsul</t>
  </si>
  <si>
    <t>Membantu meringankan gangguan lambung seperti mual, muntah, rasa perih/tidak enak di ulu hati dan kembung</t>
  </si>
  <si>
    <t>membantu meringankan gangguan lambung mual , muntah , perih tidak enak ulu hati kembung</t>
  </si>
  <si>
    <t>herbana relief kunyit</t>
  </si>
  <si>
    <t>herbana relief kunyit kapsul herbana kunyit membantu meringankan gangguan lambung mual  muntah  perih tidak enak ulu hati kembung</t>
  </si>
  <si>
    <t>DKL9825101910A1</t>
  </si>
  <si>
    <t>Blopress 8 mg 7 Tablet</t>
  </si>
  <si>
    <t>Rp99.500 - Rp111.200</t>
  </si>
  <si>
    <t>blopress</t>
  </si>
  <si>
    <t>blopress tablet candesartan  hipertensi  pengobatan pasien gagal jantung gangguan fungsi sistolik ventrikel kiri obat penghambat ace tidak ditoleransi</t>
  </si>
  <si>
    <t>DKL1421205810A1</t>
  </si>
  <si>
    <t>Cordarone 200 mg 10 Tablet</t>
  </si>
  <si>
    <t>Rp115.000 - Rp120.900</t>
  </si>
  <si>
    <t>PENGGUNAAN OBAT INI HARUS SESUAI DENGAN PETUNJUK DOKTER. Dewasa : Awal 600 mg/hari untuk 8-10 hari. Pemeliharaan : 100-400 mg/hari, 5 hari dalam 1 minggu. Ampul : 5 mg/kg berat badan dengan infus IV selama 20 menit-2 jam. Infus dapat diulangi 2-3 kali/hari. Pemeliharaan 10-20 mg/kg berat badan/24 jam secara infus IV.</t>
  </si>
  <si>
    <t>Gangguan ritme/irama atrium, nodal maupun ventrikel, gangguan ritme/irama yang berhubungan dengan sindroma Wolf-Parkinson-White</t>
  </si>
  <si>
    <t>Dus, 3 BLister @ 10 Tablet</t>
  </si>
  <si>
    <t>Sinus bradikardi, blok SA, blok AV, hamil, laktasi, gangguan sinus, intoleransi yodium, hipotensi atrial berat, kolaps KV, insufisiensi jantung akut, distiroidisme.</t>
  </si>
  <si>
    <t>HARUS DENGAN RESEP DOKTER. Hipertensi atrial, insufisiensi pernafasan, miokardiopati, gagal jantung berat, terpapar sinar matahari, monitor TD dan fungsi tiroid teratur.</t>
  </si>
  <si>
    <t>gangguan ritme irama atrium , nodal ventrikel , gangguan ritme irama berhubungan sindroma wolf - parkinson - white</t>
  </si>
  <si>
    <t>cordarone</t>
  </si>
  <si>
    <t>cordarone tablet amiodarone hydrochloride gangguan ritme irama atrium  nodal ventrikel  gangguan ritme irama berhubungan sindroma wolf  parkinson  white</t>
  </si>
  <si>
    <t>TR142383631</t>
  </si>
  <si>
    <t>Enatin 50 Kapsul Lunak</t>
  </si>
  <si>
    <t>ENATIN</t>
  </si>
  <si>
    <t>Rp59.700 - Rp131.900</t>
  </si>
  <si>
    <t>Berikan dengan banyak minum pada saat perut kosong, 1 jam sebelum makan</t>
  </si>
  <si>
    <t xml:space="preserve">3-4 x sehari 2 kapsul </t>
  </si>
  <si>
    <t>TR182611771</t>
  </si>
  <si>
    <t>Egoji Sirup Rasa Anggur 100 ml</t>
  </si>
  <si>
    <t>EGOJI RASA ANGGUR</t>
  </si>
  <si>
    <t>Rp45.600 - Rp86.400</t>
  </si>
  <si>
    <t>Berikan setelah makan, dikocok terlebih dahulu</t>
  </si>
  <si>
    <t>Anak 2-12 tahun : 2 x sehari 1 sendok takar, anak diatas 12 tahun : 3 x sehari 1 sendok takar</t>
  </si>
  <si>
    <t>Membantu meningkatkan daya tahan tubuh, membantu mempercepat penyembuhan penyakit, mencegah agar tidak mudah terserang penyakit</t>
  </si>
  <si>
    <t>Tidak boleh diberikan pada penderita sklerosis multiple, penyakit kolagem, leukosis, tuberkulosis, AIDS, kehamilan. Tidak boleh diberikan bersama dengan imunosupresan, tidak dianjurkan digunakan lebih dari 8 minggu</t>
  </si>
  <si>
    <t>egoji rasa anggur</t>
  </si>
  <si>
    <t>membantu meningkatkan daya tahan tubuh , membantu mempercepat penyembuhan penyakit , mencegah tidak mudah terserang penyakit</t>
  </si>
  <si>
    <t>egoji rasa anggur sirup membantu meningkatkan daya tahan tubuh  membantu mempercepat penyembuhan penyakit  mencegah tidak mudah terserang penyakit</t>
  </si>
  <si>
    <t>DBL9600202317A1</t>
  </si>
  <si>
    <t>Iberet Folic-500 10 Tablet</t>
  </si>
  <si>
    <t>Rp48.100 - Rp48.900</t>
  </si>
  <si>
    <t>Sebelum atau sesudah makan, dapat diberikan saat perut kosong. Tablet ditelan secara utuh jangan dikunyah atau dihancurkan.</t>
  </si>
  <si>
    <t>Dewasa dan wanita hamil defisiensi zat besi dan asam folat : 1 tablet, diminum 1 kali per hari.</t>
  </si>
  <si>
    <t>Anemia defisiensi zat besi, anemia megaloblastik disertai kekurangan vitamin C dan B kompleks, terutama pada kehamilan.</t>
  </si>
  <si>
    <t>anemia defisiensi zat besi , anemia megaloblastik disertai kekurangan vitamin c b kompleks , kehamilan</t>
  </si>
  <si>
    <t>iberet folic</t>
  </si>
  <si>
    <t>iberet folic tablet ascorbic acid anemia defisiensi zat besi  anemia megaloblastik disertai kekurangan vitamin c b kompleks  kehamilan</t>
  </si>
  <si>
    <t>DKL9917616117A1</t>
  </si>
  <si>
    <t>Newspar Tablet 200 mg</t>
  </si>
  <si>
    <t>Rp27.400 - Rp42.000</t>
  </si>
  <si>
    <t>PENGGUNAAN OBAT INI HARUS SESUAI DENGAN PETUNJUK DOKTER. Pasien dengan fungsi ginjal normal : 400 mg dosis tunggal lalu 200 mg/hari selama 10 hari (infeksi sal nafas bawah) atau 4 hari (sinusitis). Pasien gagal ginjal awal : 400 mg, lalu 200 mg tiap 48 jam selama 9 hari</t>
  </si>
  <si>
    <t>Pneumonia akut yang didapat, diduga karena bakteri pneumokakus dan non-pneumokakus. Eksaserbasi Penyakit Paru Obstruksi Kronik. Sinusitis prulen akut</t>
  </si>
  <si>
    <t>Tablet 200 Mg X 6</t>
  </si>
  <si>
    <t>Hipersensitif terhadap kuinolon. Riwayat penyakit tendon dengan kuinolon, defisiensi G6PD. Anak praburtas. Kehamilan. Laktsi</t>
  </si>
  <si>
    <t>HARUS DENGAN RESEP DOKTER. Tersangka TB. Koreksi terhadpa deplesi K berat sebelum terapi</t>
  </si>
  <si>
    <t>sparfloxacin</t>
  </si>
  <si>
    <t>pneumonia akut , diduga bakteri pneumokakus non - pneumokakus  eksaserbasi penyakit paru obstruksi kronik  sinusitis prulen akut</t>
  </si>
  <si>
    <t>newspar</t>
  </si>
  <si>
    <t>newspar tablet sparfloxacin pneumonia akut  diduga bakteri pneumokakus non  pneumokakus  eksaserbasi penyakit paru obstruksi kronik  sinusitis prulen akut</t>
  </si>
  <si>
    <t>DKI0054200210C1</t>
  </si>
  <si>
    <t>Provera 10 mg 10 Tablet</t>
  </si>
  <si>
    <t>Rp99.900 - Rp148.900</t>
  </si>
  <si>
    <t>PENGGUNAAN OBAT INI HARUS SESUAI DENGAN PETUNJUK DOKTER. 1 x sehari satu tablet</t>
  </si>
  <si>
    <t>INFORMASI OBAT INI HANYA UNTUK KALANGAN MEDIS. Amenore sekunder, perdarahan uterus disfungsional karena ketidakseimbangan hormon dengan tidak adanya patologi organik, seperti fibroid atau kanker rahim, endometriosis.</t>
  </si>
  <si>
    <t>Dus, 10 Blister @ 10 tablet</t>
  </si>
  <si>
    <t>DKI1631600617A1</t>
  </si>
  <si>
    <t>Bioprexum 5 mg 30 Tablet</t>
  </si>
  <si>
    <t>Rp320.000 - Rp451.600</t>
  </si>
  <si>
    <t>PENGGUNAAN OBAT INI HARUS SESUAI DENGAN PETUNJUK DOKTER. Untuk hipertensi : 1 kali sehari 5 mg, dapat ditingkatkan menjadi 1 kali sehari 10 mg sesudah 1 bulan terapi. Untuk penyakit arteri koroner stabil : Awal : 5 mg/hari selama 2 minggu, dapat ditingkatkan menjadi 1 kali sehari 10 mg. Untuk gagal ja</t>
  </si>
  <si>
    <t>Hipertensi, penyakit arteri koroner stabil. Sebagai terapi penunjang untuk gagal jantung kongestif, stroke atau mengurangi kekambuhan stroke</t>
  </si>
  <si>
    <t>Dus, botol plastik @30 tablet</t>
  </si>
  <si>
    <t>Hamil. Angioedema herediter atau idopatik.</t>
  </si>
  <si>
    <t>HARUS DENGAN RESEP DOKTER. Hipertensi renovaskular, pembedahan atau anestesi, gagal ginjal. Terapi bersama dengan diuretik hemat K, obat neuroleptik atau jenis imipramin, litium. Kategori Kehamilan : D</t>
  </si>
  <si>
    <t>hipertensi , penyakit arteri koroner stabil  sebagai terapi penunjang gagal jantung kongestif , stroke mengurangi kekambuhan stroke</t>
  </si>
  <si>
    <t>bioprexum tablet perindopril hipertensi  penyakit arteri koroner stabil  sebagai terapi penunjang gagal jantung kongestif  stroke mengurangi kekambuhan stroke</t>
  </si>
  <si>
    <t>Burnazin Plus Cream 25 g</t>
  </si>
  <si>
    <t>Rp140.400 - Rp141.000</t>
  </si>
  <si>
    <t>Setelah luka dibersihkan dari kotoran, oleskan krim tipis-tipis, pada permukaan luka sekali atau dua kali sehari, tergantung pada tingkat keparahan luka sampai luka sembuh. Daerah yang diobati harus ditutup dengan perban steril.</t>
  </si>
  <si>
    <t>1 - 2 kali sehari dioleskan tipis-tipis pada luka</t>
  </si>
  <si>
    <t>BURNAZIN PLUS CREAM diindikasikan untuk lesi kulit, terutama yang beresiko tinggi mengalami infeksi, khususnya untuk luka akut dan kronik.</t>
  </si>
  <si>
    <t>Dus, Tube @ 25 g</t>
  </si>
  <si>
    <t>Penggunaan jangka panjang lebih dari sebulan, harus dievaluasi oleh dokter, berdasarkan perkembangan kondisi lesi.</t>
  </si>
  <si>
    <t>burnazin plus cream diindikasikan lesi kulit , beresiko mengalami infeksi , luka akut kronik</t>
  </si>
  <si>
    <t>burnazin plus cream</t>
  </si>
  <si>
    <t>burnazin plus cream tablet pioglitazone hydrochloride burnazin plus cream diindikasikan lesi kulit  beresiko mengalami infeksi  luka akut kronik</t>
  </si>
  <si>
    <t>betadine tablet pioglitazone hydrochloride salep antiseptik membunuh kuman penyebab infeksi luka luka bakar  luka sunat  lika tergores  luka</t>
  </si>
  <si>
    <t>QD183716441</t>
  </si>
  <si>
    <t>Best Balm 20 g</t>
  </si>
  <si>
    <t>Rp15.800 - Rp21.000</t>
  </si>
  <si>
    <t>Menghilangkan sakit pinggang, encok, urat kaku, perut kembung, masuk angin, keseleo, gatal karena gigitan serangga</t>
  </si>
  <si>
    <t>pot 20 g</t>
  </si>
  <si>
    <t>menghilangkan sakit pinggang , encok , urat kaku , perut kembung , masuk angin , keseleo , gatal gigitan serangga</t>
  </si>
  <si>
    <t>best balm</t>
  </si>
  <si>
    <t>best balm balsam camphor menghilangkan sakit pinggang  encok  urat kaku  perut kembung  masuk angin  keseleo  gatal gigitan serangga</t>
  </si>
  <si>
    <t>Colorcon Eye Drops 10 ml Buy 1 Get 1</t>
  </si>
  <si>
    <t>Rp57.200 - Rp70.000</t>
  </si>
  <si>
    <t>Pastikan Anda mencuci tangan sampai bersih sebelum dan sesudah memakai tetes mata. Tarik perlahan kantung mata bagian bawah. Teteskan produk ini sebanyak 1-2 tetes pada bagian bawah kelopak mata dengan posisi kepala menengadah ke atas. Pastikan ujung aplikator tetes mata ini dalam keadaan bersih dan tidak boleh menyentuh bagian mata ataupun benda-benda yang lain. Setelah produk ini diteteskan, pejamkan mata sekitar 1-2 menit dengan posisi kepala tetap menengadah ke atas serta tekan bagian pangkal hidung untuk menjaga agar cairan penetes mata tidak masuk ke saluran air mata (tetep berada di dalam mata).</t>
  </si>
  <si>
    <t>Untuk membasahi, melembabkan, melegakan, kekeringan dan iritasi akibat penggunaan lensa kontak.</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</si>
  <si>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30 hari. Hindari penggunaan cairan di atas batas masa simpannya.</t>
  </si>
  <si>
    <t>untuk membasahi , melembabkan , melegakan , kekeringan iritasi akibat penggunaan lensa kontak</t>
  </si>
  <si>
    <t>colorcon eye buy get</t>
  </si>
  <si>
    <t>colorcon eye buy get tablet kombinasivalsartan blend 32 untuk membasahi  melembabkan  melegakan  kekeringan iritasi akibat penggunaan lensa kontak</t>
  </si>
  <si>
    <t>QD212725281</t>
  </si>
  <si>
    <t>Baljitot 40 g</t>
  </si>
  <si>
    <t>Mengatasi pegal linu, nyeri otot, nyeri sendi, sakit punggung, encok, keseleo, memar, dan memperlancar peredaran darah</t>
  </si>
  <si>
    <t>Pot 40 g</t>
  </si>
  <si>
    <t>Hipersensitif. Hanya untuk pemakaian luar. Jauhkan dari jangkauan anak-anak</t>
  </si>
  <si>
    <t>methyl salisilat</t>
  </si>
  <si>
    <t>mengatasi pegal linu , nyeri otot , nyeri sendi , sakit punggung , encok , keseleo , memar , memperlancar peredaran darah</t>
  </si>
  <si>
    <t>baljitot</t>
  </si>
  <si>
    <t>baljitot  methyl salisilat mengatasi pegal linu  nyeri otot  nyeri sendi  sakit punggung  encok  keseleo  memar  memperlancar peredaran darah</t>
  </si>
  <si>
    <t>QD191717391</t>
  </si>
  <si>
    <t>Fasgesic Cream 30 g</t>
  </si>
  <si>
    <t>Rp42.400 - Rp46.600</t>
  </si>
  <si>
    <t>Membantu meredakan rasa sakit karena terkilir, nyeri sendi, nyeri otot, nyeri akibat encok dan nyeri otot pinggang.</t>
  </si>
  <si>
    <t>membantu meredakan sakit terkilir , nyeri sendi , nyeri otot , nyeri akibat encok nyeri otot pinggang</t>
  </si>
  <si>
    <t>fasgesic cream</t>
  </si>
  <si>
    <t>fasgesic cream krim eugenol membantu meredakan sakit terkilir  nyeri sendi  nyeri otot  nyeri akibat encok nyeri otot pinggang</t>
  </si>
  <si>
    <t>QD205681441</t>
  </si>
  <si>
    <t>Minyak Oles Khusus Jerawat 35 ml</t>
  </si>
  <si>
    <t>Rp11.800 - Rp15.200</t>
  </si>
  <si>
    <t>Oleskan pada bagian berjerawat</t>
  </si>
  <si>
    <t>3 x sehari</t>
  </si>
  <si>
    <t>Mengobati Jerawat yang Parah, Bisul &amp; Bernanah. Membuat kulit wajah menjadi halus, segar dan berseri kembali.</t>
  </si>
  <si>
    <t>Botol 35 ml X 1</t>
  </si>
  <si>
    <t>Kocok dahulu sebelum pemakaian</t>
  </si>
  <si>
    <t>areca catechii fructus</t>
  </si>
  <si>
    <t>mengobati jerawat parah , bisul bernanah  membuat kulit wajah halus , segar berseri</t>
  </si>
  <si>
    <t>oles khusus jerawat</t>
  </si>
  <si>
    <t>oles khusus jerawat minyak areca catechii fructus mengobati jerawat parah  bisul berah  membuat kulit wajah halus  segar berseri</t>
  </si>
  <si>
    <t>TR112627351E</t>
  </si>
  <si>
    <t>Larutan Cap Badak Botol 500 ml</t>
  </si>
  <si>
    <t>LARUTAN PENYEGAR CAP BADAK</t>
  </si>
  <si>
    <t>Rp7.500 - Rp11.600</t>
  </si>
  <si>
    <t>Untuk pengobatan: Orang dewasa minum 3 kali sehari 100mL sampai 200mL (1/2 sampai 1 botol), anak-anak minum 3 kali sehari 50mL sampai 100ml (1/4 sampai 1/2 botol). Untuk pencegahan: Orang dewasa 1 kali sehari 1 botol, anak-anak 1 kali sehari 1/2 botol.</t>
  </si>
  <si>
    <t>Membantu meredakan panas dalam yang disertai tenggorokan kering, sariawan, dan membantu menyegarkan badan</t>
  </si>
  <si>
    <t>larutan penyegar cap badak</t>
  </si>
  <si>
    <t>membantu meredakan panas disertai tenggorokan kering , sariawan , membantu menyegarkan badan</t>
  </si>
  <si>
    <t>cap badak botol</t>
  </si>
  <si>
    <t>cap badak botol larutan larutan penyegar cap badak membantu meredakan panas disertai tenggorokan kering  sariawan  membantu menyegarkan badan</t>
  </si>
  <si>
    <t>Sauda Garlic Oil Gold 100 Kapsul</t>
  </si>
  <si>
    <t>Rp59.700 - Rp80.000</t>
  </si>
  <si>
    <t>Egoji Sirup Rasa Anggur 50 ml</t>
  </si>
  <si>
    <t>Rp35.000 - Rp59.300</t>
  </si>
  <si>
    <t>DTL1106414828A1</t>
  </si>
  <si>
    <t>Erphaflam EmulGel 20 g</t>
  </si>
  <si>
    <t>Rp39.400 - Rp56.200</t>
  </si>
  <si>
    <t>Oleskan secara merata, 3-4 kali sehari</t>
  </si>
  <si>
    <t>Pengobatan lokal peradangan akibat trauma (terpukul, terbentur, terkilir, dll) pada tendon, ligamen, otot, dan sendi.</t>
  </si>
  <si>
    <t>pengobatan lokal peradangan akibat trauma terpukul , terbentur , terkilir , dll tendon , ligamen , otot , sendi</t>
  </si>
  <si>
    <t>erphaflam emulgel</t>
  </si>
  <si>
    <t>erphaflam emulgel gel diclofenac diethylamine pengobatan lokal peradangan akibat trauma terpukul  terbentur  terkilir  dll tendon  ligamen  otot  sendi</t>
  </si>
  <si>
    <t>QI074701571</t>
  </si>
  <si>
    <t>Nature's Plus Ultra RX-Joint Cream 4Oz</t>
  </si>
  <si>
    <t>Rp535.000 - Rp707.800</t>
  </si>
  <si>
    <t>Dioleskan tipis pada bagian persendian</t>
  </si>
  <si>
    <t>Berfungsi sebagai jembatan untuk sendi/tendon/ligamentum/tulang rawan</t>
  </si>
  <si>
    <t>Wadah 118 ml</t>
  </si>
  <si>
    <t>Hindari kontak dengan mata atau area sensitif lainnya. Cuci tangan segera setelah menggunakannya. Jangan digunakan untuk kulit luka atau kulit yang rusak. Simpan dalam tempat tertutup rapat, Hindari dari jangkauan anak-anak</t>
  </si>
  <si>
    <t>dimethyl sulfone (methylsulfonylmethane msm)</t>
  </si>
  <si>
    <t>berfungsi jembatan sendi tendon ligamentum tulang rawan</t>
  </si>
  <si>
    <t>natures plus ultra rxjoint cream oz</t>
  </si>
  <si>
    <t>natures plus ultra rxjoint cream oz krim dimethyl sulfone methylsulfonylmethane msm berfungsi jembatan sendi tendon ligamentum tulang rawan</t>
  </si>
  <si>
    <t>folic acid ferrous fumarate</t>
  </si>
  <si>
    <t>tambah darah tablet folic acid ferrous fumarate membantu memenuhi kebutuhan zat besi asam folat tubuh  mengatasi anemia megaloblastik</t>
  </si>
  <si>
    <t>DKL9118808110A1</t>
  </si>
  <si>
    <t>Mucera 30 mg 10 Tablet</t>
  </si>
  <si>
    <t>Rp16.900 - Rp20.000</t>
  </si>
  <si>
    <t>HARUS DENGAN RESEP DOKTER. - ibu menyusui Kategori Kehamilan : C pada trisemester pertama</t>
  </si>
  <si>
    <t>mucera tablet ambroxol hydrochloride sebagai sekretolitik gangguan saluran nafas akut kronis eksaserbasi bronkitis kronis bronkitis asmatik asma bronkial</t>
  </si>
  <si>
    <t>DKI1691601310A1</t>
  </si>
  <si>
    <t>Zovirax 200 mg 5 Tablet</t>
  </si>
  <si>
    <t>Rp62.700 - Rp68.300</t>
  </si>
  <si>
    <t>PENGGUNAAN OBAT INI HARUS SESUAI DENGAN PETUNJUK DOKTER. 5 kali sehari tiap 4 jam</t>
  </si>
  <si>
    <t>Infeksi virus herpes simplek tipe I dan II, infeksi virus varicella zoster, genital herpes primer dan sekunder</t>
  </si>
  <si>
    <t>Dos Isi 5 Blister X 5 Tablet</t>
  </si>
  <si>
    <t>infeksi virus herpes simplek tipe i ii , infeksi virus varicella zoster , genital herpes primer sekunder</t>
  </si>
  <si>
    <t>zovirax</t>
  </si>
  <si>
    <t>zovirax tablet aciclovir infeksi virus herpes simplek tipe i ii  infeksi virus varicella zoster  genital herpes primer sekunder</t>
  </si>
  <si>
    <t>Halykoo Mouth Ulcer Soothing Gel with Hyaluronic Acid 10 ml</t>
  </si>
  <si>
    <t>Rp72.900 - Rp97.600</t>
  </si>
  <si>
    <t>1. Aplikasikan pada sariawan dengan menggunakan desain ergonomis aplikator . 2. Teteskan 1 atau 2 tetes secara menyeluruh pada luka. 3. Aplikator jangan sampai terkena luka untuk menghindari kontaminasi. 4. Aplikasikan sebanyak 1 hingga 4 kali sehari. 5. Jangan makan atau minum hingga 1 jam setelah aplikasi.</t>
  </si>
  <si>
    <t>Sebagai pelindung luka sariawan agar mengurangi nyeri untuk penyembuhan secara alami.</t>
  </si>
  <si>
    <t>Tube @ 10 ml</t>
  </si>
  <si>
    <t>sebagai pelindung luka sariawan mengurangi nyeri penyembuhan alami</t>
  </si>
  <si>
    <t>halykoo mouth ulcer soothing with hyaluronic acid</t>
  </si>
  <si>
    <t>halykoo mouth ulcer soothing with hyaluronic acid tablet tizanidine hydrochloride sebagai pelindung luka sariawan mengurangi nyeri penyembuhan alami</t>
  </si>
  <si>
    <t>TR042632231</t>
  </si>
  <si>
    <t>Larutan Cap Kaki Tiga Botol 500 ml</t>
  </si>
  <si>
    <t>LARUTAN CAP KAKI TIGA</t>
  </si>
  <si>
    <t>Orang dewasa: 3 kali sehari (1/2 sampai 1 botol) Anak-anak: 3 kali sehari (1/4 sampai 1/2 botol) Untuk selanjutnya: Orang dewasa 1 kali sehari 1 botol, anak-anak 1 kali sehari 1/2 botol.</t>
  </si>
  <si>
    <t>Membantu meredakan panas dalam, sariawan, tenggorokan kering dan membantu menyegarkan badan.</t>
  </si>
  <si>
    <t>Simpan ditempat yang kering dan terhindar dari sinar matahari langsung. Simpan pada suhu dibawah 30 C.</t>
  </si>
  <si>
    <t>larutan cap kaki tiga</t>
  </si>
  <si>
    <t>membantu meredakan panas , sariawan , tenggorokan kering membantu menyegarkan badan</t>
  </si>
  <si>
    <t>cap kaki tiga botol</t>
  </si>
  <si>
    <t>cap kaki tiga botol larutan larutan cap kaki tiga membantu meredakan panas  sariawan  tenggorokan kering membantu menyegarkan badan</t>
  </si>
  <si>
    <t>pseudoephedrine hydrochloride chlorphenamine maleate paracetamol</t>
  </si>
  <si>
    <t>demacolin tablet pseudoephedrine hydrochloride chlorphenamine maleate paracetamol obat meringankan gejala flu demam  sakit kepala  hidung tersumbat bersin  bersin</t>
  </si>
  <si>
    <t>HT202600931</t>
  </si>
  <si>
    <t>Neo Rheumacyl Oralinu Sachet 15ml</t>
  </si>
  <si>
    <t>RHEUMACYL ORALINU</t>
  </si>
  <si>
    <t>Rp1.700 - Rp3.100</t>
  </si>
  <si>
    <t>Membantu meredakan nyeri sendi, pegal linu, nyeri akibat encok dan sakit otot pinggang.</t>
  </si>
  <si>
    <t>rheumacyl oralinu</t>
  </si>
  <si>
    <t>membantu meredakan nyeri sendi , pegal linu , nyeri akibat encok sakit otot pinggang</t>
  </si>
  <si>
    <t>neo rheumacyl oralinu</t>
  </si>
  <si>
    <t>neo rheumacyl oralinu sachet rheumacyl oralinu membantu meredakan nyeri sendi  pegal linu  nyeri akibat encok sakit otot pinggang</t>
  </si>
  <si>
    <t>DKL0735802917A1</t>
  </si>
  <si>
    <t>Valcor Tablet 500 mg</t>
  </si>
  <si>
    <t>Rp16.500 - Rp20.000</t>
  </si>
  <si>
    <t>PENGGUNAAN OBAT INI HARUS SESUAI DENGAN PETUNJUK DOKTER. Dewasa herpes zoster 2 kaplet 3 x perhari selama 7 hari. Herpes Simpleks 1 kaplet 2 x perhari. Lama terapi: Herpes simpleks rekuren 5 hari. Infeksi awal herpres simpleks 10 hari.</t>
  </si>
  <si>
    <t>Terapi infeksi kulit,selaput mukosa termasuk herpes genital awal &amp; rekuren yg disebabkan herpes zoster &amp; herpes simpleks</t>
  </si>
  <si>
    <t>Profilaksis primer terhadap cytomegalovirus pada orang yang terinfeksi HIV</t>
  </si>
  <si>
    <t>HARUS DENGAN RESEP DOKTER. Gangguan fungsi ginjal, hamil, laktasi. Kategori Kehamilan : B</t>
  </si>
  <si>
    <t>terapi infeksi kulit , selaput mukosa herpes genital rekuren yg disebabkan herpes zoster herpes simpleks</t>
  </si>
  <si>
    <t>valcor</t>
  </si>
  <si>
    <t>valcor tablet valaciclovir hydrochloride terapi infeksi kulit  selaput mukosa herpes genital rekuren yg disebabkan herpes zoster herpes simpleks</t>
  </si>
  <si>
    <t>TR192323121</t>
  </si>
  <si>
    <t>Egoji 30 Kapsul</t>
  </si>
  <si>
    <t>EGOJI KAPSUL</t>
  </si>
  <si>
    <t>Rp96.600 - Rp136.900</t>
  </si>
  <si>
    <t>egoji kapsul</t>
  </si>
  <si>
    <t>egoji</t>
  </si>
  <si>
    <t>egoji kapsul egoji kapsul membantu meningkatkan daya tahan tubuh  membantu mempercepat penyembuhan penyakit  mencegah tidak mudah terserang penyakit</t>
  </si>
  <si>
    <t>TI094339391</t>
  </si>
  <si>
    <t>Natrol Maca Extract 60 Kapsul</t>
  </si>
  <si>
    <t>NATROL MACA</t>
  </si>
  <si>
    <t>Rp312.400 - Rp407.500</t>
  </si>
  <si>
    <t>Membantu meningkatkan gairah seksual dan fertilitas, membantu menyeimbangkan hormon, membantu mengatasi impoten pada pria</t>
  </si>
  <si>
    <t>Konsultasikan pada ahli gizi dan kesehatan Anda untuk penggunaan lebih intens dalam kondisi medis tertentu, sedang mengonsumsi obat tertentu, dan sedang hamil atau menyusui</t>
  </si>
  <si>
    <t>natrol maca</t>
  </si>
  <si>
    <t>membantu meningkatkan gairah seksual fertilitas , membantu menyeimbangkan hormon , membantu mengatasi impoten pria</t>
  </si>
  <si>
    <t>natrol maca extract</t>
  </si>
  <si>
    <t>natrol maca extract kapsul natrol maca membantu meningkatkan gairah seksual fertilitas  membantu menyeimbangkan hormon  membantu mengatasi impoten pria</t>
  </si>
  <si>
    <t>DTL1504523110A1</t>
  </si>
  <si>
    <t>Neozep Forte 4 Tablet</t>
  </si>
  <si>
    <t>Rp2.500 - Rp3.500</t>
  </si>
  <si>
    <t>Dewasa: 3-4 x sehari 1 tablet Anak usia 6-12 tahun: 3-4 x sehari setengah tablet.</t>
  </si>
  <si>
    <t>Mengobati gejala flu, seperti: hidung tersumbat, demam, pusing, dan bersin-bersin.</t>
  </si>
  <si>
    <t>Catch Cover @ 1 strip @ 4 tablet</t>
  </si>
  <si>
    <t>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</si>
  <si>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phenylpropanolamine hydrochloride salicylamide chlorphenamine maleate paracetamol</t>
  </si>
  <si>
    <t>mengobati gejala flu , hidung tersumbat , demam , pusing , bersin - bersin</t>
  </si>
  <si>
    <t>neozep forte</t>
  </si>
  <si>
    <t>neozep forte tablet phenylpropanolamine hydrochloride salicylamide chlorphenamine maleate paracetamol mengobati gejala flu  hidung tersumbat  demam  pusing  bersin  bersin</t>
  </si>
  <si>
    <t>GKL1102343810A1</t>
  </si>
  <si>
    <t>Ambroxol 30 mg 10 Tablet</t>
  </si>
  <si>
    <t>Rp1.600 - Rp3.400</t>
  </si>
  <si>
    <t>ambroxol tablet ambroxol hydrochloride sebagai sekretolitik gangguan saluran nafas akut kronis eksaserbasi bronkitis kronis bronkitis asmatik asma bronkial</t>
  </si>
  <si>
    <t>Egoji 10 Kapsul</t>
  </si>
  <si>
    <t>Rp12.500 - Rp42.300</t>
  </si>
  <si>
    <t>Strip @ 10 Kapsul</t>
  </si>
  <si>
    <t>Tidak boleh diberikan pada penderita sklerosis multiple, penyakit kolagem, leukosis, tuberkulosis, AIDS, kehamilan. Tidak boleh diberikan bersama dengan imunosupresan, tidak dianjurkan digunakan lebih dari 8 minggu.</t>
  </si>
  <si>
    <t>DKI1067508067A1</t>
  </si>
  <si>
    <t>Onbrez Breezhaler 150 mcg 30 Kapsul</t>
  </si>
  <si>
    <t>Rp673.800 - Rp801.400</t>
  </si>
  <si>
    <t>Dws : Dosis anjuran: 150 mg 1 x/hr inhalasi pd saat yg sama tiap hr. Dosis dpt ditingkatkan berdasarkan saran dokter. Maks: 300 mcg 1 x/hr.</t>
  </si>
  <si>
    <t>Terapi rumat bronkodilator utk mengatasi obstruksi jalan napas pd pasien dws dg PPOK.</t>
  </si>
  <si>
    <t>Kaps Isi Bubuk Inhalasi 150 Mcg X 10</t>
  </si>
  <si>
    <t>Hipersensitivitas thd laktosa. Terapi episode akut bronkospasme.</t>
  </si>
  <si>
    <t>pionix tablet pioglitazone hydrochloride sebagai terapi kombinasi sulfonylurea metformin pasien diabetes mellitus tipe 2 terkontrol monoterapi sulfonylurea metformin</t>
  </si>
  <si>
    <t>Rp227.500 - Rp407.500</t>
  </si>
  <si>
    <t>QI104708861</t>
  </si>
  <si>
    <t>Zam Buk Ointment 8 g</t>
  </si>
  <si>
    <t>Rp17.300 - Rp23.800</t>
  </si>
  <si>
    <t>Oleskan ZAM BUK bila diperlukan. 1. Bersihkan area yang akan dioles. 2. Oleskan dengan lembut di tempat yang terkena. 3. Segera tutup kembali kemasan.</t>
  </si>
  <si>
    <t>Meredakan rasa nyeri, gatal dengan luka ringan, gatal gigitan serangga dan nyamuk, meredakan memar dan terkilir ringan</t>
  </si>
  <si>
    <t>Dus, Pot @ 8 g</t>
  </si>
  <si>
    <t>camphor bp</t>
  </si>
  <si>
    <t>meredakan nyeri , gatal luka ringan , gatal gigitan serangga nyamuk , meredakan memar terkilir ringan</t>
  </si>
  <si>
    <t>zam buk ointment</t>
  </si>
  <si>
    <t>zam buk ointment  camphor bp meredakan nyeri  gatal luka ringan  gatal gigitan serangga nyamuk  meredakan memar terkilir ringan</t>
  </si>
  <si>
    <t>sodium chloride dextrose anhydrate potassium chloride sodium citrate dihydrate</t>
  </si>
  <si>
    <t>oralit powder sodium chloride dextrose anhydrate potassium chloride sodium citrate dihydrate obat mencegah mengobati dehidrasi akibat diare muntah</t>
  </si>
  <si>
    <t>DTL1104132436A1</t>
  </si>
  <si>
    <t>Zincpro Drop 15 ml</t>
  </si>
  <si>
    <t>Rp37.900 - Rp42.900</t>
  </si>
  <si>
    <t>Setelah makan untuk menghindari rasa tidak enak pada perut.</t>
  </si>
  <si>
    <t>Dosis : Bayi 2-6 bulan : 1 mL (20 tetes) sehari selama 10 hari walaupun diare sudah berhenti. Hanya dapat selama 10 hari setelah tutup di buka. Anak-anak 6 bulan - 5 tahun : 2 mL (40 tetes) sehari selama 10 hari walaupun diare sudah berhenti. Hanya dapat selama 10 hari setelah tutup di buka.</t>
  </si>
  <si>
    <t>Suplementasi zink dan digunakan bersama dengan cairan rehidrasi oral (oralit) untuk mengganti cairan tubuh dan mencegah dehidrasi pada anak.</t>
  </si>
  <si>
    <t>Dus, Botol @ 15 mL</t>
  </si>
  <si>
    <t>suplementasi zink cairan rehidrasi oral oralit mengganti cairan tubuh mencegah dehidrasi anak</t>
  </si>
  <si>
    <t>zincpro drop</t>
  </si>
  <si>
    <t>zincpro drop tetes zinc sulfate monohydrate suplementasi zink cairan rehidrasi oral oralit mengganti cairan tubuh mencegah dehidrasi anak</t>
  </si>
  <si>
    <t>DBL8728903923A1</t>
  </si>
  <si>
    <t>Ramolit 4.24 g Sachet</t>
  </si>
  <si>
    <t>Indikasi Bubuk gula garam untuk mencegah dan mengobati dehidrasi akibat penyakit diare/mencret, dan muntah berak (kolera)</t>
  </si>
  <si>
    <t>dextrose anhydrate</t>
  </si>
  <si>
    <t>indikasi bubuk gula garam mencegah mengobati dehidrasi akibat penyakit diare mencret , muntah berak kolera</t>
  </si>
  <si>
    <t>ramolit</t>
  </si>
  <si>
    <t>ramolit powder dextrose anhydrate indikasi bubuk gula garam mencegah mengobati dehidrasi akibat penyakit diare mencret  muntah berak kolera</t>
  </si>
  <si>
    <t>DKL9815611810A1</t>
  </si>
  <si>
    <t>Eflin 10 Tablet</t>
  </si>
  <si>
    <t>PENGGUNAAN OBAT INI HARUS SESUAI DENGAN PETUNJUK DOKTER. Dewasa &amp; anak &gt; 12 thn 1 tab diberikan 3 kali sehari.</t>
  </si>
  <si>
    <t>Meredakan gejala-gejala gangguan saluran napas atas seperti rinitis alergi &amp; rinitis vasomotor, selesma, &amp; influenza.</t>
  </si>
  <si>
    <t>HARUS DENGAN RESEP DOKTER. Diabetes, hipertensi, penyakit jantung, hipertiroid, peningkatan TIO, pembesaran prostat, gangguan ginjal atau hati. Pasien yang sedang menggunakan obat-obat antihipertensi, antidepresan trisiklik, atau obat simpatometik lain. Hentikan penggunaan obat ini jika terjadi insomnia, palpitasi, atau pusing. Dapat mengganggu kemampuan untuk mengemudi atau menjalankan mesin. Hamil &amp; laktasi. Anak &lt;2 thn.</t>
  </si>
  <si>
    <t>meredakan gejala - gejala gangguan saluran napa rinitis alergi rinitis vasomotor , selesma , influenza</t>
  </si>
  <si>
    <t>eflin tablet pseudoephedrine hydrochloride triprolidine hydrochloride meredakan gejala  gejala gangguan saluran napa rinitis alergi rinitis vasomotor  selesma  influenza</t>
  </si>
  <si>
    <t>TR152287751</t>
  </si>
  <si>
    <t>Tay Pin San Sachet</t>
  </si>
  <si>
    <t>NEW TAY PIN SAN CAP KUPU-KUPU</t>
  </si>
  <si>
    <t>Rp4.900 - Rp5.900</t>
  </si>
  <si>
    <t>Obat diseduh dengan 100 m air hangat, diaduk kemudian diminum</t>
  </si>
  <si>
    <t>Dewasa : 3 x sehari 1 sachet. Anak : 3 x sehari 1/2 sachet.</t>
  </si>
  <si>
    <t>Membantu meredakan sakit perut,kembung, mengurangi frekuensi diare</t>
  </si>
  <si>
    <t>Dus, 12 Sachet @ 2 gram</t>
  </si>
  <si>
    <t>Simpan ditempat sejuk dan kering, terlindung dari cahaya matahari</t>
  </si>
  <si>
    <t>new tay pin san cap kupu-kupu</t>
  </si>
  <si>
    <t>membantu meredakan sakit perut , kembung , mengurangi frekuensi diare</t>
  </si>
  <si>
    <t>tay pin san</t>
  </si>
  <si>
    <t>tay pin san sachet new tay pin san cap kupukupu membantu meredakan sakit perut  kembung  mengurangi frekuensi diare</t>
  </si>
  <si>
    <t>DTL0209213604A1</t>
  </si>
  <si>
    <t>Brocon 10 Kaplet</t>
  </si>
  <si>
    <t>Rp9.000 - Rp9.700</t>
  </si>
  <si>
    <t>Dewasa : 3x sehari 1 kapl, anak 6-12 thn : 3 x sehari 1/2 kapl</t>
  </si>
  <si>
    <t>meringankan gejala flu seperti demam, sakit kepala, hidung tersumbat dan bersin-bersin disertai batuk tidak berdahak</t>
  </si>
  <si>
    <t>Penderita dengan gangguan fungsi hati yang berat. Penderita dengan gangguan jangtung dan diabetes mellitus. Penderita hipersensitif terhadap komponen obat ini.</t>
  </si>
  <si>
    <t>Tidak dianjurkan penggunaan pada anak anak usia dibawah 6 tahun, wanita hamil dan menyusui, kecuali atas petunjuk dokter.</t>
  </si>
  <si>
    <t>meringankan gejala flu demam , sakit kepala , hidung tersumbat bersin - bersin disertai batuk tidak berdahak</t>
  </si>
  <si>
    <t>brocon</t>
  </si>
  <si>
    <t>brocon kaplet chlorphenamine maleate meringankan gejala flu demam  sakit kepala  hidung tersumbat bersin  bersin disertai batuk tidak berdahak</t>
  </si>
  <si>
    <t>Tay Pin San 12 Sachet</t>
  </si>
  <si>
    <t>Rp41.900 - Rp49.500</t>
  </si>
  <si>
    <t>Simpan ditempat yang sejuk, jauhkan dari sinar m,atahri langsung</t>
  </si>
  <si>
    <t>DTL1206313837A1</t>
  </si>
  <si>
    <t>Erlaflu Sirup 60 ml</t>
  </si>
  <si>
    <t>Rp5.600 - Rp11.400</t>
  </si>
  <si>
    <t>Untuk meringankan gejala-gejala flu seperti demam, sakit kepala, hidung tersumbat dan bersin-bersin yang disertai batuk.</t>
  </si>
  <si>
    <t>untuk meringankan gejala - gejala flu demam , sakit kepala , hidung tersumbat bersin - bersin disertai batuk</t>
  </si>
  <si>
    <t>erlaflu</t>
  </si>
  <si>
    <t>erlaflu sirup chlorphenamine maleate untuk meringankan gejala  gejala flu demam  sakit kepala  hidung tersumbat bersin  bersin disertai batuk</t>
  </si>
  <si>
    <t>DKL1006312710A1</t>
  </si>
  <si>
    <t>Erlapect 10 Tablet</t>
  </si>
  <si>
    <t>Rp4.500 - Rp12.000</t>
  </si>
  <si>
    <t>Sebagai sekretolitik pada gangguan saluran nafas akut dan kronis khususnya pada eksaserbasi bronkhitis kronis dan bronkhitis asmatik dan asthma bronkial</t>
  </si>
  <si>
    <t>Dos Isi 10 Blister @ 10 Tablet</t>
  </si>
  <si>
    <t>sebagai sekretolitik gangguan saluran nafas akut kronis eksaserbasi bronkhitis kronis bronkhitis asmatik asthma bronkial</t>
  </si>
  <si>
    <t>erlapect</t>
  </si>
  <si>
    <t>erlapect tablet ambroxol hydrochloride sebagai sekretolitik gangguan saluran nafas akut kronis eksaserbasi bronkhitis kronis bronkhitis asmatik asthma bronkial</t>
  </si>
  <si>
    <t>DTL1204521037A1</t>
  </si>
  <si>
    <t>Daryazinc Syrup 60 ml</t>
  </si>
  <si>
    <t>Rp41.000 - Rp44.900</t>
  </si>
  <si>
    <t>Sebaiknya diberikan pada saat perut kosong: Paling baik diberikan sekurang-kurangnya 1 jam sebelum atau 2 jam sesudah makan. Dapat diberikan bersama makanan untuk mengurangi rasa tidak nyaman pada saluran cerna (GI).</t>
  </si>
  <si>
    <t>? Bayi 2-6 bulan : 1/2 sendok takar (10mg) setiap hari selama 10 hari berturut-turut (meskipun diare sudah berhenti). ? Anak-anak 6 bulan-5tahun : 1 sendok takar (20 mg) setiap hari selama 10 hari berturut-turut (meskipun diare sudah berhenti).</t>
  </si>
  <si>
    <t>Pelengkap ORS yang diperlukan untuk pengganti cairan tubuh dan pencegahan dehidrasi pada anak, dan digunakan bersama ORS (Oral Rehydration Salt)/Oralit</t>
  </si>
  <si>
    <t>Selama diare masih berlangsung, selain diberikan suplementasi Zinc, juga diberikan Oralit, para ibu menyusui dianjurkan tetap menyusui atau meningkatkan frekuensi menyusui pada anak selama dan setelah diare.</t>
  </si>
  <si>
    <t>pelengkap ors pengganti cairan tubuh pencegahan dehidrasi anak , ors oral rehydration salt oralit</t>
  </si>
  <si>
    <t>daryazinc</t>
  </si>
  <si>
    <t>daryazinc sirup zinc sulfate monohydrate pelengkap ors pengganti cairan tubuh pencegahan dehidrasi anak  ors oral rehydration salt oralit</t>
  </si>
  <si>
    <t>Rp41.000 - Rp44.800</t>
  </si>
  <si>
    <t>Laxadine Emulsi 60 ml</t>
  </si>
  <si>
    <t>Rp50.400 - Rp66.000</t>
  </si>
  <si>
    <t>&gt;12 th: 1 x sehari 1-2 sendok makan, 6-12 th: 1 x sehari 0.5-1 sendok makan</t>
  </si>
  <si>
    <t>Pelicin jalannya feses (kotoran), penambahan volume feses (kotoran) secara sistematis sehingga mudah dikeluarkan</t>
  </si>
  <si>
    <t>pelicin jalannya fes kotoran , penambahan volume fes kotoran sistematis mudah dikeluarkan</t>
  </si>
  <si>
    <t>laxadine emulsi</t>
  </si>
  <si>
    <t>laxadine emulsi sirup paraffin  liquid glycerol phenolphthalein pelicin jalannya fes kotoran  penambahan volume fes kotoran sistematis mudah dikeluarkan</t>
  </si>
  <si>
    <t>DKL8322200363A1</t>
  </si>
  <si>
    <t>Erysanbe 200 mg 10 Tablet Kunyah</t>
  </si>
  <si>
    <t>Rp27.600 - Rp27.700</t>
  </si>
  <si>
    <t>PENGGUNAAN OBAT INI HARUS SESUAI DENGAN PETUNJUK DOKTER. Dewasa &gt; 20 kg : 1 - 2 4 kali sehari. Anak : 30 - 50 mg/kg BB/hari. Diberikan dalam dosis terbagi tiap 6 jam</t>
  </si>
  <si>
    <t>Infeksi sal nafas, kulit dan jar lunak, pneumonia, GO, infeksi karena kuman yang peka terhadap eritromisin</t>
  </si>
  <si>
    <t>Tablet 200 Mg X 10 X 10</t>
  </si>
  <si>
    <t>infeksi sal nafas , kulit jar lunak , pneumonia , go , infeksi kuman peka eritromisin</t>
  </si>
  <si>
    <t>erysanbe kunyah</t>
  </si>
  <si>
    <t>erysanbe kunyah tablet erythromycin ethyl succinate infeksi sal nafas  kulit jar lunak  pneumonia  go  infeksi kuman peka eritromisin</t>
  </si>
  <si>
    <t>DKL0721015310A1</t>
  </si>
  <si>
    <t>Celestik 10 Tablet</t>
  </si>
  <si>
    <t>Rp16.000 - Rp29.100</t>
  </si>
  <si>
    <t>PENGGUNAAN OBAT INI HARUS SESUAI DENGAN PETUNJUK DOKTER. Dewasa dan anak diatas 12 tahun: sehari 3-4 x 1-2 tablet. Anak 6-12 tahun: sehari 3 x 0.5 tablet. Anak 2-6 tahun: sehari 4 x 0.25 - 0.5 tablet.</t>
  </si>
  <si>
    <t>INFORMASI OBAT INI HANYA UNTUK KALANGAN MEDIS. Terapi kasus-kasus sulit terkait dengan pernafasan, kulit, alergi pada mata dan gangguan radang pada mata dimana terapi kortikoid sistemik dibutuhkan.</t>
  </si>
  <si>
    <t>Infeksi jamur sistemik, Hipersensitif terhadap bethametasone atau dexchlorpheniramine</t>
  </si>
  <si>
    <t>HARUS DENGAN RESEP DOKTER. Hindari pemberian pada pasien yang sedang diberikan vaksin. Kategori kehamilan: Kategori C:Mungkin berisiko. Obat digunakan dengan hati-hati apabila besarnya manfaat yang diperoleh melebihi besarnya risiko terhadap janin. Penelitian pada hewan uji menunjukkan risiko terhadap janin dan belum terdapat penelitian langsung terhadap wanita hamil.</t>
  </si>
  <si>
    <t>terapi - sulit terkait pernafasan , kulit , alergi mata gangguan radang mata dimana terapi kortikoid sistemik dibutuhkan</t>
  </si>
  <si>
    <t>celestik</t>
  </si>
  <si>
    <t>celestik tablet betamethasone terapi  sulit terkait pernafasan  kulit  alergi mata gangguan radang mata dimana terapi kortikoid sistemik dibutuhkan</t>
  </si>
  <si>
    <t>DKL0509214904A1</t>
  </si>
  <si>
    <t>Roverton 30 mg 10 Kaplet</t>
  </si>
  <si>
    <t>HARUS DENGAN RESEP DOKTER. Disfungsi hati dan ginjal. Kehamilan, laktasi</t>
  </si>
  <si>
    <t>roverton kaplet ambroxol hydrochloride sebagai sekretolitik gangguan saluran nafas akut kronis eksaserbasi bronkitis kronis bronkitis asmatik asma bronkial</t>
  </si>
  <si>
    <t>GKL1312427438A1</t>
  </si>
  <si>
    <t>Erythromycin Sirup Kering 60 ml</t>
  </si>
  <si>
    <t>Rp22.500 - Rp28.900</t>
  </si>
  <si>
    <t>PENGGUNAAN OBAT INI HARUS SESUAI DENGAN PETUNJUK DOKTER. Dewasa : 250-500 mg, 4 kali sehari. Anak-anak : 30-50 mg/kg berat badan dalam sehari. Dosis tersebut dibagi menjadi 4, 3, atau 2 dosis atau diberikan setiap 6, 8, atau 12 jam. Anak dibawah 2 tahun : 125 mg, 4 kali sehari.</t>
  </si>
  <si>
    <t>Untuk mencegah infeksi saluran nafas bagian atas terutama yang disebabkan oleh kuman S. pyogenes (streptokokus grup A beta-hemolitik)</t>
  </si>
  <si>
    <t>Botol, 60 ml</t>
  </si>
  <si>
    <t>Hipersensitivitas. Pasien menerima astemizole, terfenadine, cisapride, pimozide, ergotamine atau dihydroergotamine.</t>
  </si>
  <si>
    <t>HARUS DENGAN RESEP DOKTER. Pasien dengan pernapjangan repolarisasi jantung dan interval QT, hipokalemi yang tidak terkoreksi atau hipomagnesemia, bradikardia yang bermakna secara klinis, miastenia gravis. Kerusakan hati. Kehamilan dan menyusui.</t>
  </si>
  <si>
    <t>untuk mencegah infeksi saluran nafas disebabkan kuman s  pyogenes streptokokus grup a beta - hemolitik</t>
  </si>
  <si>
    <t>erythromycin kering</t>
  </si>
  <si>
    <t>erythromycin kering sirup erythromycin untuk mencegah infeksi saluran nafas disebabkan kuman s  pyogenes streptokokus grup a beta  hemolitik</t>
  </si>
  <si>
    <t>DKL1111640937A1</t>
  </si>
  <si>
    <t>Cetinal Syrup 60 ml</t>
  </si>
  <si>
    <t>Rp101.300 - Rp118.900</t>
  </si>
  <si>
    <t>Diberikan sesudah atau sebelum makan</t>
  </si>
  <si>
    <t>PENGGUNAAN OBAT INI HARUS SESUAI DENGAN PETUNJUK DOKTER. Dewasa dan anak &gt; 6 tahun : 10 ml (10 mg Cetirizine) diminum 1 kali sehari. atau 5 ml (5 mg Cetirizine) diminum 2 kali per hari. Anak 2-6 tahun: 5 ml (5 mg Cetirizine) diminum 1 kali sehari. atau 2.5 ml (2.5 mg Cetirizine) diminum 2 kali per hari.</t>
  </si>
  <si>
    <t>Meredakan gejala rinitis alergi perenial, rinitis alergi musiman, dan urtikaria idiopatik kronik pada dewasa dan anak-anak.</t>
  </si>
  <si>
    <t>Hipersensitif terhadap Cetirizine. Cetirizine dikontraindikasikan pada Ibu menyusui karena obat ini dapat diekskresikan ke dalam air susu ibu.</t>
  </si>
  <si>
    <t>HARUS DENGAN RESEP DOKTER. Dapat mengganggu kemampuan berkendara atau menjalankan mesin. Tidak dikonsumsi bersama dengan alkohol atau depresan sistem saraf pusat. Hipersensitif terhadap cetirizine</t>
  </si>
  <si>
    <t>meredakan gejala rinitis alergi perenial , rinitis alergi musiman , urtikaria idiopatik kronik dewasa anak - anak</t>
  </si>
  <si>
    <t>cetinal</t>
  </si>
  <si>
    <t>cetinal sirup cetirizine dihydrochloride meredakan gejala rinitis alergi perenial  rinitis alergi musiman  urtikaria idiopatik kronik dewasa anak  anak</t>
  </si>
  <si>
    <t>DTL0113019737A1</t>
  </si>
  <si>
    <t>Termorex Plus Sirup 60 ml</t>
  </si>
  <si>
    <t>Rp17.800 - Rp20.700</t>
  </si>
  <si>
    <t>2-5 tahun : 1 sendok takar 3 x sehari 6-12 tahun : 2 sendok takar 3 x sehari</t>
  </si>
  <si>
    <t>Untuk meringankan gejala flu seperti demam, sakit kepala, hidung tersumbat dan bersin-bersin yang disertai batuk.</t>
  </si>
  <si>
    <t>Pasien yang memiliki kepekaan terhadap obat simpatomimetik lain seperti, efedrin, fenilefrin. Pasien yang sedang menggunakan obat-obat golongan monoamine oksidase (MAO) inhibitors, karena bisa meningkatkan tekanan darah. Pasien penderita diabetes mellitus, penyakit jantung, hipertensi berat, penyakit arteri koroner berat, hipertrofi prostat, hipertiroid, dan closed angle galucoma.</t>
  </si>
  <si>
    <t>Pemakaian Termorex Plus harus dihentikan jika tanda-tanda awal reaksi alergi seperti ruam, gatal, sakit tenggorokan, demam, arthralgia, pucat, atau tanda-tanda lainnya. Obat ini harus digunakan secara hati-hati pada pasien yang mempunyai penyakit asma. Paracetamol diketahui ikut keluar bersama air susu ibu (ASI) meskipun dalam jumlah yang kecil. Penggunaan Termorex Plus oleh ibu menyusui sebaiknya dikonsultasikan dengan dokter. Jika anda mengkonsumsi alkohol, potensi terjadinya kerusakan hati sangat tinggi terutama pada pemakaian jangka panjang dan dosis yang lebih tinggi. Orang-orang yang punya resiko terkena hipertensi atau stroke, misalnya orang yang kelebihan berat badan (obesitas), dan orang usia lanjut, harus hati-hati menggunakan obat ini. Penderita disfungsi ginjal, hati, memiliki penyakit glaukoma, hipertrofi prostat, hipertiroid, harus hati-hati menggunakan obat ini. Hati-hati menggunakan obat ini pada pasien dengan gangguan fungsi hati dan ginjal.</t>
  </si>
  <si>
    <t>untuk meringankan gejala flu demam , sakit kepala , hidung tersumbat bersin - bersin disertai batuk</t>
  </si>
  <si>
    <t>termorex plus</t>
  </si>
  <si>
    <t>termorex plus sirup chlorphenamine maleate untuk meringankan gejala flu demam  sakit kepala  hidung tersumbat bersin  bersin disertai batuk</t>
  </si>
  <si>
    <t>Termorex Plus Sirup 30 ml</t>
  </si>
  <si>
    <t>Rp10.700 - Rp11.000</t>
  </si>
  <si>
    <t>Anak berusia 6-12 tahun : 3 kali sehari 10 mL (2 sendok teh). Anak berusia 2-5 tahun : 3 kali sehari 5 mL (1 sendok teh).</t>
  </si>
  <si>
    <t>Pasien yang memiliki riwayat hipersensitif terhadap salah satu komposisi dari Termorex Plus</t>
  </si>
  <si>
    <t>Pemakaian Termorex Plus harus dihentikan jika tanda-tanda awal reaksi alergi seperti ruam, gatal, sakit tenggorokan, demam, arthralgia, pucat, atau tanda-tanda lainnya. Obat ini harus digunakan secara hati-hati pada pasien yang mempunyai penyakit asma.</t>
  </si>
  <si>
    <t>paracetamol phenylephrine hydrochloride chlorphenamine maleate</t>
  </si>
  <si>
    <t>ultraflu pe kaplet paracetamol phenylephrine hydrochloride chlorphenamine maleate meringankan gejala flu demam  sakit kepala  hidung tersumbat bersin  bersin</t>
  </si>
  <si>
    <t>DKI0987101714A1</t>
  </si>
  <si>
    <t>Aerius D-12 5 Tablet</t>
  </si>
  <si>
    <t>Dewasa dan remaja &gt; 12 tahun : 2 x sehari 1 tablet</t>
  </si>
  <si>
    <t>INFORMASI OBAT INI HANYA UNTUK KALANGAN MEDIS. Meredakan gejala-gejala nasal dan non nasal dari rhinitis alergi, termasuk kongesti nasal (hidung tersumbat)</t>
  </si>
  <si>
    <t>Dus, 2 Blister @ 5 Tablet Pelepasan Lambat</t>
  </si>
  <si>
    <t>Hipersensitivitas terhadap adrenergik atau loratadin. Terapi bersama dengan MAOI atau dalam wkt 14 hari sesudah terapi dihentikan. Glaukoma sudut sempit, retensi urin, hipertensi berat, penyakit arteri koroner berat, pernah atau berisiko lebih tinggi mengalami stroke hemoragik.</t>
  </si>
  <si>
    <t>HARUS DENGAN RESEP DOKTER. Hentikan terapi pada kasus hipertensi, hentikan penggunaan selama 48 jam sebelum dilakukan tes kulit,Dapat menyebabkan hasil positif pada test doping, wanita hamil dan laktasi</t>
  </si>
  <si>
    <t>pseudoephedrine sulfate desloratadine</t>
  </si>
  <si>
    <t>meredakan gejala - gejala nasal non nasal rhinitis alergi , kongesti nasal hidung tersumbat</t>
  </si>
  <si>
    <t>aerius d</t>
  </si>
  <si>
    <t>aerius d tablet pseudoephedrine sulfate desloratadine meredakan gejala  gejala nasal non nasal rhinitis alergi  kongesti nasal hidung tersumbat</t>
  </si>
  <si>
    <t>DBL1721207537A1</t>
  </si>
  <si>
    <t>Dulcolactol Sirup 60 ml</t>
  </si>
  <si>
    <t>Rp73.100 - Rp96.100</t>
  </si>
  <si>
    <t>Anak- anak 1-5 tahun 2 x 5 ml perhari Anak- anak 5-10 tahun 2 x 10 ml perhari Anak- anak &lt;1 tahun 2 x 2.5 ml perhari Dewasa keadaan ringan Dosis awal 15 ml. Dosis penunjang 10 ml Dewasa keadaan sedang Dosis awal 15 - 30 ml. Dosis penunjang 10 - 15 ml Dewasa Keadaan Parah Dosis awal 2 x 15 ml per hari. Dosis penunjang 15 - 25 ml Wanita hamil Lakukan konsultasi terlebih dahulu dengan dokter. Dulcolactol dapat dicampurkan dengan sari buah, air, dan susu</t>
  </si>
  <si>
    <t>Untuk pengobatan konstipasi pada pasien dengan konstipasi kronis Untuk portal systemic encephalopathy termasuk keadaan pre koma hepatik &amp; koma hepatic</t>
  </si>
  <si>
    <t>Hipersensitivitas, obstruksi intestinal &amp; galaktosemia.</t>
  </si>
  <si>
    <t>Penderita DM. Hamil dan menyusui. Lanjut usia.</t>
  </si>
  <si>
    <t>untuk pengobatan konstipasi pasien konstipasi kronis untuk portal systemic encephalopathy pre koma hepatik koma hepatic</t>
  </si>
  <si>
    <t>dulcolactol</t>
  </si>
  <si>
    <t>dulcolactol sirup lactulose untuk pengobatan konstipasi pasien konstipasi kronis untuk portal systemic encephalopathy pre koma hepatik koma hepatic</t>
  </si>
  <si>
    <t>DKL1106313137A1</t>
  </si>
  <si>
    <t>Erlapect Sirup 60 ml</t>
  </si>
  <si>
    <t>erlapect sirup ambroxol hydrochloride sebagai sekretolitik gangguan saluran nafas akut kronis eksaserbasi bronkhitis kronis bronkhitis asmatik asthma bronkial</t>
  </si>
  <si>
    <t>DTL0127803610A1</t>
  </si>
  <si>
    <t>Cetymin 10 mg 10 Tablet</t>
  </si>
  <si>
    <t>Rp48.600 - Rp62.100</t>
  </si>
  <si>
    <t>PENGGUNAAN OBAT INI HARUS SESUAI DENGAN PETUNJUK DOKTER. Dewasa &amp; anak &gt;12 tahun Tab 10 mg perhari.</t>
  </si>
  <si>
    <t>Terapi untuk Rinitis Alergi menahun dan musiman, Urtikaria idiopatik khronik, Konjungtivitis alergi &amp; gangguan Kulit lainnya akibat Alergi</t>
  </si>
  <si>
    <t>1 Dos isi 5 Strip x 10 Tablet</t>
  </si>
  <si>
    <t>HARUS DENGAN RESEP DOKTER. Hindari penggunaan bersama obat-obat yang menekan SSP &amp; alkohol. Dpt mengganggu kemampuan mengemudi kendaraan atau menjalankan mesin. Pasien dengan gangguan fungsi ginjal. Anak &lt;6 tahun. Hamil.</t>
  </si>
  <si>
    <t>terapi rinitis alergi menahun musiman , urtikaria idiopatik khronik , konjungtivitis alergi gangguan kulit akibat alergi</t>
  </si>
  <si>
    <t>cetymin</t>
  </si>
  <si>
    <t>cetymin tablet cetirizine hydrochloride terapi rinitis alergi menahun musiman  urtikaria idiopatik khronik  konjungtivitis alergi gangguan kulit akibat alergi</t>
  </si>
  <si>
    <t>potassium chloride sodium chloride sodium citrate dihydrate dextrose anhydrate</t>
  </si>
  <si>
    <t>oralit powder potassium chloride sodium chloride sodium citrate dihydrate dextrose anhydrate obat mencegah mengobati dehidrasi akibat diare muntah</t>
  </si>
  <si>
    <t>redusec kapsul omeprazole pellet 85 ulkus tukak lambung usus halus diakibatkan obat2 nsaid  reflux esofagitis  sindrom zollinger  ellison</t>
  </si>
  <si>
    <t>DKL0435300617A1</t>
  </si>
  <si>
    <t>Ratinal 150 mg 10 Tablet</t>
  </si>
  <si>
    <t>Rp65.200 - Rp67.600</t>
  </si>
  <si>
    <t>PENGGUNAAN OBAT INI HARUS SESUAI DENGAN PETUNJUK DOKTER. Tablet : Untuk ulkus duodenum aktif : 150 mg 2 kali/hari(pagi dan malam) atau 300 mg/hari sebelum tidur selama 4-8 minggu. Untuk ulkus gaster patoologis : 150 mg 2 kali/hari selama 4-8 minggu. Untuk refluks esofagitis : 150 mg 2 kali/hari selama 8 minggu Untuk pencegahan ulkus peptik kambuh : 150 mg pada malam hari selama 12 bulan</t>
  </si>
  <si>
    <t>Sakit maag, Tukak/Ulkus lambung, Reflux Esofagitis, Pencegahan kambuhnya tukak/ulkus Peptik, Hipersekresi patologis</t>
  </si>
  <si>
    <t>Dus, 3 strip @ 10 Tablet salut selaput</t>
  </si>
  <si>
    <t>Riwayat porfiria akut.</t>
  </si>
  <si>
    <t>Obat Wajib Apotek, Obat ini dapat dibeli dan diserahkan apoteker tanpa resep dengan maksimum 1 Strip. Pembelian melebihi batas ini WAJIB RESEP DOKTER. Hamil, laktasi, gagal ginjal, hati, anak, kanker lambung.</t>
  </si>
  <si>
    <t>sakit maag , tukak ulkus lambung , reflux esofagitis , pencegahan kambuhnya tukak ulkus peptik , hipersekresi patologis</t>
  </si>
  <si>
    <t>ratinal</t>
  </si>
  <si>
    <t>ratinal tablet ranitidine hydrochloride sakit maag  tukak ulkus lambung  reflux esofagitis  pencegahan kambuhnya tukak ulkus peptik  hipersekresi patologis</t>
  </si>
  <si>
    <t>DTL0921636163A1</t>
  </si>
  <si>
    <t>Polysilane Max Blueberry 4 Tablet Kunyah</t>
  </si>
  <si>
    <t>Berikan sebelum makan dengan cara dikunyah</t>
  </si>
  <si>
    <t>Anak &gt; 12 tahun : 1 tablet kunyah. Maksimal 2 tablet/ hari</t>
  </si>
  <si>
    <t>Mengurangi gejala hiperasiditas seperti mual, nyeri lambung, nyeri perut, yang tidak dapat diatasi dengan antasid saja</t>
  </si>
  <si>
    <t>Dus, 10 Catch Cover @ 1 Strip @ 4 Tablet Kunyah</t>
  </si>
  <si>
    <t>Gangguan fungsi jantung, hati, dan ginjal, penggunaan jangka panjang dan penggunaan selama &gt; 2minggu. Hamil dan menyusui</t>
  </si>
  <si>
    <t>mengurangi gejala hiperasiditas mual , nyeri lambung , nyeri perut , tidak diatasi antasid</t>
  </si>
  <si>
    <t>polysilane max blueberry kunyah</t>
  </si>
  <si>
    <t>polysilane max blueberry kunyah tablet calcium carbonate mengurangi gejala hiperasiditas mual  nyeri lambung  nyeri perut  tidak diatasi antasid</t>
  </si>
  <si>
    <t>DBL0234000563A1</t>
  </si>
  <si>
    <t>Novamag 10 Tablet</t>
  </si>
  <si>
    <t>Rp2.500 - Rp6.200</t>
  </si>
  <si>
    <t>Sebelum atau sesudah makan dan menjelang tidur malam</t>
  </si>
  <si>
    <t>3-4 kali sehari 1 tablet</t>
  </si>
  <si>
    <t>Mengurangi gejala-gejala yang berhubungan dengan kelebihan asam lambung, gastritis, tukak lambung, dan tukak usus dua belas jari.</t>
  </si>
  <si>
    <t>Gangguan fungsi ginjal berat, reaksi hipersensitif</t>
  </si>
  <si>
    <t>mengurangi gejala - gejala berhubungan kelebihan asam lambung , gastritis , tukak lambung , tukak usus belas jari</t>
  </si>
  <si>
    <t>novamag</t>
  </si>
  <si>
    <t>novamag tablet aluminium hydroxide mengurangi gejala  gejala berhubungan kelebihan asam lambung  gastritis  tukak lambung  tukak usus belas jari</t>
  </si>
  <si>
    <t>Marimer Isotonic Nasal Spray 100 ml</t>
  </si>
  <si>
    <t>Sempotkan pada tiap lubang hidung. Lama penyemprotan 1-2 detik. Bersihkan nosel dengan air sabun hangat setelah digunakan. Bilas dan keringkan</t>
  </si>
  <si>
    <t>1 - 2 semprotan per lubang hidung, 1 hingga 3 kali sehari sesuai kebutuhan. Dapat digunakan setiap hari.</t>
  </si>
  <si>
    <t>MARIMER ISOTONIC direkomendasikan untuk : - pemakaian sehari-hari pada saluran rongga hidung - Melembabkan membran mukosa nasal yang kering.</t>
  </si>
  <si>
    <t>Hipersensitivitas. Jangan digunakan untuk bayi prematur</t>
  </si>
  <si>
    <t>Kemasan bertekanan, dapat meledak jika dipanaskan. Hindarkan dari panas atau api dan cahaya matahari langsung. Jangan disimpan pada suhu diatas 50 C. Jangan digunakan setelah tanggal kadaluarsa yang tercantum pada kemasan. Jauhkan dari jangkauan anak-anak.</t>
  </si>
  <si>
    <t>marimer isotonic direkomendasikan - pemakaian sehari - saluran rongga hidung - melembabkan membran mukosa nasal kering</t>
  </si>
  <si>
    <t>marimer isotonic nasal</t>
  </si>
  <si>
    <t>marimer isotonic nasal tablet guaifenesin marimer isotonic direkomendasikan  pemakaian sehari  saluran rongga hidung  melembabkan membran mukosa nasal kering</t>
  </si>
  <si>
    <t>DBL8918805733A1</t>
  </si>
  <si>
    <t>Magtral Sirup 120 ml</t>
  </si>
  <si>
    <t>Rp47.800 - Rp57.100</t>
  </si>
  <si>
    <t>Diminum 1 jam sesudah makan dan menjelang tidur malam</t>
  </si>
  <si>
    <t>Dewasa: 3-4 X sehari 5-10 ml sendok takar. Anak-anak: 3 X sehari 2.5-5 ml sendok takar.</t>
  </si>
  <si>
    <t>Botol 120 ml</t>
  </si>
  <si>
    <t>Tidak dianjurkan penggunaan pada bayi, Hati-hati penggunaan pada penderita gangguan ginjal dan diet rendah fosfat, Jangan digunakan secara terus menerus.</t>
  </si>
  <si>
    <t>magtral</t>
  </si>
  <si>
    <t>magtral suspensi aluminium hydroxide mengurangi gejala  gejala berhubungan kelebihan asam lambung  gastritis  tukak lambung  tukak usus belas jari</t>
  </si>
  <si>
    <t>DBL8818804663A1</t>
  </si>
  <si>
    <t>Magtral - Mint 10 Tablet</t>
  </si>
  <si>
    <t>Diberikan diantara waktu makan. Tablet dikunyah sampai halus sebelum ditelan</t>
  </si>
  <si>
    <t>3 x sehari 1-2 tablet kunyah</t>
  </si>
  <si>
    <t>Sakit maag, Hiperasiditas, Tukak lambung/usus halus, Perut kembung, Dispepsia/gangguan pencernaan, Heartbum</t>
  </si>
  <si>
    <t>Dus 10 strip @10 tablet</t>
  </si>
  <si>
    <t>Tidak dianjurkan untuk penggunaan dalam jangka panjang, Tidak dianjurkan penggunaan pada anak</t>
  </si>
  <si>
    <t>sakit maag , hiperasiditas , tukak lambung usus halus , perut kembung , dispepsia gangguan pencernaan , heartbum</t>
  </si>
  <si>
    <t>magtral mint</t>
  </si>
  <si>
    <t>magtral mint tablet aluminium hydroxide sakit maag  hiperasiditas  tukak lambung usus halus  perut kembung  dispepsia gangguan pencernaan  heartbum</t>
  </si>
  <si>
    <t>- KOMBINASI-OMEPRAZOLE PELLET 8. 5%</t>
  </si>
  <si>
    <t>kombinasi-omeprazole pellet 8 5%</t>
  </si>
  <si>
    <t>rindopump kapsul kombinasiomeprazole pellet 8 5 terapi jangka pendek tukak duodenum  tukak lambung  refluks esofagitis  sindroma zollinger  ellison</t>
  </si>
  <si>
    <t>Quixx Nasal Protection</t>
  </si>
  <si>
    <t>Rp96.500 - Rp124.400</t>
  </si>
  <si>
    <t>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t>
  </si>
  <si>
    <t>Gunakan 2-3 kali per hari untuk mengatasi alergi rhinitis.</t>
  </si>
  <si>
    <t>Semprot hidung ini digunakan sebagai perawatan pencegahan untuk mengatasi alergi rhinitis, meredakan hidung berair, tersumbat, dan bersin-bersin.</t>
  </si>
  <si>
    <t>Dus, Botol @ 800 mg</t>
  </si>
  <si>
    <t>Simpan ditempat kering dan sejuk. Hindari kontak dengan mata. Dapat digunakan dalam waktu 6 bulan setelah dibuka.</t>
  </si>
  <si>
    <t>semprot hidung perawatan pencegahan mengatasi alergi rhinitis , meredakan hidung berair , tersumbat , bersin - bersin</t>
  </si>
  <si>
    <t>quixx nasal protection</t>
  </si>
  <si>
    <t>quixx nasal protection tablet guaifenesin semprot hidung perawatan pencegahan mengatasi alergi rhinitis  meredakan hidung berair  tersumbat  bersin  bersin</t>
  </si>
  <si>
    <t>DKL9321614203A2</t>
  </si>
  <si>
    <t>Inhipump 20 mg 7 Kapsul</t>
  </si>
  <si>
    <t>- KOMBINASI-OMEPRAZOLE ENTERIC COATED 8.5</t>
  </si>
  <si>
    <t>Rp92.000 - Rp122.300</t>
  </si>
  <si>
    <t>Dus, 1 Strip X 7 Kapsul</t>
  </si>
  <si>
    <t>Obat Wajib Apotek, Obat ini dapat dibeli dan diserahkan apoteker tanpa resep dengan maksimum 1 Strip. Pembelian melebihi batas ini WAJIB RESEP DOKTER. Kemungkinan keganasan di lambung harus disingkirkan sebelum terapi. Monitor efek hipoklorhidia &amp; hipergastrinemia pada terapi jangka lama. Hamil, laktasi, anak.</t>
  </si>
  <si>
    <t>kombinasi-omeprazole enteric coated 85</t>
  </si>
  <si>
    <t>inhipump</t>
  </si>
  <si>
    <t>inhipump kapsul kombinasiomeprazole enteric coated 85 pengobatan jangka pendek tukak duodenal  tukak lambung  refluks esofagitis  sindrom zollinger  ellison</t>
  </si>
  <si>
    <t>DKL9507805109A1</t>
  </si>
  <si>
    <t>Hufadine 150 mg 10 Tablet</t>
  </si>
  <si>
    <t>Rp3.300 - Rp4.500</t>
  </si>
  <si>
    <t>Lansia, Ibu hamil dan menyusui, Kanker lambung, Penyakit ginjal, Mengonsumsi obat non-steroid anti-inflamasi, Sakit paru paru, Diabetes, Masalah dengan sistem kekebalan tubuh, dan Porfiria akut (gangguan metabolisme langka).</t>
  </si>
  <si>
    <t>Obat Wajib Apotek, Obat ini dapat dibeli dan diserahkan apoteker tanpa resep dengan maksimum 1 Strip. Pembelian melebihi batas ini WAJIB RESEP DOKTER. Hamil, laktasi, gagal ginjal, hati, anak, kanker lambung. Kategori Kehamilan : B</t>
  </si>
  <si>
    <t>hufadine</t>
  </si>
  <si>
    <t>hufadine kaplet ranitidine hydrochloride sakit maag  tukak ulkus lambung  reflux esofagitis  pencegahan kambuhnya tukak ulkus peptik  hipersekresi patologis</t>
  </si>
  <si>
    <t>DKL8517603317A1</t>
  </si>
  <si>
    <t>Gastridin 150 mg 10 Tablet</t>
  </si>
  <si>
    <t>Rp85.300 - Rp92.200</t>
  </si>
  <si>
    <t>gastridin</t>
  </si>
  <si>
    <t>gastridin tablet ranitidine hydrochloride sakit maag  tukak ulkus lambung  reflux esofagitis  pencegahan kambuhnya tukak ulkus peptik  hipersekresi patologis</t>
  </si>
  <si>
    <t>bromhexine hydrochloride diphenhydramine hydrochloride paracetamol</t>
  </si>
  <si>
    <t>hustab tablet bromhexine hydrochloride diphenhydramine hydrochloride paracetamol bronkosekretolitik batuk berhubungan iritasi membran mukosa  saluran nafas produksi dahak kental</t>
  </si>
  <si>
    <t>DBL9430903463A1</t>
  </si>
  <si>
    <t>Lexacrol 10 Tablet</t>
  </si>
  <si>
    <t>Rp6.100 - Rp6.700</t>
  </si>
  <si>
    <t>Untuk suspensi diberikan 1 jam sesudah makan</t>
  </si>
  <si>
    <t>Tablet Dewasa : 1-2 tablet 3-4 kali/hari Anak : 1/2 - 1 tablet 3 kali/hari Suspensi Forte Dewasa : 1-2 sendok takar 3 kali/hari Anak : 1 sendok takar 3 kali/hari</t>
  </si>
  <si>
    <t>Hiperasiditas lambung, ulkus gaster, ulkus duodenum dengan gejala mual, kembung, perasaan penuh pada lambung</t>
  </si>
  <si>
    <t>1 Dos Isi 15 Strip X 10 Tablet</t>
  </si>
  <si>
    <t>Pasien yang memiliki riwayat alergi terhadap salah satu komponen obat ini</t>
  </si>
  <si>
    <t>Disfungsi ginjal, Hindari penggunaan jangka panjang (&gt; 2 minggu). Anak &lt; 6 tahun</t>
  </si>
  <si>
    <t>hiperasiditas lambung , ulkus gaster , ulkus duodenum gejala mual , kembung , perasaan penuh lambung</t>
  </si>
  <si>
    <t>lexacrol</t>
  </si>
  <si>
    <t>lexacrol tablet dried aluminium hydroxide gel hiperasiditas lambung  ulkus gaster  ulkus duodenum gejala mual  kembung  perasaan penuh lambung</t>
  </si>
  <si>
    <t>DBL7821906363A1</t>
  </si>
  <si>
    <t>Samtacid 10 Tablet</t>
  </si>
  <si>
    <t>Rp2.600 - Rp2.700</t>
  </si>
  <si>
    <t>Antara waktu makan dan sebelum tidur</t>
  </si>
  <si>
    <t>1-2 tab kunyah</t>
  </si>
  <si>
    <t>Mengurangi nyeri lambung yang disebabkan kelebihan asam lambung debgan gejala mual, perih dan rasa kembung.</t>
  </si>
  <si>
    <t>mengurangi nyeri lambung disebabkan kelebihan asam lambung debgan gejala mual , perih kembung</t>
  </si>
  <si>
    <t>samtacid</t>
  </si>
  <si>
    <t>samtacid tablet dried aluminium hydroxide gel mengurangi nyeri lambung disebabkan kelebihan asam lambung debgan gejala mual  perih kembung</t>
  </si>
  <si>
    <t>DBL0104127210A1</t>
  </si>
  <si>
    <t>Stomacain 10 Tablet</t>
  </si>
  <si>
    <t>Diberikan 1 jam sesudah makan</t>
  </si>
  <si>
    <t>Dewasa : 1-2 tablet 3-4 kali sehari.</t>
  </si>
  <si>
    <t>Pengobatan hiperasiditas gastrointestinal, tukak peptik, gastritis, dan dispepsia.</t>
  </si>
  <si>
    <t>Gangguan fungsi ginjal</t>
  </si>
  <si>
    <t>Insufisiensi ginjal, penggunaan jangka lama.</t>
  </si>
  <si>
    <t>kombinasi-aluminum hydroxide magnesium carbonate calcium carbonate coprecipitate (sanalmin b)</t>
  </si>
  <si>
    <t>pengobatan hiperasiditas gastrointestinal , tukak peptik , gastritis , dispepsia</t>
  </si>
  <si>
    <t>stomacain</t>
  </si>
  <si>
    <t>stomacain tablet kombinasialuminum hydroxide magnesium carbonate calcium carbonate coprecipitate sanalmin b pengobatan hiperasiditas gastrointestinal  tukak peptik  gastritis  dispepsia</t>
  </si>
  <si>
    <t>Sterimar Blocked Nose Hypertonic 100 ml</t>
  </si>
  <si>
    <t>2-6 semprotan di lubang hidung yang tersumbat</t>
  </si>
  <si>
    <t>Melegakan hidung tersumbat karena pilek atau sinusitis. Membersihkan area hidung sehingga dapat membantu pencegahan infeksi flu.</t>
  </si>
  <si>
    <t>melegakan hidung tersumbat pilek sinusitis  membersihkan area hidung membantu pencegahan infeksi flu</t>
  </si>
  <si>
    <t>sterimar blocked nose hypertonic</t>
  </si>
  <si>
    <t>sterimar blocked nose hypertonic tablet guaifenesin melegakan hidung tersumbat pilek sinusitis  membersihkan area hidung membantu pencegahan infeksi flu</t>
  </si>
  <si>
    <t>dextromethorphan hydrobromide diphenhydramine hydrochloride phenylpropanolamine hydrochloride ammonium chloride sodium citrate dihydrate</t>
  </si>
  <si>
    <t>erphakaf plus sirup dextromethorphan hydrobromide diphenhydramine hydrochloride phenylpropanolamine hydrochloride ammonium chloride sodium citrate dihydrate untuk meringankan batuk pilek</t>
  </si>
  <si>
    <t>DKL0710708637A1</t>
  </si>
  <si>
    <t>Vertivom Sirup 60 ml</t>
  </si>
  <si>
    <t>PENGGUNAAN OBAT INI HARUS SESUAI DENGAN PETUNJUK DOKTER. Dewasa : 3 x sehari 1-2 sendok takar 5 cc, Anak2 5-15 tahun : 0.5 mg/kg BB/hari dalam dosis terbagi.</t>
  </si>
  <si>
    <t>Gastroparesis akut dan berulang, rasa panas di uluhati yang berhubungan dengan Reflux Esofagitis, Mual dan Muntah paska anestesi atau paska operasi.</t>
  </si>
  <si>
    <t>Pendarahan gastrointestinal (saluran cerna), obstruksi mekanik, perforasi dan feokromositoma.</t>
  </si>
  <si>
    <t>HARUS DENGAN RESEP DOKTER. Gangguan fungsi hati dan ginjal</t>
  </si>
  <si>
    <t>gastroparesis akut berulang , panas uluhati berhubungan reflux esofagitis , mual muntah paska anestesi paska operasi</t>
  </si>
  <si>
    <t>vertivom</t>
  </si>
  <si>
    <t>vertivom sirup metoclopramide hydrochloride gastroparesis akut berulang  panas uluhati berhubungan reflux esofagitis  mual muntah paska anestesi paska operasi</t>
  </si>
  <si>
    <t>dexchlorpheniramine maleate sulfogaiacol potassium paracetamol</t>
  </si>
  <si>
    <t>febrinex suspensi dexchlorpheniramine maleate sulfogaiacol potassium paracetamol mengobati flu disertai gejala  gejala demam  sakit kepala  batuk  pilek alergi</t>
  </si>
  <si>
    <t>DKL1409609037A1</t>
  </si>
  <si>
    <t>Fibropect 15 mg/5 ml Sirup 60 ml</t>
  </si>
  <si>
    <t>fibropect</t>
  </si>
  <si>
    <t>fibropect sirup ambroxol hydrochloride sebagai sekretolitik gangguan saluran nafas akut kronis eksaserbasi bronkitis kronis bronkitis asmatik asma bronkial</t>
  </si>
  <si>
    <t>DKL0218817133A1</t>
  </si>
  <si>
    <t>Gerdilium Sirup 60 ml</t>
  </si>
  <si>
    <t>PENGGUNAAN OBAT INI HARUS SESUAI DENGAN PETUNJUK DOKTER. Gangguan pencernaan kronis pada anak: 3 kali sehari 0,25mL Muntah akut: 3 kali sehari 1 mL</t>
  </si>
  <si>
    <t>INFORMASI OBAT INI HANYA UNTUK KALANGAN MEDIS. Mengobati emetik (mual/muntah) yang dapat di sebabkan oleh ganguan pencernaan, luka pada bagian dalam perut, asam lambung meningkat dan dapat disebabkan karena penyakit parkinson</t>
  </si>
  <si>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</si>
  <si>
    <t>mengobati emetik mual muntah sebabkan ganguan pencernaan , luka perut , asam lambung meningkat disebabkan penyakit parkinson</t>
  </si>
  <si>
    <t>gerdilium suspensi domperidone mengobati emetik mual muntah sebabkan ganguan pencernaan  luka perut  asam lambung meningkat disebabkan penyakit parkinson</t>
  </si>
  <si>
    <t>DKL0927805117A1</t>
  </si>
  <si>
    <t>Galdom 10 mg 10 Tablet</t>
  </si>
  <si>
    <t>Rp17.000 - Rp32.000</t>
  </si>
  <si>
    <t>PENGGUNAAN OBAT INI HARUS SESUAI DENGAN PETUNJUK DOKTER. Dispepsia fungsional Dewasa &amp; lanjut usia : 10-20 mg 3 x/hari &amp; menjelang tidur. Lama terapi: Maksimal 12 minggu.</t>
  </si>
  <si>
    <t>Mual &amp; muntah akut</t>
  </si>
  <si>
    <t>DTL8527900904A2</t>
  </si>
  <si>
    <t>Flumin 10 Kaplet</t>
  </si>
  <si>
    <t>Dewasa : 1 kaplet 3 kali sehari. Anak-anak : 1/2 kaplet 3 kali sehari.</t>
  </si>
  <si>
    <t>Untuk meringankan gejala flu seperti deman, sakit kepala, hidung tersumbat dan bersin-bersin.</t>
  </si>
  <si>
    <t>1 Dos Isi 1 Strip</t>
  </si>
  <si>
    <t>Hipersensitif, pasien penderita hipertensi parah, penyakit jantung, diabetes mellitus dan gangguan fungsi hati</t>
  </si>
  <si>
    <t>Tidak boleh melebihi dosis yang dianjurkan. Hati-hati penggunaan pada penderita dengan gangguan fungsi hati dan ginjal. Bila dalam 3 hari gejala flu tidak berkurang segera hubungi dokter atau unit pelayanan kesehatan.</t>
  </si>
  <si>
    <t>chlorphenamine maleate paracetamol phenylpropanolamine hydrochloride</t>
  </si>
  <si>
    <t>untuk meringankan gejala flu deman , sakit kepala , hidung tersumbat bersin - bersin</t>
  </si>
  <si>
    <t>flumin</t>
  </si>
  <si>
    <t>flumin kaplet chlorphenamine maleate paracetamol phenylpropanolamine hydrochloride untuk meringankan gejala flu deman  sakit kepala  hidung tersumbat bersin  bersin</t>
  </si>
  <si>
    <t>DKL9909210510A1</t>
  </si>
  <si>
    <t>Vesperum 10 mg 10 Tablet</t>
  </si>
  <si>
    <t>Rp7.000 - Rp7.800</t>
  </si>
  <si>
    <t>vesperum tablet domperidone maleate mual muntah akut dispepsia fungsional  pada anak diindikasikan mual muntah disebabkan kemoterapi radioterapi kanker</t>
  </si>
  <si>
    <t>DTL9421008001A1</t>
  </si>
  <si>
    <t>Flutamol-P 10 Kapsul</t>
  </si>
  <si>
    <t>Rp17.200 - Rp20.000</t>
  </si>
  <si>
    <t>Dewasa : 1 kaplet, 3 kali sehari Anak-anak usia 6-12 tahun : 1/2 kaplet, 3 kali sehari</t>
  </si>
  <si>
    <t>Untuk meringankan gejala-gejala flu seperti demam, sakit kepala, hidung tersumbat, dan bersin-bersin yang disertai batuk.</t>
  </si>
  <si>
    <t>Dus, 10 Catch cover @ 1 Strip @ 10 Kaplet</t>
  </si>
  <si>
    <t>Penderita dengan gangguan jantung dan diabetes mellitus. Penderita dengan gangguan fungsi hati yang berat. Penderita yang hipersensitif terhadap komponen obat ini.</t>
  </si>
  <si>
    <t>Dapat menyebabkan kantuk</t>
  </si>
  <si>
    <t>untuk meringankan gejala - gejala flu demam , sakit kepala , hidung tersumbat , bersin - bersin disertai batuk</t>
  </si>
  <si>
    <t>flutamolp kapsul chlorphenamine maleate untuk meringankan gejala  gejala flu demam  sakit kepala  hidung tersumbat  bersin  bersin disertai batuk</t>
  </si>
  <si>
    <t>DKL9722223117A1</t>
  </si>
  <si>
    <t>Vosedon 10 mg 10 Tablet</t>
  </si>
  <si>
    <t>Rp34.200 - Rp38.700</t>
  </si>
  <si>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kepada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</si>
  <si>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vosedon tablet domperidone maleate mual muntah akut dispepsia fungsional  pada anak diindikasikan mual muntah disebabkan kemoterapi radioterapi kanker</t>
  </si>
  <si>
    <t>DTL7219929710A1</t>
  </si>
  <si>
    <t>Antimo 50 mg 10 Tablet</t>
  </si>
  <si>
    <t>Rp5.300 - Rp6.600</t>
  </si>
  <si>
    <t>Dewasa dan anak di atas 12 tahun: 1 tablet (50 mg), sehari tidak lebih dari 8 tablet (400 mg). Anak usia 8-12 tahun : 0.5 tablet (25 mg), sehari tidak lebih dari 3 tablet (150 mg). Diminum 30 menit sebelum berpergian menggunakan kendaraan, bila perlu dapat diulang tiap 4 jam.</t>
  </si>
  <si>
    <t>Antivertigo, anti mabok, pening dan mual selama perjalanan dengan kendaraan bermotor, kapal laut dan pesawat udara, baik untuk dewasa maupun anak-anak</t>
  </si>
  <si>
    <t>Dus, 72 Catch Cover @ 1 Strip @ 10 Tablet</t>
  </si>
  <si>
    <t>Penderita gangguan hati, kondisi rendahnya kadar kalium dalam tubuh (hipokalemia), hipersensitif terhadap antihistamin, gangguan berkemih dan peningkatan tekanan bola mata (glaukoma).</t>
  </si>
  <si>
    <t>Peringatan : Awas, Obat Keras Bacalah Aturan Pakainya. Tidak boleh digunakan pada bayi prematur dan bayi yang baru lahir. Hindari makanan dan minuman beralkohol selama mengonsumsi obat ini. Selama minum obat ini tidak boleh mengendarai kendaraan bermotor atau menjalankan mesin. Kategori kehamilan : Kategori B: Mungkin dapat digunakan oleh wanita hamil. Penelitian pada hewan uji tidak memperlihatkan ada nya risiko terhadap janin, namun belum ada bukti penelitian langsung terhadap wanita hamil.</t>
  </si>
  <si>
    <t>antivertigo , anti mabok , pening mual perjalanan kendaraan bermotor , kapal laut pesawat udara , dewasa anak - anak</t>
  </si>
  <si>
    <t>antimo</t>
  </si>
  <si>
    <t>antimo tablet dimenhydrinate antivertigo  anti mabok  pening mual perjala kendaraan bermotor  kapal laut pesawat udara  dewasa anak  anak</t>
  </si>
  <si>
    <t>DKL0405036982A1</t>
  </si>
  <si>
    <t>Vometa FT 10 mg 10 Tablet</t>
  </si>
  <si>
    <t>Rp52.000 - Rp65.700</t>
  </si>
  <si>
    <t>vometa ft</t>
  </si>
  <si>
    <t>vometa ft tablet domperidone mual muntah akut dispepsia fungsional  pada anak diindikasikan mual muntah disebabkan kemoterapi radioterapi kanker</t>
  </si>
  <si>
    <t>DTL0921636263A1</t>
  </si>
  <si>
    <t>Polysilane Max Peppermint 4 Tablet Kunyah</t>
  </si>
  <si>
    <t>Rp8.200 - Rp8.500</t>
  </si>
  <si>
    <t>Dewasa dan Anak &gt; 12 tahun : 1 tablet kunyah. Maksimal 2 tablet/hari</t>
  </si>
  <si>
    <t>Dus, 10 Catch cover @ 1 Strip @ 4 Tablet kunyah</t>
  </si>
  <si>
    <t>Penderita gangguan jantung, ginjal, hati. Penggunaan terus menerus &gt; 14 hari. Hamil, laktasi</t>
  </si>
  <si>
    <t>polysilane max peppermint kunyah</t>
  </si>
  <si>
    <t>polysilane max peppermint kunyah tablet calcium carbonate mengurangi gejala hiperasiditas mual  nyeri lambung  nyeri perut  tidak diatasi antasid</t>
  </si>
  <si>
    <t>DKL9602322304A1</t>
  </si>
  <si>
    <t>Klinset 10 mg 10 Kaplet</t>
  </si>
  <si>
    <t>Rp54.500 - Rp56.400</t>
  </si>
  <si>
    <t>PENGGUNAAN OBAT INI HARUS SESUAI DENGAN PETUNJUK DOKTER. 1x sehari 1 kaplet</t>
  </si>
  <si>
    <t>gejala yang berkaitan dengan rinitis alergi seperti bersin-bersin, pilek dan rasa gatal pada hidung, gatal dan rasa terbakar pada mata, gejala dan tanda urtikaria</t>
  </si>
  <si>
    <t>gejala berkaitan rinitis alergi bersin - bersin , pilek gatal hidung , gatal terbakar mata , gejala tanda urtikaria</t>
  </si>
  <si>
    <t>klinset</t>
  </si>
  <si>
    <t>klinset kaplet loratadine gejala berkaitan rinitis alergi bersin  bersin  pilek gatal hidung  gatal terbakar mata  gejala tanda urtikaria</t>
  </si>
  <si>
    <t>TR102212551</t>
  </si>
  <si>
    <t>Tolak Angin Permen Mint Bebas Gula 5 Tablet</t>
  </si>
  <si>
    <t>TOLAK ANGIN BEBAS GULA</t>
  </si>
  <si>
    <t>Rp2.400 - Rp5.700</t>
  </si>
  <si>
    <t>Mengandung pemanis buatan, disarankan untuk tidak dikonsumsi oleh anak dibawah 5 tahun, ibu hamil, dan ibu menyusui.</t>
  </si>
  <si>
    <t>tolak angin bebas gula</t>
  </si>
  <si>
    <t>tolak angin permen mint bebas gula</t>
  </si>
  <si>
    <t>tolak angin permen mint bebas gula tablet tolak angin bebas gula permen herbal sensasi melegakan tenggorokan  baik perjala</t>
  </si>
  <si>
    <t>DKL9613014329A1</t>
  </si>
  <si>
    <t>Diprosta Cream 5 g</t>
  </si>
  <si>
    <t>Rp20.000 - Rp28.200</t>
  </si>
  <si>
    <t>PENGGUNAAN OBAT INI HARUS SESUAI DENGAN PETUNJUK DOKTER. Oleskan tipis sampai menutupi semua bagian yang sakit, 3 atau 4 kali sehari</t>
  </si>
  <si>
    <t>INFORMASI OBAT INI HANYA UNTUK KALANGAN MEDIS. Meringankan penyakit kulit akibat reaksi alergi yang disertai infeksi sekunder yang disebabkan oleh organisme yang rentan terhadap Gentamisin</t>
  </si>
  <si>
    <t>HARUS DENGAN RESEP DOKTER. - Tidak boleh digunakan jumlah besar atau dalam jangka panjang pada wanita hamil. - Jika terlihat terjadi superinfeksi, hentikan pengunaan obat ini. - Krim ini bukan untuk digunakan pada mata. - Hubungi kembali dokter apabila dalam waktu satu minggu belum terlihat adanya perkembangan - Hentikan pengobatan bila terjadi iritasi atau sensitisasi - Absorpsi sistemik dari kortikosteroid akan meningkat bila menggunakan pembalut oklusif atau pada pengobatan secara intensif - Jangan digunakan pada daerah yang luas atau jangka waktu lama karena efek nefrotoksisitas dan ototoksisitas - Penggunaan obat ini lebih dari 7 hari tidak memberikan manfaat yang lebih besar jika dibandingkan penggunaan steroid tunggal - Dapat terjadi efek samping sistemik terutama pada bayi dan anak-anak .</t>
  </si>
  <si>
    <t>meringankan penyakit kulit akibat reaksi alergi disertai infeksi sekunder disebabkan organisme rentan gentamisin</t>
  </si>
  <si>
    <t>diprosta cream</t>
  </si>
  <si>
    <t>diprosta cream krim betamethasone dipropionate meringankan penyakit kulit akibat reaksi alergi disertai infeksi sekunder disebabkan organisme rentan gentamisin</t>
  </si>
  <si>
    <t>DTL8502000629A1</t>
  </si>
  <si>
    <t>Canesten Pro Cream 15 g</t>
  </si>
  <si>
    <t>Rp98.100 - Rp105.200</t>
  </si>
  <si>
    <t>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t>
  </si>
  <si>
    <t>Dosis untuk Dewasa : 1 kali sehari. Jangka Pemakaian : Gunakan obat minimal selama 2 minggu untuk memastikan infeksi jamur telah teratasi.</t>
  </si>
  <si>
    <t>Mengatasi kutu air dan infeksi jamur lainnya seperti panu, kadas/kurap, dan infeksi bakteri pada lipatan kulit (eritrasma).</t>
  </si>
  <si>
    <t>Tube @ 15 g</t>
  </si>
  <si>
    <t>Walaupun gejala Anda tampak sudah hilang, Anda harus menyelesaikan pengobatan lengkap untuk memastikan infeksi jamur telah diobati hingga ke akar.</t>
  </si>
  <si>
    <t>mengatasi kutu air infeksi jamur panu , kadas kurap , infeksi bakteri lipatan kulit eritrasma</t>
  </si>
  <si>
    <t>canesten pro cream</t>
  </si>
  <si>
    <t>canesten pro cream krim bifonazole mengatasi kutu air infeksi jamur panu  kadas kurap  infeksi bakteri lipatan kulit eritrasma</t>
  </si>
  <si>
    <t>Canesten Pro Cream 5 g</t>
  </si>
  <si>
    <t>Rp37.000 - Rp45.100</t>
  </si>
  <si>
    <t>DKL9602321629A1</t>
  </si>
  <si>
    <t>Benoson-G Cream 10 g</t>
  </si>
  <si>
    <t>Rp79.400 - Rp100.700</t>
  </si>
  <si>
    <t>Krim dioleskan pada area kulit yang terinfeksi/radang</t>
  </si>
  <si>
    <t>INFORMASI OBAT INI HANYA UNTUK KALANGAN MEDIS. Meredakan penyakit kulit dengan peradangan yang sensitif/responsif terhdadap kortikosteroid dan mengalami infeksi sekunder</t>
  </si>
  <si>
    <t>Vaccinia, varisela, TB kulit, infeksi jamur dan virus. Anak &lt;2 tahun Hipersensitivitas terhadap komponen dalam produk.</t>
  </si>
  <si>
    <t>HARUS DENGAN RESEP DOKTER. Hindari penggunaan dengan balutan ketat dan penggunaan jangka lama yang intensif</t>
  </si>
  <si>
    <t>GTL9832301029A1</t>
  </si>
  <si>
    <t>Rp140.800 - Rp141.000</t>
  </si>
  <si>
    <t>burnazin plus cream krim miconazole nitrate burnazin plus cream diindikasikan lesi kulit  beresiko mengalami infeksi  luka akut kronik</t>
  </si>
  <si>
    <t>DKL0535800328A1</t>
  </si>
  <si>
    <t>Elopro Gel 10 g</t>
  </si>
  <si>
    <t>Rp31.300 - Rp37.800</t>
  </si>
  <si>
    <t>PENGGUNAAN OBAT INI HARUS SESUAI DENGAN PETUNJUK DOKTER. Oleskan 1-2 x sehari.</t>
  </si>
  <si>
    <t>Terapi jangka pendek pada penderita dermatosis resisten, seperti psoriasis, eksim rekalsitrans, liken planus, lupus eritematosus diskoid.</t>
  </si>
  <si>
    <t>HARUS DENGAN RESEP DOKTER. Anak &lt; 12 tahun, pemakaian jangka panjang, hindari kontak dengan mata</t>
  </si>
  <si>
    <t>terapi jangka pendek penderita dermatosis resisten , psoriasis , eksim rekalsitrans , liken planus , lupus eritematosus diskoid</t>
  </si>
  <si>
    <t>elopro gel clobetasol propionate terapi jangka pendek penderita dermatosis resisten  psoriasis  eksim rekalsitrans  liken planus  lupus eritematosus diskoid</t>
  </si>
  <si>
    <t>DKL0535800129A1</t>
  </si>
  <si>
    <t>Elopro 0.05% Cream 10 g</t>
  </si>
  <si>
    <t>Rp32.800 - Rp41.500</t>
  </si>
  <si>
    <t>Cream 0.05% X 10 G X 1</t>
  </si>
  <si>
    <t>elopro cream</t>
  </si>
  <si>
    <t>elopro cream krim clobetasol propionate terapi jangka pendek dermatosis resisten  psoriasis  eksim rekalsitrans  liken planus  lupus eritematosus diskoid</t>
  </si>
  <si>
    <t>miconazole nitrate hydrocortisone</t>
  </si>
  <si>
    <t>thecort cream krim miconazole nitrate hydrocortisone mengatasi inflamasi infeksi kulit disebabkan jamur infeksi dermatitis  intertrigo kandida  tinea pedis</t>
  </si>
  <si>
    <t>DKL9304115529A2</t>
  </si>
  <si>
    <t>Denomix Cream 10 g</t>
  </si>
  <si>
    <t>Rp12.500 - Rp17.800</t>
  </si>
  <si>
    <t>Dioleskan pada kulit yang radang atau terasa gatal.</t>
  </si>
  <si>
    <t>PENGGUNAAN OBAT INI HARUS SESUAI DENGAN PETUNJUK DOKTER. Gunakan 2-3 kali sehari pada area kulit yang mengalami gangguan.</t>
  </si>
  <si>
    <t>INFORMASI OBAT INI HANYA UNTUK KALANGAN MEDIS. Mengatasi gangguan kulit berupa peradangan lokal dan gatal-gatal karena psoriasis, untuk kondisi kulit yang responsif terhadap kortikosteroid.</t>
  </si>
  <si>
    <t>HARUS DENGAN RESEP DOKTER. Hindari penggunaan pada area mata. Bagian kulit yang diolesi Denomix krim sebaiknya tidak dibalut perban karena bisa meningkatkan penyerapannya ke dalam darah dan menimbulkan efek samping sistemik. Wanita hamil dan ibu menyusui. Anak-anak berusia 6 tahun ke bawah. Penggunaan pada area kulit yang luas. Penggunaan jangka panjang. Kategori kehamilan : Belum terdapat data keamanan terkait penggunaan obat ini pada wanita hamil dan/atau menyusui. Konsultasikan kepada dokter apabila Anda sedang hamil dan/atau menyusui.</t>
  </si>
  <si>
    <t>neomycin sulfate desoximetasone</t>
  </si>
  <si>
    <t>mengatasi gangguan kulit peradangan lokal gatal - gatal psoriasis , kondisi kulit responsif kortikosteroid</t>
  </si>
  <si>
    <t>denomix cream</t>
  </si>
  <si>
    <t>denomix cream krim neomycin sulfate desoximetasone mengatasi gangguan kulit peradangan lokal gatal  gatal psoriasis  kondisi kulit responsif kortikosteroid</t>
  </si>
  <si>
    <t>fluocortn cream krim fluocinolone acetonide neomycin sulfate inflamasi lokal  kondisi2 pruritik alergi kulit mukosa membutuhkan terapi antibakterial bersamaan</t>
  </si>
  <si>
    <t>DKL9730904629A1</t>
  </si>
  <si>
    <t>Klorfeson Cream 10 g</t>
  </si>
  <si>
    <t>Rp8.500 - Rp11.500</t>
  </si>
  <si>
    <t>PENGGUNAAN OBAT INI HARUS SESUAI DENGAN PETUNJUK DOKTER. Oleskan krim 3-4 x sehari</t>
  </si>
  <si>
    <t>Meredakan nyeri radang/inflamasi pada Dermatosis yang responsif terhadap Kortikosteroid dengan komplikasi infeksi sekunder oleh organisme/kuman yang sensitif terhadap Khloramfenikol</t>
  </si>
  <si>
    <t>Hipersensitivitas. Infeksi karena virus dan jamur. TBC kulit, vaksinia, varisela</t>
  </si>
  <si>
    <t>HARUS DENGAN RESEP DOKTER. Anak &lt;2 tahun. Penggunaan jangka panjang dapat menyebabkan pertumbuhan berlebihan darikuman yang tidak peka, termasuk jamur. Hindari penggunaan kasa pembalut, penggunaan pada daerah yang luas. Hamil, laktasi. Tidak untuk digunakan pada mata KategorI Kehamilan : C</t>
  </si>
  <si>
    <t>meredakan nyeri radang inflamasi dermatosis responsif kortikosteroid komplikasi infeksi sekunder organisme kuman sensitif khloramfenikol</t>
  </si>
  <si>
    <t>klorfeson cream</t>
  </si>
  <si>
    <t>klorfeson cream krim chloramphenicol meredakan nyeri radang inflamasi dermatosis responsif kortikosteroid komplikasi infeksi sekunder organisme kuman sensitif khloramfenikol</t>
  </si>
  <si>
    <t>DKL0532400201A1</t>
  </si>
  <si>
    <t>Canicol 500 mg 10 Kapsul</t>
  </si>
  <si>
    <t>PENGGUNAAN OBAT INI HARUS SESUAI DENGAN PETUNJUK DOKTER. Dewasa, anak-anak, bayi berusia lebih dari 2 minggu : 50 mg/kg berat badan/hari dalam 3-4 dosis terbagi. Bayi prematur dan bayi berusia kurang dari 2 minggu : 25 mg/kg berat badan/hari dalam 4 dosis terbagi.</t>
  </si>
  <si>
    <t>Infeksi yang disebabkan oleh salmonella sp, H influenzae, riketsia, limfogranuloma-psitakosis, kuman Gram negatif penyebab meningitis dan bakteremia</t>
  </si>
  <si>
    <t>Kapsul 500 mg x 10 x 10 biji.</t>
  </si>
  <si>
    <t>infeksi disebabkan salmonella sp , h influenzae , riketsia , limfogranuloma - psitakosis , kuman gram negatif penyebab meningitis bakteremia</t>
  </si>
  <si>
    <t>canicol</t>
  </si>
  <si>
    <t>canicol kapsul thiamphenicol infeksi disebabkan salmonella sp  h influenzae  riketsia  limfogranuloma  psitakosis  kuman gram negatif penyebab meningitis bakteremia</t>
  </si>
  <si>
    <t>DKL9319803309A1</t>
  </si>
  <si>
    <t>Zithromax 250 mg 6 Kapsul</t>
  </si>
  <si>
    <t>PENGGUNAAN OBAT INI HARUS SESUAI DENGAN PETUNJUK DOKTER. Untuk orang dewasa termasuk berusia lanjut : penyakit seksual menular : 1 gram sebagai dosis tunggal. semua indikasi lainnya : 500 mg sekali sehari selama 3 hari. Anak-anak : 10 mg/kg berat badan sekali sehari selama 3 hari.</t>
  </si>
  <si>
    <t>Pengobatan infeksi sal pernafasan atas, infeksi saluran pernafasan bawah, infeksi kulit dan jaringan lunak, infeksi genital, faringitis</t>
  </si>
  <si>
    <t>Dus, Kapsul 250 Mg X 1 X 6</t>
  </si>
  <si>
    <t>pengobatan infeksi sal pernafasan , infeksi saluran pernafasan , infeksi kulit jaringan lunak , infeksi genital , faringitis</t>
  </si>
  <si>
    <t>zithromax</t>
  </si>
  <si>
    <t>zithromax kaplet azithromycin dihydrate pengobatan infeksi sal pernafasan  infeksi saluran pernafasan  infeksi kulit jaringan lunak  infeksi genital  faringitis</t>
  </si>
  <si>
    <t>DKL9217802301A1</t>
  </si>
  <si>
    <t>Nichomycin 500 mg 10 Kapsul</t>
  </si>
  <si>
    <t>Rp21.600 - Rp28.300</t>
  </si>
  <si>
    <t>Sebaiknya diberikan pada saat perut kosong. Berikan dengan segelas air pada saat perut kosong 1 jam sebelum atau 2 jam sesudah makan</t>
  </si>
  <si>
    <t>PENGGUNAAN OBAT INI HARUS SESUAI DENGAN PETUNJUK DOKTER. Dewasa : 1 kapsul 3-4 kali sehari. Anak &gt; 1 bulan : 30-60 mg/kg berat badan, 3-4 kali sehari</t>
  </si>
  <si>
    <t>mual, gatal pada kulit, muntah, rasa gatal atau tidak nyaman pada vagina, telinga berdengung, pusing, nyeri pada lidah, gatal pada rektal.</t>
  </si>
  <si>
    <t>hipersensitif, bayi baru lahir</t>
  </si>
  <si>
    <t>HARUS DENGAN RESEP DOKTER. asma, wanita hamil, pasien dengan masalah ginjal, pasien dengan masalah hati, wanita menyusui, pasien dengan masalah usus.</t>
  </si>
  <si>
    <t>mual , gatal kulit , muntah , gatal tidak nyaman vagina , telinga berdengung , pusing , nyeri lidah , gatal rektal</t>
  </si>
  <si>
    <t>nichomycin</t>
  </si>
  <si>
    <t>nichomycin kapsul lincomycin mual  gatal kulit  muntah  gatal tidak nyaman vagina  telinga berdengung  pusing  nyeri lidah  gatal rektal</t>
  </si>
  <si>
    <t>DKL0930909429A1</t>
  </si>
  <si>
    <t>Fucilex 20 mg/g Krim 5 g</t>
  </si>
  <si>
    <t>Rp13.000 - Rp14.100</t>
  </si>
  <si>
    <t>PENGGUNAAN OBAT INI HARUS SESUAI DENGAN PETUNJUK DOKTER. Gunakan 3-4 kali sehari</t>
  </si>
  <si>
    <t>INFORMASI OBAT INI HANYA UNTUK KALANGAN MEDIS. Pengobatan infeksi kulit yang disebabkan oleh Staphylococcus, Streptococcus, Propionibacterium acnes, Corynebacterium minutissinum dan bakteri lain yang rentan terhadap Asam Fusidat</t>
  </si>
  <si>
    <t>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</si>
  <si>
    <t>pengobatan infeksi kulit disebabkan staphylococcus , streptococcus , propionibacterium acne , corynebacterium minutissinum bakteri rentan asam fusidat</t>
  </si>
  <si>
    <t>fucilex</t>
  </si>
  <si>
    <t>fucilex krim fusidic acid pengobatan infeksi kulit disebabkan staphylococcus  streptococcus  propionibacterium acne  corynebacterium minutissinum bakteri rentan asam fusidat</t>
  </si>
  <si>
    <t>DKL7617626301B1</t>
  </si>
  <si>
    <t>Thiamycin 500 mg 10 Kapsul</t>
  </si>
  <si>
    <t>Rp58.400 - Rp75.900</t>
  </si>
  <si>
    <t>Dus 10 Strip @10 Tablet</t>
  </si>
  <si>
    <t>HARUS DENGAN RESEP DOKTER. Pengobatan jangka lama. Hindari pengulangan pengobatan. Gangguan fungsi ginjal. Bayi. Hamil, laktasi Kategori Kehamilan : C</t>
  </si>
  <si>
    <t>thiamycin</t>
  </si>
  <si>
    <t>thiamycin kapsul thiamphenicol mengobati infeksi disebabkan salmonella  h influenzae infeksi meningeal  riketsia  bakteri gram negatif  penyebab bakteremia  meningitis</t>
  </si>
  <si>
    <t>neomycin sulfate gramicidin</t>
  </si>
  <si>
    <t>fg troches tablet neomycin sulfate gramicidin antibiotik penyakit ingivitis  stomatitis  faringitis  bronkitis  tonsilitis  angina vincent  difteri faringeal  priodontitis</t>
  </si>
  <si>
    <t>DTL1624503737A1</t>
  </si>
  <si>
    <t>Triaminic Batuk Pilek 60 ml</t>
  </si>
  <si>
    <t>Rp78.900 - Rp87.800</t>
  </si>
  <si>
    <t>Dewasa &amp; anak &gt; 12 tahun : 3 x sehari 2 sendok takar (10 ml). Anak 6-12 tahun : 3 x sehari 1 sendok takar (5 ml).</t>
  </si>
  <si>
    <t>Obat batuk pilek dengan varian rasa Berry untuk meredakan batuk kering dan melegakan hidung tersumbat karena pilek.</t>
  </si>
  <si>
    <t>Gangguan jantung, DM, digunakan bersama MAOI, Hipersensitifitas terhadap komponen dalam produk.</t>
  </si>
  <si>
    <t>Hati-hati penggunaan pada penderita darah tinggi dan usia lanjut. Bila dalam 3 hari gejala tidak berkurang segera hubungi dokter. Hentikan penggunaan obat jika jantung berdebar, sulit tidur dan pusing.</t>
  </si>
  <si>
    <t>obat batuk pilek varian berry meredakan batuk kering melegakan hidung tersumbat pilek</t>
  </si>
  <si>
    <t>triaminic batuk pilek</t>
  </si>
  <si>
    <t>triaminic batuk pilek sirup dextromethorphan hydrobromide obat batuk pilek varian berry meredakan batuk kering melegakan hidung tersumbat pilek</t>
  </si>
  <si>
    <t>DTL9230902109A1</t>
  </si>
  <si>
    <t>Dextral 10 Kaplet</t>
  </si>
  <si>
    <t>Rp5.100 - Rp11.400</t>
  </si>
  <si>
    <t>Dewasa : 3 x sehari 1 kaplet, Anak 6-12 tahun : 3 x sehari 0.5 kaplet</t>
  </si>
  <si>
    <t>Obat ini digunakan untuk meredakan batuk yang disertai gejala-gejala flu seperti demam, sakit kepala, hidung tersumbat, dan bersin-bersin.</t>
  </si>
  <si>
    <t>Dus, 15 Strip @ 10 Kaplet salut selaput</t>
  </si>
  <si>
    <t>Penderita dengan gangguan jantung dan diabetes melitus, Penderita hipersensitif terhadap komponen obat ini</t>
  </si>
  <si>
    <t>Peringatan : Awas, Obat Keras Bacalah Aturan Pakainya. Hati - hati penggunaan pada penderita dengan gangguan fungsi hati dan ginjal, glaukoma, hipertrofi prostat, hipertiroid dan retensi urine. Tidak dianjurkan penggunaan pada anak di bawah usia 6 tahun, wanita hamil dan menyusui, kecuali atas petunjuk dokter.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</si>
  <si>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meredakan batuk disertai gejala - gejala flu demam , sakit kepala , hidung tersumbat , bersin - bersin</t>
  </si>
  <si>
    <t>dextral</t>
  </si>
  <si>
    <t>dextral kaplet chlorphenamine maleate obat meredakan batuk disertai gejala  gejala flu demam  sakit kepala  hidung tersumbat  bersin  bersin</t>
  </si>
  <si>
    <t>miconazole nitrate hydrocortisone acetate</t>
  </si>
  <si>
    <t>zolacort cream krim miconazole nitrate hydrocortisone acetate anti jamur  anti bakteri  anti pruritus  anti alergi anti inflamasi topikal</t>
  </si>
  <si>
    <t>DTL1842200129A1</t>
  </si>
  <si>
    <t>Tong Kang Shuang Krim 10 g</t>
  </si>
  <si>
    <t>Rp7.000 - Rp12.000</t>
  </si>
  <si>
    <t>Krim Nizoral tidak digunakan untuk mata. Kehamilan dan laktasi. Kategori Kehamilan : C</t>
  </si>
  <si>
    <t>tong kang shuang</t>
  </si>
  <si>
    <t>tong kang shuang krim ketoconazole tinea korporis  tinea kruris  tinea manus  tinea pedis  kondidosis kutis  tinea pityriasis versicolor</t>
  </si>
  <si>
    <t>DTL0009211629A1</t>
  </si>
  <si>
    <t>Solinfec Cream 5 g</t>
  </si>
  <si>
    <t>Rp7.800 - Rp18.300</t>
  </si>
  <si>
    <t>Krim dioleskan pada area kulit yang kulit terinfeksi</t>
  </si>
  <si>
    <t xml:space="preserve">Oleskan tipis-tipis 1 X sehari. Infeksi resisten : 2 x sehari. Lama terapi : Tinea Korporis 3-4 minggu, Tinea versikolor &amp; infeksi jamur/kandida : 2-3 minggu, Tinea kruris 2-4 minggu </t>
  </si>
  <si>
    <t>DKL7622252130A1</t>
  </si>
  <si>
    <t>Sancortmycin Salep 10 g</t>
  </si>
  <si>
    <t>Rp19.000 - Rp23.400</t>
  </si>
  <si>
    <t>PENGGUNAAN OBAT INI HARUS SESUAI DENGAN PETUNJUK DOKTER. Oleskan 2-4 x/hr.</t>
  </si>
  <si>
    <t>Infeksi kulit seperti Pioderma, mencegah infeksi sekunder pada luka terbuka, Dermatitis kontak Atopik, terapi non-spesifik &amp; Jerawat</t>
  </si>
  <si>
    <t>Tube Salep 10 g x 1</t>
  </si>
  <si>
    <t>Penyakit virus dan TB kulit, akne vulgaris, skabies, dermatitis perioral, infeksi bakteri dan jamur kecuali diberikan kemoterapi. Hamil, anak &lt; 12 tahun. Gangguan ginjal</t>
  </si>
  <si>
    <t>HARUS DENGAN RESEP DOKTER. Penggunaan jangka panjang dan profilaksis, putus obat mendadak</t>
  </si>
  <si>
    <t>DKL7219929530A1</t>
  </si>
  <si>
    <t>Nb Topical Salep 5 g</t>
  </si>
  <si>
    <t>Rp16.600 - Rp22.400</t>
  </si>
  <si>
    <t>Salep dioleskan pada area kulit yang sakit/luka/radang</t>
  </si>
  <si>
    <t>Impetigo, Luka bakar, Pioderma, Folikulitis Barbae, Furunkulosis, Akne Nekrotika, Ulkus Dekubitus, ekzema terinfeksi.</t>
  </si>
  <si>
    <t>Salep 5 Gr X 1 Tube</t>
  </si>
  <si>
    <t>HARUS DENGAN RESEP DOKTER. Jangan dipergunakan untuk luka yang dalam atau luka bakar berat</t>
  </si>
  <si>
    <t>impetigo , luka bakar , pioderma , folikulitis barbae , furunkulosis , akne nekrotika , ulkus dekubitus , ekzema terinfeksi</t>
  </si>
  <si>
    <t>nb topical</t>
  </si>
  <si>
    <t>nb topical salep bacitracin zinc impetigo  luka bakar  pioderma  folikulitis barbae  furunkulosis  akne nekrotika  ulkus dekubitus  ekzema terinfeksi</t>
  </si>
  <si>
    <t>GKL1515718030A1</t>
  </si>
  <si>
    <t>Clobetasol Salep 10 g</t>
  </si>
  <si>
    <t>Oleskan tipis-tipis</t>
  </si>
  <si>
    <t>PENGGUNAAN OBAT INI HARUS SESUAI DENGAN PETUNJUK DOKTER. Dewasa : satu kali sehari oleskan tipis-tipis ke area yang sakit. Dosis maks: 50 g setiap minggu. Durasi terapi maksimal: 4 minggu. Anak &gt; 1 thn : Sama dengan dosis dewasa. Durasi terapi maksimal: 5 hari.</t>
  </si>
  <si>
    <t>INFORMASI OBAT INI HANYA UNTUK KALANGAN MEDIS. Psoriasis, Ekzema yang resisten, Likhen Planus, Lupus Eritematosus diskoid dan kondisi-kondisi lain yang tidak responsif terhadap steroid yang kurang kuat.</t>
  </si>
  <si>
    <t>Lesi kulit akibat bakteri, jamur atau virus yang tidak diobati, dermatitis perioral, jerawat. Anak &lt;1 thn</t>
  </si>
  <si>
    <t>HARUS DENGAN RESEP DOKTER Ibu hamil dan menyusui, anak-nanak, hindari kontak dg wajah (mis. Mata, hidung, mulut), ketiak.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</si>
  <si>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psoriasis , ekzema resisten , likhen planus , lupus eritematosus diskoid kondisi - kondisi tidak responsif steroid kuat</t>
  </si>
  <si>
    <t>clobetasol</t>
  </si>
  <si>
    <t>clobetasol salep clobetasol propionate psoriasis  ekzema resisten  likhen planus  lupus eritematosus diskoid kondisi  kondisi tidak responsif steroid kuat</t>
  </si>
  <si>
    <t>DTI1950100291A1</t>
  </si>
  <si>
    <t>Betadine Throat Spray 50 ml</t>
  </si>
  <si>
    <t>Rp106.100 - Rp140.800</t>
  </si>
  <si>
    <t>Semprotkan kedalam rongga mulut dan Keluarkan sisa cairan. Tidak perlu dibilas dengan berkumur.</t>
  </si>
  <si>
    <t>1x semprot, gunakan 3 kali per hari.</t>
  </si>
  <si>
    <t>Spray mulut untuk meredakan gejalan sakit tenggorokan, sariawan, gusi bengkak, bau mulut dan nafas tidak segar.</t>
  </si>
  <si>
    <t>Dus, Botol Spray @ 50 ml</t>
  </si>
  <si>
    <t>Memiliki alergi dengan Povidone Iodine, pasien dengan gangguan tiroid, Ibu hamil dan menyusui, pasien yang sedang terapi Hidrogen Peroksida.</t>
  </si>
  <si>
    <t>Dalam kadar kecil produk ini boleh tertelan. Jika tertelan dalam jumlah yang banyak, segera hubungi tenaga medis.</t>
  </si>
  <si>
    <t>spray mulut meredakan gejalan sakit tenggorokan , sariawan , gusi bengkak , bau mulut nafas tidak segar</t>
  </si>
  <si>
    <t>betadine throat</t>
  </si>
  <si>
    <t>betadine throat spray povidoneiodine spray mulut meredakan gejalan sakit tenggorokan  sariawan  gusi bengkak  bau mulut nafas tidak segar</t>
  </si>
  <si>
    <t>triaminic pilek sirup pseudoephedrine hydrochloride chlorphenamine maleate obat pilek varian jeruk meredakan bersin  bersin hidung tersumbat disebabkan pilek</t>
  </si>
  <si>
    <t>Cendo Hyalub Eye Drop 5 ml</t>
  </si>
  <si>
    <t>Rp68.200 - Rp82.500</t>
  </si>
  <si>
    <t>Menghilangkan rasa terbakar, iritasi, dan ketidaknyamanan yang disebabkan karena kekeringan pada mata dan untuk mempercepat perbaikan permukaan ocular</t>
  </si>
  <si>
    <t>Catch Cover @ 5 Botol Plastik @ 0.6 ml</t>
  </si>
  <si>
    <t>HARUS DENGAN RESEP DOKTER. - Hanya untuk pemakaian luar - Jauhkan dari jangkauan anak-anak. - Untuk menghindari pencemaran, botol harus ditutup kembali setelah pemakaian. - Jangan digunakan jika larutan berubah warna atau keruh. - Untuk menghindari kontaminasi, jangan menyentuh ujung penetes. - Jika iritasi berlanjut atau bertambah buruj, hentikan pengobatan dan konsultasikan ke dokter.</t>
  </si>
  <si>
    <t>cendo hyalub eye drop</t>
  </si>
  <si>
    <t>cendo hyalub eye drop tetes sodium hyaluronate menghilangkan terbakar  iritasi  ketidaknyama disebabkan kekeringan mata mempercepat perbaikan permukaan ocular</t>
  </si>
  <si>
    <t>DTL8721001904A1</t>
  </si>
  <si>
    <t>Flutamol 10 Kaplet</t>
  </si>
  <si>
    <t>Rp5.000 - Rp19.200</t>
  </si>
  <si>
    <t>Dewasa : 1 kaplet, 3-4 kali sehari. Anak-anak 6-12 tahun : 1/2 kaplet, 3-4 kali sehari.</t>
  </si>
  <si>
    <t>Penderita dengan gangguan jantung dan diabetes mellitus. Penderita dengan gangguan fungsi hati yang berat. Penderita yang hipersensitif terhadap komponen obat ini. Penderita yang mendapatkan terapi obat antidepresan tipe MAOI.</t>
  </si>
  <si>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</si>
  <si>
    <t>flutamol kaplet chlorphenamine maleate untuk meringankan gejala  gejala flu demam  sakit kepala  hidung tersumbat bersin  bersin disertai batuk</t>
  </si>
  <si>
    <t>DBL8603804546A1</t>
  </si>
  <si>
    <t>Cendo Protagenta Minidose 0.6 ml</t>
  </si>
  <si>
    <t>Rp47.000 - Rp56.800</t>
  </si>
  <si>
    <t>Melindungi kornea dan mesubstitusi cairan mata: 4-5 x sehari 1-2 tetes pada mata yang sakit. Memasang lensa kontak 1-2 tetes di bagian dalam lensa kontak. Setelah lensa dipasang teteskan 1 tetes pada mata.</t>
  </si>
  <si>
    <t>Manifestasi rangsangan pada mata disebabkan produksi cairan mata yang kurang atau tidak cukup (mata kering). Pelicin untuk lensa kontak</t>
  </si>
  <si>
    <t>Catch Cover @ 5 Botol @ 0,6 ml</t>
  </si>
  <si>
    <t>Jangan digunakan 3 x 24 jam setelah dibuka. Simpan pada suhu dibawah 30 C. Tutup wadah rapat-rapat hindari kontaminasi.</t>
  </si>
  <si>
    <t>polyvinylpolypyrrolidone</t>
  </si>
  <si>
    <t>manifestasi rangsangan mata disebabkan produksi cairan mata tidak mata kering  pelicin lensa kontak</t>
  </si>
  <si>
    <t>cendo protagenta minidose</t>
  </si>
  <si>
    <t>cendo protagenta minidose tetes polyvinylpolypyrrolidone manifestasi rangsangan mata disebabkan produksi cairan mata tidak mata kering  pelicin lensa kontak</t>
  </si>
  <si>
    <t>polyvinylpyrrolidone</t>
  </si>
  <si>
    <t>cendo protagenta minidose tetes polyvinylpyrrolidone manifestasi rangsangan mata disebabkan produksi cairan mata tidak mata kering  pelicin lensa kontak</t>
  </si>
  <si>
    <t>TR082496931</t>
  </si>
  <si>
    <t>Capung Herbal Pastiles 7 g</t>
  </si>
  <si>
    <t>CAPUNG HERBAL PASTILES</t>
  </si>
  <si>
    <t>Rp13.000 - Rp18.100</t>
  </si>
  <si>
    <t>Meredakan batuk, tenggorokan gatal, serak dan parau serta untuk mengurangi bau mulut yang kurang sedap, Capung Herbal Pastilles juga sangat cocok untuk para perokok .</t>
  </si>
  <si>
    <t>Box, 12 pack</t>
  </si>
  <si>
    <t>capung herbal pastiles</t>
  </si>
  <si>
    <t>meredakan batuk , tenggorokan gatal , serak parau mengurangi bau mulut sedap , capung herbal pastilles cocok perokok</t>
  </si>
  <si>
    <t>capung herbal pastiles  meredakan batuk  tenggorokan gatal  serak parau mengurangi bau mulut sedap  capung herbal pastilles cocok perokok</t>
  </si>
  <si>
    <t>DTL9113302937A1</t>
  </si>
  <si>
    <t>Lapisiv Sirup 100 ml</t>
  </si>
  <si>
    <t>Rp24.900 - Rp32.000</t>
  </si>
  <si>
    <t>Meredakan Batuk &amp; Pilek yang berhubungan dengan Alergi</t>
  </si>
  <si>
    <t>DKL2221103437A1</t>
  </si>
  <si>
    <t>Limoxin Sirup 60 ml</t>
  </si>
  <si>
    <t>Rp30.500 - Rp31.300</t>
  </si>
  <si>
    <t>PENGGUNAAN OBAT INI HARUS SESUAI DENGAN PETUNJUK DOKTER. Dewasa &amp; anak &gt; 12 tahun : 2 x sehari 1 sendok takar (5 ml). Anak 6-11 tahun : 2-3 x sehari 1/2 sendok takar (2.5 ml). Anak 2-5 tahun : 3 x sehari 1/4 sendok takar (1.25 ml). Anak &lt;2 tahun : 2 x sehari 1/4 sendok takar (1.25 ml).</t>
  </si>
  <si>
    <t>limoxin</t>
  </si>
  <si>
    <t>limoxin sirup ambroxol hydrochloride sebagai sekretolitik gangguan saluran nafas akut kronis eksaserbasi bronkitis kronis bronkitis asmatik asma bronkial</t>
  </si>
  <si>
    <t>marimer isotonic nasal tetes ofloxacin marimer isotonic direkomendasikan  pemakaian sehari  saluran rongga hidung  melembabkan membran mukosa nasal kering</t>
  </si>
  <si>
    <t>sterimar blocked nose hypertonic tetes ofloxacin melegakan hidung tersumbat pilek sinusitis  membersihkan area hidung membantu pencegahan infeksi flu</t>
  </si>
  <si>
    <t>DTL2030912304A1</t>
  </si>
  <si>
    <t>Molexflu PE 10 Kaplet</t>
  </si>
  <si>
    <t>Rp6.500 - Rp13.000</t>
  </si>
  <si>
    <t>molexflu pe</t>
  </si>
  <si>
    <t>molexflu pe kaplet paracetamol phenylephrine hydrochloride chlorphenamine maleate mengobati gejala flu demam  sakit kepala  hidung tersumbat  bersin  bersin</t>
  </si>
  <si>
    <t>DKL0622242928A1</t>
  </si>
  <si>
    <t>Sinocort 0.1% Oral Paste 5 g</t>
  </si>
  <si>
    <t>Rp50.400 - Rp55.400</t>
  </si>
  <si>
    <t>PENGGUNAAN OBAT INI HARUS SESUAI DENGAN PETUNJUK DOKTER. 2-3 x/hari, Gunakan secara teratur pada lesi pada saat menjelang tidur hingga terbentuk lapisan tipis</t>
  </si>
  <si>
    <t>Terapi tambahan dan untuk meredakan gejala yang berhubungan dengan lesi inflamasi oral dan lesi ulseratif yang diakibatkan trauma</t>
  </si>
  <si>
    <t>Tube Pasta oral 5 g x 1</t>
  </si>
  <si>
    <t>Infeksi jamur, virus atau bakteri pada mulut dan tenggorokan</t>
  </si>
  <si>
    <t>Obat Wajib Apotek, Obat ini dapat dibeli dan diserahkan apoteker tanpa resep dengan maksimum 1 Tube. Pembelian melebihi batas ini WAJIB RESEP DOKTER. TB, tukak, peptik, diabetes mellitus. Hamil dan laktasi</t>
  </si>
  <si>
    <t>pasta</t>
  </si>
  <si>
    <t>terapi tambahan meredakan gejala berhubungan lesi inflamasi oral lesi ulseratif diakibatkan trauma</t>
  </si>
  <si>
    <t>sinocort oral paste</t>
  </si>
  <si>
    <t>sinocort oral paste pasta triamcinolone acetonide terapi tambahan meredakan gejala berhubungan lesi inflamasi oral lesi ulseratif diakibatkan trauma</t>
  </si>
  <si>
    <t>sinocort oral paste odf triamcinolone acetonide terapi tambahan meredakan gejala berhubungan lesi inflamasi oral lesi ulseratif diakibatkan trauma</t>
  </si>
  <si>
    <t>TR132570801</t>
  </si>
  <si>
    <t>Kuldon Sariawan 650 mg 4 Tablet</t>
  </si>
  <si>
    <t>KULDON</t>
  </si>
  <si>
    <t>Rp3.000 - Rp3.700</t>
  </si>
  <si>
    <t>Dapat diminum langsung atau dikunyah terlebih dahulu.</t>
  </si>
  <si>
    <t>Dewasa: 2 tablet, diminum 3 kali per hari. Anak-anak: Setengah dosis dewasa.</t>
  </si>
  <si>
    <t>Obat ini digunakan untuk meredakan sariawan, panas dalam, tenggorokan kering, bau mulut, serta membantu melancarkan Buang Air Besar (BAB).</t>
  </si>
  <si>
    <t>Dus, 20 Bungkus @ 4 Tablet</t>
  </si>
  <si>
    <t>kuldon</t>
  </si>
  <si>
    <t>obat meredakan sariawan , panas , tenggorokan kering , bau mulut , membantu melancarkan buang air besar bab</t>
  </si>
  <si>
    <t>kuldon sariawan</t>
  </si>
  <si>
    <t>kuldon sariawan tablet kuldon obat meredakan sariawan  panas  tenggorokan kering  bau mulut  membantu melancarkan buang air besar bab</t>
  </si>
  <si>
    <t>TR182215331</t>
  </si>
  <si>
    <t>Kuldon Granul Herbal 1000 mg 1 Stickpack</t>
  </si>
  <si>
    <t>Rp2.700 - Rp2.800</t>
  </si>
  <si>
    <t>Dapat langsung dikonsumsi/larut di mulut tanpa perlu air.</t>
  </si>
  <si>
    <t>Berkhasiat mengobati panas dalam, tenggorokan kering, bau mulut, serta membantu melancarkan Buang Air Besar (BAB).</t>
  </si>
  <si>
    <t>10 Stickpack @ 1000 mg</t>
  </si>
  <si>
    <t>berkhasiat mengobati panas , tenggorokan kering , bau mulut , membantu melancarkan buang air besar bab</t>
  </si>
  <si>
    <t>kuldon granul herbal stickpack</t>
  </si>
  <si>
    <t>kuldon granul herbal stickpack  kuldon berkhasiat mengobati panas  tenggorokan kering  bau mulut  membantu melancarkan buang air besar bab</t>
  </si>
  <si>
    <t>quixx nasal protection tetes ofloxacin semprot hidung perawatan pencegahan mengatasi alergi rhinitis  meredakan hidung berair  tersumbat  bersin  bersin</t>
  </si>
  <si>
    <t>DKL1628605941A1</t>
  </si>
  <si>
    <t>Kloderma Lotion 30 ml</t>
  </si>
  <si>
    <t>kloderma lotion</t>
  </si>
  <si>
    <t>kloderma lotion larutan clobetasol propionate pengobatan jangka pendek kelai kulit inflamasi hebat eksim bandel tidak responsif kortikosteroid kuat</t>
  </si>
  <si>
    <t>latanoprost timolol maleate</t>
  </si>
  <si>
    <t>xalacom eye tetes latanoprost timolol maleate menurunkan teka intra okular bola mata pasien glaukoma sudut  terbuka hipertensi okular</t>
  </si>
  <si>
    <t>tobramycin dexamethasone</t>
  </si>
  <si>
    <t>cendo tobroson mata salep tobramycin dexamethasone cendo tobroson eye oint obat membantu mengobati infeksi mata bakteri disertai peradangan</t>
  </si>
  <si>
    <t>DKL7603811946A1</t>
  </si>
  <si>
    <t>Cendo Cendrid Eye Drops 5 ml</t>
  </si>
  <si>
    <t>PENGGUNAAN OBAT INI HARUS SESUAI DENGAN PETUNJUK DOKTER. Satu tetes setiap jam pada siang hari, dilanjutkan setiap 2 jam pada malam hari.Dosis diturunkan menjadi 1 tetes setiap 2 jam pada siang hari, dan 1 tetes setiap 4 jam pada malam hari.</t>
  </si>
  <si>
    <t>Keratitis akibat infeksi virus pada superfisial, keratitis dendritis, keratitis metaherpetikum dan lain erosi kornea karena virus herpes</t>
  </si>
  <si>
    <t>idoxuridine</t>
  </si>
  <si>
    <t>keratitis akibat infeksi virus superfisial , keratitis dendritis , keratitis metaherpetikum erosi kornea virus herpes</t>
  </si>
  <si>
    <t>cendo cendrid eye</t>
  </si>
  <si>
    <t>cendo cendrid eye tetes idoxuridine keratitis akibat infeksi virus superfisial  keratitis dendritis  keratitis metaherpetikum erosi kornea virus herpes</t>
  </si>
  <si>
    <t>DTL1504522937A1</t>
  </si>
  <si>
    <t>Decolsin Sirup 60 ml</t>
  </si>
  <si>
    <t>Rp17.100 - Rp21.000</t>
  </si>
  <si>
    <t>Anak 6-12 tahun : 5 mL (1 sendok takar) Dewasa dan anak &gt; 12 tahun : 10 mL (2 sendok takar) Anak 2-6 tahun: Atas petunjuk Dokter</t>
  </si>
  <si>
    <t>Untuk meredakan batuk yang disertai gejala-gejala flu seperti demam, sakit kepala, hidung tersumbat dan bersin-bersin.</t>
  </si>
  <si>
    <t>demacolin sirup paracetamol pseudoephedrine hydrochloride chlorphenamine maleate obat meringankan gejala flu demam  sakit kepala  hidung tersumbat bersin  bersin</t>
  </si>
  <si>
    <t>DKL1217111037A1</t>
  </si>
  <si>
    <t>Holicos 15 mg/5 ml Sirup 60 ml</t>
  </si>
  <si>
    <t>holicos</t>
  </si>
  <si>
    <t>holicos sirup ambroxol hydrochloride sebagai sekretolitik gangguan saluran nafas akut kronis eksaserbasi bronkitis kronis bronkitis asmatik asma bronkial</t>
  </si>
  <si>
    <t>guaifenesin paracetamol pseudoephedrine hydrochloride chlorphenamine maleate</t>
  </si>
  <si>
    <t>hufagrip forte kaplet guaifenesin paracetamol pseudoephedrine hydrochloride chlorphenamine maleate menurunkan demam meringankan gejala  gejala batuk  pilek menyertai influenza</t>
  </si>
  <si>
    <t>ephedrine hydrochloride chlorphenamine maleate guaifenesin paracetamol</t>
  </si>
  <si>
    <t>hufagrip forte kaplet ephedrine hydrochloride chlorphenamine maleate guaifenesin paracetamol menurunkan demam meringankan gejala  gejala batuk  pilek menyertai influenza</t>
  </si>
  <si>
    <t>cendo glaoplus minidose tetes latanoprost timolol maleate untuk menurunkan teka intra okular penderita open angle glaucoma hipertensi okular</t>
  </si>
  <si>
    <t>Flutamol 4 Kaplet</t>
  </si>
  <si>
    <t>Dus, 25 Amplop @ 1 Strip @ 4 Kaplet</t>
  </si>
  <si>
    <t>Penderita dengan gangguan jantung dan diabetes mellitus. Penderita dengan gangguan fungsi hati yang berat. Penderita yang hipersensitif terhadap komponen obat ini.Penderita yang mendapatkan terapi obat antidepresan tipe MAOI.</t>
  </si>
  <si>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hati.Apabila setelah 3 hari gejala tidak membaik, segera hubungi dokter atau unit pelayanan kesehatan.Hentikan penggunaan obat apabila terjadi susah tidur, jantung berdebar dan pusing.</t>
  </si>
  <si>
    <t>inza kaplet paracetamol pseudoephedrine hydrochloride chlorphenamine maleate untuk meringankan gejala flu demam  sakit kepala  hidung tersumbat bersin  bersin</t>
  </si>
  <si>
    <t>DKL9404208009B1</t>
  </si>
  <si>
    <t>Coroflox 500 mg 6 Kaplet</t>
  </si>
  <si>
    <t>Rp112.400 - Rp117.200</t>
  </si>
  <si>
    <t>Infeksi2 saluran Kemih, saluran Nafas, Kulit dan jaringan Lunak, Tulang dan Sendi, Saluran Cerna, GO akut</t>
  </si>
  <si>
    <t>Hipersensitif derivatfluoroquinolon, anak usia kurang dari 18 tahun, hamil dan menyusui karena menekan pertumbuhan kartilago</t>
  </si>
  <si>
    <t>HARUS DENGAN RESEP DOKTER. Hindari paparan sinar matahari yang berlebih</t>
  </si>
  <si>
    <t>infeksi2 saluran kemih , saluran nafas , kulit jaringan lunak , tulang sendi , saluran cerna , go akut</t>
  </si>
  <si>
    <t>coroflox</t>
  </si>
  <si>
    <t>coroflox kaplet ciprofloxacin hydrochloride infeksi2 saluran kemih  saluran nafas  kulit jaringan lunak  tulang sendi  saluran cerna  go akut</t>
  </si>
  <si>
    <t>plantacid suspensi magnesium hydroxide simethicone emulsion 30 dried aluminium hydroxide gel mengurangi asam lambung  tukak lambung  tukak duodenum</t>
  </si>
  <si>
    <t>DTL1817207337A1</t>
  </si>
  <si>
    <t>OBH Nellco Special PE Sirup 55 ml</t>
  </si>
  <si>
    <t>Rp20.000 - Rp34.300</t>
  </si>
  <si>
    <t>Kocok dahulu sebelum dipakai. Dikonsumsi sesudah makan.</t>
  </si>
  <si>
    <t>Dewasa dan anak-anak usia lebih dari 12 tahun : 3 kali sehari 3 sendok takar. Anak-anak usia 6 - 12 tahun : 3 kali sehari 1.5 sendok takar.</t>
  </si>
  <si>
    <t>Lihat Box Warning. Penderita dengan gangguan jantung dan diabetes mellitus. Penderita dengan gangguan fungsi hati yang berat. Hipersensitivitas.</t>
  </si>
  <si>
    <t>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</si>
  <si>
    <t>obh nellco special pe</t>
  </si>
  <si>
    <t>obh nellco special pe sirup ammonium chloride meringankan gejala flu demam  sakit kepala  hidung  bersin  bersin disertai batuk</t>
  </si>
  <si>
    <t>DKL1718829210B1</t>
  </si>
  <si>
    <t>Moxic Forte 15 mg Tablet</t>
  </si>
  <si>
    <t>Rp10.500 - Rp12.900</t>
  </si>
  <si>
    <t>INFORMASI OBAT INI HANYA UNTUK KALANGAN MEDIS. Pengobatan simtomatik jangka pendek terhadap eksaserbasi akut osteoarthritis. Pengobatan simtomatik jangka panjang terhadap Rheumatoid Arthritis (poliartritis kronik)</t>
  </si>
  <si>
    <t>HARUS DENGAN RESEP DOKTER. Jika sedang hamil atau menyusui. Lakukan tes medis jika mengonsumsi obat ini dalam jangka panjang.</t>
  </si>
  <si>
    <t>pengobatan simtomatik jangka pendek eksaserbasi akut osteoarthritis  pengobatan simtomatik jangka rheumatoid arthritis poliartritis kronik</t>
  </si>
  <si>
    <t>moxic forte</t>
  </si>
  <si>
    <t>moxic forte tablet meloxicam pengobatan simtomatik jangka pendek eksaserbasi akut osteoarthritis  pengobatan simtomatik jangka rheumatoid arthritis poliartritis kronik</t>
  </si>
  <si>
    <t>DKL8324201004A2</t>
  </si>
  <si>
    <t>Primadol 10 Kaplet</t>
  </si>
  <si>
    <t>PENGGUNAAN OBAT INI HARUS SESUAI DENGAN PETUNJUK DOKTER. Dewasa: 1-2 kaplet, 3-4 kali per hari. Penggunaan maximum 8 kaplet per hari. Anak 7-12 tahun: 0.5 - 1 kaplet, 3-4 kali per hari. Penggunaan maximum 4 kaplet per hari.</t>
  </si>
  <si>
    <t>HARUS DENGAN RESEP DOKTER. Pasien dengan gagal ginjal, gangguan fungsi hati</t>
  </si>
  <si>
    <t>metoclopramide hydrochloride paracetamol</t>
  </si>
  <si>
    <t>primadol</t>
  </si>
  <si>
    <t>primadol kaplet metoclopramide hydrochloride paracetamol meredakan sakit kepala  sakit gigi  nyeri otot  menurunkan demam menyertai flu paska vaksinasi</t>
  </si>
  <si>
    <t>DKL1134009237A1</t>
  </si>
  <si>
    <t>Nuvopec 15 mg/5 ml Sirup 60 ml</t>
  </si>
  <si>
    <t>nuvopec</t>
  </si>
  <si>
    <t>nuvopec sirup ambroxol hydrochloride sebagai sekretolitik gangguan saluran nafas akut kronis eksaserbasi bronkitis kronis bronkitis asmatik asma bronkial</t>
  </si>
  <si>
    <t>DBL1925803404B1</t>
  </si>
  <si>
    <t>Trifamol Forte 650 mg 10 Kaplet</t>
  </si>
  <si>
    <t>Rp4.800 - Rp5.100</t>
  </si>
  <si>
    <t>Anak-anak 6-12 tahun: 3 - 4 kali sehari, 0.5 kaplet. Dewasa: 3 - 4 kali sehari 1 kaplet. Atau menurut petunjuk dokter.</t>
  </si>
  <si>
    <t>Untuk menurunkan demam, demam setelah vaksinasi, dan meringankan rasa sakit pada otot, sakit kepala, sakit gigi dan nyeri haid.</t>
  </si>
  <si>
    <t>Hipersenstivitas. Gangguan hati yang parah.</t>
  </si>
  <si>
    <t>Pasien dengan gangguan hati yang berat.</t>
  </si>
  <si>
    <t>untuk menurunkan demam , demam vaksinasi , meringankan sakit otot , sakit kepala , sakit gigi nyeri haid</t>
  </si>
  <si>
    <t>trifamol forte</t>
  </si>
  <si>
    <t>trifamol forte kaplet paracetamol untuk menurunkan demam  demam vaksinasi  meringankan sakit otot  sakit kepala  sakit gigi nyeri haid</t>
  </si>
  <si>
    <t>DKL9615610010A1</t>
  </si>
  <si>
    <t>Mucos 30 mg 10 Tablet</t>
  </si>
  <si>
    <t>Rp6.900 - Rp10.600</t>
  </si>
  <si>
    <t>PENGGUNAAN OBAT INI HARUS SESUAI DENGAN PETUNJUK DOKTER. Dewasa : 2-3 x sehari 1 tablet, Anak 6-12 tahun : 2-3 x sehari 0.5 tablet.</t>
  </si>
  <si>
    <t>INFORMASI OBAT INI HANYA UNTUK KALANGAN MEDIS. Sebagai sekretolitik pada gangguan saluran nafas akut dan kronis khususnya pada eksaserbasi bronkitis kronis dan bronkitis asmatik dan asma bronkial</t>
  </si>
  <si>
    <t>HARUS DENGAN RESEP DOKTER. Pasien dengan ulkus lambung atau duodenum, ciliary dyskinesia, dan kondisi bronkial. Gangguan ginjal dan hati. Anak-anak. Kehamilan dan laktasi.</t>
  </si>
  <si>
    <t>mucos tablet ambroxol hydrochloride sebagai sekretolitik gangguan saluran nafas akut kronis eksaserbasi bronkitis kronis bronkitis asmatik asma bronkial</t>
  </si>
  <si>
    <t>DBL2124403137B1</t>
  </si>
  <si>
    <t>Tempra Forte Sirup Rasa Anggur 60 ml</t>
  </si>
  <si>
    <t>Rp51.600 - Rp66.700</t>
  </si>
  <si>
    <t>Anak di atas 12 tahun : 2-2.5 sendok takar (10 ml - 12.5 ml), 3-4 x sehari. Anak 6-12 tahun : 1-2 sendok takar (5 ml - 10 ml), 3-4 x sehari.</t>
  </si>
  <si>
    <t>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</si>
  <si>
    <t>tempra forte rasa anggur</t>
  </si>
  <si>
    <t>tempra forte rasa anggur sirup paracetamol obat meredakan demam  sakit nyeri ringan  sakit kepala sakit gigi  demam imunisasi</t>
  </si>
  <si>
    <t>DBL7624501537A1</t>
  </si>
  <si>
    <t>Panadol Anak-Anak 1-6 Sirup 30 ml</t>
  </si>
  <si>
    <t>Rp29.000 - Rp31.000</t>
  </si>
  <si>
    <t>Dikonsumsi sebelum atau sesudah makan. Dapat langsung diminum atau dicampur dengan air/ sari buah.</t>
  </si>
  <si>
    <t>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t>
  </si>
  <si>
    <t>Obat ini dapat digunakan untuk meredakan rasa sakit seperti sakit kepala, sakit gigi dan menurunkan demam yang menyertai flu dan demam sesudah imunisasi atau vaksinasi.</t>
  </si>
  <si>
    <t>obat meredakan sakit sakit kepala , sakit gigi menurunkan demam menyertai flu demam imunisasi vaksinasi</t>
  </si>
  <si>
    <t>panadol anakanak</t>
  </si>
  <si>
    <t>panadol anakanak sirup paracetamol obat meredakan sakit sakit kepala  sakit gigi menurunkan demam menyertai flu demam imunisasi vaksinasi</t>
  </si>
  <si>
    <t>DKI0665600217A1</t>
  </si>
  <si>
    <t>Meiact 200 mg 10 Tablet</t>
  </si>
  <si>
    <t>Rp338.000 - Rp390.800</t>
  </si>
  <si>
    <t>PENGGUNAAN OBAT INI HARUS SESUAI DENGAN PETUNJUK DOKTER. Pneumonia yang didapat dari lingkungan : 400 mg 2 kali sehari selama 14 hari. Eksaserbasi akut dari bronkitis kronik : 400 mg 2 kali sehari selama 10 hari. Faringotonsilitis : 200 mg 2 kali sehari selama 10 hari. Sinusitis akut : 200 mg 2 kali</t>
  </si>
  <si>
    <t>Pneumonia yang didapat dari lingkungan, eksaserbasi akut dari bronkitis kronik, faringotosilitis, sinusitis akut, infeksi kulit dan struktur kulit tak terkomplikasi</t>
  </si>
  <si>
    <t>HARUS DENGAN RESEP DOKTER. Riwayat hipersensitif terhadap penisilin atau antibiotik cefem lain. Predisposis individual atau keluarga terhadap gejala alergi seperti asma bronkial, eksantema atau urtikaria. Gangguan fungsi ginjal berat. Lansia, asupan makanan per oral yang buruk, mendapat nutrisi parenteral atau dalam kondisi kesehatan yang buruk. Hamil, laktasi, anak Kategopri Kehamilan : B</t>
  </si>
  <si>
    <t>cefditoren pivoxil</t>
  </si>
  <si>
    <t>pneumonia lingkungan , eksaserbasi akut bronkitis kronik , faringotosilitis , sinusitis akut , infeksi kulit struktur kulit terkomplikasi</t>
  </si>
  <si>
    <t>meiact</t>
  </si>
  <si>
    <t>meiact tablet cefditoren pivoxil pneumonia lingkungan  eksaserbasi akut bronkitis kronik  faringotosilitis  sinusitis akut  infeksi kulit struktur kulit terkomplikasi</t>
  </si>
  <si>
    <t>Panadol Anak-Anak 1-6 Sirup 60 ml</t>
  </si>
  <si>
    <t>Rp52.300 - Rp59.300</t>
  </si>
  <si>
    <t>DBL2013322433A1</t>
  </si>
  <si>
    <t>Apetic Suspensi 60 ml</t>
  </si>
  <si>
    <t>Rp41.600 - Rp41.700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</si>
  <si>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dengan anjuran dokter.</t>
  </si>
  <si>
    <t>Menurunkan demam, termasuk dmam yang menyertai Flu dan deman setalah vaksinasi atau imunisasi . Meringankan rasa sakit seperti sakit kepala dan sakit gigi.</t>
  </si>
  <si>
    <t>menurunkan demam , dmam menyertai flu deman setalah vaksinasi imunisasi  meringankan sakit sakit kepala sakit gigi</t>
  </si>
  <si>
    <t>apetic</t>
  </si>
  <si>
    <t>apetic suspensi paracetamol menurunkan demam  dmam menyertai flu deman setalah vaksinasi imunisasi  meringankan sakit sakit kepala sakit gigi</t>
  </si>
  <si>
    <t>DBL9117606937A1</t>
  </si>
  <si>
    <t>Pamol Sirup 60 ml</t>
  </si>
  <si>
    <t>Rp20.200 - Rp44.000</t>
  </si>
  <si>
    <t xml:space="preserve">Anak 6-12 tahun : 2-4 sendok takar 5 mL </t>
  </si>
  <si>
    <t>DBL1024400337B1</t>
  </si>
  <si>
    <t>Tempra Forte Sirup Rasa Bubblegum 60 ml</t>
  </si>
  <si>
    <t>Rp56.800 - Rp60.500</t>
  </si>
  <si>
    <t>tempra forte rasa bubblegum</t>
  </si>
  <si>
    <t>tempra forte rasa bubblegum sirup paracetamol obat meredakan demam  sakit nyeri ringan  sakit kepala sakit gigi  demam imunisasi</t>
  </si>
  <si>
    <t>DKL0423408337A1</t>
  </si>
  <si>
    <t>Mirapect Sirup 60 ml</t>
  </si>
  <si>
    <t>Rp7.800 - Rp8.200</t>
  </si>
  <si>
    <t>PENGGUNAAN OBAT INI HARUS SESUAI DENGAN PETUNJUK DOKTER. - 2 tahun ke bawah: ? sendok takar (2,5 ml) sebanyak 2 kali/hari - 2-6 tahun: ? sendok takar (2,5 ml) sebanyak 3 kali/hari - 6-12 tahun: 1 sendok takar (5 ml) sebanyak 2-3 kali/hari</t>
  </si>
  <si>
    <t>INFORMASI OBAT INI HANYA UNTUK KALANGAN MEDIS. Sebagai sekretolitik pada gangguan saluran nafas akut dan kronis khususnya pada eksaserbasi bronkitis kronis dan bronkitis asmatik serta asma bronkial.</t>
  </si>
  <si>
    <t>mirapect</t>
  </si>
  <si>
    <t>mirapect sirup ambroxol hydrochloride sebagai sekretolitik gangguan saluran nafas akut kronis eksaserbasi bronkitis kronis bronkitis asmatik asma bronkial</t>
  </si>
  <si>
    <t>DKL0621632910A1</t>
  </si>
  <si>
    <t>Limoxin 30 mg 10 Tablet</t>
  </si>
  <si>
    <t>Rp8.200 - Rp14.300</t>
  </si>
  <si>
    <t>Sebagai sekretolitik pada gangguan saluran nafas akut dan kronis khususnya pada eksaserbasi bronkitis kronis dan bronkitis asmatik dan asma bronkial.</t>
  </si>
  <si>
    <t>Tablet 30 Mg X 10 X 10'S.</t>
  </si>
  <si>
    <t>Jangan menggunakan obat ini untuk pasien yang memiliki riwayat alergi obat ambroxol . Pasien yang menderita ulkus pada lambung penggunaan obat ini harus dilakukan secara hati-hati.</t>
  </si>
  <si>
    <t>limoxin tablet ambroxol hydrochloride sebagai sekretolitik gangguan saluran nafas akut kronis eksaserbasi bronkitis kronis bronkitis asmatik asma bronkial</t>
  </si>
  <si>
    <t>DKL0416908037A1</t>
  </si>
  <si>
    <t>Omeroxol Sirup 60 ml</t>
  </si>
  <si>
    <t>Rp6.600 - Rp22.300</t>
  </si>
  <si>
    <t>PENGGUNAAN OBAT INI HARUS SESUAI DENGAN PETUNJUK DOKTER. Dewasa : 3 kali sehari 2 sendok takar. Anak 5-12 tahun : 3 kali 1 sendok takar. Anak 2-5 tahun : 3 kali sehari 1/2 sendok takar.</t>
  </si>
  <si>
    <t>Penyakit saluran pernafasan dan kronis disertai bronkialabnormal sepertipada eksaserbasi dari bronkitis kronis, bronkitis asmatik, dan asma bronkial.</t>
  </si>
  <si>
    <t>penyakit saluran pernafasan kronis disertai bronkialabnormal sepertipada eksaserbasi bronkitis kronis , bronkitis asmatik , asma bronkial</t>
  </si>
  <si>
    <t>omeroxol sirup ambroxol hydrochloride penyakit saluran pernafasan kronis disertai bronkialabnormal sepertipada eksaserbasi bronkitis kronis  bronkitis asmatik  asma bronkial</t>
  </si>
  <si>
    <t>DKL1821207610A1</t>
  </si>
  <si>
    <t>Mucopect 30 mg 10 Tablet</t>
  </si>
  <si>
    <t>Rp45.000 - Rp56.800</t>
  </si>
  <si>
    <t>Dikonsumsi dengan atau tanpa makanan</t>
  </si>
  <si>
    <t>mucopect tablet ambroxol hydrochloride sebagai sekretolitik gangguan saluran nafas akut kronis eksaserbasi bronkitis kronis bronkitis asmatik asma bronkial</t>
  </si>
  <si>
    <t>Zam Buk Ointment 25 g</t>
  </si>
  <si>
    <t>Rp42.700 - Rp51.600</t>
  </si>
  <si>
    <t>Dus, Pot @ 25 g</t>
  </si>
  <si>
    <t>Hanya untuk pemakaian luar. Produk ini tidak digunakan untuk anak di bawah usia 2 tahun. Jangan digunakan langsung dibawah lubang hidung. Pemakaian pada anak-anak dibawah 12 tahun harus dengan pengawasan orang tua. Hentikan pemakaian dan konsultasikan kepada dokter jika terjadi iritasi.</t>
  </si>
  <si>
    <t>QD212633761</t>
  </si>
  <si>
    <t>Freshcare Roll On Minyak Angin Strong (Hot) 10 ml</t>
  </si>
  <si>
    <t>freshcare roll on angin strong hot</t>
  </si>
  <si>
    <t>freshcare roll on angin strong hot roll camphor minyak membantu meredakan perut kembung  pusing  masuk angin mabuk perjala</t>
  </si>
  <si>
    <t>DKL9815612536A1</t>
  </si>
  <si>
    <t>Mucos Drops 20 ml</t>
  </si>
  <si>
    <t>Rp26.000 - Rp54.000</t>
  </si>
  <si>
    <t>PENGGUNAAN OBAT INI HARUS SESUAI DENGAN PETUNJUK DOKTER. Anak usia &lt;2 tahun: 1ml (20 tetes), 2 kali sehari. Anak usia 2-5 tahun: 1ml (20 tetes), 3 kali sehari.</t>
  </si>
  <si>
    <t>mucos tetes ambroxol hydrochloride sebagai sekretolitik gangguan saluran nafas akut kronis eksaserbasi bronkitis kronis bronkitis asmatik asma bronkial</t>
  </si>
  <si>
    <t>DKL1022248336A1</t>
  </si>
  <si>
    <t>Epexol Drops 20 ml</t>
  </si>
  <si>
    <t>Rp47.800 - Rp57.200</t>
  </si>
  <si>
    <t>epexol tetes ambroxol hydrochloride sebagai sekretolitik gangguan saluran nafas akut kronis eksaserbasi bronkitis kronis bronkitis asmatik asma bronkial</t>
  </si>
  <si>
    <t>DKL1121634836A1</t>
  </si>
  <si>
    <t>Limoxin Drops 20 ml</t>
  </si>
  <si>
    <t>Rp31.800 - Rp37.800</t>
  </si>
  <si>
    <t>bersama makanan.</t>
  </si>
  <si>
    <t>PENGGUNAAN OBAT INI HARUS SESUAI DENGAN PETUNJUK DOKTER. Anak 6-12 tahun: 1 mL sirup, 2-3 kali sehari. Anak 2-6 tahun: 0.5 mL sirup, 2-3 kali sehari. Anak &lt;2 tahun: 0.5 mL sirup, 2-3 kali sehari.</t>
  </si>
  <si>
    <t>limoxin tetes ambroxol hydrochloride sebagai sekretolitik gangguan saluran nafas akut kronis eksaserbasi bronkitis kronis bronkitis asmatik asma bronkial</t>
  </si>
  <si>
    <t>DKL8105036133A1</t>
  </si>
  <si>
    <t>Primadex Sirup 50 ml</t>
  </si>
  <si>
    <t>Rp4.000 - Rp7.900</t>
  </si>
  <si>
    <t>PENGGUNAAN OBAT INI HARUS SESUAI DENGAN PETUNJUK DOKTER. Anak berusia 6-12 tahun : 2-3 kali sehari 1-2 sendok teh, Anak berusia kurang dari 5 tahun : 2-3 kali sehari 1/2 -1 sendok teh.</t>
  </si>
  <si>
    <t>Infeksi saluran kemih, saluran pencernaan, &amp; saluran napas yang disebabkan oleh bakteri Gram positif &amp; Gram negatif yang sensitif terhadap Kotrimoksazol.</t>
  </si>
  <si>
    <t>Anemia megaloblastik. Hamil &amp; menyusui. Bayi berusia kurang dari 2 bulan.</t>
  </si>
  <si>
    <t>HARUS DENGAN RESEP DOKTER. Kerusakan hati &amp; ginjal, reaksi alergi atau asma bronkhial.</t>
  </si>
  <si>
    <t>infeksi saluran kemih , saluran pencernaan , saluran napa disebabkan bakteri gram positif gram negatif sensitif kotrimoksazol</t>
  </si>
  <si>
    <t>primadex suspensi sulfamethoxazole infeksi saluran kemih  saluran pencernaan  saluran napa disebabkan bakteri gram positif gram negatif sensitif kotrimoksazol</t>
  </si>
  <si>
    <t>OB Herbal Junior 30 ml</t>
  </si>
  <si>
    <t>Menghangatkan dan melegakan tenggorokan. Membantu meredakan batuk yang disebabkan karena masuk angin.</t>
  </si>
  <si>
    <t>menghangatkan melegakan tenggorokan  membantu meredakan batuk disebabkan masuk angin</t>
  </si>
  <si>
    <t>ob herbal junior  obat batuk herbal junior plus madu menghangatkan melegakan tenggorokan  membantu meredakan batuk disebabkan masuk angin</t>
  </si>
  <si>
    <t>DTL1404522310A1</t>
  </si>
  <si>
    <t>Nalgestan 4 Tablet</t>
  </si>
  <si>
    <t>Vasokonstriktor &amp; antihistamin pada hidung tersumbat, selesma, bersin-bersin, masuk angin, sinusitus, rinitis alergi, rinitis vasomotor.</t>
  </si>
  <si>
    <t>Hipertiroidisme, hipertensi, penyakit jantung, feokromositoma, glaukoma sudut tertutup</t>
  </si>
  <si>
    <t>DKL9111613310A1</t>
  </si>
  <si>
    <t>Transbroncho 30 mg 10 Tablet</t>
  </si>
  <si>
    <t>Rp8.700 - Rp10.700</t>
  </si>
  <si>
    <t>transbroncho</t>
  </si>
  <si>
    <t>transbroncho tablet ambroxol hydrochloride sebagai sekretolitik gangguan saluran nafas akut kronis eksaserbasi bronkitis kronis bronkitis asmatik asma bronkial</t>
  </si>
  <si>
    <t>DTL1009220804A1</t>
  </si>
  <si>
    <t>Farsifen Plus 10 Tablet</t>
  </si>
  <si>
    <t>Rp7.200 - Rp8.700</t>
  </si>
  <si>
    <t>Dewasa dan anak usia di atas 12 tahun : 1 kaplet 3-4 kali sehari.</t>
  </si>
  <si>
    <t>Meringankan rasa nyeri pada sakit kepala, nyeri otot, sakit gigi, nyeri haid (dismenore primer) dan menurunkan demam.</t>
  </si>
  <si>
    <t>Penggunaan NSAID dihindari pada ibu hamil dengan usia kehamilan 20 minggu atau di atas 20 minggu. Anak usia di bawah 12 tahun (kecuali dalam pengawasan dokter). Hipersensitivitas terhadap komponen obat. Penderita ulkus, asma bronkial, gangguan jantung berat, alkoholik.</t>
  </si>
  <si>
    <t>Jangan diberikan pada anak usia di bawah 12 tahun, kecuali dalam pengawasan dokter. Penderita dengan riwayat hipertensi, gangguan ginjal dan hati. Hamil trimester 1 &amp; 2. Laktasi. Kategori Kehamilan Ibuprofen dan Kafein : Kategori C: Mungkin berisiko. Obat digunakan dengan hati-hati apabila besarnya manfaat yang diperoleh melebihi besarnya risiko terhadap janin. Penelitian pada hewan uji menunjukkan risiko terhadap janin dan belum terdapat penelitian langsung terhadap wanita hamil.</t>
  </si>
  <si>
    <t>meringankan nyeri sakit kepala , nyeri otot , sakit gigi , nyeri haid dismenore primer menurunkan demam</t>
  </si>
  <si>
    <t>farsifen plus</t>
  </si>
  <si>
    <t>farsifen plus kaplet caffeine meringankan nyeri sakit kepala  nyeri otot  sakit gigi  nyeri haid dismenore primer menurunkan demam</t>
  </si>
  <si>
    <t>DKL0405036517A2</t>
  </si>
  <si>
    <t>Ketesse 25 mg 10 Tablet</t>
  </si>
  <si>
    <t>Rp116.300 - Rp133.300</t>
  </si>
  <si>
    <t>Dikonsumsi saat perut kosong, berikan 30 menit sebelum makan, terutama untuk meredakan nyeri akut dengan segera.</t>
  </si>
  <si>
    <t>PENGGUNAAN OBAT INI HARUS SESUAI DENGAN PETUNJUK DOKTER. 0.5 tablet tiap 4-6 jam atau 1 tablet tiap 8 jam. Nyeri paska operasi : 1 tablet tiap 8 jam, maximum 3 tablet.</t>
  </si>
  <si>
    <t>INFORMASI OBAT INI HANYA UNTUK KALANGAN MEDIS. Pengobatan gejala nyeri dengan intensitas ringan hingga sedang seperti pada nyeri muskuloskeletal akut, dismenorea, sakit gigi, nyeri paska operasi.</t>
  </si>
  <si>
    <t>Hipersensitivitas, riwayat serangan asma, bronkospasme, rinitis akut atau polip nasal, urtikaria atau edema angioneurotik, tukak lambung atau dispepsia kronik, perdarahan lambung, penyakit Crohn atau kolitis ulseratif, gagal jantung berat, disfungsi ginjal, gangguan hati berat, hamil (trimester 3) dan laktasi.</t>
  </si>
  <si>
    <t>HARUS DENGAN RESEP DOKTER. Riwayat esofagitis, gastritis dan ulkus peptik</t>
  </si>
  <si>
    <t>DKL9421007510A1</t>
  </si>
  <si>
    <t>Silopect 30 mg 10 Tablet</t>
  </si>
  <si>
    <t>Rp15.400 - Rp16.300</t>
  </si>
  <si>
    <t>silopect</t>
  </si>
  <si>
    <t>silopect tablet ambroxol hydrochloride sebagai sekretolitik gangguan saluran nafas akut kronis eksaserbasi bronkitis kronis bronkitis asmatik asma bronkial</t>
  </si>
  <si>
    <t>DKL8506302509A1</t>
  </si>
  <si>
    <t>Mixalgin 10 Tablet</t>
  </si>
  <si>
    <t>Rp7.000 - Rp12.100</t>
  </si>
  <si>
    <t>PENGGUNAAN OBAT INI HARUS SESUAI DENGAN PETUNJUK DOKTER. Anak : 1 kali sehari 1 tablet. Dewasa : 1 kali sehari 1-2 tablet</t>
  </si>
  <si>
    <t>INFORMASI OBAT INI HANYA UNTUK KALANGAN MEDIS. Untuk menghilangkan sakit kepala, neuralgia, nyeri otot dan sendi, rematik, influenza, sakit pinggang, kolik ginjal dan empedu.</t>
  </si>
  <si>
    <t>Hipersensitif, anak kurang dari 14 tahun Wanita hamil dan menyusui, penderita tukak lambung, tekanan darah rendah,</t>
  </si>
  <si>
    <t>HARUS DENGAN RESEP DOKTER. Hindari penggunaan jangka panjang, mengingat risiko agranulositosis yang bisa berakibat fatal. Harap berhati-hati penggunaan pada orang dengan gangguan pembentukan darah/kelainan darah, gangguan fungsi hati atau ginjal. Dalam hal ini perlu dilakukan pemantauan fungsi hati dan darah. Hati-hati menggunakan Mixalgin pada orang dengan asma bronkial, terutama yang disertai rhinosinusitis</t>
  </si>
  <si>
    <t>paramex nyeri otot tablet paracetamol ibuprofen meringankan nyeri nyeri otot  nyeri sendi  sakit kepala  sakit gigi  menurunkan demam</t>
  </si>
  <si>
    <t>DBL7202812223A1</t>
  </si>
  <si>
    <t>Puyer Bintang Toedjoe No 16 1 g 12 Sachet</t>
  </si>
  <si>
    <t>Rp9.500 - Rp14.900</t>
  </si>
  <si>
    <t>Dewasa: 3 x sehari 1 bungkus</t>
  </si>
  <si>
    <t>paracetamol phenylpropanolamine hydrochloride dextromethorphan hydrobromide</t>
  </si>
  <si>
    <t>sanaflu plus batuk sirup paracetamol phenylpropanolamine hydrochloride dextromethorphan hydrobromide meredakan flu  sakit kepala  hidung tersumbat  batuk  pilek  demam</t>
  </si>
  <si>
    <t>DTL2042800828A1</t>
  </si>
  <si>
    <t>Dicoren Gel 20 g</t>
  </si>
  <si>
    <t>Rp29.000 - Rp84.500</t>
  </si>
  <si>
    <t>Dioleskan 3-4 x sehari</t>
  </si>
  <si>
    <t>Terapi lokal inflamasi traumatik pada tendon, ligamen, otot &amp; sendi. Reumatik jaringan lunak yang terlokalisir &amp; penyakit reumatik.</t>
  </si>
  <si>
    <t>terapi lokal inflamasi traumatik tendon , ligamen , otot sendi  reumatik jaringan lunak terlokalisir penyakit reumatik</t>
  </si>
  <si>
    <t>dicoren</t>
  </si>
  <si>
    <t>dicoren gel diclofenac sodium terapi lokal inflamasi traumatik tendon  ligamen  otot sendi  reumatik jaringan lunak terlokalisir penyakit reumatik</t>
  </si>
  <si>
    <t>DTL1530708423A1</t>
  </si>
  <si>
    <t>Oskadryl Pe Effervescent 3.1 G</t>
  </si>
  <si>
    <t>Rp1.400 - Rp1.500</t>
  </si>
  <si>
    <t>Larutan 1 sachet dengan 200 ml air</t>
  </si>
  <si>
    <t>Dewasa dan anak &gt;12 tahun : 3 kali sehari 1 sachet</t>
  </si>
  <si>
    <t>Dus, 10 Sachet @ 3.1 gram</t>
  </si>
  <si>
    <t>Penderita dengan gangguan jantung dan DM</t>
  </si>
  <si>
    <t>oskadryl pe effervescent</t>
  </si>
  <si>
    <t>oskadryl pe effervescent powder dextromethorphan hydrobromide phenylephrine hydrochloride meredakan batuk  bersin  bersin akibat alergi  hidung tersumbat  melegakan pernafasan</t>
  </si>
  <si>
    <t>DBL7206102310A1</t>
  </si>
  <si>
    <t>Strocain P 400 mg 10 Tablet</t>
  </si>
  <si>
    <t>Rp30.100 - Rp36.600</t>
  </si>
  <si>
    <t>Diberikan 30-60 menit sebelum makan atau sebelum tidur.</t>
  </si>
  <si>
    <t>Dewasa : 3-4 x sehari 1-2 tablet</t>
  </si>
  <si>
    <t>Sakit maag, Mual, Hiperasiditas, Nyeri perut, Kembung, yang disebabkan oleh ulkus/tukak lambung/usus halus &amp; gastritis</t>
  </si>
  <si>
    <t>Hipo atau hipertirod, dialisis</t>
  </si>
  <si>
    <t>Diet rendah fosfat, disfungsi ginjal, penggunaan lama, hiperkalsemia</t>
  </si>
  <si>
    <t>polymigel</t>
  </si>
  <si>
    <t>sakit maag , mual , hiperasiditas , nyeri perut , kembung , disebabkan ulkus tukak lambung usus halus gastritis</t>
  </si>
  <si>
    <t>strocain p</t>
  </si>
  <si>
    <t>strocain p tablet polymigel sakit maag  mual  hiperasiditas  nyeri perut  kembung  disebabkan ulkus tukak lambung usus halus gastritis</t>
  </si>
  <si>
    <t>DKL9313303710A1</t>
  </si>
  <si>
    <t>Lapimuc 30 mg 10 Tablet</t>
  </si>
  <si>
    <t>Rp14.400 - Rp16.700</t>
  </si>
  <si>
    <t>Hipersensitif. Penderita ulkus pada lambung.</t>
  </si>
  <si>
    <t>lapimuc</t>
  </si>
  <si>
    <t>lapimuc tablet ambroxol hydrochloride sebagai sekretolitik gangguan saluran nafas akut kronis eksaserbasi bronkitis kronis bronkitis asmatik asma bronkial</t>
  </si>
  <si>
    <t>chlorexol suspensi chloramphenicol palmitate infeksi disebabkan salmonella  h influenzae infeksi meningeal  riketsia  bakteri gram negativ penyebab bakteremia  meningitis</t>
  </si>
  <si>
    <t>DBL9504306336A1</t>
  </si>
  <si>
    <t>Turpan Drop 15 ml</t>
  </si>
  <si>
    <t>Rp19.700 - Rp19.800</t>
  </si>
  <si>
    <t>Dibawah 1 tahun : 0.6 ml, 3-4 kali sehari 1-2 tahun : 0.6-1.2 ml, 3-4 kali sehari Atau sesuai dengan anjuran dokter.</t>
  </si>
  <si>
    <t>Membantu menurunkan demam dan mengurangi rasa sakit,misalnya pada sakit kepala, nyeri otot, dan nyeri setelah pencabutan gigi atau pada saat pertumbuhan gigi.</t>
  </si>
  <si>
    <t xml:space="preserve">- Bila rasa sakit bertahan lebih dari 3 hari, dan demam tidak menurun selama 2 hari, atau bila ada kemerahan pada kulit, segera hubungi dokter. Penggunaan dosis tinggi dapat menyebabkan kerusakan hati. Hati-hati pemberian obat ini pada penderita penyakit </t>
  </si>
  <si>
    <t>membantu menurunkan demam mengurangi sakit , sakit kepala , nyeri otot , nyeri pencabutan gigi pertumbuhan gigi</t>
  </si>
  <si>
    <t>turpan drop</t>
  </si>
  <si>
    <t>turpan drop tetes paracetamol membantu menurunkan demam mengurangi sakit  sakit kepala  nyeri otot  nyeri pencabutan gigi pertumbuhan gigi</t>
  </si>
  <si>
    <t>DKL0518707017A1</t>
  </si>
  <si>
    <t>Mucosta 100 mg 10 Tablet</t>
  </si>
  <si>
    <t>Rp57.600 - Rp70.400</t>
  </si>
  <si>
    <t>Sebelum/sesudah makan, malam hari : menjelang tidur</t>
  </si>
  <si>
    <t xml:space="preserve">INFORMASI OBAT INI HANYA UNTUK KALANGAN MEDIS. Sakit maag, Gastric ulcer/Tukak Lambung : Terapi kombinasi dengan Penghambat Pompa Proton/Antikolinergik/Antagonis H2 </t>
  </si>
  <si>
    <t>DKL1806102815B1</t>
  </si>
  <si>
    <t>Pariet 20 mg 14 Tablet</t>
  </si>
  <si>
    <t>Rp364.000 - Rp441.400</t>
  </si>
  <si>
    <t>Telan utuh, jangan dikunyah/dihancurkan</t>
  </si>
  <si>
    <t>PENGGUNAAN OBAT INI HARUS SESUAI DENGAN PETUNJUK DOKTER. Untuk tukak duodenum aktif : 20 mg/hari pada pagi hari selama 4-8 minggu Untuk tukak lambung jinak : 20 mg/hari pada pagi hari selama 6-12 minggu Untuk GERD erosif/ulseratif : 20 mg/hari selama 4-8 minggu. Pemeliharaan : 10-20 mg/hari, tergantung respon pasien.</t>
  </si>
  <si>
    <t>INFORMASI OBAT INI HANYA UNTUK KALANGAN MEDIS. Sakit maag, Tukak Lambung, Tukak Usus Halus, Reflux Esofagitis erosif/ulseratif, Eradikasi H. pylori</t>
  </si>
  <si>
    <t>Hipersensitivitas terhadap pengganti benzimidazol. Hamil dan laktasi</t>
  </si>
  <si>
    <t>HARUS DENGAN RESEP DOKTER. Singkirkan keganasan sebelum terapi. Terapi jangka panjang harus diawasi secara berkala. Gangguan hati berat. Dosis kumulatif harus dijaga seminimal mungkin. Anak. Monitor fungsi tiroid. Mengganggu kemampuan mengemudi dan menjalankan mesin. Kategori Kehamilan : C</t>
  </si>
  <si>
    <t>sakit maag , tukak lambung , tukak usus halus , reflux esofagitis erosif ulseratif , eradikasi h  pylorus</t>
  </si>
  <si>
    <t>pariet tablet rabeprazole sodium sakit maag  tukak lambung  tukak usus halus  reflux esofagitis erosif ulseratif  eradikasi h  pylorus</t>
  </si>
  <si>
    <t>succus liquiritiae chlorphenamine maleate guaifenesin phenylephrine hydrochloride</t>
  </si>
  <si>
    <t>komix obh kid rasa madu sirup succus liquiritiae chlorphenamine maleate guaifenesin phenylephrine hydrochloride untuk meringankan batuk berdahak pilek</t>
  </si>
  <si>
    <t>DKL9317608910A1</t>
  </si>
  <si>
    <t>Interpec 30 mg 10 Tablet</t>
  </si>
  <si>
    <t>Gangguan hati atau ginjal</t>
  </si>
  <si>
    <t>interpec tablet ambroxol hydrochloride sebagai sekretolitik gangguan saluran nafas akut kronis eksaserbasi bronkitis kronis bronkitis asmatik asma bronkial</t>
  </si>
  <si>
    <t>DBL1033400237B1</t>
  </si>
  <si>
    <t>Kamolas Forte Sirup 60 ml</t>
  </si>
  <si>
    <t>Rp32.400 - Rp35.800</t>
  </si>
  <si>
    <t>Anak &gt; 6 tahun : 3-4 x sehari 1-2 sendok takar 5 mL, Anak 1-6 tahun : 3-4 x sehari 0.5-1 sendok takar 5 mL.</t>
  </si>
  <si>
    <t>Demam, meredakan gejala2 sakit yang ringan, sakit &amp; tidak nyaman akibat Pilek, Flu, Inokulasi, Vaksinasi &amp; Tonsilectomi</t>
  </si>
  <si>
    <t>demam , meredakan gejala2 sakit ringan , sakit tidak nyaman akibat pilek , flu , inokulasi , vaksinasi tonsilectomi</t>
  </si>
  <si>
    <t>kamolas forte</t>
  </si>
  <si>
    <t>kamolas forte sirup paracetamol demam  meredakan gejala2 sakit ringan  sakit tidak nyaman akibat pilek  flu  inokulasi  vaksinasi tonsilectomi</t>
  </si>
  <si>
    <t>DKL0333304915A1</t>
  </si>
  <si>
    <t>Miniaspi 80 mg 10 Tablet</t>
  </si>
  <si>
    <t>Rp3.500 - Rp7.700</t>
  </si>
  <si>
    <t>PENGGUNAAN OBAT INI HARUS SESUAI DENGAN PETUNJUK DOKTER. 80-160 mg, diberikan 1 kali per hari.</t>
  </si>
  <si>
    <t>INFORMASI OBAT INI HANYA UNTUK KALANGAN MEDIS. Mencegah proses agregasi trombosit pada pasien infark miokard dan pasien angina tidak stabil, serta mencegah serangan serebral iskemik sesaat.</t>
  </si>
  <si>
    <t>Obat ini tidak boleh diberikan kepada pasien dengan kondisi: Hipersensitif terhadap aspirin dan obat antiinflamasi non steroid (AINS) lainnya. Asma, rhinitis, dan polip hidung. Memiliki riwayat atau sedang mengalami tukak lambung. Pendarahan subkutan, homofilia, atau trombositopenia. Menerima terapi antikoagulan, atau AINS, atau Methotrexate. Gangguan hati atau ginjal yang berat. Anak-anak di bawah usia16 tahun dan sedang dalam proses pemulihan dari infeksi virus.</t>
  </si>
  <si>
    <t>HARUS DENGAN RESEP DOKTER. Hati-hati penggunaan obat ini pada pasien dengan: Gangguan ginjal atau hati moderate. Penderita dispepsia atau lesi pada mukosa gastrointestinal atau tukak lambung aktif. Gangguan asma atau alergi, anemia, dehidrasi, menoragia, hipertensi tidak terkontrol, defisiensi G6PD, tirotoksikosis. Pasien yang menjalani prosedur pembedahan. Wanita hamil dan/atau menyusui. Anak di bawah usia 12 tahun. Kategori Kehamilan: Kategori D: Terbukti berisiko terhadap janin (pada trimester ketiga). Meski demikian, obat masih dapat digunakan jika obat diperlukan untuk mengatasi keadaan yang mengancam jiwa, atau penyakit serius, dimana obat yang lebih aman tidak dapat digunakan atau tidak efektif.</t>
  </si>
  <si>
    <t>mencegah prose agregasi trombosit pasien infark miokard pasien angina tidak stabil , mencegah serangan serebral iskemik</t>
  </si>
  <si>
    <t>miniaspi</t>
  </si>
  <si>
    <t>miniaspi tablet acetylsalicylic acid mencegah prose agregasi trombosit pasien infark miokard pasien angina tidak stabil  mencegah serangan serebral iskemik</t>
  </si>
  <si>
    <t>DKL0811638017A2</t>
  </si>
  <si>
    <t>CPG 75 mg 10 Tablet</t>
  </si>
  <si>
    <t>Rp163.600 - Rp291.000</t>
  </si>
  <si>
    <t>Dapat dikonsumsi sebelum maupun sesudah makan.</t>
  </si>
  <si>
    <t>PENGGUNAAN OBAT INI HARUS SESUAI DENGAN PETUNJUK DOKTER. Sehari 1 kali 1 tablet (75 mg). Tidak ada penyesuaian dosis yang diperlukan untuk pasien lanjut usia atau pasien dengan penyakit ginjal.</t>
  </si>
  <si>
    <t>INFORMASI OBAT INI HANYA UNTUK KALANGAN MEDIS. Mengurangi kejadian aterosklerosis (infark miokard, stroke dan kematian vaskular) pada pasien dengan aterosklerosis yang ditandai dengan stroke yang belum lama, terjadi infark miokard atau penyakit arteri lain</t>
  </si>
  <si>
    <t>Obat ini tidak boleh diberikan kepada pasien dengan kondisi: Hipersensitif terhadap Clopidogrel. Perdarahan patologis aktif seperti tukak lambung atau perdarahan intrakranial.</t>
  </si>
  <si>
    <t>HARUS DENGAN RESEP DOKTER. Clopidogrel harus digunakan dengan hati-hati pada pasien yang mungkin berisiko mengalami peningkatan perdarahan akibat trauma, pembedahan, atau kondisi patologis lain yang menerima penghambat glikoprotein IIb/IIIa secara bersamaan. Terapi Clopidogrel tidak boleh diberikan dalam beberapa hari pertama setelah infark miokard. Clopidogrel harus digunakan secara hati-hati pada pasien yang mengalami gangguan hati yang mungkin mengalami perdarahan diatesis. Jika terjadi gejala pendarahan, segera konsultasikan hal tersebut kepada dokter Anda. Katgori Kehamilan: Kategori B: Mungkin dapat digunakan oleh wanita hamil. Penelitian pada hewan uji tidak memperlihatkan ada nya risiko terhadap janin, namun belum ada bukti penelitian langsung terhadap wanita hamil.</t>
  </si>
  <si>
    <t>mengurangi kejadian aterosklerosis infark miokard , stroke kematian vaskular pasien aterosklerosis ditandai stroke , infark miokard penyakit arteri</t>
  </si>
  <si>
    <t>cpg</t>
  </si>
  <si>
    <t>cpg tablet clopidogrel mengurangi kejadian aterosklerosis infark miokard  stroke kematian vaskular pasien aterosklerosis ditandai stroke  infark miokard penyakit arteri</t>
  </si>
  <si>
    <t>DKL1031530775A1</t>
  </si>
  <si>
    <t>Farbivent Inhalation 2.5 ml</t>
  </si>
  <si>
    <t>PENGGUNAAN OBAT INI HARUS SESUAI DENGAN PETUNJUK DOKTER. Dewasa (termasuk lansia) : 1 ampul 3-4 kali/hari.</t>
  </si>
  <si>
    <t>Terapi untuk bronkospasme yang berhubungan dengan penyakit paru obstruktif kronik (PPOK) pada pasien yang diterapi dengan ipratropium bromida bersama salbutamol.</t>
  </si>
  <si>
    <t>Dus, 10 Ampul @ 2.5 ml</t>
  </si>
  <si>
    <t>HARUS DENGAN RESEP DOKTER. Hindari penggunaan jangka lama. Hamil &amp; laktasi. Anak &lt;12 tahun.</t>
  </si>
  <si>
    <t>terapi bronkospasme berhubungan penyakit paru obstruktif kronik ppok pasien diterapi ipratropium bromida salbutamol</t>
  </si>
  <si>
    <t>farbivent inhalation</t>
  </si>
  <si>
    <t>farbivent inhalation inhaler ipratropium bromide monohydrate terapi bronkospasme berhubungan penyakit paru obstruktif kronik ppok pasien diterapi ipratropium bromida salbutamol</t>
  </si>
  <si>
    <t>DKL1917627917A1</t>
  </si>
  <si>
    <t>Rovastar 20 mg 10 Tablet</t>
  </si>
  <si>
    <t>Rp168.100 - Rp184.700</t>
  </si>
  <si>
    <t>PENGGUNAAN OBAT INI HARUS SESUAI DENGAN PETUNJUK DOKTER. Awal 5-10 mg 1 kali/hari , baik pada pasien yang belum pernah mendapat terapi statin atau pasien yang menjalani pergantian terapi dari penghambat HMG-Coa reduktase lain, bila perlu dosis dapat ditingkatkan sampai tingkat berikutnya sesudah 4 minggu. Untuk usia lanjut &gt; 70 tahun dan pasien dengan faktor predisposisi miopati : awal 5 mg. Untuk pasien dengan ganggua ginjal berat (bersihan kreatinin &lt; 30 mL/menit/1.73 m2) yang tidak menjalani hemodialisis : awal 5 mg 1 kali/hari. Maksimal : 10 mg 1 kali/hari.</t>
  </si>
  <si>
    <t>INFORMASI OBAT INI HANYA UNTUK KALANGAN MEDIS. Hiperkolesterolemia primer (tipe IIa, termasuk Hiperkolsterolemia famili Heterozigos) atau Dislipidemia campuran (tipe IIb) sebagai terapi tambahan terhadap diet dan olahraga</t>
  </si>
  <si>
    <t>Hipersensitif, wanita hamil dan berpotensi melahirkan.</t>
  </si>
  <si>
    <t>HARUS DENGAN RESEP DOKTER. Konsumsi alkohol berlebihan dan atau memiliki riwayat penyakit hati, hiperkolesterolemia sekunder yang disebabkan karena hipotiroidisme atau sindrom nefrotik. Lakukan tes fungsi hati sebelum terapi dan 3 bulan berikutnya. Pasien sebaiknya dianjurkan untuk segera melaporkan bilamana ada keluhan nyeri otot yang tidak diketahui penyebabnya, kelemahan atau kram otot, terutama jika disertai demam atau gejala kurang enak badan. Monitor peningkatan kadar kreatinin kinase. Pasien dengan faktor predisposisi bersama dengan gembrozil. Dosis diatas 40 mg dikontarindikasikan untuk diberikan bersama fibrat. Usia lanjut &gt; 70 tahun. Kategori kehamilan: Kategori X: Kontraindikasi (tidak boleh digunakan). Terdapat hasil penelitian terhadap hewan uji dan manusia yang memperlihatkan abnormalitas terhadap janin. Obat ini dikontraindikasikan untuk wanita hamil dan yang berkemungkinan untuk hamil.</t>
  </si>
  <si>
    <t>hiperkolesterolemia primer tipe iia , hiperkolsterolemia famili heterozigos dislipidemia campuran tipe iib terapi tambahan diet olahraga</t>
  </si>
  <si>
    <t>rovastar</t>
  </si>
  <si>
    <t>rovastar tablet rosuvastatin calcium hiperkolesterolemia primer tipe iia  hiperkolsterolemia famili heterozigos dislipidemia campuran tipe iib terapi tambahan diet olahraga</t>
  </si>
  <si>
    <t>Pioglitazone HCl 30 mg 10 Tablet</t>
  </si>
  <si>
    <t>Rp52.100 - Rp66.000</t>
  </si>
  <si>
    <t>INFORMASI OBAT INI HANYA UNTUK KALANGAN MEDIS. Sebagai terapi kombinasi dengan sulfonilurea atau metformin pada pasien Diabetes Melitus Tipe 2 yang belum terkontrol dengan monoterapi sulfonilurea dan metformin.</t>
  </si>
  <si>
    <t>sebagai terapi kombinasi sulfonilurea metformin pasien diabetes melitus tipe 2 terkontrol monoterapi sulfonilurea metformin</t>
  </si>
  <si>
    <t>pioglitazone hcl</t>
  </si>
  <si>
    <t>pioglitazone hcl tablet pioglitazone hydrochloride sebagai terapi kombinasi sulfonilurea metformin pasien diabetes melitus tipe 2 terkontrol monoterapi sulfonilurea metformin</t>
  </si>
  <si>
    <t>DKL0204420110A1</t>
  </si>
  <si>
    <t>Transmuco 30 mg 10 Tablet</t>
  </si>
  <si>
    <t>PENGGUNAAN OBAT INI HARUS SESUAI DENGAN PETUNJUK DOKTER. Dewasa &amp; anak &gt; 12 tahun : 2-3 x sehari 1 tablet, Anak 6-12 tahun : 2-3 x sehari 0.5 tablet.</t>
  </si>
  <si>
    <t>Sekresi &amp; pengencer dahak pada gangguan saluran nafas akut &amp; khronik, khususnya pada exaserbasi Bronkhitis khronis, Bronkhitis Asmatik &amp; Asma Bronkhial</t>
  </si>
  <si>
    <t>Hipersensitif terhadap analgesik opioid. Risiko ketergantungan opioid</t>
  </si>
  <si>
    <t>sekresi pengencer dahak gangguan saluran nafas akut khronik , exaserbasi bronkhitis khronis , bronkhitis asmatik asma bronkhial</t>
  </si>
  <si>
    <t>transmuco tablet ambroxol hydrochloride sekresi pengencer dahak gangguan saluran nafas akut khronik  exaserbasi bronkhitis khronis  bronkhitis asmatik asma bronkhial</t>
  </si>
  <si>
    <t>DKL9909209929A1</t>
  </si>
  <si>
    <t>Acifar 5% Cream 5 g</t>
  </si>
  <si>
    <t>Rp7.500 - Rp12.900</t>
  </si>
  <si>
    <t>Dioleskan pada area infeksi/yang sakit.</t>
  </si>
  <si>
    <t>PENGGUNAAN OBAT INI HARUS SESUAI DENGAN PETUNJUK DOKTER. Oleskan 5 x sehari setiap 4 jam tanpa pengobatan malam hari. Lama terapi 5 hari, dapat dilanjutkan hingga 10 hari.</t>
  </si>
  <si>
    <t>INFORMASI OBAT INI HANYA UNTUK KALANGAN MEDIS. Infeksi Herpes SimpleX pada Kulit dan selaput lendir/membran mukosa, termasuk Herpes Genitalis dan Herpes Labialis tahap awal dan rekuren/kekambuhan</t>
  </si>
  <si>
    <t>Dus, tube @ 5 g</t>
  </si>
  <si>
    <t>Hipersensitif terhadap asiklovir</t>
  </si>
  <si>
    <t>HARUS DENGAN RESEP DOKTER. Hanya untuk kulit, tidak untuk mata. Tidak untuk digunakan pada lapisan mukosa, seperti mulut, mata, atau vaginal. Tidak untuk pencegahan infeksi herpes simpleks rekurens. Hamil, laktasi. Anak</t>
  </si>
  <si>
    <t>infeksi herpes simplex kulit selaput lendir membran mukosa , herpes genitalis herpes labialis tahap rekuren kekambuhan</t>
  </si>
  <si>
    <t>acifar cream</t>
  </si>
  <si>
    <t>acifar cream krim aciclovir infeksi herpes simplex kulit selaput lendir membran mukosa  herpes genitalis herpes labialis tahap rekuren kekambuhan</t>
  </si>
  <si>
    <t>TR032519911</t>
  </si>
  <si>
    <t>Tolak Angin Ekstra Hangat 4 Tablet</t>
  </si>
  <si>
    <t>TOLAK ANGIN EKSTRA HANGAT</t>
  </si>
  <si>
    <t>Membantu meredakan masuk angin dan gejala-gejalanya, seperti pusing, perut mual, kembung dan meriang serta membantu menghangatkan badan</t>
  </si>
  <si>
    <t>Dus, 12 Strip @ 4 Tablet</t>
  </si>
  <si>
    <t>Tidak direkomendasikan bagi ibu hamil dan menyusui, serta anak-anak dibawah usia 12 tahun.</t>
  </si>
  <si>
    <t>tolak angin ekstra hangat</t>
  </si>
  <si>
    <t>membantu meredakan masuk angin gejala - gejalanya , pusing , perut mual , kembung meriang membantu menghangatkan badan</t>
  </si>
  <si>
    <t>tolak angin ekstra hangat tablet membantu meredakan masuk angin gejala  gejalanya  pusing  perut mual  kembung meriang membantu menghangatkan badan</t>
  </si>
  <si>
    <t>DKL0117617330A1</t>
  </si>
  <si>
    <t>Lotasbat 0.5 mg/g Salep 10 g</t>
  </si>
  <si>
    <t>Rp74.200 - Rp89.800</t>
  </si>
  <si>
    <t>PENGGUNAAN OBAT INI HARUS SESUAI DENGAN PETUNJUK DOKTER. Oleskan tipis 1-2 kali sehari. Maksimal: 50 g/ minggu</t>
  </si>
  <si>
    <t>INFORMASI OBAT INI HANYA UNTUK KALANGAN MEDIS. Pengobatan jangka pendek dermatosis resisten yang tidak responsif terhadap aktivitas steroid, misalnya psoriasis, eksema rekalsitrans, lichen planus, SLE</t>
  </si>
  <si>
    <t>Rosasea, akne vulgaris, dermatitis perioral, pruritus perianal dan genital. Infeksi primer pada lesi kulit. Dermatosis pada anak &lt;1 tahun</t>
  </si>
  <si>
    <t>HARUS DENGAN RESEP DOKTER. Hindari penggunaan terus menerus dalam waktu lama, khususnya pada bayi dan anak, pengobatan pada area tubuh yang luas. Jangan digunakan untuk mata Kategori Kehamilan : C</t>
  </si>
  <si>
    <t>pengobatan jangka pendek dermatosis resisten tidak responsif aktivitas steroid , psoriasis , eksema rekalsitrans , lichen planus , sle</t>
  </si>
  <si>
    <t>lotasbat</t>
  </si>
  <si>
    <t>lotasbat salep clobetasol propionate pengobatan jangka pendek dermatosis resisten tidak responsif aktivitas steroid  psoriasis  eksema rekalsitrans  lichen planus  sle</t>
  </si>
  <si>
    <t>DBL8515801201A1</t>
  </si>
  <si>
    <t>Hemobion 10 Kapsul</t>
  </si>
  <si>
    <t>Rp31.100 - Rp34.200</t>
  </si>
  <si>
    <t>Anemia pada kehamilan dan menyusui, anemia akibat pendarahan, kehamilan.</t>
  </si>
  <si>
    <t>Penderita yang hipersensitif terhadap komponen obat, hemokromatosis, dan hemosiderosis</t>
  </si>
  <si>
    <t>Dapat menyebabkan feses berwarna hitam</t>
  </si>
  <si>
    <t>calcium carbonate ferrous fumarate folic acid cholecalciferol ascorbic acid cyanocobalamin</t>
  </si>
  <si>
    <t>anemia kehamilan menyusui , anemia akibat pendarahan , kehamilan</t>
  </si>
  <si>
    <t>hemobion</t>
  </si>
  <si>
    <t>hemobion kapsul calcium carbonate ferrous fumarate folic acid cholecalciferol ascorbic acid cyanocobalamin anemia kehamilan menyusui  anemia akibat pendarahan  kehamilan</t>
  </si>
  <si>
    <t>DKL1412702329A1</t>
  </si>
  <si>
    <t>Betason-N Cream 5 g</t>
  </si>
  <si>
    <t>Rp17.100 - Rp21.500</t>
  </si>
  <si>
    <t>Oleskan tipis pada bagian kulit yang bermasalah.</t>
  </si>
  <si>
    <t>betasonn cream</t>
  </si>
  <si>
    <t>betasonn cream krim betamethasone valerate neomycin sulfate meringankan inflamasi dermatosis responsif kortikosteroid terkomplikasi infeksi sekunder disebabkan organisme rentan neomisin</t>
  </si>
  <si>
    <t>DKL0835306336A1</t>
  </si>
  <si>
    <t>Promuxol Drops 20 ml</t>
  </si>
  <si>
    <t>Rp53.300 - Rp59.800</t>
  </si>
  <si>
    <t>Sekretolitik/pengencer dahak pada gangguan saluran Nafas akut dan kronik, terutama pada eksaserbasi Bronkitis Khronik, Bronkhitis Asmatik dan Asma Bronkhial</t>
  </si>
  <si>
    <t>sekretolitik pengencer dahak gangguan saluran nafas akut kronik , eksaserbasi bronkitis khronik , bronkhitis asmatik asma bronkhial</t>
  </si>
  <si>
    <t>promuxol tetes ambroxol hydrochloride sekretolitik pengencer dahak gangguan saluran nafas akut kronik  eksaserbasi bronkitis khronik  bronkhitis asmatik asma bronkhial</t>
  </si>
  <si>
    <t>TL092601621</t>
  </si>
  <si>
    <t>Obat Batuk Pei Pa Mat 150 ml</t>
  </si>
  <si>
    <t>BATUK (YANG SENG PEI PA MAT)</t>
  </si>
  <si>
    <t>Dewasa: 3 kali sehari 1 sendok makan. Anak: 3 kali sehari 1 sendok teh.</t>
  </si>
  <si>
    <t>Membantu mengurangi batuk, rasa sakit di tenggorokan, dan membantu melegakan pernafasan.</t>
  </si>
  <si>
    <t>batuk (yang seng pei pa mat)</t>
  </si>
  <si>
    <t>membantu mengurangi batuk , sakit tenggorokan , membantu melegakan pernafasan</t>
  </si>
  <si>
    <t>obat batuk pei pa mat</t>
  </si>
  <si>
    <t>obat batuk pei pa mat  batuk yang seng pei pa mat membantu mengurangi batuk  sakit tenggorokan  membantu melegakan pernafasan</t>
  </si>
  <si>
    <t>DKL9417805715A1</t>
  </si>
  <si>
    <t>Aptor 100 mg 10 Tablet</t>
  </si>
  <si>
    <t>Rp4.200 - Rp4.800</t>
  </si>
  <si>
    <t>PENGGUNAAN OBAT INI HARUS SESUAI DENGAN PETUNJUK DOKTER. 80-160 mg/hari. Untuk infark miokard : sampai dengan 300 mg/hari. Untuk transient ischaemic attack (TIA) atau storke ringan : sampai dengan 1000 mg/hari.</t>
  </si>
  <si>
    <t>aptor</t>
  </si>
  <si>
    <t>aptor tablet acetylsalicylic acid mencegah prose agregasi trombosit pasien infark miokard pasien angina tidak stabil  mencegah serangan serebral iskemik</t>
  </si>
  <si>
    <t>DKL1633535914B1</t>
  </si>
  <si>
    <t>Metphar XR 750 mg 10 Tablet</t>
  </si>
  <si>
    <t>Rp21.800 - Rp30.300</t>
  </si>
  <si>
    <t>Bersama makanan, untuk dosis 1 x sehari diberikan bersama makan malam.</t>
  </si>
  <si>
    <t>PENGGUNAAN OBAT INI HARUS SESUAI DENGAN PETUNJUK DOKTER. Diawali 1 x sehari 1 tablet, dapat ditingkatkan hingga maximum 4 tablet perhari dengan peningkatan dosis mingguan 1 tablet/minggu.</t>
  </si>
  <si>
    <t>"Terapi tambahan terhadap diet dan olahraga atau dikombinasikan dengan Sulfonilurea atau Insulin untuk memperbaiki kontrol Glikemik pada pasien Diabetes tipe-2. "</t>
  </si>
  <si>
    <t>Box Isi 15 Strip @ 8 Tablet Xr</t>
  </si>
  <si>
    <t>Hipersensitivitas. Peny ginjal, kolaps KV, infark miokard akut, septikemia. Gagal jantung kongestif, asidosis metabolik akut atau kronik, ketoasidosis diabetikum dg atau tanpa disertai koma. Pasien yg menjalani pemeriksaan radiologi dg pemberian secara IV bahan kontras yg teryodisasi.</t>
  </si>
  <si>
    <t>HARUS DENGAN RESEP DOKTER. Penyakit ginjal, kolaps KV, infark miokard akut, septikemia. Gagal jantung kongestif, asidosis metabolik akut atau kronik, ketoasidosis diabetikum dengan atau tanpa disertai koma. Pasien yang menjalani pemeriksaan radiologi dengan pemberian secara intra v</t>
  </si>
  <si>
    <t>metformin hydrochloride</t>
  </si>
  <si>
    <t>terapi tambahan diet olahraga dikombinasikan sulfonilurea insulin memperbaiki kontrol glikemik pasien diabetes tipe - 2</t>
  </si>
  <si>
    <t>metphar xr</t>
  </si>
  <si>
    <t>metphar xr tablet metformin hydrochloride terapi tambahan diet olahraga dikombinasikan sulfonilurea insulin memperbaiki kontrol glikemik pasien diabetes tipe  2</t>
  </si>
  <si>
    <t>DTL1009320137A1</t>
  </si>
  <si>
    <t>Ikadryl Flu Syrup 100 ml</t>
  </si>
  <si>
    <t>Rp21.400 - Rp31.700</t>
  </si>
  <si>
    <t>Dewasa: 2 sendok takar (10 ml), 3 kali per hari. Anak-anak 6-12 tahun: 1 sendok takar (5 ml), 3 kali per hari.</t>
  </si>
  <si>
    <t>- Hati-hati penggunaan pada penderita dengan gangguan fungsi hati dan ginjal, glaukoma, hipertrofi prostat, hipertiroid, gangguan jantung, dan diabetes melitus. - Tidak dianjurkan untuk anak di bawah 6 tahun, wanita hamil dan menyusui, kecuali atas petunj</t>
  </si>
  <si>
    <t>ikadryl flu</t>
  </si>
  <si>
    <t>ikadryl flu sirup ammonium chloride untuk meringankan gejala  gejala flu demam  sakit kepala  hidung tersumbat bersin  bersin disertai batuk</t>
  </si>
  <si>
    <t>formoterol fumarate dihydrate budesonide</t>
  </si>
  <si>
    <t>symbicort dosis powder formoterol fumarate dihydrate budesonide terapi reguler asma dimana kombinasi inhalasi kortikosteroid agonis  beta2 long acting sesuai</t>
  </si>
  <si>
    <t>paracetamol isothipendyl hydrochloride phenylephrine hydrochloride</t>
  </si>
  <si>
    <t>nipe tetes paracetamol isothipendyl hydrochloride phenylephrine hydrochloride meredakan gejala berhubungan influenza demam  sakit kepala  pilek  nyeri otot hidung tersumbat</t>
  </si>
  <si>
    <t>DKL1124402330A1</t>
  </si>
  <si>
    <t>Myco-Z Salep 10 g</t>
  </si>
  <si>
    <t>Rp107.300 - Rp129.800</t>
  </si>
  <si>
    <t>Krim dioleskan pada area kulit yang terkena jamur/mikosis/sakit/gatal</t>
  </si>
  <si>
    <t>PENGGUNAAN OBAT INI HARUS SESUAI DENGAN PETUNJUK DOKTER. Oleskan salep 2-4 x sehari</t>
  </si>
  <si>
    <t>INFORMASI OBAT INI HANYA UNTUK KALANGAN MEDIS. Infeksi Mikotik pada kulit yang disebabkan Candida Albikans, Intertrigo, Paronikhia, Mikosis interdigitalis, Ruam Popok dan lesi2 kulit lainnya</t>
  </si>
  <si>
    <t>HARUS DENGAN RESEP DOKTER. Iritasi (hentikan pengobatan)</t>
  </si>
  <si>
    <t>nystatin zinc oxide</t>
  </si>
  <si>
    <t>infeksi mikotik kulit disebabkan candida albikans , intertrigo , paronikhia , mikosis interdigitalis , ruam popok lesi2 kulit</t>
  </si>
  <si>
    <t>mycoz</t>
  </si>
  <si>
    <t>mycoz salep nystatin zinc oxide infeksi mikotik kulit disebabkan candida albikans  intertrigo  paronikhia  mikosis interdigitalis  ruam popok lesi2 kulit</t>
  </si>
  <si>
    <t>TR192636621</t>
  </si>
  <si>
    <t>Bejo Anak Jahe Merah 12 Sachet</t>
  </si>
  <si>
    <t>BEJO ANAK</t>
  </si>
  <si>
    <t>Rp9.500 - Rp42.500</t>
  </si>
  <si>
    <t>Membantu mengatasi masuk angin, perut kembung, pegal-pegal, sakit kepala, mual, dan meriang</t>
  </si>
  <si>
    <t>Dus, 12 Sachet @ 10 ml</t>
  </si>
  <si>
    <t>bejo anak</t>
  </si>
  <si>
    <t>membantu mengatasi masuk angin , perut kembung , pegal - pegal , sakit kepala , mual , meriang</t>
  </si>
  <si>
    <t>bejo anak jahe merah</t>
  </si>
  <si>
    <t>bejo anak jahe merah sachet bejo anak membantu mengatasi masuk angin  perut kembung  pegal  pegal  sakit kepala  mual  meriang</t>
  </si>
  <si>
    <t>DKL1802009414B1</t>
  </si>
  <si>
    <t>Adalat Oros 30 mg 10 Tablet</t>
  </si>
  <si>
    <t>Rp78.000 - Rp131.500</t>
  </si>
  <si>
    <t>Obat dapat dikonsumsi sebelum atau setelah makan. Obat harus ditelan utuh, jangan dikunyah atau dihancurkan. Hindari konsumsi jus grapefruit selama mengkonsumsi obat ini.</t>
  </si>
  <si>
    <t>PENGGUNAAN OBAT INI HARUS SESUAI DENGAN PETUNJUK DOKTER. 1 kali sehari 1 tablet.</t>
  </si>
  <si>
    <t>INFORMASI OBAT INI HANYA UNTUK KALANGAN MEDIS. Hipertensi, angina pektoris kronik stabil, angina pektoris pasca infark (kecuali 8 hari pertama pasca infark miokard akut).</t>
  </si>
  <si>
    <t>Obat ini tidak boleh diberikan pada pasien dengan kondisi: Hipersensitivitas. Syok kardiovaskular, 8 hari pertama setelah infark miokard akut. Pasien yang menerima terapi Rifampisin. Pasien yang menjalani operasi usus proctocolectomy. Hamil dengan usia kurang dari 20 minggu dan/atau menyusui.</t>
  </si>
  <si>
    <t>HARUS DENGAN RESEP DOKTER. Hati-hati penggunaan obat ini pada pasien dengan: Hipertensi atau hipotensi berat. Gagal jantung. Stenosis atau penyempitan pada ruas tulang belakang dan penyumbatan pada bagian dalam usus (obstruksi gastrointestinal). Gangguan fungsi hati. Kehamilan dengan usia di atas 20 minggu. Mengkonsumsi obat ini dapat mempengaruhi kemampuan mengemudi atau mengoperasikan mesin, sebaiknya hindari kegiatan mengemudikan kendaraan atau mengoperasikan mesin. Setelah penggunaan, simpan kembali obat ke dalam kemasan sachetnya dan tutup rapat.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</si>
  <si>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hipertensi , angina pektoris kronik stabil , angina pektoris pasca infark kecuali 8 pasca infark miokard akut</t>
  </si>
  <si>
    <t>adalat oros</t>
  </si>
  <si>
    <t>adalat oros tablet nifedipine hipertensi  angina pektoris kronik stabil  angina pektoris pasca infark kecuali 8 pasca infark miokard akut</t>
  </si>
  <si>
    <t>DKL2017627917B1</t>
  </si>
  <si>
    <t>Rovastar 10 mg 10 Tablet</t>
  </si>
  <si>
    <t>Rp112.300 - Rp162.000</t>
  </si>
  <si>
    <t>DTL1003813146A1</t>
  </si>
  <si>
    <t>Cendo Eyefresh Mild Minidose 0.6 ml</t>
  </si>
  <si>
    <t>Meredakan sementara ketidak-nyamanan pada mata akibat iritasi ringan atau terpapar pada angin atau sinar matahari dan kekeringan pada mata</t>
  </si>
  <si>
    <t>dextran</t>
  </si>
  <si>
    <t>meredakan ketidak - nyamanan mata akibat iritasi ringan terpapar angin sinar matahari kekeringan mata</t>
  </si>
  <si>
    <t>cendo eyefresh mild minidose</t>
  </si>
  <si>
    <t>cendo eyefresh mild minidose tetes dextran meredakan ketidak  nyama mata akibat iritasi ringan terpapar angin sinar matahari kekeringan mata</t>
  </si>
  <si>
    <t>polymyxin b sulfate neomycin sulfate phenylephrine hydrochloride</t>
  </si>
  <si>
    <t>cendo statrol minidose tetes polymyxin b sulfate neomycin sulfate phenylephrine hydrochloride pengobatan pencegahan infeksi akibat bakteri rentan cendo statrol</t>
  </si>
  <si>
    <t>GKL1108516901B1</t>
  </si>
  <si>
    <t>Fenofibrate 300 mg 10 Kapsul</t>
  </si>
  <si>
    <t>Rp21.500 - Rp62.700</t>
  </si>
  <si>
    <t>Dikonsumsi bersama makanan.</t>
  </si>
  <si>
    <t>PENGGUNAAN OBAT INI HARUS SESUAI DENGAN PETUNJUK DOKTER. - Dewasa : 3 x sehari 100 mg atau 1 x sehari 300 mg. - Bila setelah melakukan terapi dan diet belum tercapai respons yang memuaskan, maka dosis dapat ditingkatkan menjadi 4 x 100 mg sehari.</t>
  </si>
  <si>
    <t>INFORMASI OBAT INI HANYA UNTUK KALANGAN MEDIS. Hiperkolesterolemia (tipe IIA), hiperlipidemia kombinasi (tipe IIB dan III), hipertrigliserida endogen (tipe IV) yang tidak memberikan respon dengan cukup terhadap diet dan tindakan lain yang sesuai.</t>
  </si>
  <si>
    <t>Dus, 3 Strip @10 Kapsul</t>
  </si>
  <si>
    <t>Wanita hamil dan menyusui. Penderita dengan hipersensitivitas terhadap fenofibrate. Gangguan fungsi hati yang berat. Gangguan fungsi ginjal. Penyakit kandung empedu. Anak-anak.</t>
  </si>
  <si>
    <t>HARUS DENGAN RESEP DOKTER. - Tidak dianjurkan untuk digunakan pada anak karena bukti keamanan penggunaan pada anak belum cukup. - Tidak dianjurkan untuk digunakan pada wanita hamil dan menyusui. - Bila setelah pemberian selama 3-6 bulan tidak dicapai penurunan kadar lipid serum secara memuaskan, maka terapi pelengkap atau pengganti harus dipertimbangkan. - Lakukan pemantauan berkala kadar transaminase (tiap 3 bulan) selama 12 bulan pertama penggunaan. - Hentikan penggunaan untuk sementara bila terjadi peningkatan enzim hati SGPT melebihi 100 IU. - Tidak dianjurkan untuk mengombinasikan dengan obat hepatotoksik.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</si>
  <si>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hiperkolesterolemia tipe iia , hiperlipidemia kombinasi tipe iib ii , hipertrigliserida endogen tipe iv tidak respon diet tindakan sesuai</t>
  </si>
  <si>
    <t>fenofibrate kapsul hiperkolesterolemia tipe iia  hiperlipidemia kombinasi tipe iib ii  hipertrigliserida endogen tipe iv tidak respon diet tindakan sesuai</t>
  </si>
  <si>
    <t>GKL1704527101A1</t>
  </si>
  <si>
    <t>Fenofibrate 100 mg 10 Kapsul</t>
  </si>
  <si>
    <t>Rp16.800 - Rp29.400</t>
  </si>
  <si>
    <t>DTL7612424816A1</t>
  </si>
  <si>
    <t>Neurovit E 4 Tablet</t>
  </si>
  <si>
    <t>Multivitamin ini digunakan untuk mengatasi radang saraf, kelumpuhan saraf, parestesia, nyeri punggung, nyeri saraf, kesemutan, lesu dan gangguan neuropati.</t>
  </si>
  <si>
    <t>Dus, 25 Strip @ 4 Tablet salut gula</t>
  </si>
  <si>
    <t>Disimpan dalam wadah kering dan terhindar dari sinar matahari langsung.</t>
  </si>
  <si>
    <t>multivitamin mengatasi radang saraf , kelumpuhan saraf , parestesia , nyeri punggung , nyeri saraf , kesemutan , lesu gangguan neuropati</t>
  </si>
  <si>
    <t>neurovit e</t>
  </si>
  <si>
    <t>neurovit e tablet cyanocobalamin multivitamin mengatasi radang saraf  kelumpuhan saraf  parestesia  nyeri punggung  nyeri saraf  kesemutan  lesu gangguan neuropati</t>
  </si>
  <si>
    <t>GKL2044401617B1</t>
  </si>
  <si>
    <t>Rosuvastatin 10 mg 10 Tablet</t>
  </si>
  <si>
    <t>Rp18.000 - Rp62.700</t>
  </si>
  <si>
    <t>INFORMASI OBAT INI HANYA UNTUK KALANGAN MEDIS. Hiperkolesterolemia primer (tipe IIa, termasuk Hiperkolsterolemia famili Heterozigos) atau Dislipidemia campuran (tipe IIb) sebagai terapi tambahan terhadap diet dan olahraga.</t>
  </si>
  <si>
    <t>Penyakit hati aktif termasuk peningkatan persisten kadar transaminase serum yang tidak diketahui penyebabnya, serta kenaikan transaminase serum 3 kali dari batas atas nilai normal, miopati, penggunaan bersama dengan siklosporin, wanita usia subur, hamil dan laktasi.</t>
  </si>
  <si>
    <t>HARUS DENGAN RESEP DOKTER. - Konsumsi alkohol berlebihan dan atau memiliki riwayat penyakit hati, hiperkolesterolemia sekunder yang disebabkan karena hipotiroidisme atau sindrom nefrotik. - Lakukan tes fungsi hati sebelum terapi dan 3 bulan berikutnya. - Pasien sebaiknya dianjurkan untuk segera melaporkan bilamana ada keluhan nyeri otot yang tidak diketahui penyebabnya, kelemahan atau kram otot, terutama jika disertai demam atau gejala kurang enak badan. - Monitor peningkatan kadar kreatinin kinase. - Pasien dengan faktor predisposisi bersama dengan gembrozil. - Dosis diatas 40 mg dikontarindikasikan untuk diberikan bersama fibrat. - Usia lanjut lebih dari 70 tahun.</t>
  </si>
  <si>
    <t>rosuvastatin tablet rosuvastatin calcium hiperkolesterolemia primer tipe iia  hiperkolsterolemia famili heterozigos dislipidemia campuran tipe iib terapi tambahan diet olahraga</t>
  </si>
  <si>
    <t>DBL0110804163A1</t>
  </si>
  <si>
    <t>Berlosid 10 Tablet</t>
  </si>
  <si>
    <t>Rp4.000 - Rp6.500</t>
  </si>
  <si>
    <t>Diminum saat perut kosong, yaitu diantara waktu makan dan sebelum tidur.</t>
  </si>
  <si>
    <t>Anak 6 - 12 tahun : sehari 4 1/2 tablet atau 1/2 sendok suspensi, 1 - 2 jam sebelum makan atau sebelum tidur</t>
  </si>
  <si>
    <t>GKL0814811601A1</t>
  </si>
  <si>
    <t>Fenofibrate 200 mg 20 Kapsul</t>
  </si>
  <si>
    <t>Rp18.000 - Rp128.300</t>
  </si>
  <si>
    <t>Dus, 2 Blister @ 20 Kapsul</t>
  </si>
  <si>
    <t>TR133370691</t>
  </si>
  <si>
    <t>Bacula 10 Kapsul</t>
  </si>
  <si>
    <t>BACULA</t>
  </si>
  <si>
    <t>Rp37.200 - Rp57.300</t>
  </si>
  <si>
    <t>Pencegahan 1 kapsul per hari. Pengobatan penyakit ringan 1 kapsul 2 - 3 kali per hari. Pengobatan penyakit berat 2 kapsul 2 - 3 kali per hari</t>
  </si>
  <si>
    <t>Membantu mengobati penyakit liver, meningkatkan produksi empedu, mencegah terbentuknya batu empedu, detoksifikasi racun, menurunkan lemak darah, menghilangkan</t>
  </si>
  <si>
    <t>Dos, Kapsul 10 x 1</t>
  </si>
  <si>
    <t>bacula</t>
  </si>
  <si>
    <t>membantu mengobati penyakit liver , meningkatkan produksi empedu , mencegah terbentuknya batu empedu , detoksifikasi racun , menurunkan lemak darah , menghilangkan</t>
  </si>
  <si>
    <t>bacula kapsul membantu mengobati penyakit liver  meningkatkan produksi empedu  mencegah terbentuknya batu empedu  detoksifikasi racun  menurunkan lemak darah  menghilangkan</t>
  </si>
  <si>
    <t>Celecoxib 200 mg 10 Kapsul</t>
  </si>
  <si>
    <t>Rp69.700 - Rp81.300</t>
  </si>
  <si>
    <t>PENGGUNAAN OBAT INI HARUS SESUAI DENGAN PETUNJUK DOKTER. Dewasa Osteoarthritis (OA) &amp; Spondilitis ankilosa : 200 mg, 1 kali sehari 1 kapsul atau 100 mg, 2 kali sehari 1 kapsul. Max.400 mg per hari. Rheumatoid arthritis (RA) : 100-200 mg 2 kali sehari. Max.400 mg per hari. Anak-anak Artritis idiopatik juvenil : Umur 2 tahun 10-25 kg: 50 mg 2 x sehari, &gt;25 kg: 100 mg 2 x sehari</t>
  </si>
  <si>
    <t>INFORMASI OBAT INI HANYA UNTUK KALANGAN MEDIS. Meredakan tanda dan gejala Osteoarthritis (OA), Rheumatoid arthritis (RA) &amp; Ankilosing Spondilitis pada orang dewasa serta Artritis idiopatik juvenil pada anak-anak.</t>
  </si>
  <si>
    <t>meredakan tanda gejala osteoarthritis oa , rheumatoid arthritis ra ankilosing spondilitis orang dewasa artritis idiopatik juvenil anak - anak</t>
  </si>
  <si>
    <t>celecoxib kapsul meredakan tanda gejala osteoarthritis oa  rheumatoid arthritis ra ankilosing spondilitis orang dewasa artritis idiopatik juvenil anak  anak</t>
  </si>
  <si>
    <t>Larutan Cap Kaki Tiga Botol 200 ml</t>
  </si>
  <si>
    <t>cap kaki tiga botol larutan larutan cap kaki tiga membantu meredakan panas disertai tenggorokan kering  sariawan  membantu menyegarkan badan</t>
  </si>
  <si>
    <t>pseudoephedrine hydrochloride paracetamol guaifenesin chlorphenamine maleate</t>
  </si>
  <si>
    <t>coparcetin kaplet pseudoephedrine hydrochloride paracetamol guaifenesin chlorphenamine maleate meringankan gejala flu demam  sakit kepala  hidung  bersin  bersin disertai batuk</t>
  </si>
  <si>
    <t>DKL1821207817A1</t>
  </si>
  <si>
    <t>Buscopan Plus 4 Tablet</t>
  </si>
  <si>
    <t>Rp22.500 - Rp27.900</t>
  </si>
  <si>
    <t>PENGGUNAAN OBAT INI HARUS SESUAI DENGAN PETUNJUK DOKTER. Dewasa : 1-2 tablet, 3 kali sehari. Maksimal : 6 tablet per hari.</t>
  </si>
  <si>
    <t>INFORMASI OBAT INI HANYA UNTUK KALANGAN MEDIS. Nyeri paroxismal pada lambung atau usus halus, nyeri spastik pada saluran empedu, saluran kemih dan organ genital wanita</t>
  </si>
  <si>
    <t>Dus, 25 Strip @ 4 Tablet salut selaput</t>
  </si>
  <si>
    <t>Diketahui hipersensitivitas terhadap hyoscine butylbromide, atau parasetamol. Stenosis mekanis GIT, akalasia, ileus paralitik, atonia usus, hipertrofi prostat dengan retensi urin, miastenia gravis, glaukoma, takiaritmia patologis, megakolon.</t>
  </si>
  <si>
    <t>HARUS DENGAN RESEP DOKTER. Hati-hati penggunaan pada pasien G6PD, sindrom Gilbert, insufisiensi hepatoseluler (Anak - Pugh A/B). Disfungsi hati (misalnya, karena penyalahgunaan alkohol kronis, hepatitis),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</si>
  <si>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nyeri paroxismal lambung usus halus , nyeri spastik saluran empedu , saluran kemih organ genital wanita</t>
  </si>
  <si>
    <t>buscopan plus</t>
  </si>
  <si>
    <t>buscopan plus tablet hyoscine butylbromide nyeri paroxismal lambung usus halus  nyeri spastik saluran empedu  saluran kemih organ genital wanita</t>
  </si>
  <si>
    <t>DKL1122248846A1</t>
  </si>
  <si>
    <t>Gaforin Eye Drop 5 ml</t>
  </si>
  <si>
    <t>Rp172.300 - Rp203.000</t>
  </si>
  <si>
    <t>PENGGUNAAN OBAT INI HARUS SESUAI DENGAN PETUNJUK DOKTER. Konjungtivitis bakterial hari ke1 dan 2: Berikan 1 tetes pada mata yg sakit tiap 2 jam hingga 8 kali sehari. Hari ke3 sampai 7: 1 tetes pada mata yang sakit 4 kali sehari</t>
  </si>
  <si>
    <t>Infeksi eksternal pada mata, misalnya konjungtivitis bakterial dan keratitis bakterial yang disebabkan bakteri aerob gram positif dan gram negatif.</t>
  </si>
  <si>
    <t>botol 5 ml</t>
  </si>
  <si>
    <t>infeksi eksternal mata , konjungtivitis bakterial keratitis bakterial disebabkan bakteri aerob gram positif gram negatif</t>
  </si>
  <si>
    <t>gaforin eye drop</t>
  </si>
  <si>
    <t>gaforin eye drop tetes gatifloxacin infeksi eksternal mata  konjungtivitis bakterial keratitis bakterial disebabkan bakteri aerob gram positif gram negatif</t>
  </si>
  <si>
    <t>HT112600041</t>
  </si>
  <si>
    <t>Antangin JRG Cair 12 Sachet</t>
  </si>
  <si>
    <t>ANTANGIN JRG + MADU</t>
  </si>
  <si>
    <t>Rp41.100 - Rp46.300</t>
  </si>
  <si>
    <t>Simpan di tempat kering, sejuk dan terhindar dari sinar matahari langsung. Simpan pada suhu 30 C</t>
  </si>
  <si>
    <t>antangin jrg + madu</t>
  </si>
  <si>
    <t>antangin jrg cair</t>
  </si>
  <si>
    <t>antangin jrg cair sachet antangin jrg  madu membantu meredakan masuk angin  meriang  mual  perut kembung  capek pusing melegakan tenggorokan</t>
  </si>
  <si>
    <t>TR152586931</t>
  </si>
  <si>
    <t>Antangin JRG 4 Tablet</t>
  </si>
  <si>
    <t>Antangin JRG + Jahe Merah</t>
  </si>
  <si>
    <t>Rp3.700 - Rp4.100</t>
  </si>
  <si>
    <t>Dewasa: 2 tablet, diminum 3 kali per hari, bila perlu 4 tablet 2-3 x per hari</t>
  </si>
  <si>
    <t>Dus, 20 Strip @ 4 tablet @ 650 mg</t>
  </si>
  <si>
    <t>antangin jrg + jahe merah</t>
  </si>
  <si>
    <t>antangin jrg</t>
  </si>
  <si>
    <t>antangin jrg tablet antangin jrg  jahe merah membantu meredakan masuk angin  meriang  mual  perut kembung  capek pusing melegakan tenggorokan</t>
  </si>
  <si>
    <t>DKL0310707346A1</t>
  </si>
  <si>
    <t>Garexin 0.3% Eye Drops 5 ml</t>
  </si>
  <si>
    <t>Rp14.000 - Rp14.300</t>
  </si>
  <si>
    <t>PENGGUNAAN OBAT INI HARUS SESUAI DENGAN PETUNJUK DOKTER. Teteskan 1-2 tetes setiap 4 jam</t>
  </si>
  <si>
    <t>Konjungtivitis, Keratitis, Keratokonjungtivitis, Ulkus Kornea, Blefaritis, Blefarokonjungtivitis, Meibomitis, Dakriosistitis &amp; Adnexitis yang disebabkan strain mikroorganisme yang peka.</t>
  </si>
  <si>
    <t>Obat Wajib Apotek, Obat ini dapat dibeli dan diserahkan apoteker tanpa resep dengan maksimum 1 Botol. Pembelian melebihi batas ini WAJIB RESEP DOKTER. Berkembangnya organisme yang resisten terhadap gentamicin pada pemakaian jangka panjang</t>
  </si>
  <si>
    <t>konjungtivitis , keratitis , keratokonjungtivitis , ulkus kornea , blefaritis , blefarokonjungtivitis , meibomitis , dakriosistitis adnexitis disebabkan strain mikroorganisme peka</t>
  </si>
  <si>
    <t>garexin eye</t>
  </si>
  <si>
    <t>garexin eye tetes gentamicin sulfate konjungtivitis  keratitis  keratokonjungtivitis  ulkus kornea  blefaritis  blefarokonjungtivitis  meibomitis  dakriosistitis adnexitis disebabkan strain mikroorganisme peka</t>
  </si>
  <si>
    <t>DKL1922255646A1</t>
  </si>
  <si>
    <t>Lanosan Plus Eye Drops 2.5 ml</t>
  </si>
  <si>
    <t>Rp160.800 - Rp188.100</t>
  </si>
  <si>
    <t>Teteskan ke mata yang sakit</t>
  </si>
  <si>
    <t>Dewasa &amp; lansia: Teteskan 1 tetes ke mata yang sakit 1x/hari di pagi hari. Maksimal: 1 tetes ke mata yang sakit setiap hari.</t>
  </si>
  <si>
    <t>Penurunan TIO pada pasien dengan glaukoma sudut terbuka &amp; hipertensi okular yang tidak cukup responsif terhadap timolol dan/atau latanoprost.</t>
  </si>
  <si>
    <t>Dus, Botol Plastik @ 2.5 ml</t>
  </si>
  <si>
    <t>Hipersensitivitas terhadap timolol maleat &amp; benzalkonium Cl. Gagal jantung, aritmia jantung derajat 2 atau 3 dengan blokade AV, bradikardia, syok kardiogenik, asma bronkial, obstruksi jalan napas kronik dengan predisposisi/riwayat kejang bronkial.</t>
  </si>
  <si>
    <t>timolol maleate latanoprost</t>
  </si>
  <si>
    <t>penurunan tio pasien glaukoma sudut terbuka hipertensi okular tidak responsif timolol latanoprost</t>
  </si>
  <si>
    <t>lanosan plus eye</t>
  </si>
  <si>
    <t>lanosan plus eye tetes timolol maleate latanoprost penuru tio pasien glaukoma sudut terbuka hipertensi okular tidak responsif timolol latanoprost</t>
  </si>
  <si>
    <t>DKL0322238346A1</t>
  </si>
  <si>
    <t>Optibet Eye Drops 5 ml</t>
  </si>
  <si>
    <t>Rp60.900 - Rp67.400</t>
  </si>
  <si>
    <t>Menurunkan TIO (Tekanan Intra Okular/bola mata) pada pasien dengan Glaukoma Sudut-Terbuka khronis &amp; Hipertensi okuler</t>
  </si>
  <si>
    <t>Bradikardi, blok AV derajat ??1, gagal jantung, syok kardiogenik</t>
  </si>
  <si>
    <t>HARUS DENGAN RESEP DOKTER. DM, tirotoksikosis, kelemahan otot, hamil</t>
  </si>
  <si>
    <t>menurunkan tio tekanan intra okular bola mata pasien glaukoma sudut - terbuka khronis hipertensi okuler</t>
  </si>
  <si>
    <t>optibet eye</t>
  </si>
  <si>
    <t>optibet eye tetes betaxolol hydrochloride menurunkan tio teka intra okular bola mata pasien glaukoma sudut  terbuka khronis hipertensi okuler</t>
  </si>
  <si>
    <t>DKL1713320517A1</t>
  </si>
  <si>
    <t>Rostin 10 mg 10 Tablet</t>
  </si>
  <si>
    <t>Rp123.600 - Rp173.400</t>
  </si>
  <si>
    <t>HARUS DENGAN RESEP DOKTER.- Konsumsi alkohol berlebihan dan atau memiliki riwayat penyakit hati, hiperkolesterolemia sekunder yang disebabkan karena hipotiroidisme atau sindrom nefrotik. - Lakukan tes fungsi hati sebelum terapi dan 3 bulan berikutnya. - Pasien sebaiknya dianjurkan untuk segera melaporkan bilamana ada keluhan nyeri otot yang tidak diketahui penyebabnya, kelemahan atau kram otot, terutama jika disertai demam atau gejala kurang enak badan. - Monitor peningkatan kadar kreatinin kinase. - Pasien dengan faktor predisposisi bersama dengan gembrozil. - Dosis diatas 40 mg dikontarindikasikan untuk diberikan bersama fibrat. - Usia lanjut lebih dari 70 tahun.</t>
  </si>
  <si>
    <t>rostin tablet rosuvastatin calcium hiperkolesterolemia primer tipe iia  hiperkolsterolemia famili heterozigos dislipidemia campuran tipe iib terapi tambahan diet olahraga</t>
  </si>
  <si>
    <t>bromhexine hydrochloride guaifenesin phenylephrine hydrochloride paracetamol</t>
  </si>
  <si>
    <t>bodrex flu dan batuk berdahak pe sirup bromhexine hydrochloride guaifenesin phenylephrine hydrochloride paracetamol meredakan gejala flu disertai batuk berdahak</t>
  </si>
  <si>
    <t>GKL9520905004A2</t>
  </si>
  <si>
    <t>Glibenclamide 5 mg 10 Kaplet</t>
  </si>
  <si>
    <t>Rp300 - Rp2.300</t>
  </si>
  <si>
    <t>Harus dikonsumsi bersama makanan. Diminum bersama sarapan atau makanan utama pertama pada hari itu.</t>
  </si>
  <si>
    <t>PENGGUNAAN OBAT INI HARUS SESUAI DENGAN PETUNJUK DOKTER. Dosis awal: 2.5-5 mg/hari. Dosis dapat disesuaikan sebanyak 2.5 mg dengan interval mingguan sesuai dengan respon pasien. Dosisi maksimal: 20 mg per hari. Dosis di atas 10 mg dapat diberikan dalam 2 dosis terbagi.</t>
  </si>
  <si>
    <t>INFORMASI OBAT INI HANYA UNTUK KALANGAN MEDIS. Diabetes Melitus tipe-2 (NIDDM) dimana kadar gula darah tidak dapat dikontrol secara adekuat dengan diet, olahraga dan penurunan berat badan saja.</t>
  </si>
  <si>
    <t>Obat ini tidak dianjurkan untuk : - Pasien yang hipersensitif terhadap sulfonilurea atau sulfonamida. - Pasien yang mengalami: diabetes melitus tipe 1, ketoasidosis diabetikum dengan atau tanpa koma, koma diabetik dan pra-koma, porfiria akut</t>
  </si>
  <si>
    <t>DKL0505036810A1</t>
  </si>
  <si>
    <t>Deculin 15 mg 6 Tablet</t>
  </si>
  <si>
    <t>Rp38.600 - Rp55.600</t>
  </si>
  <si>
    <t>PENGGUNAAN OBAT INI HARUS SESUAI DENGAN PETUNJUK DOKTER. Untuk dewasa : Kombinasi dengan metformin atau sulfonylurea dapat dimulai dengan dosis pioglitazone 15-30 mg sekali sehari.</t>
  </si>
  <si>
    <t>deculin</t>
  </si>
  <si>
    <t>deculin tablet pioglitazone hydrochloride sebagai terapi kombinasi sulfonilurea metformin pasien diabetes melitus tipe 2 tidak terkontrol monoterapi sulfonilurea metformin</t>
  </si>
  <si>
    <t>DTL7603811346A1</t>
  </si>
  <si>
    <t>Cendo Eye Lotion 5 ml</t>
  </si>
  <si>
    <t>Rp39.400 - Rp43.300</t>
  </si>
  <si>
    <t>PENGGUNAAN OBAT INI HARUS SESUAI DENGAN PETUNJUK DOKTER. Minidose: 1-2 tetes pada kantung konjungitva 3 atau 4 kali sehari atau sesuai dengan petunjuk dokter.</t>
  </si>
  <si>
    <t>untuk meredakan kekeringan, iritasi atau ketidaknyamanan, juga dapat digunakan untuk pemakai lensa kontak(soft,hard,disposabble, rigid gas permeable lens)</t>
  </si>
  <si>
    <t>Hypersensitif terhadap kandungan obat ini.</t>
  </si>
  <si>
    <t>hydroxyethylcellulose</t>
  </si>
  <si>
    <t>meredakan kekeringan , iritasi ketidaknyamanan , pemakai lensa kontak soft , hard , disposabble , rigid gas permeable lens</t>
  </si>
  <si>
    <t>cendo eye lotion</t>
  </si>
  <si>
    <t>cendo eye lotion tetes hydroxyethylcellulose meredakan kekeringan  iritasi ketidaknyama  pemakai lensa kontak soft  hard  disposabble  rigid gas permeable lens</t>
  </si>
  <si>
    <t>Laurier Super Slimguard 25 cm 16 Pads</t>
  </si>
  <si>
    <t>Rp19.300 - Rp34.800</t>
  </si>
  <si>
    <t>Pembalut ultra tipis berdaya serap tinggi, membuat kamu bebas bergerak melakukan aktivitas dengan maksimal pada saat sedang menstruasi tanpa takut bocor.</t>
  </si>
  <si>
    <t>pack isi 16</t>
  </si>
  <si>
    <t>pembalut ultra tipi berdaya serap , bebas bergerak aktivitas maksimal menstruasi takut bocor</t>
  </si>
  <si>
    <t>laurier super slimguard pads tablet sildenafil citrate pembalut ultra tipi berdaya serap  bebas bergerak aktivitas maksimal menstruasi takut bocor</t>
  </si>
  <si>
    <t>QD071707111</t>
  </si>
  <si>
    <t>Zeropain Gel 15 g</t>
  </si>
  <si>
    <t>Rp10.800 - Rp16.000</t>
  </si>
  <si>
    <t>Membantu meredakan nyeri sendi, nyeri otot karena olahraga, keseleo, memar atau nyeri punggung, pegal dan linu, leher terasa kaku dan terkilir.</t>
  </si>
  <si>
    <t>Hanya untuk pemakaian luar, jangan digunakan pada luka terbuka.</t>
  </si>
  <si>
    <t>membantu meredakan nyeri sendi , nyeri otot olahraga , keseleo , memar nyeri punggung , pegal linu , leher kaku terkilir</t>
  </si>
  <si>
    <t>zeropain</t>
  </si>
  <si>
    <t>zeropain gel menthol membantu meredakan nyeri sendi  nyeri otot olahraga  keseleo  memar nyeri punggung  pegal linu  leher kaku terkilir</t>
  </si>
  <si>
    <t>QD183716631</t>
  </si>
  <si>
    <t>Therapain Cream 30 g</t>
  </si>
  <si>
    <t>Rp24.800 - Rp27.700</t>
  </si>
  <si>
    <t>Nyeri Otot, nyeri Sendi yang berhubungan dengan tertarik atau robeknya ligamen otot sendi, memar, sakit pada punggung bawah dan cedera olahraga</t>
  </si>
  <si>
    <t>nyeri otot , nyeri sendi berhubungan tertarik robeknya ligamen otot sendi , memar , sakit punggung cedera olahraga</t>
  </si>
  <si>
    <t>therapain cream</t>
  </si>
  <si>
    <t>therapain cream krim eugenol nyeri otot  nyeri sendi berhubungan tertarik robeknya ligamen otot sendi  memar  sakit punggung cedera olahraga</t>
  </si>
  <si>
    <t>Therapain Cream 15 g</t>
  </si>
  <si>
    <t>Rp16.200 - Rp21.300</t>
  </si>
  <si>
    <t>TR152585141</t>
  </si>
  <si>
    <t>Pil Kita 2 Kaplet</t>
  </si>
  <si>
    <t>PIL KITA</t>
  </si>
  <si>
    <t>Rp1.400 - Rp3.600</t>
  </si>
  <si>
    <t>diminum pada malam hari, sesudah makan</t>
  </si>
  <si>
    <t>1 tablet perhari</t>
  </si>
  <si>
    <t>Berkhasiat membantu menyegarkan badan , memelihara kesehatan, memperbaiki nafsu makan, meredakan pegal linu, encok, dan sakit pinggang.</t>
  </si>
  <si>
    <t>Dus, 50 Catch Cover @ Strip 2 tablet</t>
  </si>
  <si>
    <t>pil kita</t>
  </si>
  <si>
    <t>berkhasiat membantu menyegarkan badan , memelihara kesehatan , memperbaiki nafsu makan , meredakan pegal linu , encok , sakit pinggang</t>
  </si>
  <si>
    <t>kita</t>
  </si>
  <si>
    <t>kita kaplet pil kita berkhasiat membantu menyegarkan badan  memelihara kesehatan  memperbaiki nafsu makan  meredakan pegal linu  encok  sakit pinggang</t>
  </si>
  <si>
    <t>DKL8522204817A1</t>
  </si>
  <si>
    <t>Trichodazol 500 mg 10 Tablet</t>
  </si>
  <si>
    <t>Rp22.300 - Rp24.800</t>
  </si>
  <si>
    <t>PENGGUNAAN OBAT INI HARUS SESUAI DENGAN PETUNJUK DOKTER. Trikomoniasis, Dewasa : 2000 mg sebagai dosis tunggal atau 200 mg 3 x sehari. Selama 7 hari atau 400 mg 2 x sehari selama 5-7 hari. Anak : 40 mg/kg sebagai dosis tunggal atau 15-30 mg/kg setiap hari dalam 2-3 dosis terbagi. Maks: 2.000 mg/dosis. Profilaksis infeksi bakteri anaerob pasca operasi Dewasa : 400 mg 8 jam dalam 24 jam sebelum operasi diikuti dengan IV atau dosis rektal pasca operasi sampai terapi oral memungkinkan. Maks: 4.000 mg setiap hari. Anak: Bayi baru lahir &lt;40 minggu 10 mg/kg sebagai dosis tunggal sebelum operasi. &lt;12 tahun 20-30 mg/kg sebagai dosis tunggal diberikan 1-2 jam sebelum operasi. Giardiasis Dewasa: 2.000 mg 1 x sehari selama 3 hari atau 400 mg 3 x sehari selama 5 hari atau 500 mg 2 x sehari selama 7-10 hari. Alternatifnya, 15-40 mg/kg setiap hari dalam 2-3 dosis terbagi. Anak 1-3 tahun : 50 mg sekali sehari selama 3 hari. Anak &gt;3-7 tahun : 600-800 mg 1 x sehari selama 3 hari. Anak &gt;7-10 tahun: 1.000 mg sekali sehari selama 3 hari. Anak &gt;10 tahun Sama seperti dosis dewasa. Alternatifnya, 15-40 mg/kg setiap hari dalam 2-3 dosis terbagi. Amoebiasis Dewasa: 800 mg 3 x sehari selama 5 hari (infeksi usus), 400-800 mg selama 5-10 hari (infeksi ekstra-usus) atau 35-50 mg / kg setiap hari dalam 3 dosis terbagi selama 5-10 hari. Maks: 2.400 mg setiap hari. Anak 1-3 tahun : 200 mg 3 x sehari selama 5 hari (usus), 100-200 mg 3 x sehari selama 5-10 hari. Anak 3-7 tahun : 200 mg 4 x sehari selama 5 hari (ekstra-usus), 100-200 mg 4 x sehari selama 5-10 hari. 7-10 tahun 400 mg 3 x sehari selama 5 hari (ekstra-usus), 400-800 3 x sehari selama 5-10 hari atau 35-50 mg/kg setiap hari dalam 3 dosis terbagi selama 5-10 hari. Maks: 2.400 mg setiap hari. Infeksi bakteri anaerob Dewasa: Awalnya, 800 mg diikuti 400 mg setiap 8 jam biasanya selama sekitar 7 hari. Anak: &lt;8 minggu 15 mg/kg sekali sehari atau dibagi menjadi 7,5 mg/kg setiap 12 jam. &gt;8 minggu sampai 12 tahun 20-30 mg/kg sebagai dosis tunggal atau dibagi menjadi 7,5 mg/kg setiap 8 jam selama 7 hari. Dosis harian dapat ditingkatkan menjadi 40 mg/kg berdasarkan beratnya infeksi.</t>
  </si>
  <si>
    <t>INFORMASI OBAT INI HANYA UNTUK KALANGAN MEDIS. Pengobatan uretritis dan vaginitis karena Trichomonas vaginalis, amoebiasis intestinal dan hepar, pencegahan infeksi anaerob pasca operasi, giardiasis karena Giardia lambliasis</t>
  </si>
  <si>
    <t>Hipersensitivitas terhadap metronidazol dan nitroimidazol lainnya. Penggunaan bersamaan dengan disulfiram dalam 14 hari terakhir. Pemberian bersama dengan alkohol atau produk yang mengandung propilen glikol selama atau 3 hari setelah penghentian terapi. Kehamilan selama trimester pertama dalam pengobatan trikomoniasis.</t>
  </si>
  <si>
    <t>HARUS DENGAN RESEP DOKTER. Hati-hati pada pasien dengan atau riwayat gangguan kejang, diskrasia darah (misalnya agranulositosis, leukopenia, neutropenia)</t>
  </si>
  <si>
    <t>Counterpain Cool Gel 60 g</t>
  </si>
  <si>
    <t>Rp79.200 - Rp97.800</t>
  </si>
  <si>
    <t>Gel 60 G X 1</t>
  </si>
  <si>
    <t>Jangan digunakan pada mata, mukosa, atau lesi kulit yg terbuka lainnya. Jangan ditutup dengan perban. Hentikan penggunaan jika terjadi iritasi.</t>
  </si>
  <si>
    <t>counterpain cool gel menthol nyeri otot  nyeri sendi berhubungan tertarik robeknya ligamen otot sendi  memar  sakit punggung cedera olahraga</t>
  </si>
  <si>
    <t>DKL9531510310A1</t>
  </si>
  <si>
    <t>Tiaryt 200 mg 10 Tablet</t>
  </si>
  <si>
    <t>Rp23.100 - Rp63.200</t>
  </si>
  <si>
    <t>PENGGUNAAN OBAT INI HARUS SESUAI DENGAN PETUNJUK DOKTER. Aritmia Ventrikuler : Diawali 4-8 tablet perhari selama 1-3 minggu. Aritmia Supraventrikuler : 3 tablet perhari dalam dosis terbagi selama 1 minggu, dilanjut</t>
  </si>
  <si>
    <t>Mengobati &amp; mencegah Aritmia Ventrikel &amp; Supraventrikel yang membahaykan jiwa, Fibrilasi Atrium paroxismal, Atrial flutter, Takikardia Atrial ektopik</t>
  </si>
  <si>
    <t>Disfungsi sinus node berat, blok AV derajat 2 dan 3, sinkop. Disfungsi tiroid. Hamil dan laktasi. Sensitif terhadap iodida.</t>
  </si>
  <si>
    <t>HARUS DENGAN RESEP DOKTER. Monitor TD, fungsi hati dan tiroid secara teratur.</t>
  </si>
  <si>
    <t>mengobati mencegah aritmia ventrikel supraventrikel membahaykan jiwa , fibrilasi atrium paroxismal , atrial flutter , takikardia atrial ektopik</t>
  </si>
  <si>
    <t>tiaryt</t>
  </si>
  <si>
    <t>tiaryt tablet amiodarone hydrochloride mengobati mencegah aritmia ventrikel supraventrikel membahaykan jiwa  fibrilasi atrium paroxismal  atrial flutter  takikardia atrial ektopik</t>
  </si>
  <si>
    <t>QD082707751</t>
  </si>
  <si>
    <t>Cap Badak Balsem Kuning 36 g</t>
  </si>
  <si>
    <t>Rp13.500 - Rp26.300</t>
  </si>
  <si>
    <t>Oleskan secara perlahan pada bagian yang sakit</t>
  </si>
  <si>
    <t>Di gunakan sesuai kebutuhan</t>
  </si>
  <si>
    <t>Mengobati sakit kepala, pegal-pegal, nyeri otot, keseleo, gatal-gatal akibat gigitan serangga</t>
  </si>
  <si>
    <t>Pot, 36 gr</t>
  </si>
  <si>
    <t>mengobati sakit kepala , pegal - pegal , nyeri otot , keseleo , gatal - gatal akibat gigitan serangga</t>
  </si>
  <si>
    <t>cap badak balsem kuning</t>
  </si>
  <si>
    <t>cap badak balsem kuning balsam camphora mengobati sakit kepala  pegal  pegal  nyeri otot  keseleo  gatal  gatal akibat gigitan serangga</t>
  </si>
  <si>
    <t>DKL9711628317B1</t>
  </si>
  <si>
    <t>Cravit 500 mg 10 Tablet</t>
  </si>
  <si>
    <t>PENGGUNAAN OBAT INI HARUS SESUAI DENGAN PETUNJUK DOKTER. Dewasa: Eksaserbasi akut dari bronkitis kronik 500 mg/hari selama 7 hari, pneunomonia 500 mg/hari selama 7-14 hari, sinusitis maksilaris akut 500 mg/hari selama 10-14 hari, infeksi kulit dan struktur kulit tidak terkomplikasi 500 mg/hari selama 7-10 hari, infeksi saluran kemih dan pielonefritis akut 250 mg/hari selama 10 hari</t>
  </si>
  <si>
    <t>INFORMASI OBAT INI HANYA UNTUK KALANGAN MEDIS. Untuk menyembuhkan infeksi bakteri yang sensitif terhadap levofloxacin : sinusitis, eksaserbasi akut bronkitis kronis, pneumonia, infeksi saluran kemih</t>
  </si>
  <si>
    <t>Hipersensitif, epilepsi, anak atau remaja, hamil dan menyusui</t>
  </si>
  <si>
    <t>HARUS DENGAN RESEP DOKTER. Gangguan ginjal, gangguan SSP yang dapat menimbulkan kejang atau memiliki ambang kejang rendah, DM, hindari paparan berlebihan terhadap sinar matahari, anak, kehamillan, menyusui</t>
  </si>
  <si>
    <t>untuk menyembuhkan infeksi bakteri sensitif levofloxacin sinusitis , eksaserbasi akut bronkitis kronis , pneumonia , infeksi saluran kemih</t>
  </si>
  <si>
    <t>cravit tablet levofloxacin hemihydrate untuk menyembuhkan infeksi bakteri sensitif levofloxacin sinusitis  eksaserbasi akut bronkitis kronis  pneumonia  infeksi saluran kemih</t>
  </si>
  <si>
    <t>DKL0409214409A2</t>
  </si>
  <si>
    <t>Floxifar 500 mg 10 Kaplet</t>
  </si>
  <si>
    <t>Rp12.700 - Rp15.800</t>
  </si>
  <si>
    <t>INFORMASI OBAT INI HANYA UNTUK KALANGAN MEDIS. Infeksi saluran kemih, infeksi saluran nafas, kulit dan jaringan lunak, tulang dan sendi, infeksi saluran cerna, osteomielitis akut.</t>
  </si>
  <si>
    <t>Hipersensitif terhadap komponen obat, anak-anak dan remaja dalam masa pertumbuhan, ibu hamil dan menyusui.</t>
  </si>
  <si>
    <t>HARUS DENGAN RESEP DOKTER. Jangan dikonsumsi bersamaan dengan antasida, zat besi, atau produk susu. Epilepsi, gangguan ginjal, hati dan SSP, Lanjut usia, kehamilan dan ibu menyusui</t>
  </si>
  <si>
    <t>infeksi saluran kemih , infeksi saluran nafas , kulit jaringan lunak , tulang sendi , infeksi saluran cerna , osteomielitis akut</t>
  </si>
  <si>
    <t>floxifar</t>
  </si>
  <si>
    <t>floxifar kaplet ciprofloxacin infeksi saluran kemih  infeksi saluran nafas  kulit jaringan lunak  tulang sendi  infeksi saluran cerna  osteomielitis akut</t>
  </si>
  <si>
    <t>laurier super slimguard pads tablet tizanidine hydrochloride pembalut ultra tipi berdaya serap  bebas bergerak aktivitas maksimal menstruasi takut bocor</t>
  </si>
  <si>
    <t>Balsem Otot Geliga Muscular Balm 20 g</t>
  </si>
  <si>
    <t>Rp10.200 - Rp12.100</t>
  </si>
  <si>
    <t>balsem otot geliga muscular balm</t>
  </si>
  <si>
    <t>balsem otot geliga muscular balm balsam methyl salicylate meredakan nyeri otot sendi nyeri akibat memar  kesleo  nyeri otot punggung</t>
  </si>
  <si>
    <t>QD191717551</t>
  </si>
  <si>
    <t>Balsam Jahe 20 g</t>
  </si>
  <si>
    <t>Rp10.700 - Rp10.800</t>
  </si>
  <si>
    <t>Oleskan balsem dengan jumlah yang cukup pada bagian yang sakit</t>
  </si>
  <si>
    <t>2-3 kali sehari atau sesuai kebutuhan</t>
  </si>
  <si>
    <t>Membantu meredakan sakit kepala, perut kembung, mabuk perjalanan, keseleo, pegal-pegal, dan gatal akibat gigitan serangga</t>
  </si>
  <si>
    <t>Dus, Pot @ 20 gram</t>
  </si>
  <si>
    <t>borneol</t>
  </si>
  <si>
    <t>membantu meredakan sakit kepala , perut kembung , mabuk perjalanan , keseleo , pegal - pegal , gatal akibat gigitan serangga</t>
  </si>
  <si>
    <t>balsam jahe</t>
  </si>
  <si>
    <t>balsam jahe balsam borneol membantu meredakan sakit kepala  perut kembung  mabuk perjala  keseleo  pegal  pegal  gatal akibat gigitan serangga</t>
  </si>
  <si>
    <t>Systema Toothbrush Charcoal Big Head Soft Isi 1</t>
  </si>
  <si>
    <t>Rp17.500 - Rp20.500</t>
  </si>
  <si>
    <t>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t>
  </si>
  <si>
    <t>Membersihkan gigi hingga menjangkau setiap celah gigi dan mampu mencongkel plak pada permukaan gigi</t>
  </si>
  <si>
    <t>membersihkan gigi menjangkau celah gigi mencongkel plak permukaan gigi</t>
  </si>
  <si>
    <t>systema toothbrush charcoal big head soft isi</t>
  </si>
  <si>
    <t>systema toothbrush charcoal big head soft isi tablet tizanidine hydrochloride membersihkan gigi menjangkau celah gigi mencongkel plak permukaan gigi</t>
  </si>
  <si>
    <t>Pierrot Revolution Electric Toothbrush</t>
  </si>
  <si>
    <t>Rp221.000 - Rp232.000</t>
  </si>
  <si>
    <t>Sikat gigi elektrik dengan ujung sikat yang dapat berputar sendiri sehingga membersihkan gigi dan sisa sisa makanan secara maksimal</t>
  </si>
  <si>
    <t>Pack @ 1 Unit, 1 Refill</t>
  </si>
  <si>
    <t>sikat gigi elektrik ujung sikat berputar membersihkan gigi sisa sisa makanan maksimal</t>
  </si>
  <si>
    <t>pierrot revolution electric toothbrush</t>
  </si>
  <si>
    <t>pierrot revolution electric toothbrush tablet tizanidine hydrochloride sikat gigi elektrik ujung sikat berputar membersihkan gigi sisa sisa maka maksimal</t>
  </si>
  <si>
    <t>Safe Care Roll On Aromatherapy 10 ml</t>
  </si>
  <si>
    <t>Rp16.300 - Rp17.900</t>
  </si>
  <si>
    <t>Meringankan sakit kepala, pusing, mabuk, mual, masuk angin, susah tidur, gatal-gatal</t>
  </si>
  <si>
    <t>Hanya untuk penggunaan luar. Hindari kontak dengan mata, kulit yang luka ataupun iritasi. Jauhkan dari jangkauan anak-anak.</t>
  </si>
  <si>
    <t>meringankan sakit kepala , pusing , mabuk , mual , masuk angin , susah tidur , gatal - gatal</t>
  </si>
  <si>
    <t>safe care roll on aromatherapy roll camphor meringankan sakit kepala  pusing  mabuk  mual  masuk angin  susah tidur  gatal  gatal</t>
  </si>
  <si>
    <t>Selection Facial Cotton 75 g</t>
  </si>
  <si>
    <t>Rp13.500 - Rp19.800</t>
  </si>
  <si>
    <t>Untuk perawatan dan membersihkan kotoran wajah, digunakan untuk meratakan air pembersih dan cleansing milk, dapat digunakan sebagai puff, dapat juga digunakan untuk kulit bayi</t>
  </si>
  <si>
    <t>Pack @ 75 g</t>
  </si>
  <si>
    <t>untuk perawatan membersihkan kotoran wajah , meratakan air pembersih cleansing milk , puff , kulit bayi</t>
  </si>
  <si>
    <t>selection facial cotton</t>
  </si>
  <si>
    <t>selection facial cotton tablet tizanidine hydrochloride untuk perawatan membersihkan kotoran wajah  meratakan air pembersih cleansing milk  puff  kulit bayi</t>
  </si>
  <si>
    <t>Selection Facial Cotton 50 g</t>
  </si>
  <si>
    <t>Rp7.800 - Rp14.500</t>
  </si>
  <si>
    <t>Kapas di jepit dengan jari manis, tengah dan telunjuk, Tekstur kapas pada posisi horisontal. Kapas sebaiknya TIDAK dibelah karena akan meninggalkan serat kapas pada wajah. Kapas sebaiknya di simpan di tempat yang kering dan tidak berdebu.</t>
  </si>
  <si>
    <t>Sachet 50 G</t>
  </si>
  <si>
    <t>Selection Facial Cotton 35 g</t>
  </si>
  <si>
    <t>Rp4.300 - Rp10.300</t>
  </si>
  <si>
    <t>Sachet Isi 35 G</t>
  </si>
  <si>
    <t>DTL9628908504A1</t>
  </si>
  <si>
    <t>Tera F 10 Kaplet</t>
  </si>
  <si>
    <t>Dewasa dan anak&gt;12 tahun : 3-4 kali sehari 1 kaplet Anak-anak 6 -12 tahun : 3-4 kali sehari 0.5 kaplet</t>
  </si>
  <si>
    <t>Untuk meringankan gejala flu seperi demam, sakit kepala, hidung tersumbat, dan bersin-bersin yang disertai batuk</t>
  </si>
  <si>
    <t>Penderita yang hipersensitif terhadap komponen obat ini. Penderita dengan gangguan jantung dan diabetes mellitus. Penderita dengan gangguan fungsi hati yang berat.</t>
  </si>
  <si>
    <t>Hati-hati penggunaan pada penderita gangguan fungsi hati dan ginjal glaukoma, hipertrofi prostat. Tidak dianjurkan penggunaan pada anak usia dibawah 6 tahun,wanita hamil dan menyusui, kecuali atas petunjuk dokter. Selama minum obat ini tidak boleh mengendarai kendaraan dan mengoperasikan mesin. Hati-hati penggunaan bersamaan dengan obat-obat yang menekan susunan pusat syaraf.</t>
  </si>
  <si>
    <t>untuk meringankan gejala flu seperi demam , sakit kepala , hidung tersumbat , bersin - bersin disertai batuk</t>
  </si>
  <si>
    <t>tera f</t>
  </si>
  <si>
    <t>tera f kaplet chlorphenamine maleate untuk meringankan gejala flu seperi demam  sakit kepala  hidung tersumbat  bersin  bersin disertai batuk</t>
  </si>
  <si>
    <t>gliabetes tablet pioglitazone hydrochloride sebagai terapi kombinasi sulfonilurea metformin pasien diabetes melitus tipe 2 tidak terkontrol monoterapi sulfonilurea metformin</t>
  </si>
  <si>
    <t>DKL8700900801B1</t>
  </si>
  <si>
    <t>Bufamoxy 500 mg 10 Kapsul</t>
  </si>
  <si>
    <t>Rp31.900 - Rp33.400</t>
  </si>
  <si>
    <t>PENGGUNAAN OBAT INI HARUS SESUAI DENGAN PETUNJUK DOKTER. Anak-anak BB &lt; 20 KG : 20-40 mg/kg BB/ hari dalam dosis terbagi tiap 8 jam. dewasa dan anak &gt;20 kg : 250-500 mg tiap 8 jam</t>
  </si>
  <si>
    <t>infeksi disebabkan strain bakteri yang peka, infeksi kulit dan jaringan lunak, infeksi saluran pernafasan, infeksi saluran genitourinari</t>
  </si>
  <si>
    <t>dos 10 x 10</t>
  </si>
  <si>
    <t>infeksi disebabkan strain bakteri peka , infeksi kulit jaringan lunak , infeksi saluran pernafasan , infeksi saluran genitourinari</t>
  </si>
  <si>
    <t>bufamoxy</t>
  </si>
  <si>
    <t>bufamoxy kapsul amoxicillin trihydrate infeksi disebabkan strain bakteri peka  infeksi kulit jaringan lunak  infeksi saluran pernafasan  infeksi saluran genitourinari</t>
  </si>
  <si>
    <t>DKL9804214810A1</t>
  </si>
  <si>
    <t>Glucored 80 mg 10 Tablet</t>
  </si>
  <si>
    <t>Rp16.800 - Rp27.100</t>
  </si>
  <si>
    <t>PENGGUNAAN OBAT INI HARUS SESUAI DENGAN PETUNJUK DOKTER. Awal 40-80 mg sebelum makan pagi, maksimal 320 mg</t>
  </si>
  <si>
    <t>NIDDM (Non Insulin Dependent Diabetes Mellitus) Diabetes Mellitus tipe 2, dimana modifikasi diet gagal untuk mengendalikan hiperglikemia.</t>
  </si>
  <si>
    <t>niddm non insulin dependent diabetes mellitus diabetes mellitus tipe 2 , dimana modifikasi diet gagal mengendalikan hiperglikemia</t>
  </si>
  <si>
    <t>glucored</t>
  </si>
  <si>
    <t>glucored tablet gliclazide niddm non insulin dependent diabetes mellitus diabetes mellitus tipe 2  dimana modifikasi diet gagal mengendalikan hiperglikemia</t>
  </si>
  <si>
    <t>QI094808831</t>
  </si>
  <si>
    <t>Salonpas Pain Relief Patch 5 Lembar</t>
  </si>
  <si>
    <t>Rp29.300 - Rp32.200</t>
  </si>
  <si>
    <t>Bersihkan area yang akan ditempel patch, biarkan kering. Lepaskan plester dari lapisan filmnya dan tempelkan pada kulit. Tempelkan pada daerah yang sakit, lepas patch setelah 8 jam aplikasi.</t>
  </si>
  <si>
    <t>Dewasa dan anak &gt; 12 thn: 3-4 x sehari</t>
  </si>
  <si>
    <t>Salonpas Pain Relief Patch 3 Lembar</t>
  </si>
  <si>
    <t>1. Bersihkan area yang akan ditempel patch, biarkan kering. 2. Hapus film dari tempelan dan aplikasikan ke kulit. 3. Tempelkan pada daerah yang sakit. 4. Lepas patch setelah 8 jam aplikasi.</t>
  </si>
  <si>
    <t>Dewasa dan anak lebih dari 12 tahun: 3-4 kali sehari. Anak usia kurang dari 12 tahun: Konsultasikan ke dokter.</t>
  </si>
  <si>
    <t>Untuk mengatasi nyeri otot dan nyeri sendi yang berhubungan dengan sakit punggung ringan, seperti: radang sendi, arthritis</t>
  </si>
  <si>
    <t>Sachet @ 3 Lembar</t>
  </si>
  <si>
    <t>Hanya untuk pemakaian luar. Jangan digunakan pada luka atau kulit yang terbuka. Hamil, laktasi. Jauhkan dari jangkauan anak-anak.</t>
  </si>
  <si>
    <t>l-menthol</t>
  </si>
  <si>
    <t>untuk mengatasi nyeri otot nyeri sendi berhubungan sakit punggung ringan , radang sendi , arthritis</t>
  </si>
  <si>
    <t>salonpas pain relief patch lembar</t>
  </si>
  <si>
    <t>salonpas pain relief patch lembar  lmenthol untuk mengatasi nyeri otot nyeri sendi berhubungan sakit punggung ringan  radang sendi  arthritis</t>
  </si>
  <si>
    <t>DKL0111631828A1</t>
  </si>
  <si>
    <t>Kaltrofen Gel 30 g</t>
  </si>
  <si>
    <t>Rp75.300 - Rp91.100</t>
  </si>
  <si>
    <t>Dioleskan pada area yang sakit/bengkak/memar</t>
  </si>
  <si>
    <t>PENGGUNAAN OBAT INI HARUS SESUAI DENGAN PETUNJUK DOKTER. Oleskan 2-3 x sehari selama 7 hari</t>
  </si>
  <si>
    <t>INFORMASI OBAT INI HANYA UNTUK KALANGAN MEDIS. Trauma ringan terutama Cedera Olahraga, Terkilir, Tendinitis, gangguan Muskuloskeletal (tulang/sendi &amp; otot), Memar, Bengkak &amp; Nyeri paska Trauma</t>
  </si>
  <si>
    <t>Dus, Tube @ 30 G</t>
  </si>
  <si>
    <t>Infeksi kulit, eksim atau luka terbuka, dermatitis eksudatif</t>
  </si>
  <si>
    <t>HARUS DENGAN RESEP DOKTER. Tidak untuk digunakan pada selaput lendir atau mata. Pasien dengan riwayat atau sedang mengalami perdarahan saluran cerna aktif, tukak lambung, penyakit radang saluran cerna atau gangguan ginjal berat. Anak &lt; 12 tahun</t>
  </si>
  <si>
    <t>trauma ringan cedera olahraga , terkilir , tendinitis , gangguan muskuloskeletal tulang sendi otot , memar , bengkak nyeri paska trauma</t>
  </si>
  <si>
    <t>kaltrofen gel ketoprofen trauma ringan cedera olahraga  terkilir  tendinitis  gangguan muskuloskeletal tulang sendi otot  memar  bengkak nyeri paska trauma</t>
  </si>
  <si>
    <t>Safe Care Roll On Aromatherapy 5 ml</t>
  </si>
  <si>
    <t>Rp9.700 - Rp10.600</t>
  </si>
  <si>
    <t>Dus, Botol kaca roll on @ 5 ml</t>
  </si>
  <si>
    <t>QD152613521</t>
  </si>
  <si>
    <t>Baljitot Minyak Gosok 50 ml</t>
  </si>
  <si>
    <t>Rp12.000 - Rp19.300</t>
  </si>
  <si>
    <t>Cocok untuk pijat dan kerik</t>
  </si>
  <si>
    <t>Box, Botol @ 50 ml</t>
  </si>
  <si>
    <t>baljitot gosok</t>
  </si>
  <si>
    <t>baljitot gosok minyak  menthol mengatasi pegal linu  nyeri otot  nyeri sendi  sakit punggung  encok  keseleo  memar  memperlancar peredaran darah</t>
  </si>
  <si>
    <t>DKL7822221909A1</t>
  </si>
  <si>
    <t>Neurosanbe Plus 10 Tablet</t>
  </si>
  <si>
    <t>Rp15.200 - Rp18.700</t>
  </si>
  <si>
    <t>Dapat diberikan bersama dengan makanan untuk mengurangi rasa tidak nyaman pada GI</t>
  </si>
  <si>
    <t>PENGGUNAAN OBAT INI HARUS SESUAI DENGAN PETUNJUK DOKTER. 1 tablet 3 kali per hari. Maksimal 4 tablet per hari.</t>
  </si>
  <si>
    <t>INFORMASI OBAT INI HANYA UNTUK KALANGAN MEDIS. Gangguan sistem saraf perifer, defisiensi vitamin B, neuritis &amp; neuralgia, terutama nyeri berat pada penyakit degeneratif kolumna vertebra.</t>
  </si>
  <si>
    <t>Hipersensitivitas, gastritis atrofi, jumlah rendah kalium dalam darah, tekanan darah sistolik kurang dari 100 mmHg. Wanita hamil dan ibu menyusui.</t>
  </si>
  <si>
    <t>HARUS DENGAN RESEP DOKTER. Jangan digunakan pada keluhan nyeri otot akibat flu atau reumatik. Gangguan hematologi, gangguan fungsi hati atau ginjal.</t>
  </si>
  <si>
    <t>gangguan sistem saraf perifer , defisiensi vitamin b , neuritis neuralgia , nyeri berat penyakit degeneratif kolumna vertebra</t>
  </si>
  <si>
    <t>neurosanbe plus</t>
  </si>
  <si>
    <t>neurosanbe plus kaplet cyanocobalamin gangguan sistem saraf perifer  defisiensi vitamin b  neuritis neuralgia  nyeri berat penyakit degeneratif kolumna vertebra</t>
  </si>
  <si>
    <t>thiamine mononitrate pyridoxine hydrochloride cyanocobalamin</t>
  </si>
  <si>
    <t>neurobion tablet thiamine mononitrate pyridoxine hydrochloride cyanocobalamin suplemen pencegahan pengobatan penyakit kekurangan vitamin b1  b6  b12  neuritis perifer  neuralgia</t>
  </si>
  <si>
    <t>DTL9813308837A1</t>
  </si>
  <si>
    <t>Lapifed DM Sirup 100 ml</t>
  </si>
  <si>
    <t>Rp45.400 - Rp48.100</t>
  </si>
  <si>
    <t>Dewasa &amp; anak &gt;12 th: 3 x sehari 2 sendok takar (10 ml) Anak usia 6-12 th: 3 x sehari 1 sendok takar (5 ml) Anak usia 2-5 thn: 3 x sehari 0.5 sendok takar (2.5 ml)</t>
  </si>
  <si>
    <t>Meringankan gejala batuk yang disertai peradangan saluran pernafasan bagian atas, rinitis alergi, rinitis vasomotor, kongesti nasal dan flu.</t>
  </si>
  <si>
    <t>Dus, botol @ 100 ml</t>
  </si>
  <si>
    <t>Hipersensitif, pasien yang sedang mendapat terapi dengan MAOI, hipertensi berat.</t>
  </si>
  <si>
    <t>Penderita hipersensitif terhadap komponen obat ini, penderita yang peka terhadap obat simpatomimetik lain dan yang mendapat terapi obat antidepresan, penderita tekanan darah tinggi, diabetes mellitus, stroke, berat badan berlebih atau pada penderita usia lanjut.</t>
  </si>
  <si>
    <t>meringankan gejala batuk disertai peradangan saluran pernafasan , rinitis alergi , rinitis vasomotor , kongesti nasal flu</t>
  </si>
  <si>
    <t>lapifed dm</t>
  </si>
  <si>
    <t>lapifed dm sirup dextromethorphan hydrobromide meringankan gejala batuk disertai peradangan saluran pernafasan  rinitis alergi  rinitis vasomotor  kongesti nasal flu</t>
  </si>
  <si>
    <t>DKL9809208829A1</t>
  </si>
  <si>
    <t>Armacort Cream 5 g</t>
  </si>
  <si>
    <t>Oles tipis sampai menutupi seluruh bagian kulit yang sakit.</t>
  </si>
  <si>
    <t>PENGGUNAAN OBAT INI HARUS SESUAI DENGAN PETUNJUK DOKTER. 2 x sehari</t>
  </si>
  <si>
    <t>Meringankan nyeri inflamasi dari dermatosis yang responsif terhadap kortikosteroid dengan komplikasi infeksi sekunder yang disebabkan oleh organisme yg peka terhadapt Chloramphenicol</t>
  </si>
  <si>
    <t>Tube 10 g x 1</t>
  </si>
  <si>
    <t>TBC kulit, jamur, virus</t>
  </si>
  <si>
    <t>HARUS DENGAN RESEP DOKTER. Jangan menggunakan obat ini pada area mata atau dekat area mata. Area kulit yang diolesi cream armacort sebaiknya tidak dibalut verban, karena bisa meningkatkan penyerapannya ke dalam darah dan menimbulkan efek samping sistemik.</t>
  </si>
  <si>
    <t>meringankan nyeri inflamasi dermatosis responsif kortikosteroid komplikasi infeksi sekunder disebabkan organisme yg peka terhadapt chloramphenicol</t>
  </si>
  <si>
    <t>armacort cream</t>
  </si>
  <si>
    <t>armacort cream krim chloramphenicol meringankan nyeri inflamasi dermatosis responsif kortikosteroid komplikasi infeksi sekunder disebabkan organisme yg peka terhadapt chloramphenicol</t>
  </si>
  <si>
    <t>biocort cream krim betamethasone valerate gentamicin sulfate meringankan inflamasi dermatosis responsif kortikosteroid terkomplikasi infeksi sekunder  disebabkan organisme rentan gentamisin</t>
  </si>
  <si>
    <t>DKL0505036810B1</t>
  </si>
  <si>
    <t>Deculin 30 mg 6 Tablet</t>
  </si>
  <si>
    <t>Rp47.000 - Rp81.200</t>
  </si>
  <si>
    <t>PENGGUNAAN OBAT INI HARUS SESUAI DENGAN PETUNJUK DOKTER. Dewasa : Kombinasi dengan metformin atau sulfonylurea dapat dimulai dengan dosis pioglitazone 15-30 mg sekali sehari.</t>
  </si>
  <si>
    <t>HARUS DENGAN RESEP DOKTER. Edema atau gagal jantung. Monitor ketat terhadap diet. Gangguan fungsi hati sedang sampai berat</t>
  </si>
  <si>
    <t>DTL7617624837A1</t>
  </si>
  <si>
    <t>Promedex Sirup 60 ml</t>
  </si>
  <si>
    <t>Rp44.900 - Rp49.400</t>
  </si>
  <si>
    <t>Dewasa dan anak &gt; 12 tahun : 3 kali sehari 2-3 sendok takar (10-15 ml). Anak 6-12 tahun : 3 kali sehari 1 sendok takar (5 ml). Anak 2-6 tahun : 3 kali sehari 0.5 sendok takar (2.5 ml).</t>
  </si>
  <si>
    <t>Batuk karena Flu, TBC, Asma Bronkhial, Pertusis/Batuk Rejan, Pneumonia, Bronkhopneumonia, Faringitis, Laringitis, Trakhitis, Bronkhitis &amp; Alergi.</t>
  </si>
  <si>
    <t>Hipersensitif, hipertiroid, hipertensi, penyakit koroner, terapi MAOI</t>
  </si>
  <si>
    <t>Glaukoma, penyakit jantung atau hati, asma, DM. Hamil. Anak &lt; 2 tahun. Dapat mengganggu kemampuan menjalankan mesin/kendaraan bermotor</t>
  </si>
  <si>
    <t>batuk flu , tbc , asma bronkhial , pertusis batuk rejan , pneumonia , bronkhopneumonia , faringitis , laringitis , trakhitis , bronkhitis alergi</t>
  </si>
  <si>
    <t>promedex sirup dextromethorphan hydrobromide batuk flu  tbc  asma bronkhial  pertusis batuk rejan  pneumonia  bronkhopneumonia  faringitis  laringitis  trakhitis  bronkhitis alergi</t>
  </si>
  <si>
    <t>DTL0423408737A1</t>
  </si>
  <si>
    <t>Coparcetin Rasa Orange Sirup 60 ml</t>
  </si>
  <si>
    <t>Rp8.700 - Rp22.000</t>
  </si>
  <si>
    <t>Meringankan gejala-gejala flu seperti demam, sakit kepala, hidung tersumbat, dan bersin-bersin yang disertai batuk.</t>
  </si>
  <si>
    <t>meringankan gejala - gejala flu demam , sakit kepala , hidung tersumbat , bersin - bersin disertai batuk</t>
  </si>
  <si>
    <t>coparcetin rasa orange</t>
  </si>
  <si>
    <t>coparcetin rasa orange sirup chlorphenamine maleate meringankan gejala  gejala flu demam  sakit kepala  hidung tersumbat  bersin  bersin disertai batuk</t>
  </si>
  <si>
    <t>klorfeson cream krim chloramphenicol prednisolone meredakan nyeri radang inflamasi dermatosis responsif kortikosteroid komplikasi infeksi sekunder organisme kuman sensitif khloramfenikol</t>
  </si>
  <si>
    <t>DKL0921637317A1</t>
  </si>
  <si>
    <t>Artepid 75 mg 10 Tablet</t>
  </si>
  <si>
    <t>Rp142.300 - Rp187.800</t>
  </si>
  <si>
    <t>HARUS DENGAN RESEP DOKTER. - Clopidogrel harus digunakan dengan hati-hati pada pasien yang mungkin berisiko mengalami peningkatan perdarahan akibat trauma, pembedahan, atau kondisi patologis lain yang menerima penghambat glikoprotein IIb/IIIa secara bersamaan. - Terapi Clopidogrel tidak boleh diberikan dalam beberapa hari pertama setelah infark miokard. - Clopidogrel harus digunakan secara hati-hati pada pasien yang mengalami gangguan hati yang mungkin mengalami perdarahan diatesis. - Jika terjadi gejala pendarahan, segera konsultasikan hal tersebut kepada dokter Anda. Katgori Kehamilan: Kategori B: Mungkin dapat digunakan oleh wanita hamil. Penelitian pada hewan uji tidak memperlihatkan ada nya risiko terhadap janin, namun belum ada bukti penelitian langsung terhadap wanita hamil.</t>
  </si>
  <si>
    <t>artepid</t>
  </si>
  <si>
    <t>artepid tablet clopidogrel mengurangi kejadian aterosklerosis infark miokard  stroke kematian vaskular pasien aterosklerosis ditandai stroke  infark miokard penyakit arteri</t>
  </si>
  <si>
    <t>QI044600731</t>
  </si>
  <si>
    <t>Wong To Yick Wood Lock Medicated Balm 50 ml</t>
  </si>
  <si>
    <t>Rp175.000 - Rp191.100</t>
  </si>
  <si>
    <t>Gosokan pada kulit maksimal 3-4 kali sehari</t>
  </si>
  <si>
    <t>Membantu meredakan encok, pegal linu, masuk angin dan memperbaiki sirkulasi darah</t>
  </si>
  <si>
    <t>membantu meredakan encok , pegal linu , masuk angin memperbaiki sirkulasi darah</t>
  </si>
  <si>
    <t>wong to yick wood lock medicated balm</t>
  </si>
  <si>
    <t>wong to yick wood lock medicated balm balsam camphora membantu meredakan encok  pegal linu  masuk angin memperbaiki sirkulasi darah</t>
  </si>
  <si>
    <t>Siang Pure Oil 7 ml</t>
  </si>
  <si>
    <t>Rp32.100 - Rp34.800</t>
  </si>
  <si>
    <t>Membantu meredakan: 1. Hidung tersumbat 2. Sakit kepala / pusing / mabuk perjalanan 3. Sakit gigi</t>
  </si>
  <si>
    <t>Tidak digunakan untuk anak dibawah 2 tahun dan jangan digunakan langsung dibawah lubang hidung.</t>
  </si>
  <si>
    <t>membantu meredakan 1  hidung tersumbat 2  sakit kepala pusing mabuk perjalanan 3  sakit gigi</t>
  </si>
  <si>
    <t>siang pure oil minyak camphor membantu meredakan 1  hidung tersumbat 2  sakit kepala pusing mabuk perjala 3  sakit gigi</t>
  </si>
  <si>
    <t>Siang Pure Oil 3 ml</t>
  </si>
  <si>
    <t>Rp19.700 - Rp20.100</t>
  </si>
  <si>
    <t>Dus, Botol @ 3 ml</t>
  </si>
  <si>
    <t>Transpulmin Baby Balsam 20 g</t>
  </si>
  <si>
    <t>Rp71.800 - Rp78.900</t>
  </si>
  <si>
    <t>Dioleskan 2-4 kali sehari</t>
  </si>
  <si>
    <t>Membantu meredakan hidung tersumbat krn influenza, nyeri dipunggung, sakit kepala, sakit perut dan menghangatkan badan.</t>
  </si>
  <si>
    <t>Hindarkan kontak dengan mata, luka terbuka, kulit yang terinfeksi. Jauhkan dari jangkauan anak-anak. Jangan digunakan langsung dibawah lubang hidung. Tidak digunakan untuk anak usia dibawah 2 tahun</t>
  </si>
  <si>
    <t>membantu meredakan hidung tersumbat krn influenza , nyeri dipunggung , sakit kepala , sakit perut menghangatkan badan</t>
  </si>
  <si>
    <t>transpulmin baby balsam balsam chamomile membantu meredakan hidung tersumbat krn influenza  nyeri dipunggung  sakit kepala  sakit perut menghangatkan badan</t>
  </si>
  <si>
    <t>Balsem Otot Geliga Muscular Balm 10 g</t>
  </si>
  <si>
    <t>Rp5.700 - Rp8.100</t>
  </si>
  <si>
    <t>1 Pot Isi 1 Pcs</t>
  </si>
  <si>
    <t>balsem otot geliga muscular balm balsam methyl salicyllate meredakan nyeri otot sendi nyeri akibat memar  kesleo  nyeri otot punggung</t>
  </si>
  <si>
    <t>DKL0219922509A2</t>
  </si>
  <si>
    <t>Diafac 500 mg 10 Tablet</t>
  </si>
  <si>
    <t>Rp14.400 - Rp24.600</t>
  </si>
  <si>
    <t>PENGGUNAAN OBAT INI HARUS SESUAI DENGAN PETUNJUK DOKTER. 2-3 x sehari 1 tablet</t>
  </si>
  <si>
    <t>NIDDM/Diabetes tipe-2 : terapi tunggal atau kombinasi dengan antidiabetes oral lain. NIDDM dan IDDM/Diabetes tipe-1 : dikombinasikan dengan insulin.</t>
  </si>
  <si>
    <t>Koma diabetik, ketoasidosis, gangguan ginjal, penyakit hati kronik, gagal jantung atau infark miokard, alkoholisme, hipoksemia, syok, hamil.</t>
  </si>
  <si>
    <t>HARUS DENGAN RESEP DOKTER. Jarang asidosis laktat dan dapat terjadi gagal ginjal signifikan. Monitor secara teratur jika diperlukan. Tunda terapi selama operasi dan pemeriksaan klinik pada penggunaan iodinasi IV media kontras.</t>
  </si>
  <si>
    <t>metformin</t>
  </si>
  <si>
    <t>niddm diabetes tipe - 2 terapi tunggal kombinasi antidiabetes oral  niddm iddm diabetes tipe - 1 dikombinasikan insulin</t>
  </si>
  <si>
    <t>diafac</t>
  </si>
  <si>
    <t>diafac kaplet metformin niddm diabetes tipe  2 terapi tunggal kombinasi antidiabetes oral  niddm iddm diabetes tipe  1 dikombinasikan insulin</t>
  </si>
  <si>
    <t>DKL9231502715A1</t>
  </si>
  <si>
    <t>Farmasal 100 mg 10 Tablet</t>
  </si>
  <si>
    <t>Rp6.600 - Rp14.300</t>
  </si>
  <si>
    <t>Dus, 10 Strip @ 10 Tablet Salut Enteerik</t>
  </si>
  <si>
    <t>farmasal</t>
  </si>
  <si>
    <t>farmasal tablet acetylsalicylic acid mencegah prose agregasi trombosit pasien infark miokard pasien angina tidak stabil  mencegah serangan serebral iskemik</t>
  </si>
  <si>
    <t>DKL9222211837B1</t>
  </si>
  <si>
    <t>Epexol Forte Sirup 60 ml</t>
  </si>
  <si>
    <t>Rp36.500 - Rp45.700</t>
  </si>
  <si>
    <t>epexol forte</t>
  </si>
  <si>
    <t>epexol forte sirup ambroxol hydrochloride sebagai sekretolitik gangguan saluran nafas akut kronis eksaserbasi bronkitis kronis bronkitis asmatik asma bronkial</t>
  </si>
  <si>
    <t>miconazole nitrate zinc oxide</t>
  </si>
  <si>
    <t>zolagel diaper salep miconazole nitrate zinc oxide pengobatan infeksi basah kering kulit bayi akibat kontak urin tinja ruam popok</t>
  </si>
  <si>
    <t>DKL0917624217A1</t>
  </si>
  <si>
    <t>Clogin 75 mg 10 Tablet</t>
  </si>
  <si>
    <t>Rp234.000 - Rp261.800</t>
  </si>
  <si>
    <t>Box, 3 Blister @ 10 Tablet Salut Selaput</t>
  </si>
  <si>
    <t>clogin</t>
  </si>
  <si>
    <t>clogin tablet clopidogrel mengurangi kejadian aterosklerosis infark miokard  stroke kematian vaskular pasien aterosklerosis ditandai stroke  infark miokard penyakit arteri</t>
  </si>
  <si>
    <t>DKL9609311615A1</t>
  </si>
  <si>
    <t>Astika 10 Tablet</t>
  </si>
  <si>
    <t>Rp4.600 - Rp6.600</t>
  </si>
  <si>
    <t>astika</t>
  </si>
  <si>
    <t>astika tablet acetylsalicylic acid mencegah prose agregasi trombosit pasien infark miokard pasien angina tidak stabil  mencegah serangan serebral iskemik</t>
  </si>
  <si>
    <t>QD171715261</t>
  </si>
  <si>
    <t>Transpulmin Kids Balsam 10 g</t>
  </si>
  <si>
    <t>Rp51.200 - Rp54.000</t>
  </si>
  <si>
    <t>Balsam dioleskan atau dihirup uapnya (setelah dimasukkan ke dalam air panas)</t>
  </si>
  <si>
    <t>Oleskan 1-4 cm balsem ke bagian dada, punggung, dan leher beberapa kali sehari, selama beberapa menit. Penguapan wajah : masukkan beberapa cm balsam ke dalam 1 L air panas, lalu hirup uap air panas tsb selama beberapa menit</t>
  </si>
  <si>
    <t>transpulmin kids balsam</t>
  </si>
  <si>
    <t>transpulmin kids balsam balsam camphor membantu meredakan hidung tersumbat krn influenza  nyeri dipunggung  sakit kepala  sakit perut menghangatkan badan</t>
  </si>
  <si>
    <t>Transpulmin Kids Balsam 20 g</t>
  </si>
  <si>
    <t>Rp70.900 - Rp78.000</t>
  </si>
  <si>
    <t>hyetellose</t>
  </si>
  <si>
    <t>cendo eye lotion tetes hyetellose meredakan kekeringan  iritasi ketidaknyama  pemakai lensa kontak soft  hard  disposabble  rigid gas permeable lens</t>
  </si>
  <si>
    <t>DTL0308012833A1</t>
  </si>
  <si>
    <t>Profen Sirup 60 ml</t>
  </si>
  <si>
    <t>Rp23.700 - Rp32.400</t>
  </si>
  <si>
    <t>Dewasa: sehari 3-4 x 200 mg (2sdt). Anak-anak: usia 1-2 tahun: sehari 3-4 x 50 mg (_ sdt): usia 3-7 tahun: sehari 3-4 x 100 mg (1 sdt)</t>
  </si>
  <si>
    <t>paracetamol chlorphenamine maleate guaifenesin phenylpropanolamine hydrochloride</t>
  </si>
  <si>
    <t>calorex sirup paracetamol chlorphenamine maleate guaifenesin phenylpropanolamine hydrochloride gejala flu demam  sakit kepala  hidung tersumbat bersin  bersin disertai batuk</t>
  </si>
  <si>
    <t>DKL1909504037A1</t>
  </si>
  <si>
    <t>Bronkipect Sirup 60 ml</t>
  </si>
  <si>
    <t>Rp37.400 - Rp38.100</t>
  </si>
  <si>
    <t>Anak 6-12 th : 5 ml, 2-3x sehari. Anak 2-6 th : 2,5 ml, 3x sehari. Dibawah 2 th : 2,5 ml, 2x sehari.</t>
  </si>
  <si>
    <t>INFORMASI OBAT INI HANYA UNTUK KALANGAN MEDIS. Infeksi saluran nafas akut dan kronik disertai sekresi Mukus abnormal seperti pada exaserbasi akut Bronkhitis khronik, Asma Bronkhial</t>
  </si>
  <si>
    <t>infeksi saluran nafas akut kronik disertai sekresi mukus abnormal exaserbasi akut bronkhitis khronik , asma bronkhial</t>
  </si>
  <si>
    <t>bronkipect</t>
  </si>
  <si>
    <t>bronkipect sirup ambroxol hydrochloride infeksi saluran nafas akut kronik disertai sekresi mukus abnormal exaserbasi akut bronkhitis khronik  asma bronkhial</t>
  </si>
  <si>
    <t>DBL0124501963B1</t>
  </si>
  <si>
    <t>Panadol Anak-Anak 120 mg 10 Tablet Kunyah</t>
  </si>
  <si>
    <t>Rp0 - Rp17.000</t>
  </si>
  <si>
    <t>Dikonsumsi sebelum atau sesudah makan. Dapat langsung dikunyah atau dicampur dengan air/ sari buah.</t>
  </si>
  <si>
    <t>Anak 2-5 tahun : 3-4 x sehari 1-2 tablet. Anak 6-12 tahun : 3-4 x sehari 2-4 tablet Maksimum interval penggunaan dosis adalah 4 jam dan tidak melebihi 4 kali dalam 24 jam. Jangan melebihi dosis yang dianjurkan atau sesuai anjuran dokter.</t>
  </si>
  <si>
    <t>Dus, 10 Blister @ 10 Tablet Kunyah</t>
  </si>
  <si>
    <t>panadol anakanak kunyah</t>
  </si>
  <si>
    <t>panadol anakanak kunyah tablet paracetamol obat meredakan sakit sakit kepala  sakit gigi menurunkan demam menyertai flu demam imunisasi vaksinasi</t>
  </si>
  <si>
    <t>paracetamol phenylephrine hydrochloride paracetamol phenylephrine hydrochloride</t>
  </si>
  <si>
    <t>bodrex flu kaplet paracetamol phenylephrine hydrochloride paracetamol phenylephrine hydrochloride meredakan gejala flu hidung tersumbat  bersin  bersin  demam  sakit kepala</t>
  </si>
  <si>
    <t>Dulcolax 5 mg 4 Tablet</t>
  </si>
  <si>
    <t>Tablet dianjurkan untuk diminum pada malam hari (waktu kerja obat 6-12 jam) untuk mendapatkan buang air besar keesokan harinya.</t>
  </si>
  <si>
    <t>Dewasa dan anak di atas usia 10 tahun : 1-2 tablet per hari. Anak 6-10 tahun : 1 tablet sekali sehari</t>
  </si>
  <si>
    <t>Untuk mengatasi masalah sembelit/ susah BAB/ konstipasi. Untuk persiapan prosedur terapi diagnostic, terapi sebelum dan sesudah operasi dan dalam kondisi untuk mempercepat defekasi.</t>
  </si>
  <si>
    <t>Dus, 20 Amplop @ 1 Blister @ 4 Tablet salut enterik</t>
  </si>
  <si>
    <t>Obat ini tidak digunakan pada pasien ileus, obstruksi usus, yang baru mengalami pembedahan di bagian perut seperti usus buntu, penyakit radang usus akut, dan nyeri perut parah yang berhubungan dengan mual muntah. Obat ini juga dikontraindikasikan pada dehidrasi yang parah dan pasien yang diketahiui hipersensitif terhadap Bisacodyl.</t>
  </si>
  <si>
    <t>Tablet harus ditelan dalam keadaan utuh dan tidak boleh diminum bersamaan dengan susu, antasida, atau sediaan proton pum inhibitor lainnya. Tidak untuk diminum setiap hari terus menerus atau untuk waktu yang lama tanpa menyelidiki penyebab sembelit. Hindari penggunaan jangka panjang.</t>
  </si>
  <si>
    <t>untuk mengatasi sembelit susah bab konstipasi  untuk persiapan prosedur terapi diagnostic , terapi operasi kondisi mempercepat defekasi</t>
  </si>
  <si>
    <t>dulcolax</t>
  </si>
  <si>
    <t>dulcolax tablet bisacodyl untuk mengatasi sembelit susah bab konstipasi  untuk persiapan prosedur terapi diagnostic  terapi operasi kondisi mempercepat defekasi</t>
  </si>
  <si>
    <t>Ikadryl Flu Syrup 60 ml</t>
  </si>
  <si>
    <t>Rp20.000 - Rp22.900</t>
  </si>
  <si>
    <t>dulcolactol sirup lactulose concentrate untuk pengobatan konstipasi pasien konstipasi kronis untuk portal systemic encephalopathy pre koma hepatik koma hepatic</t>
  </si>
  <si>
    <t>Sterimar Allergic Nose 50 ml</t>
  </si>
  <si>
    <t>Pada penggunaan pertama, semprotkan sekali untuk memulai sistem. Untuk kebersihan dan pelembab mukosa hidung: kepala lurus, taruh nosel di lubang hidung. Semprotkan satu atau dua kali di setiap lubang hidung. Biarkan larutan berlebih mengalir keluar dan kemudian hembuskan hidung Anda. Untuk pembersihan rongga hidung yang lebih dalam: Kepala dimiringkan ke satu sisi, letakkan nosel di bagian atas lubang hidung. Semprotkan sekali lebih lama. Biarkan larutan berlebih mengalir keluar dari lubang hidung lainnya dan kemudian tiup hidung Anda. Gunakan 2 hingga 6 kali sehari. Setelah digunakan, bersihkan nosel dengan air panas, usap hingga bersih dan keringkan.</t>
  </si>
  <si>
    <t>2-6 kali semprotan per hari tiap lubang hidung (atau lebih jika diperlukan).</t>
  </si>
  <si>
    <t>Membersihkan alergen yang bersentuhan dengan mukosa hidung, Melembabkan dan mengembalikan kelembapan alami mukosa hidung, serta mencegah perkembangan alergi.</t>
  </si>
  <si>
    <t>Simpan pada suhu di bawah 30 C dan kering, serta terlindung dari cahaya matahari langsung. Jauhkan dari jangkauan anak-anak</t>
  </si>
  <si>
    <t>membersihkan alergen bersentuhan mukosa hidung , melembabkan mengembalikan kelembapan alami mukosa hidung , mencegah perkembangan alergi</t>
  </si>
  <si>
    <t>sterimar allergic nose</t>
  </si>
  <si>
    <t>sterimar allergic nose tablet guaifenesin membersihkan alergen bersentuhan mukosa hidung  melembabkan mengembalikan kelembapan alami mukosa hidung  mencegah perkembangan alergi</t>
  </si>
  <si>
    <t>diphenhydramine hydrochloride dextromethorphan hydrobromide phenylephrine hydrochloride guaifenesin</t>
  </si>
  <si>
    <t>andonex sirup diphenhydramine hydrochloride dextromethorphan hydrobromide phenylephrine hydrochloride guaifenesin menyembuhkan batuk dahak kental  batuk alergi  batuk rangsangan selaput pernafasan</t>
  </si>
  <si>
    <t>DTL9909211915A1</t>
  </si>
  <si>
    <t>Laxana 5 mg 10 Tablet</t>
  </si>
  <si>
    <t>Rp7.800 - Rp8.000</t>
  </si>
  <si>
    <t>Telan secara utuh sebelum atau sesudah makan, dengan atau tanpa air. Hindari pemberian bersamaan dengan antasida.</t>
  </si>
  <si>
    <t>Dewasa dan Anak &gt; 12 tahun : 2 tablet dosis tunggal, diminum sebelum tidur atau 1/2 jam sebelum makan pagi. Anak 6-12 tahun : 1 tablet/hari, sebelum tidur.</t>
  </si>
  <si>
    <t>Memudahkan BAB pada keadaan konstipasi, sebelum dan sesudah operasi. Untuk persiapan pemeriksaan radiografi dan abdomen, atau penggunaan sebelum dan sesudah operasi, perlu dikombinasikan dengan suppo untuk menghasilkan efek maksimal.</t>
  </si>
  <si>
    <t>1 Dos Isi 10 Strip X 1 Tablet</t>
  </si>
  <si>
    <t>Operasi abdomen akut, apendisitis, perdarahan rektal, gastroenteritis.</t>
  </si>
  <si>
    <t>Hamil trimester 1, laktasi, Anak &lt; 4 tahun, jangan dikunyah, dipatahkan atau dihancurkan. Jangan digunakan bersama antasida, minuman bersoda atau susu. Jangan dipergunakan pada saat sakit perut, mual atau muntah.</t>
  </si>
  <si>
    <t>memudahkan bab konstipasi , operasi  untuk persiapan pemeriksaan radiografi abdomen , penggunaan operasi , dikombinasikan suppo menghasilkan efek maksimal</t>
  </si>
  <si>
    <t>laxana</t>
  </si>
  <si>
    <t>laxana tablet bisacodyl memudahkan bab konstipasi  operasi  untuk persiapan pemeriksaan radiografi abdomen  penggunaan operasi  dikombinasikan suppo menghasilkan efek maksimal</t>
  </si>
  <si>
    <t>DTL2022728315A1</t>
  </si>
  <si>
    <t>Neodulax 5 mg 4 Tablet</t>
  </si>
  <si>
    <t>Dus, 25 Catch Cover @ 1 Strip @ 4 Tablet Salut Enterik</t>
  </si>
  <si>
    <t>hipersensitif, pasien dengan ileus, obstruksi usus, kondisi perut akut termasuk radang usus buntu, penyakit radang usus akut, dan nyeri perut yang parah.</t>
  </si>
  <si>
    <t>Tablet harus ditelan dalam keadaan utuh dan tidak boleh diminum bersamaan dengan susu, antasida, atau sediaan proton pum inhibitor lainnya.</t>
  </si>
  <si>
    <t>neodulax</t>
  </si>
  <si>
    <t>neodulax tablet bisacodyl untuk mengatasi sembelit susah bab konstipasi  untuk persiapan prosedur terapi diagnostic  terapi operasi kondisi mempercepat defekasi</t>
  </si>
  <si>
    <t>Nexcare Micropore Plester Roll 1/2 Inch x 9.1 m</t>
  </si>
  <si>
    <t>Rp14.100 - Rp14.900</t>
  </si>
  <si>
    <t>Plester microphore atau surgery tape digunakan untuk menutup dan menempelkan perban / kasa pada kulit yang luka</t>
  </si>
  <si>
    <t>plester microphore surgery tape menutup menempelkan perban kasa kulit luka</t>
  </si>
  <si>
    <t>nexcare micropore plester roll inch x m larutan povidoneiodine plester microphore surgery tape menutup menempelkan perban kasa kulit luka</t>
  </si>
  <si>
    <t>perindopril arginine</t>
  </si>
  <si>
    <t>bioprexum tablet perindopril arginine hipertensi  penyakit arteri koroner stabil  sebagai terapi penunjang gagal jantung kongestif  stroke mengurangi kekambuhan stroke</t>
  </si>
  <si>
    <t>DKL1821024310B1</t>
  </si>
  <si>
    <t>Blocand 16 mg 6 Tablet</t>
  </si>
  <si>
    <t>Rp22.300 - Rp39.000</t>
  </si>
  <si>
    <t>PENGGUNAAN OBAT INI HARUS SESUAI DENGAN PETUNJUK DOKTER. Dosis awal: 8 mg secara oral sekali sehari Dosis pemeliharaan: 8 hingga 32 mg / hari secara oral dalam 1 hingga 2 dosis terbagi Dosis maksimum: 32 mg/hari. Atau sesuai dengan anjuran dokter</t>
  </si>
  <si>
    <t>Dus, 5 Strip @6 Tablet</t>
  </si>
  <si>
    <t>Hipersensitivitas terhadap kandungan kandesartan</t>
  </si>
  <si>
    <t>HARUS DENGAN RESEP DOKTER. - Pada pasien hipertensi dengan gangguan ginjal, disarankan melakukan pemantauan secara berkala terkait kadar kalium dan kadar kreatinin dalam serum. - Pasien dengan stenosis arteri renalis, yaitu penyempitan salah satu atau lebih dari satu arteri yang mengangkut darah menuju ginjal (renal artery). - Pasien dengan intravascular volume depletion, yaitu pengurangan volume intravaskular.Kategori kehamilan: Kategori D: Terbukti berisiko terhadap janin. Meski demikian, obat masih dapat digunakan jika obat diperlukan untuk mengatasi keadaan yang mengancam jiwa, atau penyakit serius, dimana obat yang lebih aman tidak dapat digunakan atau tidak efektif.</t>
  </si>
  <si>
    <t>blocand</t>
  </si>
  <si>
    <t>blocand tablet candesartan cilexetil  hipertensi  pengobatan pasien gagal jantung gangguan fungsi sistolik ventrikel kiri obat penghambat ace tidak ditoleransi</t>
  </si>
  <si>
    <t>DKL1821024310A1</t>
  </si>
  <si>
    <t>Blocand 8 mg 6 Tablet</t>
  </si>
  <si>
    <t>Rp14.400 - Rp15.700</t>
  </si>
  <si>
    <t>DKL9825101910B1</t>
  </si>
  <si>
    <t>Blopress 16 mg 7 Tablet</t>
  </si>
  <si>
    <t>Rp117.600 - Rp154.200</t>
  </si>
  <si>
    <t>blopress tablet candesartan cilexetil  hipertensi  pengobatan pasien gagal jantung gangguan fungsi sistolik ventrikel kiri obat penghambat ace tidak ditoleransi</t>
  </si>
  <si>
    <t>DKL8800905830A1</t>
  </si>
  <si>
    <t>Bufacomb Cream 5 gr</t>
  </si>
  <si>
    <t>Rp27.600 - Rp35.400</t>
  </si>
  <si>
    <t>Dioleskan tipis-tipis pada bagian yang terinfeksi</t>
  </si>
  <si>
    <t>PENGGUNAAN OBAT INI HARUS SESUAI DENGAN PETUNJUK DOKTER. Oleskan tipis pada daerah yang terluka 2-3 kali sehari.</t>
  </si>
  <si>
    <t>INFORMASI OBAT INI HANYA UNTUK KALANGAN MEDIS. Stomatis altosa, periadenitis mukosa nekreotika rekurens, ulkus aftosa herpertiformis, ulserasi traumatik, ulserasi karena obat</t>
  </si>
  <si>
    <t>Infeksi bakteri atau jamur pada mulut dan tenggorokan , lesi herpetik karena virus atau lesi intraoral</t>
  </si>
  <si>
    <t>Obat Wajib Apotek, Obat ini dapat dibeli dan diserahkan apoteker tanpa resep dengan maksimum 1 Tube. Pembelian melebihi batas ini WAJIB RESEP DOKTER. HARUS DENGAN RESEP DOKTER Hati-hati penggunaan pada pasien dengan glaukoma dan/atau katarak, hipertensi dan/atau gagal jantung, infark miokard akut, diabetes mellitus, penyakit gastrointestinal (anastomosis usus, divertikulitis, tukak lambung, kolitis ulserativa), sirosis, miastenia gravis, osteoporosis, riwayat gangguan kejang. Hindari penarikan mendadak. Anak-anak. Gangguan ginjal dan hati. Kehamilan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</si>
  <si>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stomatis altosa , periadenitis mukosa nekreotika rekurens , ulkus aftosa herpertiformis , ulserasi traumatik , ulserasi obat</t>
  </si>
  <si>
    <t>bufacomb cream gr</t>
  </si>
  <si>
    <t>bufacomb cream gr krim triamcinolone acetonide stomatis altosa  periadenitis mukosa nekreotika rekurens  ulkus aftosa herpertiformis  ulserasi traumatik  ulserasi obat</t>
  </si>
  <si>
    <t>ticomag kaplet dried aluminium hydroxide gel magnesium hydroxide simethicone sakit maag  hiperasiditas  ulkus tukak peptik  esofagitis  gastritis  flatulens kembung</t>
  </si>
  <si>
    <t>Interpec Sirup 30 mg/5 ml 60 ml</t>
  </si>
  <si>
    <t>Rp56.400 - Rp78.100</t>
  </si>
  <si>
    <t>PENGGUNAAN OBAT INI HARUS SESUAI DENGAN PETUNJUK DOKTER. Dewasa dan anak &gt; 10 tahun : 3 x sehari 1 sendok takar 5 mL, Anak 5-10 tahun : 2-3 x sehari 0.5 sendok takar 5 mL, Pada terapi jangka panjang : kurangi menjadi 2 x sehari</t>
  </si>
  <si>
    <t>Penyakit saluran nafas akut dan kronis yang disertai sekresi bronkhus abnormal khususnya pada eksaserbasi Bronkhitis Khronis, Bronkkitis Asmatik, Asma Bronkhial.</t>
  </si>
  <si>
    <t>Botol 60 mL dalam dus</t>
  </si>
  <si>
    <t>penyakit saluran nafas akut kronis disertai sekresi bronkhus abnormal eksaserbasi bronkhitis khronis , bronkkitis asmatik , asma bronkhial</t>
  </si>
  <si>
    <t>interpec sirup abmroxol penyakit saluran nafas akut kronis disertai sekresi bronkhus abnormal eksaserbasi bronkhitis khronis  bronkkitis asmatik  asma bronkhial</t>
  </si>
  <si>
    <t>Lukajel Antiseptic Wound Gel 10 g</t>
  </si>
  <si>
    <t>Rp22.200 - Rp26.900</t>
  </si>
  <si>
    <t>1. Bersihkan area luka terlebih dahulu. 2. Setelah kering, oleskan gel secara merata pada area luka 2-3 kali sehari. 3. Tutup kembali tube untuk menghindari kontaminasi.</t>
  </si>
  <si>
    <t>Untuk mencegah infeksi pada beragam jenis luka pada kulit seperti Luka Bakar, Luka Potong, Lecet dan Luka Sunat</t>
  </si>
  <si>
    <t>untuk mencegah infeksi beragam jenis luka kulit luka bakar , luka potong , lecet luka sunat</t>
  </si>
  <si>
    <t>lukajel antiseptic wound</t>
  </si>
  <si>
    <t>lukajel antiseptic wound larutan povidoneiodine untuk mencegah infeksi beragam jenis luka kulit luka bakar  luka potong  lecet luka sunat</t>
  </si>
  <si>
    <t>DKL1105045910A1</t>
  </si>
  <si>
    <t>Canderin 8 mg 10 Tablet</t>
  </si>
  <si>
    <t>Rp92.800 - Rp109.300</t>
  </si>
  <si>
    <t>canderin</t>
  </si>
  <si>
    <t>canderin tablet candesartan cilexetil  hipertensi  pengobatan pasien gagal jantung gangguan fungsi sistolik ventrikel kiri obat penghambat ace tidak ditoleransi</t>
  </si>
  <si>
    <t>DKL0133504210A1</t>
  </si>
  <si>
    <t>Pinfetil 50 mg 10 Tablet</t>
  </si>
  <si>
    <t>PENGGUNAAN OBAT INI HARUS SESUAI DENGAN PETUNJUK DOKTER. Infertilitas anovulasi : 1 tablet/hari selama 5 hari dimulai pada hari ke-5 siklus haid atau kapan saja bagi yang mengalami amenore. Ovulasi terjadi 6 - 10 hari setelah dosis terakhir dari klomifen sitrat. Jika ovulasi tidak terjadi juga, selanjutnya 2 kali sehari 1 tablet selama 5 hari. oligospermia : 1 tablet/hari selama 40 - 90 hari</t>
  </si>
  <si>
    <t>Pengobatan infertilitas pada wanita dan pria. Menstimulasi spermatonegesis pada kasus infertilitas pria karena oligospermia. Merangsang ovulasi pada wanita yang mengalami infertilitas anovulasi</t>
  </si>
  <si>
    <t>Insufisiensi hepatik, kista ovarium, gangguan organik kelenjar pituitari, organ ovarium atau organ reproduksi lain, penyakit hati atau riwayat gangguan fungsi hati, pendarahan uterus abnormal. Hamil</t>
  </si>
  <si>
    <t>HARUS DENGAN RESEP DOKTER. Kemungkinan adanya kehamilan ganda dan penyakit ovarium polikistik. Penggunaan jangka panjang. Dapat mengganggu kemampuan mengemudi atau menjalankan mesin</t>
  </si>
  <si>
    <t>pengobatan infertilitas wanita pria  menstimulasi spermatonegesis infertilitas pria oligospermia  merangsang ovulasi wanita mengalami infertilitas anovulasi</t>
  </si>
  <si>
    <t>pinfetil</t>
  </si>
  <si>
    <t>pinfetil tablet clomifene citrate pengobatan infertilitas wanita pria  menstimulasi spermatonegesis infertilitas pria oligospermia  merangsang ovulasi wanita mengalami infertilitas anovulasi</t>
  </si>
  <si>
    <t>DKL0531109917A1</t>
  </si>
  <si>
    <t>Hiopar 10 Tablet</t>
  </si>
  <si>
    <t>Rp21.800 - Rp22.100</t>
  </si>
  <si>
    <t>PENGGUNAAN OBAT INI HARUS SESUAI DENGAN PETUNJUK DOKTER. Dewasa : 1-2 tablet 3 kali/hari. Maksimal 6 tablet/hari</t>
  </si>
  <si>
    <t>Nyeri paroksismal pada lambung atau usus halus, dan kerusakan fungsi traktus biliaris, saluran kemih dan organ genital wanita(misalnya dismenore).</t>
  </si>
  <si>
    <t>HARUS DENGAN RESEP DOKTER. Dapat mengganggu kemampuan mengemudi atau menjalankan mesin, gangguan ginjal dan hati, sidrom Gilbert.</t>
  </si>
  <si>
    <t>nyeri paroksismal lambung usus halus , kerusakan fungsi traktus biliaris , saluran kemih organ genital wanita dismenore</t>
  </si>
  <si>
    <t>hiopar</t>
  </si>
  <si>
    <t>hiopar tablet hyoscine butylbromide nyeri paroksismal lambung usus halus  kerusakan fungsi traktus biliaris  saluran kemih organ genital wanita dismenore</t>
  </si>
  <si>
    <t>DKL9830905710A1</t>
  </si>
  <si>
    <t>Lexapram 10 mg 10 Tablet</t>
  </si>
  <si>
    <t>Rp2.500 - Rp5.300</t>
  </si>
  <si>
    <t>Diberikan setengah jam sebelum makan</t>
  </si>
  <si>
    <t>PENGGUNAAN OBAT INI HARUS SESUAI DENGAN PETUNJUK DOKTER. Untuk dewasa 1/2-1 tablet 3 x /hari, anak 5-14 tahun 1/4-1/2 tablet 3 x/hari.</t>
  </si>
  <si>
    <t>Untuk mengontrol dan meredakan mual dan muntah yang berhubungan dengan intoleransi terhadap obat sitotoksik, radioterapi, penyakit keganasan, serta muntah pasca operasi.</t>
  </si>
  <si>
    <t>Obstruksi, perdarahan dan perforasi gastrointestinal (saluran cerna). Epilepsi. Feokromositoma. Gangguan ekstrapiramidal.</t>
  </si>
  <si>
    <t>Obat Wajib Apotek, Obat ini dapat dibeli dan diserahkan apoteker tanpa resep dengan maksimum 2 Strip. Pembelian melebihi batas ini WAJIB RESEP DOKTER. Hamil. Lanjut usia. Anak &lt;5 tahun. Penggunaan bersama dengan fenotiazin dapat menyebabkan reaksi ekstrapiramidal. Dosis harus dikurangi pada pasien dengan disfungsi ginjal. Hipersensitif terhadap prokain atau prokainamid. Kategori Kehamilan : B</t>
  </si>
  <si>
    <t>untuk mengontrol meredakan mual muntah berhubungan intoleransi obat sitotoksik , radioterapi , penyakit keganasan , muntah pasca operasi</t>
  </si>
  <si>
    <t>lexapram</t>
  </si>
  <si>
    <t>lexapram tablet metoclopramide hydrochloride untuk mengontrol meredakan mual muntah berhubungan intoleransi obat sitotoksik  radioterapi  penyakit keganasan  muntah pasca operasi</t>
  </si>
  <si>
    <t>DKL1804527617A1</t>
  </si>
  <si>
    <t>Spasmal 4 Tablet</t>
  </si>
  <si>
    <t>Rp14.600 - Rp16.100</t>
  </si>
  <si>
    <t>Hipersensitif terhadap parasetamol, defisiensi G6PD</t>
  </si>
  <si>
    <t>HARUS DENGAN RESEP DOKTER. Karena adanya risiko yang memicu hiperpireksia, gunakan dengan hati-hati pada pasien terutama anak-anak, saat suhu lingkungan tinggi, lansia dan dalam kondisi yang ditandai dengan takikardia dan PPOK.</t>
  </si>
  <si>
    <t>spasmal</t>
  </si>
  <si>
    <t>spasmal tablet paracetamol hyoscine butylbromide nyeri paroxismal lambung usus halus  nyeri spastik saluran empedu  saluran kemih organ genital wanita</t>
  </si>
  <si>
    <t>DKL8315604017A1</t>
  </si>
  <si>
    <t>Spasmolit 10 mg 10 Tablet</t>
  </si>
  <si>
    <t>Rp29.500 - Rp32.100</t>
  </si>
  <si>
    <t>INFORMASI OBAT INI HANYA UNTUK KALANGAN MEDIS. Nyeri paroksismal pada lambung atau usus halus, dan kerusakan fungsi traktus biliaris, saluran kemih dan organ genital wanita(misalnya dismenore).</t>
  </si>
  <si>
    <t>spasmolit</t>
  </si>
  <si>
    <t>spasmolit tablet hyoscine butylbromide nyeri paroksismal lambung usus halus  kerusakan fungsi traktus biliaris  saluran kemih organ genital wanita dismenore</t>
  </si>
  <si>
    <t>vertivom sirup metoclopramide hydrochloride monohydrate gastroparesis akut berulang  panas uluhati berhubungan reflux esofagitis  mual muntah paska anestesi paska operasi</t>
  </si>
  <si>
    <t>DKL1105045910B1</t>
  </si>
  <si>
    <t>Canderin 16 mg 10 Tablet</t>
  </si>
  <si>
    <t>Rp70.000 - Rp137.800</t>
  </si>
  <si>
    <t>DTL7822209237A1</t>
  </si>
  <si>
    <t>Sanadryl Expectorant Sirup 60 ml</t>
  </si>
  <si>
    <t>Rp15.500 - Rp18.900</t>
  </si>
  <si>
    <t>Dewasa : 3-4 kali sehari 2 sendok takar. Anak : 3-4 kali sehari 1 sendok takar.</t>
  </si>
  <si>
    <t>Meredakan batuk produktif/berdahak akibat reaksi alergi</t>
  </si>
  <si>
    <t>Penyakit hati, asma, glaukoma, MAOI. Hamil, anak. Mempengaruhi kemampuan mengemudi/menjalankan mesin</t>
  </si>
  <si>
    <t>sulfogaiacol potassium ammonium chloride sodium citrate dihydrate diphenhydramine hydrochloride</t>
  </si>
  <si>
    <t>meredakan batuk produktif berdahak akibat reaksi alergi</t>
  </si>
  <si>
    <t>sanadryl expectorant</t>
  </si>
  <si>
    <t>sanadryl expectorant sirup sulfogaiacol potassium ammonium chloride sodium citrate dihydrate diphenhydramine hydrochloride meredakan batuk produktif berdahak akibat reaksi alergi</t>
  </si>
  <si>
    <t>GKL1433531110A1</t>
  </si>
  <si>
    <t>Candesartan 8 mg 10 Tablet</t>
  </si>
  <si>
    <t>Rp4.700 - Rp71.200</t>
  </si>
  <si>
    <t>candesartan tablet candesartan cilexetil  hipertensi  pengobatan pasien gagal jantung gangguan fungsi sistolik ventrikel kiri obat penghambat ace tidak ditoleransi</t>
  </si>
  <si>
    <t>GKL1019615917B1</t>
  </si>
  <si>
    <t>Irbesartan 300 mg 10 Kapsul</t>
  </si>
  <si>
    <t>Rp23.900 - Rp73.200</t>
  </si>
  <si>
    <t>PENGGUNAAN OBAT INI HARUS SESUAI DENGAN PETUNJUK DOKTER. Dosis awal dan pemeliharaan : 150 mg sekali sehari. Dapat ditingkatkan sampai dengan 300 mg atau ditambah dengan obat antihipertensi lain</t>
  </si>
  <si>
    <t>Hipertensi esensial, untuk menurunkan mikro dan makro albuminurea pada pasien hipertensi dengan diabetik nefropati yang disebabkan oleh non insulin dependent diabetic mellitus (niddm)</t>
  </si>
  <si>
    <t>Gagal jantung berat, Diabetes, ketidakseimbangan elektrolit (misalnya natrium dalam darah rendah), ketidakseimbangan cairan (misalnya dehidrasi, muntah dan diare), penyakit ginjal</t>
  </si>
  <si>
    <t>HARUS DENGAN RESEP DOKTER. Hipersensitif terhadap irbesartan, kehamilan trimester ke-2 dan ke-3, ibu menyusui</t>
  </si>
  <si>
    <t>hipertensi esensial , menurunkan mikro makro albuminurea pasien hipertensi diabetik nefropati disebabkan non insulin dependent diabetic mellitus niddm</t>
  </si>
  <si>
    <t>irbesartan tablet hipertensi esensial  menurunkan mikro makro albuminurea pasien hipertensi diabetik nefropati disebabkan non insulin dependent diabetic mellitus niddm</t>
  </si>
  <si>
    <t>DKL1032404338A1</t>
  </si>
  <si>
    <t>Cefacef Sirup 30 ml</t>
  </si>
  <si>
    <t>Rp102.500 - Rp117.800</t>
  </si>
  <si>
    <t>Infeksi saluran Kemih tanpa komplikasi, Otitis Media, Faringitis, Tonsilitis, Bronkhitis akut, Bronkhitis khronis exaserbasi akut, Gonorea tanpa komplikasi</t>
  </si>
  <si>
    <t>Suspensi 100 mg/ 5 mL x 30 mL x 1</t>
  </si>
  <si>
    <t>infeksi saluran kemih komplikasi , otitis media , faringitis , tonsilitis , bronkhitis akut , bronkhitis khronis exaserbasi akut , gonorea komplikasi</t>
  </si>
  <si>
    <t>cefacef</t>
  </si>
  <si>
    <t>cefacef sirup cefixime infeksi saluran kemih komplikasi  otitis media  faringitis  tonsilitis  bronkhitis akut  bronkhitis khronis exaserbasi akut  gonorea komplikasi</t>
  </si>
  <si>
    <t>GKL1433531110B1</t>
  </si>
  <si>
    <t>Candesartan 16 mg 10 Tablet</t>
  </si>
  <si>
    <t>Rp8.600 - Rp101.000</t>
  </si>
  <si>
    <t>DKL9709208104A1</t>
  </si>
  <si>
    <t>Scopma Plus 10 Kaplet</t>
  </si>
  <si>
    <t>Rp20.700 - Rp37.300</t>
  </si>
  <si>
    <t>PENGGUNAAN OBAT INI HARUS SESUAI DENGAN PETUNJUK DOKTER. Dewasa : 1-2 kaplet 3 kali/hari. Maksimal : 6 kaplet/hari.</t>
  </si>
  <si>
    <t>Takikardia, glaukoma, hipertrofi prostat dengan retensi urin, stenosis mekanis pada saluran cerna, megakolon, porfiria, gangguan fungsi hati, hipersensitif.</t>
  </si>
  <si>
    <t>HARUS DENGAN RESEP DOKTER. Gangguan ginjal, sidrom Gilbert.Hamil dan laktasi, usia lanjut, gangguan jantung, kolitis ulseratif, ileus paralitik, stenosis pilorik, alkohol. Kategori Kehamilan : C</t>
  </si>
  <si>
    <t>scopma plus</t>
  </si>
  <si>
    <t>scopma plus kaplet hyoscine butylbromide nyeri paroxismal lambung usus halus  nyeri spastik saluran empedu  saluran kemih organ genital wanita</t>
  </si>
  <si>
    <t>DBL2013322433B1</t>
  </si>
  <si>
    <t>Apetic Forte Suspensi 60 ml</t>
  </si>
  <si>
    <t>Rp50.000 - Rp54.900</t>
  </si>
  <si>
    <t>apetic forte</t>
  </si>
  <si>
    <t>apetic forte suspensi paracetamol menurunkan demam  dmam menyertai flu deman setalah vaksinasi imunisasi  meringankan sakit sakit kepala sakit gigi</t>
  </si>
  <si>
    <t>DKL0208507109A1</t>
  </si>
  <si>
    <t>Spasminal 10 Tablet</t>
  </si>
  <si>
    <t>Rp11.500 - Rp13.800</t>
  </si>
  <si>
    <t>Sesudah/sebelum makan</t>
  </si>
  <si>
    <t>PENGGUNAAN OBAT INI HARUS SESUAI DENGAN PETUNJUK DOKTER. 3 kali sehari satu tablet. Maksimal 4 tablet.</t>
  </si>
  <si>
    <t>INFORMASI OBAT INI HANYA UNTUK KALANGAN MEDIS. Kolik Abdomen (sakit kram perut yang kadang disebabkan bakteri, radang pada usus, radang pankreas, dan usus buntu)</t>
  </si>
  <si>
    <t>Penderita kolik diketahui yang mempunyai riwayat hipersensitif atau mengalami reaksi alergi terhadap komposisi obat. Pasein yang memiliki gangguan fungsi hati. Penderita kolik yang sedang dalam keadaan hamil atapun menyusui. Penderita yang memiliki tekanan darah rendah atau tekanan sistolik kurang dari 100 mmHg.</t>
  </si>
  <si>
    <t>HARUS DENGAN RESEP DOKTER. Tidak untuk mengobati sakit otot pada gejala-gejala flu, rematik, lumbago, sakit punggung, bursitis, sindroma bahu lengan. Karena dapat menimbulkan agranulositosis yang berakibat fatal, maka sebaiknya tidak digunakan dalam jangka panjang terus-menerus.</t>
  </si>
  <si>
    <t>hyoscine butylbromide paracetamol</t>
  </si>
  <si>
    <t>kolik abdomen sakit kram perut kadang disebabkan bakteri , radang usus , radang pankreas , usus buntu</t>
  </si>
  <si>
    <t>spasminal</t>
  </si>
  <si>
    <t>spasminal kaplet hyoscine butylbromide paracetamol kolik abdomen sakit kram perut kadang disebabkan bakteri  radang usus  radang pankreas  usus buntu</t>
  </si>
  <si>
    <t>DKL9809208209A1</t>
  </si>
  <si>
    <t>Zantifar 150 mg 10 Tablet</t>
  </si>
  <si>
    <t>Pengobatan jangka pendek tukak duodenum akut dan tukak lambung, refluks esofagitis dan keadaan hipersekresi patologis ( misalnya sindrom Zollinger-Ellison)</t>
  </si>
  <si>
    <t>Hipersensitif terhadap ranitidin</t>
  </si>
  <si>
    <t>Obat Wajib Apotek, Obat ini dapat dibeli dan diserahkan apoteker tanpa resep dengan maksimum 1 Strip. Pembelian melebihi batas ini WAJIB RESEP DOKTER. Hamil, laktasi, gangguan fungsi ginjal dan hati,anak. Penggunaan jangka panjang</t>
  </si>
  <si>
    <t>pengobatan jangka pendek tukak duodenum akut tukak lambung , refluks esofagitis hipersekresi patologis sindrom zollinger - ellison</t>
  </si>
  <si>
    <t>zantifar</t>
  </si>
  <si>
    <t>zantifar kaplet ranitidine hydrochloride pengobatan jangka pendek tukak duodenum akut tukak lambung  refluks esofagitis hipersekresi patologis sindrom zollinger  ellison</t>
  </si>
  <si>
    <t>eflin sirup pseudoephedrine hydrochloride triprolidine hydrochloride meredakan gejala  gejala ggn sal napa spt rinitis alergi rinitis vasomotor  selesma  influenza</t>
  </si>
  <si>
    <t>TI094540361</t>
  </si>
  <si>
    <t>Tebokan Forte 120 mg 15 Tablet</t>
  </si>
  <si>
    <t>TEBOKAN FORTE</t>
  </si>
  <si>
    <t>Rp291.300 - Rp396.900</t>
  </si>
  <si>
    <t>Membantu sirkulasi darah perifer pada keadaan PAOD, membantu memperbaiki sirkulasi darah di sistem saraf pusat, membantu meningkatkan konsentrasi pada usia lanjut.</t>
  </si>
  <si>
    <t>Dus, 2 Blister @ 15 Tablet</t>
  </si>
  <si>
    <t>tebokan forte</t>
  </si>
  <si>
    <t>membantu sirkulasi darah perifer paod , membantu memperbaiki sirkulasi darah sistem saraf pusat , membantu meningkatkan konsentrasi usia</t>
  </si>
  <si>
    <t>tebokan forte tablet membantu sirkulasi darah perifer paod  membantu memperbaiki sirkulasi darah sistem saraf pusat  membantu meningkatkan konsentrasi usia</t>
  </si>
  <si>
    <t>DKL1433531210A1</t>
  </si>
  <si>
    <t>Candotens 8 mg 10 Tablet</t>
  </si>
  <si>
    <t>Rp42.300 - Rp68.200</t>
  </si>
  <si>
    <t>candotens</t>
  </si>
  <si>
    <t>candotens tablet candesartan cilexetil  hipertensi  pengobatan pasien gagal jantung gangguan fungsi sistolik ventrikel kiri obat penghambat ace tidak ditoleransi</t>
  </si>
  <si>
    <t>Tantum Verde Oral Rinse 120 ml</t>
  </si>
  <si>
    <t>Rp43.000 - Rp47.400</t>
  </si>
  <si>
    <t>Larutan dikumur-kumur. Pengobatan yang terus menerus tidak boleh lebih dari 7 hari.</t>
  </si>
  <si>
    <t>Dikumur-kumur 2-3 x sehari 15 mL selama 60 detik</t>
  </si>
  <si>
    <t>Meringankan rasa sakit pada mulut dan tenggorokan, seperti tonsilitis, sakit tenggorokan, post ekstraksi gigi dan kelainan periodontal.</t>
  </si>
  <si>
    <t>Tidak dianjurkan untuk anak umur dibawah 12 tahun. Obat jangn ditelan. Hati-hati penggunaan pada penderita dengan gangguan fungsi hati dan ginjal yang berat. Simpan di bawah suhu 30 C. Terlindung dari cahaya.</t>
  </si>
  <si>
    <t>meringankan sakit mulut tenggorokan , tonsilitis , sakit tenggorokan , post ekstraksi gigi kelainan periodontal</t>
  </si>
  <si>
    <t>tantum verde oral rinse</t>
  </si>
  <si>
    <t>tantum verde oral rinse larutan benzydamine hydrochloride meringankan sakit mulut tenggorokan  tonsilitis  sakit tenggorokan  post ekstraksi gigi kelai periodontal</t>
  </si>
  <si>
    <t>MultiSure GK Blood Glucose Test and Ketone Monitoring System</t>
  </si>
  <si>
    <t>Alat kesehatan untuk memantau kadar gula darah dan keton</t>
  </si>
  <si>
    <t>alat kesehatan memantau kadar gula darah keton</t>
  </si>
  <si>
    <t>multisure gk blood glucose test and ketone monitoring system</t>
  </si>
  <si>
    <t>multisure gk blood glucose test and ketone monitoring system tablet pioglitazone hydrochloride alat kesehatan memantau kadar gula darah keton</t>
  </si>
  <si>
    <t>DKL0835306010A1</t>
  </si>
  <si>
    <t>Promuxol 30 mg 10 Tablet</t>
  </si>
  <si>
    <t>Rp14.900 - Rp15.700</t>
  </si>
  <si>
    <t>Penggunaan obat sebaiknya dilakukan setelah makan atau bersama makanan.</t>
  </si>
  <si>
    <t>PENGGUNAAN OBAT INI HARUS SESUAI DENGAN PETUNJUK DOKTER. Dewasa : 3 x sehari 1 tablet Anak 5-12 tahun : 3 x sehari 1 tablet, dosis dapat dikurangi menjadi 2 x sehari.</t>
  </si>
  <si>
    <t>Jangan menggunakan obat ini untuk pasien yang memiliki riwayat alergi obat ambroxol .Pasien yang menderita ulkus pada lambung penggunaan obat ini harus dilakukan secara hati-hati.</t>
  </si>
  <si>
    <t>HARUS DENGAN RESEP DOKTER. Keamanan pemakaian obat ini untuk ibu menyusui belum diketahui dengan jelas. Oleh karena itu, pemakaian selama menyusui sebaiknya dikonsultasikan dengan dokter.</t>
  </si>
  <si>
    <t>promuxol tablet ambroxol hydrochloride sekretolitik pengencer dahak gangguan saluran nafas akut kronik  eksaserbasi bronkitis khronik  bronkhitis asmatik asma bronkhial</t>
  </si>
  <si>
    <t>metamizole sodium monohydrate thiamine mononitrate pyridoxine hydrochloride cyanocobalamin dl-alpha-tocopheryl acetate</t>
  </si>
  <si>
    <t>arsinal kaplet metamizole sodium monohydrate thiamine mononitrate pyridoxine hydrochloride cyanocobalamin dlalphatocopheryl acetate nyeri  demam  anti radang nyeri urat saraf</t>
  </si>
  <si>
    <t>TR173302951</t>
  </si>
  <si>
    <t>Jamu Iboe Curmino Plus Herbal 30 Kapsul</t>
  </si>
  <si>
    <t>CURMINO PLUS NEO</t>
  </si>
  <si>
    <t>Rp46.200 - Rp74.900</t>
  </si>
  <si>
    <t>Pencegahan : 1 x sehari 1 Kapsul Pengobatan : 1 x sehari 2 Kapsul</t>
  </si>
  <si>
    <t>Membantu menjaga kesehatan fungsi hati dan membantu memperbaiki daya tahan tubuh</t>
  </si>
  <si>
    <t>curmino plus neo</t>
  </si>
  <si>
    <t>membantu menjaga kesehatan fungsi hati membantu memperbaiki daya tahan tubuh</t>
  </si>
  <si>
    <t>jamu iboe curmino plus herbal</t>
  </si>
  <si>
    <t>jamu iboe curmino plus herbal kapsul curmino plus neo membantu menjaga kesehatan fungsi hati membantu memperbaiki daya tahan tubuh</t>
  </si>
  <si>
    <t>DKL7203809746A1</t>
  </si>
  <si>
    <t>Cendo Xitrol Minidose 0.6 ml</t>
  </si>
  <si>
    <t>Rp33.000 - Rp41.600</t>
  </si>
  <si>
    <t>Teteskan pada mata yang sakit. Jangan digunakan 30 hari setelah dibuka.</t>
  </si>
  <si>
    <t>PENGGUNAAN OBAT INI HARUS SESUAI DENGAN PETUNJUK DOKTER. 1-2 tetes tiap jam pada siang hari, dan tiap 2 jam pada malam hari. jika respon baik dikurangi menjadi 1 tetes tiap 4 jam. Untuk mengontrol gejala, dosis dikurangi 3-4 x sehari 1 tetes.</t>
  </si>
  <si>
    <t>INFORMASI OBAT INI HANYA UNTUK KALANGAN MEDIS. Kondisi inflamasi mata yang responsif terhadap steroid disertai infeksi bakteri atau adanya reaksi infeksi mata karena bakteri</t>
  </si>
  <si>
    <t>Catch cover @ 5 Botol @ 0,6 ml</t>
  </si>
  <si>
    <t>hipersensitif, infeksi jamur sistemik, glaukoma, simplex keratitis</t>
  </si>
  <si>
    <t>HARUS DENGAN RESEP DOKTER. Jangan dipergunakan 30 hari setelah dibuka.</t>
  </si>
  <si>
    <t>kondisi inflamasi mata responsif steroid disertai infeksi bakteri reaksi infeksi mata bakteri</t>
  </si>
  <si>
    <t>cendo xitrol minidose</t>
  </si>
  <si>
    <t>cendo xitrol minidose tetes dexamethasone sodium phosphate kondisi inflamasi mata responsif steroid disertai infeksi bakteri reaksi infeksi mata bakteri</t>
  </si>
  <si>
    <t>DTL0714710101A1</t>
  </si>
  <si>
    <t>Alaxan FR 10 Kapsul</t>
  </si>
  <si>
    <t>Rp7.400 - Rp7.500</t>
  </si>
  <si>
    <t>Sebaiknya dikonsumsi setelah makan.</t>
  </si>
  <si>
    <t>Dewasa : 3-4 kali sehari 1 kapsul</t>
  </si>
  <si>
    <t>Untuk meringankan nyeri otot, sakit gigi, nyeri haid (dysmenorrhea primer), sakit kepala dan menurunkan demam.</t>
  </si>
  <si>
    <t>Dus, 10 Blister @ 10 Kapsul Fast Release</t>
  </si>
  <si>
    <t>Hipersensitif terhadap paracetamol, ibuprofen atau OAINS. Tukak peptik berat &amp; aktif. Pasien yg mengalami gejala asma, rinitis atau urtikaria yg dipicu oleh penggunaan asetosal atau OAINS lain. Hamil trimester 3.</t>
  </si>
  <si>
    <t>Penderita dengan riwayat gangguan GI bagian atas (tukak peptik). Gangguan fungsi ginjal. Penyakit jantung, hipertensi, atau kondisi lainnya yg menyebabkan retensi cairan tubuh. Hamil dan laktasi dan penderita hipersensitif terhadap komponen obat ini.</t>
  </si>
  <si>
    <t>untuk meringankan nyeri otot , sakit gigi , nyeri haid dysmenorrhea primer , sakit kepala menurunkan demam</t>
  </si>
  <si>
    <t>alaxan fr</t>
  </si>
  <si>
    <t>alaxan fr kapsul paracetamol ibuprofen untuk meringankan nyeri otot  sakit gigi  nyeri haid dysmenorrhea primer  sakit kepala menurunkan demam</t>
  </si>
  <si>
    <t>DKI1909500328A1</t>
  </si>
  <si>
    <t>Xylocaine 2% Gel 10 g</t>
  </si>
  <si>
    <t>PENGGUNAAN OBAT INI HARUS SESUAI DENGAN PETUNJUK DOKTER. Anestesi permukaan uretra Pria 10 mL dimasukkan sampai pasien merasa ada sensasi tekanan. Klem penile digunakan selama bbbrp mnt &amp; diberikan 10 mL lagi. Wanita 5-10 mL dimasukkan. Endoskopi 10-20 mL Lubrikasi untuk intubasi endotrakeal Sekitar 2 mL pada permukaan tuba sblm dimasukkan alat. Proktoskopi &amp; rektoskopi 20 mL. Maks: 400 mg.</t>
  </si>
  <si>
    <t>Anestesi permukaan &amp; sbg pelumas selama sitoskopi, kateterisasi, prosedur endouretral, endoskopi, proktoskopi, rektoskopi &amp; intubasi uretra pada pria &amp; wanita.</t>
  </si>
  <si>
    <t>Tube @10 gram</t>
  </si>
  <si>
    <t>Obat Wajib Apotek, Obat ini dapat dibeli dan diserahkan apoteker tanpa resep dengan maksimum 1 Tube. Pembelian melebihi batas ini WAJIB RESEP DOKTER. Utk sepsis atau trauma mukosa berat disekitar area yang diolesi Xylocaine Jelly ini. Saat menggunakan untuk melumaskan tuba endotrakeal, jangan dimasukkan ke dalam lumen tuba. Pasien dengan porfiria.</t>
  </si>
  <si>
    <t>lidocaine hydrochloride</t>
  </si>
  <si>
    <t>anestesi permukaan sbg pelumas sitoskopi , kateterisasi , prosedur endouretral , endoskopi , proktoskopi , rektoskopi intubasi uretra pria wanita</t>
  </si>
  <si>
    <t>xylocaine</t>
  </si>
  <si>
    <t>xylocaine gel lidocaine hydrochloride anestesi permukaan sbg pelumas sitoskopi  kateterisasi  prosedur endouretral  endoskopi  proktoskopi  rektoskopi intubasi uretra pria wanita</t>
  </si>
  <si>
    <t>DKL9722223303A1</t>
  </si>
  <si>
    <t>Lapraz 30 mg 10 Kapsul</t>
  </si>
  <si>
    <t>Rp169.100 - Rp191.600</t>
  </si>
  <si>
    <t>INFORMASI OBAT INI HANYA UNTUK KALANGAN MEDIS. Pengobatan tukak duodenum dan tukak lambung ringan, tukak peptik, refluks esofagitis, sindrom zollinger-ellison dan eradikasi H.pylori.</t>
  </si>
  <si>
    <t>Penderita yang hipersensitif terhadap lansoprazole, serta pasien yang sedang mengkonsumsi rilpivirine dan atazanavir.</t>
  </si>
  <si>
    <t>HARUS DENGAN RESEP DOKTER. Pasien dengan keganasan lambung, faktor risiko berkurangnya penyerapan vitamin B12 atau berkurangnya simpanan tubuh</t>
  </si>
  <si>
    <t>gestamag suspensi dried aluminium hydroxide gel magnesium hydroxide simethicone emulsion 30 sakit maag  tukak lambung  hiperasiditas lambung  perut kembung</t>
  </si>
  <si>
    <t>Bausch+Lomb Biotrue Multi-Purpose Solution 60 ml</t>
  </si>
  <si>
    <t>Rp35.000 - Rp52.000</t>
  </si>
  <si>
    <t>Cuci bersih tangan dengan sabun dan air, keringkan dengan kain bersih. Lepaskan softlens, kemudian taruh soflens pada wadah softlens atau telapan tangan. Tuangkan cairan softlens secukupnya, kemudian gosok permukaan softlens dengan lembut menggunakan jari atau aplikator softlens. Setelah dirasa cukup bersih, buang sisa cairan softlens yang tersisa dan bilas softlens dengan cairan pembersih atau perendam softlens yang baru. Taruh softlens di wadah softlens yang bersih dan tuangkan cairan pembersih atau perendam softlens sampai permukaan softlens terendam sepenuhnya, dan tutup wadah softlens dengan rapat. Jika softlens akan langsungdigunakan, rendam softlens kurang lebih selama 15-30 menit sebelum digunakan kembali. Ketika softlens tidak digunakan, jangan lupa untuk mencuci dan mengganti cairan softlens Anda dengan cairan softlens yang baru minimal 3 hari sekali, sehingga kebersihannya tetap terjaga.</t>
  </si>
  <si>
    <t>Cairan pembersih dan perendam lensa kontak/softlens yang mengandung disinfektan untuk mata lebih sehat dan nyaman</t>
  </si>
  <si>
    <t>Hipersensitif terhadap komponen produk ini.</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</si>
  <si>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sebelum dibuka: 3 tahun. Masa simpan produk setelah dibuka: 90 hari. Hindari penggunaan cairan di atas batas masa simpannya.</t>
  </si>
  <si>
    <t>cairan pembersih perendam lensa kontak softlens mengandung disinfektan mata sehat nyaman</t>
  </si>
  <si>
    <t>bauschlomb biotrue multipurpose solution</t>
  </si>
  <si>
    <t>bauschlomb biotrue multipurpose solution tablet kombinasivalsartan blend 32 cairan pembersih perendam lensa kontak softlens mengandung disinfektan mata sehat nyaman</t>
  </si>
  <si>
    <t>Accu Chek Active GC 25 Strip</t>
  </si>
  <si>
    <t>Rp164.700 - Rp455.700</t>
  </si>
  <si>
    <t>Alat untuk mengukur kadar gula darah. Hasil tes dapat dipindahkan ke komputer melalui kabel USB.</t>
  </si>
  <si>
    <t>alat mengukur kadar gula darah  hasil te dipindahkan komputer kabel usb</t>
  </si>
  <si>
    <t>accu chek active gc strip</t>
  </si>
  <si>
    <t>accu chek active gc strip tablet pioglitazone hydrochloride alat mengukur kadar gula darah  hasil te dipindahkan komputer kabel usb</t>
  </si>
  <si>
    <t>DTL0903812687A1</t>
  </si>
  <si>
    <t>Cendo Oculenta Ophthalmic Gel 5 g</t>
  </si>
  <si>
    <t>Rp80.300 - Rp99.900</t>
  </si>
  <si>
    <t>Oleskan tipis-tipis pada bagian mata yang sakit</t>
  </si>
  <si>
    <t>3-4 kali sehari</t>
  </si>
  <si>
    <t>untuk kondisi mata kering termasuk keratokonjungtivitis sicca dan selaput air mata yang tidak stabil atau insufisiensi kelembaban kornea</t>
  </si>
  <si>
    <t>Hindari penggunaan Cendo Oculenta pada pasien yang memiliki hipersensitif terhadap kandungan obat.</t>
  </si>
  <si>
    <t>Tidak boleh mengendarai mesin sebelum penglihatan jernih, hamil, menyusui</t>
  </si>
  <si>
    <t>retinol palmitate</t>
  </si>
  <si>
    <t>kondisi mata kering keratokonjungtivitis sicca selaput air mata tidak stabil insufisiensi kelembaban kornea</t>
  </si>
  <si>
    <t>cendo oculenta ophthalmic</t>
  </si>
  <si>
    <t>cendo oculenta ophthalmic gel retinol palmitate kondisi mata kering keratokonjungtivitis sicca selaput air mata tidak stabil insufisiensi kelembaban kornea</t>
  </si>
  <si>
    <t>DBL9423403863A1</t>
  </si>
  <si>
    <t>Carsida 10 Tablet</t>
  </si>
  <si>
    <t>Rp3.500 - Rp9.400</t>
  </si>
  <si>
    <t>diminum diantara waktu makan dan menjelang tidur</t>
  </si>
  <si>
    <t>1-2 tablet kunyah</t>
  </si>
  <si>
    <t>mengatasi hiperasiditas lambung pada tukak lambung dan duodenum, gastritis, heart burn, esofagitis peptik dan meredakan kembung.</t>
  </si>
  <si>
    <t>Gangguan fungsi ginjal dan diet rendah fosfat.</t>
  </si>
  <si>
    <t>mengatasi hiperasiditas lambung tukak lambung duodenum , gastritis , heart burn , esofagitis peptik meredakan kembung</t>
  </si>
  <si>
    <t>carsida tablet dried aluminium hydroxide gel mengatasi hiperasiditas lambung tukak lambung duodenum  gastritis  heart burn  esofagitis peptik meredakan kembung</t>
  </si>
  <si>
    <t>sterimar allergic nose tetes ofloxacin membersihkan alergen bersentuhan mukosa hidung  melembabkan mengembalikan kelembapan alami mukosa hidung  mencegah perkembangan alergi</t>
  </si>
  <si>
    <t>DKL9313303617A1</t>
  </si>
  <si>
    <t>Laflanac 25 mg 10 Tablet</t>
  </si>
  <si>
    <t>Rp29.800 - Rp30.500</t>
  </si>
  <si>
    <t>Nyeri inflamasi pasca trauma, nyeri &amp; inflamasi pasca op, sebagai terapi tambahan pada nyeri inflamasi berat pada infeksi THT.</t>
  </si>
  <si>
    <t>nyeri inflamasi pasca trauma , nyeri inflamasi pasca op , terapi tambahan nyeri inflamasi berat infeksi tht</t>
  </si>
  <si>
    <t>laflanac</t>
  </si>
  <si>
    <t>laflanac tablet diclofenac potassium nyeri inflamasi pasca trauma  nyeri inflamasi pasca op  terapi tambahan nyeri inflamasi berat infeksi tht</t>
  </si>
  <si>
    <t>DKL1718816637B1</t>
  </si>
  <si>
    <t>Mucera Forte Sirup 60 ml</t>
  </si>
  <si>
    <t>Rp42.800 - Rp51.600</t>
  </si>
  <si>
    <t>mucera forte</t>
  </si>
  <si>
    <t>mucera forte sirup ambroxol hydrochloride sebagai sekretolitik gangguan saluran nafas akut kronis eksaserbasi bronkitis kronis bronkitis asmatik asma bronkial</t>
  </si>
  <si>
    <t>DKI1631600710B1</t>
  </si>
  <si>
    <t>Coveram 10 mg/5 mg 30 Tablet</t>
  </si>
  <si>
    <t>Rp424.500 - Rp730.100</t>
  </si>
  <si>
    <t>Dianjurkan diberikan pada pagi hari dan sebelum makan.</t>
  </si>
  <si>
    <t>PENGGUNAAN OBAT INI HARUS SESUAI DENGAN PETUNJUK DOKTER. 1 tablet/hari sebagai dosis tunggal.</t>
  </si>
  <si>
    <t>INFORMASI OBAT INI HANYA UNTUK KALANGAN MEDIS. Hipertensi esensial termasuk penyakit Arteri Koroner stabil, terapi substitusi pada pasien yang sudah diterapi dengan Perindopril dan Amlodipine secara bersamaan pada tingkat dosis yang sama.</t>
  </si>
  <si>
    <t>Tablet 5 Mg/10 Mg X 30</t>
  </si>
  <si>
    <t>Hamil trimester 2 dan 3, hipotensi berat, angina pektoris stabil (tidak termasuk angina prinzmetal), gagal jantung sesudah infark miokard, angioedema yang berhubungan dengan terapi ACE inhibitor sebelumnya.</t>
  </si>
  <si>
    <t>HARUS DENGAN RESEP DOKTER. Gangguan fungsi hati, gagal jantung, gangguan ginjal.</t>
  </si>
  <si>
    <t>hipertensi esensial penyakit arteri koroner stabil , terapi substitusi pasien diterapi perindopril amlodipine bersamaan tingkat dosis</t>
  </si>
  <si>
    <t>coveram</t>
  </si>
  <si>
    <t>coveram tablet amlodipine besilate hipertensi esensial penyakit arteri koroner stabil  terapi substitusi pasien diterapi perindopril amlodipine bersamaan tingkat dosis</t>
  </si>
  <si>
    <t>DKL9609205609B1</t>
  </si>
  <si>
    <t>Pratifar 40 mg 10 Kaplet</t>
  </si>
  <si>
    <t>PENGGUNAAN OBAT INI HARUS SESUAI DENGAN PETUNJUK DOKTER. Untuk ulkus duodenum akut : 40 mg/hari sebelum tidur atau 20 mg 2 kali/hari. Pemeliharaan : 20 mg/hari sebelum tidur malam Untuk hipersekresi : 20 mg 4 kali/hari</t>
  </si>
  <si>
    <t>Pengobatan jangka pendek dan pemeliharaan ulkus duodenum aktif. Kondisi hipersekresi patologis, misalnya sindroma Zollinger-Ellison dan adenoma endokrin multipel</t>
  </si>
  <si>
    <t>Tablet 40 Mg X 5 X 10</t>
  </si>
  <si>
    <t>Hipersensitif terhadap famotidine</t>
  </si>
  <si>
    <t>Obat Wajib Apotek, Obat ini dapat dibeli dan diserahkan apoteker tanpa resep dengan maksimum 1 Strip. Pembelian melebihi batas ini WAJIB RESEP DOKTER. Anak, hamil dan laktasi. Kurangi dosis pada gangguan ginjal berat</t>
  </si>
  <si>
    <t>pengobatan jangka pendek pemeliharaan ulkus duodenum aktif  kondisi hipersekresi patologis , sindroma zollinger - ellison adenoma endokrin multipel</t>
  </si>
  <si>
    <t>pratifar</t>
  </si>
  <si>
    <t>pratifar kaplet famotidine pengobatan jangka pendek pemeliharaan ulkus duodenum aktif  kondisi hipersekresi patologis  sindroma zollinger  ellison adenoma endokrin multipel</t>
  </si>
  <si>
    <t>DTL1913027337A1</t>
  </si>
  <si>
    <t>Siladex Flu 60 ml</t>
  </si>
  <si>
    <t>Rp16.700 - Rp17.600</t>
  </si>
  <si>
    <t>Dewasa dan anak-anak usia di atas 12 tahun : 3 x sehari 2 sendok takar (10 ml) Anak-anak usia 6 - 12 tahun : 3 x sehari 1 sendok takar (5 ml)</t>
  </si>
  <si>
    <t>Meringankan gejala - gejala flu seperti demam, sakit kepala, hidung tersumbat dan bersin - bersinyang disertai batuk berdahak.</t>
  </si>
  <si>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 Selama minum obat ini tidak boleh mengendarai kendaraan bermotor atau menjalankan mesin. Hati-hati pada penderita tukak lambung. Tidak dianjurkan penggunaan pada anak usia dibawah 6 tahun, wanita hamil dan menyusui.</t>
  </si>
  <si>
    <t>meringankan gejala - gejala flu demam , sakit kepala , hidung tersumbat bersin - bersinyang disertai batuk berdahak</t>
  </si>
  <si>
    <t>siladex flu</t>
  </si>
  <si>
    <t>siladex flu sirup bromhexine hydrochloride meringankan gejala  gejala flu demam  sakit kepala  hidung tersumbat bersin  bersinyang disertai batuk berdahak</t>
  </si>
  <si>
    <t>DKL9308001010A1</t>
  </si>
  <si>
    <t>Oxtin 30 mg 10 Tablet</t>
  </si>
  <si>
    <t>Rp30.000 - Rp52.700</t>
  </si>
  <si>
    <t>PENGGUNAAN OBAT INI HARUS SESUAI DENGAN PETUNJUK DOKTER. Dewasa : 2 kali sehari 30 mg. Anak-anak : 0,5 mg/kg berat badan sekali minum, berat badan : - 35 kg : 30 mg. - 15-35 kg : 15 mg. Diberikan 2 kali sehari.</t>
  </si>
  <si>
    <t>Pencegahan dan pengobatan gangguan alergi terutama urtikaria (biduran/kaligata) kronis, rinitis alergika, konjungtivitis folikular, dermatitis atopik, &amp; alergi makanan.</t>
  </si>
  <si>
    <t>Tablet 30 mg x 5 x 10</t>
  </si>
  <si>
    <t>Hipersensitif, Hepatitis</t>
  </si>
  <si>
    <t>HARUS DENGAN RESEP DOKTER. Mempengaruhi kemampuan menjalankan mesin dan mengemudi, retensi urin, hyperplasia prostat, obstruksi pyloroduodenal, gangguan hati, lansia, tidak untuk penderita asma akut, anak &lt;6tahun.</t>
  </si>
  <si>
    <t>oxatomide</t>
  </si>
  <si>
    <t>pencegahan pengobatan gangguan alergi urtikaria biduran kaligata kronis , rinitis alergika , konjungtivitis folikular , dermatitis atopik , alergi makanan</t>
  </si>
  <si>
    <t>oxtin</t>
  </si>
  <si>
    <t>oxtin tablet oxatomide pencegahan pengobatan gangguan alergi urtikaria biduran kaligata kronis  rinitis alergika  konjungtivitis folikular  dermatitis atopik  alergi maka</t>
  </si>
  <si>
    <t>DKL0509215037A1</t>
  </si>
  <si>
    <t>Roverton Sirup 60 ml</t>
  </si>
  <si>
    <t>Rp6.200 - Rp13.100</t>
  </si>
  <si>
    <t>PENGGUNAAN OBAT INI HARUS SESUAI DENGAN PETUNJUK DOKTER. Anak 5-12 tahun 3 x sehari 5 ml, 2-5 tahun 3 x sehari 2.5 ml, &lt; 2 tahun 2 x sehari 2.5 ml.</t>
  </si>
  <si>
    <t>Sekretolitik/pengencer dahak pada gangguan saluran Nafas akut dan kronik, khususnya pada eksaserbasi Bronkitis Khronik, Bronkhitis Asmatik dan Asma Bronkhial</t>
  </si>
  <si>
    <t>Botol Syrup 15 mg/5 ml x 60 ml.</t>
  </si>
  <si>
    <t>Hipersensitif, ulkus lambung</t>
  </si>
  <si>
    <t>HARUS DENGAN RESEP DOKTER. Hamil &amp; laktasi. Tdk boleh digunakan untuk jangka waktu lama. Insufisiensi ginjal.</t>
  </si>
  <si>
    <t>roverton sirup ambroxol hydrochloride sekretolitik pengencer dahak gangguan saluran nafas akut kronik  eksaserbasi bronkitis khronik  bronkhitis asmatik asma bronkhial</t>
  </si>
  <si>
    <t>DKL9609205609A1</t>
  </si>
  <si>
    <t>Pratifar 20 mg 10 Kaplet</t>
  </si>
  <si>
    <t>Rp3.500 - Rp8.300</t>
  </si>
  <si>
    <t>PENGGUNAAN OBAT INI HARUS SESUAI DENGAN PETUNJUK DOKTER. Ulkus duodenum: terapi akut 1 kali sehari 40mg sebelum tidur atau 2 kali sehari 20mg. pemeliharaan 1 kali sehari 20mg sebelum tidur. kondisi hipersekresi patologis: 4 kali sehari 20mg.</t>
  </si>
  <si>
    <t>Tablet 20 Mg X 5 X 10</t>
  </si>
  <si>
    <t>DKL0809217337A1</t>
  </si>
  <si>
    <t>Neosma Expectorant Syrup 60 ml</t>
  </si>
  <si>
    <t>Rp7.600 - Rp14.300</t>
  </si>
  <si>
    <t>PENGGUNAAN OBAT INI HARUS SESUAI DENGAN PETUNJUK DOKTER. Dewasa : 5-10 ml 2-3 x sehari Anak 12-15 thn : 5 ml 2-3 x sehari</t>
  </si>
  <si>
    <t>Sebagai bronkodilator pada asma bronkial, bronkospasme pada bronkitis kronik, emfisema, &amp; penyakit paru lainnya dengan komplikasi bronkokonstriksi dan ekspektoran (batuk berdahak)</t>
  </si>
  <si>
    <t>hamil, konsumsi lebih dari satu obat flu, reaksi alergi, hipersensitif, wanita menyusui, kesulitan bernapas.</t>
  </si>
  <si>
    <t>sebagai bronkodilator asma bronkial , bronkospasme bronkitis kronik , emfisema , penyakit paru komplikasi bronkokonstriksi ekspektoran batuk berdahak</t>
  </si>
  <si>
    <t>neosma expectorant</t>
  </si>
  <si>
    <t>neosma expectorant sirup guaifenesin sebagai bronkodilator asma bronkial  bronkospasme bronkitis kronik  emfisema  penyakit paru komplikasi bronkokonstriksi ekspektoran batuk berdahak</t>
  </si>
  <si>
    <t>DTL1922727304A2</t>
  </si>
  <si>
    <t>Nodrof PE 10 Kaplet</t>
  </si>
  <si>
    <t>Rp7.900 - Rp9.000</t>
  </si>
  <si>
    <t>Dewasa : 3 x sehari 1 Kaplet</t>
  </si>
  <si>
    <t>Untuk meredakan gejala flu seperti demam, sakit kepala, hidung tersumbat dan bersin-bersin.</t>
  </si>
  <si>
    <t>Penderita dengan gangguan fungsi hati yang berat, penderita yang hipersensitif terhadap komponen obat.</t>
  </si>
  <si>
    <t>Hati-hati penggunaan pada penderita dengan gangguan fungsi hati dan ginjal, glaukoma, hipertrofi prostat, hipertiroid, retensi urin, gangguan jantung dan diabetes melitus, tidak di anjurkan pada anak di bawah usia 6 tahun, wanita hamil, dan menyusui, penderita yang mengkonsumsi alkohol dapat meningkatkan resiko kerusakan fungsi hati</t>
  </si>
  <si>
    <t>diphenhydramine hydrochloride phenylephrine hydrochloride paracetamol</t>
  </si>
  <si>
    <t>untuk meredakan gejala flu demam , sakit kepala , hidung tersumbat bersin - bersin</t>
  </si>
  <si>
    <t>nodrof pe</t>
  </si>
  <si>
    <t>nodrof pe kaplet diphenhydramine hydrochloride phenylephrine hydrochloride paracetamol untuk meredakan gejala flu demam  sakit kepala  hidung tersumbat bersin  bersin</t>
  </si>
  <si>
    <t>TR202604991</t>
  </si>
  <si>
    <t>Madu TJ Masuk Angin 140 g</t>
  </si>
  <si>
    <t>TJ MASUK ANGIN</t>
  </si>
  <si>
    <t>Rp22.300 - Rp23.100</t>
  </si>
  <si>
    <t>membantu meredakan gejala masuk angin dan membantu menjaga stamina dan daya tahan tubuh</t>
  </si>
  <si>
    <t>Botol @ 250 ml</t>
  </si>
  <si>
    <t>Simpan ditempat sejuk dan hindarkan dari sinar matahari langsung</t>
  </si>
  <si>
    <t>tj masuk angin</t>
  </si>
  <si>
    <t>membantu meredakan gejala masuk angin membantu menjaga stamen daya tahan tubuh</t>
  </si>
  <si>
    <t>madu tj masuk angin</t>
  </si>
  <si>
    <t>madu tj masuk angin madu tj masuk angin membantu meredakan gejala masuk angin membantu menjaga stamen daya tahan tubuh</t>
  </si>
  <si>
    <t>DTL1118906937A1</t>
  </si>
  <si>
    <t>Pim-Tra-Kol Sirup Lemon 60 ml</t>
  </si>
  <si>
    <t>Rp11.700 - Rp20.000</t>
  </si>
  <si>
    <t>Dewasa : 3-4 x sehari 15 ml. Anak 2 - 6 tahun : 3-4 x sehari 5 ml. Anak 6 - 12 tahun : 3-4 x sehari 10 ml.</t>
  </si>
  <si>
    <t>Untuk meringankan gejala gejala flu seperti demam, sakit kepala, hidung tersumbat dan bersin - bersin yang disertai batuk.</t>
  </si>
  <si>
    <t>Penderita dengan gangguan jantung dan diabetes melitus. Penderita dengan gangguan fungsi hati yang berat.</t>
  </si>
  <si>
    <t>Hati hati penggunaan pada penderita dengan gangguan fungsi hati dan ginjal, glaucoma, hipertrofi prostat, hipertiroid dan retensi urin. Hati hati penggunaan bersamaan dengan obat obat lain yang menekan susunan saraf pusat. Selama minum obat ini tidak boleh mengendarai kendaraan bermotor atau menjalankan mesin. Pengguanaan pada penderita yang mengkonsumsi alkohol dapat meningkatkan resiko kerusakan hati.</t>
  </si>
  <si>
    <t>untuk meringankan gejala gejala flu demam , sakit kepala , hidung tersumbat bersin - bersin disertai batuk</t>
  </si>
  <si>
    <t>pimtrakol lemon</t>
  </si>
  <si>
    <t>pimtrakol lemon sirup chlorphenamine maleate untuk meringankan gejala gejala flu demam  sakit kepala  hidung tersumbat bersin  bersin disertai batuk</t>
  </si>
  <si>
    <t>DTL1118906837A1</t>
  </si>
  <si>
    <t>Pim-Tra-Kol Sirup Cherry 60 ml</t>
  </si>
  <si>
    <t>Rp12.700 - Rp22.000</t>
  </si>
  <si>
    <t>Dewasa: 3-4 x sehari 15 ML Anak 2-6 Tahun: 3-4 x sehari 5 ML Anak 6-12 Tahun: 3-4 x sehari 10 ML</t>
  </si>
  <si>
    <t>Tidak untuk dikonsumsi oleh penderita yang hipersensitif terhadap komponen obat ini. Pasien yang mempunyai gangguan fungsi hati yang berat. Pasien yang memiliki kepekaan terhadap obat simpatomimetik lain seperti, efedrin dan fenilefrin.</t>
  </si>
  <si>
    <t>Hati hati penggunaan pada penderita dengan gangguan fungsi hati dan ginjal, glaucoma, hipertrofi prostat, hipertiroid dan retensi urin. Hati hati penggunaan bersamaan dengan obat obat lain yang menekan susunan saraf pusat.</t>
  </si>
  <si>
    <t>pimtrakol cherry</t>
  </si>
  <si>
    <t>pimtrakol cherry sirup chlorphenamine maleate untuk meringankan gejala gejala flu demam  sakit kepala  hidung tersumbat bersin  bersin disertai batuk</t>
  </si>
  <si>
    <t>DBL9715701733A1</t>
  </si>
  <si>
    <t>Myllacid Sirup 100 ml</t>
  </si>
  <si>
    <t>Rp18.100 - Rp18.200</t>
  </si>
  <si>
    <t>Saat perut kosong : 1-2 jam sesudah makan dan menjelang tidur malam</t>
  </si>
  <si>
    <t>Dewasa : 3-4 x sehari 1-2 sendok takar 5cc Anak 6-12 tahun : 3-4 x sehari 0.5 - 1 sendok takar 5cc</t>
  </si>
  <si>
    <t>Hiperasiditas lambung pada tukak Lambung/Usus halus, Perut kembung, Sakit Maag, Mual, Nyeri Uluhati</t>
  </si>
  <si>
    <t>Pasien yang memiliki riwayat alergi terhadap salah satu komponen obat ini.</t>
  </si>
  <si>
    <t>DKL1823414837A1</t>
  </si>
  <si>
    <t>Mexon Sirup 60 ml</t>
  </si>
  <si>
    <t>Rp10.100 - Rp19.500</t>
  </si>
  <si>
    <t>Dapat dikonsumsi bersamaan maupun tanpa makanan</t>
  </si>
  <si>
    <t>PENGGUNAAN OBAT IN HARUS DENGAN PETUNJUK DOKTER. Anak-anak: 1 sendok takar (5 ml), diminum 3 kali sehari. Dewasa: 2 sendok takar (10 ml), diminum 3 kali sehari.</t>
  </si>
  <si>
    <t>Tukak peptik, infeksi jamur.</t>
  </si>
  <si>
    <t>HARUS DENGAN RESEP DOKTER . Hipertensi, penyakit jantung iskemik, hipertropi prostatik, disfungsi tiroid. Kategori kehamilan: Kategori B: ungkin dapat digunakan oleh wanita hamil. Penelitian pada hewan uji tidak memperlihatkan ada nya risiko terhadap janin, namun belum ada bukti penelitian langsung terhadap wanita hamil.</t>
  </si>
  <si>
    <t>mexon sirup dexamethasone dexchlorpheniramine maleate reaksi alergi respons kortikosteroid  urtikaria  rinitis alergi  dermatitis akut kronik  hay fever  konjungtivitis alergi</t>
  </si>
  <si>
    <t>dexchlorpheniramine maleate dexamethasone</t>
  </si>
  <si>
    <t>proxona kaplet dexchlorpheniramine maleate dexamethasone reaksi alergi respons kortikosteroid  urtikaria  rinitis alergi  dermatitis akut kronik  hay fever  konjungtivitis alergi</t>
  </si>
  <si>
    <t>QD191716891</t>
  </si>
  <si>
    <t>Salep Kulit 88 6 g</t>
  </si>
  <si>
    <t>Rp13.700 - Rp17.500</t>
  </si>
  <si>
    <t>Sebelum dioleskan salep, kulit yang sakit dibersihkan dahulu dan dikeringkan.</t>
  </si>
  <si>
    <t>Dioleskan 3x sehari secukupnya pada bagian yang sakit dan gatal</t>
  </si>
  <si>
    <t>Untuk mengobati penyakit kulit seperti panu, kadas, kurap, kudis, kutu air dan gatal-gatal yang disebabkan oleh infeksi jamur.</t>
  </si>
  <si>
    <t>Dus, 12 Pot @ 6 g</t>
  </si>
  <si>
    <t>Penderita yang hipersensitif terhadap komponen obat</t>
  </si>
  <si>
    <t>untuk mengobati penyakit kulit panu , kadas , kurap , kudis , kutu air gatal - gatal disebabkan infeksi jamur</t>
  </si>
  <si>
    <t>kulit</t>
  </si>
  <si>
    <t>kulit salep acidum benzoicum untuk mengobati penyakit kulit panu  kadas  kurap  kudis  kutu air gatal  gatal disebabkan infeksi jamur</t>
  </si>
  <si>
    <t>QD182716051</t>
  </si>
  <si>
    <t>Salep Nosib 14 g</t>
  </si>
  <si>
    <t>Rp14.100 - Rp15.600</t>
  </si>
  <si>
    <t>Dioleskan pada bagian kulit yang sakit</t>
  </si>
  <si>
    <t>oleskan 3 x sehari</t>
  </si>
  <si>
    <t>Untuk mengobati penyakit kulit seperti kudis, kurap, jamur, panu, kutu air, bisul dan gatal-gatal di sela-sela jari kaki.</t>
  </si>
  <si>
    <t>Pot 14 G X 1</t>
  </si>
  <si>
    <t>Hindari kontak dengan mata dan selaput lendiR.</t>
  </si>
  <si>
    <t>untuk mengobati penyakit kulit kudis , kurap , jamur , panu , kutu air , bisul gatal - gatal - jari kaki</t>
  </si>
  <si>
    <t>nosib</t>
  </si>
  <si>
    <t>nosib salep asam benzoat untuk mengobati penyakit kulit kudis  kurap  jamur  panu  kutu air  bisul gatal  gatal  jari kaki</t>
  </si>
  <si>
    <t>Salep Nosib 6 g</t>
  </si>
  <si>
    <t>Rp7.200 - Rp10.200</t>
  </si>
  <si>
    <t>Untuk mengobati penyakit kulit seperti kudis, kurap, jamur, panu, kutu air, bisul dan gatal-gatal di sela-sela jari kaki</t>
  </si>
  <si>
    <t>Outer box, 12 Dus @ 6 g</t>
  </si>
  <si>
    <t>Hindari kontak dengan mata dan selaput lendir</t>
  </si>
  <si>
    <t>paracetamol phenylephrine hydrochloride isothipendyl hydrochloride</t>
  </si>
  <si>
    <t>nipe sirup paracetamol phenylephrine hydrochloride isothipendyl hydrochloride meredakan gejala berhubungan influenza demam  sakit kepala  pilek  nyeri otot hidung tersumbat</t>
  </si>
  <si>
    <t>GKL1019615917A1</t>
  </si>
  <si>
    <t>Irbesartan 150 mg 10 Tablet</t>
  </si>
  <si>
    <t>Rp17.000 - Rp42.800</t>
  </si>
  <si>
    <t>PENGGUNAAN OBAT INI HARUS SESUAI DENGAN PETUNJUK DOKTER. Dosis awal dan pemeliharaan : 150 mg sekali sehari. Dapat ditingkatkan sampai dengan 300 mg atau ditambah dengan obat antihipertensi lain.</t>
  </si>
  <si>
    <t>INFORMASI OBAT INI HANYA UNTUK KALANGAN MEDIS. Hipertensi esensial, untuk menurunkan mikro dan makro albuminurea pada pasien hipertensi dengan diabetik nefropati yang disebabkan oleh Non-Insulin Dependent Diabetic Mellitus (NIDDM).</t>
  </si>
  <si>
    <t>HARUS DENGAN RESEP DOKTER. Deplesi volume intravaskular, hipertensi renovakular, gangguan ginjal, transplantasi ginjal, pasien hipertensi dengan Diabetes Melitus Tipe 2, hiperkalemia, stenosis aorta/mitral, kardiomiopati hipertrofi obstruktif, aldosteronisme, kelainan yang mendasari penyakit ginjal. Kategori Kehamilan: Kategori D: Terbukti berisiko terhadap janin. Meski demikian, obat masih dapat digunakan jika obat diperlukan untuk mengatasi keadaan yang mengancam jiwa, atau penyakit serius, dimana obat yang lebih aman tidak dapat digunakan atau tidak efektif.</t>
  </si>
  <si>
    <t>hipertensi esensial , menurunkan mikro makro albuminurea pasien hipertensi diabetik nefropati disebabkan non - insulin dependent diabetic mellitus niddm</t>
  </si>
  <si>
    <t>irbesartan tablet hipertensi esensial  menurunkan mikro makro albuminurea pasien hipertensi diabetik nefropati disebabkan non  insulin dependent diabetic mellitus niddm</t>
  </si>
  <si>
    <t>polysilane tablet magnesium hydroxide simethicone dried aluminium hydroxide gel sakit maag  panas terbakar uluhati kerongkongan  pirosis  gastritis  perut kembung</t>
  </si>
  <si>
    <t>DTL8116902837A1</t>
  </si>
  <si>
    <t>Omecough Madu Sirup 60 ml</t>
  </si>
  <si>
    <t>Rp19.700 - Rp22.000</t>
  </si>
  <si>
    <t>Anak-anak: 2 - 6 tahun = 3 x sehari 1 sendok teh (5 ml). 6 - 12 tahun = 3 x sehari 2 sendok teh (10 ml).</t>
  </si>
  <si>
    <t>Menyembuhkan: batuk berdahak, batuk panas, batuk pilek, demam, dan influenza disebabkan perubahan hawa/musim atau alergi lain.</t>
  </si>
  <si>
    <t>sirup 60 ml x 1</t>
  </si>
  <si>
    <t>Penderita gangguan fungsi hati yang sangat berat dan penderita yang hipersensitif terhadap komponen obat ini.</t>
  </si>
  <si>
    <t>Selama minum obat ini tidak boleh mengendarai kendaraan bermotor atau menjalankan mesin Bila demam berlanjut hubungi dokter.</t>
  </si>
  <si>
    <t>menyembuhkan batuk berdahak , batuk panas , batuk pilek , demam , influenza disebabkan perubahan hawa musim alergi</t>
  </si>
  <si>
    <t>omecough madu</t>
  </si>
  <si>
    <t>omecough madu sirup chlorphenamine maleate menyembuhkan batuk berdahak  batuk panas  batuk pilek  demam  influenza disebabkan perubahan hawa musim alergi</t>
  </si>
  <si>
    <t>simethicone dried aluminium hydroxide gel magnesium hydroxide</t>
  </si>
  <si>
    <t>polysilane tablet simethicone dried aluminium hydroxide gel magnesium hydroxide sakit maag  panas terbakar uluhati kerongkongan  pirosis  gastritis  perut kembung</t>
  </si>
  <si>
    <t>otopain ear drop tetes polymyxin b sulfate neomycin sulfate fludrocortisone acetate lidocaine hydrochloride otitis eksterna akut  otitis medium kronis</t>
  </si>
  <si>
    <t>DKL1706318248A1</t>
  </si>
  <si>
    <t>Otozambon Ear Drops</t>
  </si>
  <si>
    <t>Rp51.400 - Rp88.000</t>
  </si>
  <si>
    <t>1. Cuci tangan dengan sabun menggunakan air mengalir 2. Bersihkan telinga dengan kain atau tisu lembab dan keringkan 3. Pastikan kemasan masih tersegel dan ujungnya tidak rusak / pecah 4. Miringkan kepala sehingga telinga yang akan diberikan obat menghadap ke atas. 5. Tarik daun telinga ke atas dan ke belakang (dewasa) atau ke bawah dan ke belakang (anak &lt; 3 tahun) untuk meluruskan saluran telinga, kemudian teteskan obat sesuai dengan dosis (Jangan sampai ujung pipet menyentuh telinga). 6. Setelah diteteskan, tarik pelan daun telinga ke atas dan ke bawah untuk membantu agar cairan obat mengalir hingga ke dalam saluran telinga. 7. Setelah selesai cuci tangan hingga bersih dengan sabun</t>
  </si>
  <si>
    <t>ATURAN PAKAI HARUS SESUAI DENGAN PETUNJUK DOKTER. Berikan 4-5 tetes larutan ke dalam liang telinga bagian luar, 2-4 kali sehari</t>
  </si>
  <si>
    <t>INFORMASI OBAT INI HANYA UNTUK KALANGAN MEDIS. Untuk mengobati otitis eksterna yang berhubungan dengan infeksi bakteri dan membutuhkan terapi kortikosteroid dengan gejala telinga nyeri, bengkak dan gatal</t>
  </si>
  <si>
    <t>Dus, 1 Botol @ 8 mL larutan tetes telinga</t>
  </si>
  <si>
    <t>Penderita yang hipersensitif terhadap masing-masing komponen dalam obat ini. Infeksi oleh Herpes simplex, Vaccinia dan Varicella. Penderita dengan perforasi membran timfani. Penderita dengan infeksi virus, jamur dan tuberkulosis Lihat leaflet untuk informasi selengkapnya</t>
  </si>
  <si>
    <t>Gunakan secara hati-hati jika keseluruhan gendang telinga terasa sakit, karena kemungkinan ototoksisitas Neomycin Jika terjadi sensitisasi atau iritasi, hentikan pengobatan dengan segera. Pemeriksaan berkala dianjurkan pada penggunaan Neomycin jangka panjang Lihat leaflet untuk informasi selengkapnya</t>
  </si>
  <si>
    <t>untuk mengobati otitis eksterna berhubungan infeksi bakteri membutuhkan terapi kortikosteroid gejala telinga nyeri , bengkak gatal</t>
  </si>
  <si>
    <t>otozambon ear</t>
  </si>
  <si>
    <t>otozambon ear tetes betamethasone untuk mengobati otitis eksterna berhubungan infeksi bakteri membutuhkan terapi kortikosteroid gejala telinga nyeri  bengkak gatal</t>
  </si>
  <si>
    <t>DKL1433531210B1</t>
  </si>
  <si>
    <t>Candotens 16 mg 10 Tablet</t>
  </si>
  <si>
    <t>Rp81.800 - Rp114.700</t>
  </si>
  <si>
    <t>sanadryl expectorant sirup diphenhydramine hydrochloride ammonium chloride sulfogaiacol potassium sodium citrate dihydrate meredakan batuk produktif berdahak akibat reaksi alergi</t>
  </si>
  <si>
    <t>DKL0202332017B1</t>
  </si>
  <si>
    <t>Levovid Tablet 500 mg</t>
  </si>
  <si>
    <t>Rp26.900 - Rp42.800</t>
  </si>
  <si>
    <t>PENGGUNAAN OBAT INI HARUS SESUAI DENGAN PETUNJUK DOKTER. Pneumonia yang didapat dari masyarakat : 500 mg 1 kali sehari selama 7 - 14 hari. Sinusitis maksilaris akut : 500 mg 1 kali sehari selama 10 - 14 hari. Eksaserbasi bakteri akut dari bronkitis kronik : 500 mg 1 kali sehari selama 7 hari. Infeksi kulit dan</t>
  </si>
  <si>
    <t>Pneumonia yang didapat dari masyarakat, sinusitis maksilaris akut, bronkitis kronis dengan eksaserbasi akut, infeksi kulit dan struktur kulit, ISK, pielonefritis</t>
  </si>
  <si>
    <t>Tablet 500 Mg X 10</t>
  </si>
  <si>
    <t>Hipersensitivitas. Hamil, laktasi. Anak &lt; 18 tahun</t>
  </si>
  <si>
    <t>HARUS DENGAN RESEP DOKTER. Insufisiensi ginjal. Pertahankan hidrasi yang adekuat dan hindari pemaparan berlebihan dari sinar matahari selama terapi. Riwayat epilepsi atau kondisi yang dapat merangsang terjadinya kejang. Monitor kadar glukosa darah dan penilaian periodik fungsi ginj</t>
  </si>
  <si>
    <t>pneumonia masyarakat , sinusitis maksilaris akut , bronkitis kronis eksaserbasi akut , infeksi kulit struktur kulit , isk , pielonefritis</t>
  </si>
  <si>
    <t>levovid</t>
  </si>
  <si>
    <t>levovid tablet levofloxacin hemihydrate pneumonia masyarakat  sinusitis maksilaris akut  bronkitis kronis eksaserbasi akut  infeksi kulit struktur kulit  isk  pielonefritis</t>
  </si>
  <si>
    <t>primadex suspensi sulfamethoxazole trimethoprim infeksi saluran kemih  saluran pencernaan  saluran napa disebabkan bakteri gram positif gram negatif sensitif kotrimoksazol</t>
  </si>
  <si>
    <t>DKL0932403038B1</t>
  </si>
  <si>
    <t>Roksicap Forte Dry Sirup 60 ml</t>
  </si>
  <si>
    <t>Rp88.800 - Rp100.300</t>
  </si>
  <si>
    <t>PENGGUNAAN OBAT INI HARUS SESUAI DENGAN PETUNJUK DOKTER. Anak dg BB 9.1-13.6 kg 2.5 mL 2 x/hr, 13.6-18.2 kg 5 mL 2 x/hr, 18.2-22.7 kg 7.5 mL 2 x/hr, 22.7-27.3 kg 10 mL 2 x/hr.</t>
  </si>
  <si>
    <t>roksicap forte</t>
  </si>
  <si>
    <t>roksicap forte sirup cefadroxil monohydrate isk komplikasi sistitis  infeksi kulit jar lunak  infeksi sal nafas  faringitis tonsilitis streptokokus  hemolitikus</t>
  </si>
  <si>
    <t>DKL8504401404A1</t>
  </si>
  <si>
    <t>Topcillin 500 mg 10 Kaplet</t>
  </si>
  <si>
    <t>Rp3.200 - Rp13.800</t>
  </si>
  <si>
    <t>Berikan bersama mkanan</t>
  </si>
  <si>
    <t xml:space="preserve">PENGGUNAAN OBAT INI HARUS SESUAI DENGAN PETUNJUK DOKTER. Dewasa : sehari 3 kali 250 - 500 mg </t>
  </si>
  <si>
    <t>OBH Nellco Special PE Sirup 100 ml</t>
  </si>
  <si>
    <t>Rp31.400 - Rp45.100</t>
  </si>
  <si>
    <t>Dikonsumsi sesudah makan. Kocok dahulu sebelum dipakai.</t>
  </si>
  <si>
    <t>Dewasa dan anak-anak usia diatas 12 tahun : 3 kali sehari 3 sendok takar Anak-anak usia 6 - 12 tahun : 3 kali sehari 1.5 sendok takar</t>
  </si>
  <si>
    <t>Meringankan gejala flu seperti demam, sakit kepala, hidung tersumbat, dan bersin-bersin yang disertai batuk.</t>
  </si>
  <si>
    <t>obh nellco special pe sirup ammonium chloride meringankan gejala flu demam  sakit kepala  hidung tersumbat  bersin  bersin disertai batuk</t>
  </si>
  <si>
    <t>DKL1231532809B1</t>
  </si>
  <si>
    <t>Farlev Tablet 500 mg</t>
  </si>
  <si>
    <t>Rp37.300 - Rp42.700</t>
  </si>
  <si>
    <t>Untuk menyembuhkan infeksi bakteri yang sensitif terhadap levofloxacin : sinusitis, eksaserbasi akut bronkitis kronis, pneumonia, infeksi saluran kemih</t>
  </si>
  <si>
    <t>1 Dos Isi 1 Strip X 10 Tablet</t>
  </si>
  <si>
    <t>farlev</t>
  </si>
  <si>
    <t>farlev kaplet levofloxacin hemihydrate untuk menyembuhkan infeksi bakteri sensitif levofloxacin sinusitis  eksaserbasi akut bronkitis kronis  pneumonia  infeksi saluran kemih</t>
  </si>
  <si>
    <t>DKL0226004701B1</t>
  </si>
  <si>
    <t>Probiotin 300 mg 10 Kapsul</t>
  </si>
  <si>
    <t>Rp133.700 - Rp135.100</t>
  </si>
  <si>
    <t>Dapat diberikan bersama atau tanpa makanan : Telan utuh dengan segelas air dan dalam posisi tegak.</t>
  </si>
  <si>
    <t>PENGGUNAAN OBAT INI HARUS SESUAI DENGAN PETUNJUK DOKTER. Infeksi serius pada orang dewasa : 150-300 mg tiap 6 jam. Dapat ditingkatkan menjadi 300-450 mg tiap 6 jam. Infeksi serius pada anak-anak : 8-16 mg/kg berat badan/hari dalam 3-4 dosis terbagi. Bisa ditingkatkan menjadi 16-20 mg/kg berat badan/hari dalam 3-4 dosis terbagi. Infeksi yang disebabkan oleh Streptococcus Beta-haemoliticus : lanjutkan terapi selama lebih dari 10 hari.</t>
  </si>
  <si>
    <t>Pengobatan infeksi berat yang disebabkan oleh bakteri Gram positif yang sensitif terhadap Klindamisin terutama Staphylococcus, Streptococcus (kecuali Streptococcus faecalis) dan Pneumococcus.</t>
  </si>
  <si>
    <t>HARUS DENGAN RESEP DOKTER. Pasien dengan riwayat asma atau alergi lain, riwayat penyakit Gastro Intestinal terutama kolitis. Individu yang memiliki riwayat atopik. Hamil, laktasi. Neonatus. Penyakit ginjal atau hati berat. Lakukan pemeriksaan endoskopi usus besar secara berkala, tes fungsi hati dan ginjal, serta hitung darah pada penggunaan jangka lama.</t>
  </si>
  <si>
    <t>pengobatan infeksi berat disebabkan bakteri gram positif sensitif klindamisin staphylococcus , streptococcus kecuali streptococcus faecalis pneumococcus</t>
  </si>
  <si>
    <t>probiotin</t>
  </si>
  <si>
    <t>probiotin kapsul clindamycin hydrochloride pengobatan infeksi berat disebabkan bakteri gram positif sensitif klindamisin staphylococcus  streptococcus kecuali streptococcus faecalis pneumococcus</t>
  </si>
  <si>
    <t>DTL1404522204A1</t>
  </si>
  <si>
    <t>Decolgen Fx 10 Tablet</t>
  </si>
  <si>
    <t>Dewasa : 3 x sehari 1 tablet Anak-anak 6-12 th : 3 x sehari 0.5 tablet</t>
  </si>
  <si>
    <t>Hipersensitivitas dan gangguan fungsi hati berat.</t>
  </si>
  <si>
    <t>Gangguan fungsi hati, gangguan fungsi ginjal, gangguan jantung dan diabetes mellitus. Dapat mengganggu kemampuan mengemudi kendaraan atau menjalankan mesin. Konsumsi alkohol dapat meningkatkan risiko kerusakan fungsi hati. Tidak dianjurkan untuk anak di bawah 6 tahun, wanita hamil dan menyusui kecuali atas petunjuk dokter.</t>
  </si>
  <si>
    <t>paracetamol chlorphenamine maleate pseudoephedrine hydrochloride</t>
  </si>
  <si>
    <t>decolgen fx</t>
  </si>
  <si>
    <t>decolgen fx kaplet paracetamol chlorphenamine maleate pseudoephedrine hydrochloride untuk meringankan gejala flu demam  sakit kepala  hidung tersumbat bersin  bersin</t>
  </si>
  <si>
    <t>DKL8504401438B1</t>
  </si>
  <si>
    <t>Topcillin 250 mg/5 ml Dry Sirup 60 ml</t>
  </si>
  <si>
    <t>Rp15.800 - Rp17.100</t>
  </si>
  <si>
    <t>DKL9615609017A1</t>
  </si>
  <si>
    <t>Mensipox 500mg 6 Tablet</t>
  </si>
  <si>
    <t>Rp92.400 - Rp106.700</t>
  </si>
  <si>
    <t>Dapat diminum saat makan</t>
  </si>
  <si>
    <t>Infeksi saluran napas, tulang, sendi, kulit dan jaringan lunak. infeksi saluran kemih dan infeksi saluran cerna, serta GO.</t>
  </si>
  <si>
    <t>Pasien dengan riwayat hipersensitif atau alergi obat Ciprofloxacin dan antibiotik golongan kuinolon lainnya. Wanita hamil dan menyusui, anak dan remaja sebelum akhir fase pertumbuhan. Pasien dengan epilepsi atau gangguan kejang lainnya. Sebaiknya tidak diberikan kepada pasien dengan riwayat tendon pecah.</t>
  </si>
  <si>
    <t>HARUS DENGAN RESEP DOKTER. Hipersensitif, wanita hamil dan menyusui, anak pada usia pertumbuhan.</t>
  </si>
  <si>
    <t>infeksi saluran napa , tulang , sendi , kulit jaringan lunak  infeksi saluran kemih infeksi saluran cerna , go</t>
  </si>
  <si>
    <t>mensipox</t>
  </si>
  <si>
    <t>mensipox tablet ciprofloxacin hydrochloride infeksi saluran napa  tulang  sendi  kulit jaringan lunak  infeksi saluran kemih infeksi saluran cerna  go</t>
  </si>
  <si>
    <t>DKL7617607638A1</t>
  </si>
  <si>
    <t>Thiamycin Dry Sirup 60 ml</t>
  </si>
  <si>
    <t>Rp45.700 - Rp76.700</t>
  </si>
  <si>
    <t>PENGGUNAAN OBAT INI HARUS SESUAI DENGAN PETUNJUK DOKTER. Dosis dewasa, anak, dan bayi usia &gt; 2 minggu : 50 mg / kg berat badan/ hari dalam 3-4 dosis bagi Dosis bayi usia &lt; 2 minggu dan prematur : 25 mg / kg berat badan/ hari dalam 4 dosis.</t>
  </si>
  <si>
    <t>Isk, tifus &amp; paratifus, salmonellosis, infeksi saluran napas, meningitis, riketsiosis, limfogranuloma, psitakosis, infeksi berat disebabkan bakteri gram</t>
  </si>
  <si>
    <t>Hipersensitivitas, pra depresi sumsum tulang atau diskrasia darah, imunisasi aktif. Kehamilan dan menyusui.</t>
  </si>
  <si>
    <t>HARUS DENGAN RESEP DOKTER. kehamilan, neonatus, penderita insufisiensi ginjal, dan pemakaian jangka lama.</t>
  </si>
  <si>
    <t>isk , tifus paratifus , salmonellosis , infeksi saluran napa , meningitis , riketsiosis , limfogranuloma , psitakosis , infeksi berat disebabkan bakteri gram</t>
  </si>
  <si>
    <t>thiamycin sirup thiamphenicol isk  tifus paratifus  salmonellosis  infeksi saluran napa  meningitis  riketsiosis  limfogranuloma  psitakosis  infeksi berat disebabkan bakteri gram</t>
  </si>
  <si>
    <t>DKL7822207038B1</t>
  </si>
  <si>
    <t>Sanpicillin Forte Dry Sirup 60 ml</t>
  </si>
  <si>
    <t>Rp19.600 - Rp21.100</t>
  </si>
  <si>
    <t>PENGGUNAAN OBAT INI HARUS SESUAI DENGAN PETUNJUK DOKTER. Dewasa dan anak &gt; 20 kg : 250 - 500 mg tiap 6 jam, &lt; 20 kg : 25 - 100 mg/kg BB dalam dosis terbagi tiap 6 jam.</t>
  </si>
  <si>
    <t>Infeksi saluran kemih, infeksi saluran nafas, saluran cerna dan empedu karena kuman garam negatif dan garam positif</t>
  </si>
  <si>
    <t>infeksi saluran kemih , infeksi saluran nafas , saluran cerna empedu kuman garam negatif garam positif</t>
  </si>
  <si>
    <t>sanpicillin forte</t>
  </si>
  <si>
    <t>sanpicillin forte sirup ampicillin trihydrate infeksi saluran kemih  infeksi saluran nafas  saluran cerna empedu kuman garam negatif garam positif</t>
  </si>
  <si>
    <t>Siladex Antitussive Sirup 30 ml</t>
  </si>
  <si>
    <t>Rp8.500 - Rp10.400</t>
  </si>
  <si>
    <t>Meredakan batuk tidak berdahak atau batuk kering yang disertai alergi dengan meningkatkan ambang ransang refleks batuk dan sebagai antihistamin.</t>
  </si>
  <si>
    <t>meredakan batuk tidak berdahak batuk kering disertai alergi meningkatkan ambang ransang refleks batuk antihistamin</t>
  </si>
  <si>
    <t>siladex antitussive sirup chlorphenamine maleate meredakan batuk tidak berdahak batuk kering disertai alergi meningkatkan ambang ransang refleks batuk antihistamin</t>
  </si>
  <si>
    <t>DKL0435301801A1</t>
  </si>
  <si>
    <t>Fosicol 500 mg 10 Kapsul</t>
  </si>
  <si>
    <t>Rp49.400 - Rp56.900</t>
  </si>
  <si>
    <t>PENGGUNAAN OBAT INI HARUS SESUAI DENGAN PETUNJUK DOKTER. Dewasa, anak dan bayi &gt; 2 minggu : 50 mg/kg BB/hari dalam 3 - 4 dosis terbagi. Bayi prematur : 25 mg/kg BB/hari dalam 4 dosis terbagi. Bayi &lt; 2 minggu : 25 mg/kg BB/hari dalam 4 dosis terbagi</t>
  </si>
  <si>
    <t>Infeksi yang disebabkan oleh salmonella sp, H influenzae terutama infeksi meningeal, Rickettsia, limfogranuloma-psittacosis, meningitis yang disebabkan oleh bakteri Gram negatif</t>
  </si>
  <si>
    <t>Kapsul 500 Mg X 5 X 10</t>
  </si>
  <si>
    <t>Hipersensitivitas. Gangguan fungsi hati dan ginjal berat. Tidak untuk profilaksis, pengobatan infeksi ringan, infeksi tenggorokan, dan infuenza</t>
  </si>
  <si>
    <t>HARUS DENGAN RESEP DOKTER. Lakukan pemeriksaan hematologik secara teratur pada penggunaan jangka lama. Penyesuaian dosis perlu dilakukan pada pasien dengan gangguan fungsi ginjal. Hamil, laktasi. Bayi baru lahir, bayi prematur</t>
  </si>
  <si>
    <t>infeksi disebabkan salmonella sp , h influenzae infeksi meningeal , rickettsia , limfogranuloma - psittacosis , meningitis disebabkan bakteri gram negatif</t>
  </si>
  <si>
    <t>fosicol</t>
  </si>
  <si>
    <t>fosicol kapsul thiamphenicol infeksi disebabkan salmonella sp  h influenzae infeksi meningeal  rickettsia  limfogranuloma  psittacosis  meningitis disebabkan bakteri gram negatif</t>
  </si>
  <si>
    <t>DKL1035307038B1</t>
  </si>
  <si>
    <t>Fosicol 250 mg/5 ml Dry Sirup 60 ml</t>
  </si>
  <si>
    <t>Rp80.900 - Rp81.800</t>
  </si>
  <si>
    <t>fosicol sirup thiamphenicol infeksi disebabkan salmonella sp  h influenzae infeksi meningeal  rickettsia  limfogranuloma  psittacosis  meningitis disebabkan bakteri gram negatif</t>
  </si>
  <si>
    <t>DKL1035307038A1</t>
  </si>
  <si>
    <t>Fosicol 125 mg/5 ml Dry Sirup 60 ml</t>
  </si>
  <si>
    <t>Rp46.400 - Rp47.000</t>
  </si>
  <si>
    <t>DKL1935309609A1</t>
  </si>
  <si>
    <t>Voxin Kaplet 500 mg</t>
  </si>
  <si>
    <t>Rp46.500 - Rp53.400</t>
  </si>
  <si>
    <t>PENGGUNAAN OBAT INI HARUS SESUAI DENGAN PETUNJUK DOKTER. 250 - 500 mg 1 kali sehari selama 7 - 14 hari. Gangguan ginjal dengan bersihan kreatinin 20 - 49 mL/menit : awal 500 mg, dilanjutkan dengan 250 mg/hari. Pasien dengan bersihan kreatinin 10 - 19 mL/menit dan hemodialisis (dialisis peritoneal ambulatorik kr</t>
  </si>
  <si>
    <t>Sinusitis maksilaris akut, bronkitis kronik dengan eksaserbasi akut, pneumonia, infeksi kulit dan jaringan lunak, ISK, pielonefritis akut</t>
  </si>
  <si>
    <t>Kaplet 500 mg x 2 x 10</t>
  </si>
  <si>
    <t>Hipersensitif terhadap levofloksasin atau derivat kuinolon lain. Hamil dan laktasi. Anak &lt; 18 tahun</t>
  </si>
  <si>
    <t>HARUS DENGAN RESEP DOKTER. Hati-hati pada pasien dengan insufisiensi dengan disfungsi ginjal dan peka untuk mengalami gangguan saraf. Lansia. Penggunaan jangka panajang dapat menyebabkan pertumbuhan berlebihan mikroorganisme yang tidak peka. Lakukan pemeriksaan berkala fungsi hati,</t>
  </si>
  <si>
    <t>sinusitis maksilaris akut , bronkitis kronik eksaserbasi akut , pneumonia , infeksi kulit jaringan lunak , isk , pielonefritis akut</t>
  </si>
  <si>
    <t>voxin</t>
  </si>
  <si>
    <t>voxin kaplet levofloxacin hemihydrate sinusitis maksilaris akut  bronkitis kronik eksaserbasi akut  pneumonia  infeksi kulit jaringan lunak  isk  pielonefritis akut</t>
  </si>
  <si>
    <t>DKL9927911004A1</t>
  </si>
  <si>
    <t>Zemoxil 500 mg 10 Kaplet</t>
  </si>
  <si>
    <t>Rp10.000 - Rp17.100</t>
  </si>
  <si>
    <t>PENGGUNAAN OBAT INI HARUS SESUAI DENGAN PETUNJUK DOKTER. Dewasa: sehari 3-4 x 1-2 kapsul, anak: sehari 20-50 mg/kgBB dibagi dalam 3 x pemakaian</t>
  </si>
  <si>
    <t>Infeksi saluran pernafasan, infeksi kulit, saluran kemih, gonore, uritritis, non gonokokal, otitis media, osteomielitis, dan peritonitis.</t>
  </si>
  <si>
    <t>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</si>
  <si>
    <t>infeksi saluran pernafasan , infeksi kulit , saluran kemih , gonore , uritritis , non gonokokal , otitis medium , osteomielitis , peritonitis</t>
  </si>
  <si>
    <t>zemoxil</t>
  </si>
  <si>
    <t>zemoxil kaplet amoxicillin trihydrate infeksi saluran pernafasan  infeksi kulit  saluran kemih  gonore  uritritis  non gonokokal  otitis medium  osteomielitis  peritonitis</t>
  </si>
  <si>
    <t>DKL9926006238A1</t>
  </si>
  <si>
    <t>Xiltrop Dry Syrup 125 mg/5 ml 60 ml</t>
  </si>
  <si>
    <t>Rp21.900 - Rp22.300</t>
  </si>
  <si>
    <t>PENGGUNAAN OBAT INI HARUS SESUAI DENGAN PETUNJUK DOKTER. Dewasa dan anak berat badan kurang dari 20 kg: sehari 750-1500 mg dalam dosis bagi tiap 8 jam. Gonore tidak terkomplikasi: Dewasa: 3 g dalam dosis tunggal</t>
  </si>
  <si>
    <t>Infeksi saluran pernafasan bawah, otitis media, bronkitis akut dan kronik, pneumonia, sistitis, eritritis pielonefritis</t>
  </si>
  <si>
    <t>DKL1118825138B1</t>
  </si>
  <si>
    <t>Clamixin Forte Dry Syrup 60 ml</t>
  </si>
  <si>
    <t>Rp128.800 - Rp135.200</t>
  </si>
  <si>
    <t>Dapat diberikan bersama makanan. Cara mencampur : tambahkan 41 ml air matang dan kocok sampai diperoleh suspensi yang homogen.</t>
  </si>
  <si>
    <t xml:space="preserve">PENGGUNAAN OBAT INI HARUS SESUAI DENGAN PETUNJUK DOKTER. Dosis dewasa : - Infeksi ringan sedang : 1 tablet 500mg /125 mg 2-3 kali/hari - Infeksi berat : 1-2 tablet 500 mg/125 mg 3 kali/hari Dosis dewasa dengan gangguan fungsi ginjal : - Gangguan ginjal ringan : dosis umum - Gangguan ginjal sedang : 1 tablet 500mg/125mg 2 kali/hari - Gangguan ginjal berat : 1 tablet 500mg/125mg 1 kali/hari Anak usia &lt; 12 tahun: - Dosis rendah : 25-50 mg / kg berat badan 3 kali/ hari - Dosis tinggi </t>
  </si>
  <si>
    <t>DKL9926006104A1</t>
  </si>
  <si>
    <t>Xiltrop 500 mg 10 Kaplet</t>
  </si>
  <si>
    <t>GKL2005063209A1</t>
  </si>
  <si>
    <t>Valacyclovir 500 mg 10 Kaplet</t>
  </si>
  <si>
    <t>Rp85.200 - Rp93.700</t>
  </si>
  <si>
    <t>PENGGUNAAN OBAT INI HARUS SESUAI DENGAN PETUNJUK DOKTER. - Herpes zoster : 1000 mg, 3 kali sehari selama 7 hari. - Herpes simplex : 500 mg, 2 kali sehari. Untuk episode berulang, obati selama 5 hari. Untuk episode awal yang dapat lebih parah, pengobatan dapat diperpanjang hingga 10 hari.</t>
  </si>
  <si>
    <t>INFORMASI OBAT INI HANYA UNTUK KALANGAN MEDIS. Herpes zoster (herpes zoster), infeksi herpes simpleks (HSV) pada kulit dan selaput lendir, termasuk herpes genital awal dan berulang.</t>
  </si>
  <si>
    <t>HARUS DENGAN RESEP DOKTER. Pasien tidak cukup terhidrasi atau berisiko mengalami dehidrasi</t>
  </si>
  <si>
    <t>DKL1231532809A1</t>
  </si>
  <si>
    <t>Farlev Tablet 750 mg</t>
  </si>
  <si>
    <t>Rp41.700 - Rp64.000</t>
  </si>
  <si>
    <t>GKL1315715101A1</t>
  </si>
  <si>
    <t>Erdostein 300 mg 10 Kapsul</t>
  </si>
  <si>
    <t>Rp30.700 - Rp33.400</t>
  </si>
  <si>
    <t>Diberikan bersama dengan makanan.</t>
  </si>
  <si>
    <t>PENGGUNAAN OBAT INI HARUS SESUAI DENGAN PETUNJUK DOKTER. Dewasa: 1 kaplet, 2 - 3 kali per hari.</t>
  </si>
  <si>
    <t>INFORMASI OBAT INI HANYA UNTUK KALANGAN MEDIS. Eksaserbasi akut bronkitis kronis, Gangguan pernapasan akut yang berhubungan dengan produksi lendir yang berlebihan, Gangguan pernapasan kronis yang berhubungan dengan produksi lendir yang berlebihan</t>
  </si>
  <si>
    <t>Ulkus peptikum aktif. Ginjal berat (CrCl &lt;25 mL/menit) dan gangguan hati (termasuk sirosis hati dan defisiensi cystathionine-synthase). Anak-anak (&lt;2 tahun).</t>
  </si>
  <si>
    <t>HARUS DENGAN RESEP DOKTER. Kewaspadaan khusus pada pasien gangguan hati ringan sampai sedang. Anak-anak. Kehamilan dan menyusui. Kategori kehamilan: Belum terdapat data keamanan terkait penggunaan obat ini pada wanita hamil dan/atau menyusui. Konsultasikan kepada dokter apabila Anda sedang hamil dan/atau menyusui.</t>
  </si>
  <si>
    <t>eksaserbasi akut bronkitis kronis , gangguan pernapasan akut berhubungan produksi lendir , gangguan pernapasan kronis berhubungan produksi lendir</t>
  </si>
  <si>
    <t>erdostein</t>
  </si>
  <si>
    <t>erdostein kapsul erdosteine eksaserbasi akut bronkitis kronis  gangguan pernapasan akut berhubungan produksi lendir  gangguan pernapasan kronis berhubungan produksi lendir</t>
  </si>
  <si>
    <t>DKL9711628317A1</t>
  </si>
  <si>
    <t>Cravit 250 mg 10 Tablet</t>
  </si>
  <si>
    <t>Rp291.000 - Rp440.500</t>
  </si>
  <si>
    <t>DKL0233533509A1</t>
  </si>
  <si>
    <t>Levores Tablet 500 mg</t>
  </si>
  <si>
    <t>Rp39.200 - Rp42.800</t>
  </si>
  <si>
    <t>levores</t>
  </si>
  <si>
    <t>levores kaplet levofloxacin hemihydrate untuk menyembuhkan infeksi bakteri sensitif levofloxacin sinusitis  eksaserbasi akut bronkitis kronis  pneumonia  infeksi saluran kemih</t>
  </si>
  <si>
    <t>chlorphenamine maleate paracetamol phenylephrine hydrochloride</t>
  </si>
  <si>
    <t>procold flu kaplet chlorphenamine maleate paracetamol phenylephrine hydrochloride meringankan gejala  gejala flu demam  sakit kepala  hidung tersumbat bersin  bersin</t>
  </si>
  <si>
    <t>Sanadryl Expectorant Sirup 120 ml</t>
  </si>
  <si>
    <t>Diberikan bersama dengan atau tanpa makanan</t>
  </si>
  <si>
    <t>Anak-anak 6-12 tahun : 5 ml, 3-4 kali sehari. Dewasa : 10 ml, 3-4 kali sehari. Atau menurut petunjuk dokter.</t>
  </si>
  <si>
    <t>Penyakit hati, Asma, Glaukoma, MAOI, Hamil, Anak, Mempengaruhi kemampuan mengemudi/menjalankan mesin.</t>
  </si>
  <si>
    <t>DTL0826009337A1</t>
  </si>
  <si>
    <t>OBH Tropica Expectorant Menthol Sirup 100 ml</t>
  </si>
  <si>
    <t>Rp23.500 - Rp31.000</t>
  </si>
  <si>
    <t>succus liquiritiae ammonium chloride guaifenesin</t>
  </si>
  <si>
    <t>obh tropica expectorant menthol</t>
  </si>
  <si>
    <t>obh tropica expectorant menthol sirup succus liquiritiae ammonium chloride guaifenesin meredakan batuk gejala flu  demam  hidung tersumbat  bersin  sakit kepala</t>
  </si>
  <si>
    <t>DKL9822224709A1</t>
  </si>
  <si>
    <t>Notritis 10 Kaplet</t>
  </si>
  <si>
    <t>Rp51.700 - Rp55.500</t>
  </si>
  <si>
    <t>AR, OA, spondilitis ankilosa, ggn ekstra artikular spt tendinitis, bursitis, periartritis bahu, pinggul, keseleo &amp; tegang, gout akut.</t>
  </si>
  <si>
    <t>Dus, 5 Strip @ 10 Kaplet salut selaput</t>
  </si>
  <si>
    <t>Gangguan saluran cerna atas berat.</t>
  </si>
  <si>
    <t>HARUS DENGAN RESEP DOKTER. Gangguan fungsi ginjal. Sirosis hepatis, gagal jantung kongestif, deplesi vol. Hamil, laktasi.</t>
  </si>
  <si>
    <t>ar , oa , spondilitis ankilosa , ggn ekstra artikular spt tendinitis , bursitis , periartritis bahu , pinggul , keseleo tegang , gout akut</t>
  </si>
  <si>
    <t>notritis</t>
  </si>
  <si>
    <t>notritis kaplet tenoxicam ar  oa  spondilitis ankilosa  ggn ekstra artikular spt tendinitis  bursitis  periartritis bahu  pinggul  keseleo tegang  gout akut</t>
  </si>
  <si>
    <t>OBH Tropica Plus Sirup 60 ml</t>
  </si>
  <si>
    <t>Rp22.000 - Rp25.100</t>
  </si>
  <si>
    <t>Dewasa dan anak - anak di atas 12 tahun : 3-4 x sehari, 3 sendok takar (15 ml) anak - anak 6 - 12 tahun : 3 - 4 x sehari, 2 sendok takar</t>
  </si>
  <si>
    <t>Untuk meredakan batuk yang di sertai gejala - gejala flu seperti demam, sakit kepala, hidung tersumbat, dan bersin-bersin</t>
  </si>
  <si>
    <t>Botol Sirup 60 ml x 1</t>
  </si>
  <si>
    <t>Hipertensi, Laktasi, alkalosis metabolik dengan hilangnya natrium bikarbonat gangguan ginjal yang parah, hipersensitivitas</t>
  </si>
  <si>
    <t>Anak-anak di bawah 1 tahun, Asma, Batasi asupan kafein Bronkitis kronis, Diabetes, Empisema</t>
  </si>
  <si>
    <t>untuk meredakan batuk sertai gejala - gejala flu demam , sakit kepala , hidung tersumbat , bersin - bersin</t>
  </si>
  <si>
    <t>obh tropica plus sirup ammonium chloride untuk meredakan batuk sertai gejala  gejala flu demam  sakit kepala  hidung tersumbat  bersin  bersin</t>
  </si>
  <si>
    <t>DKL9317608538A1</t>
  </si>
  <si>
    <t>Clabat Forte Dry Sirup 60 ml</t>
  </si>
  <si>
    <t>Rp126.700 - Rp176.700</t>
  </si>
  <si>
    <t>Dapat diberikan kapan saja, tp lebih baik saat ingin mulai makan agar dapat diabsorpsi lebih baik dan mengurangi rasa tidak nyaman pada saluran cerna</t>
  </si>
  <si>
    <t>Infeksi2 saluran Nafas Atas dan Bawah, saluran Kemih, Kulit &amp; jaringan Lunak, Tulang &amp; Sendi, GO/Gonorea tanpa komplikasi</t>
  </si>
  <si>
    <t>infeksi2 saluran nafas atas bawah , saluran kemih , kulit jaringan lunak , tulang sendi , go gonorea komplikasi</t>
  </si>
  <si>
    <t>clabat forte</t>
  </si>
  <si>
    <t>clabat forte sirup amoxicillin sodium infeksi2 saluran nafas atas bawah  saluran kemih  kulit jaringan lunak  tulang sendi  go gonorea komplikasi</t>
  </si>
  <si>
    <t>nb topical salep bacitracin zinc neomycin sulfate impetigo  luka bakar  pioderma  folikulitis barbae  furunkulosis  akne nekrotika  ulkus dekubitus  ekzema terinfeksi</t>
  </si>
  <si>
    <t>DKL1231532501A1</t>
  </si>
  <si>
    <t>N-Ace 200 mg 10 Kapsul</t>
  </si>
  <si>
    <t>Rp39.500 - Rp39.600</t>
  </si>
  <si>
    <t>PENGGUNAAN OBAT INI HARUS SESUAI DENGAN PETUNJUK DOKTER. Sebagai mukolitik : 3 kali sehari 1 kapsul.</t>
  </si>
  <si>
    <t>INFORMASI OBAT INI HANYA UNTUK KALANGAN MEDIS. Infeksi saluran nafas yang ditandai dengan adanya mukus berlebihan (lendir yang kental dan lengket) termasuk bronkitis, emfisema dan bronkiektasis. Profilaksis dan terapi kompilasi bronkopulmonal dengan mukostasis.</t>
  </si>
  <si>
    <t>Hipersensitif. Anak di bawah 2 th.</t>
  </si>
  <si>
    <t>Obat Wajib Apotek, Obat ini dapat dibeli dan diserahkan apoteker tanpa resep dengan maksimum 2 Strip. Pembelian melebihi batas ini WAJIB RESEP DOKTER. Penderita dengan riwayat penyakit asma, hentikan bila terjadi bronkospasme. Pasien dengan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</si>
  <si>
    <t>infeksi saluran nafas ditandai mukus lendir kental lengket bronkitis , emfisema bronkiektasis  profilaksis terapi kompilasi bronkopulmonal mukostasis</t>
  </si>
  <si>
    <t>nace</t>
  </si>
  <si>
    <t>nace kapsul acetyl cysteine infeksi saluran nafas ditandai mukus lendir kental lengket bronkitis  emfisema bronkiektasis  profilaksis terapi kompilasi bronkopulmonal mukostasis</t>
  </si>
  <si>
    <t>OBH Tropica Expectorant Menthol Sirup 60 ml</t>
  </si>
  <si>
    <t>Rp20.100 - Rp28.100</t>
  </si>
  <si>
    <t>Pioglitazone HCl 15 mg 10 Tablet</t>
  </si>
  <si>
    <t>Rp28.000 - Rp42.800</t>
  </si>
  <si>
    <t>pioglitazone hcl tablet pioglitazone hydrochloride sebagai terapi kombinasi sulfonilurea metformin pasien diabetes melitus tipe 2 tidak terkontrol monoterapi sulfonilurea metformin</t>
  </si>
  <si>
    <t>DKI1152502817A1</t>
  </si>
  <si>
    <t>Trajenta 5 mg 10 Tablet</t>
  </si>
  <si>
    <t>Rp196.100 - Rp274.600</t>
  </si>
  <si>
    <t>Dapat digunakan dengan atau tanpa makanan. Jika ada dosis yang terlewat, sebaiknya diminum segera setelah pasien mengingatnya. Dosis ganda tidak boleh diminum pada hari yang sama.</t>
  </si>
  <si>
    <t>PENGGUNAAN OBAT INI HARUS SESUAI DENGAN PETUNJUK DOKTER. Dosis bersifat individual. Dosis anjuran: Dewasa: 1 kali sehari atau sesuai petunjuk dokter</t>
  </si>
  <si>
    <t>INFORMASI OBAT INI HANYA UNTUK KALANGAN MEDIS. Sebagai tambahan pada diet &amp; olahraga untuk meningkatkan kontrol glikemik pada orang dewasa dengan DM tipe 2 atau sebagai tambahan pada metformin, sulfonilurea atau metformin + sulfonilurea.</t>
  </si>
  <si>
    <t>HARUS DENGAN RESEP DOKTER. Bukan untuk DM tipe 1 atau untuk pengobatan ketoasidosis diabetikum. Hentikan jika dicurigai pankreatitis. Hipoglikemia. Kehamilan &amp; laktasi. Anak &lt;18 thn.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</si>
  <si>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linagliptin</t>
  </si>
  <si>
    <t>sebagai tambahan diet olahraga meningkatkan kontrol glikemik orang dewasa dm tipe 2 tambahan metformin , sulfonilurea metformin sulfonilurea</t>
  </si>
  <si>
    <t>trajenta</t>
  </si>
  <si>
    <t>trajenta tablet linagliptin sebagai tambahan diet olahraga meningkatkan kontrol glikemik orang dewasa dm tipe 2 tambahan metformin  sulfonilurea metformin sulfonilurea</t>
  </si>
  <si>
    <t>DKL0311636403A1</t>
  </si>
  <si>
    <t>Lancid 30 mg 10 Kapsul</t>
  </si>
  <si>
    <t>Rp245.400 - Rp297.000</t>
  </si>
  <si>
    <t>DBL8718203463A1</t>
  </si>
  <si>
    <t>Gastrucid 10 Tablet</t>
  </si>
  <si>
    <t>Rp4.300 - Rp6.400</t>
  </si>
  <si>
    <t>1 jam sesudah makan dan sebelum tidur malam, tablet dikunyah sampai halus sebelum ditelan</t>
  </si>
  <si>
    <t>Sakit maag, Gastritis, Tukak lambung dan/atau usus halus, Esofagitis, Pirosis, Perut kembung</t>
  </si>
  <si>
    <t>Dus Isi 10 Strip @ 10 Tablet Kunyah</t>
  </si>
  <si>
    <t>Hindari pemakaian dalam waktu lama. Pasien dengan penyakit ginjal dan diet rendah fosfor</t>
  </si>
  <si>
    <t>sakit maag , gastritis , tukak lambung usus halus , esofagitis , pirosis , perut kembung</t>
  </si>
  <si>
    <t>gastrucid</t>
  </si>
  <si>
    <t>gastrucid tablet magnesium hydroxide dried aluminium hydroxide gel simethicone sakit maag  gastritis  tukak lambung usus halus  esofagitis  pirosis  perut kembung</t>
  </si>
  <si>
    <t>DBL8517603010A1</t>
  </si>
  <si>
    <t>Acitral 4 Tablet</t>
  </si>
  <si>
    <t>Rp6.200 - Rp7.800</t>
  </si>
  <si>
    <t>Tablet dikunyah, diberikan diantara waktu makan (perut kosong) dan menjelang tidur malam</t>
  </si>
  <si>
    <t>3-4 kali perhari, 1-2 tablet bila perlu</t>
  </si>
  <si>
    <t>Sakit maag, tukak lambung &amp; tukak usus halus, Hiperasiditas pencernaan, Gastritis, Gangguan pencernaan, Perut kembung</t>
  </si>
  <si>
    <t>Box Isi 25 Strip @ 4 Tablet</t>
  </si>
  <si>
    <t>Jangan menggunakan obat ini untuk pasien yang memiliki riwayat alergi terhadap? salah satu komponen Acitral Tablet.</t>
  </si>
  <si>
    <t>Gangguan fungsi ginjal, diet rendah fosfat</t>
  </si>
  <si>
    <t>sakit maag , tukak lambung tukak usus halus , hiperasiditas pencernaan , gastritis , gangguan pencernaan , perut kembung</t>
  </si>
  <si>
    <t>acitral</t>
  </si>
  <si>
    <t>acitral tablet dried aluminium hydroxide gel sakit maag  tukak lambung tukak usus halus  hiperasiditas pencernaan  gastritis  gangguan pencernaan  perut kembung</t>
  </si>
  <si>
    <t>Acitral 10 Tablet</t>
  </si>
  <si>
    <t>Sakit maag, Tukak lambung &amp; tukak usus halus, Hiperasiditas pencernaan, Gastritis, Gangguan pencernaan, Perut kembung</t>
  </si>
  <si>
    <t>Jangan menggunakan obat ini untuk pasien yang memiliki riwayat alergi terhadap salah satu komponen Acitral Tablet.</t>
  </si>
  <si>
    <t>DTL0226007504A1</t>
  </si>
  <si>
    <t>Flutrop 10 Tablet</t>
  </si>
  <si>
    <t>INFORMASI OBAT INI HANYA UNTUK KALANGAN MEDIS. gejala yang berhubungan dengan flu, sinusitis dan kondisi alergi, untuk mengurangi pembengkakan mukosa pada rongga hidung dan membantu menghentikan gejala hidung berair</t>
  </si>
  <si>
    <t>Hipersensitif, pasien yang mengonsumsi obat-obat golongan monoamin oksidase (MAO) Inhibitor, pasien diabetes mellitus, penyakit jantung, hipertensi berat, penyakit arteri koroner berat, hipertropi prostat, atau hipertiroid</t>
  </si>
  <si>
    <t>gejala berhubungan flu , sinusitis kondisi alergi , mengurangi pembengkakan mukosa rongga hidung membantu menghentikan gejala hidung berair</t>
  </si>
  <si>
    <t>flutrop kaplet pseudoephedrine hydrochloride gejala berhubungan flu  sinusitis kondisi alergi  mengurangi pembengkakan mukosa rongga hidung membantu menghentikan gejala hidung berair</t>
  </si>
  <si>
    <t>Accu Chek Active Family Pack</t>
  </si>
  <si>
    <t>Rp498.800 - Rp786.500</t>
  </si>
  <si>
    <t>Alat untuk mengukur kadar gula darah yang sudah dilengkapi jarum (lancet) dan 2 botol strip test.</t>
  </si>
  <si>
    <t>Box @ 1 Pack (Alat + 2 Botol Test Strip + Lancet)</t>
  </si>
  <si>
    <t>alat mengukur kadar gula darah dilengkapi jarum lancet 2 botol strip test</t>
  </si>
  <si>
    <t>accu chek active family pack</t>
  </si>
  <si>
    <t>accu chek active family pack tablet pioglitazone hydrochloride alat mengukur kadar gula darah dilengkapi jarum lancet 2 botol strip test</t>
  </si>
  <si>
    <t>bacitracin zinc polymyxin b sulfate neomycin sulfate</t>
  </si>
  <si>
    <t>tigalin salep bacitracin zinc polymyxin b sulfate neomycin sulfate impetigo  pencegahan infeksi luka iris ringan minor  luka gore luka bakar</t>
  </si>
  <si>
    <t>Prosogan FD 30 mg 14 Tablet</t>
  </si>
  <si>
    <t>Rp355.000 - Rp362.800</t>
  </si>
  <si>
    <t>DBL1004427063A1</t>
  </si>
  <si>
    <t>Anflat 10 Tablet</t>
  </si>
  <si>
    <t>Rp7.100 - Rp7.800</t>
  </si>
  <si>
    <t>Diberikan saat perut kosong : 1 jam sebelum makan atau 2 jam sesudah makan. Tablet dikunyah sampai halus sebelum ditelan</t>
  </si>
  <si>
    <t xml:space="preserve">Dewasa : 3-4 x sehari 1-2 tablet kunyah </t>
  </si>
  <si>
    <t>DTL7413700640B1</t>
  </si>
  <si>
    <t>Betadine Mouthwash and Gargle 190 ml</t>
  </si>
  <si>
    <t>Rp36.500 - Rp47.300</t>
  </si>
  <si>
    <t>Tuangkan Betadine obat kumur 15 ml pada tutup botol dan kumurlah selama 30- 60 detik.</t>
  </si>
  <si>
    <t>Kumur selama 30 detik, lakukan 3-5 kali per hari, atau sesuai kebutuhan.</t>
  </si>
  <si>
    <t>Obat kumur antiseptik untuk rongga mulut seperti gusi bengkak, sakit tenggorokan, sariawan, bau mulut dan napas tak segar.</t>
  </si>
  <si>
    <t>Dus, Botol @ 190 ml</t>
  </si>
  <si>
    <t>Hipersensitif terhadap Iodium, penderita penyakit thyroid, wanita hamil dan menyusui.</t>
  </si>
  <si>
    <t>Awas obat keras! Hanya untuk dikumur jangan ditelan.</t>
  </si>
  <si>
    <t>obat kumur antiseptik rongga mulut gusi bengkak , sakit tenggorokan , sariawan , bau mulut napa segar</t>
  </si>
  <si>
    <t>betadine mouthwash and gargle</t>
  </si>
  <si>
    <t>betadine mouthwash and gargle larutan povidoneiodine obat kumur antiseptik rongga mulut gusi bengkak  sakit tenggorokan  sariawan  bau mulut napa segar</t>
  </si>
  <si>
    <t>DKL9019802801A1</t>
  </si>
  <si>
    <t>Diflucan Kapsul 50 mg</t>
  </si>
  <si>
    <t>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t>
  </si>
  <si>
    <t>Kriptokokosis dan kandidemia, kandidiasis orofaringeal, kandda vagina, pencegahan kandidiasis, dermatomikosis, atopik oral kandidiasis berhubungan dengan gigi, infeksi kandida mukosa lainnya</t>
  </si>
  <si>
    <t>HARUS DENGAN RESEP DOKTER. Gangguan fungsi hati, &lt; 16 tahun, hipersensitif terhadap fluconazole, golongan azole, terfenadin, sisaprid, astemizol, pimozid, dan kuinidin Kategori Kehamilan : C</t>
  </si>
  <si>
    <t>kriptokokosis kandidemia , kandidiasis orofaringeal , kandda vagina , pencegahan kandidiasis , dermatomikosis , atopik oral kandidiasis berhubungan gigi , infeksi kandida mukosa</t>
  </si>
  <si>
    <t>diflucan</t>
  </si>
  <si>
    <t>diflucan kapsul fluconazole kriptokokosis kandidemia  kandidiasis orofaringeal  kandda vagina  pencegahan kandidiasis  dermatomikosis  atopik oral kandidiasis berhubungan gigi  infeksi kandida mukosa</t>
  </si>
  <si>
    <t>DBL8517801033A1</t>
  </si>
  <si>
    <t>Polycrol Sirup 180 ml</t>
  </si>
  <si>
    <t>Rp24.700 - Rp34.500</t>
  </si>
  <si>
    <t>1-2 sdt 3 x/hari.</t>
  </si>
  <si>
    <t>Gangguan lambung yang disebabkan karana kelebihan asam lambung seperli pada tukak lambung, nyari pada ulu hati. kambung. hiatus hernis.</t>
  </si>
  <si>
    <t>Botol 180 ml X 1</t>
  </si>
  <si>
    <t>Jangan diberikan kepada penderita dengan kerusakan ginjal yang berat</t>
  </si>
  <si>
    <t>Diet rendah fosfat. pemakaian jangka panjang.</t>
  </si>
  <si>
    <t>gangguan lambung disebabkan karana kelebihan asam lambung seperli tukak lambung , nyari ulu hati  kambung  hiatus hernis</t>
  </si>
  <si>
    <t>polycrol</t>
  </si>
  <si>
    <t>polycrol suspensi aluminium hydroxide gangguan lambung disebabkan karana kelebihan asam lambung seperli tukak lambung  nyari ulu hati  kambung  hiatus hernis</t>
  </si>
  <si>
    <t>Polycrol Sirup 100 ml</t>
  </si>
  <si>
    <t>Rp16.500 - Rp30.500</t>
  </si>
  <si>
    <t>Diberikan 1 jam sesudah makan dan menjelang tidur malam</t>
  </si>
  <si>
    <t>Terapi jangka panjang,diet rendah fosfat.</t>
  </si>
  <si>
    <t>Polycrol 400 gel 100 ml</t>
  </si>
  <si>
    <t>Rp19.500 - Rp33.000</t>
  </si>
  <si>
    <t>1-2 sdt 3-4 x/hari.</t>
  </si>
  <si>
    <t>DKL1213706615A1</t>
  </si>
  <si>
    <t>Pepzol 20 mg 10 Tablet</t>
  </si>
  <si>
    <t>Rp97.100 - Rp185.000</t>
  </si>
  <si>
    <t>PENGGUNAAN OBAT INI HARUS SESUAI DENGAN PETUNJUK DOKTER. Tablet : 40 mg/hari selama 4-8 minggu IV injeksi : 40 mg/hari selama &lt;= 8 minggu</t>
  </si>
  <si>
    <t>Menghilangkan gejala dan terapi jangka pendek gangguan gaster dan pengurangan asam lambung</t>
  </si>
  <si>
    <t>DKL9019802801B1</t>
  </si>
  <si>
    <t>Diflucan 150 mg Kapsul</t>
  </si>
  <si>
    <t>INFORMASI OBAT INI HANYA UNTUK KALANGAN MEDIS. Kriptokokosis dan kandidemia, kandidiasis orofaringeal, kandda vagina, pencegahan kandidiasis, dermatomikosis, atopik oral kandidiasis berhubungan dengan gigi, infeksi kandida mukosa lainnya</t>
  </si>
  <si>
    <t>Dus, 5 Catch Cover @ 1 Blister @ 1 Kapsul</t>
  </si>
  <si>
    <t>HARUS DENGAN RESEP DOKTER. Gangguan fungsi hati, &lt; 16 tahun, hipersensitif terhadap fluconazole, golongan azole, terfenadin, sisaprid, astemizol, pimozid, dan kuinidin</t>
  </si>
  <si>
    <t>DKL0211634801A1</t>
  </si>
  <si>
    <t>Kalmicetine 250 mg 10 Kapsul</t>
  </si>
  <si>
    <t>Rp6.400 - Rp14.000</t>
  </si>
  <si>
    <t>PENGGUNAAN OBAT INI HARUS SESUAI DENGAN PETUNJUK DOKTER. Dewasa, anak, bayi &gt; 2 minggu : 50 mg/kg BB dalam dosis terbagi 3 - 4 kali sehari. Bayi &lt; 2 minggu : 25 mg/kg BB dalam dosisterbagi</t>
  </si>
  <si>
    <t>Tifoid dan paratifoid. Infeksi berat yang disebabkan salmonella sp, H influenzae (terutama meningitis purulenta), rickettsi</t>
  </si>
  <si>
    <t>DKL9630903909A1</t>
  </si>
  <si>
    <t>Molasic 500 mg 10 Kaplet</t>
  </si>
  <si>
    <t>Rp5.300 - Rp5.700</t>
  </si>
  <si>
    <t>Meringankan nyeri ringan sampai sedang sehubungan dengan sakit kepala, sakit gigi, dismenore primer, termasuk nyeri karena trauma, nyeri otot, dan nyeri sesudah operasi.</t>
  </si>
  <si>
    <t>meringankan nyeri ringan sehubungan sakit kepala , sakit gigi , dismenore primer , nyeri trauma , nyeri otot , nyeri operasi</t>
  </si>
  <si>
    <t>molasic</t>
  </si>
  <si>
    <t>molasic kaplet mefenamic acid meringankan nyeri ringan sehubungan sakit kepala  sakit gigi  dismenore primer  nyeri trauma  nyeri otot  nyeri operasi</t>
  </si>
  <si>
    <t>DKL9911629538A1</t>
  </si>
  <si>
    <t>Kalmoxilin 250 mg/5 ml Dry Sirup 60 ml</t>
  </si>
  <si>
    <t>Rp37.300 - Rp38.900</t>
  </si>
  <si>
    <t>PENGGUNAAN OBAT INI HARUS SESUAI DENGAN PETUNJUK DOKTER. Infeksi ringan-sedang : dewasa 3 kali sehari 250 mg, anak : 25 - 50 mg/kg BB/hari terbagi dalam 3 dosis. Infeksi berat : 3 kali sehari 500 mg</t>
  </si>
  <si>
    <t>Infeksi sal nafas, sal genito-urinari, infeksi kulit dan jar lunak, otitis media, osteomielitis, tifoid, listeriosis, meningitis</t>
  </si>
  <si>
    <t>Sirup 250 Mg/ 5 ml X 60 ml X 1</t>
  </si>
  <si>
    <t>Alergi terhadap penisilin. Infeksi mononukleosis</t>
  </si>
  <si>
    <t>infeksi sal nafas , sal genito - urinari , infeksi kulit jar lunak , otitis medium , osteomielitis , tifoid , listeriosis , meningitis</t>
  </si>
  <si>
    <t>kalmoxilin</t>
  </si>
  <si>
    <t>kalmoxilin sirup amoxicillin trihydrate infeksi sal nafas  sal genito  urinari  infeksi kulit jar lunak  otitis medium  osteomielitis  tifoid  listeriosis  meningitis</t>
  </si>
  <si>
    <t>DKL9109304730A1</t>
  </si>
  <si>
    <t>Ikagen 0.1% Salep 10 g</t>
  </si>
  <si>
    <t>PENGGUNAAN OBAT INI HARUS SESUAI DENGAN PETUNJUK DOKTER. Oleskan 2-3 sehari</t>
  </si>
  <si>
    <t>INFORMASI OBAT INI HANYA UNTUK KALANGAN MEDIS. Infeksi kulit primer maupun sekunder seperti impetigo kontagiosa, falikulitis superfisialis, furunkulosis, dermatitis yang terinfeksi, akne pustularis, luka bakar terinfeksi</t>
  </si>
  <si>
    <t>HARUS DENGAN RESEP DOKTER. Pemakaian jangka panjang. Pertumbuhan organisme yang resisten</t>
  </si>
  <si>
    <t>infeksi kulit primer sekunder impetigo kontagiosa , falikulitis superfisialis , furunkulosis , dermatitis terinfeksi , akne pustularis , luka bakar terinfeksi</t>
  </si>
  <si>
    <t>ikagen</t>
  </si>
  <si>
    <t>ikagen salep gentamicin sulfate infeksi kulit primer sekunder impetigo kontagiosa  falikulitis superfisialis  furunkulosis  dermatitis terinfeksi  akne pustularis  luka bakar terinfeksi</t>
  </si>
  <si>
    <t>Beurer Compressor Nebulizer Ih 18</t>
  </si>
  <si>
    <t>Rp591.500 - Rp1.135.200</t>
  </si>
  <si>
    <t>Alat ini digunakan sebagai penyemprotan obat cair dengan menggunakan teknologi tekanan udara pada kondisi: masuk angin, asma, penyakit pernapasan, dll.</t>
  </si>
  <si>
    <t>Box @ Unit</t>
  </si>
  <si>
    <t>alat penyemprotan obat cair teknologi tekanan udara kondisi masuk angin , asma , penyakit pernapasan , dll</t>
  </si>
  <si>
    <t>beurer compressor nebulizer ih</t>
  </si>
  <si>
    <t>beurer compressor nebulizer ih larutan povidoneiodine alat penyemprotan obat cair teknologi teka udara kondisi masuk angin  asma  penyakit pernapasan  dll</t>
  </si>
  <si>
    <t>QD073707561</t>
  </si>
  <si>
    <t>Lion Head Balsem Putih Cap Singa 31 g</t>
  </si>
  <si>
    <t>Rp21.000 - Rp37.200</t>
  </si>
  <si>
    <t>Oleskan balsem dan gosokkan pada bagian tubuh yang sakit</t>
  </si>
  <si>
    <t>Secukupnya sesuai kebutuhan</t>
  </si>
  <si>
    <t>Membantu meringankan sakit kepala, nyeri pinggang, pegal linu, gatal akibat gigitan serangga</t>
  </si>
  <si>
    <t>Pot 31 G</t>
  </si>
  <si>
    <t>Jangan digunakan di bawah area mata, hidung, dan luka terbuka</t>
  </si>
  <si>
    <t>membantu meringankan sakit kepala , nyeri pinggang , pegal linu , gatal akibat gigitan serangga</t>
  </si>
  <si>
    <t>lion head balsem putih cap singa</t>
  </si>
  <si>
    <t>lion head balsem putih cap singa balsam camphora membantu meringankan sakit kepala  nyeri pinggang  pegal linu  gatal akibat gigitan serangga</t>
  </si>
  <si>
    <t>DKL9231503810A1</t>
  </si>
  <si>
    <t>Renabetic 5 mg 10 Tablet</t>
  </si>
  <si>
    <t>Rp1.200 - Rp4.200</t>
  </si>
  <si>
    <t>DBL7216105910A1</t>
  </si>
  <si>
    <t>Xepamol 500 mg 10 Tablet</t>
  </si>
  <si>
    <t>Obat ini dapat digunakan untuk meredakan sakit kepala, sakit gigi, sakit pada otot, nyeri yang mengganggu dan menurunkan demam yang menyertai flu/influensa serta demam sesudah vaksinasi.</t>
  </si>
  <si>
    <t>obat meredakan sakit kepala , sakit gigi , sakit otot , nyeri mengganggu menurunkan demam menyertai flu influensa demam vaksinasi</t>
  </si>
  <si>
    <t>xepamol tablet paracetamol obat meredakan sakit kepala  sakit gigi  sakit otot  nyeri mengganggu menurunkan demam menyertai flu influensa demam vaksinasi</t>
  </si>
  <si>
    <t>DKL9531508917A1</t>
  </si>
  <si>
    <t>Carpiaton 25 mg 10 Tablet</t>
  </si>
  <si>
    <t>Rp12.000 - Rp21.400</t>
  </si>
  <si>
    <t>PENGGUNAAN OBAT INI HARUS SESUAI DENGAN PETUNJUK DOKTER. Untuk hipertensi esensial Dewasa : awal 25 mg/hari, dinaikan menjadi 100 mg/hari dalam dosis tunggal atau terbagi 2. Anak : 1-2 mg/kg berat badan/hari terbagi dalam 2 dosis. Dosis sesuai TD dan kadar K dalam serum. Untuk hipertensi berat : 100 mg/hari, dapat ditingkatkan sampai 400 mg/hari jika perlu dengan interval 2 minggu. Untuk edema jantung Dewasa : 50-100 mg/hari dalam dosis tunggal atau terbagi. Anak : 1 mg/kg berat badan 3 kali/hari. Untuk edema karena sirosis hati dengan atau tanpa asites Dewasa : 300-600 mg/hari. Untuk edema karena sidroma nefrotik Dewasa : 100-200 mg/hari. Untuk edema idiopatik : 100 mg/hari. Untuk edema pada anak : 3.3 mg/kg berat badan, dosis tunggal atau terbagi. Untuk diagnosa dan terapi aldosteronisme primer : 400 mg/hari, 3-4 minggu untuk tes panjang. Untuk tes pendek : 400 mg/hari selama 4 hari.</t>
  </si>
  <si>
    <t>INFORMASI OBAT INI HANYA UNTUK KALANGAN MEDIS. Hiperaldosteronisme primer, kondisi-kondisi edema (Gagal Jantung Kongestif, sirosis hati yang disertai edema atau asites, sindroma Nefrotik), hipertensi esensial.</t>
  </si>
  <si>
    <t>Hamil, insufisiensi ginjal akut, anuria, hiperkalemia, hiponatremia, laktasi, penyakit addison, ulkus peptik. Katagori kehamilan: Katagori C : Mungkin berisiko. Obat digunakan dengan hati-hati apabila besarnya manfaat yang diperoleh melebihi besarnya risiko terhadap janin. Penelitian pada hewan uji</t>
  </si>
  <si>
    <t>HARUS DENGAN RESEP DOKTER. Ibu menyusui, ibu hamil, usia lanjut, gangguan hati, gangguan ginjal.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</si>
  <si>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hiperaldosteronisme primer , kondisi - kondisi edema gagal jantung kongestif , sirosis hati disertai edema asites , sindroma nefrotik , hipertensi esensial</t>
  </si>
  <si>
    <t>carpiaton</t>
  </si>
  <si>
    <t>carpiaton tablet spironolactone hiperaldosteronisme primer  kondisi  kondisi edema gagal jantung kongestif  sirosis hati disertai edema asites  sindroma nefrotik  hipertensi esensial</t>
  </si>
  <si>
    <t>Baljitot Balsam 20 g</t>
  </si>
  <si>
    <t>Rp7.500 - Rp15.000</t>
  </si>
  <si>
    <t>baljitot balsam</t>
  </si>
  <si>
    <t>baljitot balsam balsam methyl salisilat mengatasi pegal linu  nyeri otot  nyeri sendi  sakit punggung  encok  keseleo  memar  memperlancar peredaran darah</t>
  </si>
  <si>
    <t>DKL9504211201B1</t>
  </si>
  <si>
    <t>Lindacyn 300 mg 10 Kapsul</t>
  </si>
  <si>
    <t>Rp93.500 - Rp96.800</t>
  </si>
  <si>
    <t>PENGGUNAAN OBAT INI HARUS SESUAI DENGAN PETUNJUK DOKTER. Dewasa : 4 x sehari 1 kapsul</t>
  </si>
  <si>
    <t>Infeksi serius pada saluran nafas, kulit dan jaringan lunak yang disebabkan oleh bakteri anaerob gram positif dan bakteri aerob gram negatif.</t>
  </si>
  <si>
    <t>Kapsul 300 Mg X 5 X 10</t>
  </si>
  <si>
    <t>Pasien dengan riwayat alergi obat Clindamycin hydrochloride atau lincomycin</t>
  </si>
  <si>
    <t>HARUS DENGAN RESEP DOKTER. Gangguan gastrointestinal, superinfeksi, hamil dan menyusui</t>
  </si>
  <si>
    <t>infeksi serius saluran nafas , kulit jaringan lunak disebabkan bakteri anaerob gram positif bakteri aerob gram negatif</t>
  </si>
  <si>
    <t>lindacyn</t>
  </si>
  <si>
    <t>lindacyn kapsul clindamycin hydrochloride infeksi serius saluran nafas  kulit jaringan lunak disebabkan bakteri anaerob gram positif bakteri aerob gram negatif</t>
  </si>
  <si>
    <t>DBL8505505137A1</t>
  </si>
  <si>
    <t>Dumin Sirup 60 ml</t>
  </si>
  <si>
    <t>Rp38.800 - Rp42.700</t>
  </si>
  <si>
    <t>Anak 7-12 tahun : 3-4 x sehari 2 sendok takar 5 mL maximum 1 g atau 8 sendok takar 5 mL perhari</t>
  </si>
  <si>
    <t>Andalan Feminine Care Fresh Intimate Wipes 10 Sheets</t>
  </si>
  <si>
    <t>Rp7.100 - Rp13.000</t>
  </si>
  <si>
    <t>Untuk membersihkan area kewanitaan dengan maksimal dan menjaga keseimbangan pH pada daerah kewanitaan.</t>
  </si>
  <si>
    <t>untuk membersihkan area kewanitaan maksimal menjaga keseimbangan ph daerah kewanitaan</t>
  </si>
  <si>
    <t>andalan feminine care fresh intimate wipes sheets</t>
  </si>
  <si>
    <t>andalan feminine care fresh intimate wipes sheets tablet sildenafil citrate untuk membersihkan area kewanitaan maksimal menjaga keseimbangan ph daerah kewanitaan</t>
  </si>
  <si>
    <t>Sidola Minyak Kayu Putih 100 ml</t>
  </si>
  <si>
    <t>Rp54.900 - Rp66.400</t>
  </si>
  <si>
    <t>Membantu meredakan sakit perut, perut kembung, mual, masuk angin, gatal-gatal, sebagai aromaterapi.</t>
  </si>
  <si>
    <t>membantu meredakan sakit perut , perut kembung , mual , masuk angin , gatal - gatal , aromaterapi</t>
  </si>
  <si>
    <t>sidola kayu putih minyak sidola minyak kayu putih membantu meredakan sakit perut  perut kembung  mual  masuk angin  gatal  gatal  aromaterapi</t>
  </si>
  <si>
    <t>DKL9531508917C1</t>
  </si>
  <si>
    <t>Carpiaton 100 mg 10 Tablet</t>
  </si>
  <si>
    <t>Rp29.100 - Rp56.900</t>
  </si>
  <si>
    <t>Pemakaian bersama suplemen K atau obat hemat K lainnya.</t>
  </si>
  <si>
    <t>DKL1523413010A1</t>
  </si>
  <si>
    <t>Cardipin 5 mg 10 Tablet</t>
  </si>
  <si>
    <t>Rp300 - Rp5.300</t>
  </si>
  <si>
    <t>PENGGUNAAN OBAT INI HARUS SESUAI DENGAN PETUNJUK DOKTER. Dewasa: Hipertensi dan angina: Dosis awal 1 x sehari 5 mg, dapat ditingkatkan hingga dosis max.10 mg. Anak, usia 6-17 tahun: Dosis awal 1 x sehari 2,5 mg , dapat ditingkatkan menjadi 5 mg sekali sehari setelah interval 4 minggu sesuai dengan respons klinis. Lansia: Dosis awal 2,5 mg sekali sehari.</t>
  </si>
  <si>
    <t>INFORMASI OBAT INI HANYA UNTUK KALANGAN MEDIS. untuk terapi hipertensi dan dapat digunakan sebagai obat pengontrol tekanan darah, serta first-line terapi iskemia miokard, baik karena obstruksi tetap (angina stabil) dan/atau angina prinzmetal.</t>
  </si>
  <si>
    <t>hipersensitif terhadap amlodipine atau dihidropidin lain atau salah satu komponen obat ini.</t>
  </si>
  <si>
    <t>HARUS DENGAN RESEP DOKTER. Gagal jantung. T berkepanjangan pada pasien dengan/gangguan fungsi hati. Kehamilan &amp; laktasi.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</si>
  <si>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terapi hipertensi obat pengontrol tekanan darah , first - line terapi iskemia miokard , obstruksi angina stabil angina prinzmetal</t>
  </si>
  <si>
    <t>cardipin</t>
  </si>
  <si>
    <t>cardipin tablet amlodipine besilate terapi hipertensi obat pengontrol teka darah  first  line terapi iskemia miokard  obstruksi angina stabil angina prinzmetal</t>
  </si>
  <si>
    <t>QD132611981</t>
  </si>
  <si>
    <t>Cap Lang Minyak Urut Gpu Sereh 100 ml</t>
  </si>
  <si>
    <t>Rp30.200 - Rp33.200</t>
  </si>
  <si>
    <t>Dapat digosok, dipijat atau diurut pada bagian tubuh yang membutuhkan secara berulang dan secukupnya</t>
  </si>
  <si>
    <t>Membantu meredakan pegal linu, nyeri sendi, sakit punggung, keseleo, memar dan memperlancar peredaran darah.</t>
  </si>
  <si>
    <t>Tidak digunakan untuk anak dibawah 2 tahun. Jangan digunakan langsung dibawah lubang hidung. Simpan pada suhu dibawah 30 C</t>
  </si>
  <si>
    <t>membantu meredakan pegal linu , nyeri sendi , sakit punggung , keseleo , memar memperlancar peredaran darah</t>
  </si>
  <si>
    <t>cap lang urut gpu sereh</t>
  </si>
  <si>
    <t>cap lang urut gpu sereh minyak camphor membantu meredakan pegal linu  nyeri sendi  sakit punggung  keseleo  memar memperlancar peredaran darah</t>
  </si>
  <si>
    <t>Cap Lang Minyak Urut GPU Sereh 60 ml</t>
  </si>
  <si>
    <t>Rp19.300 - Rp23.400</t>
  </si>
  <si>
    <t>DKL0121200717A1</t>
  </si>
  <si>
    <t>Flagyl Forte 500 mg 10 Tablet</t>
  </si>
  <si>
    <t>Rp110.700 - Rp138.800</t>
  </si>
  <si>
    <t>DKL9330406410A1</t>
  </si>
  <si>
    <t>Sirdalud 2 mg 10 Tablet</t>
  </si>
  <si>
    <t>Dapat di berikan sebelum dan sesudah makan</t>
  </si>
  <si>
    <t>PENGGUNAAN OBAT INI HARUS SESUAI DENGAN PETUNJUK DOKTER. Nyeri kejang otot : 3 kali sehari 2 - 4 mg. kasus berat : dosis ekstra 2 - 4 mg, dapat ditambahkan pada malam hari. Terapi tambahan pada spastisitas akibat kelainan neurologik : dosis awal maksimal 6 mg/hari. Diberikan dalam 3 dosis terbagi. Dapat ditingkatkan 2 - 4 mg dengan interval setiap 1/2 minggu atau 1 minggu sekali. Terapi optimum dicapai pada dosis 12 - 24 mg/hari terbagi dalam 3 - 4 dosis. maksimal : 36 mg/hari. pasien dengan gangguan ginjal : awal 2 mg/hari</t>
  </si>
  <si>
    <t>INFORMASI OBAT INI HANYA UNTUK KALANGAN MEDIS. Nyeri kejang otot : berhubungan dengan kalainan fungsional dan statik pada sumsum tulang belakang</t>
  </si>
  <si>
    <t>Hufagesic 160 mg Sirup 60 ml</t>
  </si>
  <si>
    <t>Anak-anak: 1 - 3 tahun: 3-4 x sehari 2.5 ml 3 - 5 tahun: 3-4 x sehari 5 ml 6 - 12 tahun: 3-4 x sehari 10 ml</t>
  </si>
  <si>
    <t>Menurunkan demam dan rasa nyeri pada otot atau sendi yang menyertai influenza, vaksinasi dan penyakit akibat infeksi, sakit kepala, sakit gigi, flu, dysmenorrhoea.</t>
  </si>
  <si>
    <t>menurunkan demam nyeri otot sendi menyertai influenza , vaksinasi penyakit akibat infeksi , sakit kepala , sakit gigi , flu , dysmenorrhoea</t>
  </si>
  <si>
    <t>hufagesic sirup paracetamol menurunkan demam nyeri otot sendi menyertai influenza  vaksinasi penyakit akibat infeksi  sakit kepala  sakit gigi  flu  dysmenorrhoea</t>
  </si>
  <si>
    <t>Lion Head Balsem Putih Cap Singa 13 g</t>
  </si>
  <si>
    <t>Rp11.600 - Rp20.700</t>
  </si>
  <si>
    <t>Membantu meringankan sakit kepala, sakit pinggang, pegal linu, gatal-gatal, digigit serangga.</t>
  </si>
  <si>
    <t>Pot 14 G</t>
  </si>
  <si>
    <t>Jangan digunakan dibawah mata, hidung dan pada luka terbuka.</t>
  </si>
  <si>
    <t>membantu meringankan sakit kepala , sakit pinggang , pegal linu , gatal - gatal , digigit serangga</t>
  </si>
  <si>
    <t>lion head balsem putih cap singa balsam camphora membantu meringankan sakit kepala  sakit pinggang  pegal linu  gatal  gatal  digigit serangga</t>
  </si>
  <si>
    <t>DBL9710802637A1</t>
  </si>
  <si>
    <t>Itamol 120 mg Sirup 60 ml</t>
  </si>
  <si>
    <t>Rp6.700 - Rp10.000</t>
  </si>
  <si>
    <t>itamol sirup paracetamol obat meredakan sakit kepala  sakit gigi  sakit otot  nyeri mengganggu menurunkan demam menyertai flu influensa demam vaksinasi</t>
  </si>
  <si>
    <t>DBL1421102604A1</t>
  </si>
  <si>
    <t>Rodemol 500 mg 10 Kaplet</t>
  </si>
  <si>
    <t>Dewasa : 1 - 2 kaplet, 3 - 4 kali sehari. Anak-anak usia 6-12 tahun : 0.5 - 1 kaplet, 3 - 4 kali sehari. atau sesuai petunjuk dokter.</t>
  </si>
  <si>
    <t>Hati-hati penggunaan obat ini pada penderita penyakit ginjal. Jika setelah 2 hari demam tidak menurun atau setelah 5 hari nyeri tidak menghilang, segera hubungi dokter atau Unit Pelayanan Kesehatan. Penggunaan obat ini pada penderita yang mengonsumsi alkohol dapat meningkatkan resiko kerusakan fungsi hati.</t>
  </si>
  <si>
    <t>rodemol</t>
  </si>
  <si>
    <t>rodemol kaplet paracetamol obat meredakan sakit kepala  sakit gigi  sakit otot  nyeri mengganggu menurunkan demam menyertai flu influensa demam vaksinasi</t>
  </si>
  <si>
    <t>FF162300691</t>
  </si>
  <si>
    <t>Diabetadex 6 Kapsul</t>
  </si>
  <si>
    <t>DIABETADEX 100</t>
  </si>
  <si>
    <t>Rp57.200 - Rp101.100</t>
  </si>
  <si>
    <t>Menurunkan kadar gula darah dengan cara memperbaiki kinerja hormon pengatur gula darah sehingga pengambilan gula darah oleh sel tubuh menjadi normal.</t>
  </si>
  <si>
    <t>diabetadex 100</t>
  </si>
  <si>
    <t>menurunkan kadar gula darah memperbaiki kinerja hormon pengatur gula darah pengambilan gula darah sel tubuh normal</t>
  </si>
  <si>
    <t>diabetadex</t>
  </si>
  <si>
    <t>diabetadex kapsul diabetadex 100 menurunkan kadar gula darah memperbaiki kinerja hormon pengatur gula darah pengambilan gula darah sel tubuh normal</t>
  </si>
  <si>
    <t>GKL0308508603A1</t>
  </si>
  <si>
    <t>Lansoprazole 30 mg 10 Kapsul</t>
  </si>
  <si>
    <t>Rp10.700 - Rp20.800</t>
  </si>
  <si>
    <t>DKI1636800143A2</t>
  </si>
  <si>
    <t>Ezelin Insulin Cartridge 100 IU/ml 3 ml</t>
  </si>
  <si>
    <t>Rp158.800 - Rp251.700</t>
  </si>
  <si>
    <t>PENGGUNAAN OBAT INI HARUS SESUAI DENGAN PETUNJUK DOKTER. - Dosis bersifat individual, 1 x sehari diinjeksikan secara subkutan, diberikan pada waktu yang sama tiap harinya. - Kebutuhan dosis insulin dipengaruhi oleh pola makan, aktivitas fisik, kerja, atau penyakit lain dari pasien, sehingga harus dipertimbangkan secara individu. - Terkadang penyuntikan insulin glargine dikombinasikan dengan insulin kerja cepat, insulin analog kerja singkat, dan obat antidiabetes oral. - Jika terdapat perubahan regimen terapi dengan insulin lainnya, dosis insulin glargine perlu disesuaikan termasuk dosis obat kombinasi yang digunakan pada waktu bersamaan.</t>
  </si>
  <si>
    <t>INFORMASI OBAT INI HANYA UNTUK KALANGAN MEDIS. Untuk pasien diabetes melitus baik dewasa, remaja, dan anak-anak di atas usia 6 tahun yang membutuhkan terapi insulin.</t>
  </si>
  <si>
    <t>Dus, 1 Blister @ 1 Cartridge @ 3 ml</t>
  </si>
  <si>
    <t>Hipersensitif atau mengalami alergi terhadap komponen obat ini. Kondisi hipoglikemia.</t>
  </si>
  <si>
    <t>HARUS DENGAN RESEP DOKTER. - Hati-hati terhadap terjadinya Hipoglikemia (kadar gula darah di bawah batas normal), reaksi lokal pada tempat injeksi dan reaksi hipersensitivitas (misalnya kemerahan kulit), pembengkakan, dan pruritus, serta penambahan berat badan. - Insulin glargine bukan insulin pilihan pada pasien diabetes ketoasidosis, direkomendasikan pemberian insulin reguler intravena sebagai gantinya. - Pada kasus terjadinya kontrol glukosa kurang atau tendensi terjadi episode hiper- atau hipoglikemia, maka review harus dilakukan pada kepatuhan pasien pada regimen yang diberikan, lokasi penyuntikan, teknik penyuntikan yang benar, dan seluruh faktor lain yang relevan sebelum penyesuaian dosis dilakukan. - Mengganti insulin ke merk atau jenis insulin lain harus dilakukan di bawah pengawasan ketat tenaga kesehatan. - Penggantian komposisi, merk (perusahaan), jenis (reguler, NPH, lente, kerja panjang, dsb), sumber (hewan, manusia, analog insulin manusia), dan atau metode dari perusahaan dapat menyebabkan perubahan dosis.</t>
  </si>
  <si>
    <t>untuk pasien diabetes melitus dewasa , remaja , anak - anak usia 6 membutuhkan terapi insulin</t>
  </si>
  <si>
    <t>ezelin insulin cartridge iu</t>
  </si>
  <si>
    <t>ezelin insulin cartridge iu injeksi insulin glargine untuk pasien diabetes melitus dewasa  remaja  anak  anak usia 6 membutuhkan terapi insulin</t>
  </si>
  <si>
    <t>DKL9315604501B1</t>
  </si>
  <si>
    <t>Nikolam 500 mg 10 Kapsul</t>
  </si>
  <si>
    <t>Rp44.000 - Rp46.200</t>
  </si>
  <si>
    <t>Terapi infeksi yang disebabkan oleh Salmonella sp, H. Influenzae (hanya infeksi meningeal), Rickettsia, Lymphomagranuloma pittacosis, Gram negatif yang menyebabkan bakteremia dan meningitis.</t>
  </si>
  <si>
    <t>HARUS DENGAN RESEP DOKTER. Pada penderita gangguan fungsi hati dan ginjal, bukan untuk penyakit influenza, batuk pilek, dan infeksi tenggorokan.</t>
  </si>
  <si>
    <t>terapi infeksi disebabkan salmonella sp , h  influenzae infeksi meningeal , rickettsia , lymphomagranuloma pittacosis , gram negatif menyebabkan bakteremia meningitis</t>
  </si>
  <si>
    <t>nikolam</t>
  </si>
  <si>
    <t>nikolam kapsul thiamphenicol terapi infeksi disebabkan salmonella sp  h  influenzae infeksi meningeal  rickettsia  lymphomagranuloma pittacosis  gram negatif menyebabkan bakteremia meningitis</t>
  </si>
  <si>
    <t>QD152713871</t>
  </si>
  <si>
    <t>Cap Lang Minyak Urut GPU Jahe 30 ml</t>
  </si>
  <si>
    <t>Rp10.500 - Rp18.900</t>
  </si>
  <si>
    <t>cap lang urut gpu jahe</t>
  </si>
  <si>
    <t>cap lang urut gpu jahe minyak camphor membantu meredakan pegal linu  nyeri sendi  sakit punggung  keseleo  memar memperlancar peredaran darah</t>
  </si>
  <si>
    <t>DKL9425802004A1</t>
  </si>
  <si>
    <t>Trifastan 500 mg 10 Tablet</t>
  </si>
  <si>
    <t>Rp3.800 - Rp6.800</t>
  </si>
  <si>
    <t>Diberikan sesudah makan atau bersama dengan makan</t>
  </si>
  <si>
    <t>PENGGUNAAN OBAT INI HARUS SESUAI DENGAN PETUNJUK DOKTER. Dosis dewasa dan anak usia lebih dari 14 tahun : Dosis awal 500 mg, kemudian dilanjutkan 250 mg tiap 6 jam, sesuai dengan kebutuhan.</t>
  </si>
  <si>
    <t>Meredakan nyeri ringan sampai sedang sehubungan dengan sakit kepala, sakit gigi, dismenore primer, termasuk nyeri karena trauma, nyeri otot dan nyeri sesudah operasi.</t>
  </si>
  <si>
    <t>Dus 10 Strip @ 10 Kaplet</t>
  </si>
  <si>
    <t>Pasien yang hipersensitif terhadap asam mefenamat. Penderita yang dengan aspirin mengalami bronkospasme, alergi rhinitis dan urtikaria. Penderita dengan tukak lambung dan usus. Penderita dengan gangguan ginjal yang berat.</t>
  </si>
  <si>
    <t>Obat Wajib Apotek, Obat ini dapat dibeli dan diserahkan apoteker tanpa resep dengan maksimum 2 Strip. Pembelian melebihi batas ini WAJIB RESEP DOKTER. Pasien dengan gangguan atau faktor resiko kardiovaskular, gangguan hati dan ginjal, ibu hamil dan menyusui. Kategori Kehamilan : C studi pada binatang percobaan telah memperlihatkan adanya efek samping obat pada janin dan tidak ada studi terkontrol pada wanita atau belum ada studi pada wanita dan binatang percobaan.</t>
  </si>
  <si>
    <t>meredakan nyeri ringan sehubungan sakit kepala , sakit gigi , dismenore primer , nyeri trauma , nyeri otot nyeri operasi</t>
  </si>
  <si>
    <t>trifastan</t>
  </si>
  <si>
    <t>trifastan kaplet mefenamic acid meredakan nyeri ringan sehubungan sakit kepala  sakit gigi  dismenore primer  nyeri trauma  nyeri otot nyeri operasi</t>
  </si>
  <si>
    <t>cap lang urut gpu jahe minyak  menthol membantu meredakan pegal linu  nyeri sendi  sakit punggung  keseleo  memar memperlancar peredaran darah</t>
  </si>
  <si>
    <t>interpec sirup ambroxol hydrochloride penyakit saluran nafas akut kronis disertai sekresi bronkhus abnormal eksaserbasi bronkhitis khronis  bronkkitis asmatik  asma bronkhial</t>
  </si>
  <si>
    <t>DKI1631600710D1</t>
  </si>
  <si>
    <t>Coveram 10 mg/10 mg 30 Tablet</t>
  </si>
  <si>
    <t>Rp639.100 - Rp715.500</t>
  </si>
  <si>
    <t>INFORMASI OBAT INI HANYA UNTUK KALANGAN MEDIS. Terapi substitusi pada pasien yang TD-nya sudah dikendalikan perindopril dan amlodipine dalam dosis sama, untuk terapi hipertensi esensial atau hipertensi esensial dengan PJK stabil.</t>
  </si>
  <si>
    <t>Tablet 10 Mg/10 Mg X 30</t>
  </si>
  <si>
    <t>HARUS DENGAN RESEP DOKTER. Meningkatnya frekuensi, durasi dan keparahan angina atau infark miokard akut pada saat awal terapi atau pada dosis ditingkatkan. Nyeri otot yang tidak diketahui sebabnya, perlunakan pada otot, lemas. Remaja. Stroke hemoragik.</t>
  </si>
  <si>
    <t>terapi substitusi pasien td - nya dikendalikan perindopril amlodipine dosis , terapi hipertensi esensial hipertensi esensial pjk stabil</t>
  </si>
  <si>
    <t>coveram tablet amlodipine besilate terapi substitusi pasien td  nya dikendalikan perindopril amlodipine dosis  terapi hipertensi esensial hipertensi esensial pjk stabil</t>
  </si>
  <si>
    <t>pseudoephedrine hydrochloride dextromethorphan hydrobromide</t>
  </si>
  <si>
    <t>triaminic batuk pilek sirup pseudoephedrine hydrochloride dextromethorphan hydrobromide obat batuk pilek varian berry meredakan batuk kering melegakan hidung tersumbat pilek</t>
  </si>
  <si>
    <t>DKL1840403601A1</t>
  </si>
  <si>
    <t>Lincophar 500 mg 10 Kapsul</t>
  </si>
  <si>
    <t>Rp53.200 - Rp66.000</t>
  </si>
  <si>
    <t>PENGGUNAAN OBAT INI HARUS SESUAI DENGAN PETUNJUK DOKTER. Dewasa infeksi ringan : 500 mg 3 kali sehari. Infeksi berat : 500 mg 4 kali sehari. Anak &gt; 1 bulan : 30 - 60 mg/kg BB/hari dalam 3 - 4 dosis terbagi</t>
  </si>
  <si>
    <t>Infeksi berat sal nafas, kulit, jar lunak yang disebabkan oleh kuman gram + yang sensitif : strep, staph, pneumokokus, clostridia, bacteroides</t>
  </si>
  <si>
    <t>Hipersensitif terhadap likomisin dan klindamisin. Diare</t>
  </si>
  <si>
    <t>HARUS DENGAN RESEP DOKTER. Gangguan fungsi hati atau ginjal. Hamil dan laktasi</t>
  </si>
  <si>
    <t>infeksi berat sal nafas , kulit , jar lunak disebabkan kuman gram sensitif strep , staph , pneumokokus , clostridia , bacteroides</t>
  </si>
  <si>
    <t>lincophar</t>
  </si>
  <si>
    <t>lincophar kapsul lincomycin hydrochloride infeksi berat sal nafas  kulit  jar lunak disebabkan kuman gram sensitif strep  staph  pneumokokus  clostridia  bacteroides</t>
  </si>
  <si>
    <t>DBL0910808636A1</t>
  </si>
  <si>
    <t>Itamol Drops 15 ml</t>
  </si>
  <si>
    <t>Rp35.700 - Rp35.800</t>
  </si>
  <si>
    <t>Di bawah 1 tahun: Dosis 60 mg (alat tetes 0,6 ml) 3 - 4 kali sehari 1 - 2 tahun: Dosis 60 - 120 mg (alat tetes 0,6 ml - 1,2 ml) 3 - 4 kali sehari</t>
  </si>
  <si>
    <t>DUS, Botol @ 15 ML</t>
  </si>
  <si>
    <t>itamol tetes paracetamol obat meredakan sakit kepala  sakit gigi  sakit otot  nyeri mengganggu menurunkan demam menyertai flu influensa demam vaksinasi</t>
  </si>
  <si>
    <t>DKL0405512682A1</t>
  </si>
  <si>
    <t>Dominal Fm 10 mg 10 Tablet</t>
  </si>
  <si>
    <t>PENGGUNAAN OBAT INI HARUS SESUAI DENGAN PETUNJUK DOKTER. Dyspepsia/gangguan pencernaan : Dewasa &amp; usia lanjut : 3 x sehari 1-2 tablet dan 1-2 tablet menjelang tidur malam, maximum terapi 12 minggu. Mual - muntah akibat levodopa &amp; bromocriptine :</t>
  </si>
  <si>
    <t xml:space="preserve">Mual dan muntah akut </t>
  </si>
  <si>
    <t>DKL8322203617A1</t>
  </si>
  <si>
    <t>Sanmetidin 200 mg 10 Tablet</t>
  </si>
  <si>
    <t>Rp21.500 - Rp24.200</t>
  </si>
  <si>
    <t>Diminum saat makan</t>
  </si>
  <si>
    <t>PENGGUNAAN OBAT INI HARUS SESUAI DENGAN PETUNJUK DOKTER. Tukak usus 12 jari : Dewasa, 3x sehari (1 tablet saat makan dan 2 tablet jelang tidur). Sindrom Zollinger Ellison dan hipersekresi lambung lainnya : Dewasa, 4x sehari 1 tablet. Peptik esofagitis : Dewasa 4x sehari 2 tablet. Hipersekresi lambung : Anak 20-40mg/kgBB/hari dalam dosis terbagi.</t>
  </si>
  <si>
    <t>Sakit maag, ulkus/tukak usus halus, sindroma Zollinger Ellison, Hiperasiditas lambung, Esofagitis, menghambat sekresi asam lambung pada anak2</t>
  </si>
  <si>
    <t>HARUS DENGAN RESEP DOKTER. Hamil, laktasi, gangguan fungsi ginjal dan gastritis</t>
  </si>
  <si>
    <t>sakit maag , ulkus tukak usus halus , sindroma zollinger ellison , hiperasiditas lambung , esofagitis , menghambat sekresi asam lambung anak2</t>
  </si>
  <si>
    <t>sanmetidin</t>
  </si>
  <si>
    <t>sanmetidin tablet cimetidine sakit maag  ulkus tukak usus halus  sindroma zollinger ellison  hiperasiditas lambung  esofagitis  menghambat sekresi asam lambung anak2</t>
  </si>
  <si>
    <t>TR162693471</t>
  </si>
  <si>
    <t>Hirokids Sirup Rasa Blackcurrant 60 ml</t>
  </si>
  <si>
    <t>HIROKIDS PRIME 2 IN 1 RASA BLACKCURRANT</t>
  </si>
  <si>
    <t>Rp19.900 - Rp36.400</t>
  </si>
  <si>
    <t>Membantu memperbaiki nafsu makan dan membantu memelihara daya tahan tubuh</t>
  </si>
  <si>
    <t>hirokids prime 2 in 1 rasa blackcurrant</t>
  </si>
  <si>
    <t>membantu memperbaiki nafsu makan membantu memelihara daya tahan tubuh</t>
  </si>
  <si>
    <t>hirokids rasa blackcurrant</t>
  </si>
  <si>
    <t>hirokids rasa blackcurrant sirup hirokids prime 2 in 1 rasa blackcurrant membantu memperbaiki nafsu makan membantu memelihara daya tahan tubuh</t>
  </si>
  <si>
    <t>TI054616511</t>
  </si>
  <si>
    <t>Bio Strath Sirup 100 ml</t>
  </si>
  <si>
    <t>BIO STRATH</t>
  </si>
  <si>
    <t>Rp325.000 - Rp455.000</t>
  </si>
  <si>
    <t>Dewasa : 3 kali sehari 1 sendok teh, Anak : 3 kali sehari 1/2 sendok teh sebelum makan</t>
  </si>
  <si>
    <t>Meningkatkan sistem pertahanan tubuh, meningkatkan konsentrasi, meningkatkan efisiensi fisik dan mental, memulihkan vitalitas, dan menjaga tingkat hemoglobin disaat kehamilan</t>
  </si>
  <si>
    <t>Sirup 100 ml x 1</t>
  </si>
  <si>
    <t>bio strath</t>
  </si>
  <si>
    <t>meningkatkan sistem pertahanan tubuh , meningkatkan konsentrasi , meningkatkan efisiensi fisik mental , memulihkan vitalitas , menjaga tingkat hemoglobin disaat kehamilan</t>
  </si>
  <si>
    <t>bio strath sirup meningkatkan sistem pertaha tubuh  meningkatkan konsentrasi  meningkatkan efisiensi fisik mental  memulihkan vitalitas  menjaga tingkat hemoglobin disaat kehamilan</t>
  </si>
  <si>
    <t>Bio Strath Elixir 250 ml</t>
  </si>
  <si>
    <t>Rp530.900 - Rp764.900</t>
  </si>
  <si>
    <t>Untuk maintenance : Dewasa (umur 12+) 2x1 sendok teh per hari, sebelum makan / sesudah makan Anak-anak (umur 0-12) 2x1/2 sendok teh per hari, dianjurkan sesudah makan / dicampur dengan makanan untuk mencegah gangguan pencernaan. Untuk pengobatan ketika sakit / anak autis &amp; adhd : Dewasa (umur 12+) 3x1 sendok teh per hari, sebelum makan / sesudah makan Anak- anak (umur 0-12) 3x 1/2 sendok teh per hari, dianjurkan sesudah makan / dicampur dengan makanan untuk mencegah gangguan pencernaan</t>
  </si>
  <si>
    <t>memperbaiki nafsu makan anak, meningkatkan daya tahan tubuh anak, membantu konsentrasi pada anak ADHD, hiperaktif, dan lainnya.</t>
  </si>
  <si>
    <t>Sirup 250 ml x 1</t>
  </si>
  <si>
    <t>memperbaiki nafsu makan anak , meningkatkan daya tahan tubuh anak , membantu konsentrasi anak adhd , hiperaktif ,</t>
  </si>
  <si>
    <t>bio strath elixir</t>
  </si>
  <si>
    <t xml:space="preserve">bio strath elixir larutan bio strath memperbaiki nafsu makan anak  meningkatkan daya tahan tubuh anak  membantu konsentrasi anak adhd  hiperaktif </t>
  </si>
  <si>
    <t>DKL2042800530A1</t>
  </si>
  <si>
    <t>Betacylic Salep 10 g</t>
  </si>
  <si>
    <t>Rp55.800 - Rp60.000</t>
  </si>
  <si>
    <t>Untuk terapi pemeliharaan digunakan hanya jarang, untuk terapi enyembuhan dioleskan pagi dan malam hari.</t>
  </si>
  <si>
    <t>PENGGUNAAN OBAT INI HARUS SESUAI DENGAN PETUNJUK DOKTER.Dioleskan secara topical dua kali sehari pada pagi dan malam hari .</t>
  </si>
  <si>
    <t>INFORMASI OBAT INI HANYA UNTUK KALANGAN MEDIS. Untuk pengobatan penyakit kulit seperti inflamasi psoriasis dan seboroik pada kulit kepala serta lesi psoriasis dan dermatosis yang peka terhadap kortikosteroid.</t>
  </si>
  <si>
    <t>Pasien yang memiliki riwayat alergi/hipersensitif terhadap komponen dalam produk ini.</t>
  </si>
  <si>
    <t>HARUS DENGAN RESEP DOKTER. Hentikan pengobatan bila terjadi kulit kering yang berlebihan, iritasi dan sensitisasi. Bila ada infeksi, berikan terapi yang sesuai.</t>
  </si>
  <si>
    <t>betamethasone dipropionate salicylic acid</t>
  </si>
  <si>
    <t>untuk pengobatan penyakit kulit inflamasi psoriasis seboroik kulit kepala lesi psoriasis dermatosis peka kortikosteroid</t>
  </si>
  <si>
    <t>betacylic</t>
  </si>
  <si>
    <t>betacylic salep betamethasone dipropionate salicylic acid untuk pengobatan penyakit kulit inflamasi psoriasis seboroik kulit kepala lesi psoriasis dermatosis peka kortikosteroid</t>
  </si>
  <si>
    <t>DKL9702324001C1</t>
  </si>
  <si>
    <t>Clinbercin 300 mg 10 Kapsul</t>
  </si>
  <si>
    <t>Rp75.200 - Rp92.500</t>
  </si>
  <si>
    <t>PENGGUNAAN OBAT INI HARUS SESUAI DENGAN PETUNJUK DOKTER. Dewasa : 150-300 mg tiap 6 jam. Infeksi serius : 300-450 mg tiap 6 jam. Anak-anak berusia lebih dari 1 bulan : 8-16 mg/kg berat badan/hari dalam 3-4 dosis terbagi. Infeksi serius : 16-20 mg/kg berat badan/hari dalam 3-4 dosis terbagi.</t>
  </si>
  <si>
    <t>Infeksi saluran Nafas, Otitis Media, infeksi Kulit, Osteomielitis, Endokarditis, Infeksi oleh bakteri anaerob, profilaksis infeksi paska bedah</t>
  </si>
  <si>
    <t>1 Dos isi 3 Strip x 10 Tablet</t>
  </si>
  <si>
    <t>Hipersensitif terhadap klindamisin dan linkomisin</t>
  </si>
  <si>
    <t>HARUS DENGAN RESEP DOKTER. Riwayat penyakit lambung-usus, penyakit ginjal atau hati, pertumbuhan jamur berlebihan, wanita hamil</t>
  </si>
  <si>
    <t>infeksi saluran nafas , otitis media , infeksi kulit , osteomielitis , endokarditis , infeksi bakteri anaerob , profilaksis infeksi paska bedah</t>
  </si>
  <si>
    <t>clinbercin</t>
  </si>
  <si>
    <t>clinbercin kapsul clindamycin hydrochloride infeksi saluran nafas  otitis media  infeksi kulit  osteomielitis  endokarditis  infeksi bakteri anaerob  profilaksis infeksi paska bedah</t>
  </si>
  <si>
    <t>TR183212841</t>
  </si>
  <si>
    <t>Cheng Sie Lung Hau Feng Yao San 1.2 G</t>
  </si>
  <si>
    <t>OBAT SAKIT TENGGOROKAN CHENG SIE LUNG HAU FENG</t>
  </si>
  <si>
    <t>Membantu melegakan tenggorokan dan meringankan sariawan.</t>
  </si>
  <si>
    <t>Dus, Botol @ 1.2 gram</t>
  </si>
  <si>
    <t>obat sakit tenggorokan cheng sie lung hau feng</t>
  </si>
  <si>
    <t>membantu melegakan tenggorokan meringankan sariawan</t>
  </si>
  <si>
    <t>cheng sie lung hau feng yao san</t>
  </si>
  <si>
    <t>cheng sie lung hau feng yao san  obat sakit tenggorokan cheng sie lung hau feng membantu melegakan tenggorokan meringankan sariawan</t>
  </si>
  <si>
    <t>QD092708461</t>
  </si>
  <si>
    <t>Salep Kulit Cap Badak 5 g</t>
  </si>
  <si>
    <t>Oleskan tipis-tipis pada kulit yang mengalami gatal-gatal akibat infeksi panu, kurap, kudis, kutu air, dan bisul</t>
  </si>
  <si>
    <t>Diindikasikan untuk mengobati penyakit kulit seperti panu, kurap, kudis, kutu air, bisul, gatal-gatal di sela jari dan selangkangan.</t>
  </si>
  <si>
    <t>Pot Plastik @ 5 G</t>
  </si>
  <si>
    <t>Simpan di tempat yang sejuk</t>
  </si>
  <si>
    <t>diindikasikan mengobati penyakit kulit panu , kurap , kudis , kutu air , bisul , gatal - gatal jari selangkangan</t>
  </si>
  <si>
    <t>kulit cap badak</t>
  </si>
  <si>
    <t>kulit cap badak salep acidum benzoicum diindikasikan mengobati penyakit kulit panu  kurap  kudis  kutu air  bisul  gatal  gatal jari selangkangan</t>
  </si>
  <si>
    <t>succus liquiritiae ammonium chloride pseudoephedrine hydrochloride chlorphenamine maleate</t>
  </si>
  <si>
    <t>obh tropica extra anak rasa jeruk sirup succus liquiritiae ammonium chloride pseudoephedrine hydrochloride chlorphenamine maleate digunakan meredakan batuk pilek anak</t>
  </si>
  <si>
    <t>TR162693481</t>
  </si>
  <si>
    <t>Hirokids Sirup Rasa Jeruk 60 ml</t>
  </si>
  <si>
    <t>HIROKIDS PRIME 2 IN 1 RASA JERUK</t>
  </si>
  <si>
    <t>Rp18.700 - Rp35.400</t>
  </si>
  <si>
    <t>hirokids prime 2 in 1 rasa jeruk</t>
  </si>
  <si>
    <t>hirokids rasa jeruk</t>
  </si>
  <si>
    <t>hirokids rasa jeruk sirup hirokids prime 2 in 1 rasa jeruk membantu memperbaiki nafsu makan membantu memelihara daya tahan tubuh</t>
  </si>
  <si>
    <t>paracetamol phenylpropanolamine hydrochloride chlorphenamine maleate guaifenesin</t>
  </si>
  <si>
    <t>paraflu kaplet paracetamol phenylpropanolamine hydrochloride chlorphenamine maleate guaifenesin meringankan gejala flu demam  sakit kepala  hidung tersumbat bersin  bersin disertai batuk</t>
  </si>
  <si>
    <t>DTL0233403004A1</t>
  </si>
  <si>
    <t>Orphen 4 mg 10 Kaplet</t>
  </si>
  <si>
    <t>Rp2.000 - Rp3.900</t>
  </si>
  <si>
    <t>Dewasa 1 kaplet 3-4 x perhari. Anak 6-12 tahun 1/2 kaplet 3-4 x perhari, 2-6 tahun 1/2 kaplet 3-4 x perhari.</t>
  </si>
  <si>
    <t>Pilek, urticaria (gatal-gatal atau biduran), seasonal hayfever, rhinitis, penyakit serum, pengaruh pemakaian obat-obatan seperti sulfa atau penicillin.</t>
  </si>
  <si>
    <t>Dus, 10 Catch Cover @ 2 Strip @ 10 Kaplet</t>
  </si>
  <si>
    <t>Penggunaan pada anak usia &lt;2 tahun tidak dianjurkan kecuali atas petunjuk dokter, Tidak boleh digunakan pada bayi baru lahir, prematur atau penderita serangan asma akut.</t>
  </si>
  <si>
    <t>pilek , urticaria gatal - gatal biduran , seasonal hayfever , rhinitis , penyakit serum , pengaruh pemakaian obat - obatan sulfa penicillin</t>
  </si>
  <si>
    <t>orphen</t>
  </si>
  <si>
    <t>orphen kaplet chlorphenamine maleate pilek  urticaria gatal  gatal biduran  seasonal hayfever  rhinitis  penyakit serum  pengaruh pemakaian obat  obatan sulfa penicillin</t>
  </si>
  <si>
    <t>Skizon Cream 10 g</t>
  </si>
  <si>
    <t>Rp8.300 - Rp15.900</t>
  </si>
  <si>
    <t>Oleskan tipis-tipis Skizon cream pada daerah lesi 1 atau 2 kali sehari (pagi dan malam hari)</t>
  </si>
  <si>
    <t>Kondisi-kondisi inflamasi, alergi imunologi, dan gatal-gatal pada kulit dan dermatosis lain yang responsif terhadap kortikosteroid, misal psoriasis, dermatitis, dan liken planus</t>
  </si>
  <si>
    <t>Cream 10 g X 1 X 1</t>
  </si>
  <si>
    <t>Penyakit yang disebabkan oleh virus,infeksi kulit yang disebabkan oleh bakteri dan jamur</t>
  </si>
  <si>
    <t>Obat Wajib Apotek, Obat ini dapat dibeli dan diserahkan apoteker tanpa resep dengan maksimum 1 Tube. Pembelian melebihi batas ini WAJIB RESEP DOKTER. Jika terjadi iritasi atau sensitisasi, pengobatan harus dihentikan. Kemungkinan terjadi peningkatan absorpsi sistemik jika digunakan secara luas pada tubuh. Hati-hati pada penggunaan jangka lama, lesi yang luas, pada bayi dan wanita menyusui oleh karena ada kemungkinan absorpsi sistemik. Absorpsi sistemik dari kortikosteroid akan meningkat bila digunakan dengan pembalut oklusif atau pengobatan jangka panjang. Penggunaan pada anak-anak dapat menyebabkan supresi adrenal yang dapat menghambat pertumbuhan anak-anak. Tidak digunakan pada mata Hanya untuk pemakaian luar</t>
  </si>
  <si>
    <t>kondisi - kondisi inflamasi , alergi imunologi , gatal - gatal kulit dermatosis responsif kortikosteroid , psoriasis , dermatitis , liken planus</t>
  </si>
  <si>
    <t>skizon cream krim betamethasone dipropionate kondisi  kondisi inflamasi  alergi imunologi  gatal  gatal kulit dermatosis responsif kortikosteroid  psoriasis  dermatitis  liken planus</t>
  </si>
  <si>
    <t>Triamcort-A Krim 10 g</t>
  </si>
  <si>
    <t>Rp81.700 - Rp113.500</t>
  </si>
  <si>
    <t>Mengurangi peradangan dan gatal yang disebabkan oleh berbagai kelainan kulit yang responsif terhadap kortikosteroid (efek anti inflamasi, anti alergi, dan anti pruritus (gatal)</t>
  </si>
  <si>
    <t>Tube @ 10 G</t>
  </si>
  <si>
    <t>mengurangi peradangan gatal disebabkan kelainan kulit responsif kortikosteroid efek anti inflamasi , anti alergi , anti pruritus gatal</t>
  </si>
  <si>
    <t>triamcorta</t>
  </si>
  <si>
    <t>triamcorta krim triamcinolone acetonide mengurangi peradangan gatal disebabkan kelai kulit responsif kortikosteroid efek anti inflamasi  anti alergi  anti pruritus gatal</t>
  </si>
  <si>
    <t>DTL0704002010A1</t>
  </si>
  <si>
    <t>Ceteme 12 Tablet</t>
  </si>
  <si>
    <t>Rp1.100 - Rp2.400</t>
  </si>
  <si>
    <t>Sesuai petunjuk dokter atau : Dewasa 3-4 kali/hari 1/2-1 tablet, Anak 3-4 kali/hari 1/4-1/2 tablet</t>
  </si>
  <si>
    <t>Dus, 36 Catch Cover @ 1 Strip @ 12 Tablet</t>
  </si>
  <si>
    <t>Selama minum obat ini tidak boleh mengendarai kendaraan bermotor atau menjalankan mesin.</t>
  </si>
  <si>
    <t>ceteme</t>
  </si>
  <si>
    <t>ceteme tablet chlorphenamine maleate pilek  urticaria gatal  gatal biduran  seasonal hayfever  rhinitis  penyakit serum  pengaruh pemakaian obat  obatan sulfa penicillin</t>
  </si>
  <si>
    <t>Iodine Povidone Solution 1000 ml</t>
  </si>
  <si>
    <t>Rp65.000 - Rp128.500</t>
  </si>
  <si>
    <t>Mencegah infeksi pada luka lecet, luka bakar, luka khitan, luka ringan, melindungi luka setelah operasi dari kemungkinan terkena infeksi</t>
  </si>
  <si>
    <t>Botol @ 1000 ml</t>
  </si>
  <si>
    <t>Hanya untuk pemakaian luar, dan jauhkan dari jangkauan anak-anak</t>
  </si>
  <si>
    <t>mencegah infeksi luka lecet , luka bakar , luka khitan , luka ringan , melindungi luka operasi terkena infeksi</t>
  </si>
  <si>
    <t>iodine povidone solution</t>
  </si>
  <si>
    <t>iodine povidone solution larutan povidoneiodine mencegah infeksi luka lecet  luka bakar  luka khitan  luka ringan  melindungi luka operasi terkena infeksi</t>
  </si>
  <si>
    <t>Iodine Povidone Solution 30 ml</t>
  </si>
  <si>
    <t>Rp2.800 - Rp9.200</t>
  </si>
  <si>
    <t>Botol 30 ml</t>
  </si>
  <si>
    <t>Iodine Povidone Solution 60 ml</t>
  </si>
  <si>
    <t>Cendo Xitrol Eye Drop 5 ml</t>
  </si>
  <si>
    <t>cendo xitrol eye drop</t>
  </si>
  <si>
    <t>cendo xitrol eye drop tetes dexamethasone sodium phosphate kondisi inflamasi mata responsif steroid disertai infeksi bakteri reaksi infeksi mata bakteri</t>
  </si>
  <si>
    <t>TR202565021</t>
  </si>
  <si>
    <t>Herbamuno 4 Tablet</t>
  </si>
  <si>
    <t>HERBAMUNO</t>
  </si>
  <si>
    <t>Rp10.100 - Rp15.400</t>
  </si>
  <si>
    <t>Dewasa: 2 kali sehari 2-3 tablet sesuai kebutuhan Anak 2-12 tahun: 2 kali sehari 1 tablet</t>
  </si>
  <si>
    <t>Membantu menjaga daya tahan tubuh. Mebantu meredakan gejala masuk angin seperti, badan meriang, pusing dan perut kembung dan membantu meredakan batuk</t>
  </si>
  <si>
    <t>Penggunaan lebih dari 4 minggu harus dalam pengawasan dokter</t>
  </si>
  <si>
    <t>herbamuno</t>
  </si>
  <si>
    <t>membantu menjaga daya tahan tubuh  mebantu meredakan gejala masuk angin , badan meriang , pusing perut kembung membantu meredakan batuk</t>
  </si>
  <si>
    <t>herbamuno tablet membantu menjaga daya tahan tubuh  mebantu meredakan gejala masuk angin  badan meriang  pusing perut kembung membantu meredakan batuk</t>
  </si>
  <si>
    <t>DKL7803811431A1</t>
  </si>
  <si>
    <t>Cendo Xitrol Salep Mata 3.5 g</t>
  </si>
  <si>
    <t>Rp43.700 - Rp56.100</t>
  </si>
  <si>
    <t>PENGGUNAAN OBAT INI HARUS SESUAI DENGAN PETUNJUK DOKTER. Dioleskan pada mata yang sakit 2-3 x sehari.</t>
  </si>
  <si>
    <t>INFORMASI OBAT INI HANYA UNTUK KALANGAN MEDIS. Infeksi bakteri peka Neomisindan Polimiksin, blefaritis tidak bernanah, konjungtivits tidak bernanah, skleritis, tukak kornea dan keratitis</t>
  </si>
  <si>
    <t>HARUS DENGAN RESEP DOKTER. Hipersensitif terhadap komponen dan penyakit akibat virus</t>
  </si>
  <si>
    <t>infeksi bakteri peka neomisindan polimiksin , blefaritis tidak bernanah , konjungtivits tidak bernanah , skleritis , tukak kornea keratitis</t>
  </si>
  <si>
    <t>cendo xitrol mata</t>
  </si>
  <si>
    <t>cendo xitrol mata salep dexamethasone infeksi bakteri peka neomisindan polimiksin  blefaritis tidak berah  konjungtivits tidak berah  skleritis  tukak kornea keratitis</t>
  </si>
  <si>
    <t>DTL9922230946A1</t>
  </si>
  <si>
    <t>Sanbe Tears Eye Drops 8 ml</t>
  </si>
  <si>
    <t>1-2 tetes sesuai anjuran</t>
  </si>
  <si>
    <t>Botol 8 ml</t>
  </si>
  <si>
    <t>Nyeri pada mata, perubahan daya penglihatan, mata merah berkelanjutan. Gunakan dalam waktu 4 minggu setelah dibuka.</t>
  </si>
  <si>
    <t>sanbe tears eye</t>
  </si>
  <si>
    <t>sanbe tears eye tetes dextran 70 hypromellose meredakan ketidak  nyama mata akibat iritasi ringan terpapar angin sinar matahari kekeringan mata</t>
  </si>
  <si>
    <t>DKL7603810146A1</t>
  </si>
  <si>
    <t>Cendo Dexaton Eye Drops 5 ml</t>
  </si>
  <si>
    <t>Rp18.200 - Rp25.900</t>
  </si>
  <si>
    <t>INFORMASI OBAT INI HANYA UNTUK KALANGAN MEDIS. Gangguan alergi dan radang yang bisa dijumpai pada segmen anterior mata, juga untuk mengontrol glaukoma sekunder dan radang uveal anterior</t>
  </si>
  <si>
    <t>gangguan alergi radang dijumpai segmen anterior mata , mengontrol glaukoma sekunder radang uveal anterior</t>
  </si>
  <si>
    <t>cendo dexaton eye</t>
  </si>
  <si>
    <t>cendo dexaton eye tetes dexamethasone sodium phosphate gangguan alergi radang dijumpai segmen anterior mata  mengontrol glaukoma sekunder radang uveal anterior</t>
  </si>
  <si>
    <t>Larutan Cap Badak Botol 200 ml</t>
  </si>
  <si>
    <t>Diminum langsung</t>
  </si>
  <si>
    <t>Untuk pengobatan: - Dewasa : diminum 3 kali sehari 100-200 mL (1/2 sampai 1 botol). - Anak-anak : diminum 3 kali sehari 50-100 mL (1/4 sampai 1/2 botol). Untuk pencegahan: - Dewasa : 1 kali sehari 1 botol. - Anak-anak : 1 kali sehari 1/2 botol.</t>
  </si>
  <si>
    <t>Membantu meredakan panas dalam yang disertai tenggorokan kering, sariawan, sakit tenggorokan dan membantu menyegarkan badan.</t>
  </si>
  <si>
    <t>Dapat disimpan pada suhu ruangan dan suhu pendingin.</t>
  </si>
  <si>
    <t>membantu meredakan panas disertai tenggorokan kering , sariawan , sakit tenggorokan membantu menyegarkan badan</t>
  </si>
  <si>
    <t>cap badak botol larutan larutan penyegar cap badak membantu meredakan panas disertai tenggorokan kering  sariawan  sakit tenggorokan membantu menyegarkan badan</t>
  </si>
  <si>
    <t>gaforin eye drop tetes gatifloxacin sesquihydrate infeksi eksternal mata  konjungtivitis bakterial keratitis bakterial disebabkan bakteri aerob gram positif gram negatif</t>
  </si>
  <si>
    <t>DKL1821647301A1</t>
  </si>
  <si>
    <t>Clinidac 150 mg 10 Kapsul</t>
  </si>
  <si>
    <t>Rp41.400 - Rp53.500</t>
  </si>
  <si>
    <t>PENGGUNAAN OBAT INI HARUS SESUAI DENGAN PETUNJUK DOKTER. Dewasa, infeksi ringan-sedang: 150-300 mg 4 x sehari, infeksi berat: 300-450 mg 4 x sehari. Anak, infeksi ringan-sedang: 8-16 mg/kgBB/hari terbagi dalam 3-4 dosis, anak infeksi berat 16-20 mg/kgBB/hari dalam 3- 4 dosis. Dewasa bakterial vaginosis 300 mg tiap 12 jam selama 7 hari. Penyakit radang panggul 450 mg tiap 6 jam selama 14 hari.</t>
  </si>
  <si>
    <t>Infeksi gram positif serius atau berat, infeksi saluran Nafas Atas dan Bawah, infeksi Kulit dan jaringan lunak, infeksi serius lainnya</t>
  </si>
  <si>
    <t>HARUS DENGAN RESEP DOKTER. Superinfeksi, bayi prematur, diare. Gangguan fungsi hati &amp; ginjal</t>
  </si>
  <si>
    <t>infeksi gram positif serius berat , infeksi saluran nafas atas bawah , infeksi kulit jaringan lunak , infeksi serius</t>
  </si>
  <si>
    <t>clinidac</t>
  </si>
  <si>
    <t>clinidac kapsul clindamycin hydrochloride infeksi gram positif serius berat  infeksi saluran nafas atas bawah  infeksi kulit jaringan lunak  infeksi serius</t>
  </si>
  <si>
    <t>DKL1119928817A1</t>
  </si>
  <si>
    <t>Ristonat 35 mg Tablet</t>
  </si>
  <si>
    <t>Rp72.300 - Rp102.000</t>
  </si>
  <si>
    <t>PENGGUNAAN OBAT INI HARUS SESUAI DENGAN PETUNJUK DOKTER. 35 mg 1 kali seminggu</t>
  </si>
  <si>
    <t>Pencegahan &amp; pengobatan osteoporosis pada wanita pasca menopause. Untuk meningkatkan massa tulang pada pria &amp; wanita karena terapi steroid, seperti prednison.</t>
  </si>
  <si>
    <t>Ristonat film-coated tablet 35 mg x 4's</t>
  </si>
  <si>
    <t>pencegahan pengobatan osteoporosis wanita pasca menopause  untuk meningkatkan massa tulang pria wanita terapi steroid , prednison</t>
  </si>
  <si>
    <t>ristonat</t>
  </si>
  <si>
    <t>ristonat tablet risedronate sodium hemipentahydrate pencegahan pengobatan osteoporosis wanita pasca menopause  untuk meningkatkan massa tulang pria wanita terapi steroid  prednison</t>
  </si>
  <si>
    <t>TI214449181</t>
  </si>
  <si>
    <t>Pil Chi-Kit Teck Aun 12 Botol</t>
  </si>
  <si>
    <t>PIL CHI KIT TECK AUN</t>
  </si>
  <si>
    <t>Dewasa : 1 bungkus, Anak-anak 1-2 tahun : 5 pil. Anak-anak 2-3 tahun : 10 pil. Anak &gt; 3 tahun : 1/2 bungkus. Diminum 4 x sehari</t>
  </si>
  <si>
    <t>membantu meredakan sakit perut, muntah, mabuk perjalanan dan memperbaiki nafsu makan.</t>
  </si>
  <si>
    <t>Dus, Sachet @ 2.25 g</t>
  </si>
  <si>
    <t>Jika sakit berlanjut hubungi dokter. Simpan di tempat sejuk dan jauhkan dari cahaya matahari.</t>
  </si>
  <si>
    <t>pil chi kit teck aun</t>
  </si>
  <si>
    <t>membantu meredakan sakit perut , muntah , mabuk perjalanan memperbaiki nafsu makan</t>
  </si>
  <si>
    <t>chikit teck aun botol</t>
  </si>
  <si>
    <t>chikit teck aun botol pil pil chi kit teck aun membantu meredakan sakit perut  muntah  mabuk perjala memperbaiki nafsu makan</t>
  </si>
  <si>
    <t>neomycin sulfate dexamethasone sodium phosphate polymyxin b sulfate</t>
  </si>
  <si>
    <t>litrol eye drop tetes neomycin sulfate dexamethasone sodium phosphate polymyxin b sulfate kondisi inflamasi mata responsif steroid infeksi bakterial mata</t>
  </si>
  <si>
    <t>Cendo Vasacon A Eye Drops 15 ml</t>
  </si>
  <si>
    <t>Rp27.400 - Rp35.200</t>
  </si>
  <si>
    <t>INFORMASI OBAT INI HANYA UNTUK KALANGAN MEDIS. Dekongestan, mengurangi kepekaan terhadap cahaya, mata merah, mata terasa gatal dan pedih karena alergi, konjungtivitis karna alergi</t>
  </si>
  <si>
    <t>Botol Plastik @ 15 ml</t>
  </si>
  <si>
    <t>dekongestan , mengurangi kepekaan cahaya , mata merah , mata gatal pedih alergi , konjungtivitis karna alergi</t>
  </si>
  <si>
    <t>cendo vasacon a eye</t>
  </si>
  <si>
    <t>cendo vasacon a eye tetes antazoline hydrochloride dekongestan  mengurangi kepekaan cahaya  mata merah  mata gatal pedih alergi  konjungtivitis karna alergi</t>
  </si>
  <si>
    <t>TI134647461</t>
  </si>
  <si>
    <t>Brand's Essence Of Chicken with Cordyceps 70 g</t>
  </si>
  <si>
    <t>BRAND`S ESSENCE OF CHICKEN WITH CORDYCEPS (BRAND`S SARIPATI AYAM DENGAN CORDYCEP)</t>
  </si>
  <si>
    <t>Rp27.700 - Rp38.400</t>
  </si>
  <si>
    <t>brand`s essence of chicken with cordyceps (brand`s saripati ayam dengan cordycep)</t>
  </si>
  <si>
    <t>brands essence of chicken with cordyceps</t>
  </si>
  <si>
    <t>brands essence of chicken with cordyceps  brands essence of chicken with cordyceps brands saripati ayam dengan cordycep membantu memelihara kesehatan</t>
  </si>
  <si>
    <t>DKL0221627537A1</t>
  </si>
  <si>
    <t>Salbuven Expectorant Sirup 100 ml</t>
  </si>
  <si>
    <t>Rp45.500 - Rp61.200</t>
  </si>
  <si>
    <t>Berikan 1 jam sebelum atau 2 jam sesudah makan</t>
  </si>
  <si>
    <t>PENGGUNAAN OBAT INI HARUS SESUAI DENGAN PETUNJUK DOKTER. Dewasa dan anak &gt; 14 tahun : 2-4 sendok takar Anak 6-14 tahun : 2 sendok takar. Dewasa dan anak &gt; 14 tahun : 2-4 sendok takar Anak 6-14 tahun : 2 sendok takar. Anak 2-6 tahun : 1-2 sendok takar. Diberikan 2-3 kali sehari</t>
  </si>
  <si>
    <t>INFORMASI OBAT INI HANYA UNTUK KALANGAN MEDIS. Terapi gangguan saluran napas dimana Bronkhospasme &amp; sekresi mukus kental yang berlebihan merupakan faktor komplikasi, seperti pada Asma Bronkhial, Bronkhitis khronis dan Emfisema</t>
  </si>
  <si>
    <t>HARUS DENGAN RESEP DOKTER. Hipertiroidisme, penyakit KV, aneurisme, DM, glaukoma sudut tertutup. Pasien penerima antihipertensi atau menggunakan anestesi berhalogenasi Kategori Kehamilan : C</t>
  </si>
  <si>
    <t>terapi gangguan saluran napa dimana bronkhospasme sekresi mukus kental faktor komplikasi , asma bronkhial , bronkhitis khronis emfisema</t>
  </si>
  <si>
    <t>salbuven expectorant</t>
  </si>
  <si>
    <t>salbuven expectorant sirup guaifenesin terapi gangguan saluran napa dimana bronkhospasme sekresi mukus kental faktor komplikasi  asma bronkhial  bronkhitis khronis emfisema</t>
  </si>
  <si>
    <t>DKL0520615138A1</t>
  </si>
  <si>
    <t>Conucol Dry Sirup 60 ml</t>
  </si>
  <si>
    <t>Rp35.100 - Rp35.600</t>
  </si>
  <si>
    <t>Sebaiknya diberikan pada saat perut kosong : Berikan 1 jam sebelum atau 2 jam sesudah makan.</t>
  </si>
  <si>
    <t>PENGGUNAAN OBAT INI HARUS SESUAI DENGAN PETUNJUK DOKTER. Dewasa 1.5 g, dapat ditingkatkan sampai dengan 2 g selama minggu pertama terapi. Anak 20-30 mg/kg Berat badan, dapat ditingkatkan sampai dengan 50 mg/kg BB selama minggu pertama terapi.</t>
  </si>
  <si>
    <t>Pengobatan infeksi saluran napas, saluran kemih kelamin, Gastro Intestinal, tifoid, paratifoid, salmonellosis lain, brucellosis, &amp; infeksi lainnya yang disebabkan karena organisme yang peka.</t>
  </si>
  <si>
    <t>HARUS DENGAN RESEP DOKTER. Pengobatan jangka panjang, bayi prematur &amp; bayi baru lahir (2 minggu pertama), defisiensi G6PD, ggn ginjal. Perlu dilakukan pemeriksaan darah.</t>
  </si>
  <si>
    <t>pengobatan infeksi saluran napa , saluran kemih kelamin , gastro intestinal , tifoid , paratifoid , salmonellosis , brucellosis , infeksi disebabkan organisme peka</t>
  </si>
  <si>
    <t>conucol</t>
  </si>
  <si>
    <t>conucol sirup thiamphenicol pengobatan infeksi saluran napa  saluran kemih kelamin  gastro intestinal  tifoid  paratifoid  salmonellosis  brucellosis  infeksi disebabkan organisme peka</t>
  </si>
  <si>
    <t>DKL0328603441A1</t>
  </si>
  <si>
    <t>Erymed Plus Solution 30 ml</t>
  </si>
  <si>
    <t>Rp42.900 - Rp69.700</t>
  </si>
  <si>
    <t>Oleskan pada jerawat</t>
  </si>
  <si>
    <t>PENGGUNAAN OBAT INI HARUS SESUAI DENGAN PETUNJUK DOKTER. Oleskan 1 x sehari pada jerawat</t>
  </si>
  <si>
    <t>Akne Vulgaris/Jerawat ringan hingga sedang, disertai peradangan ataupun tidak seperti Akne/Jerawat dengan Komedo dan berupa papula (menonjol)-pustula (mengandung nanah)</t>
  </si>
  <si>
    <t>HARUS DENGAN RESEP DOKTER. Hindari kontak dengan mata, hidung, mulut, dan membran mukosa lain. Hindari paparan sinar matahari atau sinar UV. Hamil dan laktasi Kategori Kehamilan : B</t>
  </si>
  <si>
    <t>akne vulgaris jerawat ringan , disertai peradangan tidak akne jerawat komedo papula menonjol - pustula mengandung nanah</t>
  </si>
  <si>
    <t>erymed plus solution</t>
  </si>
  <si>
    <t>erymed plus solution larutan erythromycin akne vulgaris jerawat ringan  disertai peradangan tidak akne jerawat komedo papula menonjol  pustula mengandung ah</t>
  </si>
  <si>
    <t>TR112627981</t>
  </si>
  <si>
    <t>Curcuma Plus Fruit And Veggie Jeruk Sirup 200 ml</t>
  </si>
  <si>
    <t>CURCUMA PLUS FRUIT &amp; VEGGIE RASA ORANGE</t>
  </si>
  <si>
    <t>Rp31.800 - Rp51.100</t>
  </si>
  <si>
    <t>Anak 6-12 bulan : 1 x sehari 1/2 sendok takar</t>
  </si>
  <si>
    <t>Curcuma Plus Fruit And Veggie Jeruk Sirup 100 ml</t>
  </si>
  <si>
    <t>Rp25.700 - Rp29.900</t>
  </si>
  <si>
    <t>Membantu memperbaiki nafsu makan dan Membantu memelihara kesehatan.</t>
  </si>
  <si>
    <t>curcuma plus fruit &amp; veggie rasa orange</t>
  </si>
  <si>
    <t>membantu memperbaiki nafsu makan membantu memelihara kesehatan</t>
  </si>
  <si>
    <t>curcuma plus fruit and veggie jeruk</t>
  </si>
  <si>
    <t>curcuma plus fruit and veggie jeruk sirup curcuma plus fruit  veggie rasa orange membantu memperbaiki nafsu makan membantu memelihara kesehatan</t>
  </si>
  <si>
    <t>TR112627991</t>
  </si>
  <si>
    <t>Curcuma Plus Fruit And Veggie Blackcurrant Sirup 200 ml</t>
  </si>
  <si>
    <t>CURCUMA PLUS FRUIT &amp; VEGGIE RASA BLACKCURRANT</t>
  </si>
  <si>
    <t>Rp31.700 - Rp51.100</t>
  </si>
  <si>
    <t>Curcuma Plus Fruit And Veggie Blackcurrant Sirup 100 ml</t>
  </si>
  <si>
    <t>Rp18.100 - Rp34.800</t>
  </si>
  <si>
    <t>curcuma plus fruit &amp; veggie rasa blackcurrant</t>
  </si>
  <si>
    <t>curcuma plus fruit and veggie blackcurrant</t>
  </si>
  <si>
    <t>curcuma plus fruit and veggie blackcurrant sirup curcuma plus fruit  veggie rasa blackcurrant membantu memperbaiki nafsu makan membantu memelihara kesehatan</t>
  </si>
  <si>
    <t>DTL2006319804A1</t>
  </si>
  <si>
    <t>Aflucaps PE 10 Kaplet</t>
  </si>
  <si>
    <t>Rp4.300 - Rp50.500</t>
  </si>
  <si>
    <t>Dewasa: 3 kali sehari 1 kapsul</t>
  </si>
  <si>
    <t>Meringankan gejala-gejala flu seperti demam, sakit kepala, pilek, hidung tersumbat dan bersin-bersin.</t>
  </si>
  <si>
    <t>meringankan gejala - gejala flu demam , sakit kepala , pilek , hidung tersumbat bersin - bersin</t>
  </si>
  <si>
    <t>aflucaps pe</t>
  </si>
  <si>
    <t>aflucaps pe kaplet paracetamol phenylephrine hydrochloride chlorphenamine maleate meringankan gejala  gejala flu demam  sakit kepala  pilek  hidung tersumbat bersin  bersin</t>
  </si>
  <si>
    <t>benoson n cream krim betamethasone valerate neomycin sulfate meringankan inflamasi dermatosis responsif kortikosteroid terkomplikasi infeksi sekunder disebabkan organisme rentan neomisin</t>
  </si>
  <si>
    <t>Kalpanax Krim 10 g</t>
  </si>
  <si>
    <t>Rp24.200 - Rp27.800</t>
  </si>
  <si>
    <t>Oleskan pada kulit yang terinfeksi setiap selesai mandi dan sebelum tidur malam.</t>
  </si>
  <si>
    <t>Mengatasi gatal jamur kulit dan penyakit infeksi jamur kulit lainnya seperti kutu air, panu, kadas dan kurap langsung tuntas sampai ke akarnya</t>
  </si>
  <si>
    <t>1. Hati-hati penggunaan bagi yang hipersensitif terhadap produk laut 2. Hati-hati mengonsumsi produk dengan kandungan EPA lebih tinggi dari DHA bersamaan dengan antikoagulan dapat meningkatkan efek pengenceran darah 3. Jika akan menjalani operasi, komunikasikan dengan dokter mengenai penggunaan suplemen ini. 4. Hentikan penggunaan apabila terjadi gejala yagn tidak diinginkan seperti mual, muntah dan mudah memar bila terkena benturan serta segera konsultasi dengan dokter</t>
  </si>
  <si>
    <t>mengatasi gatal jamur kulit penyakit infeksi jamur kulit kutu air , panu , kadas kurap langsung tuntas akarnya</t>
  </si>
  <si>
    <t>kalpanax krim miconazole nitrate mengatasi gatal jamur kulit penyakit infeksi jamur kulit kutu air  panu  kadas kurap langsung tuntas akarnya</t>
  </si>
  <si>
    <t>DBL1315713441A1</t>
  </si>
  <si>
    <t>Kutilos 10 ml</t>
  </si>
  <si>
    <t>Rp28.700 - Rp34.700</t>
  </si>
  <si>
    <t>Oleskan KUTILOS 10 ML pada bagian yang membutuhkan setelah dibersihkan.</t>
  </si>
  <si>
    <t>Indikasi : penebalan kulit pada jari jari kaki (mata ikan), kalus (kapalan), kulit yang mengeras dan kutil</t>
  </si>
  <si>
    <t>Hipersensitif, penyakit kutil pada daerah wajah, penyakit kutil pada daerah kelamin</t>
  </si>
  <si>
    <t>Obat ini hanya digunakan untuk pemakaian luar yaitu pada kulit yang sakit, hanya bolehï¿½digunakan secukupnya pada daerah tertentu, hindari kontak obat dengan kulit yang sehat, Cairan obat tidak boleh terkena mata atau selaput lendir, apabila terkena segera cuci dengan air putih yang banyak, Callusol tidak boleh digunakan untuk menipiskan tahi lalat dan tanda lahir, Sebaiknya hindari penggunaan pada bayi dan anak - anak, Callusol sebaiknya tidak digunakan oleh penderita dengan gangguan ginjal, Segera hentikan pemakaian obat apabila terjadi iritasi dan reaksi alergi pada kulit.</t>
  </si>
  <si>
    <t>salicylic acid lactic acid polydocanol</t>
  </si>
  <si>
    <t>indikasi penebalan kulit jari jari kaki mata ikan , kalus kapalan , kulit mengeras kutil</t>
  </si>
  <si>
    <t>kutilos</t>
  </si>
  <si>
    <t>kutilos larutan salicylic acid lactic acid polydocanol indikasi penebalan kulit jari jari kaki mata ikan  kalus kapalan  kulit mengeras kutil</t>
  </si>
  <si>
    <t>DKL9817614709A1</t>
  </si>
  <si>
    <t>Gitas Plus 10 Kaplet</t>
  </si>
  <si>
    <t>Rp90.700 - Rp99.700</t>
  </si>
  <si>
    <t>PENGGUNAAN OBAT INI HARUS SESUAI DENGAN PETUNJUK DOKTER. Dewasa : 3 x sehari 1-2 kaplet, maximum 6 kaplet/hari</t>
  </si>
  <si>
    <t>Dus, 5 Strip @ 10 Kaplet Salut Selaput</t>
  </si>
  <si>
    <t>Takikardia, glaukoma, hipertrofi prostat dengan retensi urin, stenosis mekanis pada saluran cerna, megakolon, porfiria, gangguan fungsi hati.</t>
  </si>
  <si>
    <t>HARUS DENGAN RESEP DOKTER. Hamil, laktasi, usia lanjut, kolitis ulseratif, ileus paralitik, stenosis pilorus.</t>
  </si>
  <si>
    <t>gitas plus</t>
  </si>
  <si>
    <t>gitas plus kaplet hyoscine butylbromide paracetamol nyeri paroxismal lambung usus halus  nyeri spastik saluran empedu  saluran kemih organ genital wanita</t>
  </si>
  <si>
    <t>DKL9608005101B1</t>
  </si>
  <si>
    <t>Genicol 500 mg 10 Kapsul</t>
  </si>
  <si>
    <t>Rp40.200 - Rp52.000</t>
  </si>
  <si>
    <t>Berikan pada saat perut kosong 1 jam sebelum atau 2 jam sesudah makan</t>
  </si>
  <si>
    <t>PENGGUNAAN OBAT INI HARUS SESUAI DENGAN PETUNJUK DOKTER. Dewasa infeksi saluran nafas atas &amp; saluran cerna 500 mg 3 x sehari selama 5 hari. Infeksi saluran kemih 500 mg 4 x sehari selama 5 hari. Anak 20-40 mg/kgBB/hari</t>
  </si>
  <si>
    <t>Infeksi yang disebabkan oleh Salmonella sp, H. influenzae terutama infeksi meningeal, Rickettsia, limfogranuloma-psittacosis, meningitis yg disebabkan oleh bakteri Gram negatif.</t>
  </si>
  <si>
    <t>HARUS DENGAN RESEP DOKTER. Pengobatan jangka lama. Insufisiensi ginjal dan kerusakan hati</t>
  </si>
  <si>
    <t>infeksi disebabkan salmonella sp , h  influenzae infeksi meningeal , rickettsia , limfogranuloma - psittacosis , meningitis yg disebabkan bakteri gram negatif</t>
  </si>
  <si>
    <t>genicol</t>
  </si>
  <si>
    <t>genicol kapsul thiamphenicol infeksi disebabkan salmonella sp  h  influenzae infeksi meningeal  rickettsia  limfogranuloma  psittacosis  meningitis yg disebabkan bakteri gram negatif</t>
  </si>
  <si>
    <t>DKL0418818636A1</t>
  </si>
  <si>
    <t>Gerdilium Drops 12 ml</t>
  </si>
  <si>
    <t>Rp31.300 - Rp59.700</t>
  </si>
  <si>
    <t>PENGGUNAAN OBAT INI HARUS SESUAI DENGAN PETUNJUK DOKTER. Gangguan pencernaan kronis pada anak: 3 kali sehari 0,25 mL Muntah akut: 3 kali sehari 1 mL</t>
  </si>
  <si>
    <t>INFORMASI OBAT INI HANYA UNTUK KALANGAN MEDIS. Mengobati emetik (mual/muntah) yang dapat di sebabkan oleh ganguan pencernaan, luka pada bagian dalam perut, asam lambung meningkat dan dapat di sebabkan karena penyakit parkinson (tubuh gemetar).</t>
  </si>
  <si>
    <t>Dapat terjadi perdarahan pada pembuluh darah. Penyempitan saluran pencernaan.</t>
  </si>
  <si>
    <t>HARUS DENGAN RESEP DOKTER. Mengalami perdarahan, obstruksi mekanik, atau perforasi gastrointestinal,gangguan fungsi hati, insufisiensi ginjal,wanita hamil dan ibu menyusui. Kategori Kehamilan: Kategori B: Mungkin dapat digunakan oleh wanita hamil. Penelitian pada hewan uji tidak memperlihatkan ada nya risiko terhadap janin, namun belum ada bukti penelitian langsung terhadap wanita hamil.</t>
  </si>
  <si>
    <t>mengobati emetik mual muntah sebabkan ganguan pencernaan , luka perut , asam lambung meningkat sebabkan penyakit parkinson tubuh gemetar</t>
  </si>
  <si>
    <t>gerdilium tetes domperidone mengobati emetik mual muntah sebabkan ganguan pencernaan  luka perut  asam lambung meningkat sebabkan penyakit parkinson tubuh gemetar</t>
  </si>
  <si>
    <t>diprosta cream krim betamethasone dipropionate gentamicin sulfate meringankan penyakit kulit akibat reaksi alergi disertai infeksi sekunder disebabkan organisme rentan gentamisin</t>
  </si>
  <si>
    <t>DKL9631106333A1</t>
  </si>
  <si>
    <t>Graprima Sirup 60 ml</t>
  </si>
  <si>
    <t>PENGGUNAAN OBAT INI HARUS SESUAI DENGAN PETUNJUK DOKTER. 2x 1 kaplet</t>
  </si>
  <si>
    <t>Infeksi saluran urin, sal pencernaan, sal pernafasan, infeksi telinga,hidung, tenggorokan, toksoplasmosis,dan infeksi lainnya dimana obat terpilih tidak dapat diberikan</t>
  </si>
  <si>
    <t>infeksi saluran urin , sal pencernaan , sal pernafasan , infeksi telinga , hidung , tenggorokan , toksoplasmosis , infeksi dimana obat terpilih tidak</t>
  </si>
  <si>
    <t>graprima</t>
  </si>
  <si>
    <t>graprima suspensi sulfamethoxazole infeksi saluran urin  sal pencernaan  sal pernafasan  infeksi telinga  hidung  tenggorokan  toksoplasmosis  infeksi dimana obat terpilih tidak</t>
  </si>
  <si>
    <t>DKL0622719137A1</t>
  </si>
  <si>
    <t>Domedon Sirup 60 ml</t>
  </si>
  <si>
    <t>Rp38.200 - Rp47.500</t>
  </si>
  <si>
    <t>PENGGUNAAN OBAT INI HARUS SESUAI DENGAN PETUNJUK DOKTER. Dewasa : Untuk dispepsia fungsional : 10-20 mg 3 kali/hari. Untuk mual dan muntah Dewasa : 10-20 mg tiap 4-8 jam. Anak : 0.2-0.4 mg/kg berat badan/hari tiap 4-8 jam. Lama pengobatan Maksimal 2 minggu.</t>
  </si>
  <si>
    <t>Mencegah mual dan muntah pada anak pasca kemoterapi. Pengobatan mual dan muntah akibat L-dopa dan bromokriptin. Dispepsia.Tidak untuk penyakit kronik.</t>
  </si>
  <si>
    <t>Perdarahan, obstruksi atau perforasi saluran cerna. Anak, kecuali pada kasus mual dan muntah yang diakibatkan obat sitostatik.</t>
  </si>
  <si>
    <t>HARUS DENGAN RESEP DOKTER. Gangguan hati dan ginjal, hamil</t>
  </si>
  <si>
    <t>mencegah mual muntah anak pasca kemoterapi  pengobatan mual muntah akibat l - dopa bromokriptin  dispepsia  tidak penyakit kronik</t>
  </si>
  <si>
    <t>domedon</t>
  </si>
  <si>
    <t>domedon sirup domperidone mencegah mual muntah anak pasca kemoterapi  pengobatan mual muntah akibat l  dopa bromokriptin  dispepsia  tidak penyakit kronik</t>
  </si>
  <si>
    <t>TI154449411</t>
  </si>
  <si>
    <t>Cap Lang Pil Sakit Perut</t>
  </si>
  <si>
    <t>PIL SAKIT PERUT</t>
  </si>
  <si>
    <t>Secara tradisional digunakan untuk membantu meredakan sakit perut, muntah ringan dan membantu memelihara kesehatan pencernaan.</t>
  </si>
  <si>
    <t>Sachet 2 G</t>
  </si>
  <si>
    <t>pil sakit perut</t>
  </si>
  <si>
    <t>secara tradisional membantu meredakan sakit perut , muntah ringan membantu memelihara kesehatan pencernaan</t>
  </si>
  <si>
    <t>cap lang sakit perut</t>
  </si>
  <si>
    <t>cap lang sakit perut pil pil sakit perut secara tradisional membantu meredakan sakit perut  muntah ringan membantu memelihara kesehatan pencernaan</t>
  </si>
  <si>
    <t>Opsite Post Op 9.5 cm X 8.5 cm</t>
  </si>
  <si>
    <t>Rp36.100 - Rp40.200</t>
  </si>
  <si>
    <t>Lepaskan plastik yang menempel pada perekat plester. Ratakan plester dengan padding menutup luka dan perekat plester menempel pada kulit. Lepaskan lapisan plastik yang terluar.</t>
  </si>
  <si>
    <t>Aplikasikan Opsite Post Op pada luka. Ratakan dengan baik dan buka film pelindung.</t>
  </si>
  <si>
    <t>Sebagai dressing untuk luka akut seperti: Luka pasca-operasi laserasi, abrasi luka potong, luka bakar minor</t>
  </si>
  <si>
    <t>Dus, Sachet @ 1 lembar</t>
  </si>
  <si>
    <t>sebagai dressing luka akut luka pasca - operasi laserasi , abrasi luka potong , luka bakar minor</t>
  </si>
  <si>
    <t>opsite post op x</t>
  </si>
  <si>
    <t>opsite post op x larutan povidoneiodine sebagai dressing luka akut luka pasca  operasi laserasi  abrasi luka potong  luka bakar minor</t>
  </si>
  <si>
    <t>DKL9909212829A1</t>
  </si>
  <si>
    <t>Synalten Cream 5 gr</t>
  </si>
  <si>
    <t>Rp7.300 - Rp17.400</t>
  </si>
  <si>
    <t>PENGGUNAAN OBAT INI HARUS SESUAI DENGAN PETUNJUK DOKTER. Oleskan tipis pada kulit 1-2 kali sehari</t>
  </si>
  <si>
    <t>INFORMASI OBAT INI HANYA UNTUK KALANGAN MEDIS. Meredakan inflamasi, dermatosis yang responsif terhadap kortikosteroid yang mengalami komplikasi dengan infeksi sekunder yang disebabkan oleh organisme yang sensitif tehadap gentamisin</t>
  </si>
  <si>
    <t>hipersensitif, dermatosis pada anak &lt; 1 tahun</t>
  </si>
  <si>
    <t>HARUS DENGAN RESEP DOKTER. - hindari kontak dengan mata - tidak efektif untuk infeksi yang di sebabkan oleh jamur atau virus - Kategori Kehamilan : D</t>
  </si>
  <si>
    <t>meredakan inflamasi , dermatosis responsif kortikosteroid mengalami komplikasi infeksi sekunder disebabkan organisme sensitif tehadap gentamisin</t>
  </si>
  <si>
    <t>synalten cream gr</t>
  </si>
  <si>
    <t>synalten cream gr krim fluocinolone acetonide meredakan inflamasi  dermatosis responsif kortikosteroid mengalami komplikasi infeksi sekunder disebabkan organisme sensitif tehadap gentamisin</t>
  </si>
  <si>
    <t>DKL9627909717A1</t>
  </si>
  <si>
    <t>Zenti 150 mg 10 Tablet</t>
  </si>
  <si>
    <t>Sakit maag, Tukak/Ulkus lambung &amp; usus halus, Reflux Esofagitis, Hipersekresi patologis : sindroma Zollinger Ellison, mastositosis sistemik</t>
  </si>
  <si>
    <t>Obat Wajib Apotek, Obat ini dapat dibeli dan diserahkan apoteker tanpa resep dengan maksimum 1 Strip. Pembelian melebihi batas ini WAJIB RESEP DOKTER. Gangguan fungsi ginjal &amp; hati</t>
  </si>
  <si>
    <t>DTL1906420409A1</t>
  </si>
  <si>
    <t>Fluza Day 10 Kaplet</t>
  </si>
  <si>
    <t>Rp10.600 - Rp11.000</t>
  </si>
  <si>
    <t>Dewasa: 3-4 x sehari 1 kaplet</t>
  </si>
  <si>
    <t>Untuk meringankan gejala flu seperti demam, sakit kepala, hidung tersumbat yang disertai batuk.</t>
  </si>
  <si>
    <t>Dus, 10 Amplop @ 1 Strip @ 10 Kaplet Salut Selaput</t>
  </si>
  <si>
    <t>phenylpropanolamine hydrochloride guaifenesin dextromethorphan hydrobromide paracetamol</t>
  </si>
  <si>
    <t>untuk meringankan gejala flu demam , sakit kepala , hidung tersumbat disertai batuk</t>
  </si>
  <si>
    <t>fluza day</t>
  </si>
  <si>
    <t>fluza day kaplet phenylpropanolamine hydrochloride guaifenesin dextromethorphan hydrobromide paracetamol untuk meringankan gejala flu demam  sakit kepala  hidung tersumbat disertai batuk</t>
  </si>
  <si>
    <t>Ulcera Sirup 200 ml</t>
  </si>
  <si>
    <t>Rp91.800 - Rp99.000</t>
  </si>
  <si>
    <t>INFORMASI OBAT INI HANYA UNTUK KALANGAN MEDIS. Mengatasi gejala akibat kelebihan asam lambung, gastritis, tukak lambung, usus dua belas jari, dengan gejala seperti mual dan nyeri ulu hati</t>
  </si>
  <si>
    <t>Pasien yang memiliki riwayat hipersensitif terhadap sucralfat</t>
  </si>
  <si>
    <t>mengatasi gejala akibat kelebihan asam lambung , gastritis , tukak lambung , usus belas jari , gejala mual nyeri ulu hati</t>
  </si>
  <si>
    <t>ulcera suspensi sucralfate mengatasi gejala akibat kelebihan asam lambung  gastritis  tukak lambung  usus belas jari  gejala mual nyeri ulu hati</t>
  </si>
  <si>
    <t>QD122611051</t>
  </si>
  <si>
    <t>Minosep Obat Kumur 0.1% 60 ml (Hijau)</t>
  </si>
  <si>
    <t>Rp19.800 - Rp41.800</t>
  </si>
  <si>
    <t>Untuk kumur</t>
  </si>
  <si>
    <t>10 ml dikumurkan pagi dan malam hari</t>
  </si>
  <si>
    <t>Mencegah gingivitis, sariawan, bau mulut, menghambat pembentukan plak, memelihara kebersihan mulut</t>
  </si>
  <si>
    <t>mencegah gingivitis , sariawan , bau mulut , menghambat pembentukan plak , memelihara kebersihan mulut</t>
  </si>
  <si>
    <t>minosep obat kumur hijau</t>
  </si>
  <si>
    <t>minosep obat kumur hijau larutan chlorhexidine gluconate solution 20 mencegah gingivitis  sariawan  bau mulut  menghambat pembentukan plak  memelihara kebersihan mulut</t>
  </si>
  <si>
    <t>DKL1523413517A1</t>
  </si>
  <si>
    <t>Miracloven 50 mg 10 Tablet</t>
  </si>
  <si>
    <t>Rp3.200 - Rp15.200</t>
  </si>
  <si>
    <t>PENGGUNAAN OBAT INI HARUS SESUAI DENGAN PETUNJUK DOKTER. Dewasa: Dosis awal 100-150 mg per hari (dalam 2-3 kali dosis terbagi). Tidak dianjurkan penggunaan dosis melebihi 150mg/hari (untuk penanganan nyeri dan osteoarthritis), 225mg/hari (untuk rheumatoid), dan 125mg/hari (untuk ankylosing spondylitis)</t>
  </si>
  <si>
    <t>INFORMASI OBAT INI HANYA UNTUK KALANGAN MEDIS. Pengobatan akut dan khoronis pada gejala rheumatoid arthritis , osteoarthritis, dan ankylosing spondylitis. Mengurangi sakit dan dysmenorrhea primer, bila dikehendaki pengurangan rasa sakit segera.</t>
  </si>
  <si>
    <t>pengobatan akut khoronis gejala rheumatoid arthritis , osteoarthritis , ankylosing spondylitis  mengurangi sakit dysmenorrhea primer , dikehendaki pengurangan sakit</t>
  </si>
  <si>
    <t>miracloven</t>
  </si>
  <si>
    <t>miracloven tablet diclofenac potassium pengobatan akut khoronis gejala rheumatoid arthritis  osteoarthritis  ankylosing spondylitis  mengurangi sakit dysmenorrhea primer  dikehendaki pengurangan sakit</t>
  </si>
  <si>
    <t>DKL9918211510A1</t>
  </si>
  <si>
    <t>Nufapreg 25 mg 10 Tablet</t>
  </si>
  <si>
    <t>Rp52.300 - Rp55.300</t>
  </si>
  <si>
    <t>PENGGUNAAN OBAT INI HARUS SESUAI DENGAN PETUNJUK DOKTER. Dewasa : 1 tablet tiap malam. Dosis dapat ditingkatkan menjadi 2-3 tablet tiap malam atau 1 x sehari bila perlu. Pencegahan Mabuk Perjalanan : Perjalanan jauh : 1 tablet tiap malam sebelum tidur mulai semalam sebelum bepergian. Perjalanan pendek</t>
  </si>
  <si>
    <t>Pengobatan dan pencegahan Mual-Muntah yang berhubungan dengan Gastroenteritis, Vertigo akibat sindroma Meniere &amp; Labirinitis, Mabuk Perjalanan &amp; Mual paska operasi</t>
  </si>
  <si>
    <t>Asma, hipersensitif</t>
  </si>
  <si>
    <t>Obat Wajib Apotek, Obat ini dapat dibeli dan diserahkan apoteker tanpa resep dengan maksimum 1 Strip. Pembelian melebihi batas ini WAJIB RESEP DOKTER. Dapat mengganggu kemampuan mengemudi atau menjalankan mesin</t>
  </si>
  <si>
    <t>promethazine teoclate</t>
  </si>
  <si>
    <t>pengobatan pencegahan mual - muntah berhubungan gastroenteritis , vertigo akibat sindroma meniere labirinitis , mabuk perjalanan mual paska operasi</t>
  </si>
  <si>
    <t>nufapreg</t>
  </si>
  <si>
    <t>nufapreg tablet promethazine teoclate pengobatan pencegahan mual  muntah berhubungan gastroenteritis  vertigo akibat sindroma meniere labirinitis  mabuk perjala mual paska operasi</t>
  </si>
  <si>
    <t>DTL1944400237A1</t>
  </si>
  <si>
    <t>Ersylan Syrup 60 ml</t>
  </si>
  <si>
    <t>Rp27.000 - Rp28.800</t>
  </si>
  <si>
    <t>Dewasa: 5 ML atau 10 ML tiap 2 atau 3 jam . Jangan lebih dari 60 ML sehari. Anak-anak (Usia 6 tahun ke atas): 2,5 MLSAMPAI 5 ml tiap 3 jam. Jangan lebih dari 30 ML sehari.</t>
  </si>
  <si>
    <t>Meredakan batuk dan gejala lain yang timbul pada saluran pernafasan atas seperti bersin, dan rasa gatal pada rongga hidung, tenggorokan, serta mata berair karena alergi.</t>
  </si>
  <si>
    <t>meredakan batuk gejala timbul saluran pernafasan bersin , gatal rongga hidung , tenggorokan , mata berair alergi</t>
  </si>
  <si>
    <t>ersylan</t>
  </si>
  <si>
    <t>ersylan sirup diphenhydramine hydrochloride ammonium chloride meredakan batuk gejala timbul saluran pernafasan bersin  gatal rongga hidung  tenggorokan  mata berair alergi</t>
  </si>
  <si>
    <t>DTI0609400258A1</t>
  </si>
  <si>
    <t>Fleet Enema 133 ml</t>
  </si>
  <si>
    <t>Rp138.600 - Rp152.500</t>
  </si>
  <si>
    <t>Melalui dubur atau anus</t>
  </si>
  <si>
    <t>Dewasa dan anak &gt; 12 thn 1 tube/hari (dosis tunggal)</t>
  </si>
  <si>
    <t>Meredakan konstipasi untuk bilas usus sebelum proktoskopi, sigmoidoskopi dan pemeriksaan x _?ray</t>
  </si>
  <si>
    <t>Dus, Botol Plastik @ 133 ml</t>
  </si>
  <si>
    <t>Tidak boleh diberikan pada pasien dengan pendarahan rectum, penyakit ginjal, diet restriksi Na, mual, muntah dan nyeri.</t>
  </si>
  <si>
    <t>Monitor kadar urea serum dan urin, wanita hamil dan menyusui</t>
  </si>
  <si>
    <t>kombinasi-monobasic sodium phosphate monohydrate kombinasi-dibasic sodium phosphate heptahydrate</t>
  </si>
  <si>
    <t>meredakan konstipasi bilas usus proktoskopi , sigmoidoskopi pemeriksaan x ? ray</t>
  </si>
  <si>
    <t>fleet enema</t>
  </si>
  <si>
    <t>fleet enema enema kombinasimonobasic sodium phosphate monohydrate kombinasidibasic sodium phosphate heptahydrate meredakan konstipasi bilas usus proktoskopi  sigmoidoskopi pemeriksaan x  ray</t>
  </si>
  <si>
    <t>DKL7225102230A1</t>
  </si>
  <si>
    <t>Borraginol-N Salep 15 g</t>
  </si>
  <si>
    <t>Rp96.300 - Rp117.700</t>
  </si>
  <si>
    <t>Oleskan kira-kira 2-5 gram salep pada kasa dan ditutupkan pada tempat radang, ganti 2-3 kali sehari</t>
  </si>
  <si>
    <t>PENGGUNAAN OBAT INI HARUS SESUAI DENGAN PETUNJUK DOKTER. Wasir bagian luar dan dalam, disertai pendarahan, anal prolapse, anal fistula, periproctitis, luka terbuka pada dubur, perineal serta rasa gatal pada dubur Oleskan 2-3 kali sehari pada tempat yang dibutuhkan.</t>
  </si>
  <si>
    <t>Hemoroid/wasir internal dan eksternal termasuk yang disertai perdarahan, luka-luka terbuka di anus, Prolaps anus, peradangan disekitar rektum, Pruritus di anus</t>
  </si>
  <si>
    <t>HARUS DENGAN RESEP DOKTER. - hipersensitif terhadap kompenen obat Kategori kehamilan : C</t>
  </si>
  <si>
    <t>hemoroid wasir internal eksternal disertai perdarahan , luka - luka terbuka anus , prolaps anus , peradangan disekitar rektum , pruritus anus</t>
  </si>
  <si>
    <t>borraginoln</t>
  </si>
  <si>
    <t>borraginoln salep benzocaine hemoroid wasir internal eksternal disertai perdarahan  luka  luka terbuka anus  prolaps anus  peradangan disekitar rektum  pruritus anus</t>
  </si>
  <si>
    <t>DKL7225102553A1</t>
  </si>
  <si>
    <t>Borraginol-S Suppositoria</t>
  </si>
  <si>
    <t>Rp17.500 - Rp23.500</t>
  </si>
  <si>
    <t>PENGGUNAAN OBAT INI HARUS SESUAI DENGAN PETUNJUK DOKTER. 2 x sehari 1 suppositoria, dan jika kasus parah ditambah 1 x sebelum tidur</t>
  </si>
  <si>
    <t>INFORMASI OBAT INI HANYA UNTUK KALANGAN MEDIS. Hemoroid/wasir internal dan eksternal termasuk yang disertai perdarahan, luka2 di anus &amp; perineum, Prolaps anus &amp; fistula, peradangan disekitar rektum, Pruritus di anus</t>
  </si>
  <si>
    <t>HARUS DENGAN RESEP DOKTER. Hipersensitif terhadap komponen Kategori Kehamilan : C</t>
  </si>
  <si>
    <t>hemoroid wasir internal eksternal disertai perdarahan , luka2 anus perineum , prolaps anus fistula , peradangan disekitar rektum , pruritus anus</t>
  </si>
  <si>
    <t>borraginols</t>
  </si>
  <si>
    <t>borraginols suppositoria benzocaine hemoroid wasir internal eksternal disertai perdarahan  luka2 anus perineum  prolaps anus fistula  peradangan disekitar rektum  pruritus anus</t>
  </si>
  <si>
    <t>DKL0033302810A1</t>
  </si>
  <si>
    <t>Brommer 30 mg 10 Tablet</t>
  </si>
  <si>
    <t>Rp2.300 - Rp3.600</t>
  </si>
  <si>
    <t>PENGGUNAAN OBAT INI HARUS SESUAI DENGAN PETUNJUK DOKTER. Dewasa : 3 kali sehari 1 tablet. Pada terapi jangka panjang dosis dapat dikurangi menjadi 2 kali sehari. Anak : 1.2-1.6 mg/kg BB/hari</t>
  </si>
  <si>
    <t>Penyakit saluran Napas akut dan khronik yang berhubungan dengan sekresi Bronkhus yang abnormal, terutama pada exaserbasi Bronkhitis khronik, Bronkhitis Asmatik dan Asma Bronkhial.</t>
  </si>
  <si>
    <t>penyakit saluran napas akut khronik berhubungan sekresi bronkhus abnormal , exaserbasi bronkhitis khronik , bronkhitis asmatik asma bronkhial</t>
  </si>
  <si>
    <t>brommer</t>
  </si>
  <si>
    <t>brommer tablet ambroxol hydrochloride penyakit saluran napas akut khronik berhubungan sekresi bronkhus abnormal  exaserbasi bronkhitis khronik  bronkhitis asmatik asma bronkhial</t>
  </si>
  <si>
    <t>DKI1991500167B1</t>
  </si>
  <si>
    <t>Seretide Diskus 50/250 mcg 60 Dosis</t>
  </si>
  <si>
    <t>Rp221.900 - Rp414.500</t>
  </si>
  <si>
    <t>Letakkan SERETIDE DISKUS secara horizontal, buka penutup sampai berbunyi "klik", dorong tuas, kemudian arahkan tegak lurus pada mulut, hirup serbuk inhaler dalam-dalam, tahan napas 10 detik kemudian buang napas sedikit demi sedikit melalui mulut</t>
  </si>
  <si>
    <t>PENGGUNAAN OBAT INI HARUS SESUAI DENGAN PETUNJUK DOKTER. Penyakit Obstruksi Saluran Nafas yang Reversible : Dewasa dan anak usia di atas 4 tahun : 1 inhalasi (hirup), 2x sehari. PPOK : Dewasa : 1 inhalasi (hirup), 2x sehari.</t>
  </si>
  <si>
    <t>INFORMASI OBAT INI HANYA UNTUK KALANGAN MEDIS. Untuk terapi rutin penyakit penyumbatan saluran nafas, termasuk asma, PPOK termasuk bronkitis kronik &amp; emfisema.</t>
  </si>
  <si>
    <t>HARUS DENGAN RESEP DOKTER. Tidak untuk meredakan gejala asma akut. TB paru, gangguan jantung berat, Diabetes Mellitus, hipokalemia yg tidak diterapi, tirotosikosis. Lakukan pengawasan berkala terhadap laju pertumbuhan pada anak yg mendapat terapi jangka panjang. Hamil, laktasi.</t>
  </si>
  <si>
    <t>untuk terapi rutin penyakit penyumbatan saluran nafas , asma , ppok bronkitis kronik emfisema</t>
  </si>
  <si>
    <t>seretide diskus dosis powder fluticasone propionate salmeterol xinafoate untuk terapi rutin penyakit penyumbatan saluran nafas  asma  ppok bronkitis kronik emfisema</t>
  </si>
  <si>
    <t>DTL7613003210A1</t>
  </si>
  <si>
    <t>Askamex 25 mg 4 Tablet</t>
  </si>
  <si>
    <t>Rp1.700 - Rp2.700</t>
  </si>
  <si>
    <t>Berikan sebelum tidur malam</t>
  </si>
  <si>
    <t>Anak-anak umur 1-3 tahun: 1 tablet sekali minum</t>
  </si>
  <si>
    <t>seretide diskus dosis powder salmeterol xinafoate fluticasone propionat untuk terapi rutin penyakit penyumbatan saluran nafas  asma  ppok bronkitis kronik emfisema</t>
  </si>
  <si>
    <t>DBL0233506323A1</t>
  </si>
  <si>
    <t>Pharolit Sitrat Powder</t>
  </si>
  <si>
    <t>Rp2.000 - Rp2.400</t>
  </si>
  <si>
    <t>Umur dibawah 1 th, 3 jam pertama 1,5 gelas selanjutnya tiap kali BAB 1/2 gelas, umur 1 sampai kurang dari 5 th, 3 jam pertama 3 gelas, selanjutnya tiap kali BAB 1 gelas, umur 5 - 12 th 3 jam pertama 6 gelas, selanjutnya tiap kali BAB 1,5 gelas, umur lebih dari 12 th 3 jam pertama 12 gelas selanjutnya tiap kali mencret 2 gelas.</t>
  </si>
  <si>
    <t>Dapat mencegah dan mengobati dehidrasi pada muntah dan diare, Gastroenteritis (infeksi yang terjadi pada usus atau perut), kolera (diare akut karena adanya infeksi pada usus)</t>
  </si>
  <si>
    <t>Dus, 60 Sachet @ 4 g</t>
  </si>
  <si>
    <t>dapat mencegah mengobati dehidrasi muntah diare , gastroenteritis infeksi usus perut , kolera diare akut infeksi usus</t>
  </si>
  <si>
    <t>pharolit sitrat</t>
  </si>
  <si>
    <t>pharolit sitrat powder dextrose anhydrate dapat mencegah mengobati dehidrasi muntah diare  gastroenteritis infeksi usus perut  kolera diare akut infeksi usus</t>
  </si>
  <si>
    <t>DKL1840811234A1</t>
  </si>
  <si>
    <t>Broxfion Sirup 15 mg/5 ml 60 ml</t>
  </si>
  <si>
    <t>Rp11.200 - Rp35.200</t>
  </si>
  <si>
    <t>PENGGUNAAN OBAT INI HARUS SESUAI DENGAN PETUNJUK DOKTER. - Anak-anak 6 - 12 tahun : 5 ml (1 sendok takar), 2 - 3 kali sehari. - Anak-anak 2 - 6 tahun : 2,5 ml ( sendok takar), 3 kali sehari. - Anak di bawah 2 tahun : 2,5 ml ( sendok takar), 2 kali sehari.</t>
  </si>
  <si>
    <t>INFORMASI OBAT INI HANYA UNTUK KALANGAN MEDIS. Sebagai sekretolitik atau pengencer dahak pada gangguan saluran nafas akut dan kronis khususnya pada eksaserbasi bronkitis kronis dan bronkitis asmatik dan asma bronkial</t>
  </si>
  <si>
    <t>sebagai sekretolitik pengencer dahak gangguan saluran nafas akut kronis eksaserbasi bronkitis kronis bronkitis asmatik asma bronkial</t>
  </si>
  <si>
    <t>broxfion</t>
  </si>
  <si>
    <t>broxfion larutan ambroxol hydrochloride sebagai sekretolitik pengencer dahak gangguan saluran nafas akut kronis eksaserbasi bronkitis kronis bronkitis asmatik asma bronkial</t>
  </si>
  <si>
    <t>DTL8718202237A2</t>
  </si>
  <si>
    <t>Colfin Sirup 60 ml</t>
  </si>
  <si>
    <t>- PARACETAMOL  . DEXTROMETHORPHAN HYDROBROMIDE      . CHLORPHENAMINE MALEATE             . PHENYLEPHRINE HYDROCHLORIDE</t>
  </si>
  <si>
    <t>Rp13.400 - Rp13.500</t>
  </si>
  <si>
    <t>Dewasa: 3 kali sehari 4 sendok takar (20ml). anak: 3 kali sehari 2 sendok takar (10ml).</t>
  </si>
  <si>
    <t>Meringankan gejala flu seperti Demam, sakit Kepala, Hidung Tersumbat, Bersin-bersin dan Batuk</t>
  </si>
  <si>
    <t>Hipersensitif, pasien penderita hipertensi parah, penyakit jantung, diabetes mellitus, gangguan fungsi hati yang parah, pasien pengguna obat-obat golongan monoamine oksidase (MAO) Inhibitor.</t>
  </si>
  <si>
    <t>Gangguan fungsi hati dan ginjal, glaukoma, hipertrofi prostat, hipertiroid, retensi urin, anak &lt;6 tahun, ibu hamil dan menyusui. dapat mengganggu kemampuan mengendara atau menjalankan mesin.</t>
  </si>
  <si>
    <t>paracetamol   dextromethorphan hydrobromide       chlorphenamine maleate              phenylephrine hydrochloride</t>
  </si>
  <si>
    <t>meringankan gejala flu demam , sakit kepala , hidung tersumbat , bersin - bersin batuk</t>
  </si>
  <si>
    <t>colfin sirup paracetamol   dextromethorphan hydrobromide       chlorphenamine maleate              phenylephrine hydrochloride meringankan gejala flu demam  sakit kepala  hidung tersumbat  bersin  bersin batuk</t>
  </si>
  <si>
    <t>DKL1128605429A1</t>
  </si>
  <si>
    <t>Pirotop Cream 10 g</t>
  </si>
  <si>
    <t>Rp87.500 - Rp101.900</t>
  </si>
  <si>
    <t>Oleskan tipis-tipis sesuai kebutuhan</t>
  </si>
  <si>
    <t>PENGGUNAAN OBAT INI HARUS SESUAI DENGAN PETUNJUK DOKTER. Dioles pada kulit yang terinfeksi 3 kali sehari. Dapat digunakan hingga 10 hari</t>
  </si>
  <si>
    <t>INFORMASI OBAT INI HANYA UNTUK KALANGAN MEDIS. Untuk pengobatan topikal lesi kulit traumatik infeksi sekunder, luka terinfeksi yang disebabkan oleh Staphylococcus aureus dan Streptococcus pyogenes</t>
  </si>
  <si>
    <t>HARUS DENGAN RESEP DOKTER. Hindari kontak dengan mata. Jangan dioleskan pada mukosa membran.</t>
  </si>
  <si>
    <t>mupirocin calcium</t>
  </si>
  <si>
    <t>untuk pengobatan topikal lesi kulit traumatik infeksi sekunder , luka terinfeksi disebabkan staphylococcus aureus streptococcus pyogenes</t>
  </si>
  <si>
    <t>pirotop cream</t>
  </si>
  <si>
    <t>pirotop cream krim mupirocin calcium untuk pengobatan topikal lesi kulit traumatik infeksi sekunder  luka terinfeksi disebabkan staphylococcus aureus streptococcus pyogenes</t>
  </si>
  <si>
    <t>Pirotop Cream 5 g</t>
  </si>
  <si>
    <t>Rp48.000 - Rp55.900</t>
  </si>
  <si>
    <t>PENGGUNAAN OBAT INI HARUS SESUAI DENGAN PETUNJUK DOKTER. Oleskan pada kulit yang terinfeksi sampai 3 kali sehari. Dapat digunakan hingga 10 hari</t>
  </si>
  <si>
    <t>HARUS DENGAN RESEP DOKTER. Hindari kontak dengan mata. Jangan dioleskan pada permukaan mukosa. Hindari penggunaan jika terjadi iritasi lokal yang parah.</t>
  </si>
  <si>
    <t>Opsite Post Op 15.5 cm X 8.5 cm</t>
  </si>
  <si>
    <t>Rp31.200 - Rp33.300</t>
  </si>
  <si>
    <t>Aplikasikan Opsite Post Op pada luka. Ratakan dengan baik dan buka film pelindung</t>
  </si>
  <si>
    <t>Sebagai dressing untuk luka akut seperti: Luka pasca-operasi Laserasi, abrasi Luka potong Luka bakar minor</t>
  </si>
  <si>
    <t>sebagai dressing luka akut luka pasca - operasi laserasi , abrasi luka potong luka bakar minor</t>
  </si>
  <si>
    <t>opsite post op x larutan povidoneiodine sebagai dressing luka akut luka pasca  operasi laserasi  abrasi luka potong luka bakar minor</t>
  </si>
  <si>
    <t>Opsite Post Op 25 cm X 10 cm</t>
  </si>
  <si>
    <t>Rp51.200 - Rp60.500</t>
  </si>
  <si>
    <t>Aplikasikan OPSITE POST-OP pada luka (plester luka tahan air). Ratakan dengan baik dan buka film pelindung.</t>
  </si>
  <si>
    <t>Berhati-hati terhadap kemungkinan variasi dari aspek fisik obat</t>
  </si>
  <si>
    <t>Opsite Post Op 6.5 cm X 5 cm</t>
  </si>
  <si>
    <t>Rp12.700 - Rp14.600</t>
  </si>
  <si>
    <t>Sebagai dressing untuk luka akut seperti: luka pasca-operasi laserasi, abrasi luka potong, luka bakar minor</t>
  </si>
  <si>
    <t>DKL9509205104B1</t>
  </si>
  <si>
    <t>Farizol 500 mg 10 Kaplet</t>
  </si>
  <si>
    <t>Rp3.700 - Rp6.700</t>
  </si>
  <si>
    <t>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t>
  </si>
  <si>
    <t>Trikomoniasis sal kemih kelamin, amubiasis intra intestinal, amubiasis ekstra intestinal, giardiasis, infeksi Vincent. Pengobatan &amp; pencegahan infeksi anaerob.</t>
  </si>
  <si>
    <t>Dus, isi 10 strip @10 kaplet</t>
  </si>
  <si>
    <t>Hamil trimester pertama</t>
  </si>
  <si>
    <t>HARUS DENGAN RESEP DOKTER. Pasien dengan penyakit CNS, riwayat diskrasia darah, ESRD. Dikelola ulang segera setelah hemodialisis. Gangguan hati berat terutama ensefalopati hepatic. Kehamilan dan menyusui. Kategori Kehamilan : C</t>
  </si>
  <si>
    <t>trikomoniasis sal kemih kelamin , amubiasis intra intestinal , amubiasis ekstra intestinal , giardiasis , infeksi vincent  pengobatan pencegahan infeksi anaerob</t>
  </si>
  <si>
    <t>farizol</t>
  </si>
  <si>
    <t>farizol kaplet metronidazole trikomoniasis sal kemih kelamin  amubiasis intra intestinal  amubiasis ekstra intestinal  giardiasis  infeksi vincent  pengobatan pencegahan infeksi anaerob</t>
  </si>
  <si>
    <t>QD181716371</t>
  </si>
  <si>
    <t>Galpain Cream 20 g</t>
  </si>
  <si>
    <t>Rp25.500 - Rp37.900</t>
  </si>
  <si>
    <t>Gunakan 3-4 x/hr</t>
  </si>
  <si>
    <t>Meredakan sakit/nyeri minor &amp; nyeri otot yg berhubungan dg nyeri sendi, keseleo, memar, lumbago, &amp; cedera olahraga.</t>
  </si>
  <si>
    <t>meredakan sakit nyeri minor nyeri otot yg berhubungan dg nyeri sendi , keseleo , memar , lumbago , cedera olahraga</t>
  </si>
  <si>
    <t>galpain cream</t>
  </si>
  <si>
    <t>galpain cream krim eugenol meredakan sakit nyeri minor nyeri otot yg berhubungan dg nyeri sendi  keseleo  memar  lumbago  cedera olahraga</t>
  </si>
  <si>
    <t>DKL9222208310B1</t>
  </si>
  <si>
    <t>Tensicap 25 mg 10 Tablet</t>
  </si>
  <si>
    <t>Rp37.100 - Rp59.700</t>
  </si>
  <si>
    <t>PENGGUNAAN OBAT INI HARUS SESUAI DENGAN PETUNJUK DOKTER. Hipertensi : diawali 3 x sehari 0.5-1 tablet, setelah 1-2 minggu dapat ditingkatkan hingga 2-3 x sehari 2 tablet sesuai kebutuhan. Untuk gagal jantung : awal 6.25 atau 12.5 mg 3 kali/hari.</t>
  </si>
  <si>
    <t>Hipertensi, gagal jantung pada pasien dengan tekanan darah normal atau rendah yang tidak responsif terhadap terapi intensif diuretik dan kemungkinan menderita defisiensi natrium ataupun hipovolemik</t>
  </si>
  <si>
    <t>HARUS DENGAN RESEP DOKTER. Gangguan ginjal, laktasi, anak. Kategori kehamilan: Kategori D: Terbukti berisiko terhadap janin. Meski demikian, obat masih dapat digunakan jika obat diperlukan untuk mengatasi keadaan yang mengancam jiwa, atau penyakit serius, dimana obat yang lebih aman tidak dapat digunakan atau tidak efektif.</t>
  </si>
  <si>
    <t>hipertensi , gagal jantung pasien tekanan darah normal rendah tidak responsif terapi intensif diuretik menderita defisiensi natrium hipovolemik</t>
  </si>
  <si>
    <t>tensicap</t>
  </si>
  <si>
    <t>tensicap tablet captopril hipertensi  gagal jantung pasien teka darah normal rendah tidak responsif terapi intensif diuretik menderita defisiensi natrium hipovolemik</t>
  </si>
  <si>
    <t>GKL1340305838B1</t>
  </si>
  <si>
    <t>Amoxicillin Dry Sirup 250 mg/5 ml 60 ml</t>
  </si>
  <si>
    <t>Infeksi saluran nafas, saluran genito urinaria, kulit dan jaringan lunak yang disebabkan organisme Gram positif dan negatif yang peka terhadap obat ini</t>
  </si>
  <si>
    <t>HARUS DENGAN RESEP DOKTER. Hipersensitif terhadap sefalosporin. Kerusakan ginjal. Leukemia limfatik. Superinfeksi</t>
  </si>
  <si>
    <t>infeksi saluran nafas , saluran genito urinaria , kulit jaringan lunak disebabkan organisme gram positif negatif peka obat</t>
  </si>
  <si>
    <t>amoxicillin sirup amoxicillin trihydrate infeksi saluran nafas  saluran genito urinaria  kulit jaringan lunak disebabkan organisme gram positif negatif peka obat</t>
  </si>
  <si>
    <t>DKI9451600515A1</t>
  </si>
  <si>
    <t>Cardio Aspirin 100 mg 10 Tablet</t>
  </si>
  <si>
    <t>Rp18.000 - Rp30.700</t>
  </si>
  <si>
    <t>Dus, 3 Blister @ 10 Tablet Salut Enterik</t>
  </si>
  <si>
    <t>cardio aspirin</t>
  </si>
  <si>
    <t>cardio aspirin tablet acetylsalicylic acid mencegah prose agregasi trombosit pasien infark miokard pasien angina tidak stabil  mencegah serangan serebral iskemik</t>
  </si>
  <si>
    <t>DKL1705055217B1</t>
  </si>
  <si>
    <t>Orinox 90 mg 10 Tablet</t>
  </si>
  <si>
    <t>Rp110.400 - Rp121.500</t>
  </si>
  <si>
    <t>INFORMASI OBAT INI HANYA UNTUK KALANGAN MEDIS. Meredakan rasa nyeri akut yang berhubungan dengan bedah mulut (operasi gigi), nyeri dan peradangan pada sendi dan otot penderita osteoarthritis (OA) dan rheumatoid arthritis.</t>
  </si>
  <si>
    <t>meredakan nyeri akut berhubungan bedah mulut operasi gigi , nyeri peradangan sendi otot penderita osteoarthritis oa rheumatoid arthritis</t>
  </si>
  <si>
    <t>orinox tablet etoricoxib meredakan nyeri akut berhubungan bedah mulut operasi gigi  nyeri peradangan sendi otot penderita osteoarthritis oa rheumatoid arthritis</t>
  </si>
  <si>
    <t>DKL7204520210A1</t>
  </si>
  <si>
    <t>Cedocard 5 mg 10 Tablet</t>
  </si>
  <si>
    <t>Rp12.300 - Rp16.900</t>
  </si>
  <si>
    <t>PENGGUNAAN OBAT INI HARUS SESUAI DENGAN PETUNJUK DOKTER. 3 kali sehari 1 tablet</t>
  </si>
  <si>
    <t>INFORMASI OBAT INI HANYA UNTUK KALANGAN MEDIS. Terapi Angina Pektoris, Pencegahan serangan angina pada penyakit2 koroner khronik, gangguan Angina paska Infark Miokard, Gagal Jantung</t>
  </si>
  <si>
    <t>Dus, 6 Strip @10 tablet</t>
  </si>
  <si>
    <t>Hipotensi, syok kardiogenik, anemia berat.</t>
  </si>
  <si>
    <t>HARUS DENGAN RESEP DOKTER. Hamil, anak, Glaukoma. Dapat terjadi toleransi dan toleransi silang dengan nitrat dan nitrit lainnya. Kategori Kehamilan : C</t>
  </si>
  <si>
    <t>terapi angina pektoris , pencegahan serangan angina penyakit2 koroner khronik , gangguan angina paska infark miokard , gagal jantung</t>
  </si>
  <si>
    <t>cedocard tablet isosorbide dinitrate terapi angina pektoris  pencegahan serangan angina penyakit2 koroner khronik  gangguan angina paska infark miokard  gagal jantung</t>
  </si>
  <si>
    <t>GKL2044401717A1</t>
  </si>
  <si>
    <t>Clopidogrel 75 mg 10 Tablet</t>
  </si>
  <si>
    <t>Rp11.300 - Rp128.100</t>
  </si>
  <si>
    <t>INFORMASI OBAT INI HANYA UNTUK KALANGAN MEDIS. Mengurangi kejadian aterosklerosis (infark miokard, stroke dan kematian vaskular) pada pasien dengan aterosklerosis yang ditandai dengan stroke yang belum lama, terjadi infark miokard atau penyakit arteri lain.</t>
  </si>
  <si>
    <t>Obat ini tidak boleh diberikan kepada pasien dengan kondisi: - Hipersensitif terhadap Clopidogrel. - Perdarahan patologis aktif seperti tukak lambung atau perdarahan intrakranial.</t>
  </si>
  <si>
    <t>HARUS DENGAN RESEP DOKTER. - Clopidogrel harus digunakan dengan hati-hati pada pasien yang mungkin berisiko mengalami peningkatan perdarahan akibat trauma, pembedahan, atau kondisi patologis lain yang menerima penghambat glikoprotein IIb/IIIa secara bersamaan. - Terapi Clopidogrel tidak boleh diberikan dalam beberapa hari pertama setelah infark miokard. - Clopidogrel harus digunakan secara hati-hati pada pasien yang mengalami gangguan hati yang mungkin mengalami perdarahan diatesis. - Jika terjadi gejala pendarahan, segera konsultasikan hal tersebut kepada dokter Anda. Kategori Kehamilan: Kategori B: Mungkin dapat digunakan oleh wanita hamil. Penelitian pada hewan uji tidak memperlihatkan ada nya risiko terhadap janin, namun belum ada bukti penelitian langsung terhadap wanita hamil.</t>
  </si>
  <si>
    <t>clopidogrel tablet clopidogrel bisulfate mengurangi kejadian aterosklerosis infark miokard  stroke kematian vaskular pasien aterosklerosis ditandai stroke  infark miokard penyakit arteri</t>
  </si>
  <si>
    <t>DKL9818211101B1</t>
  </si>
  <si>
    <t>Yosenob 300 mg 10 Kapsul</t>
  </si>
  <si>
    <t>Rp66.200 - Rp106.700</t>
  </si>
  <si>
    <t>PENGGUNAAN OBAT INI HARUS SESUAI DENGAN PETUNJUK DOKTER. Dewasa: 300 mg per hari, dapat ditingkatkan menjadi 400 mg per hari. Pemeliharaan: 200 mg per hari</t>
  </si>
  <si>
    <t>yosenob</t>
  </si>
  <si>
    <t>yosenob kapsul fenofibrate hiperkolesterolemia tipe iia  hiperlipidemia kombinasi tipe iib ii  hipertrigliserida endogen tipe iv tidak respon diet tindakan sesuai</t>
  </si>
  <si>
    <t>DKL0521204010D1</t>
  </si>
  <si>
    <t>Triatec 10 mg 10 Tablet</t>
  </si>
  <si>
    <t>Rp204.000 - Rp302.600</t>
  </si>
  <si>
    <t>PENGGUNAAN OBAT INI HARUS SESUAI DENGAN PETUNJUK DOKTER. Hipertensi : Dewasa: dosis awal 1 x sehari 2,5 mg. Pemeliharaan : 2,5-5 mg perhari. Max : 10 mg per hari sebagai dosis tunggal atau terbagi. Pada pasien dengan resiko hipotensi atau pada diuretik : dosis awal 1,25 mg. Pasien yang diterapi dengan diuretik : bila memungkinkan Diuretik harus dihentikan 2-3 hari sebelum terapi. Nefropati diabetik/ nondiabetik Dewasa : awal 1 x sehari 1,25 mg. Pemeliharaan : 1 x sehari 5 mg Pencegahan kejadian kardiovaskular pada pasien berisiko tinggi Dewasa : Pada pasien 55 tahun yang memiliki penyakit CV, stroke atau penyakit pembuluh darah perifer atau dengan diabetes mellitus : awalnya, 1 x sehari 2,5 mg, selama 1-2 minggu, dapat meningkat menjadi 1 x kali sehari 5 mg untuk berikutnya 2-3 minggu. Pemeliharaan: 1 x sehari 10 mg. Gagal jantung kongestif. Dewasa : Pasien dengan diuretik : awalnya, 1 x sehari 1,25 mg, dapat digandakan setiap 1-2 minggu. Pemeliharaan: 10 mg sehari dalam 2 dosis terbagi. Pasca infark miokard pada pasien gagal jantung Dewasa : Pada pasien yang stabil secara klinis dan hemodinamik (dalam 24-48 jam pasca-MI) : awalnya 2 x sehari 2,5 mg, selama 3 hari. Jika tidak dapat ditoleransi, mulai dari 2 x sehari 1,25 mg, selama 2 hari kemudian naikkan menjadi 2 x sehari 2,5 mg. Dapat menggandakan dosis dengan interval 1-3 hari. Dosis pemeliharaan: 5 mg.</t>
  </si>
  <si>
    <t>INFORMASI OBAT INI HANYA UNTUK KALANGAN MEDIS. Hipertensi ringan sampai sedang, gagal jantung kongestif, terapi pasca infark miokard pada pasien gagal jantung, serta pencegahan penyakit jantung pada orang dengan risiko tinggi.</t>
  </si>
  <si>
    <t>Riwayat angioedema (misalnya herediter, idiopatik, perawatan ekstrakorporeal yang mengakibatkan kontak darah dengan permukaan bermuatan negatif (misalnya dialisis atau hemofiltrasi dengan membran fluks tinggi tertentu [misalnya membran poliakrilonitril] dan apheresis lipoprotein densitas rendah dengan dekstran), stenosis arteri ginjal bilateral yang relevan secara hemodinamik atau unilateral pada ginjal tunggal, keadaan hipotensi atau hemodinamik tidak stabil. Penggunaan bersamaan dengan aliskiren pada pasien dengan diabetes mellitus atau gangguan ginjal sedang hingga berat (GFR &lt;60 mL/min/1,73 m2), penggunaan bersamaan atau dalam waktu 36 jam setelah beralih ke atau dari sacubitril/valsartan. Kehamilan dan menyusui.</t>
  </si>
  <si>
    <t>HARUS DENGAN RESEP DOKTER. Pasien dengan hipertensi berat, CHF dekompensasi, hambatan aliran masuk atau keluar ventrikel kiri yang relevan (misalnya stenosis katup aorta atau mitral), kardiomiopati hipertrofik dengan obstruksi saluran keluar, stenosis arteri ginjal unilateral atau bilateral tanpa stent, penipisan volume atau garam, sirosis hati dan/atau asites, gagal jantung sementara atau persisten pasca-MI, penyakit jantung iskemik atau penyakit serebrovaskular, diabetes mellitus yang tidak terkontrol, hipoaldosteronisme, dekompensasi jantung akut, asidosis metabolik, penyakit kolagen (misalnya SLE atau skleroderma), riwayat operasi jalan napas. Pasien dehidrasi. Pasien yang menjalani operasi besar atau selama anestesi. Pengobatan desensitisasi (misalnya racun hymenoptera). ras hitam. Gangguan ginjal dan hati. Lansia. Kategori kehamilan : Kategori D: Terbukti berisiko terhadap janin. Meski demikian, obat masih dapat digunakan jika obat diperlukan untuk mengatasi keadaan yang mengancam jiwa, atau penyakit serius, dimana obat yang lebih aman tidak dapat digunakan atau tidak efektif. Konsultasikan kepada tenaga medis apabila sedang menyusui.</t>
  </si>
  <si>
    <t>hipertensi ringan , gagal jantung kongestif , terapi pasca infark miokard pasien gagal jantung , pencegahan penyakit jantung orang risiko</t>
  </si>
  <si>
    <t>triatec</t>
  </si>
  <si>
    <t>triatec tablet ramipril hipertensi ringan  gagal jantung kongestif  terapi pasca infark miokard pasien gagal jantung  pencegahan penyakit jantung orang risiko</t>
  </si>
  <si>
    <t>DKL0121204010C1</t>
  </si>
  <si>
    <t>Triatec 5 mg 10 Tablet</t>
  </si>
  <si>
    <t>Rp160.600 - Rp217.900</t>
  </si>
  <si>
    <t>Dus, 6 Blister @ 10 Tablet</t>
  </si>
  <si>
    <t>cpg tablet clopidogrel bisulfate mengurangi kejadian aterosklerosis infark miokard  stroke kematian vaskular pasien aterosklerosis ditandai stroke  infark miokard penyakit arteri</t>
  </si>
  <si>
    <t>DKL9522208310C1</t>
  </si>
  <si>
    <t>Tensicap 12.5 mg 10 Tablet</t>
  </si>
  <si>
    <t>Rp23.400 - Rp31.300</t>
  </si>
  <si>
    <t>PENGGUNAAN OBAT INI HARUS SESUAI DENGAN PETUNJUK DOKTER. HTN/Hipertensi : diawali 3 x sehari 1-2 tablet, setelah 1-2 minggu dapat ditingkatkan hingga 2-3 x sehari 4 tablet sesuai kebutuhan. Gagal jantung pada pasien dengan tekanan darah normal atau rendah yang tidak responsif terhadap terapi intensif diuretik</t>
  </si>
  <si>
    <t>Hipertensi, Gagal jantung pada pasien dengan tekanan darah normal atau rendah yang tidak responsif terhadap terapi intensif diuretik dan kemungkinan menderita defisiensi natrium ataupun hipovolemik</t>
  </si>
  <si>
    <t>HARUS DENGAN RESEP DOKTER. Gangguan ginjal. Hamil, laktasi. Anak.</t>
  </si>
  <si>
    <t>DKL1913321636A1</t>
  </si>
  <si>
    <t>Lapimuc Drops 15 mg/ml 15 ml</t>
  </si>
  <si>
    <t>Rp46.700 - Rp59.200</t>
  </si>
  <si>
    <t>PENGGUNAAN OBAT INI HARUS SESUAI DENGAN PETUNJUK DOKTER. Anak 6-12 tahun : 1 ml, digunakan 2 - 3 kali sehari Anak 2-6 tahun : 0.5 ml, digunakan 3 kali sehari Anak &lt; 2 tahun : 0.5 ml, digunakan 2 kali sehari</t>
  </si>
  <si>
    <t>INFORMASI OBAT INI HANYA UNTUK KALANGAN MEDIS. Penyakit saluran napas akut dan kronis dengan sekresi bronkial yang abnormal, terutama serangan akut bronkitis kronis, asma bronkial, bronkitis asmatiL.</t>
  </si>
  <si>
    <t>penyakit saluran napa akut kronis sekresi bronkial abnormal , serangan akut bronkitis kronis , asma bronkial , bronkitis asmatil</t>
  </si>
  <si>
    <t>lapimuc tetes ambroxol hydrochloride penyakit saluran napa akut kronis sekresi bronkial abnormal  serangan akut bronkitis kronis  asma bronkial  bronkitis asmatil</t>
  </si>
  <si>
    <t>DKL0504424810B1</t>
  </si>
  <si>
    <t>Spirola 100 mg 10 Tablet</t>
  </si>
  <si>
    <t>Rp50.500 - Rp81.300</t>
  </si>
  <si>
    <t>PENGGUNAAN OBAT INI HARUS SESUAI DENGAN PETUNJUK DOKTER. Kondisi2 Edema dan Hipokalemia : 0.25-1 tablet perhari, Hipertensi esensial : 0.5-1 tablet.</t>
  </si>
  <si>
    <t>spirola tablet spironolactone hiperaldosteronisme primer  kondisi  kondisi edema gagal jantung kongestif  sirosis hati disertai edema asites  sindroma nefrotik  hipertensi esensial</t>
  </si>
  <si>
    <t>DKL0119903810B1</t>
  </si>
  <si>
    <t>Spirolacton 100 mg 10 Tablet</t>
  </si>
  <si>
    <t>Rp26.300 - Rp49.500</t>
  </si>
  <si>
    <t>spirolacton</t>
  </si>
  <si>
    <t>spirolacton tablet spironolactone hiperaldosteronisme primer  kondisi  kondisi edema gagal jantung kongestif  sirosis hati disertai edema asites  sindroma nefrotik  hipertensi esensial</t>
  </si>
  <si>
    <t>DKL8519903810A1</t>
  </si>
  <si>
    <t>Spirolacton 25 mg 10 Tablet</t>
  </si>
  <si>
    <t>Rp4.100 - Rp16.800</t>
  </si>
  <si>
    <t>Diminum bersama dengan makanan.</t>
  </si>
  <si>
    <t>PENGGUNAAN OBAT INI HARUS SESUAI DENGAN PETUNJUK DOKTER. Dewasa: dosis 25-200 mg / hari dalam dosis terbagi. Dosis dapat ditingkatkan sampai dengan 400 mg / hari, tergantung beratnya gejala. Anak: dosis 3 mg / kg berat badan / hari dalam dosis terbagi.</t>
  </si>
  <si>
    <t>Hiperkalemia, gangguan ginjal, ibu menyusui.</t>
  </si>
  <si>
    <t>QL031700081</t>
  </si>
  <si>
    <t>Salonpas Gel 30 g</t>
  </si>
  <si>
    <t>Rp24.400 - Rp26.900</t>
  </si>
  <si>
    <t>Gosokkan secukupnya pada bagian tubuh yang terasa sakit</t>
  </si>
  <si>
    <t>Obat gosok untuk membantu meredakan nyeri otot, pinggang, sakit otot leher dan pundak, keseleo, memar, nyeri otot, dan sakit otot</t>
  </si>
  <si>
    <t>i-menthol</t>
  </si>
  <si>
    <t>obat gosok membantu meredakan nyeri otot , pinggang , sakit otot leher pundak , keseleo , memar , nyeri otot , sakit otot</t>
  </si>
  <si>
    <t>salonpas</t>
  </si>
  <si>
    <t>salonpas gel imenthol obat gosok membantu meredakan nyeri otot  pinggang  sakit otot leher pundak  keseleo  memar  nyeri otot  sakit otot</t>
  </si>
  <si>
    <t>DKI1227000510A1</t>
  </si>
  <si>
    <t>Betaserc 8 mg 25 Tablet</t>
  </si>
  <si>
    <t>PENGGUNAAN OBAT INI HARUS SESUAI DENGAN PETUNJUK DOKTER. Dewasa : 3 kali sehari 1-2 tablet</t>
  </si>
  <si>
    <t>Terapi simptomatis untuk vertigo, penyakit Meniere dan gejala yang menyerupai penyakit Meniere seperti: vertigo, tinitus, hilangnya pendengaran, biasanya disertai dengan mual, muntah</t>
  </si>
  <si>
    <t>Dus, 4 Blister @ 25 Tablet</t>
  </si>
  <si>
    <t>HARUS DENGAN RESEP DOKTER. Penderita feokromositoma atau asma bronkial, riwayat ulkus peptikum</t>
  </si>
  <si>
    <t>betahistine dihydrochloride</t>
  </si>
  <si>
    <t>terapi simptomatis vertigo , penyakit meniere gejala menyerupai penyakit meniere vertigo , tinitus , hilangnya pendengaran , disertai mual , muntah</t>
  </si>
  <si>
    <t>betaserc tablet betahistine dihydrochloride terapi simptomatis vertigo  penyakit meniere gejala menyerupai penyakit meniere vertigo  tinitus  hilangnya pendengaran  disertai mual  muntah</t>
  </si>
  <si>
    <t>floxifar kaplet ciprofloxacin hydrochloride infeksi saluran kemih  infeksi saluran nafas  kulit jaringan lunak  tulang sendi  infeksi saluran cerna  osteomielitis akut</t>
  </si>
  <si>
    <t>GKL0905044017A1</t>
  </si>
  <si>
    <t>Clopidogrel 75 mg 6 Tablet</t>
  </si>
  <si>
    <t>Rp9.000 - Rp84.100</t>
  </si>
  <si>
    <t>PENGGUNAAN OBAT INI HARUS SESUAI DENGAN PETUNJUK DOKTER. Sehari 1 x 75 mg</t>
  </si>
  <si>
    <t>INFORMASI OBAT INI HANYA UNTUK KALANGAN MEDIS. Mengurangi kejadian aterosklerosis (infark miokard, stroke dan kematian vaskular) pada pasien dengan aterosklerosis yang ditandai dengan stroke yang belum lama terjadi infark miokard atau penyakit arteri lain</t>
  </si>
  <si>
    <t>Hipersensitif, pasien dengan riwayat pendarahan</t>
  </si>
  <si>
    <t>HARUS DENGAN RESEP DOKTER. Pasien yang mengalami perdarahan aktif, ulkus peptikum, gangguan hati berat, gangguan gastrointestinal, menyusui. Kategori Kehamilan : Kategori B: Mungkin dapat digunakan oleh wanita hamil. Penelitian pada hewan uji tidak memperlihatkan ada nya risiko terhadap janin, namun belum ada bukti penelitian langsung terhadap wanita hamil.</t>
  </si>
  <si>
    <t>mengurangi kejadian aterosklerosis infark miokard , stroke kematian vaskular pasien aterosklerosis ditandai stroke infark miokard penyakit arteri</t>
  </si>
  <si>
    <t>clopidogrel tablet clopidogrel bisulfate mengurangi kejadian aterosklerosis infark miokard  stroke kematian vaskular pasien aterosklerosis ditandai stroke infark miokard penyakit arteri</t>
  </si>
  <si>
    <t>cefacef sirup cefixime trihydrate infeksi saluran kemih komplikasi  otitis media  faringitis  tonsilitis  bronkhitis akut  bronkhitis khronis exaserbasi akut  gonorea komplikasi</t>
  </si>
  <si>
    <t>DBL9107801704A1</t>
  </si>
  <si>
    <t>Hufagesic 10 Kaplet</t>
  </si>
  <si>
    <t>Rp3.700 - Rp5.800</t>
  </si>
  <si>
    <t>Kaplet : 3-4 kali sehari 500 mg.</t>
  </si>
  <si>
    <t>Menurunkan demam dan rasa nyeri pada otot/ sendi yang menyertai influenza, vaksinasi dan penyakit akibat infeksi, sakit kepala, sakit gigi, flu, dysmenorrhoea.</t>
  </si>
  <si>
    <t>Carton Box, 100 Box @ 10 strip @ 10 kaplet - Carton Box, 24 Pot @ 1000 kaplet</t>
  </si>
  <si>
    <t>hufagesic kaplet paracetamol menurunkan demam nyeri otot sendi menyertai influenza  vaksinasi penyakit akibat infeksi  sakit kepala  sakit gigi  flu  dysmenorrhoea</t>
  </si>
  <si>
    <t>Laserin Madu Sirup 100 ml</t>
  </si>
  <si>
    <t>Rp21.500 - Rp23.600</t>
  </si>
  <si>
    <t>DKL9930408316A1</t>
  </si>
  <si>
    <t>Cataflam 25 mg 10 Tablet</t>
  </si>
  <si>
    <t>Rp41.000 - Rp43.900</t>
  </si>
  <si>
    <t>INFORMASI OBAT INI HANYA UNTUK KALANGAN MEDIS. Terapi akut dan kronik gejala RA (Rheumatoid Arthritis), OA (Osteoarthritis) &amp; Spondilitis Ankilosa, mengatasi nyeri &amp; Dismenorea primer, bila diinginkan efek segera</t>
  </si>
  <si>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</si>
  <si>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</si>
  <si>
    <t>terapi akut kronik gejala ra rheumatoid arthritis , oa osteoarthritis spondilitis ankilosa , mengatasi nyeri dismenorea primer , efek</t>
  </si>
  <si>
    <t>cataflam tablet diclofenac potassium terapi akut kronik gejala ra rheumatoid arthritis  oa osteoarthritis spondilitis ankilosa  mengatasi nyeri dismenorea primer  efek</t>
  </si>
  <si>
    <t>DKL0433205501B1</t>
  </si>
  <si>
    <t>Fibramed 300 mg 6 Kapsul</t>
  </si>
  <si>
    <t>Rp60.900 - Rp98.200</t>
  </si>
  <si>
    <t>fibramed</t>
  </si>
  <si>
    <t>fibramed kapsul fenofibrate hiperkolesterolemia tipe iia  hiperlipidemia kombinasi tipe iib ii  hipertrigliserida endogen tipe iv tidak respon diet tindakan sesuai</t>
  </si>
  <si>
    <t>DKL1202502101A1</t>
  </si>
  <si>
    <t>Fibesco 300 mg 6 Kapsul</t>
  </si>
  <si>
    <t>Rp70.700 - Rp128.100</t>
  </si>
  <si>
    <t>Dus, 5 Strip @ 6 kapsul</t>
  </si>
  <si>
    <t>fibesco</t>
  </si>
  <si>
    <t>fibesco kapsul fenofibrate hiperkolesterolemia tipe iia  hiperlipidemia kombinasi tipe iib ii  hipertrigliserida endogen tipe iv tidak respon diet tindakan sesuai</t>
  </si>
  <si>
    <t>DKL1704527001A1</t>
  </si>
  <si>
    <t>Fenoflex 160 mg 10 Kapsul</t>
  </si>
  <si>
    <t>Rp108.200 - Rp146.000</t>
  </si>
  <si>
    <t>PENGGUNAAN OBAT INI HARUS SESUAI DENGAN PETUNJUK DOKTER. 1 x sehari 1 kapsul.</t>
  </si>
  <si>
    <t>fenoflex</t>
  </si>
  <si>
    <t>fenoflex kapsul fenofibrate hiperkolesterolemia tipe iia  hiperlipidemia kombinasi tipe iib ii  hipertrigliserida endogen tipe iv tidak respon diet tindakan sesuai</t>
  </si>
  <si>
    <t>ibuprofen paracetamol caffeine</t>
  </si>
  <si>
    <t>farsifen plus kaplet ibuprofen paracetamol caffeine meringankan nyeri sakit kepala  nyeri otot  sakit gigi  nyeri haid dismenore primer menurunkan demam</t>
  </si>
  <si>
    <t>DKL9708007901B1</t>
  </si>
  <si>
    <t>Evothyl 300 mg 6 Kapsul</t>
  </si>
  <si>
    <t>Rp61.100 - Rp101.700</t>
  </si>
  <si>
    <t>evothyl</t>
  </si>
  <si>
    <t>evothyl kapsul fenofibrate hiperkolesterolemia tipe iia  hiperlipidemia kombinasi tipe iib ii  hipertrigliserida endogen tipe iv tidak respon diet tindakan sesuai</t>
  </si>
  <si>
    <t>DKL9708007901A1</t>
  </si>
  <si>
    <t>Evothyl 100 mg 6 Kapsul</t>
  </si>
  <si>
    <t>Rp38.200 - Rp38.300</t>
  </si>
  <si>
    <t>Systema Toothbrush Power Clean Big Head Soft Isi 1</t>
  </si>
  <si>
    <t>Rp10.500 - Rp16.500</t>
  </si>
  <si>
    <t>systema toothbrush power clean big head soft isi</t>
  </si>
  <si>
    <t>systema toothbrush power clean big head soft isi tablet tizanidine hydrochloride membersihkan gigi menjangkau celah gigi mencongkel plak permukaan gigi</t>
  </si>
  <si>
    <t>GKL2044401617A1</t>
  </si>
  <si>
    <t>Rosuvastatin 20 mg 10 Tablet</t>
  </si>
  <si>
    <t>Rp23.600 - Rp73.400</t>
  </si>
  <si>
    <t>INFORMASI OBAT INI HANYA UNTUK KALANGAN MEDIS. Hiperkolesterolemia primer (tipe IIa, termasuk hiperkolsterolemia familial homozigot) atau dislipidemia campuran (tipe IIb) sebgai terapi tambahan terhadap diet dan olahraga</t>
  </si>
  <si>
    <t>HARUS DENGAN RESEP DOKTER. Konsumsi alkohol berlebihan dan atau memiliki riwayat penyakit hati, hiperkolesterolemia sekunder yang disebabkan karena hipotiroidisme atau sindrom nefrotik. Lakukan tes fungsi hati sebelum terapi dan 3 bulan berikutnya. Pasien sebaiknya dianjurkan untuk segera melaporkan bilamana ada keluhan nyeri otot yang tidak diketahui penyebabnya, kelemahan atau kram otot, terutama jika disertai demam atau gejala kurang enak badan. Monitor peningkatan kadar kreatinin kinase. Pasien dengan faktor predisposisi bersama dengan gembrozil. Dosis diatas 40 mg dikontarindikasikan untuk diberikan bersama fibrat. Usia lanjut &gt; 70 tahun.</t>
  </si>
  <si>
    <t>hiperkolesterolemia primer tipe iia , hiperkolsterolemia familial homozigot dislipidemia campuran tipe iib sebgai terapi tambahan diet olahraga</t>
  </si>
  <si>
    <t>rosuvastatin tablet rosuvastatin calcium hiperkolesterolemia primer tipe iia  hiperkolsterolemia familial homozigot dislipidemia campuran tipe iib sebgai terapi tambahan diet olahraga</t>
  </si>
  <si>
    <t>amoxicillin trihydrate kombinasi-clavulanate potassium : silicone dioxide (1:1)</t>
  </si>
  <si>
    <t>aclam sirup amoxicillin trihydrate kombinasiclavulanate potassium  silicone dioxide 11 infeksi saluran nafas  saluran kemih  gonore dimana penyebabnya bakteri memproduksi penisilinase</t>
  </si>
  <si>
    <t>DKL8315601701B1</t>
  </si>
  <si>
    <t>Supramox 500 mg 10 Kapsul</t>
  </si>
  <si>
    <t>Obat ini dapat diminum sebelum atau sesudah makan</t>
  </si>
  <si>
    <t>PENGGUNAAN OBAT INI HARUS SESUAI DENGAN PETUNJUK DOKTER. Dewasa 250-500 mg tiap 8 jam. Anak 20 mg/kgBB/hr terbagi tiap 8 jam. Infeksi berat Dosis ganda. GO akut 2-3 g dosis tunggal.</t>
  </si>
  <si>
    <t>Infeksi saluran napas, saluran genito-urinaria, kulit &amp; jaringan lunak yang disebabkan organisme Gram positif &amp; Gram Negatif yang peka terhadap Amoxicillin.</t>
  </si>
  <si>
    <t>HARUS DENGAN RESEP DOKTER. Alergi terhadap Penisilin atau Sefalosporin, gangguan ginjal, leukemia limfatik, ibu hamil dan menyusui.</t>
  </si>
  <si>
    <t>infeksi saluran napa , saluran genito - urinaria , kulit jaringan lunak disebabkan organisme gram positif gram negatif peka amoxicillin</t>
  </si>
  <si>
    <t>supramox kapsul amoxicillin infeksi saluran napa  saluran genito  urinaria  kulit jaringan lunak disebabkan organisme gram positif gram negatif peka amoxicillin</t>
  </si>
  <si>
    <t>andalan feminine care fresh intimate wipes sheets tablet tizanidine hydrochloride untuk membersihkan area kewanitaan maksimal menjaga keseimbangan ph daerah kewanitaan</t>
  </si>
  <si>
    <t>Derma Angel Acne Patch Day 6 Lembar</t>
  </si>
  <si>
    <t>Bersihkan wajah dan keringkan, lepaskan patch, tempelkan patch pada area yang bermasalah dan lepaskan lapisan luar, tekan sekitar 3-5 detik hingga patch menempel dengan sempurna.</t>
  </si>
  <si>
    <t>Membantu menyembunyikan jerawat, serta memberikan perlindungan kulit terhadap polusi eksternal dan mencegah timbulnya bekas jerawat.</t>
  </si>
  <si>
    <t>Dus @ 6 Patch</t>
  </si>
  <si>
    <t>Jangan digunakan pada luka atau area yang terinfeksi.</t>
  </si>
  <si>
    <t>membantu menyembunyikan jerawat , perlindungan kulit polusi eksternal mencegah timbulnya bekas jerawat</t>
  </si>
  <si>
    <t>derma angel acne patch day lembar</t>
  </si>
  <si>
    <t>derma angel acne patch day lembar tablet tizanidine hydrochloride membantu menyembunyikan jerawat  perlindungan kulit polusi eksternal mencegah timbulnya bekas jerawat</t>
  </si>
  <si>
    <t>DKL9605018001B1</t>
  </si>
  <si>
    <t>Trolip 300 mg 10 Kapsul</t>
  </si>
  <si>
    <t>Rp151.400 - Rp184.100</t>
  </si>
  <si>
    <t>trolip kapsul fenofibrate hiperkolesterolemia tipe iia  hiperlipidemia kombinasi tipe iib ii  hipertrigliserida endogen tipe iv tidak respon diet tindakan sesuai</t>
  </si>
  <si>
    <t>DKL1633536017B1</t>
  </si>
  <si>
    <t>Etorvel 90 mg 10 Tablet</t>
  </si>
  <si>
    <t>Rp100.700 - Rp119.400</t>
  </si>
  <si>
    <t>PENGGUNAAN OBAT INI HARUS SESUAI DENGAN PETUNJUK DOKTER. - Ankylosing spondylitis, Rheumatoid arthritis : 60 mg sekali sehari. - Osteoarthritis : 30 mg sekali sehari. - Artritis gout akut : 120 mg sekali sehari. Maksimum digunakan selama 8 hari. - Nyeri dan inflamasi terkait operasi gigi : 90 mg sekali sehari. Maksimum digunakan selama 3 hari.</t>
  </si>
  <si>
    <t>INFORMASI OBAT INI HANYA UNTUK KALANGAN MEDIS. Mengurangi nyeri dan bengkak pada sendi dan otot penderita osteoarthritis, rheumatoid arthritis, ankylosing spondylitis, artritis gout, dan nyeri akibat operasi gigi.</t>
  </si>
  <si>
    <t>Wanita yang sedang merencanakan kehamilan. Ibu hamil. Anak usia di bawah 16 tahun.</t>
  </si>
  <si>
    <t>HARUS DENGAN RESEP DOKTER. - Tidak disarankan penggunaannya pada wanita yang sedang merencanakan kehamilan, ibu hamil, dan anak usia di bawah 16 tahun kecuali atas saran dokter. - Hati-hati penggunaannya pada pasien dengan riwayat gangguan saluran pencernaaan seperti ulcer dan pendarahan saluran cerna.</t>
  </si>
  <si>
    <t>mengurangi nyeri bengkak sendi otot penderita osteoarthritis , rheumatoid arthritis , ankylosing spondylitis , artritis gout , nyeri akibat operasi gigi</t>
  </si>
  <si>
    <t>etorvel tablet etoricoxib mengurangi nyeri bengkak sendi otot penderita osteoarthritis  rheumatoid arthritis  ankylosing spondylitis  artritis gout  nyeri akibat operasi gigi</t>
  </si>
  <si>
    <t>DKL1921647617A1</t>
  </si>
  <si>
    <t>Biatron 500 mg 10 Tablet</t>
  </si>
  <si>
    <t>PENGGUNAAN OBAT INI HARUS SESUAI DENGAN PETUNJUK DOKTER. - Trikomoniasis : Dewasa : 2.000 mg dosis tunggal atau 200 mg 3 kali sehari selama 7 hari. Alternatifnya, 400 mg 2 kali sehari selama 5-7 hari. - Amoebiasis : Dewasa : 800 mg 3 kali sehari selama 5 hari (infeksi intestinal), 400-800 mg selama 5-10 hari (infeksi ekstra-intestinal). Alternatifnya, 35-50 mg per kg per hari dalam 3 dosis terbagi selama 5-10 hari. Maksimum : 2.400 mg perhari. - Giardiasis : 2.000 mg perhari selama 3 hari atau 400 mg 3 kali sehari selama 5 hari atau 500 mg 2 kali sehari selama 7-10 hari. Alternatifnya, 15-40 mg per kg per hari dalam 2-3 dosis terbagi. - Pencegahan infeksi anaerob sebelum dan sesudah operasi : Dewasa : 400 mg tiap 8 jam dalam 24 jam sebelum operasi diikuti dosis iv atau rektal.</t>
  </si>
  <si>
    <t>INFORMASI OBAT INI HANYA UNTUK KALANGAN MEDIS. - Trikomoniasis salurah kemih kelamin, amubiasis intra intestinal, amubiasis ekstra intestinal, giardiasis, infeksi Vincent. - Pencegahan infeksi anaerob sebelum dan sesudah operasi.</t>
  </si>
  <si>
    <t>Dus, 5 Strip @ 10 Tablet Salut</t>
  </si>
  <si>
    <t>Hipersensiif terhadap metronidazole.</t>
  </si>
  <si>
    <t>HARUS DENGAN RESEP DOKTER. Pasien dengan penyakit CNS, riwayat diskrasia darah, ESRD. Dikelola ulang segera setelah hemodialisis. Gangguan hati berat terutama ensefalopati hepatic. Kehamilan dan menyusui.</t>
  </si>
  <si>
    <t>- trikomoniasis salurah kemih kelamin , amubiasis intra intestinal , amubiasis ekstra intestinal , giardiasis , infeksi vincent  - pencegahan infeksi anaerob operasi</t>
  </si>
  <si>
    <t>biatron</t>
  </si>
  <si>
    <t>biatron tablet metronidazole  trikomoniasis salurah kemih kelamin  amubiasis intra intestinal  amubiasis ekstra intestinal  giardiasis  infeksi vincent   pencegahan infeksi anaerob operasi</t>
  </si>
  <si>
    <t>DBL0105510758B1</t>
  </si>
  <si>
    <t>Dumin 250 mg Rectal Tube 4 ml</t>
  </si>
  <si>
    <t>Rp36.800 - Rp37.900</t>
  </si>
  <si>
    <t>Dewasa : 3-4 kali sehari 0.5-1 g. Maksimal : 4 g/hari. Anak 7-12 tahun : 250 mg. Maksimal : 1 g/hari Anak 1-6 tahun : 125 mg. Maks: 750 mg/hari. Anak &lt; 1 tahun : 60 mg. Diberikan 3-4 kali sehari</t>
  </si>
  <si>
    <t>Menghilangkan nyeri pada sakit kepala, sakit gigi, dismenore (nyeri pada saat haid), nyeri otot dan sendi, masuk angin, flu</t>
  </si>
  <si>
    <t>Tube Rektal 250 Mg/4 ml X 5 X 1</t>
  </si>
  <si>
    <t>Gangguan fungsi hati. Hipersensitif terhadap paraaminofenol</t>
  </si>
  <si>
    <t>Penggunaan bersama obat lain yang mempengaruhi hati. Gagal hati dan ginjal</t>
  </si>
  <si>
    <t>menghilangkan nyeri sakit kepala , sakit gigi , dismenore nyeri haid , nyeri otot sendi , masuk angin , flu</t>
  </si>
  <si>
    <t>dumin rectal tube</t>
  </si>
  <si>
    <t>dumin rectal tube enema paracetamol menghilangkan nyeri sakit kepala  sakit gigi  dismenore nyeri haid  nyeri otot sendi  masuk angin  flu</t>
  </si>
  <si>
    <t>DKL9930408481A1</t>
  </si>
  <si>
    <t>Cataflam D 10 Tablet</t>
  </si>
  <si>
    <t>Rp73.900 - Rp75.900</t>
  </si>
  <si>
    <t>Dus, 5 Blister @ 10 Tablet Dispersible</t>
  </si>
  <si>
    <t>diclofenac</t>
  </si>
  <si>
    <t>cataflam d</t>
  </si>
  <si>
    <t>cataflam d tablet diclofenac terapi akut kronik gejala ra rheumatoid arthritis  oa osteoarthritis spondilitis ankilosa  mengatasi nyeri dismenorea primer  efek</t>
  </si>
  <si>
    <t>Derma Angel Acne Patch Day 12 Lembar</t>
  </si>
  <si>
    <t>Dos Isi 12 Patch</t>
  </si>
  <si>
    <t>jangan digunakan pada luka atau area yang terinfeksi</t>
  </si>
  <si>
    <t>DKL9605018001A1</t>
  </si>
  <si>
    <t>Trolip 100 mg 10 Kapsul</t>
  </si>
  <si>
    <t>Rp42.300 - Rp69.300</t>
  </si>
  <si>
    <t>DKL9930408316B1</t>
  </si>
  <si>
    <t>Cataflam 50 mg 10 Tablet</t>
  </si>
  <si>
    <t>Rp70.700 - Rp91.800</t>
  </si>
  <si>
    <t>Dus, 5 Blister @ 10 Tablet Salut Gula</t>
  </si>
  <si>
    <t>O2 Comfort Drops 15 ml</t>
  </si>
  <si>
    <t>Rp19.100 - Rp44.800</t>
  </si>
  <si>
    <t>Cairan yang digunakan sebagai tetes mata untuk menjaga kelembaban lensa, meningkatkan kenyamanan pemakaian lensa dan dapat digunakan untuk lensa kontak harian ataupun disposible.</t>
  </si>
  <si>
    <t>cairan tetes mata menjaga kelembaban lensa , meningkatkan kenyamanan pemakaian lensa lensa kontak harian disposible</t>
  </si>
  <si>
    <t>o comfort</t>
  </si>
  <si>
    <t>o comfort tablet kombinasivalsartan blend 32 cairan tetes mata menjaga kelembaban lensa  meningkatkan kenyama pemakaian lensa lensa kontak harian disposible</t>
  </si>
  <si>
    <t>DBL0105510758A1</t>
  </si>
  <si>
    <t>Dumin 125 mg/2.5 ml Rectal Tube</t>
  </si>
  <si>
    <t>Atas petunjuk dokter, biasanya untuk anak usia 6 tahun kebawah (&lt;= 6 tahun)</t>
  </si>
  <si>
    <t>Meredakan sakit/nyeri ringan - sedang pada sakit kepala, sakit gigi, nyeri haid, nyeri otot &amp; sendi, dan menurunkan demam.</t>
  </si>
  <si>
    <t>Dus, 5 Alubag @ 1 Rectal Tube @ 2,5 ml</t>
  </si>
  <si>
    <t>Hipersensitif dan penderita gangguan fungsi ginjal dan hati.</t>
  </si>
  <si>
    <t>meredakan sakit nyeri ringan - sakit kepala , sakit gigi , nyeri haid , nyeri otot sendi , menurunkan demam</t>
  </si>
  <si>
    <t>dumin rectal tube enema paracetamol meredakan sakit nyeri ringan  sakit kepala  sakit gigi  nyeri haid  nyeri otot sendi  menurunkan demam</t>
  </si>
  <si>
    <t>Serenity Soft Twist Lancet 28G 100 Pieces</t>
  </si>
  <si>
    <t>Rp18.600 - Rp20.300</t>
  </si>
  <si>
    <t>Untuk mengambil sample darah, misalnya dalam pengujian laboratorium atau dalam mengukur kadar glukosa dan asam urat seseorang.</t>
  </si>
  <si>
    <t>untuk mengambil sample darah , pengujian laboratorium mengukur kadar glukosa asam urat</t>
  </si>
  <si>
    <t>serenity soft twist lancet pieces</t>
  </si>
  <si>
    <t>serenity soft twist lancet pieces tablet kombinasivalsartan blend 32 untuk mengambil sample darah  pengujian laboratorium mengukur kadar glukosa asam urat</t>
  </si>
  <si>
    <t>DKL0432709709A1</t>
  </si>
  <si>
    <t>Rinvox Kaplet 500 mg</t>
  </si>
  <si>
    <t>Rp30.600 - Rp32.800</t>
  </si>
  <si>
    <t>Dapat diberikan bersama atau tanpa makanan : Pastikan kecukupan asupan cairan.</t>
  </si>
  <si>
    <t>PENGGUNAAN OBAT INI HARUS SESUAI DENGAN PETUNJUK DOKTER. Dws 250-500 mg 1 x/hari selama 7-14 hr, tergantung dr beratnya infeksi. Eksaserbasi akut pada bronkitis kronik 500 mg 1 x/hari selama 7 hari. Pneumonia komuniti 500 mg/hari selama 7-14 hari. Sinusitis maksilaris akut 500 mg/hari selama 10-14 hari. Infeksi kulit &amp; struktur kulit tak terkomplikasi 500 mg/hari selama 7-10 hari. ISK terkomplikasi 250 mg/hari selama 10 hari. Semua dosis diberikan 1 x/hari. Levofloxacin IV diberikan melalui infus IV lambat.</t>
  </si>
  <si>
    <t>Eksaserbasi akut pada bronkitis kronik, Pneumonia komuniti, Sinusitis maksilaris akut, Infeksi kulit &amp; struktur kulit tak terkomplikasi, ISK terkomplikasi</t>
  </si>
  <si>
    <t>Hipersensitivitas. Epilepsi, riwayat gangguan tendon yang berhubungan dengan pemberian fluorokuinolon. Hamil &amp; laktasi. Anak &lt;18 tahun.</t>
  </si>
  <si>
    <t>HARUS DENGAN RESEP DOKTER. Gangguan fungsi ginjal, syok</t>
  </si>
  <si>
    <t>Watsons Square Puff 1 Pieces</t>
  </si>
  <si>
    <t>Aplikasikan pada wajah atau kuku dengan cara menekannya secara lembut pada saat mengaplikasikan pembersih, toner, atau penghapus cat kuku.</t>
  </si>
  <si>
    <t>Kapas lembut halus dengan daya serap yang baik untuk pembersihan wajah dan penghapus makeup. Bebas dari fluorescent brightener dan aman digunakan.</t>
  </si>
  <si>
    <t>Pack @ 100 Pads</t>
  </si>
  <si>
    <t>Mohon hentikan pemakaian jika terjadi iritasi. Jauhkan dari jangkauan anak-anak.</t>
  </si>
  <si>
    <t>kapas lembut halus daya serap pembersihan wajah penghapus makeup  bebas fluorescent brightener aman</t>
  </si>
  <si>
    <t>watsons square puff pieces</t>
  </si>
  <si>
    <t>watsons square puff pieces tablet tizanidine hydrochloride kapas lembut halus daya serap pembersihan wajah penghapus makeup  bebas fluorescent brightener aman</t>
  </si>
  <si>
    <t>DKL1740809517A1</t>
  </si>
  <si>
    <t>Clofion 75 mg 10 Tablet</t>
  </si>
  <si>
    <t>Rp174.100 - Rp177.800</t>
  </si>
  <si>
    <t>hipersensitif, pasien dengan riwayat pendarahan</t>
  </si>
  <si>
    <t>HARUS DENGAN RESEP DOKTER. Pasien yang mengalami perdarahan aktif, ulkus peptikum, gangguan hati berat, gangguan gastrointestinal, menyusui.</t>
  </si>
  <si>
    <t>clofion</t>
  </si>
  <si>
    <t>clofion tablet clopidogrel bisulfate mengurangi kejadian aterosklerosis infark miokard  stroke kematian vaskular pasien aterosklerosis ditandai stroke infark miokard penyakit arteri</t>
  </si>
  <si>
    <t>DKL0834607717A1</t>
  </si>
  <si>
    <t>Vaclo 75 mg 6 Tablet</t>
  </si>
  <si>
    <t>Rp110.600 - Rp124.100</t>
  </si>
  <si>
    <t>vaclo</t>
  </si>
  <si>
    <t>vaclo tablet clopidogrel bisulfate mengurangi kejadian aterosklerosis infark miokard  stroke kematian vaskular pasien aterosklerosis ditandai stroke  infark miokard penyakit arteri</t>
  </si>
  <si>
    <t>DBL8819603004A1</t>
  </si>
  <si>
    <t>Lanamol 500 mg 10 Kaplet</t>
  </si>
  <si>
    <t>Dewasa dan anak usia lebih dari 12 tahun : 1 - 2 kaplet, 3-4 kali sehari (Maksimum 8 kaplet dalam 24 jam). Anak-anak usia 6-11 tahun : 1/2 - 1 kaplet, 3-4 kali sehari (maksimum 4 kaplet dalam 24 jam). Tidak dianjurkan penggunaan pada anak kurang dari 6 tahun. Minimum interval penggunaan dosis adalah 4 jam. Jangan melebihi dosis yang dianjurkan, atau menurut aturan dokter.</t>
  </si>
  <si>
    <t>Hipersensiivitas, memiliki riwayat penurunan fungsi hati</t>
  </si>
  <si>
    <t>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Kategori A: Secara umum dapat diterima. Penelitian pada wanita hamil menunjukkan tidak adanya risiko terhadap janin dan kecil kemungkinan obat ini dapat membahayakan janin.</t>
  </si>
  <si>
    <t>lanamol</t>
  </si>
  <si>
    <t>lanamol kaplet paracetamol obat meredakan sakit kepala  sakit gigi  sakit otot  nyeri mengganggu menurunkan demam menyertai flu influensa demam vaksinasi</t>
  </si>
  <si>
    <t>TR213687791</t>
  </si>
  <si>
    <t>Cap Lang Minyak Telon Plus 100 ml</t>
  </si>
  <si>
    <t>LEGA MINYAK TELON PLUS CHRYSANTEMUM.</t>
  </si>
  <si>
    <t>Rp19.500 - Rp56.900</t>
  </si>
  <si>
    <t>Oleskan minyak telon secukupnya pada dada, dan perut</t>
  </si>
  <si>
    <t>lega minyak telon plus chrysantemum</t>
  </si>
  <si>
    <t>cap lang telon plus minyak lega minyak telon plus chrysantemum menjaga kehangatan tubuh bayi  meredakan perut kembung  mencegah gigitan nyamuk</t>
  </si>
  <si>
    <t>DKL0831528617A1</t>
  </si>
  <si>
    <t>Pladogrel 75 mg 10 Tablet</t>
  </si>
  <si>
    <t>Rp149.500 - Rp199.000</t>
  </si>
  <si>
    <t>pladogrel</t>
  </si>
  <si>
    <t>pladogrel tablet clopidogrel bisulfate mengurangi kejadian aterosklerosis infark miokard  stroke kematian vaskular pasien aterosklerosis ditandai stroke  infark miokard penyakit arteri</t>
  </si>
  <si>
    <t>DKL9405013909C1</t>
  </si>
  <si>
    <t>Celocid 500 mg 10 Tablet</t>
  </si>
  <si>
    <t>Rp302.200 - Rp302.300</t>
  </si>
  <si>
    <t>Sebaiknya diberikan bersama makanan</t>
  </si>
  <si>
    <t>PENGGUNAAN OBAT INI HARUS SESUAI DENGAN PETUNJUK DOKTER. Infeksi yang umum terjadi: dewasa: sehari 2x250 mg. Anak-anak: sehari 2x125 mg, jika perlu dosis dapat ditingkatkan menjadi sehari 2x250 mg. Bronkhitis dan pneumonia: sehari 2x500 mg. Pielonefritis: sehari 2x250 mg. Gonore tanpa komplikasi: dosis tunggal sebesar 1 g</t>
  </si>
  <si>
    <t>Infeksi yang umum terjadi, infeksi saluran kemih tanpa komplikasi, bronkhitis dan pneumonia, pielonefritis (radang ginjal serentak dengan radang pasu ginjal), gonorrhea tanpa komplikasi</t>
  </si>
  <si>
    <t>HARUS DENGAN RESEP DOKTER. Reaksi anafilaksis terhadap penisilin</t>
  </si>
  <si>
    <t>infeksi , infeksi saluran kemih komplikasi , bronkhitis pneumonia , pielonefritis radang ginjal serentak radang pasu ginjal , gonorrhea komplikasi</t>
  </si>
  <si>
    <t>celocid</t>
  </si>
  <si>
    <t>celocid kaplet cefuroxime axetil infeksi  infeksi saluran kemih komplikasi  bronkhitis pneumonia  pielonefritis radang ginjal serentak radang pasu ginjal  gonorrhea komplikasi</t>
  </si>
  <si>
    <t>QI154809201</t>
  </si>
  <si>
    <t>Salonpas Gel Patch 2 Lembar</t>
  </si>
  <si>
    <t>Rp19.100 - Rp19.200</t>
  </si>
  <si>
    <t>Bersihkan dan keringkan pada bagian yang sakit, lepaskan lapisan plastik dan tempelkan pada bagian yang sakit. Lepaskan setelah 8 jam pemakaian.</t>
  </si>
  <si>
    <t>Dewasa dan anak usia lebih dari 12 tahun : Tempelkan pada bagian yang sakit 3-4 kali per hari.</t>
  </si>
  <si>
    <t>Patch ini digunakan untuk membantu mengatasi nyeri otot dan nyeri sendi yang berhubungan dengan sakit punggung, bahu, pinggang, leher, siku, lutut.</t>
  </si>
  <si>
    <t>Sachet @ 2 lembar</t>
  </si>
  <si>
    <t>Hipersensitif terhadap komponen pada produk ini.</t>
  </si>
  <si>
    <t>Hanya untuk pemakaian luar. Jangan digunakan pada luka atau kulit yang terbuka. Hamil, laktasi. Jauhkan dari jangkauan anak-anak. Hentikan pemakaian jika muncul reaksi kulit seperti kemerahan, gatal, iritasi, sensasi terbakar.</t>
  </si>
  <si>
    <t>dl-camphor</t>
  </si>
  <si>
    <t>patch membantu mengatasi nyeri otot nyeri sendi berhubungan sakit punggung , bahu , pinggang , leher , siku , lutut</t>
  </si>
  <si>
    <t>salonpas patch lembar</t>
  </si>
  <si>
    <t>salonpas patch lembar gel dlcamphor patch membantu mengatasi nyeri otot nyeri sendi berhubungan sakit punggung  bahu  pinggang  leher  siku  lutut</t>
  </si>
  <si>
    <t>clogin tablet clopidogrel bisulfate mengurangi kejadian aterosklerosis infark miokard  stroke kematian vaskular pasien aterosklerosis ditandai stroke  infark miokard penyakit arteri</t>
  </si>
  <si>
    <t>DKL2013321917A1</t>
  </si>
  <si>
    <t>Lacosib 60 mg 10 Tablet</t>
  </si>
  <si>
    <t>Rp11.000 - Rp137.300</t>
  </si>
  <si>
    <t>PENGGUNAAN OBAT INI HARUS SESUAI DENGAN PETUNJUK DOKTER. Osteoarthritis, Nyeri muskuloskeletal : 60 mg, diminum 1 kali per hari atau dapat ditingkatkan menjadi 90 mg 1 kali per hari. Setelah pasien stabil secara klinis, dapat mengurangi dosis menjadi 60 mg sekali sehari. Nyeri akut akibat operasi gigi : 90 mg, diminum 1 kali per hari. Max. 3 hari</t>
  </si>
  <si>
    <t>INFORMASI OBAT INI HANYA UNTUK KALANGAN MEDIS. Meredakan gejala-gejala Osteoarthritis (OA), Rheumatoid arthritis (RA), nyeri akut yang terkait dengan operasi gigi dan Ankilosing Spondilitis pada orang dewasa</t>
  </si>
  <si>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minum aspirin, NSAID termasuk inhibitor COX-2. Anak-anak dan remaja &lt;16 tahun. Gangguan ginjal (CrCl &lt;30 mL/mnt) dan hati berat (Child-Pugh 10). Kehamilan.</t>
  </si>
  <si>
    <t>HARUS DENGAN RESEP DOKTER. Pasien dengan riwayat penyakit saluran cerna (misalnya ulserasi, perdarahan saluran cerna), dengan faktor risiko kejadian kardiovaskular (misalnya hiperlipidemia, hipertensi, diabetes mellitus, merokok), gagal jantung tak terkompensasi, sirosis, riwayat gagal jantung, disfungsi ventrikel kiri,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</si>
  <si>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meredakan gejala - gejala osteoarthritis oa , rheumatoid arthritis ra , nyeri akut terkait operasi gigi ankilosing spondilitis orang dewasa</t>
  </si>
  <si>
    <t>lacosib</t>
  </si>
  <si>
    <t>lacosib tablet etoricoxib meredakan gejala  gejala osteoarthritis oa  rheumatoid arthritis ra  nyeri akut terkait operasi gigi ankilosing spondilitis orang dewasa</t>
  </si>
  <si>
    <t>DKL1307121837A1</t>
  </si>
  <si>
    <t>Fimestan 50 mg/5 ml Sirup 60 ml</t>
  </si>
  <si>
    <t>Dewasa dan anak-anak di atas 14 tahun : dosis awal 20 ml (4 sendok takar), kemudian dilanjutkan 10 ml (2 sendok takar) tiap 6 jam. Pemakaian tidak boleh lebih dari 7 hari.</t>
  </si>
  <si>
    <t>Penderita tukak lambung dan usus, penderita dengan gangguan ginjal yang berat Reaksi hipersensitif terhadap asam mefenamat Penderita yang dengan asetosal mengalami bronkospasme, alergi rhinitis dan urtikaria</t>
  </si>
  <si>
    <t>Obat Wajib Apotek, Obat ini dapat dibeli dan diserahkan apoteker tanpa resep dengan maksimum 1 Botol. Pembelian melebihi batas ini WAJIB RESEP DOKTER. Sebaiknya diminum sesudah makan Hati-hati jika digunakan pada wanita hamil dan menyusui Keamanan penggunaan pada anak-anak di bawah 14 tahun belum diketahui dengan pasti</t>
  </si>
  <si>
    <t>fimestan</t>
  </si>
  <si>
    <t>fimestan sirup mefenamic acid meredakan nyeri ringan sehubungan sakit kepala  sakit gigi  dismenore primer  nyeri trauma  nyeri otot nyeri operasi</t>
  </si>
  <si>
    <t>DKI1014500322A1</t>
  </si>
  <si>
    <t>Monuril Granul 3 g</t>
  </si>
  <si>
    <t>Rp237.700 - Rp267.600</t>
  </si>
  <si>
    <t>Larutkan satu sachet dalam segelas air (50-75 ml) atau minuman favorit lain yang tidak mengandung alkohol dan diberikan segera setelah dilarutkan. Sebaiknya diberikan saat perut kosong, sebelum tidur setelah buang air kecil.</t>
  </si>
  <si>
    <t>ATURAN PAKAI HARUS SESUAI DENGAN PETUNJUK DOKTER. Untuk pengobatan infeksi akut non komplikata saluran kemih bagian bawah: Dosis yang direkomendasikan untuk wanita di atas 18 tahun: Dosis tunggal 3 g MONURIL Untuk pencegahan infeksi saluran kemih bagian bawah pada tindakan diagnostik trans-urethral: Dua dosis MONURIL. Dosis pertama diberikan 3 jam sebelum intervensi dan dosis kedua 24 jam setelah dosis pertama.</t>
  </si>
  <si>
    <t>INFORMASI OBAT INI HANYA UNTUK KALANGAN MEDIS. Sebagai pengobatan infeksi akut non komplikata saluran kemih bagian bawah dan pencegahan infeksi saluran kemih bagian bawah pada tindakan diagnostik trans-urethral.</t>
  </si>
  <si>
    <t>Dus, 1 Sachet @ 3 g</t>
  </si>
  <si>
    <t>Hipersensitif terhadap Fosfomycin Trometamol Tidak dianjurkan untuk anak di bawah usia 12 tahun Lihat leaflet untuk informasi selengkapnya</t>
  </si>
  <si>
    <t>Jangan minum MONURIL - Bila hipersensitif terhadap zat aktif atau zat tambahan obat ini - Pasien dengan insufisiensi ginjal (creatinine clearance &lt;80 ml/min) - Diare terkait bakteri Clostridioides difficile - Lihat leaflet untuk informasi selengkapnya</t>
  </si>
  <si>
    <t>fosfomycin</t>
  </si>
  <si>
    <t>sebagai pengobatan infeksi akut non komplikata saluran kemih pencegahan infeksi saluran kemih tindakan diagnostik trans - urethral</t>
  </si>
  <si>
    <t>monuril granul</t>
  </si>
  <si>
    <t>monuril granul granula fosfomycin sebagai pengobatan infeksi akut non komplikata saluran kemih pencegahan infeksi saluran kemih tindakan diagnostik trans  urethral</t>
  </si>
  <si>
    <t>DKL1028205317A1</t>
  </si>
  <si>
    <t>Simclovix 75 mg 10 Tablet</t>
  </si>
  <si>
    <t>Rp151.700 - Rp228.900</t>
  </si>
  <si>
    <t>simclovix</t>
  </si>
  <si>
    <t>simclovix tablet clopidogrel bisulfate mengurangi kejadian aterosklerosis infark miokard  stroke kematian vaskular pasien aterosklerosis ditandai stroke  infark miokard penyakit arteri</t>
  </si>
  <si>
    <t>artepid tablet clopidogrel bisulfate mengurangi kejadian aterosklerosis infark miokard  stroke kematian vaskular pasien aterosklerosis ditandai stroke  infark miokard penyakit arteri</t>
  </si>
  <si>
    <t>DTL2009612437A1</t>
  </si>
  <si>
    <t>Optiflu Sirup 60 ml</t>
  </si>
  <si>
    <t>Dewasa : 3 kali sehari 1-2 sendok teh. Anak berusia 6-12 tahun : 3 kali sehari 1 sendok teh.</t>
  </si>
  <si>
    <t>Menghilangkan gejala-gejala sinusitis, alergi hidung atau alergi pernafasan lainnya.Meringankan bersin-bersin dan hidung tersumbat karena pilek.</t>
  </si>
  <si>
    <t>Bayi baru lahir dan prematur, pasien dengan retensi urin, penyakit arteri koroner berat.</t>
  </si>
  <si>
    <t>Gangguan mental pada anak.</t>
  </si>
  <si>
    <t>phenylephrine hydrochloride chlorphenamine maleate</t>
  </si>
  <si>
    <t>menghilangkan gejala - gejala sinusitis , alergi hidung alergi pernafasan  meringankan bersin - bersin hidung tersumbat pilek</t>
  </si>
  <si>
    <t>optiflu</t>
  </si>
  <si>
    <t>optiflu sirup phenylephrine hydrochloride chlorphenamine maleate menghilangkan gejala  gejala sinusitis  alergi hidung alergi pernafasan  meringankan bersin  bersin hidung tersumbat pilek</t>
  </si>
  <si>
    <t>Baby Safe Nasal Aspirator With Mouth Suction Pipe Nas02</t>
  </si>
  <si>
    <t>Rp33.700 - Rp37.300</t>
  </si>
  <si>
    <t>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t>
  </si>
  <si>
    <t>baby safe nasal aspirator with mouth suction pipe nas</t>
  </si>
  <si>
    <t>baby safe nasal aspirator with mouth suction pipe nas  lemon oil alat membantu menyedot lendir ingus hidung bayi  pernafasannya lega</t>
  </si>
  <si>
    <t>DKL1333212817A1</t>
  </si>
  <si>
    <t>Medigrel 75 mg 10 Tablet</t>
  </si>
  <si>
    <t>Rp130.200 - Rp179.200</t>
  </si>
  <si>
    <t>PENGGUNAAN OBAT INI HARUS SESUAI DENGAN PETUNJUK DOKTER. Sehari 1 kali 1 tablet (75 mg). Tidak ada penyesuaian dosis yang diperlukan untuk pasien lanjut usia atau pasien dengan penyakit ginjal. Angina tidak stabil atau infark miokard non-Q-wave, dosis awal : 300 mg sekali sehari dan dilanjutkan dengan 75 mg satu kali sehari dengan Asetosal (75 mg ? 325 mg satu kali sehari).</t>
  </si>
  <si>
    <t>medigrel</t>
  </si>
  <si>
    <t>medigrel tablet clopidogrel bisulfate mengurangi kejadian aterosklerosis infark miokard  stroke kematian vaskular pasien aterosklerosis ditandai stroke  infark miokard penyakit arteri</t>
  </si>
  <si>
    <t>DKL0811638604A1</t>
  </si>
  <si>
    <t>Irvask 150 mg 10 Kaplet</t>
  </si>
  <si>
    <t>Rp113.500 - Rp175.200</t>
  </si>
  <si>
    <t>PENGGUNAAN OBAT INI HARUS SESUAI DENGAN PETUNJUK DOKTER. Dosis awal 75 mg. Dosis pemeliharaan 150 mg x seharI, dapat ditingkatkan sampai 300 mg perhari.</t>
  </si>
  <si>
    <t>INFORMASI OBAT INI HANYA UNTUK KALANGAN MEDIS. Hipertensi esensial, untuk menurunkan mikro dan makro albuminurea pada pasien hipertensi dengan diabetik nefropati yang disebabkan oleh non insulin dependent diabetic mellitus (niddm)</t>
  </si>
  <si>
    <t>HARUS DENGAN RESEP DOKTER. Hipersensitif terhadap irbesartan, kehamilan trimester ke-2 dan ke-3, ibu menyusui. Kategori kehamilan : Kategori D: Terbukti berisiko terhadap janin. Meski demikian, obat masih dapat digunakan jika obat diperlukan untuk mengatasi keadaan yang mengancam jiwa, atau penyakit serius, dimana obat yang lebih aman tidak dapat digunakan atau tidak efektif.</t>
  </si>
  <si>
    <t>irvask kaplet irbesartan hipertensi esensial  menurunkan mikro makro albuminurea pasien hipertensi diabetik nefropati disebabkan non insulin dependent diabetic mellitus niddm</t>
  </si>
  <si>
    <t>DKL1305517017A1</t>
  </si>
  <si>
    <t>Placta 75 mg 10 Tablet</t>
  </si>
  <si>
    <t>Rp87.000 - Rp140.800</t>
  </si>
  <si>
    <t>placta</t>
  </si>
  <si>
    <t>placta tablet clopidogrel bisulfate mengurangi kejadian aterosklerosis infark miokard  stroke kematian vaskular pasien aterosklerosis ditandai stroke  infark miokard penyakit arteri</t>
  </si>
  <si>
    <t>DBL0928404710A1</t>
  </si>
  <si>
    <t>Fasgo 500 mg 10 Tablet</t>
  </si>
  <si>
    <t>Rp3.000 - Rp3.900</t>
  </si>
  <si>
    <t>Dus, 20 strip @ 10 Tablet</t>
  </si>
  <si>
    <t>fasgo tablet paracetamol obat meredakan sakit kepala  sakit gigi  sakit otot  nyeri mengganggu menurunkan demam menyertai flu influensa demam vaksinasi</t>
  </si>
  <si>
    <t>Watsons Square Puff 80 Pieces</t>
  </si>
  <si>
    <t>Pack @ 80 Pieces</t>
  </si>
  <si>
    <t>DKL1131531433A1</t>
  </si>
  <si>
    <t>Tracetate Suspensi 200 mg/5 ml 100 ml</t>
  </si>
  <si>
    <t>Diberikan pada saat makan</t>
  </si>
  <si>
    <t xml:space="preserve">PENGGUNAAN OBAT INI HARUS SESUAI DENGAN PETUNJUK DOKTER. Karsinoma payudara : 160 mg / hari </t>
  </si>
  <si>
    <t>DKL0209304801C1</t>
  </si>
  <si>
    <t>Hyperchol M 200 mg 6 Kapsul</t>
  </si>
  <si>
    <t>Rp50.600 - Rp82.600</t>
  </si>
  <si>
    <t>hyperchol m</t>
  </si>
  <si>
    <t>hyperchol m kapsul fenofibrate hiperkolesterolemia tipe iia  hiperlipidemia kombinasi tipe iib ii  hipertrigliserida endogen tipe iv tidak respon diet tindakan sesuai</t>
  </si>
  <si>
    <t>DKL0209304801B1</t>
  </si>
  <si>
    <t>Hyperchol M 300 mg 6 Kapsul</t>
  </si>
  <si>
    <t>Rp57.500 - Rp78.300</t>
  </si>
  <si>
    <t>DTL1931117404A1</t>
  </si>
  <si>
    <t>Flucadex PE 10 Kaplet</t>
  </si>
  <si>
    <t>Rp8.000 - Rp10.000</t>
  </si>
  <si>
    <t>Dewasa : 1 Kaplet 3 x Sehari Anak 6-12 Tahun: 1/2 Kaplet, 3 x Sehari Atau menurut petunjuk dokter</t>
  </si>
  <si>
    <t>Untuk meringankan gejala-gejala flu seperti demam, sakit kepala, dan hidung tersumbat yang disertai batuk tidak berdahak</t>
  </si>
  <si>
    <t>Tidak boleh diberikan pada penderita yang peka terhadap obat simpatomimetik lain (misal: ephedrine, pseudoefedrine, phenylpropanolamine), Penderita tekanan darah tinggi berat dan yang mendapat terapi obat anti depresan tipe penghambat Monoamin Oksidase (MAO). Tidak boleh melebihi dosis yang dianjurkan. Hati-hati penggunaan pada tekanan darah tinggi atau yang mempunyai potensi tekanan darah tinggi atau stroke, seperti pada pederita dengan berat badan berlebih (over weight) atau penderita usia lanjut. Bila dalam 3 hari gejala flu tidak berkurang segera hubungi dokter atau unit pelayanan kesehatan. Hentikan penggunaan obat ini jika terjadi susah tidur, jantung berdebar dan pusing.</t>
  </si>
  <si>
    <t>paracetamol phenylephrine hydrochloride guaifenesin</t>
  </si>
  <si>
    <t>untuk meringankan gejala - gejala flu demam , sakit kepala , hidung tersumbat disertai batuk tidak berdahak</t>
  </si>
  <si>
    <t>flucadex pe</t>
  </si>
  <si>
    <t>flucadex pe kaplet paracetamol phenylephrine hydrochloride guaifenesin untuk meringankan gejala  gejala flu demam  sakit kepala  hidung tersumbat disertai batuk tidak berdahak</t>
  </si>
  <si>
    <t>Tracetate Suspensi 40 mg/ml 200 ml</t>
  </si>
  <si>
    <t>Rp498.800 - Rp596.800</t>
  </si>
  <si>
    <t>dextrose monohydrate sodium chloride sodium citrate dihydrate potassium citrate monohydrate</t>
  </si>
  <si>
    <t>pedialyte original odf dextrose monohydrate sodium chloride sodium citrate dihydrate potassium citrate monohydrate meggulangi dehidrasi ringan bayi anak  anak akibat diare</t>
  </si>
  <si>
    <t>DKL0821634901C1</t>
  </si>
  <si>
    <t>Profibrat 200 M 10 Kapsul</t>
  </si>
  <si>
    <t>Rp119.700 - Rp172.200</t>
  </si>
  <si>
    <t>profibrat m</t>
  </si>
  <si>
    <t>profibrat m kapsul fenofibrate hiperkolesterolemia tipe iia  hiperlipidemia kombinasi tipe iib ii  hipertrigliserida endogen tipe iv tidak respon diet tindakan sesuai</t>
  </si>
  <si>
    <t>DTL1133525856A1</t>
  </si>
  <si>
    <t>BNS Breathy Nasal Spray 30 ml</t>
  </si>
  <si>
    <t>Rp92.700 - Rp102.000</t>
  </si>
  <si>
    <t>Semprot pada setiap lubang hidung.</t>
  </si>
  <si>
    <t>Dewasa : 2 - 6 kali semprot sehari pada setiap lubang hidung. Anak dan bayi &gt;1bln : 1 kali semprot sehari pada setiap lubang hidung.</t>
  </si>
  <si>
    <t>Membantu melembabkan membran hidung yang kering dan teriritasi karena pilek, alergi, kelembaban yang rendah, pendarahan hidung serta iritasi hidung minor lainnya.</t>
  </si>
  <si>
    <t>Jangan digunakan pada orang lain untuk menghindari penularan infeksi.</t>
  </si>
  <si>
    <t>membantu melembabkan membran hidung kering teriritasi pilek , alergi , kelembaban rendah , pendarahan hidung iritasi hidung minor</t>
  </si>
  <si>
    <t>bns breathy nasal</t>
  </si>
  <si>
    <t>bns breathy nasal spray sodium chloride membantu melembabkan membran hidung kering teriritasi pilek  alergi  kelembaban rendah  pendarahan hidung iritasi hidung minor</t>
  </si>
  <si>
    <t>TR227003781</t>
  </si>
  <si>
    <t>Konicare Natural V Cream 30 g</t>
  </si>
  <si>
    <t>KONICARE NATURAL V CREAM</t>
  </si>
  <si>
    <t>Rp26.200 - Rp28.300</t>
  </si>
  <si>
    <t>Membantu mengatasi gatal ruam akibat pembalut, gatal akibat keputihan, gatal akibat setelah mencukur dan gatal akibat lembab dan jamur.</t>
  </si>
  <si>
    <t>konicare natural v cream</t>
  </si>
  <si>
    <t>membantu mengatasi gatal ruam akibat pembalut , gatal akibat keputihan , gatal akibat mencukur gatal akibat lembab jamur</t>
  </si>
  <si>
    <t>konicare natural v cream krim membantu mengatasi gatal ruam akibat pembalut  gatal akibat keputihan  gatal akibat mencukur gatal akibat lembab jamur</t>
  </si>
  <si>
    <t>DTL0133502136A1</t>
  </si>
  <si>
    <t>Breathy Nasal Drops 30 ml</t>
  </si>
  <si>
    <t>Rp45.700 - Rp54.600</t>
  </si>
  <si>
    <t>Diteteskan melalui lubang hidung</t>
  </si>
  <si>
    <t>Bayi &amp; anak &gt; 1 bln : 1-2 tetes pada masing-masing lubang hidung</t>
  </si>
  <si>
    <t>Melembabkan membran mukosa Hidung yang kering dan meradang karena Pilek, Alergi, kelembaban rendah, perdarahan hidung ringan dan iritasi hidung ringan lainnya</t>
  </si>
  <si>
    <t>Obat yang sudah digunakan untuk 1 pasien sebaiknya tidak digunakan pada pasien lain untuk mencegah penyebaran infeksi. Riwayat alergi. Hamil &amp; laktasi.</t>
  </si>
  <si>
    <t>melembabkan membran mukosa hidung kering meradang pilek , alergi , kelembaban rendah , perdarahan hidung ringan iritasi hidung ringan</t>
  </si>
  <si>
    <t>breathy nasal</t>
  </si>
  <si>
    <t>breathy nasal tetes sodium chloride melembabkan membran mukosa hidung kering meradang pilek  alergi  kelembaban rendah  perdarahan hidung ringan iritasi hidung ringan</t>
  </si>
  <si>
    <t>DTL1222721804A1</t>
  </si>
  <si>
    <t>Bodrex Flu Dan Batuk Berdahak Pe 4 Kaplet</t>
  </si>
  <si>
    <t>Dewasa : 3 kali sehari 1 kaplet.</t>
  </si>
  <si>
    <t>Meredakan gejala flu seperti demam, sakit kepala, hidung tersumbat dan bersin-bersin yang disertai dengan batuk berdahak</t>
  </si>
  <si>
    <t>Pasien dengan hipertensi atau punya kecenderungan hipertensi atau stroke, seperti kelebihan BB dan lanjut usia. Pasien dengan tukak lambung, gangguan fungsi hati dan ginjal, glaukoma, hipertrofi prostat, retensi urin, penyakit jantung, DM. Dapat meningkat resiko kerusakan fungsi hati pada penderita yang mengkonsumsi alkohol. Tidak dianjurkan penggunaan pada anak usia &lt; 2 th, wanita hamil &amp; menyusui, kecuali atas petunjuk dokter.</t>
  </si>
  <si>
    <t>meredakan gejala flu demam , sakit kepala , hidung tersumbat bersin - bersin disertai batuk berdahak</t>
  </si>
  <si>
    <t>bodrex flu dan batuk berdahak pe kaplet guaifenesin meredakan gejala flu demam  sakit kepala  hidung tersumbat bersin  bersin disertai batuk berdahak</t>
  </si>
  <si>
    <t>DKL9402320309B1</t>
  </si>
  <si>
    <t>Rendapid 20 mg 10 Tablet</t>
  </si>
  <si>
    <t>Rp93.300 - Rp142.300</t>
  </si>
  <si>
    <t>Malam hari</t>
  </si>
  <si>
    <t>Mengurangi peningkatan kadar lipoprotein densitas rendah (LDL) dan kadar kolesterol total pada penderita hiperkoleterolemia primer, bila diet dan pengobatan non farmakologis tak memadai.</t>
  </si>
  <si>
    <t>HARUS DENGAN RESEP DOKTER. Lakukan tes fungsi hati selama terapi. Miopati akut dan berat. Penderita gagal ginjal sekunder akibat rabdomiolisis. Hindari konsumsi jus grapefruit secara berlebih (&gt; 1 L/hari)</t>
  </si>
  <si>
    <t>mengurangi peningkatan kadar lipoprotein densitas rendah ldl kadar kolesterol total penderita hiperkoleterolemia primer , diet pengobatan non farmakologis memadai</t>
  </si>
  <si>
    <t>rendapid</t>
  </si>
  <si>
    <t>rendapid kaplet simvastatin mengurangi peningkatan kadar lipoprotein densitas rendah ldl kadar kolesterol total penderita hiperkoleterolemia primer  diet pengobatan non farmakologis memadai</t>
  </si>
  <si>
    <t>DKL9402320309C1</t>
  </si>
  <si>
    <t>Rendapid 10 mg 10 Tablet</t>
  </si>
  <si>
    <t>Rp58.400 - Rp106.700</t>
  </si>
  <si>
    <t>INFORMASI OBAT INI HANYA UNTUK KALANGAN MEDIS. Mengurangi peningkatan kadar lipoprotein densitas rendah (LDL) dan kadar kolesterol total pada penderita hiperkoleterolemia primer, bila diet dan pengobatan non farmakologis tak memadai.</t>
  </si>
  <si>
    <t>HARUS DENGAN RESEP DOKTER. Lakukan tes fungsi hati selama terapi. Miopati akut dan berat. Penderita gagal ginjal sekunder akibat rabdomiolisis. Hindari konsumsi jus grapefruit secara berlebih (&gt; 1 L/hari). Kategori kehamilan: Kategori X :Terdapat hasil penelitian terhadap hewan uji dan manusia yang memperlihatkan abnormalitas terhadap janin. Obat ini dikontraindikasikan untuk wanita hamil dan yang berkemungkinan untuk hamil.</t>
  </si>
  <si>
    <t>Donexan Dx Sirup 120 ml</t>
  </si>
  <si>
    <t>Rp18.800 - Rp25.400</t>
  </si>
  <si>
    <t>Dewasa : 3-4 kali sehari 5-10 ml, Anak &gt; 4 tahun : 3-4 kali sehari 2.5-5 ml</t>
  </si>
  <si>
    <t>Meringankan batuk alergi,batuk berdahak,batuk iritatif.</t>
  </si>
  <si>
    <t>hipersensitif, bayi, ibu menyusui, hipertensi, glaukoma, diabetes, asma, gangguan jantung, gondok.</t>
  </si>
  <si>
    <t>Hindari mengemudi atau menjalankan mesin setelah minum obat ini</t>
  </si>
  <si>
    <t>meringankan batuk alergi , batuk berdahak , batuk iritatif</t>
  </si>
  <si>
    <t>donexan dx sirup diphenhydramine hydrochloride dextromethorphan hydrobromide phenylephrine hydrochloride ammonium chloride sodium citrate dihydrate meringankan batuk alergi  batuk berdahak  batuk iritatif</t>
  </si>
  <si>
    <t>DKL8818803909A1</t>
  </si>
  <si>
    <t>Opistan 500 mg 10 Kaplet</t>
  </si>
  <si>
    <t>PENGGUNAAN OBAT INI HARUS SESUAI DENGAN PETUNJUK DOKTER. Dewasa dan anak &gt;14 tahun : 3 x sehari 500 mg. Lansia : Mulailah dengan dosis yang lebih rendah dan durasi sesingkat mungkin.</t>
  </si>
  <si>
    <t>INFORMASI OBAT INI HANYA UNTUK KALANGAN MEDIS. Meredakan nyeri ringan hingga sedang pada sakit kepala, sakit gigi, nyeri haid primer, termasuk nyeri karena trauma, nyeri otot, dan nyeri paska operasi</t>
  </si>
  <si>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</si>
  <si>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</si>
  <si>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meredakan nyeri ringan sakit kepala , sakit gigi , nyeri haid primer , nyeri trauma , nyeri otot , nyeri paska operasi</t>
  </si>
  <si>
    <t>opistan</t>
  </si>
  <si>
    <t>opistan kaplet mefenamic acid meredakan nyeri ringan sakit kepala  sakit gigi  nyeri haid primer  nyeri trauma  nyeri otot  nyeri paska operasi</t>
  </si>
  <si>
    <t>DKL0932403317A1</t>
  </si>
  <si>
    <t>Floxacap Tablet 500 mg</t>
  </si>
  <si>
    <t>Rp44.700 - Rp54.200</t>
  </si>
  <si>
    <t>PENGGUNAAN OBAT INI HARUS SESUAI DENGAN PETUNJUK DOKTER. 250-500 mg/hari</t>
  </si>
  <si>
    <t>Sinusitis maksilaris akut, eksaserbasi akut dari bronkitis kronik, pneumonia yang didapat dari lingkungan, ISK termasuk pielonefritis ringan sampai dengan sedang, infeksi kulit dan struktur kulit (ringan sampai dengan sedang) tak terkomplikasi</t>
  </si>
  <si>
    <t>Dus, 3 Strip @ 6 Tablet salut selaput</t>
  </si>
  <si>
    <t>Hipersensitif terhadap levofloksasin dan kuinolon lain. Wanita hamil atau diduga hamil, wanita menyusui, anak &lt; 18 tahun</t>
  </si>
  <si>
    <t>HARUS DENGAN RESEP DOKTER. Hentikan pembarian obat ini jika terjadi reaksi hipersensitivitas (ruam kulitatau reaksi kulit lain, jantung berdebar-debar, kesulitan menelana atau bernafas, pembengkakan bibir/lidah, tenggorokan rasa tercekik, serak). Diperlukan menyusui dosis pada pasi</t>
  </si>
  <si>
    <t>sinusitis maksilaris akut , eksaserbasi akut bronkitis kronik , pneumonia lingkungan , isk pielonefritis ringan , infeksi kulit struktur kulit ringan terkomplikasi</t>
  </si>
  <si>
    <t>floxacap</t>
  </si>
  <si>
    <t>floxacap tablet levofloxacin sinusitis maksilaris akut  eksaserbasi akut bronkitis kronik  pneumonia lingkungan  isk pielonefritis ringan  infeksi kulit struktur kulit ringan terkomplikasi</t>
  </si>
  <si>
    <t>DKL9722221501A1</t>
  </si>
  <si>
    <t>Forifek Kapsul 500 mg</t>
  </si>
  <si>
    <t>Rp29.100 - Rp31.700</t>
  </si>
  <si>
    <t>PENGGUNAAN OBAT INI HARUS SESUAI DENGAN PETUNJUK DOKTER. Dewasa : 250 mg tiap 8 jam. Infeksi berat : 40 mg/kg berat badan/hari, maksimum : 1 gram/hari. Jumlah &amp; lama pemberian obat bisa berbeda tergantung dari petunjuk dokter.</t>
  </si>
  <si>
    <t>Infeksi saluran napas bawah, misalnya pneumonia</t>
  </si>
  <si>
    <t>QD112710161</t>
  </si>
  <si>
    <t>Cap Kaki Tiga Balsam Kuning 20 g</t>
  </si>
  <si>
    <t>Rp7.400 - Rp13.300</t>
  </si>
  <si>
    <t>Oleskan 2-3 kali sehari atau sesuai dengan kebutuhan</t>
  </si>
  <si>
    <t>membantu meringankan pusing, sakit kepala, masuk angin, dan membantu meredakan gatal-gatal akibat gigitan serangga</t>
  </si>
  <si>
    <t>membantu meringankan pusing , sakit kepala , masuk angin , membantu meredakan gatal - gatal akibat gigitan serangga</t>
  </si>
  <si>
    <t>cap kaki tiga balsam kuning</t>
  </si>
  <si>
    <t>cap kaki tiga balsam kuning balsam  menthol membantu meringankan pusing  sakit kepala  masuk angin  membantu meredakan gatal  gatal akibat gigitan serangga</t>
  </si>
  <si>
    <t>DKL9509304801A1</t>
  </si>
  <si>
    <t>Hyperchol M 100 mg 12 Kapsul</t>
  </si>
  <si>
    <t>Rp36.000 - Rp55.600</t>
  </si>
  <si>
    <t>Dus, 4 Blister @ 12 Kapsul</t>
  </si>
  <si>
    <t>Nasalin Daily Nasal Hygiene Microdiffusion Spray 100 ml</t>
  </si>
  <si>
    <t>Sempotkan pada lubang hidung</t>
  </si>
  <si>
    <t>1 pulverisation / lubang hidung 1-4 kali sehari .</t>
  </si>
  <si>
    <t>Untuk membersihkan saluran hidung sehari-hari, melembabkan selaput lendir hidung kering, melengkapi untuk perawatan infeksi THT</t>
  </si>
  <si>
    <t>Dus, Botol Spray @ 100 ml</t>
  </si>
  <si>
    <t>untuk membersihkan saluran hidung sehari - , melembabkan selaput lendir hidung kering , melengkapi perawatan infeksi tht</t>
  </si>
  <si>
    <t>nasalin daily nasal hygiene microdiffusion</t>
  </si>
  <si>
    <t>nasalin daily nasal hygiene microdiffusion tetes ofloxacin untuk membersihkan saluran hidung sehari   melembabkan selaput lendir hidung kering  melengkapi perawatan infeksi tht</t>
  </si>
  <si>
    <t>- LACTIC ACID. SALICYLIC ACID. LAUROMACROGOLUM 400</t>
  </si>
  <si>
    <t>lactic acid salicylic acid lauromacrogolum 400</t>
  </si>
  <si>
    <t>kutilos larutan lactic acid salicylic acid lauromacrogolum 400 indikasi penebalan kulit jari jari kaki mata ikan  kalus kapalan  kulit mengeras kutil</t>
  </si>
  <si>
    <t>Dermatix Ultra Gel 15 g</t>
  </si>
  <si>
    <t>Oleskan Dermatix, 2 kali per hari (pagi dan sore)</t>
  </si>
  <si>
    <t>Gel ini memberi manfaat untuk membantu memudarkan bekas luka seperti perawatan keloid, luka parut karena operasi, luka trauma, serta bekas luka bakar.</t>
  </si>
  <si>
    <t>gel manfaat membantu memudarkan bekas luka perawatan keloid , luka parut operasi , luka trauma , bekas luka bakar</t>
  </si>
  <si>
    <t>dermatix ultra krim sulfadiazine silver gel manfaat membantu memudarkan bekas luka perawatan keloid  luka parut operasi  luka trauma  bekas luka bakar</t>
  </si>
  <si>
    <t>Balsem Kuning Cap Kaki Tiga 36 g</t>
  </si>
  <si>
    <t>Membantu meringankan pusing, sakit kepala, masuk angin, dan membantu meredakan gatal-gatal akibat gigitan serangga</t>
  </si>
  <si>
    <t>Pot 36 G</t>
  </si>
  <si>
    <t>balsem kuning cap kaki tiga</t>
  </si>
  <si>
    <t>balsem kuning cap kaki tiga balsam  menthol membantu meringankan pusing  sakit kepala  masuk angin  membantu meredakan gatal  gatal akibat gigitan serangga</t>
  </si>
  <si>
    <t>DKI0570600392B1</t>
  </si>
  <si>
    <t>Cygest Suppositoria 400mg</t>
  </si>
  <si>
    <t>Rp40.300 - Rp41.400</t>
  </si>
  <si>
    <t>Dimasukkan kedalam vagina atau ke dalam rektal (anus)</t>
  </si>
  <si>
    <t>PENGGUNAAN OBAT INI HARUS SESUAI DENGAN PETUNJUK DOKTER. Untuk mendukung fase luteal : 2 kali sehari 400 mg. Sindrom pra-menstrual : 200 mg/hari atau 400 mg 2 kali sehari, awali terapi pada hari ke-14 siklus menstruasi dan dilanjutkan sampai terjadi menstruasi. Jika gejala pra-menstruasi terjadi pada saat ovulasi, terapi dimulai pada hari ke-12 siklus menstruasi</t>
  </si>
  <si>
    <t>INFORMASI OBAT INI HANYA UNTUK KALANGAN MEDIS. Terapi untuk pendarahan uterus disfungsional atau untuk membantu siklus konsepsi pada fase luteal atau fertilisasi in-vitro, abortus yang mengancam, kehamilan dengan riwayat abortus habitualis.</t>
  </si>
  <si>
    <t>Pessari 200 Mg X 15</t>
  </si>
  <si>
    <t>Pendarahan vag yang tak diketahui penyebabnya</t>
  </si>
  <si>
    <t>HARUS DENGAN RESEP DOKTER. Berikan per rektal jika digunakan metode kontrasepsi barier, infeksi vag (terutama moniliasis), atau sistitis rekuren, atau baru saja melahirkan.</t>
  </si>
  <si>
    <t>pessary</t>
  </si>
  <si>
    <t>terapi pendarahan uterus disfungsional membantu siklus konsepsi fase luteal fertilisasi in - vitro , abortus mengancam , kehamilan riwayat abortus habitualis</t>
  </si>
  <si>
    <t>cygest</t>
  </si>
  <si>
    <t>cygest pessary progesterone terapi pendarahan uterus disfungsional membantu siklus konsepsi fase luteal fertilisasi in  vitro  abortus mengancam  kehamilan riwayat abortus habitualis</t>
  </si>
  <si>
    <t>DKL7203815831A1</t>
  </si>
  <si>
    <t>Cendo Mycetine Salep Mata 3.5 g</t>
  </si>
  <si>
    <t>Rp32.800 - Rp39.600</t>
  </si>
  <si>
    <t>Dioleskan pada mata yang sakit</t>
  </si>
  <si>
    <t>PENGGUNAAN OBAT INI HARUS SESUAI DENGAN PETUNJUK DOKTER. Aplikasikan setiap 3 jam pada mata yang radang.</t>
  </si>
  <si>
    <t>INFORMASI OBAT INI HANYA UNTUK KALANGAN MEDIS. Mengobati radang kelopak mata, radang selaput ikat mata, radang selaput bening mata, radang kantung air mata</t>
  </si>
  <si>
    <t>Tube @ 3.5 G</t>
  </si>
  <si>
    <t>HARUS DENGAN RESEP DOKTER. - Hindari menyentuh lubang permukaan tabung dengan tangan karena harus steril. - Wanita hamil dan ibu menyusui, konsultasikan dengan dokter lebih dahulu sebelum menggunakan obat ini.</t>
  </si>
  <si>
    <t>mengobati radang kelopak mata , radang selaput ikat mata , radang selaput bening mata , radang kantung air mata</t>
  </si>
  <si>
    <t>cendo mycetine mata</t>
  </si>
  <si>
    <t>cendo mycetine mata salep chloramphenicol mengobati radang kelopak mata  radang selaput ikat mata  radang selaput bening mata  radang kantung air mata</t>
  </si>
  <si>
    <t>TR162691181</t>
  </si>
  <si>
    <t>Cap Gajah Minyak Telon 60 ml</t>
  </si>
  <si>
    <t>MINYAK TELON CAP GAJAH</t>
  </si>
  <si>
    <t>Rp14.300 - Rp25.900</t>
  </si>
  <si>
    <t>Dioleskan rata pada perut, dada dan punggung bayi.</t>
  </si>
  <si>
    <t>Sebagai obat gosok untuk membantu meredakan perut kembung, gejala masuk angin, memberikan rasa hangat pada tubuh bayi.</t>
  </si>
  <si>
    <t>minyak telon cap gajah</t>
  </si>
  <si>
    <t>sebagai obat gosok membantu meredakan perut kembung , gejala masuk angin , hangat tubuh bayi</t>
  </si>
  <si>
    <t>cap gajah telon</t>
  </si>
  <si>
    <t>cap gajah telon minyak minyak telon cap gajah sebagai obat gosok membantu meredakan perut kembung  gejala masuk angin  hangat tubuh bayi</t>
  </si>
  <si>
    <t>domedon sirup domperidone maleate mencegah mual muntah anak pasca kemoterapi  pengobatan mual muntah akibat l  dopa bromokriptin  dispepsia  tidak penyakit kronik</t>
  </si>
  <si>
    <t>DKL9922717217A1</t>
  </si>
  <si>
    <t>Domedon 10 mg 10 Tablet</t>
  </si>
  <si>
    <t>Rp30.900 - Rp31.600</t>
  </si>
  <si>
    <t>15-30 menit sebelum makan dan sebelum tidur malam.</t>
  </si>
  <si>
    <t>domedon tablet domperidone maleate mencegah mual muntah anak pasca kemoterapi  pengobatan mual muntah akibat l  dopa bromokriptin  dispepsia  tidak penyakit kronik</t>
  </si>
  <si>
    <t>DKL9622218836A1</t>
  </si>
  <si>
    <t>Damaben Drops 10 ml</t>
  </si>
  <si>
    <t>Rp13.200 - Rp20.600</t>
  </si>
  <si>
    <t>PENGGUNAAN OBAT INI HARUS SESUAI DENGAN PETUNJUK DOKTER. Anak berusia 9-14 tahun (berat badan 30 kg ke atas) : 3 kali sehari 5 mg. Anak berusia 5-9 tahun (berat badan 20-29 kg) : 3 kali sehari 2,5 mg. Anak berusia 3-5 tahun (berat badan 15-19 kg) : 2-3 kali sehari 2 mg. Anak berusia 1-3 tahun (berat badan 10-14 kg) : 2-3 kali sehari 1 mg. Anak berusia kurang dari 1 tahun (berat badan sampai dengan 10 kg) : 2 kali sehari 1 mg.</t>
  </si>
  <si>
    <t>Diabetik Gastroparesis akut dan berulang. mual dan muntah paska operasi akibat obat2an, rasa panas pada ulu hati/kerongkongan akibat Reflux Esofagitis</t>
  </si>
  <si>
    <t>Feokromositoma, hamil trimester-1, epilepsi, pasien dengan obat lain yang menybabkan reaksi ekstrairamidal, pendarahan, obstruksi saluran cerna.</t>
  </si>
  <si>
    <t>HARUS DENGAN RESEP DOKTER. Laktasi, gangguan fungsi ginjal. Mengganggu kemampuan mengemudi atau menjalankan mesin.</t>
  </si>
  <si>
    <t>diabetik gastroparesis akut berulang  mual muntah paska operasi akibat obat2an , panas ulu hati kerongkongan akibat reflux esofagitis</t>
  </si>
  <si>
    <t>damaben</t>
  </si>
  <si>
    <t>damaben tetes metoclopramide hydrochloride diabetik gastroparesis akut berulang  mual muntah paska operasi akibat obat2an  panas ulu hati kerongkongan akibat reflux esofagitis</t>
  </si>
  <si>
    <t>DKL9322214910A1</t>
  </si>
  <si>
    <t>Damaben 10 mg 10 Tablet</t>
  </si>
  <si>
    <t>Rp5.100 - Rp7.200</t>
  </si>
  <si>
    <t>Tablet 10 Mg X 10 X 10</t>
  </si>
  <si>
    <t>Obat Wajib Apotek, Obat ini dapat dibeli dan diserahkan apoteker tanpa resep dengan maksimum 2 Strip. Pembelian melebihi batas ini WAJIB RESEP DOKTER. Laktasi, gangguan fungsi ginjal. Mengganggu kemampuan mengemudi atau menjalankan mesin.</t>
  </si>
  <si>
    <t>damaben tablet metoclopramide hydrochloride diabetik gastroparesis akut berulang  mual muntah paska operasi akibat obat2an  panas ulu hati kerongkongan akibat reflux esofagitis</t>
  </si>
  <si>
    <t>aclam forte sirup amoxicillin trihydrate kombinasiclavulanate potassium  silicone dioxide 11 infeksi saluran nafas  saluran kemih  gonore dimana penyebabnya bakteri memproduksi penisilinase</t>
  </si>
  <si>
    <t>siladex antitussive sirup chlorphenamine maleate dextromethorphan hydrobromide meredakan batuk tidak berdahak batuk kering disertai alergi meningkatkan ambang ransang refleks batuk antihistamin</t>
  </si>
  <si>
    <t>TR112624891</t>
  </si>
  <si>
    <t>Konicare Minyak Telon Plus 60 ml</t>
  </si>
  <si>
    <t>KONICARE MINYAK TELON PLUS LAVENDER</t>
  </si>
  <si>
    <t>Rp20.900 - Rp36.900</t>
  </si>
  <si>
    <t>Membantu meredakan perut kembung serta memberikan rasa hangat pada tubuh bayi dan membantu menghindari dari gigitan nyamuk / serangga.</t>
  </si>
  <si>
    <t>konicare minyak telon plus lavender</t>
  </si>
  <si>
    <t>membantu meredakan perut kembung hangat tubuh bayi membantu menghindari gigitan nyamuk serangga</t>
  </si>
  <si>
    <t>konicare telon plus</t>
  </si>
  <si>
    <t>konicare telon plus minyak konicare minyak telon plus lavender membantu meredakan perut kembung hangat tubuh bayi membantu menghindari gigitan nyamuk serangga</t>
  </si>
  <si>
    <t>DKL0111632401B1</t>
  </si>
  <si>
    <t>Flucoral Kapsul 150 mg</t>
  </si>
  <si>
    <t>Rp78.200 - Rp111.900</t>
  </si>
  <si>
    <t>PENGGUNAAN OBAT INI HARUS SESUAI DENGAN PETUNJUK DOKTER. Kandidiasis orofaringeal dan easoffageal : 50 - 100 mg 1 kali sehari selama 7 - 14 hari. Lama terapi dapat diperpanjang sampai dengan 3 - 5 minggu pada kandidiasis esofangeal. Kandidiasis sistemik, subkutan, atau invasif awal : 400 mg, lalu 200 mg per hari. dapat ditingkatkan menjadi 400 mg per hari. Kandidiasis vaginal : 150 mg dosis tunggal. Meningitis kriptokokal : 400 mg pada hari ke-1 lalu 200 - 400 mg 1 kali sehari selama 10 - 12 minggu sesudah cairan otak steril. Supresi relaps pada pasien acquired immune deficiency syndrome : 200 mg 1 kali sehari</t>
  </si>
  <si>
    <t>Dewasa : Kandidiasis orofaringeal &amp; esofageal, Kandidiasis sistemik, infeksi kandida subkutan atau invasif, kandidiasis Vaginal, Meningitis Kriptokokal, mencegah kekambuhan pada pasien AIDS</t>
  </si>
  <si>
    <t>hipersensitif, gangguan hati</t>
  </si>
  <si>
    <t>HARUS DENGAN RESEP DOKTER. Gangguan ginjal, hamil, laktasi, anak Kategori Kehamilan : C</t>
  </si>
  <si>
    <t>dewasa kandidiasis orofaringeal esofageal , kandidiasis sistemik , infeksi kandida subkutan invasif , kandidiasis vaginal , meningitis kriptokokal , mencegah kekambuhan pasien aids</t>
  </si>
  <si>
    <t>flucoral</t>
  </si>
  <si>
    <t>flucoral kapsul fluconazole dewasa kandidiasis orofaringeal esofageal  kandidiasis sistemik  infeksi kandida subkutan invasif  kandidiasis vaginal  meningitis kriptokokal  mencegah kekambuhan pasien aids</t>
  </si>
  <si>
    <t>DKL9322706309B1</t>
  </si>
  <si>
    <t>Improvox 15 Kaplet</t>
  </si>
  <si>
    <t>Rp202.000 - Rp204.300</t>
  </si>
  <si>
    <t>PENGGUNAAN OBAT INI HARUS SESUAI DENGAN PETUNJUK DOKTER. Dewasa dan anak &gt; 12 tahun atau bb &gt; 40 kg : infeksi ringan-sedang : 3 kali sehari 250 mg. infeksi berat : 3 kali sehari 500 mg</t>
  </si>
  <si>
    <t>Infeksi sal nafas atas dan bawah, ISK, infeksi kulit dan jar lunak, tulang dan sendi, gigi, lain-lain (abortus septik, sepsis purpura, sepsis intraabdominal)</t>
  </si>
  <si>
    <t>Kaplet 15</t>
  </si>
  <si>
    <t>Hipersensitivitas. Bayi yang dilahirkan oleh ibu yang hipersensitif terhadap penisilin. Riwayat ikterus kolestatik</t>
  </si>
  <si>
    <t>HARUS DENGAN RESEP DOKTER. Gagal hati atau ginjal. Superinfeksi</t>
  </si>
  <si>
    <t>infeksi sal nafas , isk , infeksi kulit jar lunak , tulang sendi , gigi , - abortus septik , sepsis purpura , sepsis intraabdominal</t>
  </si>
  <si>
    <t>improvox</t>
  </si>
  <si>
    <t>improvox kaplet amoxicillin trihydrate infeksi sal nafas  isk  infeksi kulit jar lunak  tulang sendi  gigi   abortus septik  sepsis purpura  sepsis intraabdominal</t>
  </si>
  <si>
    <t>Antangin Mint 5 Sachet</t>
  </si>
  <si>
    <t>Sesudah makan secara langsung atau dituang 1/2 gelas air teh hangat.</t>
  </si>
  <si>
    <t>Dewasa : 3 x sehari 1 sachet Anak-anak (6-12 tahun) : 1/2 dosis dewasa</t>
  </si>
  <si>
    <t>Mencegah dan membantu meredakan gejala masuk angin, seperti meriang, rasa mual, perut kembung, keringat dingin, kepala pusing dan capek, serta membantu melegakan tenggorokan</t>
  </si>
  <si>
    <t>Box @ 5 Sachet @ 15 ml</t>
  </si>
  <si>
    <t>Simpan ditempat kering, sejuk , terlindung dari cahaya matahari</t>
  </si>
  <si>
    <t>mencegah membantu meredakan gejala masuk angin , meriang , mual , perut kembung , keringat dingin , kepala pusing capek , membantu melegakan tenggorokan</t>
  </si>
  <si>
    <t>antangin mint sachet mencegah membantu meredakan gejala masuk angin  meriang  mual  perut kembung  keringat dingin  kepala pusing capek  membantu melegakan tenggorokan</t>
  </si>
  <si>
    <t>DKL1336703804A1</t>
  </si>
  <si>
    <t>Amosterra 500 mg 10 Tablet</t>
  </si>
  <si>
    <t>Rp5.500 - Rp9.200</t>
  </si>
  <si>
    <t>amosterra</t>
  </si>
  <si>
    <t>amosterra kaplet amoxicillin trihydrate infeksi saluran napa  saluran genito  urinaria  kulit jaringan lunak disebabkan organisme gram positif gram negatif peka amoxicillin</t>
  </si>
  <si>
    <t>Rp48.800 - Rp49.000</t>
  </si>
  <si>
    <t>DKI1437000101A1</t>
  </si>
  <si>
    <t>Fenosup Lidose 160 mg 10 Kapsul</t>
  </si>
  <si>
    <t>Rp112.400 - Rp166.000</t>
  </si>
  <si>
    <t>fenosup lidose</t>
  </si>
  <si>
    <t>fenosup lidose kapsul fenofibrate hiperkolesterolemia tipe iia  hiperlipidemia kombinasi tipe iib ii  hipertrigliserida endogen tipe iv tidak respon diet tindakan sesuai</t>
  </si>
  <si>
    <t>graprima suspensi sulfamethoxazole trimethoprim infeksi saluran urin  sal pencernaan  sal pernafasan  infeksi telinga  hidung  tenggorokan  toksoplasmosis  infeksi dimana obat terpilih tidak</t>
  </si>
  <si>
    <t>DKL9722222546A1</t>
  </si>
  <si>
    <t>Crom-Ophtal 20 mg/ml Eye Drops 5 ml</t>
  </si>
  <si>
    <t>Rp56.000 - Rp78.600</t>
  </si>
  <si>
    <t>PENGGUNAAN OBAT INI HARUS SESUAI DENGAN PETUNJUK DOKTER. 1-2 tetes 4 x/hr.</t>
  </si>
  <si>
    <t>Hay fever (radang mata akibat reaksi alergi), Konjungtivitis Alergi akut dan kronis, Keratokonjungtivitis (radang pada kornea mata + konjungtivitis)</t>
  </si>
  <si>
    <t>5 ml X 1'S</t>
  </si>
  <si>
    <t>HARUS DENGAN RESEP DOKTER. Jangan menggunakan lensa kontak. Anak &lt; 4 thn. Hamil &amp; laktasi. Ggn liver &amp; ginjal.</t>
  </si>
  <si>
    <t>sodium cromoglicate</t>
  </si>
  <si>
    <t>hay fever radang mata akibat reaksi alergi , konjungtivitis alergi akut kronis , keratokonjungtivitis radang kornea mata konjungtivitis</t>
  </si>
  <si>
    <t>cromophtal eye</t>
  </si>
  <si>
    <t>cromophtal eye tetes sodium cromoglicate hay fever radang mata akibat reaksi alergi  konjungtivitis alergi akut kronis  keratokonjungtivitis radang kornea mata konjungtivitis</t>
  </si>
  <si>
    <t>DKL0033401904A1</t>
  </si>
  <si>
    <t>Solpenox 500 mg 10 Kaplet</t>
  </si>
  <si>
    <t>Rp40.900 - Rp42.000</t>
  </si>
  <si>
    <t>solpenox kaplet amoxicillin trihydrate infeksi saluran napa  saluran genito  urinaria  kulit jaringan lunak disebabkan organisme gram positif gram negatif peka amoxicillin</t>
  </si>
  <si>
    <t>potassium hydrogen aspartate hemihydrate magnesium aspartate dihydrate</t>
  </si>
  <si>
    <t>renapar kaplet potassium hydrogen aspartate hemihydrate magnesium aspartate dihydrate suplemen k mg penyakit jantung hati  hipokalemia hipomagnesia akibat pemakaian diuretik jangka</t>
  </si>
  <si>
    <t>Hansaplast Roll Kertas 2.5 cm x 5 m</t>
  </si>
  <si>
    <t>Produk ini digunakan untuk merekatkan kasa steril dan plester langsung pada kulit, merekatkan perban dan kasa steril tidak langsung pada kulit</t>
  </si>
  <si>
    <t>produk merekatkan kasa steril plester langsung kulit , merekatkan perban kasa steril tidak langsung kulit</t>
  </si>
  <si>
    <t>hansaplast roll kertas x m</t>
  </si>
  <si>
    <t>hansaplast roll kertas x m larutan povidoneiodine produk merekatkan kasa steril plester langsung kulit  merekatkan perban kasa steril tidak langsung kulit</t>
  </si>
  <si>
    <t>DBL0231522045A1</t>
  </si>
  <si>
    <t>Y-Rins Eye Liquid 12 ml 10 Botol</t>
  </si>
  <si>
    <t>Rp64.600 - Rp78.100</t>
  </si>
  <si>
    <t>Bersihkan eyebath (mangkuk/wadah untuk larutan pembersih mata) sebelum digunakan. Sekiranya kelopak mata kurang bersih/ ada sisa make-up bersihkan terlebih dahulu. Isi eyebath dengan Y-Rins. Tundukkan kepala sedikit ke depan, kenakan eyebath ke kelopak mata. Jaga agar kelopak mata tetap terbuka supaya larutan pembersih dapat mengalir bebas di seluruh permukaan mata maupun di bawah kelopak mata. Posisi kepala tetap menunduk ke depan, goyangkan kepala ke kiri dan ke kanan sehingga larutan dapat mengurut mata dan efek pembersihan berlangsung seksama. Lakukan kurang lebih setengah menit. Buang isi eyebath setelah pemakaian dan bersihkan kembali eyebath nya. Tuang Y-rins yang baru untuk mata lainnya dengan urutan dengan urutan langkah di atas. Setelah pembersihan, tutup mata sebentar lalu bersihkan sisa larutan dengan tisu bersih.</t>
  </si>
  <si>
    <t>Membersihkan, menyejukkan, dan menyegarkan kembali mata yang lelah dan sakit. Meringankan iritasi ringan pada mata yang disebabkan oleh udara berdebu atau berasap</t>
  </si>
  <si>
    <t>Dus, 10 Botol @ 12 ml</t>
  </si>
  <si>
    <t>Larutan pembersih Y-Rins tidak cocok untuk pemakaian lensa kontak. Sebaiknya dibuang setelah 3 bulan</t>
  </si>
  <si>
    <t>witch hazel</t>
  </si>
  <si>
    <t>membersihkan , menyejukkan , menyegarkan mata lelah sakit  meringankan iritasi ringan mata disebabkan udara berdebu berasap</t>
  </si>
  <si>
    <t>yrins eye liquid botol</t>
  </si>
  <si>
    <t>yrins eye liquid botol larutan witch hazel membersihkan  menyejukkan  menyegarkan mata lelah sakit  meringankan iritasi ringan mata disebabkan udara berdebu berasap</t>
  </si>
  <si>
    <t>DKL9508003817B1</t>
  </si>
  <si>
    <t>Ciflos 500 mg 10 Tablet</t>
  </si>
  <si>
    <t>Rp133.800 - Rp192.100</t>
  </si>
  <si>
    <t>Infeksi saluran nafas, infeksi saluran cerna termasuk tifoid dan paratifoid, saluran kemih, uretritis servisitis gonore, kulit dan jaringan luka, tulang dan sendi</t>
  </si>
  <si>
    <t>HARUS DENGAN RESEP DOKTER. Jangan diberikan bersamaan dengan antasid, Fe, atau produk susu</t>
  </si>
  <si>
    <t>infeksi saluran nafas , infeksi saluran cerna tifoid paratifoid , saluran kemih , uretritis servisitis gonore , kulit jaringan luka , tulang sendi</t>
  </si>
  <si>
    <t>ciflos</t>
  </si>
  <si>
    <t>ciflos tablet ciprofloxacin infeksi saluran nafas  infeksi saluran cerna tifoid paratifoid  saluran kemih  uretritis servisitis gonore  kulit jaringan luka  tulang sendi</t>
  </si>
  <si>
    <t>EUA2133552717A1</t>
  </si>
  <si>
    <t>Fapivell 200 mg 10 Tablet</t>
  </si>
  <si>
    <t>PENGGUNAAN OBAT INI HARUS SESUAI DENGAN PETUNJUK DOKTER. Dosis dewasa (Berat Badan di atas 35 kg) : Hari pertama : 1600 mg tiap 12 jam. Hari ke-2 sampai ke-5 : 600 mg tiap 12 jam.</t>
  </si>
  <si>
    <t>INFORMASI OBAT INI HANYA UNTUK KALANGAN MEDIS. Pengobatan influenza ketika obat anti virus lainnya tidak efektif. Saat ini, Favipiravir digunakan dalam penelitian untuk mengobati beberapa pasien COVID-19, termasuk pasien yang di rawat di rumah sakit.</t>
  </si>
  <si>
    <t>Wanita hamil atau yang merencanakan kehamilan atau menyusui. Pasien dengan riwayat alergi terhadap Favipiravir.</t>
  </si>
  <si>
    <t>favipiravir</t>
  </si>
  <si>
    <t>pengobatan influenza obat anti virus tidak efektif  saat , favipiravir penelitian mengobati pasien covid - 19 , pasien rawat rumah sakit</t>
  </si>
  <si>
    <t>fapivell</t>
  </si>
  <si>
    <t>fapivell tablet favipiravir pengobatan influenza obat anti virus tidak efektif  saat  favipiravir penelitian mengobati pasien covid  19  pasien rawat rumah sakit</t>
  </si>
  <si>
    <t>DTL8306404210A1</t>
  </si>
  <si>
    <t>Dexteem 10 Tablet</t>
  </si>
  <si>
    <t>dapat diminum sesudah dan sebelum makan</t>
  </si>
  <si>
    <t>Dewasa dan &gt; anak 12 tahun : 1 tablet 3-4 kali sehari. Anak 6-12 tahun : 1/2 tablet 3-4 kali sehari. Anak 2-6 tahun : 1/4 tablet 3-4 kali sehari</t>
  </si>
  <si>
    <t>Dexteem merupakan obat yang digunakan untuk reaksi alergi , urtikaria atau gatal-gatal , rhinitis alergi , hay fever, dermatitis alergi maupun reaksi alergi terhadap obat-obatan.</t>
  </si>
  <si>
    <t>kandungan dari dexchorpheniramine di dalam obat Dexteem ini dapat meningkatkan resiko efek samping seperti mengantuk , relaksasi tidur , atau koma jika digunakan bersama monoamine oxidase inhibitors (MAOIs), barbiturat, opioid analgesik atau antidepresan trisiklik</t>
  </si>
  <si>
    <t>karena obat ini dapat menimbulkan mengnatuk sehingga sebaiknya tidak digunakan pada para pengemudi atau pekerja yang menjalankan mesin. Alkohol dapat menaikan daya sensitif terhadap dexteem sehingga tidak disarankan pengguanan bersama alkohol.</t>
  </si>
  <si>
    <t>dexteem obat reaksi alergi , urtikaria gatal - gatal , rhinitis alergi , hay fever , dermatitis alergi reaksi alergi obat - obatan</t>
  </si>
  <si>
    <t>dexteem</t>
  </si>
  <si>
    <t>dexteem tablet dexchlorpheniramine maleate dexteem obat reaksi alergi  urtikaria gatal  gatal  rhinitis alergi  hay fever  dermatitis alergi reaksi alergi obat  obatan</t>
  </si>
  <si>
    <t>TR153683961</t>
  </si>
  <si>
    <t>Madu Sarmut 350 g</t>
  </si>
  <si>
    <t>MADU SARMUT</t>
  </si>
  <si>
    <t>Rp74.600 - Rp110.300</t>
  </si>
  <si>
    <t>Untuk Kesehatan : 15 ml 2 kali sehari Untuk Pengobatan : 30 ml 2 kali sehari</t>
  </si>
  <si>
    <t>Memelihara daya tahan tubuh dan membantu pengobatan penyakit : Kanker, jantung, hipertensi, stroke, tumor, rematik, osteoporosis, wasir, migrain, asma, hernia.</t>
  </si>
  <si>
    <t>Ibu hamil</t>
  </si>
  <si>
    <t>Simpan ditempat sejuk dan terhindar dari sinar matahari langsung.</t>
  </si>
  <si>
    <t>madu sarmut</t>
  </si>
  <si>
    <t>memelihara daya tahan tubuh membantu pengobatan penyakit kanker , jantung , hipertensi , stroke , tumor , rematik , osteoporosis , wasir , migrain , asma , hernia</t>
  </si>
  <si>
    <t>madu sarmut madu memelihara daya tahan tubuh membantu pengobatan penyakit kanker  jantung  hipertensi  stroke  tumor  rematik  osteoporosis  wasir  migrain  asma  hernia</t>
  </si>
  <si>
    <t>DKL1006311904A1</t>
  </si>
  <si>
    <t>Erlamoxy 500 mg 10 Tablet</t>
  </si>
  <si>
    <t>Rp6.500 - Rp9.200</t>
  </si>
  <si>
    <t>Dewasa dan anak-anak dengan berat badan diatas 20 kg : sehari 250-500 mg tiap 8 jam. Anak-anak dengan berat badan kurang dari 20 kg: 20-40 mg/kg berat badan sehari dalam dosis terbagi, diberikan tiap 8 jam. Gonore: 3 g sebagai dosis tunggal</t>
  </si>
  <si>
    <t>Infeksi saluran napas atas &amp; bawah, saluran kemih kelamin, ginekologi, jantung, THT, kulit &amp; jaringan lunak. Demam enterik &amp; infeksi pencernaan lainnya. Gonore.</t>
  </si>
  <si>
    <t>HARUS DENGAN RESEP DOKTER. Syok anafilaksis. Penggunaan jangka lama.</t>
  </si>
  <si>
    <t>infeksi saluran napa , saluran kemih kelamin , ginekologi , jantung , tht , kulit jaringan lunak  demam enterik infeksi pencernaan  gonore</t>
  </si>
  <si>
    <t>erlamoxy</t>
  </si>
  <si>
    <t>erlamoxy kaplet amoxicillin trihydrate infeksi saluran napa  saluran kemih kelamin  ginekologi  jantung  tht  kulit jaringan lunak  demam enterik infeksi pencernaan  gonore</t>
  </si>
  <si>
    <t>GKL0708514410B1</t>
  </si>
  <si>
    <t>Allopurinol 300 mg 10 Tablet</t>
  </si>
  <si>
    <t>Rp6.500 - Rp9.800</t>
  </si>
  <si>
    <t>PENGGUNAAN OBAT INI HARUS SESUAI DENGAN PETUNJUK DOKTER. Dosis awal 100 -300 mg/hari. Kondisi sedang: 300 - 600 mg/hari. Kondisi berat: 700 - 900 mg/hari. Dosis tunggal maksimum 300 mg.</t>
  </si>
  <si>
    <t>INFORMASI OBAT INI HANYA UNTUK KALANGAN MEDIS. Hiperurisemia primer: gout. Hiperurisemia sekunder: mencegah pengendapan asam urat dan kalsium oksalat. Produksi asam urat yang berlebihan antara lain disebakan karena polisitemia vera dan terapi sitostatik.</t>
  </si>
  <si>
    <t>Produk ini tidak boleh diberikan pada pasien dengan kondisi: Hipersensitif terhadap Allopurinol. Serangan asam urat akut.</t>
  </si>
  <si>
    <t>HARUS DENGAN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</si>
  <si>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hiperurisemia primer gout  hiperurisemia sekunder mencegah pengendapan asam urat kalsium oksalat  produksi asam urat disebakan polisitemia vera terapi sitostatik</t>
  </si>
  <si>
    <t>allopurinol tablet hiperurisemia primer gout  hiperurisemia sekunder mencegah pengendapan asam urat kalsium oksalat  produksi asam urat disebakan polisitemia vera terapi sitostatik</t>
  </si>
  <si>
    <t>DBL0422239010A1</t>
  </si>
  <si>
    <t>Folavit 1000 mcg 4 Tablet</t>
  </si>
  <si>
    <t>Rp9.100 - Rp11.600</t>
  </si>
  <si>
    <t>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t>
  </si>
  <si>
    <t>Anemia megaloblastik dan makrositik akibat defisensi asam folat. Pada keadaan yang membutuhkan suplemen asam folat serta keadaan dimana kebutuhan asam folat meningkat.</t>
  </si>
  <si>
    <t>Hipersensitif terhadap asam folat. Pemberian asam folat jangka panjang dikontraindikasikan untuk beberapa penderita defisiensi kobalamin yang tidak diobati.</t>
  </si>
  <si>
    <t>Asam folat tidak seharusnya diberikan sebagai obat tunggal pada pengobatan anemia pernicious dan defisiensi Vitamin B12.</t>
  </si>
  <si>
    <t>anemia megaloblastik makrositik akibat defisensi asam folat  pada membutuhkan suplemen asam folat dimana kebutuhan asam folat meningkat</t>
  </si>
  <si>
    <t>folavit</t>
  </si>
  <si>
    <t>folavit tablet folic acid anemia megaloblastik makrositik akibat defisensi asam folat  pada membutuhkan suplemen asam folat dimana kebutuhan asam folat meningkat</t>
  </si>
  <si>
    <t>Durex Play Feel 50 ml</t>
  </si>
  <si>
    <t>Rp74.500 - Rp75.000</t>
  </si>
  <si>
    <t>Cairan khusus yang dapat membantu melumasi atau melicinkan organ intim pria maupun wanita untuk mengurangi rasa sakit dan iritasi akibat gesekan berlebih.</t>
  </si>
  <si>
    <t>Hindari terkena mata. Simpan di tempat kering dan sejuk. Gunakan maksimal 3 bulan sejak kemasan dibuka. Jauhkan dari jangkauan anak-anak. Bukan produk kontrasepsi, tetap gunakan kondom sebagai alat kontrasepsi.</t>
  </si>
  <si>
    <t>cairan khusus membantu melumasi melicinkan organ intim pria wanita mengurangi sakit iritasi akibat gesekan berlebih</t>
  </si>
  <si>
    <t>durex play feel tablet sildenafil citrate cairan khusus membantu melumasi melicinkan organ intim pria wanita mengurangi sakit iritasi akibat gesekan berlebih</t>
  </si>
  <si>
    <t>DKL1913321811A1</t>
  </si>
  <si>
    <t>L-Acys 600 mg 2 Tablet Effervescent</t>
  </si>
  <si>
    <t>Sebaiknya diberikan bersama makanan. Larutkan 1 tablet dalam 1/2 gelas air minum. Berikan sesudah makan malam.</t>
  </si>
  <si>
    <t>PENGGUNAAN OBAT INI HARUS SESUAI DENGAN PETUNJUK DOKTER. Gangguan saluran napas : 1 tablet per hari (sebaiknya pada malam hari). Intoksikasi parasetamol (secara sengaja maupun tidak sengaja) : Pada Dosis awal diberikan 140 mg/kg berat badan</t>
  </si>
  <si>
    <t>Digunakan untuk mengobati ganguan pada saluran pernapasan yang dicirikan dengan adanya hipersekresi yang kental dan lengket, seperti bronkitis akut atau kronik dan eksaserbasinya, emfisema paru, mukovisidosis, dan bronkiektasis.</t>
  </si>
  <si>
    <t>DUS, 5 STRIP @ 2 TABLET EFFERVESCENT</t>
  </si>
  <si>
    <t>Kontraindikasi bagi pasien dengan hipersensitivitas</t>
  </si>
  <si>
    <t>Obat Wajib Apotek, Obat ini dapat dibeli dan diserahkan apoteker tanpa resep dengan maksimum 10 Strip. Pembelian melebihi batas ini WAJIB RESEP DOKTER Berikan sesudah makan pada pasien dengan gastritis. Tidak dianjurkan untuk pasien diabetes hingga kadar glukosa darah terkendali pada kisaran normal. Perhatian bagi wanita hamil dan menyusui.</t>
  </si>
  <si>
    <t>digunakan mengobati ganguan saluran pernapasan dicirikan hipersekresi kental lengket , bronkitis akut kronik eksaserbasinya , emfisema paru , mukovisidosis , bronkiektasis</t>
  </si>
  <si>
    <t>lacys effervescent</t>
  </si>
  <si>
    <t>lacys effervescent tablet acetylcysteine digunakan mengobati ganguan saluran pernapasan dicirikan hipersekresi kental lengket  bronkitis akut kronik eksaserbasinya  emfisema paru  mukovisidosis  bronkiektasis</t>
  </si>
  <si>
    <t>DKL0206502104A1</t>
  </si>
  <si>
    <t>Etamox 500 mg 10 Tablet</t>
  </si>
  <si>
    <t>Rp5.100 - Rp23.700</t>
  </si>
  <si>
    <t>Hipersensitif terhadap Penicillin. Mononukleosis infeksiosa.</t>
  </si>
  <si>
    <t>HARUS DENGAN RESEP DOKTER. Alergi terhadap Penisilin atau Sefalosporin, gangguan ginjal, leukemia limfatik, ibu hamil dan menyusui. Kategori Kehamilan : B</t>
  </si>
  <si>
    <t>etamox</t>
  </si>
  <si>
    <t>etamox kaplet amoxicillin trihydrate infeksi saluran napa  saluran genito  urinaria  kulit jaringan lunak disebabkan organisme gram positif gram negatif peka amoxicillin</t>
  </si>
  <si>
    <t>TR172602501</t>
  </si>
  <si>
    <t>Egoji Sirup Rasa Apelberry 100 ml</t>
  </si>
  <si>
    <t>EGOJI RASA APPLE-BERRY</t>
  </si>
  <si>
    <t>Rp41.000 - Rp84.500</t>
  </si>
  <si>
    <t>egoji rasa apple-berry</t>
  </si>
  <si>
    <t>egoji rasa apelberry</t>
  </si>
  <si>
    <t>egoji rasa apelberry sirup egoji rasa appleberry membantu meningkatkan daya tahan tubuh  membantu mempercepat penyembuhan penyakit  mencegah tidak mudah terserang penyakit</t>
  </si>
  <si>
    <t>DTL8327800641A1</t>
  </si>
  <si>
    <t>Caladine Lotion 60 ml</t>
  </si>
  <si>
    <t>Rp19.000 - Rp23.000</t>
  </si>
  <si>
    <t>Bersihkan bagian kulit yang gatal lalu oleskan, sebaiknya digunakan sehabis mandi pagi dan sore.</t>
  </si>
  <si>
    <t>2-4 kali sehari</t>
  </si>
  <si>
    <t>Mengobati gatal karena biang keringet, udara panas, gigitan serangga. Selain itu dapat digunakan sebagai antialergi, antideptik dan penyejuk kulit</t>
  </si>
  <si>
    <t>Jangan dipakai pada kulit yang melepuh, mengelupas atau mengeluarkan cairan. Jika setelah memakai obat ini tidak ada perubahan, timbul rasa terbakar, ruam (iritasi) kulit, hentikan pemakaian dan periksakan ke dokter. Simpan pada suhu di bawah 30 C</t>
  </si>
  <si>
    <t>calamine zinc oxide diphenhydramine hydrochloride</t>
  </si>
  <si>
    <t>mengobati gatal biang keringet , udara panas , gigitan serangga  selain antialergi , antideptik penyejuk kulit</t>
  </si>
  <si>
    <t>caladine lotion</t>
  </si>
  <si>
    <t>caladine lotion larutan calamine zinc oxide diphenhydramine hydrochloride mengobati gatal biang keringet  udara panas  gigitan serangga  selain antialergi  antideptik penyejuk kulit</t>
  </si>
  <si>
    <t>DKL8707906638A1</t>
  </si>
  <si>
    <t>Decamox Dry Sirup 60 ml</t>
  </si>
  <si>
    <t>Rp14.000 - Rp14.200</t>
  </si>
  <si>
    <t>PENGGUNAAN OBAT INI HARUS SESUAI DENGAN PETUNJUK DOKTER. Dewasa dan anak-anak dengan berat badan diatas 20 kg : sehari 250 - 500 mg (10-20 ml) tiap 8 jam. Anak-anak dengan berat badan kurang dari 20 kg : 20 -40 mg/kg berat badan sehari dalam dosis terbagi, diberikan tiap 8 jam.</t>
  </si>
  <si>
    <t>decamox</t>
  </si>
  <si>
    <t>decamox sirup amoxicillin trihydrate infeksi saluran napa  saluran kemih kelamin  ginekologi  jantung  tht  kulit jaringan lunak  demam enterik infeksi pencernaan  gonore</t>
  </si>
  <si>
    <t>DBL9104508712A1</t>
  </si>
  <si>
    <t>Degirol Hisap 0.25 mg 20 Tablet</t>
  </si>
  <si>
    <t>Rp28.200 - Rp33.800</t>
  </si>
  <si>
    <t>Satu tablet dibiarkan melarut perlahan-lahan di dalam mulut.</t>
  </si>
  <si>
    <t>Dewasa: 1 tablet dihisap, tiap 3 - 4 jam. Maksimal 8 tablet per hari</t>
  </si>
  <si>
    <t>Sakit tenggorokan, peradangan pada rongga mulut dan tenggorokan seperti gingivitis, faringitis, periodontitis, laringitis dan angina, infeksi selaput lendir mulut seperti stomatitis.</t>
  </si>
  <si>
    <t>Dus, 5 Amplop @ 1 Strip @ 4 Tablet hisap</t>
  </si>
  <si>
    <t>Hipersensitif atau alergi terhadap Dequalinium Chloride.</t>
  </si>
  <si>
    <t>Hindari pemakaian jangka panjang dan berulang. Belum terdapat data keamanan terkait penggunaan obat ini pada wanita hamil dan/atau menyusui. Konsultasikan kepada dokter apabila Anda sedang hamil dan/atau menyusui.</t>
  </si>
  <si>
    <t>sakit tenggorokan , peradangan rongga mulut tenggorokan gingivitis , faringitis , periodontitis , laringitis angina , infeksi selaput lendir mulut stomatitis</t>
  </si>
  <si>
    <t>degirol hisap</t>
  </si>
  <si>
    <t>degirol hisap tablet dequalinium chloride sakit tenggorokan  peradangan rongga mulut tenggorokan gingivitis  faringitis  periodontitis  laringitis angina  infeksi selaput lendir mulut stomatitis</t>
  </si>
  <si>
    <t>DKL8805003504A1</t>
  </si>
  <si>
    <t>Dexymox 500 mg 10 Kapsul</t>
  </si>
  <si>
    <t>Rp8.300 - Rp12.200</t>
  </si>
  <si>
    <t>Mononukleosis menular, leukemia limfatik, infeksi gastrointestinal berat, disertai dengan diare atau muntah, infeksi virus pernapasan, diatesis alergi, asma bronkial, demam, kepekaan terhadap penisilin dan / atau sefalosporin.</t>
  </si>
  <si>
    <t>dexymox</t>
  </si>
  <si>
    <t>dexymox kaplet amoxicillin trihydrate infeksi saluran napa  saluran genito  urinaria  kulit jaringan lunak disebabkan organisme gram positif gram negatif peka amoxicillin</t>
  </si>
  <si>
    <t>DKL0821634129A1</t>
  </si>
  <si>
    <t>Hercum 0.5 mg/g Cream 10 g</t>
  </si>
  <si>
    <t>Rp41.700 - Rp42.800</t>
  </si>
  <si>
    <t>INFORMASI OBAT INI HANYA UNTUK KALANGAN MEDIS. Psoriasis (kecuali plak Psoriasis), Ekzem yang resisten, Likhen Planus, Lupus Eritematosus diskoid &amp; kondisi lainnya yang tidak responsif terhadap steroid yang kurang kuat</t>
  </si>
  <si>
    <t>Rosasea, akne, dermatitis perioral</t>
  </si>
  <si>
    <t>Caladine Lotion 95 ml</t>
  </si>
  <si>
    <t>Rp25.600 - Rp32.500</t>
  </si>
  <si>
    <t>Botol @ 95 ml</t>
  </si>
  <si>
    <t>DTL7224216312A1</t>
  </si>
  <si>
    <t>Tantum Lozenges 12 Tablet</t>
  </si>
  <si>
    <t>Rp46.500 - Rp46.600</t>
  </si>
  <si>
    <t>Sebelum / sesudah makan. Tablet dihisap, tidak boleh dikunyah.</t>
  </si>
  <si>
    <t>Kasus berat : 1 tablet dihisap perlahan lahan tiap 2 jam, kasus ringan : 1 tablet dihisap perlahan lahan tiap 3 jam, maksimal 12 tablet hisap /hari , jangan dikunyah dan jangan digunakan berturut turut lebih dari 7 hari</t>
  </si>
  <si>
    <t>Meringankan sementara rasa sakit pada rongga mulut seperti keadaan tonsilitis, sakit tenggorokan, nyeri lokal paska bedah mulut, kelainan periodontal, kemerahan dan keadaan inflamasi</t>
  </si>
  <si>
    <t>Dus, 2 Strip @ 6 Tablet Hisap</t>
  </si>
  <si>
    <t>Peringatan bagi penderita gangguan hati &amp; ginjal berat, asma, hamil, anak di bawah 6 th.</t>
  </si>
  <si>
    <t>meringankan sakit rongga mulut tonsilitis , sakit tenggorokan , nyeri lokal paska bedah mulut , kelainan periodontal , kemerahan inflamasi</t>
  </si>
  <si>
    <t>tantum lozenges</t>
  </si>
  <si>
    <t>tantum lozenges tablet benzydamine hydrochloride meringankan sakit rongga mulut tonsilitis  sakit tenggorokan  nyeri lokal paska bedah mulut  kelai periodontal  kemerahan inflamasi</t>
  </si>
  <si>
    <t>DKI0251302067B1</t>
  </si>
  <si>
    <t>Symbicort 160 mcg/4.5 mcg Turbuhaler 60 Dosis</t>
  </si>
  <si>
    <t>Rp296.000 - Rp403.500</t>
  </si>
  <si>
    <t>Disemprotkan ke dalam mulut sambil dihirup</t>
  </si>
  <si>
    <t>PENGGUNAAN OBAT INI HARUS SESUAI DENGAN PETUNJUK DOKTER. Terapi pemeliharaan dan pereda asma : Dewasa dan remaja usia di atas 12 tahun : Dosis tergantung dari beratnya gejala, 2 inhalasi perhari. Dosis pemeliharaan : 2 x sehari 2 inhalasi. PPOK : Dewasa : 2 inhalasi 2 kali sehari</t>
  </si>
  <si>
    <t>INFORMASI OBAT INI HANYA UNTUK KALANGAN MEDIS. Terapi reguler untuk asma di mana diperlukan terapi kombinasi inhalasi kortikosteroid dan agonis-beta kerja panjang, Terapi untuk PPOK berat dan adanya riwayat eksaserbasi berulang.</t>
  </si>
  <si>
    <t>HARUS DENGAN RESEP DOKTER. Tidak untuk dihentikan secara tiba-tiba. Tirotoksikosis, feokromositoma, DM, hipokalemia yang tidak diterapi, kardiomiopati obstruktif hipertrofi, stenosis aorta subvalvular idiopatik, hipertensi berat, aneurisma atau gangguan KV berat lain. Pasien dengan perpanjangan interval QT. Asma akut berat. Anak usia di bawah 6 tahun.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</si>
  <si>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terapi reguler asma terapi kombinasi inhalasi kortikosteroid agonis - beta kerja , terapi ppok berat riwayat eksaserbasi berulang</t>
  </si>
  <si>
    <t>symbicort turbuhaler dosis</t>
  </si>
  <si>
    <t>symbicort turbuhaler dosis powder budesonide terapi reguler asma terapi kombinasi inhalasi kortikosteroid agonis  beta kerja  terapi ppok berat riwayat eksaserbasi berulang</t>
  </si>
  <si>
    <t>DKL9104506710B1</t>
  </si>
  <si>
    <t>Cedocard 10 mg 10 Tablet</t>
  </si>
  <si>
    <t>Rp14.400 - Rp24.100</t>
  </si>
  <si>
    <t>INFORMASI OBAT INI HANYA UNTUK KALANGAN MEDIS. Terapi angina pektoris, pencegahan serangan angina pada penyakit-penyakit koroner kronik, gangguan angina paska infark miokard, gagal jantung</t>
  </si>
  <si>
    <t>terapi angina pektoris , pencegahan serangan angina penyakit - penyakit koroner kronik , gangguan angina paska infark miokard , gagal jantung</t>
  </si>
  <si>
    <t>cedocard tablet isosorbide dinitrate terapi angina pektoris  pencegahan serangan angina penyakit  penyakit koroner kronik  gangguan angina paska infark miokard  gagal jantung</t>
  </si>
  <si>
    <t>DKL1422252411A1</t>
  </si>
  <si>
    <t>Acetin 600 mg 10 Tablet Effervescent</t>
  </si>
  <si>
    <t>Rp119.000 - Rp130.900</t>
  </si>
  <si>
    <t>Dus, 1 tube @ 10 Tablet effervescent</t>
  </si>
  <si>
    <t>Obat Wajib Apotek, Obat ini dapat dibeli dan diserahkan apoteker tanpa resep dengan maksimum 2 Tube. Pembelian melebihi batas ini WAJIB RESEP DOKTER. Berikan sesudah makan pada pasien dengan gastritis. Tidak dianjurkan untuk pasien diabetes hingga kadar glukosa darah terkendali pada kisaran normal. Perhatian bagi wanita hamil dan menyusui.</t>
  </si>
  <si>
    <t>acetin effervescent</t>
  </si>
  <si>
    <t>acetin effervescent tablet acetylcysteine digunakan mengobati ganguan saluran pernapasan dicirikan hipersekresi kental lengket  bronkitis akut kronik eksaserbasinya  emfisema paru  mukovisidosis  bronkiektasis</t>
  </si>
  <si>
    <t>TR102310881</t>
  </si>
  <si>
    <t>Sido Muncul Libidione 30 Kapsul</t>
  </si>
  <si>
    <t>LIBIDIONE</t>
  </si>
  <si>
    <t>Rp97.900 - Rp113.600</t>
  </si>
  <si>
    <t>1 kapsul, 2-3x sehari selama 1-2 bulan atau sesuai petunjuk dokter.</t>
  </si>
  <si>
    <t>Suplemen herbal khusus bagi pria dengan ekstrak tribulus yang lebih banyak untuk meningkatkan stamina dan vitalitas pria, serta memperlancar peredaran darah sehingga kebugaran tubuh tetap terjaga.</t>
  </si>
  <si>
    <t>Simpan di tempat yang kering, sejuk dan terhindar dari sinar matahari langsung. Simpan pada suhu di bawah 30 derajat Celcius</t>
  </si>
  <si>
    <t>libidione</t>
  </si>
  <si>
    <t>suplemen herbal khusus pria ekstrak tribulus meningkatkan stamen vitalitas pria , memperlancar peredaran darah kebugaran tubuh terjaga</t>
  </si>
  <si>
    <t>sido muncul libidione</t>
  </si>
  <si>
    <t>sido muncul libidione kapsul libidione suplemen herbal khusus pria ekstrak tribulus meningkatkan stamen vitalitas pria  memperlancar peredaran darah kebugaran tubuh terjaga</t>
  </si>
  <si>
    <t>DBL7221628958A1</t>
  </si>
  <si>
    <t>Microlax Gel 5 ml</t>
  </si>
  <si>
    <t>Rp21.000 - Rp31.900</t>
  </si>
  <si>
    <t>Tekan tube sedikit agar sebagian isi obat keluar. Oleskan pada bagian luar dari pipa/cannula. Masukkan pipa kedalam anus. Tekan tube tersebut hingga seluruh isinya habis keluar. Cabut kembali pia tersebut tanpa melepaskan tekanan pada tube.</t>
  </si>
  <si>
    <t>Dewasa dan Anak diatas 3 thn: 1 tube</t>
  </si>
  <si>
    <t>Obat ini digunakan untuk mengatasi susah buang air besar/BAB (sembelit), khususnya diberikan pada penderita yang harus tinggal di tempat tidur, orang dewasa, lansia, anak-anak dan wanita hamil.</t>
  </si>
  <si>
    <t>Tube @ 5 ml</t>
  </si>
  <si>
    <t>Obat ini jangan digunakan pada penderita penyakit wasir akut dan penderita radang usus besar</t>
  </si>
  <si>
    <t>Microlax bekerja dalam 5 -15 menit.</t>
  </si>
  <si>
    <t>obat mengatasi susah buang air bab sembelit , penderita tinggal tidur , orang dewasa , lansia , anak - anak wanita hamil</t>
  </si>
  <si>
    <t>microlax</t>
  </si>
  <si>
    <t>microlax enema macrogol 400 obat mengatasi susah buang air bab sembelit  penderita tinggal tidur  orang dewasa  lansia  anak  anak wanita hamil</t>
  </si>
  <si>
    <t>DKL1321205717A1</t>
  </si>
  <si>
    <t>Plavix 75 mg 14 Tablet</t>
  </si>
  <si>
    <t>Rp393.100 - Rp543.200</t>
  </si>
  <si>
    <t>PENGGUNAAN OBAT INI HARUS SESUAI DENGAN PETUNJUK DOKTER. Sindrom koroner akut non-ST elevasi segmen (angina tidak stabil atau infark miokard non gelombang Q) Dewasa dan lanjut usia : Awal 300 mg sebagai dosis tunggal, kemudian dilanjutkan 75 mg 1 x/hr dg asam asetilsalisilat 75-325 mg/hr. Elevasi segmen ST MI akut 75 mg dosis harian tunggal, dimulai dg dosis awal 300 mg dlm kombinasi dg asam asetilsalisilat dan dengan atau tanpa trombolitik. Lansia &gt;75 thn Mulailah tanpa dosis muatan.</t>
  </si>
  <si>
    <t>Hipersensitivitas. Perdarahan patologis aktif misalnya tukak peptik atau perdarahan intrakranial. Kerusakan hati yang parah.</t>
  </si>
  <si>
    <t>HARUS DENGAN RESEP DOKTER. Pertimbangkan penentuan jumlah sel darah. Pasien yang mungkin berisiko mengalami peningkatan perdarahan akibat trauma, pembedahan, atau kondisi patologis lainnya, pada pasien yang menerima pengobatan dengan asam asetilsalisilat, heparin, inhibitor glikoprotein IIb/IIIa atau NSAID atau SSRI, yang telah mengembangkan reaksi alergi dan atau hematologis sebelumnya terhadap thienopyridine. Pemberian bersamaan dengan antikoagulan oral tidak dianjurkan. Hentikan 7 hari sebelum operasi elektif. Lesi dg kecenderungan berdarah (khususnya GI &amp; intraokular). Tidak dianjurkan selama 7 hari pertama setelah stroke iskemik akut. Hindari penggunaan bersama inhibitor CYP2C19 kuat atau sedang. hemofilia didapat purpura trombositopenik trombotik. Mengandung minyak jarak terhidrogenasi yang dapat menyebabkan sakit perut &amp; diare. Pasien dengan masalah herediter yang jarang dari intoleransi galaktosa, defisiensi Lapp laktase, atau malabsorpsi glukosa galaktosa. Pasien dengan penyakit hati sedang yang mungkin mengalami diatesis perdarahan. Gangguan ginjal. Tidak untuk digunakan selama kehamilan &amp; menyusui. Anak &amp; remaja &lt;18 thn. Katgori Kehamilan: Kategori B: Mungkin dapat digunakan oleh wanita hamil. Penelitian pada hewan uji tidak memperlihatkan ada nya risiko terhadap janin, namun belum ada bukti penelitian langsung terhadap wanita hamil. Tidak diketahui apakah clopidogrel diekskresikan dalam ASI manusia, konsultasikan kepada tenaga medis apabila sedang menyusui.</t>
  </si>
  <si>
    <t>clopidogrel hydrogen sulfate</t>
  </si>
  <si>
    <t>plavix</t>
  </si>
  <si>
    <t>plavix tablet clopidogrel hydrogen sulfate mengurangi kejadian aterosklerosis infark miokard  stroke kematian vaskular pasien aterosklerosis ditandai stroke  infark miokard penyakit arteri</t>
  </si>
  <si>
    <t>DKL2134615846A1</t>
  </si>
  <si>
    <t>Lamofer Eye Drop 2.5 ml</t>
  </si>
  <si>
    <t>Rp126.000 - Rp154.100</t>
  </si>
  <si>
    <t>PENGGUNAAN OBAT INI HARUS SESUAI DENGAN PETUNJUK DOKTER. 1 tetes pada mata yang sakit, sekali sehari pada pagi hari.</t>
  </si>
  <si>
    <t>INFORMASI OBAT INI HANYA UNTUK KALANGAN MEDIS. Untuk mengurangi tekanan intraokular (TIO) pada pasien dengan glaukoma sudut terbuka dan hipertensi okular yang kurang responsif terhadap timolol dan/atau latanoprost.</t>
  </si>
  <si>
    <t>Penyakit saluran pernapasan yang reaktif termasuk asma bronkial atau penyakit paru obstruksi kronik yang parah. Sinus bradikardia, sick sinus syndrome, blokade sino-atrial, blokade atrioventricular derajat 2 atau 3 tidak terkontrol dengan pace-maker, gagal jantung yang jelas atau syok cardiogenic. Diketahui hipersensitif terhadap latanoprost atau timolol maleate atau pada eksipien dalam obat ini.</t>
  </si>
  <si>
    <t>HARUS DENGAN RESEP DOKTER. Produk mengandung benzalkonium chloride yang dapat diabsorbsi oleh lensa kontak. Hal ini menyebabkan perubahan warna lensa kontak. Benzalkonium chloride juga dapat menyebabkan iritasi mata. Lensa kontak harus dilepas sebelum menggunakan tetes mata dan dapat memasangnya kembali setelah 15 menit</t>
  </si>
  <si>
    <t>untuk mengurangi tekanan intraokular tio pasien glaukoma sudut terbuka hipertensi okular responsif timolol latanoprost</t>
  </si>
  <si>
    <t>lamofer eye drop</t>
  </si>
  <si>
    <t>lamofer eye drop tetes timolol maleate latanoprost untuk mengurangi teka intraokular tio pasien glaukoma sudut terbuka hipertensi okular responsif timolol latanoprost</t>
  </si>
  <si>
    <t>DKL8827906509A1</t>
  </si>
  <si>
    <t>Zentra 10 Kaplet</t>
  </si>
  <si>
    <t>PENGGUNAAN OBAT INI HARUS SESUAI DENGAN PETUNJUK DOKTER. Dws &amp; anak &gt;12 thn 1 kapl atau 2 sdt. Anak 6-12 thn 1/2 kapl atau 1 sdt, 1-6 thn 1/2 sdt. Bayi &lt;1 thn 1/4 sdt. Semua dosis diberikan 3 x/hari.</t>
  </si>
  <si>
    <t>Mengatasi gejala-gejala yang berhubungan dengan selesma, sinusitis, &amp; kondisi alergi. Mengurangi peradangan pada mukosa hidung &amp; membantu menghentikan gejala hidung berair.</t>
  </si>
  <si>
    <t>Hipertensi berat, penyakit jantung kongestif. Terapi bersama dengan MAOI.</t>
  </si>
  <si>
    <t>HARUS DENGAN RESEP DOKTER. Peny. jantung, hipertensi. Hamil. Dpt mengganggu kemampuan mengemudi atau menjalankan mesin.</t>
  </si>
  <si>
    <t>mengatasi gejala - gejala berhubungan selesma , sinusitis , kondisi alergi  mengurangi peradangan mukosa hidung membantu menghentikan gejala hidung berair</t>
  </si>
  <si>
    <t>zentra</t>
  </si>
  <si>
    <t>zentra kaplet pseudoephedrine hydrochloride mengatasi gejala  gejala berhubungan selesma  sinusitis  kondisi alergi  mengurangi peradangan mukosa hidung membantu menghentikan gejala hidung berair</t>
  </si>
  <si>
    <t>DKL8322200409A1</t>
  </si>
  <si>
    <t>Mefinal 500 mg 10 Kaplet</t>
  </si>
  <si>
    <t>Rp18.000 - Rp19.600</t>
  </si>
  <si>
    <t>INFORMASI OBAT INI HANYA UNTUK KALANGAN MEDIS. Nyeri pada kondisi rematik, cedera jaringan lunak, kondisi muskuloskeletal menyakitkan lainnya, dismenorea, sakit kepala, sakit gigi, nyeri pasca operasi.</t>
  </si>
  <si>
    <t>Hipersensitivitas, peradangan atau tukak pada saluran pencernaan.</t>
  </si>
  <si>
    <t>nyeri kondisi rematik , cedera jaringan lunak , kondisi muskuloskeletal menyakitkan , dismenorea , sakit kepala , sakit gigi , nyeri pasca operasi</t>
  </si>
  <si>
    <t>mefinal</t>
  </si>
  <si>
    <t>mefinal kaplet mefenamic acid nyeri kondisi rematik  cedera jaringan lunak  kondisi muskuloskeletal menyakitkan  dismenorea  sakit kepala  sakit gigi  nyeri pasca operasi</t>
  </si>
  <si>
    <t>Hylo Comod Lubricating Eye Drops 10 ml</t>
  </si>
  <si>
    <t>Rp244.100 - Rp244.200</t>
  </si>
  <si>
    <t>HYLO-COMOD harus digunakan sesuai instruksi yang diberikan oleh dokter atau spesialis lensa kontak anda. Umumnya dapat digunakan 3 kali sehari, 1 tetes pada setiap mata, jika perlu dapat digunakan lebih sering. Jika anda sangat sering menggunakan HYLO-COMOD (misalnya lebih dari 10 kali per hari), silahkan konsultasikan dengan spesialis mata. HYLO-COMOD cocok untuk penggunaan jangka panjang. Jika keluhan berlanjut, konsultasikan ke spesialis mata.</t>
  </si>
  <si>
    <t>3 kali sehari, 1 tetes pada setiap mata</t>
  </si>
  <si>
    <t>Tetes mata yang penggunaannya dengan lensa kontak untuk melembabkan pada kondisi mata pedih dan meningkatkan lubrikan permukaan bola mata yang kering.</t>
  </si>
  <si>
    <t>HYLO-COMOD tidak boleh digunakan jika anda hipersensitif terhadap salah satu komponen</t>
  </si>
  <si>
    <t>Jika menggunakan tetes mata yang lain, maka harus ada jeda minimal 30 menit dan Hylo-Comod harus digunakan terakhir. Sedangkan jika bentuknya adalah salep mata, maka salep mata digunakan minimal 30 menit sesudah menggunakan Hylo-Comod. Untuk menghindari reaksi inkompatibilitas yang mungkin terjadi karena interaksi antara produk perawatan lensa kontak dan Hylo-Comod, direkomendasikan untuk memasang lensa kontak, tunggu sekitar 30 menit, lalu tetesi tetes mata. Sesuai pengetahuan hingga saat ini, Hylo-Comod dapat digunakan pada anak, wanita hamil, dan menyusui.</t>
  </si>
  <si>
    <t>tetes mata penggunaannya lensa kontak melembabkan kondisi mata pedih meningkatkan lubrikan permukaan bola mata kering</t>
  </si>
  <si>
    <t>hylo comod lubricating eye</t>
  </si>
  <si>
    <t>hylo comod lubricating eye tetes ofloxacin tetes mata penggunaannya lensa kontak melembabkan kondisi mata pedih meningkatkan lubrikan permukaan bola mata kering</t>
  </si>
  <si>
    <t>Hansaplast Sensitive 3XL 1 Lembar</t>
  </si>
  <si>
    <t>Rp11.000 - Rp15.200</t>
  </si>
  <si>
    <t>Sebagai plester luka steril untuk luka sedang hingga besar pasca operasi dan luka sehari-hari seperti luka sayat, luka gores dan luka lecet</t>
  </si>
  <si>
    <t>sebagai plester luka steril luka pasca operasi luka sehari - luka sayat , luka gore luka lecet</t>
  </si>
  <si>
    <t>hansaplast sensitive xl lembar larutan povidoneiodine sebagai plester luka steril luka pasca operasi luka sehari  luka sayat  luka gore luka lecet</t>
  </si>
  <si>
    <t>Hansaplast Sensitive 4XL 1 Lembar</t>
  </si>
  <si>
    <t>Hansaplast Sensitive XXL 1 Lembar</t>
  </si>
  <si>
    <t>Rp9.400 - Rp10.700</t>
  </si>
  <si>
    <t>hansaplast sensitive xxl lembar</t>
  </si>
  <si>
    <t>hansaplast sensitive xxl lembar larutan povidoneiodine sebagai plester luka steril luka pasca operasi luka sehari  luka sayat  luka gore luka lecet</t>
  </si>
  <si>
    <t>GKL8912509110A1</t>
  </si>
  <si>
    <t>Allopurinol 100 mg 10 Tablet</t>
  </si>
  <si>
    <t>Rp3.700 - Rp4.600</t>
  </si>
  <si>
    <t>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</si>
  <si>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DKL0922245831A1</t>
  </si>
  <si>
    <t>Polidemisin Salep Mata 3.5 g</t>
  </si>
  <si>
    <t>Rp49.000 - Rp53.200</t>
  </si>
  <si>
    <t>Inflamasi mata responsif terhadap steroid pada konjungtiva Palpebral-Bulbar, Kornea dan segmen anterior bola mata, dimana terdapat infeksi/resiko infeksi bakteri.</t>
  </si>
  <si>
    <t>Keratitis simpleks epitelial, cacar sapi, cacar air, penyakit virus kornea dan konjungtiva. Penyakit jamur pada mata</t>
  </si>
  <si>
    <t>inflamasi mata responsif steroid konjungtiva palpebral - bulbar , kornea segmen anterior bola mata , dimana infeksi resiko infeksi bakteri</t>
  </si>
  <si>
    <t>polidemisin mata</t>
  </si>
  <si>
    <t>polidemisin mata salep dexamethasone inflamasi mata responsif steroid konjungtiva palpebral  bulbar  kornea segmen anterior bola mata  dimana infeksi resiko infeksi bakteri</t>
  </si>
  <si>
    <t>DTL1641200437A1</t>
  </si>
  <si>
    <t>Benadryl Original Sirup 50 ml</t>
  </si>
  <si>
    <t>Rp25.700 - Rp29.300</t>
  </si>
  <si>
    <t>Dosis untuk diminum setiap 6 jam: Di atas 12 tahun: 10 ml (2 sendok takar) Anak 6-12 tahun: 5 ml (1 sendok takar) atau menurut petunjuk dokter Jangan melebihi 4 kali dalam sehari.</t>
  </si>
  <si>
    <t>Tidak untuk digunakan untuk batuk kronis seperti yang timbul dengan asma atau batuk dengan sekresi berlebih, kecuali atas petunjuk dokter.</t>
  </si>
  <si>
    <t>- Jangan mengemudikan kendaraan atau melakukan pekerjaan yang memerlukan konsentrasi penuh selama minum obat ini - Jangan minum alkohol dan obat-obatan lain yang menyebabkan depresi SSP atau obat penenang karena dapat menambah efek kantuk obat ini - Pasie</t>
  </si>
  <si>
    <t>benadryl original</t>
  </si>
  <si>
    <t>benadryl original sirup diphenhydramine hydrochloride ammonium chloride meredakan batuk gejala timbul saluran pernafasan bersin  gatal rongga hidung  tenggorokan  mata berair alergi</t>
  </si>
  <si>
    <t>dexamethasone sodium phosphate neomycin sulfate polymyxin b sulfate</t>
  </si>
  <si>
    <t>cendo polydex minidose tetes dexamethasone sodium phosphate neomycin sulfate polymyxin b sulfate pengobatan jangka pendek kondisi mata responsif steroid antibiotik pencegahan</t>
  </si>
  <si>
    <t>DTL9731804009A1</t>
  </si>
  <si>
    <t>Aknil 10 Tablet</t>
  </si>
  <si>
    <t>Rp7.700 - Rp8.600</t>
  </si>
  <si>
    <t>Sakit kepala, neuralgia/nyeri saraf (termasuk migren), dismenore (nyeri sewaktu haid), nyeri setelah trauma atau setelah operasi, sakit gigi, cabut gigi, dan untuk kondisi demam.</t>
  </si>
  <si>
    <t>sakit kepala , neuralgia nyeri saraf migren , dismenore nyeri haid , nyeri trauma operasi , sakit gigi , cabut gigi , kondisi demam</t>
  </si>
  <si>
    <t>aknil</t>
  </si>
  <si>
    <t>aknil kaplet ibuprofen sakit kepala  neuralgia nyeri saraf migren  dismenore nyeri haid  nyeri trauma operasi  sakit gigi  cabut gigi  kondisi demam</t>
  </si>
  <si>
    <t>DKL9513010946B1</t>
  </si>
  <si>
    <t>Ximex Opticom 0.5% Eye Drops 5 ml</t>
  </si>
  <si>
    <t>Rp28.200 - Rp29.000</t>
  </si>
  <si>
    <t>PENGGUNAAN OBAT INI HARUS SESUAI DENGAN PETUNJUK DOKTER. Dosis awal umumnya adalah 1 tetes larutan 0,25% timolol 2x sehari. Jika respon klinis kurang memuaskan, dosis dapat diubah menjadi 1 tetes larutan 0,5% timolol 2x sehari. Jika diperlukan dapat dilakukan terapi bersamaan dengan miotik (epinefrin) dan inhibitor karbonik anhidrase yang diberikan secara sistemik</t>
  </si>
  <si>
    <t>Mengurangi intra okular pada pasien hipertensi okular, pasien penderita glukoma sudut terbuka kronis, pasien aphakic dengan glukoma</t>
  </si>
  <si>
    <t>Penyakit asma bronkhiale atau dengan riwayat sejarah asma bronkhiale ataupun penyakit sumbatan paru-paru yang parah. Sinus bradikardi, hambatan atrioventrikular tingkat dua dan tiga, gagal jantung, dan shock kardiogenik. Hipersensitivitas terhadap timolol maleate</t>
  </si>
  <si>
    <t>HARUS DENGAN RESEP DOKTER. Tetes mata timolol maleate dapat diabsorpsi secara sistemik sehingga efek samping yang timbul dengan pemberian sistemik dapat pula terjadi pada pemberian tetes mata timolol secara topical. Adanya gangguan jantung harus diperiksa sebelum memulai terapi dengan tetes mata timolol. Pada pasien yang mempunyai riwayat tanda-tanda gagal jantung, pasien harus diawasi dan diperiksa kecepatan detak jantungnya. Setelah pemberian larutan tetes mata timolol, telah dilaporkan terjadinya gangguan pada pernafasan dan jantung, termasuk kematian akibat broncho spasme pada pasien penderita asma dan agak jarang terjadi adalah kematian yang berhubungan dengan gagal jantung. Pasien yang sudah menerima penghambat beta-adrenergik secara oral dan diberi tetes mata timolol harus diamati terhadap terjadinya efek aditif yang potensial, baik pada tekanan intraocular maupun efek sistemik lain yang timbul akibat penghambatan reseptor beta-adrenergik. Pemakaian pada wanita hamil dan menyusui hanya jika benar-benar diperlukan. Pemakaian dan</t>
  </si>
  <si>
    <t>mengurangi intra okular pasien hipertensi okular , pasien penderita glukoma sudut terbuka kronis , pasien aphakic glukoma</t>
  </si>
  <si>
    <t>ximex opticom eye</t>
  </si>
  <si>
    <t>ximex opticom eye tetes timolol maleate mengurangi intra okular pasien hipertensi okular  pasien penderita glukoma sudut terbuka kronis  pasien aphakic glukoma</t>
  </si>
  <si>
    <t>TR092305171</t>
  </si>
  <si>
    <t>Mediven 500mg 6 Kapsul</t>
  </si>
  <si>
    <t>MEDIVEN</t>
  </si>
  <si>
    <t>Rp16.300 - Rp26.800</t>
  </si>
  <si>
    <t>Anak - anak (12 tahun ke atas) : 3 kali sehari @ 1 kapsul, sampai keadaan membaik / sembuh, Dewasa : 3 kali sehari @ 2 kapsul, sampai keadaan membaik / sembuh</t>
  </si>
  <si>
    <t>Mengobati wasir kronis/menahun, Mengurangi pembengkakan/benjolan pada anus akibat wasir, Melancarkan buang air besar, Mengurangi rasa nyeri dan panas serta pendarahan akibat wasir</t>
  </si>
  <si>
    <t>Strip, 6 Kapsul</t>
  </si>
  <si>
    <t>Selama pengobatan tidak dianjurkan makan makanan yang pedas-pedas, daging kambing dan makanan yang sifatnya kelat (sepet)</t>
  </si>
  <si>
    <t>mediven</t>
  </si>
  <si>
    <t>mengobati wasir kronis menahun , mengurangi pembengkakan benjolan anus akibat wasir , melancarkan buang air , mengurangi nyeri panas pendarahan akibat wasir</t>
  </si>
  <si>
    <t>mediven kapsul mengobati wasir kronis menahun  mengurangi pembengkakan benjolan anus akibat wasir  melancarkan buang air  mengurangi nyeri panas pendarahan akibat wasir</t>
  </si>
  <si>
    <t>DKL1926112117A1</t>
  </si>
  <si>
    <t>Platogrix 75 mg 14 Tablet</t>
  </si>
  <si>
    <t>platogrix</t>
  </si>
  <si>
    <t>platogrix tablet clopidogrel hydrogen sulfate mengurangi kejadian aterosklerosis infark miokard  stroke kematian vaskular pasien aterosklerosis ditandai stroke  infark miokard penyakit arteri</t>
  </si>
  <si>
    <t>DKL0108504704A1</t>
  </si>
  <si>
    <t>Bintamox 500 mg 10 Kaplet</t>
  </si>
  <si>
    <t>Rp11.000 - Rp11.200</t>
  </si>
  <si>
    <t>hipersensitif terhadap beta laktam</t>
  </si>
  <si>
    <t>bintamox</t>
  </si>
  <si>
    <t>bintamox kaplet amoxicillin trihydrate infeksi saluran napa  saluran genito  urinaria  kulit jaringan lunak disebabkan organisme gram positif gram negatif peka amoxicillin</t>
  </si>
  <si>
    <t>Bintang Toedjoe Masuk Angin 15 ml 6 Sachet</t>
  </si>
  <si>
    <t>Rp12.600 - Rp27.000</t>
  </si>
  <si>
    <t>Cukup 1 sachet sekali minum, bisa langsung diminum atau diseduh dengan air hangat 1/2 gelas. 1 sachet 3-5 kali sehari sesudah makan. Untuk anak2 = 1/2 dosis orang dewasa</t>
  </si>
  <si>
    <t>Membantu meredakan masuk angin, perut kembung, pegal2, sakit kepala, mual dan meriang</t>
  </si>
  <si>
    <t>1 Dos Isi 1 Pcs</t>
  </si>
  <si>
    <t>membantu meredakan masuk angin , perut kembung , pegal2 , sakit kepala , mual meriang</t>
  </si>
  <si>
    <t>bintang toedjoe masuk angin sachet bintang toedjoe masuk angin plus membantu meredakan masuk angin  perut kembung  pegal2  sakit kepala  mual meriang</t>
  </si>
  <si>
    <t>TI054516501</t>
  </si>
  <si>
    <t>Bio Strath 40 Tablet</t>
  </si>
  <si>
    <t>BIO-STRATH</t>
  </si>
  <si>
    <t>Rp358.100 - Rp490.600</t>
  </si>
  <si>
    <t>Dewasa : 3 x 2 tablet / hari sebelum makan Anak - anak : 3 x 1 tablet / hari sebelum makan</t>
  </si>
  <si>
    <t>bio-strath</t>
  </si>
  <si>
    <t>bio strath tablet biostrath meningkatkan sistem pertaha tubuh  meningkatkan konsentrasi  meningkatkan efisiensi fisik mental  memulihkan vitalitas  menjaga tingkat hemoglobin disaat kehamilan</t>
  </si>
  <si>
    <t>DKL7225102353A1</t>
  </si>
  <si>
    <t>Borraginol N Suppositoria</t>
  </si>
  <si>
    <t>Rp14.900 - Rp19.500</t>
  </si>
  <si>
    <t>INFORMASI OBAT INI HANYA UNTUK KALANGAN MEDIS. Wasir internal &amp; eksternal, wasir disertai perdarahan, Luka terbuka pada Anus, Prolaps Anus, Periproktitis (radang/inflamasi pada rectum), Pruritus pada Anus</t>
  </si>
  <si>
    <t>Dus, 2 strip @ 5 suppositoria</t>
  </si>
  <si>
    <t>HARUS DENGAN RESEP DOKTER. Hipersensitif terhadap komponen dalam sediaan.</t>
  </si>
  <si>
    <t>wasir internal eksternal , wasir disertai perdarahan , luka terbuka anus , prolaps anus , periproktitis radang inflamasi rectum , pruritus anus</t>
  </si>
  <si>
    <t>borraginol n</t>
  </si>
  <si>
    <t>borraginol n suppositoria benzocaine wasir internal eksternal  wasir disertai perdarahan  luka terbuka anus  prolaps anus  periproktitis radang inflamasi rectum  pruritus anus</t>
  </si>
  <si>
    <t>Cap Gajah Minyak Telon 30 ml</t>
  </si>
  <si>
    <t>Rp8.200 - Rp23.800</t>
  </si>
  <si>
    <t>DBL9016905037A1</t>
  </si>
  <si>
    <t>Omegrip Sirup 120 mg/5 ml 60 ml</t>
  </si>
  <si>
    <t>Rp4.200 - Rp6.500</t>
  </si>
  <si>
    <t>Dewasa 2 sdm (30 ml) 3-4 x sehari. Anak 7-12 tahun 1 sdm (15 ml) 3-4 x sehari</t>
  </si>
  <si>
    <t>DKL1019615709A1</t>
  </si>
  <si>
    <t>Asmef 500 mg 10 Kaplet</t>
  </si>
  <si>
    <t>Rp5.700 - Rp6.500</t>
  </si>
  <si>
    <t>PENGGUNAAN OBAT INI HARUS SESUAI DENGAN PETUNJUK DOKTER. Dewasa: Dosis awal diberikan 2 kaplet sehari dan untuk pemeliharaan diberikan 1 kaplet tiap 6-8 jam perhari. Anak &gt; 6 bulan atau lebih: Diberikan dengan dosis 6.5 mg/kg berat badan perhari tiap 6-8 jam dan diberikan selama maksimal 7 hari.</t>
  </si>
  <si>
    <t>INFORMASI OBAT INI HANYA UNTUK KALANGAN MEDIS. Obat ini digunakan untuk meredakan nyeri ringan hingga sedang seperti sakit kepala, sakit gigi, nyeri haid, nyeri akibat trauma, nyeri pada otot dan nyeri sesudah operasi.</t>
  </si>
  <si>
    <t>kerusakan ginjal, tukak pepik, asma yang sensitif terhadap anti inflamasi dan steroid.</t>
  </si>
  <si>
    <t>Obat Wajib Apotek, Obat ini dapat dibeli dan diserahkan apoteker tanpa resep dengan maksimum 2 Strip. Pembelian melebihi batas ini WAJIB RESEP DOKTER. Memiliki riwayar gangguan ginjal dan hati,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</si>
  <si>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obat meredakan nyeri ringan sakit kepala , sakit gigi , nyeri haid , nyeri akibat trauma , nyeri otot nyeri operasi</t>
  </si>
  <si>
    <t>asmef</t>
  </si>
  <si>
    <t>asmef kaplet mefenamic acid obat meredakan nyeri ringan sakit kepala  sakit gigi  nyeri haid  nyeri akibat trauma  nyeri otot nyeri operasi</t>
  </si>
  <si>
    <t>X2 Comfort Extra 120 ml</t>
  </si>
  <si>
    <t>Rp23.900 - Rp41.400</t>
  </si>
  <si>
    <t>Cairan pembersih kontak lensa atau softlens yang digunakan untuk membersihkan, menghilangkan timbunan lemak, protein, debu &amp; kotoran yang melekat pada softlens.</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</si>
  <si>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90 hari. Hindari penggunaan cairan di atas batas masa simpannya.</t>
  </si>
  <si>
    <t>cairan pembersih kontak lensa softlens membersihkan , menghilangkan timbunan lemak , protein , debu kotoran melekat softlens</t>
  </si>
  <si>
    <t>x comfort extra tablet kombinasivalsartan blend 32 cairan pembersih kontak lensa softlens membersihkan  menghilangkan timbu lemak  protein  debu kotoran melekat softlens</t>
  </si>
  <si>
    <t>DBL1706310604B1</t>
  </si>
  <si>
    <t>Erlamol Forte 650 mg 10 Kaplet</t>
  </si>
  <si>
    <t>erlamol forte</t>
  </si>
  <si>
    <t>erlamol forte kaplet paracetamol obat meredakan sakit kepala  sakit gigi  sakit otot  nyeri mengganggu menurunkan demam menyertai flu influensa demam vaksinasi</t>
  </si>
  <si>
    <t>DKI0467600746A1</t>
  </si>
  <si>
    <t>Hialid 0.1% Eye Drops 5 ml</t>
  </si>
  <si>
    <t>Rp118.600 - Rp136.400</t>
  </si>
  <si>
    <t>Diteteskan pada mata yg sakit/kering/iritasi</t>
  </si>
  <si>
    <t>PENGGUNAAN OBAT INI HARUS SESUAI DENGAN PETUNJUK DOKTER. 5-6 x sehari 1 tetes</t>
  </si>
  <si>
    <t>INFORMASI OBAT INI HANYA UNTUK KALANGAN MEDIS. Menyembuhkan rasa terbakar, Iritasi, &amp; ketidaknyamanan karena mata kering, dan mempercepat penyembuhan luka pada permukaan bola mata (sindrom Sjogren &amp; sindrom Sicca)</t>
  </si>
  <si>
    <t>Dus, 1 Botol plastik @ 65 ml</t>
  </si>
  <si>
    <t>HARUS DENGAN RESEP DOKTER. Hanya digunakan sebagai tetes mata. Jangan menggunakan obat ini pada saat menggunakan lensa kontak lunak (soft contact lenses). Tunggu minimal 10 menit sesudah menggunakan obat ini dan sebelum menggunakan obat ini dan sebelum menggunakan kembali lensa kon</t>
  </si>
  <si>
    <t>menyembuhkan terbakar , iritasi , ketidaknyamanan mata kering , mempercepat penyembuhan luka permukaan bola mata sindrom sjogren sindrom sicca</t>
  </si>
  <si>
    <t>hialid eye</t>
  </si>
  <si>
    <t>hialid eye tetes sodium hyaluronate menyembuhkan terbakar  iritasi  ketidaknyama mata kering  mempercepat penyembuhan luka permukaan bola mata sindrom sjogren sindrom sicca</t>
  </si>
  <si>
    <t>cataflam d tablet diclofenac sodium terapi akut kronik gejala ra rheumatoid arthritis  oa osteoarthritis spondilitis ankilosa  mengatasi nyeri dismenorea primer  efek</t>
  </si>
  <si>
    <t>DBL0007101404B1</t>
  </si>
  <si>
    <t>Emturnas Forte 650 mg 10 Kaplet</t>
  </si>
  <si>
    <t>Rp6.100 - Rp6.900</t>
  </si>
  <si>
    <t>Alergi terhadap paracetamol.</t>
  </si>
  <si>
    <t>Dewasa dan anak-anak di atas 12 tahun : 1 kaplet tiap 4-6 jam. Sehari tidak boleh lebih dari 6 kaplet atau sesuai dengan petunjuk dokter. Tidak dianjurkan untuk anak-anak usia di bawah 12 tahun.</t>
  </si>
  <si>
    <t>Obat ini dapat digunakan untuk meredakan sakit kepala, sakit gigi, sakit pada otot, nyeri yang mengganggu dan menurunkan demam yang menyertai flu atau influenza, serta demam sesudah vaksinasi.</t>
  </si>
  <si>
    <t>Alergi terhadap paracetamol</t>
  </si>
  <si>
    <t>Konsultasikan kepada dokter jika memiliki riwayat kerusakan hati, kerusakan ginjal, malnutrisi, atau infeksi yang serius.</t>
  </si>
  <si>
    <t>obat meredakan sakit kepala , sakit gigi , sakit otot , nyeri mengganggu menurunkan demam menyertai flu influenza , demam vaksinasi</t>
  </si>
  <si>
    <t>emturnas forte</t>
  </si>
  <si>
    <t>emturnas forte kaplet paracetamol obat meredakan sakit kepala  sakit gigi  sakit otot  nyeri mengganggu menurunkan demam menyertai flu influenza  demam vaksinasi</t>
  </si>
  <si>
    <t>DBL7817604533A1</t>
  </si>
  <si>
    <t>Acitral Sirup 120 ml</t>
  </si>
  <si>
    <t>Rp51.800 - Rp60.700</t>
  </si>
  <si>
    <t>Diantara waktu makan (perut kosong) dan menjelang tidur malam</t>
  </si>
  <si>
    <t>Untuk dewasa, berikan 1-2 sendok takar (5-10 mL), 3-4 kali sehari. Untuk anak 6-12 tahun beri 1/2-1 sendok takar (2.5-5 mL), 3-4 kali sehari</t>
  </si>
  <si>
    <t>Jangan menggunakan obat ini untuk pasien yang memiliki riwayat alergi terhadap? salah satu komponen Acitral</t>
  </si>
  <si>
    <t>aluminium hydroxide magnesium hydroxide simethicone</t>
  </si>
  <si>
    <t>acitral suspensi aluminium hydroxide magnesium hydroxide simethicone sakit maag  tukak lambung tukak usus halus  hiperasiditas pencernaan  gastritis  gangguan pencernaan  perut kembung</t>
  </si>
  <si>
    <t>GKL1505051115A1</t>
  </si>
  <si>
    <t>Pantoprazole 20 mg 10 Tablet</t>
  </si>
  <si>
    <t>Rp78.100 - Rp96.200</t>
  </si>
  <si>
    <t>Tablet tidak boleh dikunyah atau dihancurkan dan harus ditelan utuh dengan air putih, 1 jam sebelum makan.</t>
  </si>
  <si>
    <t>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t>
  </si>
  <si>
    <t>INFORMASI OBAT INI HANYA UNTUK KALANGAN MEDIS. Untuk meredakan gejala gastroesophageal reflux disease (GERD) atau nonerosive reflux disease (NERD). Untuk penanganan jangka panjang reflux esophagitis sedang dan berat.</t>
  </si>
  <si>
    <t>Pantoprazole tidak boleh digunakan bila diketahui memiliki hipersensitivitas terhadap pantoprazole atau salah satu kandungannya atau substitusi benzimidazole lainnya.</t>
  </si>
  <si>
    <t>HARUS DENGAN RESEP DOKTER. Pasien dengan keganasan lambung, faktor risiko penurunan penyerapan vitamin B12 atau berisiko osteoporosis. Gangguan hati. Kehamilan dan laktasi. Metabolisme buruk CYP2C19.</t>
  </si>
  <si>
    <t>untuk meredakan gejala gastroesophageal reflux disease gerd nonerosive reflux disease nerd  untuk penanganan jangka reflux esophagitis berat</t>
  </si>
  <si>
    <t>pantoprazole tablet pantoprazole sodium untuk meredakan gejala gastroesophageal reflux disease gerd nonerosive reflux disease nerd  untuk pega jangka reflux esophagitis berat</t>
  </si>
  <si>
    <t>QD111709561</t>
  </si>
  <si>
    <t>Konicare Pengurang Gatal Gel 60 ml</t>
  </si>
  <si>
    <t>Rp9.700 - Rp17.900</t>
  </si>
  <si>
    <t>Jangan terkena mata dan jauhkan dari jangkauan anak-anak.</t>
  </si>
  <si>
    <t>Oleskan secara merata pada bagian kulit yang gatal, ulangi bila perlu.</t>
  </si>
  <si>
    <t>Mengurangi gangguan gatal di kulit akibat gigitan nyamuk / serangga, iritasi ringan, biang keringat atau alergi.</t>
  </si>
  <si>
    <t>aloe barbadensis extract liquid</t>
  </si>
  <si>
    <t>mengurangi gangguan gatal kulit akibat gigitan nyamuk serangga , iritasi ringan , biang keringat alergi</t>
  </si>
  <si>
    <t>konicare pengurang gatal</t>
  </si>
  <si>
    <t>konicare pengurang gatal gel aloe barbadensis extract liquid mengurangi gangguan gatal kulit akibat gigitan nyamuk serangga  iritasi ringan  biang keringat alergi</t>
  </si>
  <si>
    <t>Konicare Pengurang Gatal Gel 30 ml</t>
  </si>
  <si>
    <t>Rp8.100 - Rp13.200</t>
  </si>
  <si>
    <t>DKL8627903309A1</t>
  </si>
  <si>
    <t>Fenamin 500 mg 10 Kaplet</t>
  </si>
  <si>
    <t>Rp5.000 - Rp8.600</t>
  </si>
  <si>
    <t>diberikan sesudah makan</t>
  </si>
  <si>
    <t>PENGGUNAAN OBAT INI HARUS SESUAI DENGAN PETUNJUK DOKTER. Dewasa dosis Awal 500 mg, dilanjutkan 250 mg tiap 6 jam, bila perlu.</t>
  </si>
  <si>
    <t>INFORMASI OBAT INI HANYA UNTUK KALANGAN MEDIS. Meredakan nyeri ringan hingga sedang pada sakit kepala, sakit gigi, nyeri haid primer, nyeri reumatik, nyeri otot, dan nyeri paska operasi</t>
  </si>
  <si>
    <t>Dus, 10 Strip @ 10 kaplet salut Selaput</t>
  </si>
  <si>
    <t>Tukak GI, atau penyakit inflamasi pada saluran cerna atau bawah. Gagal hati atau ginjal, bronkospasme, rinitis alergi &amp; urtikaria.</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</si>
  <si>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t>
  </si>
  <si>
    <t>meredakan nyeri ringan sakit kepala , sakit gigi , nyeri haid primer , nyeri reumatik , nyeri otot , nyeri paska operasi</t>
  </si>
  <si>
    <t>fenamin</t>
  </si>
  <si>
    <t>fenamin kaplet mefenamic acid meredakan nyeri ringan sakit kepala  sakit gigi  nyeri haid primer  nyeri reumatik  nyeri otot  nyeri paska operasi</t>
  </si>
  <si>
    <t>Accu Chek Safe T Pro Uno 200 Lancets</t>
  </si>
  <si>
    <t>Rp246.200 - Rp330.000</t>
  </si>
  <si>
    <t>accu chek safe t pro uno lancets</t>
  </si>
  <si>
    <t>accu chek safe t pro uno lancets tablet pioglitazone hydrochloride untuk mengambil sample darah  pengujian laboratorium mengukur kadar glukosa asam urat</t>
  </si>
  <si>
    <t>QD143712741</t>
  </si>
  <si>
    <t>Hot In Cream Aromatherapy Pump 60 ml</t>
  </si>
  <si>
    <t>Diminum sedikit demi sedikit hingga 4 jam kemudian.</t>
  </si>
  <si>
    <t>Oleskan sesuai kebutuhan</t>
  </si>
  <si>
    <t>Untuk meringankan pegal-pegal, nyeri sendi, nyeri otot, masuk angin, perut kembung, dan sakit kepala.</t>
  </si>
  <si>
    <t>Tidak digunakan untuk anak dibawah 2 tahun. Jangan digunakan langsung dibawah lubang hidung.</t>
  </si>
  <si>
    <t>untuk meringankan pegal - pegal , nyeri sendi , nyeri otot , masuk angin , perut kembung , sakit kepala</t>
  </si>
  <si>
    <t>hot in cream aromatherapy pump</t>
  </si>
  <si>
    <t>hot in cream aromatherapy pump krim camphora untuk meringankan pegal  pegal  nyeri sendi  nyeri otot  masuk angin  perut kembung  sakit kepala</t>
  </si>
  <si>
    <t>Hot In Cream Aromatherapy Botol 120 ml</t>
  </si>
  <si>
    <t>Rp20.900 - Rp41.500</t>
  </si>
  <si>
    <t>hot in cream aromatherapy botol</t>
  </si>
  <si>
    <t>hot in cream aromatherapy botol krim camphora untuk meringankan pegal  pegal  nyeri sendi  nyeri otot  masuk angin  perut kembung  sakit kepala</t>
  </si>
  <si>
    <t>Blink Contact Eye Drops 10 ml</t>
  </si>
  <si>
    <t>Rp70.000 - Rp77.600</t>
  </si>
  <si>
    <t>blink contact eye</t>
  </si>
  <si>
    <t>blink contact eye tablet kombinasivalsartan blend 32 cairan tetes mata menjaga kelembaban lensa  meningkatkan kenyama pemakaian lensa lensa kontak harian disposible</t>
  </si>
  <si>
    <t>QL141700051</t>
  </si>
  <si>
    <t>Salonpas Hot Cream 30 g</t>
  </si>
  <si>
    <t>Rp15.000 - Rp28.200</t>
  </si>
  <si>
    <t>Oleskan pada bagian yang nyeri</t>
  </si>
  <si>
    <t>Oleskan pada area yang nyeri tidak lebih dari 3-4 kali sehari</t>
  </si>
  <si>
    <t>Membantu meredakan nyeri otot pinggang, sakit otot leher dan pundak, keseleo, memar, nyeri otot, sakit otot</t>
  </si>
  <si>
    <t>Hanya untuk pemakaian luar. jangan digunakan pada luka atau kulit yang rusak dan pada orang yang alergi terhadap aspirin atau salisilat</t>
  </si>
  <si>
    <t>capsicum extraxt</t>
  </si>
  <si>
    <t>membantu meredakan nyeri otot pinggang , sakit otot leher pundak , keseleo , memar , nyeri otot , sakit otot</t>
  </si>
  <si>
    <t>salonpas hot cream</t>
  </si>
  <si>
    <t>salonpas hot cream krim capsicum extraxt membantu meredakan nyeri otot pinggang  sakit otot leher pundak  keseleo  memar  nyeri otot  sakit otot</t>
  </si>
  <si>
    <t>DKL9513306109A2</t>
  </si>
  <si>
    <t>Lapistan 500 mg 10 Tablet</t>
  </si>
  <si>
    <t>Rp22.600 - Rp25.300</t>
  </si>
  <si>
    <t>Tukak lambung atau usus, penyakit radang usus, dan gangguan hati atau ginjal.</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</si>
  <si>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</si>
  <si>
    <t>lapistan</t>
  </si>
  <si>
    <t>lapistan kaplet mefenamic acid meredakan nyeri ringan sakit kepala  sakit gigi  nyeri haid primer  nyeri reumatik  nyeri otot  nyeri paska operasi</t>
  </si>
  <si>
    <t>famotidine magnesium hydroxide calcium carbonate</t>
  </si>
  <si>
    <t>polysilane max peppermint kunyah tablet famotidine magnesium hydroxide calcium carbonate mengurangi gejala hiperasiditas mual  nyeri lambung  nyeri perut  tidak diatasi antasid</t>
  </si>
  <si>
    <t>DKL7811607404A1</t>
  </si>
  <si>
    <t>Kalmoxilin 500 mg 10 Tablet</t>
  </si>
  <si>
    <t>Rp37.100 - Rp37.200</t>
  </si>
  <si>
    <t>INFORMASI OBAT INI HANYA UNTUK KALANGAN MEDIS. Infeksi saluran napas, saluran genito-urinaria, kulit &amp; jaringan lunak yang disebabkan organisme Gram positif &amp; Gram Negatif yang peka terhadap Amoxicillin</t>
  </si>
  <si>
    <t>kalmoxilin kaplet amoxicillin trihydrate infeksi saluran napa  saluran genito  urinaria  kulit jaringan lunak disebabkan organisme gram positif gram negatif peka amoxicillin</t>
  </si>
  <si>
    <t>DBL7817801033B1</t>
  </si>
  <si>
    <t>Polycrol Forte Sirup 180 ml</t>
  </si>
  <si>
    <t>Rp48.200 - Rp48.400</t>
  </si>
  <si>
    <t>Botol 180 ml</t>
  </si>
  <si>
    <t>polycrol forte</t>
  </si>
  <si>
    <t>polycrol forte suspensi aluminium hydroxide gangguan lambung disebabkan karana kelebihan asam lambung seperli tukak lambung  nyari ulu hati  kambung  hiatus hernis</t>
  </si>
  <si>
    <t>Polycrol Forte Sirup 100 ml</t>
  </si>
  <si>
    <t>Rp30.000 - Rp39.900</t>
  </si>
  <si>
    <t>Suspensi Forte 100 ml X 1</t>
  </si>
  <si>
    <t>DBL7817801663B1</t>
  </si>
  <si>
    <t>Polycrol Forte 10 Tablet</t>
  </si>
  <si>
    <t>Rp7.600 - Rp9.400</t>
  </si>
  <si>
    <t>Diminum 1 jam setelah makan dan menjelang tidur malam</t>
  </si>
  <si>
    <t>1-2 tablet kunyah 3 kali sehari</t>
  </si>
  <si>
    <t>Sakit maag, Ulkus/Tukak Peptik, Hiperasiditas, Perut Kembung, Gangguan pencernaan, Rasa panas di uluhati/kerongkongan</t>
  </si>
  <si>
    <t>Dus, 24 strip @ 10 Tablet kunyah</t>
  </si>
  <si>
    <t>Pasien yang memiliki riwayat alergi terhadap salah satu komponen obat.</t>
  </si>
  <si>
    <t>aluminium hydroxide-magnesium carbonate gel</t>
  </si>
  <si>
    <t>sakit maag , ulkus tukak peptik , hiperasiditas , perut kembung , gangguan pencernaan , rasa panas uluhati kerongkongan</t>
  </si>
  <si>
    <t>polycrol forte tablet aluminium hydroxidemagnesium carbonate gel sakit maag  ulkus tukak peptik  hiperasiditas  perut kembung  gangguan pencernaan  rasa panas uluhati kerongkongan</t>
  </si>
  <si>
    <t>DKL0532400409A1</t>
  </si>
  <si>
    <t>Femisic 500 mg 10 Kaplet</t>
  </si>
  <si>
    <t>Rp17.400 - Rp20.500</t>
  </si>
  <si>
    <t>INFORMASI OBAT INI HANYA UNTUK KALANGAN MEDIS. Obat ini digunakan untuk meredakan nyeri ringan hingga sedang seperti sakit kepala, sakit gigi, nyeri haid, nyeri akibat trauma, nyeri pada otot dan nyeri sesudah operasi</t>
  </si>
  <si>
    <t>femisic</t>
  </si>
  <si>
    <t>femisic kaplet mefenamic acid obat meredakan nyeri ringan sakit kepala  sakit gigi  nyeri haid  nyeri akibat trauma  nyeri otot nyeri operasi</t>
  </si>
  <si>
    <t>DKI2124200417B1</t>
  </si>
  <si>
    <t>Jardiance 25 mg 10 Tablet</t>
  </si>
  <si>
    <t>Rp268.000 - Rp365.500</t>
  </si>
  <si>
    <t>Dapat dikonsumsi dengan atau tanpa makan</t>
  </si>
  <si>
    <t>PENGGUNAAN OBAT INI HARUS SESUAI DENGAN PETUNJUK DOKTER Dosis awal yang dianjurkan: 10 mg 1x/ hr. Pada pasien yang toleran thd empaglifozin 10 mg/ hr yg memiliki nilai eGFR ?60 mL/min/1.73 m2 dan membutuhkan kontrol glikemik tambahan, dosis dapat ditingkatkan hingga 25 mg 1x/ hr. Dosis maks harian: 25 mg.</t>
  </si>
  <si>
    <t>INFORMASI OBAT INI HANYA UNTUK KALANGAN MEDIS. Terapi kombinasi tambahan dengan metformin, sulfonilurea dan atau pioglitazone pada pasien dewasa dengan DM tipe 2 untuk memperbaiki kontrol glikemik apabila diet &amp; olahraga saja tidak adekuat.</t>
  </si>
  <si>
    <t>Hipersensitivitas. Kasus herediter langka intoleransi galaktosa misalnya galaktosaemia. Pasien dengan gangguan ginjal berat dengan eGFR &lt;45 mL / min / 1.73 m2, kerusakan ginjal berat, penyakit ginjal stadium akhir dan pasien dengan dialisis.</t>
  </si>
  <si>
    <t>HARUS DENGAN RESEP DOKTER. Tidak untuk pasien dengan diabetes tipe 1 atau ysng menjalani terapui ketoasidosis diabetes. Pasien dengan diet rendah karbohidrat, penyakit akut, kelainan pankreas yang menunjukkan kekurangan insulin, pengurangan dosis insulin, penyalahgunaan alkohol, dehidrasi berat, riwayat ketoasidosis. Resiko penipisan volume pada pasien dengan penyakit KV yang diketahui, pada terapi antihipertensi dengan riwayat hipotensi atau pasien ?75 tahun</t>
  </si>
  <si>
    <t>Salgen Cream 10 g</t>
  </si>
  <si>
    <t>Rp30.900 - Rp32.000</t>
  </si>
  <si>
    <t>Hipersensitif terhadap Gentamisin atau antibiotik aminoglikosida lainnya</t>
  </si>
  <si>
    <t>HARUS DENGAN RESEP DOKTER. Pemakaian jangka panjang. Pertumbuhan organisme yang resisten.</t>
  </si>
  <si>
    <t>salgen cream</t>
  </si>
  <si>
    <t>salgen cream krim gentamicin sulfate infeksi kulit primer sekunder impetigo kontagiosa  falikulitis superfisialis  furunkulosis  dermatitis terinfeksi  akne pustularis  luka bakar terinfeksi</t>
  </si>
  <si>
    <t>DBL8805004933A1</t>
  </si>
  <si>
    <t>Magalat Sirup 100 ml</t>
  </si>
  <si>
    <t>- DOW CORNING CURING AGENT FOR MDX 4-4210</t>
  </si>
  <si>
    <t>Rp31.400 - Rp44.000</t>
  </si>
  <si>
    <t>dow corning curing agent for mdx 4-4210</t>
  </si>
  <si>
    <t>magalat suspensi dow corning curing agent for mdx 44210 gangguan lambung hiperasiditas kembung  pengobatan simptomatis ulkus peptik  gastritis  esofagitis  hernia hiatus</t>
  </si>
  <si>
    <t>DTL1604429504A1</t>
  </si>
  <si>
    <t>Mixagrip Flu Dan Batuk 4 Kaplet</t>
  </si>
  <si>
    <t>Rp3.000 - Rp3.500</t>
  </si>
  <si>
    <t>Dewasa dan anak diatas 12 tahun : 3 kali per hari 1 kaplet. Anak 6-12 tahun : 3 kali per hari 1/2 kaplet.</t>
  </si>
  <si>
    <t>Meredakan gejala flu seperti bersin-bersin, hidung berair, hidung tersumbat, demam, dan sakit kepala yang disertai batuk.</t>
  </si>
  <si>
    <t>Dus, 25 Catch Cover @ 1 Strip @ 4 Kaplet</t>
  </si>
  <si>
    <t>Selama minum obat ini tidak boleh mengendarai kendaraan bermotor. Hentikan pengobatan jika terjadi susah tidur, jantung berdebar dan pusing. Tidak dianjurkan penggunaan pada anak usia &lt; 6 th, wanita hamil &amp; menyusui, kecuali atas petunjuk dokter. Penggunaan obat ini pada penderita yang mengkonsumsi alkohol dapat meningkatkan resiko kerusakan fungsi hati. Jika gejala tidak hilang setelah minum obat ini selama 7 hari disertai demam tinggi segera hubungi dokter.</t>
  </si>
  <si>
    <t>meredakan gejala flu bersin - bersin , hidung berair , hidung tersumbat , demam , sakit kepala disertai batuk</t>
  </si>
  <si>
    <t>mixagrip flu dan batuk</t>
  </si>
  <si>
    <t>mixagrip flu dan batuk kaplet dextromethorphan hydrobromide meredakan gejala flu bersin  bersin  hidung berair  hidung tersumbat  demam  sakit kepala disertai batuk</t>
  </si>
  <si>
    <t>DBL1009221304A1</t>
  </si>
  <si>
    <t>Fasidol Plus 10 Kaplet</t>
  </si>
  <si>
    <t>Rp3.700 - Rp7.400</t>
  </si>
  <si>
    <t>Anak-anak (6-12 tahun): 3-4 kali sehari 1/2 - 1 kaplet Dewasa dan anak diatas 12 tahun: 3-4 kali sehari 1 kaplet</t>
  </si>
  <si>
    <t>fasidol plus</t>
  </si>
  <si>
    <t>fasidol plus kaplet caffeine obat meredakan sakit kepala  sakit gigi  sakit otot  nyeri mengganggu menurunkan demam menyertai flu influensa demam vaksinasi</t>
  </si>
  <si>
    <t>Freshkon Clear Refreshing Drops 10 ml</t>
  </si>
  <si>
    <t>Rp24.900 - Rp36.200</t>
  </si>
  <si>
    <t>freshkon clear refreshing</t>
  </si>
  <si>
    <t>freshkon clear refreshing tablet kombinasivalsartan blend 32 cairan tetes mata menjaga kelembaban lensa  meningkatkan kenyama pemakaian lensa lensa kontak harian disposible</t>
  </si>
  <si>
    <t>TR152788561</t>
  </si>
  <si>
    <t>Kinderen Baby Balsam 12 G</t>
  </si>
  <si>
    <t>KINDEREN BABY BALSAM</t>
  </si>
  <si>
    <t>Rp24.300 - Rp48.000</t>
  </si>
  <si>
    <t>Diusapkan dengan lembut pada dada, punggung dan leher 2-3 kali sehari dan sebelum istirahat untuk memberikan tidur yang lebih nyenyak.</t>
  </si>
  <si>
    <t>Membantu menghangatkan tubuh dan membantu melegakan hidung tersumbat bila sedang selesma, membantu meredakan perut kembung, membantu mengurangi gatal karena gigitan serangga</t>
  </si>
  <si>
    <t>Tube 12 G</t>
  </si>
  <si>
    <t>Kinderen Baby Balsam jangan digunakan pada muka, khususnya di hidung dan bagian kulit yang sensitif, serta di daerah sekitar mata dan mulut, Hindari kontak dengan mata dan kulit dengan luka terbuka atau kulit yang mengalami iritasi.</t>
  </si>
  <si>
    <t>kinderen baby balsam</t>
  </si>
  <si>
    <t>membantu menghangatkan tubuh membantu melegakan hidung tersumbat selesma , membantu meredakan perut kembung , membantu mengurangi gatal gigitan serangga</t>
  </si>
  <si>
    <t>kinderen baby balsam balsam membantu menghangatkan tubuh membantu melegakan hidung tersumbat selesma  membantu meredakan perut kembung  membantu mengurangi gatal gigitan serangga</t>
  </si>
  <si>
    <t>DKL0713313638A1</t>
  </si>
  <si>
    <t>Lapimox 125 mg/5ml Dry Sirup 60 ml</t>
  </si>
  <si>
    <t>Rp32.000 - Rp41.700</t>
  </si>
  <si>
    <t>PENGGUNAAN OBAT INI HARUS SESUAI DENGAN PETUNJUK DOKTER. Dewasa : 3 x sehari 250-500 mg</t>
  </si>
  <si>
    <t>DBL2044401137A1</t>
  </si>
  <si>
    <t>Fermol Demam Anak Sirup Rasa Anggur 60 ml</t>
  </si>
  <si>
    <t>Rp37.700 - Rp42.700</t>
  </si>
  <si>
    <t>0-1 tahun: 2.5 ml, 3-4 kali sehari 1-2 tahun: 5 ml, 3-4 kal sehari 2-6 tahun: 5-10 ml, 3-4 kali sehari 6-9 tahun: 10-15 ml, 3-4 kali sehari 9-12 tahun: 15-20 ml, 3-4 kali sehari</t>
  </si>
  <si>
    <t>Untuk meredakan demam, rasa sakit dan nyeri ringan, sakit kepala dan sakit gigi, demam setelah imunisasi atau atas petunjuk dokter.</t>
  </si>
  <si>
    <t>untuk meredakan demam , sakit nyeri ringan , sakit kepala sakit gigi , demam imunisasi petunjuk dokter</t>
  </si>
  <si>
    <t>fermol demam anak rasa anggur</t>
  </si>
  <si>
    <t>fermol demam anak rasa anggur sirup paracetamol untuk meredakan demam  sakit nyeri ringan  sakit kepala sakit gigi  demam imunisasi petunjuk dokter</t>
  </si>
  <si>
    <t>DBL1124403036A1</t>
  </si>
  <si>
    <t>Tempra Drops Rasa Anggur 15 ml</t>
  </si>
  <si>
    <t>Rp50.700 - Rp64.900</t>
  </si>
  <si>
    <t>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t>
  </si>
  <si>
    <t>Obat ini digunakan untuk meredakan demam, rasa sakit dan nyeri ringan seperti sakit kepala, sakit gigi</t>
  </si>
  <si>
    <t>DKL9907110333A1</t>
  </si>
  <si>
    <t>Medichlor Suspensi 60 ml</t>
  </si>
  <si>
    <t>PENGGUNAAN OBAT INI HARUS SESUAI DENGAN PETUNJUK DOKTER. - Dewasa, anak ï¿½ anak, bayi berumur diatas 2 minggu : 50 mg/kg BB sehari dalam 3-4 dosis bagi. - Bayi berumur dibawah 2 minggu : 25 mg/kg BB sehari dalam dosis bagi.</t>
  </si>
  <si>
    <t>INFORMASI OBAT INI HANYA UNTUK KALANGAN MEDIS. Antimikroba spektrum luas yang aktif terhadap bakteri gram positif dan bakteri gram negatif. Mekanisme kerjanya adalah menghambat sintesa protein sel mikroba.</t>
  </si>
  <si>
    <t>antimikroba spektrum luas aktif bakteri gram positif bakteri gram negatif  mekanisme kerjanya menghambat sintesa protein sel mikroba</t>
  </si>
  <si>
    <t>medichlor</t>
  </si>
  <si>
    <t>medichlor suspensi chloramphenicol palmitate antimikroba spektrum luas aktif bakteri gram positif bakteri gram negatif  mekanisme kerjanya menghambat sintesa protein sel mikroba</t>
  </si>
  <si>
    <t>DBL2124404236A1</t>
  </si>
  <si>
    <t>Tempra Drops Rasa Strawberry 15 ml</t>
  </si>
  <si>
    <t>Rp53.000 - Rp64.400</t>
  </si>
  <si>
    <t>DKL0533205710A1</t>
  </si>
  <si>
    <t>Propect 30 mg 10 Tablet</t>
  </si>
  <si>
    <t>PENGGUNAAN OBAT INI HARUS SESUAI DENGAN PETUNJUK DOKTER. Tab Dws &amp; anak &gt;12 thn 1 tab 2-3 x/hr. Anak 6-12 thn 1/2 tab 2-3 x/hr.</t>
  </si>
  <si>
    <t>Sebagai sekretolitik pd ggn sal napas akut &amp; kronik terutama pd eksaserbasi akut dr bronkitis, bronkitis asmatik, &amp; asma bronkial.</t>
  </si>
  <si>
    <t>Tablet 30 Mg</t>
  </si>
  <si>
    <t>sebagai sekretolitik pd ggn sal napa akut kronik pd eksaserbasi akut dr bronkitis , bronkitis asmatik , asma bronkial</t>
  </si>
  <si>
    <t>propect tablet ambroxol hydrochloride sebagai sekretolitik pd ggn sal napa akut kronik pd eksaserbasi akut dr bronkitis  bronkitis asmatik  asma bronkial</t>
  </si>
  <si>
    <t>DBL2044401237A1</t>
  </si>
  <si>
    <t>Fermol Demam Anak Sirup Rasa Jeruk 60 ml</t>
  </si>
  <si>
    <t>fermol demam anak rasa jeruk</t>
  </si>
  <si>
    <t>fermol demam anak rasa jeruk sirup paracetamol untuk meredakan demam  sakit nyeri ringan  sakit kepala sakit gigi  demam imunisasi petunjuk dokter</t>
  </si>
  <si>
    <t>DKL1305516403B1</t>
  </si>
  <si>
    <t>Deflamat CR 100 mg 20 Kapsul</t>
  </si>
  <si>
    <t>Rp126.200 - Rp250.100</t>
  </si>
  <si>
    <t>PENGGUNAAN OBAT INI HARUS SESUAI DENGAN PETUNJUK DOKTER. Dewasa: Sehari 1 kapsul 75 CR atau 100 CR, jika perlu dosis jangan sampai melampaui 150 mg/hari. Jangan diberikan kepada anak-anak atau remaja karena kandungan zat aktifnya yang tinggi</t>
  </si>
  <si>
    <t>Proses inflamasi atau reumatik generatif seperti atritis rematoid, spondilitas ankilosa, osteoartritis dan spondilosa artritis, reumatik non artikular dan sakit pada tulang belakang</t>
  </si>
  <si>
    <t>Kapsul 20 X 1 100 Cr</t>
  </si>
  <si>
    <t>Pasien hipersensitif, urtikaria, serangan asmainflamasi usus, wanita hamil pada 3 bulan terakhir kehamilan, pada 6 bulan pertama kehamilan hanya dapat diberikanapabila ada petunjuk yang jelas dari dokter menyusui yang membutuhkan AINS dalam jumlah besar</t>
  </si>
  <si>
    <t>proses inflamasi reumatik generatif atritis rematoid , spondilitas ankilosa , osteoartritis spondilosa artritis , reumatik non artikular sakit tulang</t>
  </si>
  <si>
    <t>deflamat cr</t>
  </si>
  <si>
    <t>deflamat cr kapsul diclofenac sodium proses inflamasi reumatik generatif atritis rematoid  spondilitas ankilosa  osteoartritis spondilosa artritis  reumatik non artikular sakit tulang</t>
  </si>
  <si>
    <t>paracetamol phenylpropanolamine hydrochloride chlorphenamine maleate dextromethorphan hydrobromide</t>
  </si>
  <si>
    <t>phenzacol kaplet paracetamol phenylpropanolamine hydrochloride chlorphenamine maleate dextromethorphan hydrobromide meredakan gejala demam  sakit kepala  hidung tersumbat berhubungan flu  pilek rinitis alergi</t>
  </si>
  <si>
    <t>DBL2124404136A1</t>
  </si>
  <si>
    <t>Tempra Drops Rasa Jeruk 15 ml</t>
  </si>
  <si>
    <t>Rp49.000 - Rp64.400</t>
  </si>
  <si>
    <t>DKL9322706509A1</t>
  </si>
  <si>
    <t>Dolos Kaplet 500 mg 10 Kaplet</t>
  </si>
  <si>
    <t>Rp12.100 - Rp15.000</t>
  </si>
  <si>
    <t>Meredakan nyeri ringan hingga sedang pada sakit kepala, sakit gigi, nyeri haid primer, nyeri reumatik, nyeri otot, dan nyeri paska operasi</t>
  </si>
  <si>
    <t>Tukak lambung atau tukak peptik, diare, gangguan fungsi hati &amp; ginjal.</t>
  </si>
  <si>
    <t>dolos</t>
  </si>
  <si>
    <t>dolos kaplet mefenamic acid meredakan nyeri ringan sakit kepala  sakit gigi  nyeri haid primer  nyeri reumatik  nyeri otot  nyeri paska operasi</t>
  </si>
  <si>
    <t>QD133711701</t>
  </si>
  <si>
    <t>Hot In Cream Botol 60 ml</t>
  </si>
  <si>
    <t>Rp14.600 - Rp16.900</t>
  </si>
  <si>
    <t>Hanya digunakan untuk pemakaian luar.</t>
  </si>
  <si>
    <t>Untuk membantu meringankan pegal-pegal, nyeri sendi, nyeri otot, masuk angin, perut kembung dan sakit kepala.</t>
  </si>
  <si>
    <t>untuk membantu meringankan pegal - pegal , nyeri sendi , nyeri otot , masuk angin , perut kembung sakit kepala</t>
  </si>
  <si>
    <t>hot in cream botol krim menthol untuk membantu meringankan pegal  pegal  nyeri sendi  nyeri otot  masuk angin  perut kembung sakit kepala</t>
  </si>
  <si>
    <t>QD132611321</t>
  </si>
  <si>
    <t>Air Mancur Parcok 25 ml</t>
  </si>
  <si>
    <t>Oleskan pada bagian yang sakit atau pegal</t>
  </si>
  <si>
    <t>Untuk mengobati pegal linu encok bengkak dan salah urat Juga menghilangkan rasa lelah setelah bekerja berat dan berolah raga</t>
  </si>
  <si>
    <t>Botol 25 ml</t>
  </si>
  <si>
    <t>achyranthes aspera folium</t>
  </si>
  <si>
    <t>untuk mengobati pegal linu encok bengkak salah urat juga menghilangkan lelah berat berolah raga</t>
  </si>
  <si>
    <t>air mancur parcok</t>
  </si>
  <si>
    <t>air mancur parcok minyak achyranthes aspera folium untuk mengobati pegal linu encok bengkak salah urat juga menghilangkan lelah berat berolah raga</t>
  </si>
  <si>
    <t>Air Mancur Parcok 75 ml</t>
  </si>
  <si>
    <t>Rp17.300 - Rp19.100</t>
  </si>
  <si>
    <t>Kocok dulu, kemudian tuangkan secukupnya. Lalu oleskan atau gosokkan secara merata pada bagian tubuh yang terasa nyeri.</t>
  </si>
  <si>
    <t>Membantu meredakan pegal dan linu, rasa kaku pada otot, nyeri otot, bengkak karena terpukul dan gatal akibat digigit serangga.</t>
  </si>
  <si>
    <t>Sebaiknya coba dahulu sedikit, apabila ternyata timbul bintik merah dan gatal hentikan pemakaian. Jangan kena mata dan jangan digunakan pada kulit yang luka dan yang peka/ alergi. Tidak digunakan untuk anak di bawah 2 tahun. Jangan digunakan langsung di bawah lubang hidung.</t>
  </si>
  <si>
    <t>membantu meredakan pegal linu , kaku otot , nyeri otot , bengkak terpukul gatal akibat digigit serangga</t>
  </si>
  <si>
    <t>air mancur parcok minyak achyranthes aspera folium membantu meredakan pegal linu  kaku otot  nyeri otot  bengkak terpukul gatal akibat digigit serangga</t>
  </si>
  <si>
    <t>DKL1305516403A1</t>
  </si>
  <si>
    <t>Deflamat CR 75 mg 20 Kapsul</t>
  </si>
  <si>
    <t>Rp162.600 - Rp203.200</t>
  </si>
  <si>
    <t>QD205682091</t>
  </si>
  <si>
    <t>Anak Mas Sakti Obat Gosok Acau 100 ml</t>
  </si>
  <si>
    <t>Rp20.000 - Rp26.300</t>
  </si>
  <si>
    <t>Gosokkan pada anggota badan yang terasa nyeri, bengkak-bengkak atau pegal/linu</t>
  </si>
  <si>
    <t>Membantu meredakan nyeri otot, sakit otot pinggang, pegel, linu, encok dan mengurangi sakit bengkak karena terpukul.</t>
  </si>
  <si>
    <t>Botol 100 ml x 1</t>
  </si>
  <si>
    <t>Tidak digunakan untuk anak dibawah 2 tahun, jangan digunakan langsung dibawah lubang hidung. Hanya untuk pemakaian luar.</t>
  </si>
  <si>
    <t>membantu meredakan nyeri otot , sakit otot pinggang , pegel , linu , encok mengurangi sakit bengkak terpukul</t>
  </si>
  <si>
    <t>anak mas sakti obat gosok acau</t>
  </si>
  <si>
    <t>anak mas sakti obat gosok acau   menthol membantu meredakan nyeri otot  sakit otot pinggang  pegel  linu  encok mengurangi sakit bengkak terpukul</t>
  </si>
  <si>
    <t>DKL9513305004A1</t>
  </si>
  <si>
    <t>Lapimox 500 mg 10 Kaplet</t>
  </si>
  <si>
    <t>Rp45.100 - Rp48.800</t>
  </si>
  <si>
    <t>lapimox</t>
  </si>
  <si>
    <t>lapimox kaplet amoxicillin trihydrate infeksi saluran napa  saluran genito  urinaria  kulit jaringan lunak disebabkan organisme gram positif gram negatif peka amoxicillin</t>
  </si>
  <si>
    <t>DKI0559201843A5</t>
  </si>
  <si>
    <t>Apidra Solostar 1 Pen</t>
  </si>
  <si>
    <t>Rp180.800 - Rp225.200</t>
  </si>
  <si>
    <t>Berikan dalam waktu 15 menit sebelum atau segera sesudah makan. Apidra Solostar Pen diberikan secara injeksi subkutan. Selalu gunakan obat ini sesuai petunjuk dokter. Dokter mungkin akan meminta untuk menggunakan APIDRA dengan dosis yang berbeda denagn dosis insulin yang Anda gunakan sebelumnya. Tanyakan kepada dokter, apoteker atau perawat Anda jika Anda tidak yakin.</t>
  </si>
  <si>
    <t>PENGGUNAAN OBAT INI HARUS SESUAI DENGAN PETUNJUK DOKTER. Dosis bersifat individual dan ditentukan berdasarkan anjuran dokter sesuai dengan kebutuhan pasien. Apidra Solostar Pen diberikan secara injeksi subkutan.</t>
  </si>
  <si>
    <t>INFORMASI OBAT INI HANYA UNTUK KALANGAN MEDIS. Pengobatan diabetes melitus pada pasien dewasa, remaja dan anak-anak usia 8 tahun dan diatasnya dimana membutuhkan pengobatan dengan insulin.</t>
  </si>
  <si>
    <t>Dus, 5 Solostar pen @ Catridge @ 3 ml</t>
  </si>
  <si>
    <t>Obat ini tidak dianjurkan untuk pasien yang mengalami: - Hipersensitif atau mengalami alergi terhadap komponen obat ini. - Kondisi hipoglikemia.</t>
  </si>
  <si>
    <t>HARUS DENGAN RESEP DOKTER. - Jangan berbagi pen antara pasien, bahkan jika needle nya berubah. - Hiperglikemia atau hipoglikemia dengan perubahan regimen insulin, perlu dilakukan dibawah pengawasan medis yang ketat. - Hati-hati terjadinya hipoglikemia. Tingkatkan frekuensi pemantauan glukosa dengan perubahan pada: dosis insulin, obat penurun glukosa yang diberikan bersama, pola makan, aktivitas fisik</t>
  </si>
  <si>
    <t>DKL0630908010A1</t>
  </si>
  <si>
    <t>Molazol 10 Tablet</t>
  </si>
  <si>
    <t>Rp3.300 - Rp5.700</t>
  </si>
  <si>
    <t>Urethritis dan vaginitis yang disebabkan Trichomonas vaginalis, Amebiasis (intestinal dan hepatik amebiasis), Pencegahan infeksi anaerob paska operasi, Giardiasis yang disebabkan oleh Giardia lambliasis</t>
  </si>
  <si>
    <t>urethritis vaginitis disebabkan trichomonas vaginalis , amebiasis intestinal hepatik amebiasis , pencegahan infeksi anaerob paska operasi , giardiasis disebabkan giardia lambliasis</t>
  </si>
  <si>
    <t>molazol</t>
  </si>
  <si>
    <t>molazol tablet metronidazole urethritis vaginitis disebabkan trichomonas vaginalis  amebiasis intestinal hepatik amebiasis  pencegahan infeksi anaerob paska operasi  giardiasis disebabkan giardia lambliasis</t>
  </si>
  <si>
    <t>DKL9427802029A1</t>
  </si>
  <si>
    <t>Bioderm 0.1% Cream 5 g</t>
  </si>
  <si>
    <t>Rp16.700 - Rp26.100</t>
  </si>
  <si>
    <t>PENGGUNAAN OBAT INI HARUS SESUAI DENGAN PETUNJUK DOKTER. Oleskan 3-4 kali sehari pada kulit yang sakit</t>
  </si>
  <si>
    <t>Obat Wajib Apotek, Obat ini dapat dibeli dan diserahkan apoteker tanpa resep dengan maksimum 1 Tube. Pembelian melebihi batas ini WAJIB RESEP DOKTER. Hentikan pemakaian jika terjadi iritasi, penggunaan pada luka yang luas</t>
  </si>
  <si>
    <t>bioderm cream</t>
  </si>
  <si>
    <t>bioderm cream krim gentamicin sulfate infeksi kulit primer sekunder impetigo kontagiosa  falikulitis superfisialis  furunkulosis  dermatitis terinfeksi  akne pustularis  luka bakar terinfeksi</t>
  </si>
  <si>
    <t>DBL1932209637A1</t>
  </si>
  <si>
    <t>Nipe Fever Sirup 60 ml</t>
  </si>
  <si>
    <t>Rp43.700 - Rp49.300</t>
  </si>
  <si>
    <t>Anak-anak: Usia 1-2 tahun (3,75 ml). Usia 2-3 tahun (5 mll). Usia 4-5 (7,5 ml). Usia 6 tahun (10 ml)</t>
  </si>
  <si>
    <t>â€¢ Riwayat alergi terhadap kandungan obat ini. â€¢ Pasien dengan penyakit gangguan hati berat. â€¢ Pasien yang mengonsumsi alkohol dapat meningkatkan potensi kerusakan hati. â€¢ Pasien dengan penyakit gangguan ginjal.</t>
  </si>
  <si>
    <t>Tidak dianjurkan untuk anak dibawah usia 2 bulan</t>
  </si>
  <si>
    <t>nipe fever sirup paracetamol obat meredakan sakit kepala  sakit gigi  sakit otot  nyeri mengganggu menurunkan demam menyertai flu influensa demam vaksinasi</t>
  </si>
  <si>
    <t>DBL2044401337A1</t>
  </si>
  <si>
    <t>Fermol Demam Anak Sirup Rasa Stroberi 60 ml</t>
  </si>
  <si>
    <t>fermol demam anak rasa stroberi</t>
  </si>
  <si>
    <t>fermol demam anak rasa stroberi sirup paracetamol untuk meredakan demam  sakit nyeri ringan  sakit kepala sakit gigi  demam imunisasi petunjuk dokter</t>
  </si>
  <si>
    <t>DKL0217618629A1</t>
  </si>
  <si>
    <t>Interquin Cream 15 g</t>
  </si>
  <si>
    <t>Rp85.200 - Rp89.400</t>
  </si>
  <si>
    <t>PENGGUNAAN OBAT INI HARUS SESUAI DENGAN PETUNJUK DOKTER. Gunakan pada area yang sakit, Tidak boleh digunakan pada seluruh wajah, hanya untuk malam hari.</t>
  </si>
  <si>
    <t>Pemutihan kulit secara bertahap dari kondisi hiperpigmentasi seperti kloasma, melasma, flek hitam, bercak akibat penuaan, &amp; hiperpigmentasi melanin lain pada area kulit yang tidak diinginkan.</t>
  </si>
  <si>
    <t>Obat Wajib Apotek, Obat ini dapat dibeli dan diserahkan apoteker tanpa resep dengan maksimum 1 Tube. Pembelian melebihi batas ini WAJIB RESEP DOKTER. Hindari kontak dengan mata, jika tidak didapatkan efek pemutih setelah 2 bulan, terapi harus dihentikan. Laktasi</t>
  </si>
  <si>
    <t>pemutihan kulit bertahap kondisi hiperpigmentasi kloasma , melasma , flek hitam , bercak akibat penuaan , hiperpigmentasi melanin area kulit tidak</t>
  </si>
  <si>
    <t>interquin cream</t>
  </si>
  <si>
    <t>interquin cream krim hydroquinone pemutihan kulit bertahap kondisi hiperpigmentasi kloasma  melasma  flek hitam  bercak akibat penuaan  hiperpigmentasi melanin area kulit tidak</t>
  </si>
  <si>
    <t>DKL0033201109A1</t>
  </si>
  <si>
    <t>Argesid 500 mg 10 Kaplet</t>
  </si>
  <si>
    <t>Rp14.600 - Rp16.400</t>
  </si>
  <si>
    <t>Hipersensitif, tukak lambung, radang usus, mual, muntah, diare, pusing, sakit kepala, vertigo, dispepsia, ruam makulo papular</t>
  </si>
  <si>
    <t>metamizole sodium monohydrate cyanocobalamin thiamine nitrate pyridoxine hydrochloride dl alpha tocopheryl acetate</t>
  </si>
  <si>
    <t>arsinal kaplet metamizole sodium monohydrate cyanocobalamin thiamine nitrate pyridoxine hydrochloride dl alpha tocopheryl acetate nyeri  demam  anti radang nyeri urat saraf</t>
  </si>
  <si>
    <t>DKL1009221038B1</t>
  </si>
  <si>
    <t>Lexipron Forte Dry Sirup 60 ml</t>
  </si>
  <si>
    <t>PENGGUNAAN OBAT INI HARUS SESUAI DENGAN PETUNJUK DOKTER. Anak 6-14 thn 5 ml 4 kali sehari</t>
  </si>
  <si>
    <t>Infeksi sal urogenital (kemih kelamin) termasuk prostatitis akut</t>
  </si>
  <si>
    <t>DKL8802313409A1</t>
  </si>
  <si>
    <t>Benostan 500 mg 10 Tablet</t>
  </si>
  <si>
    <t>Rp6.000 - Rp14.000</t>
  </si>
  <si>
    <t>Ulkus peptikum atau ulserasi usus, penyakit radang usus besar, kerusakan hati atau ginjal.</t>
  </si>
  <si>
    <t>benostan</t>
  </si>
  <si>
    <t>benostan kaplet mefenamic acid meredakan nyeri ringan sakit kepala  sakit gigi  nyeri haid primer  nyeri reumatik  nyeri otot  nyeri paska operasi</t>
  </si>
  <si>
    <t>GKL1002342404A1</t>
  </si>
  <si>
    <t>Cotrimoxazole Forte 960 mg 10 Tablet</t>
  </si>
  <si>
    <t>Rp6.700 - Rp7.200</t>
  </si>
  <si>
    <t>Dikonsumsi bersama makanan. Dihabiskan sesuai resep dokter.</t>
  </si>
  <si>
    <t>PENGGUNAAN OBAT INI HARUS SESUAI DENGAN PETUNJUK DOKTER. Dewasa &amp; anak &gt; 12 tahun: 2 kali per hari, 1 Taplet. Dosis maksimal : 3 kali per hari 1 Tablet.</t>
  </si>
  <si>
    <t>INFORMASI OBAT INI HANYA UNTUK KALANGAN MEDIS. Infeksi saluran nafas,Gl,saluran kemih kelamin, kulit dan septikemia (keracunan darh oleh bakteri patogenik atau zat-zat yang dihasilkan oleh bakteri tersebut)</t>
  </si>
  <si>
    <t>HARUS DENGAN RESEP DOKTER. Kategori D: Terbukti berisiko terhadap janin. Meski demikian, obat masih dapat digunakan jika obat diperlukan untuk mengatasi keadaan yang mengancam jiwa, atau penyakit serius, dimana obat yang lebih aman tidak dapat digunakan atau tidak efektif.</t>
  </si>
  <si>
    <t>infeksi saluran nafas , gl , saluran kemih kelamin , kulit septikemia keracunan darh bakteri patogenik zat - zat dihasilkan bakteri</t>
  </si>
  <si>
    <t>cotrimoxazole forte</t>
  </si>
  <si>
    <t>cotrimoxazole forte kaplet sulfamethoxazole infeksi saluran nafas  gl  saluran kemih kelamin  kulit septikemia keracu darh bakteri patogenik zat  zat dihasilkan bakteri</t>
  </si>
  <si>
    <t>hufagesic sirup paracetamol micronized menurunkan demam nyeri otot sendi menyertai influenza  vaksinasi penyakit akibat infeksi  sakit kepala  sakit gigi  flu  dysmenorrhoea</t>
  </si>
  <si>
    <t>DKL9730904710A1</t>
  </si>
  <si>
    <t>Molapect 30 mg 10 Tablet</t>
  </si>
  <si>
    <t>Rp4.100 - Rp9.500</t>
  </si>
  <si>
    <t>PENGGUNAAN OBAT INI HARUS SESUAI DENGAN PETUNJUK DOKTER. Dewasa dan anak &gt; 12 tahun : 2-3 x sehari 1 tablet, Anak 6-12 tahun : 2-3 x sehari 1/2 tablet</t>
  </si>
  <si>
    <t>Penyakit-penyakit saluran pernafasan akut dan kronis yang disertai dengan sekresi bronkial yang abnormal khususnya pada eksaserbasi dari bronkhitis kronis, bronkhitis asmatik, asma bronkial</t>
  </si>
  <si>
    <t>1 Botol Isi 10 Strip X 10 Tablet</t>
  </si>
  <si>
    <t>Pasien dengan riwayat alergi obat ambroxol. Hati-hati penggunaan pada pasien yang menderita ulkus pada lambung</t>
  </si>
  <si>
    <t>penyakit - penyakit saluran pernafasan akut kronis disertai sekresi bronkial abnormal eksaserbasi bronkhitis kronis , bronkhitis asmatik , asma bronkial</t>
  </si>
  <si>
    <t>molapect</t>
  </si>
  <si>
    <t>molapect tablet ambroxol hydrochloride penyakit  penyakit saluran pernafasan akut kronis disertai sekresi bronkial abnormal eksaserbasi bronkhitis kronis  bronkhitis asmatik  asma bronkial</t>
  </si>
  <si>
    <t>DKL0033400504A1</t>
  </si>
  <si>
    <t>Moxalas Sirup 60 ml</t>
  </si>
  <si>
    <t>Bersama makanan atau tidak</t>
  </si>
  <si>
    <t>PENGGUNAAN OBAT INI HARUS SESUAI DENGAN PETUNJUK DOKTER. Anak usia 6-12 tahun : 5-10 mL 2 kali sehari Anak usia 6 bulan - 6 tahun : 5 mL 2 kali sehari Anak usia 6 minggu - 6 bulan : 2,5 mL 2 kali sehari</t>
  </si>
  <si>
    <t>Infeksi saluran nafas, saluran pencernaan, saluran kemih, otitis media (radang rongga gendang telinga), dan infeksi lain yang disebabkan oleh organisme yang peka terhadap Kotrimoksazol.</t>
  </si>
  <si>
    <t>Hipersensitif terhadap Sulfonamida. Gangguan ginjal atau hati yang parah, diskrasia darah. Hamil dan menyusui.</t>
  </si>
  <si>
    <t>HARUS DENGAN RESEP DOKTER. Pasien dengan kondisi alergika berat, asma bronkhial, gangguan fungsi ginjal atau hati, kekurangan folat atau G6PD. Usia lanjut.</t>
  </si>
  <si>
    <t>infeksi saluran nafas , saluran pencernaan , saluran kemih , otitis medium radang rongga gendang telinga , infeksi disebabkan organisme peka kotrimoksazol</t>
  </si>
  <si>
    <t>moxalas</t>
  </si>
  <si>
    <t>moxalas kaplet sulfamethoxazole infeksi saluran nafas  saluran pencernaan  saluran kemih  otitis medium radang rongga gendang telinga  infeksi disebabkan organisme peka kotrimoksazol</t>
  </si>
  <si>
    <t>lexacrol tablet magnesium trisilicate simethicone dried aluminium hydroxide gel hiperasiditas lambung  ulkus gaster  ulkus duodenum gejala mual  kembung  perasaan penuh lambung</t>
  </si>
  <si>
    <t>DKL0621632209A2</t>
  </si>
  <si>
    <t>Menin 500 mg 10 Kaplet</t>
  </si>
  <si>
    <t>menin</t>
  </si>
  <si>
    <t>menin kaplet mefenamic acid obat meredakan nyeri ringan sakit kepala  sakit gigi  nyeri haid  nyeri akibat trauma  nyeri otot nyeri operasi</t>
  </si>
  <si>
    <t>DKI0767506738A1</t>
  </si>
  <si>
    <t>Cataflam Fast Powder 50 mg 9 Sachet</t>
  </si>
  <si>
    <t>Rp81.100 - Rp109.200</t>
  </si>
  <si>
    <t>Karton, 3 dus @ 3 sachet @ 900 mg</t>
  </si>
  <si>
    <t>cataflam fast</t>
  </si>
  <si>
    <t>cataflam fast sirup diclofenac potassium terapi akut kronik gejala ra rheumatoid arthritis  oa osteoarthritis spondilitis ankilosa  mengatasi nyeri dismenorea primer  efek</t>
  </si>
  <si>
    <t>DKL8304104909A1</t>
  </si>
  <si>
    <t>Ponstelax 500 mg 10 Tablet</t>
  </si>
  <si>
    <t>Rp6.500 - Rp10.900</t>
  </si>
  <si>
    <t>tukak peptik, gangguan hati, ginjal</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</si>
  <si>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 C, D pada kehamilan trisemester 3 waktu saat akan persalinan</t>
  </si>
  <si>
    <t>ponstelax</t>
  </si>
  <si>
    <t>ponstelax kaplet mefenamic acid meredakan nyeri ringan sakit kepala  sakit gigi  nyeri haid primer  nyeri reumatik  nyeri otot  nyeri paska operasi</t>
  </si>
  <si>
    <t>DKL8715606210A1</t>
  </si>
  <si>
    <t>Mefix 500 mg 10 Kaplet</t>
  </si>
  <si>
    <t>Rp10.800 - Rp18.000</t>
  </si>
  <si>
    <t>Pada ibu hamil dan menyusui.</t>
  </si>
  <si>
    <t>mefix</t>
  </si>
  <si>
    <t>mefix tablet mefenamic acid meredakan nyeri ringan sakit kepala  sakit gigi  nyeri haid primer  nyeri reumatik  nyeri otot  nyeri paska operasi</t>
  </si>
  <si>
    <t>DKL9209306729A1</t>
  </si>
  <si>
    <t>Ikagen 0.1% Cream 10 g</t>
  </si>
  <si>
    <t>Rp20.300 - Rp28.500</t>
  </si>
  <si>
    <t>ikagen cream</t>
  </si>
  <si>
    <t>ikagen cream krim gentamicin sulfate infeksi kulit primer sekunder impetigo kontagiosa  falikulitis superfisialis  furunkulosis  dermatitis terinfeksi  akne pustularis  luka bakar terinfeksi</t>
  </si>
  <si>
    <t>DKL0435300509A1</t>
  </si>
  <si>
    <t>Grafix Kapsul 500mg</t>
  </si>
  <si>
    <t>Rp1.000 - Rp2.600</t>
  </si>
  <si>
    <t>Tablet diminum pada saat makan atau sesudah makan.</t>
  </si>
  <si>
    <t>PENGGUNAAN OBAT INI HARUS SESUAI DENGAN PETUNJUK DOKTER. Dewasa dan anak diatas 12 tahun: 1 kaplet, 3 kali per hari</t>
  </si>
  <si>
    <t>hipersensitivitas, pasien yang akan atau telah menjalani operasi by-pass jantung, pasien dengan masalah ginjal, hati, asma, urtikaria atau radang/tukak lambung atau usus, pasien yang sedang hamil</t>
  </si>
  <si>
    <t>Obat Wajib Apotek, Obat ini dapat dibeli dan diserahkan apoteker tanpa resep dengan maksimum 20 Tablet. Pembelian melebihi batas ini WAJIB RESEP DOKTER. Pasien dengan gangguan atau faktor resiko kardiovaskular, riwayat peptic ulser atau perdarahan GI, gangguan hati dan ginjal, ibu hamil dan menyusui.</t>
  </si>
  <si>
    <t>grafix</t>
  </si>
  <si>
    <t>grafix kaplet mefenamic acid meredakan nyeri ringan sakit kepala  sakit gigi  nyeri haid primer  nyeri reumatik  nyeri otot  nyeri paska operasi</t>
  </si>
  <si>
    <t>DKL0234600329A1</t>
  </si>
  <si>
    <t>Cinogenta Cream 10 g</t>
  </si>
  <si>
    <t>Rp55.000 - Rp60.400</t>
  </si>
  <si>
    <t>Dioleskan tipis-tipis ke kulit yang terinfeksi.</t>
  </si>
  <si>
    <t>PENGGUNAAN OBAT INI HARUS SESUAI DENGAN PETUNJUK DOKTER. Oleskan krim tipis-tipis pada daerah terinfeksi 3 - 4 kali sehari atau menurut anjuran dokter.</t>
  </si>
  <si>
    <t>INFORMASI OBAT INI HANYA UNTUK KALANGAN MEDIS. Inflamasi dan gatal pada dermatosis yang dapat ditangani dengan kortikosteroid, akibat infeksi kuman seperti dermatitis atopik, dermatitis seboroik, neurodermatitis lokalisata, pruritus anogential.</t>
  </si>
  <si>
    <t>Hipersensitivitas terhadap salah satu komponen produk. Vaksinia, varisela dan TBC kulit, infeksi virus dan jamur</t>
  </si>
  <si>
    <t>HARUS DENGAN RESEP DOKTER. - Hanya untuk penggunaan luar. - Hati-hati pemakaian pada wanita hamil dan menyusui. - Pemakaian bersama kortikosteroid lain dan pemakaian jangka panjang dapat mengakibatkan atrofi kulit dan jaringan subkutan. - Tidak digunakan untuk mata. - Dapat terjadi pertumbuhan berlebihan dari mirkoorganisme yang tidak peka. - Bila terjadi superinfeksi segera hentikan dan berikan terapi yang sesuai.</t>
  </si>
  <si>
    <t>inflamasi gatal dermatosis ditangani kortikosteroid , akibat infeksi kuman dermatitis atopik , dermatitis seboroik , neurodermatitis lokalisata , pruritus anogential</t>
  </si>
  <si>
    <t>cinogenta cream</t>
  </si>
  <si>
    <t>cinogenta cream krim fluocinolone acetonide inflamasi gatal dermatosis ditangani kortikosteroid  akibat infeksi kuman dermatitis atopik  dermatitis seboroik  neurodermatitis lokalisata  pruritus anogential</t>
  </si>
  <si>
    <t>DKL9111614404A1</t>
  </si>
  <si>
    <t>Mefentan 500 mg 10 Tablet</t>
  </si>
  <si>
    <t>Ulserasi lambung-usus, peyakit ginjal, hipersensitifitas.</t>
  </si>
  <si>
    <t>mefentan</t>
  </si>
  <si>
    <t>mefentan kaplet mefenamic acid meredakan nyeri ringan sakit kepala  sakit gigi  nyeri haid primer  nyeri reumatik  nyeri otot  nyeri paska operasi</t>
  </si>
  <si>
    <t>DKL0631111029A1</t>
  </si>
  <si>
    <t>Gragenta 0.1% Cream 5 g</t>
  </si>
  <si>
    <t>Rp5.900 - Rp6.800</t>
  </si>
  <si>
    <t>PENGGUNAAN OBAT INI HARUS SESUAI DENGAN PETUNJUK DOKTER. Dioleskan pada area kulit 3-4 kali sehari.</t>
  </si>
  <si>
    <t>Dus, 1 Tube @ 5 Gram</t>
  </si>
  <si>
    <t>gragenta cream</t>
  </si>
  <si>
    <t>gragenta cream krim gentamicin sulfate infeksi kulit primer sekunder impetigo kontagiosa  falikulitis superfisialis  furunkulosis  dermatitis terinfeksi  akne pustularis  luka bakar terinfeksi</t>
  </si>
  <si>
    <t>samtacid tablet magnesium hydroxide simethicone dried aluminium hydroxide gel mengurangi nyeri lambung disebabkan kelebihan asam lambung debgan gejala mual  perih kembung</t>
  </si>
  <si>
    <t>DKL9604212817A1</t>
  </si>
  <si>
    <t>Corocyd Tablet 40 mg</t>
  </si>
  <si>
    <t>Rp7.300 - Rp7.400</t>
  </si>
  <si>
    <t>PENGGUNAAN OBAT INI HARUS SESUAI DENGAN PETUNJUK DOKTER. Dewasa 40 mg 1 x/hr sblm tidur selama 4 minggu. Dosis pemeliharaan: 20 mg 1 x/hr sblm tidur</t>
  </si>
  <si>
    <t>Terapi jangka pendek untuk ulkus aktif Usus halus/Duodenum, terapi ulkus Usus halus/Duodenum paska masa aktifnya, sindroma Zollinger-Ellison</t>
  </si>
  <si>
    <t>Obat Wajib Apotek, Obat ini dapat dibeli dan diserahkan apoteker tanpa resep dengan maksimum 10 Tablet. Pembelian melebihi batas ini WAJIB RESEP DOKTER. Pasien dengan kerusakan ginjal. Hamil &amp; laktasi</t>
  </si>
  <si>
    <t>neosma expectorant sirup terbutaline sulfate guaifenesin sebagai bronkodilator asma bronkial  bronkospasme bronkitis kronik  emfisema  penyakit paru komplikasi bronkokonstriksi ekspektoran batuk berdahak</t>
  </si>
  <si>
    <t>DKL0435301204A1</t>
  </si>
  <si>
    <t>Novax 500 mg 10 Kaplet</t>
  </si>
  <si>
    <t>Rp40.900 - Rp44.100</t>
  </si>
  <si>
    <t>Hipersensitif terhadap penisilin dan sefalosporin</t>
  </si>
  <si>
    <t>novax</t>
  </si>
  <si>
    <t>novax kaplet amoxicillin trihydrate infeksi saluran napa  saluran genito  urinaria  kulit jaringan lunak disebabkan organisme gram positif gram negatif peka amoxicillin</t>
  </si>
  <si>
    <t>promethazine hydrochloride pseudoephedrine hydrochloride ammonium chloride</t>
  </si>
  <si>
    <t>halfilyn sirup promethazine hydrochloride pseudoephedrine hydrochloride ammonium chloride batuk kronis akut disebabkan iritasi penyumbatan sputum saluran pernafasan  asma  alergi  flu  dll</t>
  </si>
  <si>
    <t>DKL0608014129A1</t>
  </si>
  <si>
    <t>Genolon Cream 10 g</t>
  </si>
  <si>
    <t>Rp49.900 - Rp57.000</t>
  </si>
  <si>
    <t>Pengobatan topikal ermatosis antara lain: dermatitis atopik, eksim, neurodermatitis, seborrhoeic dermatitis, contact dermatitis, gatal pada daerah anogenital, exfoliative dermatitis</t>
  </si>
  <si>
    <t>hipersensitif, bayi premature,</t>
  </si>
  <si>
    <t>HARUS DENGAN RESEP DOKTER. Hindari kontak dengan mata, penggunaan dengan kortikosteroid lain dapat sebabkan atrofi jaringan lunak dan subkutan, penggunaan &gt;7 hari dapat sebabkan superinfeksi, ibu hamil dan menyusui serta anak &lt;1 tahun Kategori Kehamilan : D</t>
  </si>
  <si>
    <t>pengobatan topikal ermatosis dermatitis atopik , eksim , neurodermatitis , seborrhoeic dermatitis , contact dermatitis , gatal daerah anogenital , exfoliative dermatitis</t>
  </si>
  <si>
    <t>genolon cream</t>
  </si>
  <si>
    <t>genolon cream krim fluocinolone acetonide pengobatan topikal ermatosis dermatitis atopik  eksim  neurodermatitis  seborrhoeic dermatitis  contact dermatitis  gatal daerah anogenital  exfoliative dermatitis</t>
  </si>
  <si>
    <t>fosfomycin trometamol</t>
  </si>
  <si>
    <t>monuril granul granula fosfomycin trometamol sebagai pengobatan infeksi akut non komplikata saluran kemih pencegahan infeksi saluran kemih tindakan diagnostik trans  urethral</t>
  </si>
  <si>
    <t>lagesil suspensi magnesium hydroxide dried aluminium hydroxide gel simethicone sakit maag  hiperasiditas lambung  tukak lambung usus halus  akumulasi gas saluran cerna</t>
  </si>
  <si>
    <t>DKL8317600501B1</t>
  </si>
  <si>
    <t>Intermoxil 500 mg 10 Kapsul</t>
  </si>
  <si>
    <t>Rp53.000 - Rp60.100</t>
  </si>
  <si>
    <t>Dus, 10 Strip X 10 Kapsul</t>
  </si>
  <si>
    <t>intermoxil kapsul amoxicillin trihydrate infeksi saluran napa  saluran genito  urinaria  kulit jaringan lunak disebabkan organisme gram positif gram negatif peka amoxicillin</t>
  </si>
  <si>
    <t>Konicare Minyak Telon Plus 125 ml</t>
  </si>
  <si>
    <t>Rp42.000 - Rp68.300</t>
  </si>
  <si>
    <t>Botol, @ 125 ml</t>
  </si>
  <si>
    <t>Simpan ditempat sejuk dan kering.</t>
  </si>
  <si>
    <t>DKL8122200401A1</t>
  </si>
  <si>
    <t>Mefinal 250 mg 10 Kapsul</t>
  </si>
  <si>
    <t>Rp8.800 - Rp9.800</t>
  </si>
  <si>
    <t>mefinal kapsul mefenamic acid meredakan nyeri ringan sakit kepala  sakit gigi  nyeri haid primer  nyeri trauma  nyeri otot  nyeri paska operasi</t>
  </si>
  <si>
    <t>nasalin daily nasal hygiene microdiffusion tablet guaifenesin untuk membersihkan saluran hidung sehari   melembabkan selaput lendir hidung kering  melengkapi perawatan infeksi tht</t>
  </si>
  <si>
    <t>Cap Gajah Minyak Telon 120 ml</t>
  </si>
  <si>
    <t>Rp25.300 - Rp48.600</t>
  </si>
  <si>
    <t>DKL0310804629A1</t>
  </si>
  <si>
    <t>Licogenta 1 mg/g Cream 5 g</t>
  </si>
  <si>
    <t>Rp5.300 - Rp8.300</t>
  </si>
  <si>
    <t>Obat Wajib Apotek, Obat ini dapat dibeli dan diserahkan apoteker tanpa resep dengan maksimum 1 Tube. Pembelian melebihi batas ini WAJIB RESEP DOKTER. Hanya ditujukan untuk infeksi pada kulit. Hindari kontak dengan mata. Tidak efektif untuk infeksi kulit yang disebabkan oleh jamur atau virus. Jika superinfeksi dan atau iritasi kulit terjadi, segera hentikan pemakaian obat. Pengobatan jangka panjang.</t>
  </si>
  <si>
    <t>licogenta cream</t>
  </si>
  <si>
    <t>licogenta cream krim gentamicin sulfate infeksi kulit primer sekunder impetigo kontagiosa  falikulitis superfisialis  furunkulosis  dermatitis terinfeksi  akne pustularis  luka bakar terinfeksi</t>
  </si>
  <si>
    <t>TI144348641</t>
  </si>
  <si>
    <t>Nature's Health Fuco 60 Kapsul</t>
  </si>
  <si>
    <t>NATURE`S HEALTH FUCO</t>
  </si>
  <si>
    <t>Rp416.300 - Rp698.200</t>
  </si>
  <si>
    <t>1-2 kapsul perhari</t>
  </si>
  <si>
    <t>Sebagai antioksidan yg kuat Mencegah penuaan dini, penyakit kanker, gangguan aliran darah Menjaga kesehatan tubuh</t>
  </si>
  <si>
    <t>Tidak untuk yg sedang minum obat pengencer darah. Tidak untuk penderita Hypertiroid.</t>
  </si>
  <si>
    <t>nature`s health fuco</t>
  </si>
  <si>
    <t>sebagai antioksidan yg kuat mencegah penuaan , penyakit kanker , gangguan aliran darah menjaga kesehatan tubuh</t>
  </si>
  <si>
    <t>natures health fuco</t>
  </si>
  <si>
    <t>natures health fuco kapsul natures health fuco sebagai antioksidan yg kuat mencegah penuaan  penyakit kanker  gangguan aliran darah menjaga kesehatan tubuh</t>
  </si>
  <si>
    <t>DKI1181400517A1</t>
  </si>
  <si>
    <t>Lipanthyl Penta 145 10 Tablet</t>
  </si>
  <si>
    <t>Rp265.000 - Rp320.600</t>
  </si>
  <si>
    <t>PENGGUNAAN OBAT INI HARUS SESUAI DENGAN PETUNJUK DOKTER. 1 x sehari 1 tablet.</t>
  </si>
  <si>
    <t>Hipersensitivitas. Gangguan hati (termasuk sirosis bilier) &amp; ginjal. Penyakit kandung empedu. anak. Kehamilan &amp; laktasi. Reaksi fotosensitifitas atau fototoksisitas selama pengobatan dengan fibrat atau ketoprofen, pankreatitis kronis atau akut. Alergi terhadap kacang tanah, minyak arachis, lesitin kedelai atau produk terkait.</t>
  </si>
  <si>
    <t>HARUS DENGAN RESEP DOKTER. Hentikan jika kadar AST, ALT meningkat hingga &gt;3 kali ULN atau 100 IU. Pankreatitis</t>
  </si>
  <si>
    <t>DKL2022259301A1</t>
  </si>
  <si>
    <t>Acetin 200 mg 10 Kapsul</t>
  </si>
  <si>
    <t>Rp30.500 - Rp31.500</t>
  </si>
  <si>
    <t>PENGGUNAAN OBAT INI HARUS SESUAI DENGAN PETUNJUK DOKTER. Sebagai mukolitik : Dewasa &amp; anak =14 thn 1 kapsul 2-3 x sehari. Anak 6-14 thn 1 kapsul 2 x sehari.</t>
  </si>
  <si>
    <t>INFORMASI OBAT INI HANYA UNTUK KALANGAN MEDIS. Sebagai mukolitik pada infeksi saluran nafas yang ditandai dengan adanya mukus berlebihan (lendir yang kental dan lengket) termasuk bronkitis, emfisema dan bronkiektasis. Profilaksis dan terapi kompilasi bronkopulmonal dengan mukostasis.</t>
  </si>
  <si>
    <t>Obat Wajib Apotek, Obat ini dapat dibeli dan diserahkan apoteker tanpa resep dengan maksimum 2 Strip. Pembelian melebihi batas ini WAJIB RESEP DOKTER. Pantau pasien dg asma selama pengobatan. Hentikan penggunaan jika ada tanda-tanda bronkospasme. Berikan setelah makan pada pasien dengan riwayat gastritis. Pastikan asupan cairan yg cukup. Kehamilan &amp; laktasi. Tidak direkomendasikan pada anak &lt;6 thn.</t>
  </si>
  <si>
    <t>sebagai mukolitik infeksi saluran nafas ditandai mukus lendir kental lengket bronkitis , emfisema bronkiektasis  profilaksis terapi kompilasi bronkopulmonal mukostasis</t>
  </si>
  <si>
    <t>acetin</t>
  </si>
  <si>
    <t>acetin kapsul acetylcysteine sebagai mukolitik infeksi saluran nafas ditandai mukus lendir kental lengket bronkitis  emfisema bronkiektasis  profilaksis terapi kompilasi bronkopulmonal mukostasis</t>
  </si>
  <si>
    <t>DKL9513012429A1</t>
  </si>
  <si>
    <t>Konigen 0.1% Cream 10 g</t>
  </si>
  <si>
    <t>Rp11.900 - Rp15.200</t>
  </si>
  <si>
    <t>HARUS DENGAN RESEP DOKTER. Hentikan pemakaian jika terjadi iritasi, penggunaan pada luka yang luas</t>
  </si>
  <si>
    <t>konigen cream</t>
  </si>
  <si>
    <t>konigen cream krim gentamicin sulfate infeksi kulit primer sekunder impetigo kontagiosa  falikulitis superfisialis  furunkulosis  dermatitis terinfeksi  akne pustularis  luka bakar terinfeksi</t>
  </si>
  <si>
    <t>DKL8322200804A1</t>
  </si>
  <si>
    <t>Sanprima Forte 10 Kaplet</t>
  </si>
  <si>
    <t>Rp26.000 - Rp31.900</t>
  </si>
  <si>
    <t>HARUS DENGAN RESEP DOKTER. Penderita dengan defisiensi asam folat. Penderita dengan status gizi buruk. Penderita defisiensi enzim G6PD. Manula dan Penderita gangguan fungsi ginjal.</t>
  </si>
  <si>
    <t>sanprima forte</t>
  </si>
  <si>
    <t>sanprima forte kaplet sulfamethoxazole infeksi saluran nafas  gl  saluran kemih kelamin  kulit septikemia keracu darh bakteri patogenik zat  zat dihasilkan bakteri</t>
  </si>
  <si>
    <t>DBL9100909133B1</t>
  </si>
  <si>
    <t>Bufantacid Forte Suspensi 60 ml</t>
  </si>
  <si>
    <t>Rp10.700 - Rp28.200</t>
  </si>
  <si>
    <t>Dewasa: 1-2 sendok takar 3-4 kali sehari. Anak-anak usia 6-12 tahun: 1/2-1 sendok takar 3-4 kali sehari</t>
  </si>
  <si>
    <t>Mengurangi nyeri yang berhubungan dengan kelebihan asam lambung, tukak lambung, tukak usus, dengan gejala seperti mual, kembung, perasaan penuh pada lambung</t>
  </si>
  <si>
    <t>Penggunaan &gt; 2 minggu. Anak &lt; 6 tahun. Diet rendah fosfor</t>
  </si>
  <si>
    <t>mengurangi nyeri berhubungan kelebihan asam lambung , tukak lambung , tukak usus , gejala mual , kembung , perasaan penuh lambung</t>
  </si>
  <si>
    <t>bufantacid forte</t>
  </si>
  <si>
    <t>bufantacid forte suspensi aluminium hydroxide mengurangi nyeri berhubungan kelebihan asam lambung  tukak lambung  tukak usus  gejala mual  kembung  perasaan penuh lambung</t>
  </si>
  <si>
    <t>DKL0212417209A1</t>
  </si>
  <si>
    <t>Topgesic 500 mg 10 Kaplet</t>
  </si>
  <si>
    <t>topgesic</t>
  </si>
  <si>
    <t>topgesic kaplet mefenamic acid obat meredakan nyeri ringan sakit kepala  sakit gigi  nyeri haid  nyeri akibat trauma  nyeri otot nyeri operasi</t>
  </si>
  <si>
    <t>DKL9828203509A1</t>
  </si>
  <si>
    <t>Maxstan 500 mg 10 Kaplet</t>
  </si>
  <si>
    <t>Rp16.800 - Rp22.200</t>
  </si>
  <si>
    <t>Hipersensitivitas. Ulkus peptik. Gangguan ginjal</t>
  </si>
  <si>
    <t>maxstan</t>
  </si>
  <si>
    <t>maxstan kaplet mefenamic acid meredakan nyeri ringan sakit kepala  sakit gigi  nyeri haid primer  nyeri reumatik  nyeri otot  nyeri paska operasi</t>
  </si>
  <si>
    <t>DBL9300910663A1</t>
  </si>
  <si>
    <t>Bufantacid 10 Tablet</t>
  </si>
  <si>
    <t>Tabet dikunyah 1 jam sebelum makan atau 2 jam sesudah makan dan menjelang tidur malam</t>
  </si>
  <si>
    <t>Dewasa: 1-2 tablet 3-4 kali sehari. Anak-anak usia 6-12 tahun: 1/2-1 tablet 3-4 kali sehari</t>
  </si>
  <si>
    <t>Hipersensitif, penderita gangguan ginjal, batu ginjal, konstipasi yang parah, gangguan hati, gagal jantung, edema, hipomahnesaemia, dan hipofosfatemia</t>
  </si>
  <si>
    <t>bufantacid</t>
  </si>
  <si>
    <t>bufantacid tablet aluminium hydroxide gel mengurangi nyeri berhubungan kelebihan asam lambung  tukak lambung  tukak usus  gejala mual  kembung  perasaan penuh lambung</t>
  </si>
  <si>
    <t>DKL0908515417A1</t>
  </si>
  <si>
    <t>Titan 150 mg 10 Tablet</t>
  </si>
  <si>
    <t>Rp7.000 - Rp15.300</t>
  </si>
  <si>
    <t>Sakit maag, Tukak/Ulkus lambung &amp; Usus halus, Hipersekresi Patologis (sindroma Zollinger Ellison, Mastositosis sistemik), Reflux GastroEsofagitis, Esofagitis erosif</t>
  </si>
  <si>
    <t>Jangan menggunakan obat ini untuk pasien yang diketahui memiliki riwayat hipersensitif pada ranitidine atau obat golongan antagonis reseptor H2 lainnya. Jangan menggunakan Titan 150 mg Tablet untuk penderita dengan riwayat porfiria akut.</t>
  </si>
  <si>
    <t>Obat Wajib Apotek, Obat ini dapat dibeli dan diserahkan apoteker tanpa resep dengan maksimum 1 Strip. Pembelian melebihi batas ini WAJIB RESEP DOKTER. Hamil, laktasi, gangguan fungsi ginjal dan hati, porfiria akut, anak, usia lanjut</t>
  </si>
  <si>
    <t>ranitidine</t>
  </si>
  <si>
    <t>sakit maag , tukak ulkus lambung usus halus , hipersekresi patologis sindroma zollinger ellison , mastositosis sistemik , reflux gastroesofagitis , esofagitis erosif</t>
  </si>
  <si>
    <t>titan</t>
  </si>
  <si>
    <t>titan tablet ranitidine sakit maag  tukak ulkus lambung usus halus  hipersekresi patologis sindroma zollinger ellison  mastositosis sistemik  reflux gastroesofagitis  esofagitis erosif</t>
  </si>
  <si>
    <t>DKI1481400717A1</t>
  </si>
  <si>
    <t>Lipanthyl Supra 160 10 Tablet</t>
  </si>
  <si>
    <t>Rp245.600 - Rp296.500</t>
  </si>
  <si>
    <t>perindopril arginine amlodipine besilate</t>
  </si>
  <si>
    <t>coveram tablet perindopril arginine amlodipine besilate hipertensi esensial penyakit arteri koroner stabil  terapi substitusi pasien diterapi perindopril amlodipine bersamaan tingkat dosis</t>
  </si>
  <si>
    <t>Cendo Cenfresh Eye Drops 5 ml</t>
  </si>
  <si>
    <t>Rp42.200 - Rp57.600</t>
  </si>
  <si>
    <t>Mengurangi riritasi pada mata yang kering, melindungi mata terhadap iritasi lebih lanjut, mengurangi rasa tidak nyaman karena iritasi mata ringan, terkena matahari dan sinar matahari.</t>
  </si>
  <si>
    <t>Memiliki riwayat hipersensitivitas atau alergi terhadap kandungan obat ini.</t>
  </si>
  <si>
    <t>HARUS DENGAN RESEP DOKTER. Jangan menggunakan obat ini jika bentuknya sudah berubah keruh biasanya akibat kadaluarsa.</t>
  </si>
  <si>
    <t>mengurangi riritasi mata kering , melindungi mata iritasi , mengurangi tidak nyaman iritasi mata ringan , terkena matahari sinar matahari</t>
  </si>
  <si>
    <t>cendo cenfresh eye tetes carmellose mengurangi riritasi mata kering  melindungi mata iritasi  mengurangi tidak nyaman iritasi mata ringan  terkena matahari sinar matahari</t>
  </si>
  <si>
    <t>DKL0605041617A1</t>
  </si>
  <si>
    <t>Biscor 5 mg 10 Tablet</t>
  </si>
  <si>
    <t>Rp21.500 - Rp37.500</t>
  </si>
  <si>
    <t>PENGGUNAAN OBAT INI HARUS SESUAI DENGAN PETUNJUK DOKTER. - Hipertensi dan angina: 5 mg - 10 mg per hari. - Gagal jantung kronik stabil: 1.25 mg per hari pada minggu pertama. Dosis dapat ditingkatkan secara bertahap. - Pada penderita bronkospastik, gangguan hati (hepatitis atau sirosis) dan gangguan ginjal (bersihan kreatinin kurang dari 40 ml/menit): dosis awal 2.5 mg sekali sehari.</t>
  </si>
  <si>
    <t>INFORMASI OBAT INI HANYA UNTUK KALANGAN MEDIS. Hipertensi dan angina pektoris, gagal jantung kronik stabil sedang sampai berat dengan penurunan fungsi ventrikular sistolik sebagai tambahan terhadap ACE inhibitor, atau Diuretik, atau Glikosida jantung.</t>
  </si>
  <si>
    <t>Obat ini tidak boleh diberikan kepada pasien dengan kondisi: - Hipersensitif terhadap Bisoprolol. - Gagal jantung akut atau selama episode dekomposisi gagal jantung yang memerlukan terapi intravena inotropik. - Syok kardiogenik. - Blok AV derajat 2 atau 3 (tanpa peacemaker). - Sindrom sinus. - Blokade sinoatrial. - Bradikardia yang kurang dari 60 denyut/menit sebelum memulai pengobatan. - Hipotensi (tekanan darah sistolik kurang dari 100 mmHg). - Asma bronkial parah atau penyakit paru obstruktif kronik yang parah. - Tahap akhir penyakit oklusif arteri periferal dan sindrom Raynaud. - Faeokromositoma yang tidak diobati. - Asidosis metabolik.</t>
  </si>
  <si>
    <t>HARUS DENGAN RESEP DOKTER. - Kemanan dan efektivitas pada pasien anak belum diketahui. - Jangan menggunakan Bisoprolol tanpa pengawasan dokter, khususnya pasien yang memiliki penyakit arteri koroner. - Pada penderita pheokromositoma, Bisoprolol sebaiknya tidak diberikan setelah terjadi blokade alfa. - Penggunaan Bisoprolol dianjurkan untuk diberikan secara hati-hati pada pasien dengan kondisi: 1. Bronkospasme (asma bronkial, penyakit saluran nafas obstruktif). 2. Menerima terapi desentisasi atau anastesi inhalasi secara bersamaan. 3. Diabetes melitus dengan fluktuasi kadar gula darah yang cukup besar, karena dapat menyamarkan gejala hipoglikemia. 4. Puasa ketat. 5. Blok AV tahap awal. 6. Angina Prinzmetal. 7. Penyakit oklusif arterial perifer (terutama di awal terapi). 8. Pasien gagal ginjal atau hati, penyesuaian dosis harus dilakukan dengan hati-hati.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Kategori D: Terbukti berisiko terhadap janin (pada trimester 2 dan 3). Meski demikian, obat masih dapat digunakan jika obat diperlukan untuk mengatasi keadaan yang mengancam jiwa, atau penyakit serius, dimana obat yang lebih aman tidak dapat digunakan atau tidak efektif.</t>
  </si>
  <si>
    <t>hipertensi angina pektoris , gagal jantung kronik stabil berat penurunan fungsi ventrikular sistolik tambahan ace inhibitor , diuretik , glikosida jantung</t>
  </si>
  <si>
    <t>biscor</t>
  </si>
  <si>
    <t>biscor tablet bisoprolol fumarate hipertensi angina pektoris  gagal jantung kronik stabil berat penuru fungsi ventrikular sistolik tambahan ace inhibitor  diuretik  glikosida jantung</t>
  </si>
  <si>
    <t>Cendo Cenfresh Minidose 0.6 ml</t>
  </si>
  <si>
    <t>Rp29.400 - Rp35.600</t>
  </si>
  <si>
    <t>1-2 tetes pada mata yang sakit. Diteteskan 3-4 kali sehari atau sesuai kebutuhan.</t>
  </si>
  <si>
    <t>Mengurangi iritasi pada mata yang kering. Melindungi mata terhadap iritasi lebih lanjut. Mengurangi rasa tidak nyaman karena iritasi mata ringan, terkena angin dan sinar matahari</t>
  </si>
  <si>
    <t>Jangan digunakan apabila larutan berubah warna atau keruh. Untuk mencegah kontaminasi, jangan memegang ujung botol. Botol ditutup rapat setelah dipakai. Jauhkan dari jangkauan anak-anak. Jika terasa sakit, gangguan penglihatan, terjadi kemerahan dan iritasi berlanjut atau keadaan makin parah lebih dari 72 jam, hentikan pemakaian dan konsultasi ke dokter.</t>
  </si>
  <si>
    <t>mengurangi iritasi mata kering  melindungi mata iritasi  mengurangi tidak nyaman iritasi mata ringan , terkena angin sinar matahari</t>
  </si>
  <si>
    <t>cendo cenfresh minidose</t>
  </si>
  <si>
    <t>cendo cenfresh minidose tetes carmellose mengurangi iritasi mata kering  melindungi mata iritasi  mengurangi tidak nyaman iritasi mata ringan  terkena angin sinar matahari</t>
  </si>
  <si>
    <t>DKL0831528317A1</t>
  </si>
  <si>
    <t>Bipro 5 mg 10 Tablet</t>
  </si>
  <si>
    <t>Rp49.400 - Rp75.500</t>
  </si>
  <si>
    <t>bipro</t>
  </si>
  <si>
    <t>bipro tablet bisoprolol fumarate hipertensi angina pektoris  gagal jantung kronik stabil berat penuru fungsi ventrikular sistolik tambahan ace inhibitor  diuretik  glikosida jantung</t>
  </si>
  <si>
    <t>DTL0426008437A1</t>
  </si>
  <si>
    <t>OBH Tropica Plus Anak Rasa Jeruk Sirup 60 ml</t>
  </si>
  <si>
    <t>Rp12.900 - Rp25.100</t>
  </si>
  <si>
    <t>Anak usia 2-5 tahun : 3 x sehari 1 sendok takar (5 ml) anak usia 6-12 tahun : 3 x sehari 2 sendok takar (10 ml)</t>
  </si>
  <si>
    <t>Membantu meredakan batuk yang disertai gejala influenza seperti demam, sakit kepala, hidung tersumbat, dan bersin-bersin.</t>
  </si>
  <si>
    <t>Hipersensitif, hipertensi parah, penyakit jantung, diabetes mellitus, gangguan fungsi hati yang parah</t>
  </si>
  <si>
    <t>Riwayat alergi terhadap salah satu komponen obat ini. Pasien penderita hipertensi parah. Penyakit jantung Diabetes mellitus Gangguan fungsi hati</t>
  </si>
  <si>
    <t>membantu meredakan batuk disertai gejala influenza demam , sakit kepala , hidung tersumbat , bersin - bersin</t>
  </si>
  <si>
    <t>obh tropica plus anak rasa jeruk</t>
  </si>
  <si>
    <t>obh tropica plus anak rasa jeruk sirup ammonium chloride membantu meredakan batuk disertai gejala influenza demam  sakit kepala  hidung tersumbat  bersin  bersin</t>
  </si>
  <si>
    <t>DKL7803815946A1</t>
  </si>
  <si>
    <t>Cendo Vitrolenta Eye Drop 5 ml</t>
  </si>
  <si>
    <t>Rp42.300 - Rp51.400</t>
  </si>
  <si>
    <t>Teteskan ke dalam kantung mata</t>
  </si>
  <si>
    <t>PENGGUNAAN OBAT INI HARUS SESUAI DENGAN PETUNJUK DOKTER. 1-3 x sehari 1 tetes</t>
  </si>
  <si>
    <t>INFORMASI OBAT INI HANYA UNTUK KALANGAN MEDIS. Kekeruhan dan pendarahan pada vitreous body dikarenakan segala penyebabnya (faktor usia, myopia, hypertonia, diabetes) kekeruhan pada lensa sebagai gejalan awal katarak sinilis.</t>
  </si>
  <si>
    <t>Hipersensitif salah satu komponen obat.</t>
  </si>
  <si>
    <t>kekeruhan pendarahan vitreous body penyebabnya faktor usia , myopia , hypertonia , diabetes kekeruhan lensa gejalan katarak sinilis</t>
  </si>
  <si>
    <t>cendo vitrolenta eye drop</t>
  </si>
  <si>
    <t>cendo vitrolenta eye drop tetes potassium iodide kekeruhan pendarahan vitreous body penyebabnya faktor usia  myopia  hypertonia  diabetes kekeruhan lensa gejalan katarak sinilis</t>
  </si>
  <si>
    <t>QD201667851</t>
  </si>
  <si>
    <t>Plossa Mini Press And Soothe Aromatics Eucalyptus 5 ml</t>
  </si>
  <si>
    <t>Gosokkan secukupnya pada kening, dada, hidung atau pada bagian yang sakit lainnya.</t>
  </si>
  <si>
    <t>Minyak Aromaterapi yang membantu meredakan sakit kepala, mengatasi gejala masuk angin, mengatasi mual, dan pegal-pegal.</t>
  </si>
  <si>
    <t>minyak aromaterapi membantu meredakan sakit kepala , mengatasi gejala masuk angin , mengatasi mual , pegal - pegal</t>
  </si>
  <si>
    <t>plossa mini press and soothe aromatics eucalyptus</t>
  </si>
  <si>
    <t>plossa mini press and soothe aromatics eucalyptus   menthol minyak aromaterapi membantu meredakan sakit kepala  mengatasi gejala masuk angin  mengatasi mual  pegal  pegal</t>
  </si>
  <si>
    <t>DKL0604424917A1</t>
  </si>
  <si>
    <t>Beta-One 2.5 mg 10 Tablet</t>
  </si>
  <si>
    <t>Rp30.900 - Rp57.700</t>
  </si>
  <si>
    <t>betaone</t>
  </si>
  <si>
    <t>betaone tablet bisoprolol fumarate hipertensi angina pektoris  gagal jantung kronik stabil berat penuru fungsi ventrikular sistolik tambahan ace inhibitor  diuretik  glikosida jantung</t>
  </si>
  <si>
    <t>QD201664281</t>
  </si>
  <si>
    <t>Plossa Mini Press And Soothe Aromatics Red Hot 5 ml</t>
  </si>
  <si>
    <t>Gosokkan secukupnya pada kening, dada, hidung atau pada bagian yang sakit lainnya</t>
  </si>
  <si>
    <t>Aromaterapi untuk membantu meredakan sakit kepala, mengatasi gejala masuk angin, mengatasi mual, dan pegal-pegal.</t>
  </si>
  <si>
    <t>aromaterapi membantu meredakan sakit kepala , mengatasi gejala masuk angin , mengatasi mual , pegal - pegal</t>
  </si>
  <si>
    <t>plossa mini press and soothe aromatics red hot</t>
  </si>
  <si>
    <t>plossa mini press and soothe aromatics red hot  borneol aromaterapi membantu meredakan sakit kepala  mengatasi gejala masuk angin  mengatasi mual  pegal  pegal</t>
  </si>
  <si>
    <t>balsem kuning cap kaki tiga balsam cajuput oil membantu meringankan pusing  sakit kepala  masuk angin  membantu meredakan gatal  gatal akibat gigitan serangga</t>
  </si>
  <si>
    <t>DTL8509202137A1</t>
  </si>
  <si>
    <t>Flutop C Sirup 60 ml</t>
  </si>
  <si>
    <t>Rp10.000 - Rp14.300</t>
  </si>
  <si>
    <t>Anak 6 -12 tahun: 2 sendok takar (10 ml), 3 kali sehari. Dewasa: 4 sendok takar (20 ml), 3 kali sehari.</t>
  </si>
  <si>
    <t>Meringankan flu seperti demam, sakit kepala, hidung tersumbat, dan bersin-bersin yang disertai batuk</t>
  </si>
  <si>
    <t>paracetamol dextromethorphan hydrobromide guaifenesin phenylpropanolamine hydrochloride chlorphenamine maleate</t>
  </si>
  <si>
    <t>meringankan flu demam , sakit kepala , hidung tersumbat , bersin - bersin disertai batuk</t>
  </si>
  <si>
    <t>flutop c</t>
  </si>
  <si>
    <t>flutop c sirup paracetamol dextromethorphan hydrobromide guaifenesin phenylpropanolamine hydrochloride chlorphenamine maleate meringankan flu demam  sakit kepala  hidung tersumbat  bersin  bersin disertai batuk</t>
  </si>
  <si>
    <t>DKL0604424917B1</t>
  </si>
  <si>
    <t>Beta-One 5 mg 10 Tablet</t>
  </si>
  <si>
    <t>Rp35.000 - Rp75.400</t>
  </si>
  <si>
    <t>DTL0426008537A1</t>
  </si>
  <si>
    <t>OBH Tropica Plus Anak Rasa Strawberry Sirup 60 ml</t>
  </si>
  <si>
    <t>Rp12.900 - Rp25.600</t>
  </si>
  <si>
    <t>Riwayat alergi terhadap salah satu komponen obat ini Pasien penderita hipertensi parah Penyakit jantung Diabetes mellitus Gangguan fungsi hati</t>
  </si>
  <si>
    <t>obh tropica plus anak rasa strawberry</t>
  </si>
  <si>
    <t>obh tropica plus anak rasa strawberry sirup ammonium chloride membantu meredakan batuk disertai gejala influenza demam  sakit kepala  hidung tersumbat  bersin  bersin</t>
  </si>
  <si>
    <t>flutamol kaplet paracetamol phenylpropanolamine hydrochloride chlorphenamine maleate guaifenesin untuk meringankan gejala  gejala flu demam  sakit kepala  hidung tersumbat bersin  bersin disertai batuk</t>
  </si>
  <si>
    <t>DKL9719919602A1</t>
  </si>
  <si>
    <t>Kolkatriol 0.25 mcg 30 Kapsul</t>
  </si>
  <si>
    <t>Rp229.700 - Rp252.700</t>
  </si>
  <si>
    <t>PENGGUNAAN OBAT INI HARUS SESUAI DENGAN PETUNJUK DOKTER. Osteoporosis paska Menopause - dewasa : 2 x sehari 1 kapsul. Osteodistrofi Ginjal pada pasien Hemo Dialisa : diawali 1 x sehari 1 kapsul. Hipoparatiroidisme pada</t>
  </si>
  <si>
    <t>Osteoporosis paska menopause, Osteodistrofi Ginjal pada Gagal Ginjal Khronis, Rakhitis akibat defisiensi vit.D, Hipoparatiroidisme paska operasi &amp; Idiopatik, Pseudo-Hipoparatiroidisme.</t>
  </si>
  <si>
    <t>Box Isi 3 Strip @ 10 Kapsul Lunak</t>
  </si>
  <si>
    <t>Hiperkalsemia</t>
  </si>
  <si>
    <t>HARUS DENGAN RESEP DOKTER. Hiperkalsemia</t>
  </si>
  <si>
    <t>osteoporosis paska menopause , osteodistrofi ginjal gagal ginjal khronis , rakhitis akibat defisiensi vit  d , hipoparatiroidisme paska operasi idiopatik , pseudo - hipoparatiroidisme</t>
  </si>
  <si>
    <t>kolkatriol</t>
  </si>
  <si>
    <t>kolkatriol kapsul calcitriol osteoporosis paska menopause  osteodistrofi ginjal gagal ginjal khronis  rakhitis akibat defisiensi vit  d  hipoparatiroidisme paska operasi idiopatik  pseudo  hipoparatiroidisme</t>
  </si>
  <si>
    <t>Cendo Statrol Eye Drop 5 ml</t>
  </si>
  <si>
    <t>Rp20.500 - Rp44.000</t>
  </si>
  <si>
    <t>INFORMASI OBAT INI HANYA UNTUK KALANGAN MEDIS. Infeksi mata disebabkan kuman yang peka obat ini, sptp-seudomonas aeruginosa, haemophilus influenza, proteus, vulgaris, staphylococcus aureus</t>
  </si>
  <si>
    <t>infeksi mata disebabkan kuman peka obat , sptp - seudomonas aeruginosa , haemophilus influenza , proteus , vulgaris , staphylococcus aureus</t>
  </si>
  <si>
    <t>cendo statrol eye drop</t>
  </si>
  <si>
    <t>cendo statrol eye drop tetes neomycin sulfate infeksi mata disebabkan kuman peka obat  sptp  seudomonas aeruginosa  haemophilus influenza  proteus  vulgaris  staphylococcus aureus</t>
  </si>
  <si>
    <t>cap kaki tiga balsam kuning balsam cajuput oil membantu meringankan pusing  sakit kepala  masuk angin  membantu meredakan gatal  gatal akibat gigitan serangga</t>
  </si>
  <si>
    <t>metamizole sodium monohydrate cyanocobalamin thiamine nitrate pyridoxine hydrochloride</t>
  </si>
  <si>
    <t>omegesic kaplet metamizole sodium monohydrate cyanocobalamin thiamine nitrate pyridoxine hydrochloride meredakan nyeri sakit kepala  sakit gigi  sakit menstruasi  neuralgia  lumbago nyeri otot</t>
  </si>
  <si>
    <t>DKL0225202010A1</t>
  </si>
  <si>
    <t>Maintate 2.5 mg 10 Tablet</t>
  </si>
  <si>
    <t>Rp48.600 - Rp76.500</t>
  </si>
  <si>
    <t>maintate</t>
  </si>
  <si>
    <t>maintate tablet bisoprolol fumarate hipertensi angina pektoris  gagal jantung kronik stabil berat penuru fungsi ventrikular sistolik tambahan ace inhibitor  diuretik  glikosida jantung</t>
  </si>
  <si>
    <t>dexamethasone neomycin sulfate polymyxin b sulfate</t>
  </si>
  <si>
    <t>cendo xitrol minidose tetes dexamethasone neomycin sulfate polymyxin b sulfate kondisi inflamasi mata responsif steroid disertai infeksi bakteri reaksi infeksi mata bakteri</t>
  </si>
  <si>
    <t>Cendo Eyefresh Minidose 0.6 ml</t>
  </si>
  <si>
    <t>Rp28.800 - Rp33.000</t>
  </si>
  <si>
    <t>PENGGUNAAN OBAT INI HARUS SESUAI DENGAN PETUNJUK DOKTER. 1 atau 2 tetes pada mata 3-4 kali sehari atau sesuai petunjuk dokter.</t>
  </si>
  <si>
    <t>Mengurangi lapisan pelindung pada permukaan mata disebut lapisan air mata (ears film). Lapisan air mata melapisi dan membasahi mata.</t>
  </si>
  <si>
    <t>Catch Cover, 5 Botol @ 0.6 ml</t>
  </si>
  <si>
    <t>Penderita yang hipersensitif terhadap komponen obat.</t>
  </si>
  <si>
    <t>- Jangan dipergunakan 3 x 24 jam setelah dibuka. - Jangan dipakai jika larutan berubah warna atau keruh. - Untuk mencegah kontaminasi, jangan memegang ujung botol. - Botol ditutup rapat setelah dipakai. - Jauhkan dari jangkauan anak-anak. - Jika terasa sa</t>
  </si>
  <si>
    <t>mengurangi lapisan pelindung permukaan mata lapisan air mata ear film  lapisan air mata melapisi membasahi mata</t>
  </si>
  <si>
    <t>cendo eyefresh minidose</t>
  </si>
  <si>
    <t>cendo eyefresh minidose tetes dextran 70 mengurangi lapisan pelindung permukaan mata lapisan air mata ear film  lapisan air mata melapisi membasahi mata</t>
  </si>
  <si>
    <t>DKL0301801909A1</t>
  </si>
  <si>
    <t>Tifestan Forte 10 Tablet</t>
  </si>
  <si>
    <t>Dus, 10 Tablet x 10 Strip</t>
  </si>
  <si>
    <t>tifestan forte</t>
  </si>
  <si>
    <t>tifestan forte kaplet mefenamic acid meredakan nyeri ringan sakit kepala  sakit gigi  nyeri haid primer  nyeri reumatik  nyeri otot  nyeri paska operasi</t>
  </si>
  <si>
    <t>Tempra Sirup Rasa Anggur 60 ml</t>
  </si>
  <si>
    <t>Rp49.500 - Rp60.400</t>
  </si>
  <si>
    <t>Jangan digunakakan pada penderita kerusakan hati dan alergi terhadap Paracetamol.</t>
  </si>
  <si>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</si>
  <si>
    <t>tempra rasa anggur sirup paracetamol obat meredakan sakit kepala  sakit gigi  sakit otot  nyeri mengganggu menurunkan demam menyertai flu influensa demam vaksinasi</t>
  </si>
  <si>
    <t>distilled witch hazel</t>
  </si>
  <si>
    <t>yrins eye liquid botol larutan distilled witch hazel membersihkan  menyejukkan  menyegarkan mata lelah sakit  meringankan iritasi ringan mata disebabkan udara berdebu berasap</t>
  </si>
  <si>
    <t>salbuven expectorant sirup guaifenesin salbutamol sulfate terapi gangguan saluran napa dimana bronkhospasme sekresi mukus kental faktor komplikasi  asma bronkhial  bronkhitis khronis emfisema</t>
  </si>
  <si>
    <t>paracetamol guaifenesin phenylpropanolamine hydrochloride dextromethorphan hydrobromide chlorphenamine maleate</t>
  </si>
  <si>
    <t>flucadex kaplet paracetamol guaifenesin phenylpropanolamine hydrochloride dextromethorphan hydrobromide chlorphenamine maleate meringankan gejala flu  demam  sakit kepala  hidung tersumbat  bersin  bersin disertai batuk</t>
  </si>
  <si>
    <t>DKL9225201010A1</t>
  </si>
  <si>
    <t>Maintate 5 mg 10 Tablet</t>
  </si>
  <si>
    <t>Rp77.900 - Rp102.800</t>
  </si>
  <si>
    <t>bisoprolol hemifumarate</t>
  </si>
  <si>
    <t>maintate tablet bisoprolol hemifumarate hipertensi angina pektoris  gagal jantung kronik stabil berat penuru fungsi ventrikular sistolik tambahan ace inhibitor  diuretik  glikosida jantung</t>
  </si>
  <si>
    <t>cendo polydex eye drop tetes dexamethasone sodium phosphate neomycin sulfate polymyxin b sulfate pengobatan jangka pendek kondisi mata responsif steroid antibiotik pencegahan</t>
  </si>
  <si>
    <t>DTL7815602904A1</t>
  </si>
  <si>
    <t>Intunal 4 Kaplet</t>
  </si>
  <si>
    <t>Dewasa: 3 x sehari 1 tablet. Anak (6 - 12 tahun): 3 x sehari 1/2 tablet.</t>
  </si>
  <si>
    <t>Meringankan gejala flu seperti: demam, sakit kepala, hidung tersumbat dan bersin-bersin yang disertai batuk.</t>
  </si>
  <si>
    <t>Hipertensi, gangguan fungsi hati, glaukoma, diabetes, gangguan jantung atau gondok</t>
  </si>
  <si>
    <t>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</si>
  <si>
    <t>paracetamol phenylpropanolamine hydrochloride dexchlorpheniramine maleate dextromethorphan hydrobromide guaifenesin</t>
  </si>
  <si>
    <t>intunal</t>
  </si>
  <si>
    <t>intunal kaplet paracetamol phenylpropanolamine hydrochloride dexchlorpheniramine maleate dextromethorphan hydrobromide guaifenesin meringankan gejala flu demam  sakit kepala  hidung tersumbat bersin  bersin disertai batuk</t>
  </si>
  <si>
    <t>ammonium chloride chlorphenamine maleate phenylephrine hydrochloride guaifenesin succus liquiritiae</t>
  </si>
  <si>
    <t>pectorin sirup ammonium chloride chlorphenamine maleate phenylephrine hydrochloride guaifenesin succus liquiritiae segala batuk  batuk pilek  influenza  bronchitis  astma  kebanyakan merokok dsb  expectorantia</t>
  </si>
  <si>
    <t>coveram tablet perindopril arginine amlodipine besilate terapi substitusi pasien td  nya dikendalikan perindopril amlodipine dosis  terapi hipertensi esensial hipertensi esensial pjk stabil</t>
  </si>
  <si>
    <t>fasidol plus kaplet paracetamol caffeine obat meredakan sakit kepala  sakit gigi  sakit otot  nyeri mengganggu menurunkan demam menyertai flu influensa demam vaksinasi</t>
  </si>
  <si>
    <t>DKL0633516317A1</t>
  </si>
  <si>
    <t>Bisovell 5 mg 10 Tablet</t>
  </si>
  <si>
    <t>Rp46.500 - Rp74.200</t>
  </si>
  <si>
    <t>bisovell tablet bisoprolol fumarate hipertensi angina pektoris  gagal jantung kronik stabil berat penuru fungsi ventrikular sistolik tambahan ace inhibitor  diuretik  glikosida jantung</t>
  </si>
  <si>
    <t>Cedocard Retard 20 mg 10 Tablet</t>
  </si>
  <si>
    <t>Rp19.300 - Rp36.400</t>
  </si>
  <si>
    <t>PENGGUNAAN OBAT INI HARUS SESUAI DENGAN PETUNJUK DOKTER. 1 tablet 2 kali/ hari.</t>
  </si>
  <si>
    <t>Terapi angina pektoris, pencegahan serangan angina pada penyakit-penyakit koroner kronik, gangguan angina paska infark miokard, gagal jantung</t>
  </si>
  <si>
    <t>Dus, 6 Strip @ 10 tablet pelepasan lambat</t>
  </si>
  <si>
    <t>cedocard retard</t>
  </si>
  <si>
    <t>cedocard retard tablet isosorbide dinitrate terapi angina pektoris  pencegahan serangan angina penyakit  penyakit koroner kronik  gangguan angina paska infark miokard  gagal jantung</t>
  </si>
  <si>
    <t>DKL9305012809A1</t>
  </si>
  <si>
    <t>Pondex Forte 500 mg 10 Tablet</t>
  </si>
  <si>
    <t>Hipersensitif, asma, tukak lambung atau radang saluran pencernaan. Penderita gangguan ginjal.</t>
  </si>
  <si>
    <t>pondex forte</t>
  </si>
  <si>
    <t>pondex forte kaplet mefenamic acid meredakan nyeri ringan sakit kepala  sakit gigi  nyeri haid primer  nyeri reumatik  nyeri otot  nyeri paska operasi</t>
  </si>
  <si>
    <t>Tempra Sirup Rasa Anggur 100 ml</t>
  </si>
  <si>
    <t>Rp63.000 - Rp76.200</t>
  </si>
  <si>
    <t>moxalas kaplet sulfamethoxazole trimethoprim infeksi saluran nafas  saluran pencernaan  saluran kemih  otitis medium radang rongga gendang telinga  infeksi disebabkan organisme peka kotrimoksazol</t>
  </si>
  <si>
    <t>QD142612551</t>
  </si>
  <si>
    <t>Cap Lang Minyak Angin 12 ml</t>
  </si>
  <si>
    <t>Rp16.500 - Rp32.800</t>
  </si>
  <si>
    <t>Membantu meredakan gejala masuk angin, pusing, mabuk perjalanan, mual, pegal-pegal dan gatal-gatal karena gigitan nyamuk &amp; serangga.</t>
  </si>
  <si>
    <t>eucalyptus oil</t>
  </si>
  <si>
    <t>membantu meredakan gejala masuk angin , pusing , mabuk perjalanan , mual , pegal - pegal gatal - gatal gigitan nyamuk serangga</t>
  </si>
  <si>
    <t>cap lang angin</t>
  </si>
  <si>
    <t>cap lang angin minyak eucalyptus oil membantu meredakan gejala masuk angin  pusing  mabuk perjala  mual  pegal  pegal gatal  gatal gigitan nyamuk serangga</t>
  </si>
  <si>
    <t>DKL1940404517A1</t>
  </si>
  <si>
    <t>Hapsen 5 mg 10 Tablet</t>
  </si>
  <si>
    <t>Rp57.500 - Rp83.100</t>
  </si>
  <si>
    <t>hapsen</t>
  </si>
  <si>
    <t>hapsen tablet bisoprolol hemifumarate hipertensi angina pektoris  gagal jantung kronik stabil berat penuru fungsi ventrikular sistolik tambahan ace inhibitor  diuretik  glikosida jantung</t>
  </si>
  <si>
    <t>hapsen tablet bisoprolol fumarate hipertensi angina pektoris  gagal jantung kronik stabil berat penuru fungsi ventrikular sistolik tambahan ace inhibitor  diuretik  glikosida jantung</t>
  </si>
  <si>
    <t>DTL0604129337B1</t>
  </si>
  <si>
    <t>OBH Combi Anak Batuk Plus Flu Madu 60 ml</t>
  </si>
  <si>
    <t>Rp17.300 - Rp19.300</t>
  </si>
  <si>
    <t>Umur 2-5 tahun: sehari 3x sehari 1 sendok takar (5 ml) Umur 6-12 tahun: sehari 3x sehari 2 sendok takar (10 ml)</t>
  </si>
  <si>
    <t>Mengobati batuk yang disertai gejala influenza seperti demam, sakit kepala, hidung tersumbat, dan bersin-bersin.</t>
  </si>
  <si>
    <t>Penderita dengan gangguan jantung, diabetes melitus, gangguan fungsi hati yang berat dan hipersensitif terhadap komponen obat ini.</t>
  </si>
  <si>
    <t>Lihat Kotak Peringatan. Hati-hati penggunaan pada penderita dengan gangguan fungsi hati dan ginjal, glaukoma, hipertrofi prostat, hipertiroid, dan retensi urine. Tidak dianjurkan digunakan pada anak usia dibawah 2 tahun, wanita hamil, atau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t>
  </si>
  <si>
    <t>mengobati batuk disertai gejala influenza demam , sakit kepala , hidung tersumbat , bersin - bersin</t>
  </si>
  <si>
    <t>obh combi anak batuk plus flu madu</t>
  </si>
  <si>
    <t>obh combi anak batuk plus flu madu sirup ammonium chloride mengobati batuk disertai gejala influenza demam  sakit kepala  hidung tersumbat  bersin  bersin</t>
  </si>
  <si>
    <t>nasalin daily nasal hygiene microdiffusion spray lemon oil untuk membersihkan saluran hidung sehari   melembabkan selaput lendir hidung kering  melengkapi perawatan infeksi tht</t>
  </si>
  <si>
    <t>DKL0434601917A1</t>
  </si>
  <si>
    <t>B-Beta 5 mg 10 Tablet</t>
  </si>
  <si>
    <t>Rp61.700 - Rp99.500</t>
  </si>
  <si>
    <t>bbeta</t>
  </si>
  <si>
    <t>bbeta tablet bisoprolol fumarate hipertensi angina pektoris  gagal jantung kronik stabil berat penuru fungsi ventrikular sistolik tambahan ace inhibitor  diuretik  glikosida jantung</t>
  </si>
  <si>
    <t>DKL0735802801B1</t>
  </si>
  <si>
    <t>Candipar Kapsul 150 mg</t>
  </si>
  <si>
    <t>Rp67.300 - Rp68.100</t>
  </si>
  <si>
    <t>Beriakan bersama makan</t>
  </si>
  <si>
    <t>PENGGUNAAN OBAT INI HARUS SESUAI DENGAN PETUNJUK DOKTER. Dewasa meningitis kriptokokal dan infeksi kriptokokus pada tempat lain dosis lazim : 400 mg pada hari ke-1, dilanjutkan dengan 200-400 mg 1 kali sehari selama 6 - 8 mg. Pasien acquired immune deficiency syndrome 200 mg per hari. Kandidemia, kandidiasis diseminata dan infeksi kandida invasif lainya dosis lazim : 400 mg pada hari ke-1, dilanjutkan dengan 200 per hari, dosis dapat ditingkatkan menjadi 400 mg per hari. Kandidiasis orofaringeal dosis lazim : 1 kali sehari 50-100 mg selama 7-14 hari. Kandidiasis oral atropik yang berhubungan dengan penggunaan gigi palsu dosis lazim : 1 kali sehari 50 mg selama 14 hari, diberikan dengan antiseptik lokal. infeksi kandida mukosa lainya (kecuali kandidiasis vag) dosis lazim : 50-100 mg per hari selama 14-30 hari. Pencegahan kekambuhan kandidiasis orofaringeal pada pasien acquired immune deficiency syndrome : 150 mg dosis tunggal tiap minggu. Kandidiasis vaginal : 150 mg dosis tunggal. Pencegahan kandidiasis 1 kali sehari 400 mg. Pasien dengan risiko terkena infeksi ber</t>
  </si>
  <si>
    <t>Kriptokokosis termasuk meningitis kriptokokal dan infeksi pada tempat lain. Kandidiasis sistemik termasuk kandidemia, kandidiasis diseminata dan bentuk infeksi kandida invasif lainnya. Kandidiasis mukosal termasuk infeksi orofaringeal, asofangeal, infeksi</t>
  </si>
  <si>
    <t>Kapsul 150 mg x 10 x 1</t>
  </si>
  <si>
    <t>Hipersensitif terhadap flukonazol atau komponen trikazol terkait</t>
  </si>
  <si>
    <t>HARUS DENGAN RESEP DOKTER. Anak &lt;16 tahun. Hamil dan laktasi</t>
  </si>
  <si>
    <t>kriptokokosis meningitis kriptokokal infeksi  kandidiasis sistemik kandidemia , kandidiasis diseminata bentuk infeksi kandida invasif  kandidiasis mukosal infeksi orofaringeal , asofangeal , infeksi</t>
  </si>
  <si>
    <t>candipar</t>
  </si>
  <si>
    <t>candipar kapsul fluconazole kriptokokosis meningitis kriptokokal infeksi  kandidiasis sistemik kandidemia  kandidiasis diseminata bentuk infeksi kandida invasif  kandidiasis mukosal infeksi orofaringeal  asofangeal  infeksi</t>
  </si>
  <si>
    <t>Degirol Hisap 0.25 mg 10 Tablet</t>
  </si>
  <si>
    <t>Rp12.600 - Rp17.100</t>
  </si>
  <si>
    <t>Obat ini digunakan untuk sakit tenggorokan, peradangan pada rongga mulut dan tenggorokan seperti gingivitis, periodontitis, faringitis, laringitis dan angina, serta infeksi selaput lendir mulut seperti stomatitis.</t>
  </si>
  <si>
    <t>Penderita Hipersensitif atau alergi terhadap Dequalinium Chloride.</t>
  </si>
  <si>
    <t>obat sakit tenggorokan , peradangan rongga mulut tenggorokan gingivitis , periodontitis , faringitis , laringitis angina , infeksi selaput lendir mulut stomatitis</t>
  </si>
  <si>
    <t>degirol hisap tablet dequalinium chloride obat sakit tenggorokan  peradangan rongga mulut tenggorokan gingivitis  periodontitis  faringitis  laringitis angina  infeksi selaput lendir mulut stomatitis</t>
  </si>
  <si>
    <t>DKI1435300817B1</t>
  </si>
  <si>
    <t>Crestor 10 mg 15 Tablet</t>
  </si>
  <si>
    <t>Rp425.300 - Rp527.500</t>
  </si>
  <si>
    <t>INFORMASI OBAT INI HANYA UNTUK KALANGAN MEDIS. Hiperkolesterol primer (tipe IIa termasuk heterozigot familial) atau dislipidemia campuran (tipe IIb) sebagai terapi tambahan jika upaya diet dan olah raga tidak mencukupi.</t>
  </si>
  <si>
    <t>Dus, 2 Blister @ 15 Tablet Salut Selaput</t>
  </si>
  <si>
    <t>Hipersensitif terhadap obat dan komponennya, penyakit liver aktif (termasuk peningkatan serum transaminase dan serum transaminase lain melebihi 3 kali batas normal yang tidak dapat dijelaskan penyebabnya), miopati, memperoleh siklosporin, ibu hamil dan menyusui.</t>
  </si>
  <si>
    <t>HARUS DENGAN RESEP DOKTER. Konsumsi alkohol berlebihan dan atau memiliki riwayat penyakit hati, hiperkolesterolemia sekunder yang disebabkan karena hipotiroidisme atau sindrom nefrotik. Lakukan tes fungsi hati sebelum terapi dan 3 bulan berikutnya. Pasien sebaiknya dianjurkan untuk segera melaporkan bilamana ada keluhan nyeri otot yang tidak diketahui penyebabnya, kelemahan atau kram otot, terutama jika disertai demam atau gejala kurang enak badan. Monitor peningkatan kadar kreatinin kinase. Pasien dengan faktor predisposisi bersama dengan gembrozil. Dosis diatas 40 mg dikontarindikasikan untuk diberikan bersama fibrat. Usia lanjut &gt; 70 tahun.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</si>
  <si>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hiperkolesterol primer tipe iia heterozigot familial dislipidemia campuran tipe iib terapi tambahan upaya diet olah raga tidak mencukupi</t>
  </si>
  <si>
    <t>crestor</t>
  </si>
  <si>
    <t>crestor tablet rosuvastatin calcium hiperkolesterol primer tipe iia heterozigot familial dislipidemia campuran tipe iib terapi tambahan upaya diet olah raga tidak mencukupi</t>
  </si>
  <si>
    <t>DBL7605006363A1</t>
  </si>
  <si>
    <t>Dexanta 10 Tablet</t>
  </si>
  <si>
    <t>Rp3.000 - Rp4.300</t>
  </si>
  <si>
    <t>Diet rendah fosfat, disfungsi ginjal</t>
  </si>
  <si>
    <t>dexanta</t>
  </si>
  <si>
    <t>dexanta tablet simethicone dried aluminium hydroxide gel magnesium hydroxide sakit maag  hiperasiditas  tukak lambung usus halus  perut kembung  dispepsia gangguan pencernaan  heartbum</t>
  </si>
  <si>
    <t>carsida tablet magnesium hydroxide dried aluminium hydroxide gel simethicone mengatasi hiperasiditas lambung tukak lambung duodenum  gastritis  heart burn  esofagitis peptik meredakan kembung</t>
  </si>
  <si>
    <t>DKL1633535517B1</t>
  </si>
  <si>
    <t>Nistrol 20 mg 10 Tablet</t>
  </si>
  <si>
    <t>Rp117.700 - Rp129.400</t>
  </si>
  <si>
    <t>PENGGUNAAN OBAT INI HARUS SESUAI DENGAN PETUNJUK DOKTER. Dosis awal 10 mg sekali sehari jika perlu ditingkatkan menjadi 20 mg sekali sehari setelah 4 minggu</t>
  </si>
  <si>
    <t>GKL9519915009A1</t>
  </si>
  <si>
    <t>Asam Mefenamat 500 mg 10 Kaplet</t>
  </si>
  <si>
    <t>Rp3.700 - Rp5.000</t>
  </si>
  <si>
    <t>Dus, 10 Strip @ 10 kaplet salut selaput</t>
  </si>
  <si>
    <t>asam mefenamat</t>
  </si>
  <si>
    <t>asam mefenamat kaplet mefenamic acid meredakan nyeri ringan sakit kepala  sakit gigi  nyeri haid primer  nyeri trauma  nyeri otot  nyeri paska operasi</t>
  </si>
  <si>
    <t>DKL9809208737A1</t>
  </si>
  <si>
    <t>Norvom Sirup 60 ml</t>
  </si>
  <si>
    <t>Rp6.300 - Rp13.600</t>
  </si>
  <si>
    <t>berikan 1/2 jam sebelum makan</t>
  </si>
  <si>
    <t>PENGGUNAAN OBAT INI HARUS SESUAI DENGAN PETUNJUK DOKTER. Dewasa : 5 ml 3 kali sehari Anak usia &gt; 6 tahun dan remaja : 1,5 ml 3 kali sehari</t>
  </si>
  <si>
    <t>Untuk mengatasi mual dan muntah yang disebabkan obat atau sesudah operasi. Menghilangkan rasa panas karena refluks esofagitis. Meringankan gastroparesis akut dan kronik. Tidak untuk motion sickness.</t>
  </si>
  <si>
    <t>hipersensitif, pendarahan gastrointestinal, obstruksi mekanik atau perforasi, epilepsi, phaeochromocytoma, gagal ginjal berat.</t>
  </si>
  <si>
    <t>HARUS DENGAN RESEP DOKTER. pada gangguan ginjal kurangi dosis</t>
  </si>
  <si>
    <t>untuk mengatasi mual muntah disebabkan obat operasi  menghilangkan panas refluks esofagitis  meringankan gastroparesis akut kronik  tidak motion sickness</t>
  </si>
  <si>
    <t>norvom sirup metoclopramide hydrochloride untuk mengatasi mual muntah disebabkan obat operasi  menghilangkan panas refluks esofagitis  meringankan gastroparesis akut kronik  tidak motion sickness</t>
  </si>
  <si>
    <t>TI164250351</t>
  </si>
  <si>
    <t>Pien Tze Huang Zhang Zhou 3 g Tablet</t>
  </si>
  <si>
    <t>PIEN TZE HUANG - ZHANG ZHOU</t>
  </si>
  <si>
    <t>Rp1.939.600 - Rp2.248.400</t>
  </si>
  <si>
    <t>Umur 1-8 tahun : 3 x sehari 0.15 - 0.3 gram. Umur &gt;8 tahun keatas: 3 x sehari 0.3 - 0.6 gram.</t>
  </si>
  <si>
    <t>Membantu memelihara kesehatan fungsi hati, secara tradisional membantu sirkulasi darah, membantu meredakan demam dan membantu memelihara kesehatan kulit</t>
  </si>
  <si>
    <t>Dus @ 3 gram</t>
  </si>
  <si>
    <t>Dilarang untuk wanita hamil. Bila setelah penggunaan selama 3 hari demam tidak menurun, segera hubungi dokter atau unit pelayanan kesehatan. Obat penurun demam hanya mengurangi gejala penyakit, tetapi tidak menghilangkan penyebab penyakit.</t>
  </si>
  <si>
    <t>pien tze huang zhang zhou</t>
  </si>
  <si>
    <t>membantu memelihara kesehatan fungsi hati , tradisional membantu sirkulasi darah , membantu meredakan demam membantu memelihara kesehatan kulit</t>
  </si>
  <si>
    <t>pien tze huang zhang zhou tablet membantu memelihara kesehatan fungsi hati  tradisional membantu sirkulasi darah  membantu meredakan demam membantu memelihara kesehatan kulit</t>
  </si>
  <si>
    <t>DKL9722221438A1</t>
  </si>
  <si>
    <t>Forifek Dry Sirup 60 ml</t>
  </si>
  <si>
    <t>Rp115.000 - Rp121.500</t>
  </si>
  <si>
    <t>floxacap tablet levofloxacin hemihydrate sinusitis maksilaris akut  eksaserbasi akut bronkitis kronik  pneumonia lingkungan  isk pielonefritis ringan  infeksi kulit struktur kulit ringan terkomplikasi</t>
  </si>
  <si>
    <t>DKL0033201609A1</t>
  </si>
  <si>
    <t>Floksid 500 mg 10 Kaplet</t>
  </si>
  <si>
    <t>Rp100.400 - Rp156.500</t>
  </si>
  <si>
    <t>PENGGUNAAN OBAT INI HARUS SESUAI DENGAN PETUNJUK DOKTER. ISK, infeksi Gl ringan/sedang : 250 mg 2 kali sehari. Berat : 500 mg 2 kali sehari. GO akut : 250 mg sebagai dosis tunggal. Infeksi tulang dan sendi, kulit dan jar lunak ringan/sedang : 500 mg 2 kali sehari. Berat : 750 mg 2 kali sehari. Osteomielitis aku</t>
  </si>
  <si>
    <t>ISK (termasuk prostatitis), uretritis dan servisitis, GO. Infeksi Gl (termasuk tifoid dan paratifoid), sal nafas (kecuali pneumonia karena strep), kulit dan jar lunak, tulang dan sendi</t>
  </si>
  <si>
    <t>Hipersensitivitas, hamil dan laktasi. Anak dan remaja pada masa pertumbuhan</t>
  </si>
  <si>
    <t>HARUS DENGAN RESEP DOKTER. Penggunaan dosis yang berlebihan atau jangka lama. Penyakit ginjal. Fototoksisitas (hentikan terapi). Lanjut usia. Dapat mengganggu kemampuan mengemudi atau menjalankan mesin</t>
  </si>
  <si>
    <t>isk prostatitis , uretritis servisitis , go  infeksi gl tifoid paratifoid , sal nafas kecuali pneumonia strep , kulit jar lunak , tulang sendi</t>
  </si>
  <si>
    <t>floksid</t>
  </si>
  <si>
    <t>floksid kaplet ciprofloxacin isk prostatitis  uretritis servisitis  go  infeksi gl tifoid paratifoid  sal nafas kecuali pneumonia strep  kulit jar lunak  tulang sendi</t>
  </si>
  <si>
    <t>GKL9805024715B1</t>
  </si>
  <si>
    <t>Ketoprofen 100 mg 10 Tablet</t>
  </si>
  <si>
    <t>Rp9.300 - Rp19.300</t>
  </si>
  <si>
    <t>PENGGUNAAN OBAT INI HARUS SESUAI DENGAN PETUNJUK DOKTER. Nyeri sendi, peradangan musculoskeletal dan sendi, nyeri pasca operasi ortopedi - Dewasa : 50 mg, 4 kali sehari, dengan dosis maksimal 300 mg/hari Nyeri ringan, sedang dan dismenorea - Dewasa : 25-50 mg setiap 6-8 jam, sesuai kebutuhan</t>
  </si>
  <si>
    <t>INFORMASI OBAT INI HANYA UNTUK KALANGAN MEDIS. Diindikasikan untuk : - Keadaan nyeri sendi serta radang sendi dalam penyakit Rheumatoid Arthritis serta Asam urat</t>
  </si>
  <si>
    <t>Tensocrepe 10 cm X 4.5 m</t>
  </si>
  <si>
    <t>Rp103.800 - Rp123.400</t>
  </si>
  <si>
    <t>Balut bagian yang sakit dengan Tensocrepe dan jangan terlalu kencang.</t>
  </si>
  <si>
    <t>Perban elastis berkualitas tinggi (BP). Untuk fiksasi/perawatan pada kasus keseleo (sprains), letih otot (strains), dan pelebaran pembuluh darah balik (varicose veins).</t>
  </si>
  <si>
    <t>1 Piece @ 1 Roll 10 cm X 4.5</t>
  </si>
  <si>
    <t>perban elastis berkualitas bp  untuk fiksasi perawatan keseleo sprain , letih otot strain , pelebaran pembuluh darah varicose vein</t>
  </si>
  <si>
    <t>tensocrepe x m</t>
  </si>
  <si>
    <t>tensocrepe x m larutan povidoneiodine perban elastis berkualitas bp  untuk fiksasi perawatan keseleo sprain  letih otot strain  pelebaran pembuluh darah varicose vein</t>
  </si>
  <si>
    <t>paracetamol chlorphenamine maleate pseudoephedrine hydrochloride guaifenesin</t>
  </si>
  <si>
    <t>erlaflu sirup paracetamol chlorphenamine maleate pseudoephedrine hydrochloride guaifenesin untuk meringankan gejala  gejala flu demam  sakit kepala  hidung tersumbat bersin  bersin disertai batuk</t>
  </si>
  <si>
    <t>DKL9930409415A1</t>
  </si>
  <si>
    <t>Voltaren 25 mg 10 Tablet</t>
  </si>
  <si>
    <t>Rp44.800 - Rp58.100</t>
  </si>
  <si>
    <t>PENGGUNAAN OBAT INI HARUS SESUAI DENGAN PETUNJUK DOKTER. Dewasa : 3 kali sehari, 25-50 mg. Anak usia lebih dari 6 tahun : 1-3 mg/kg BB/hari dalam dosis terbagi.</t>
  </si>
  <si>
    <t>INFORMASI OBAT INI HANYA UNTUK KALANGAN MEDIS. Artritis rheumatoid, osteoartritis, spondilitis ankilosa, spondiloartritis, nyeri pada kolumna vertebra (tulang punggung), non-artikular reumatik, serangan akut gout dan nyeri lain.</t>
  </si>
  <si>
    <t>Dus, 5 Blister @ 10 Tablet Salut Enterik</t>
  </si>
  <si>
    <t>Hipersensitivitas terhadap diklofenak Na, ulkus gaster atau usus aktif, perdarahan atau perforasi. Gagal jantung, ginjal &amp; jantung parah. Asma yang diinduksi NSAID lainnya, urtikaria atau rinitis akut. Kehamilan trimester terakhir. Laktasi.</t>
  </si>
  <si>
    <t>Obat Wajib Apotek, Obat ini dapat dibeli dan diserahkan apoteker tanpa resep dengan maksimum 1 Strip. Pembelian melebihi batas ini WAJIB RESEP DOKTER. - Penggunaan bersamaan dengan NSAID sistemik. - Asma atau bronkospasme - Kelainan perdarahan - Penyakit kardiovaskular - Riwayat atau adanya tukak peptik. - Gagal ginjal dan hati. - Usia lanjut - Kehamilan</t>
  </si>
  <si>
    <t>artritis rheumatoid , osteoartritis , spondilitis ankilosa , spondiloartritis , nyeri kolumna vertebra tulang punggung , non - artikular reumatik , serangan akut gout nyeri</t>
  </si>
  <si>
    <t>voltaren</t>
  </si>
  <si>
    <t>voltaren tablet diclofenac sodium artritis rheumatoid  osteoartritis  spondilitis ankilosa  spondiloartritis  nyeri kolumna vertebra tulang punggung  non  artikular reumatik  serangan akut gout nyeri</t>
  </si>
  <si>
    <t>DKI1553300715A1</t>
  </si>
  <si>
    <t>Pantozol 20 mg 7 Tablet</t>
  </si>
  <si>
    <t>Rp149.200 - Rp172.100</t>
  </si>
  <si>
    <t>Dus, 1 Blister @ 7 Tablet Salut Enterik</t>
  </si>
  <si>
    <t>Hipersensitivitas terhadap pantoprazole atau salah satu kandungannya atau substitusi benzimidazole lainnya.</t>
  </si>
  <si>
    <t>pantozol</t>
  </si>
  <si>
    <t>pantozol tablet pantoprazole sodium sesquihydrate untuk meredakan gejala gastroesophageal reflux disease gerd nonerosive reflux disease nerd  untuk pega jangka reflux esophagitis berat</t>
  </si>
  <si>
    <t>GKL1320939110A1</t>
  </si>
  <si>
    <t>Glimepiride 2 mg 10 Tablet</t>
  </si>
  <si>
    <t>Rp2.300 - Rp23.600</t>
  </si>
  <si>
    <t>Berikan segera sebelum makan utama yang pertama pada hari yang sama. Jangan mengurangi jadwal makan.</t>
  </si>
  <si>
    <t>PENGGUNAAN OBAT INI HARUS SESUAI DENGAN PETUNJUK DOKTER. - Dosis awal: 1-2 mg, satu kali sehari - Dosis pemeliharaan: 1-4 mg, satu kali sehari, dosis maksimum 8 mg, satu kali sehari. - Pada saat pemberian telah mencapai dosis 2 mg maka kenaikan dosis tidak boleh melebihi 2 mg dengan interval 1-2 minggu tergantung dari respon gula darah.</t>
  </si>
  <si>
    <t>INFORMASI OBAT INI HANYA UNTUK KALANGAN MEDIS. Diabetes Melitus Tipe 2 atau Non-Insulin-Dependent (type II) Diabetes Melitus (NIDDM) dimana kadar glukosa darah tidak dapat hanya dikontrol dengan diet dan olahraga saja.</t>
  </si>
  <si>
    <t>Hipersensitivitas. Pasien ketoasidosis diabetik, dengan atau tanpa koma.</t>
  </si>
  <si>
    <t>HARUS DENGAN RESEP DOKTER. - Risiko hipoglikemia - Tidak terkendalinya kadar glukosa darah: Bila seorang pasien, yang kondisi penyakit DM-nya stabil dengan menggunakan regimen antidiabetik tertentu, terpapar stress seperti demam, trauma, infeksi, pembedahan, kadar gluosa darah bisa tidak terkendali. Dalam keadaan seperti ini, dibutuhkan kombinasi insulin dengan glimipiride atau pengobatan tunggal dengan insulin. - Pentingnya untuk melakukan diet, program olah raga secara teratur dan pemeriksaan glukosa darah secara teratur. - Glimepiride tidak dianjurkan pada kehamilan. - Pada ibu menyusui penggunaan glimipiride sebaiknya tidak dilanjutkan. - Keamanan dan efektivitas pada anak-anak belum diketahui.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</si>
  <si>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glimepiride</t>
  </si>
  <si>
    <t>diabetes melitus tipe 2 non - insulin - dependent type ii diabetes melitus niddm dimana kadar glukosa darah tidak dikontrol diet olahraga</t>
  </si>
  <si>
    <t>glimepiride tablet diabetes melitus tipe 2 non  insulin  dependent type ii diabetes melitus niddm dimana kadar glukosa darah tidak dikontrol diet olahraga</t>
  </si>
  <si>
    <t>GKL1320939110B1</t>
  </si>
  <si>
    <t>Glimepiride 4 mg 10 Tablet</t>
  </si>
  <si>
    <t>Rp1.500 - Rp40.600</t>
  </si>
  <si>
    <t>DTL1917113781A1</t>
  </si>
  <si>
    <t>Holizinc 20 mg 10 Tablet</t>
  </si>
  <si>
    <t>Rp3.200 - Rp4.200</t>
  </si>
  <si>
    <t>penggunaan Holizinc bersama dengan oralit. sebelum atau sesudah makan</t>
  </si>
  <si>
    <t>- Anak usia 2 - 6 bulan : Satu kali sehari 10 mg ( setengah tablet ) diberikan setiap hari selama 10 hari berturut-turut (bahkan ketika diare telah berhenti). - Anak usia 6 bulan - 5 tahun : Satu kali sehari 1 tablet diberikan setiap hari selama 10 hari b</t>
  </si>
  <si>
    <t>Pelengkap untuk pengobatan diare pada anak-anak usia &lt; 5 tahun. Mencegah atau mengobati dehidrasi dan untuk mencegah kekurangan nutrisi. Mengurangi lama dan tingkat keparahan dari dehidrasi.</t>
  </si>
  <si>
    <t>pelengkap pengobatan diare anak - anak usia 5  mencegah mengobati dehidrasi mencegah kekurangan nutrisi  mengurangi tingkat keparahan dehidrasi</t>
  </si>
  <si>
    <t>holizinc tablet zinc sulfate monohydrate pelengkap pengobatan diare anak  anak usia 5  mencegah mengobati dehidrasi mencegah kekurangan nutrisi  mengurangi tingkat keparahan dehidrasi</t>
  </si>
  <si>
    <t>DBL8821003363A1</t>
  </si>
  <si>
    <t>Almacon 10 Tablet Kunyah</t>
  </si>
  <si>
    <t>Rp3.000 - Rp7.200</t>
  </si>
  <si>
    <t>1 jam sesudah makan dan sebelum tidur</t>
  </si>
  <si>
    <t>1-2 tablet</t>
  </si>
  <si>
    <t>Perut rasa kembung, nyeri lambung, epigastrium, antasida pada gastritis, hiatus hernia dan peptik eosifagitis, ulkus deudenum dan ulkus lambung</t>
  </si>
  <si>
    <t>Tablet 10 x 10</t>
  </si>
  <si>
    <t>Dehidrasi, Penggunaan obat pencahar berbasis minyak mineral, Penyakit ginjal, Reaksi alergi, hipersensitivitas</t>
  </si>
  <si>
    <t>Penggunaan terus menerus selama &gt; 2 minggu. Anak &lt; 6 tahun. Diet rendah fosfat. Terapi jangka panjang. Antasid lain harus diberikan dengan interval 1-2 jam</t>
  </si>
  <si>
    <t>perut kembung , nyeri lambung , epigastrium , antasida gastritis , hiatus hernia peptik eosifagitis , ulkus deudenum ulkus lambung</t>
  </si>
  <si>
    <t>almacon kunyah</t>
  </si>
  <si>
    <t>almacon kunyah tablet dried aluminium hydroxide gel perut kembung  nyeri lambung  epigastrium  antasida gastritis  hiatus hernia peptik eosifagitis  ulkus deudenum ulkus lambung</t>
  </si>
  <si>
    <t>DKL0731113110A1</t>
  </si>
  <si>
    <t>Grameta 10 mg 10 Tablet</t>
  </si>
  <si>
    <t>Rp2.900 - Rp3.200</t>
  </si>
  <si>
    <t xml:space="preserve">Mual dan muntah akut termasuk akibat pengobatan levodopa dan bromokriptin selama &gt; 12 minggu </t>
  </si>
  <si>
    <t>Tensocrepe 15 Cm X 4.5 m</t>
  </si>
  <si>
    <t>Rp141.800 - Rp209.800</t>
  </si>
  <si>
    <t>Pembalut elastis berkualitas tinggi (BP). Untuk fiksasi/perawatan pada kasus keseleo (sprains), letih otot (strains), dan pelebaran pembuluh darah balik (varicose veins).</t>
  </si>
  <si>
    <t>Roll 15 Cm X 4.5 Cm X 1</t>
  </si>
  <si>
    <t>pembalut elastis berkualitas bp  untuk fiksasi perawatan keseleo sprain , letih otot strain , pelebaran pembuluh darah varicose vein</t>
  </si>
  <si>
    <t>tensocrepe x m larutan povidoneiodine pembalut elastis berkualitas bp  untuk fiksasi perawatan keseleo sprain  letih otot strain  pelebaran pembuluh darah varicose vein</t>
  </si>
  <si>
    <t>DKI1435300817A1</t>
  </si>
  <si>
    <t>Crestor 5 mg 15 Tablet</t>
  </si>
  <si>
    <t>Rp202.200 - Rp295.700</t>
  </si>
  <si>
    <t>DBL2027915763A2</t>
  </si>
  <si>
    <t>Triocid 10 Tablet</t>
  </si>
  <si>
    <t>Rp5.500 - Rp6.200</t>
  </si>
  <si>
    <t>Diminum satu jam setelah makan dan sebelum tidur malam. dikunyah.</t>
  </si>
  <si>
    <t>Dewasa 1-2 tablet kunyah 3-4 kali sehari.</t>
  </si>
  <si>
    <t>Tablet kunyah untuk menurunkan keasaman lambung yang berlebih, menghilangkan flatulent, kembung dan sebagai alat bantu pada ulkus peptikum.</t>
  </si>
  <si>
    <t>Jangan minum obat ini selama lebih dari 2 minggu</t>
  </si>
  <si>
    <t>tablet kunyah menurunkan keasaman lambung berlebih , menghilangkan flatulent , kembung alat bantu ulkus peptikum</t>
  </si>
  <si>
    <t>triocid tablet magnesium hydroxide dried aluminium hydroxide gel simethicone tablet kunyah menurunkan keasaman lambung berlebih  menghilangkan flatulent  kembung alat bantu ulkus peptikum</t>
  </si>
  <si>
    <t>DKL9715611017A1</t>
  </si>
  <si>
    <t>Tricker 150 mg 10 Tablet</t>
  </si>
  <si>
    <t>Rp54.000 - Rp64.000</t>
  </si>
  <si>
    <t>PENGGUNAAN OBAT INI HARUS SESUAI DENGAN PETUNJUK DOKTER. Peptic &amp; Duodenal ulcer/Tukak peptik &amp; usus halus : 2 x sehari 1 tablet selama 4-8 minggu Reflux Esofagitis : 2 x sehari 1 tablet selama 8 minggu, dapat ditingkatkan sampai 4 x sehari 1 tablet selama 12 minggu Zollinger Ellison syndrome : 2-3 x sehari 1</t>
  </si>
  <si>
    <t>Sakit maag, Tukak/Ulkus peptik &amp; usus halus, Reflux Esofagitis, sindroma Zollinger Ellison, Pencegahan &amp; pemeliharaan tukak/ulkus Peptik berulang</t>
  </si>
  <si>
    <t>Jangan menggunakan obat ini untuk pasien yang diketahui memiliki riwayat hipersensitif pada ranitidine atau obat golongan antagonis reseptor H2 lainnya.J angan menggunakan Tricker untuk penderita dengan riwayat porfiria akut.</t>
  </si>
  <si>
    <t>Obat Wajib Apotek, Obat ini dapat dibeli dan diserahkan apoteker tanpa resep dengan maksimum 1 Strip. Pembelian melebihi batas ini WAJIB RESEP DOKTER. Hamil, laktasi, gangguan fungsi ginjal dan hati, anak. Singkirkan keganasan lambung sebelum terapi.</t>
  </si>
  <si>
    <t>sakit maag , tukak ulkus peptik usus halus , reflux esofagitis , sindroma zollinger ellison , pencegahan pemeliharaan tukak ulkus peptik berulang</t>
  </si>
  <si>
    <t>tricker</t>
  </si>
  <si>
    <t>tricker tablet ranitidine hydrochloride sakit maag  tukak ulkus peptik usus halus  reflux esofagitis  sindroma zollinger ellison  pencegahan pemeliharaan tukak ulkus peptik berulang</t>
  </si>
  <si>
    <t>titan tablet ranitidine hydrochloride sakit maag  tukak ulkus lambung usus halus  hipersekresi patologis sindroma zollinger ellison  mastositosis sistemik  reflux gastroesofagitis  esofagitis erosif</t>
  </si>
  <si>
    <t>Sterimar Nose Prone To Cold 50 ml</t>
  </si>
  <si>
    <t>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t>
  </si>
  <si>
    <t>Membantu mengembalikan kelembaban alami mukosa hidung, dan membersihkan hidung dari sekresi hingus dan kotoran. Membantu mencegah terjadinya gangguan THT</t>
  </si>
  <si>
    <t>Dus, kaleng @ 50 ml</t>
  </si>
  <si>
    <t>membantu mengembalikan kelembaban alami mukosa hidung , membersihkan hidung sekresi hingus kotoran  membantu mencegah gangguan tht</t>
  </si>
  <si>
    <t>sterimar nose prone to cold</t>
  </si>
  <si>
    <t>sterimar nose prone to cold tablet guaifenesin membantu mengembalikan kelembaban alami mukosa hidung  membersihkan hidung sekresi hingus kotoran  membantu mencegah gangguan tht</t>
  </si>
  <si>
    <t>damaben tablet metoclopramide hydrochloride monohydrate diabetik gastroparesis akut berulang  mual muntah paska operasi akibat obat2an  panas ulu hati kerongkongan akibat reflux esofagitis</t>
  </si>
  <si>
    <t>DTL1624504328A1</t>
  </si>
  <si>
    <t>Voltaren Emulgel 5 g</t>
  </si>
  <si>
    <t>Rp38.800 - Rp43.900</t>
  </si>
  <si>
    <t>Oleskan secukupnya pada daerah kulit yang nyeri dan gosokkan secara lembut. Setelah pemberian, tangan haruslah dicuci, kecuali bila bagian tangan adalah daerah yang sedang diobati. Jangka waktu pengobatan tergantung dari indikasi dan respon yang diperoleh.</t>
  </si>
  <si>
    <t>Pengobatan topikal pada peradangan akibat trauma tendon, ligamen, otot dan sendi. Obat ini juga digunakan untuk mengobati reumatisme jaringan lunak dan penyakit reumatik lokal.</t>
  </si>
  <si>
    <t>Asma, urtikaria, rinitis akut yang ditimbulkan oleh salisilat atau obat AINS lainnya. Kehamilan trimester ketiga.</t>
  </si>
  <si>
    <t>Hanya digunakan pada permukaan kulit yang utuh atau sehat (tidak ada luka terbuka). Jangan digunakan pada area mata dan selaput lendir. Konsultasikan kepada dokter terkebih dahulu jika ingin menggunakan obat ini saat hamil dan/atau menyusui.</t>
  </si>
  <si>
    <t>pengobatan topikal peradangan akibat trauma tendon , ligamen , otot sendi  obat mengobati reumatisme jaringan lunak penyakit reumatik lokal</t>
  </si>
  <si>
    <t>voltaren emulgel</t>
  </si>
  <si>
    <t>voltaren emulgel gel diclofenac diethylamine pengobatan topikal peradangan akibat trauma tendon  ligamen  otot sendi  obat mengobati reumatisme jaringan lunak penyakit reumatik lokal</t>
  </si>
  <si>
    <t>DKL9322215037A1</t>
  </si>
  <si>
    <t>Damaben Sirup 60 ml</t>
  </si>
  <si>
    <t>Rp10.200 - Rp14.800</t>
  </si>
  <si>
    <t>PENGGUNAAN OBAT INI HARUS SESUAI DENGAN PETUNJUK DOKTER. 2 sendok takar 3 kali/hari.</t>
  </si>
  <si>
    <t>Sirup 5 Mg/ 5 ml X 60 ml X 1</t>
  </si>
  <si>
    <t>damaben sirup metoclopramide hydrochloride monohydrate diabetik gastroparesis akut berulang  mual muntah paska operasi akibat obat2an  panas ulu hati kerongkongan akibat reflux esofagitis</t>
  </si>
  <si>
    <t>GTL1944401010A1</t>
  </si>
  <si>
    <t>Dimenhydrinate 50 mg Tablet</t>
  </si>
  <si>
    <t>bersama atau tanpa makanan</t>
  </si>
  <si>
    <t>Mencegah &amp; menghilangkan mabuk perjalanan &amp; mengobati vertigo, mual atau muntah akibat terapi eletrosyok, anestesi &amp; pembedahan, gangguan labirintin, mual akibat radiasi &amp; sindroma setelah fenestrasi</t>
  </si>
  <si>
    <t>mencegah menghilangkan mabuk perjalanan mengobati vertigo , mual muntah akibat terapi eletrosyok , anestesi pembedahan , gangguan labirintin , mual akibat radiasi sindroma fenestrasi</t>
  </si>
  <si>
    <t>dimenhydrinate tablet mencegah menghilangkan mabuk perjala mengobati vertigo  mual muntah akibat terapi eletrosyok  anestesi pembedahan  gangguan labirintin  mual akibat radiasi sindroma fenestrasi</t>
  </si>
  <si>
    <t>DKI1435300817D1</t>
  </si>
  <si>
    <t>Crestor 40 mg 10 Tablet</t>
  </si>
  <si>
    <t>Rp301.000 - Rp429.700</t>
  </si>
  <si>
    <t>DKL0122233910A1</t>
  </si>
  <si>
    <t>Blesifen 10 Tablet</t>
  </si>
  <si>
    <t>PENGGUNAAN OBAT INI HARUS SESUAI DENGAN PETUNJUK DOKTER. Infertilitas akibat tidak terjadi ovulasi : 1 tablet perhari selama 5 hari, dimulai pada hari ke-5 siklus menstruasi. Jika tidak terjadi ovulasi, dilanjutkan pada siklus pengobatan yang ke-2 dengan : 2 x sehari 1 tablet selama 5 hari. Ketidaksuburan pria karena kurangnya konsentrasi sperma: diminum 1 tablet sehari selama 40-90 hari.</t>
  </si>
  <si>
    <t>Terapi Infertilitas pada Wanita yang disebabkan oleh disfungsi ovulasi, polisistik ovarium, amenore- galaktorea, amenore psikogenik &amp; amenorre paska kontrasepsi oral, Oligospermia pada pria</t>
  </si>
  <si>
    <t>Hipersensitif, perdarahan uterus abnormal, pembesaran ovarium, gangguan kelenjar adrenal atau tiroid, wanita hamil dan menyusui, penderita penyakit hati atau memiliki sejarah gangguan fungsi hati, penderita lesi intrakranial organik seperti tumor pituitar</t>
  </si>
  <si>
    <t>HARUS DENGAN RESEP DOKTER. - Kategori Kehamilan : X</t>
  </si>
  <si>
    <t>terapi infertilitas wanita disebabkan disfungsi ovulasi , polisistik ovarium , amenore - galaktorea , amenore psikogenik amenorre paska kontrasepsi oral , oligospermia pria</t>
  </si>
  <si>
    <t>blesifen</t>
  </si>
  <si>
    <t>blesifen tablet clomifene citrate terapi infertilitas wanita disebabkan disfungsi ovulasi  polisistik ovarium  amenore  galaktorea  amenore psikogenik amenorre paska kontrasepsi oral  oligospermia pria</t>
  </si>
  <si>
    <t>DTL8827907837A1</t>
  </si>
  <si>
    <t>Flumin Plus Sirup 60 ml</t>
  </si>
  <si>
    <t>Rp9.100 - Rp17.300</t>
  </si>
  <si>
    <t>Dewasa: 3 kali sehari 4 sendok takar 5 ml, anak 6-12tahun: 3 kali sehari 2 sendok takar 5ml.</t>
  </si>
  <si>
    <t>Meringankan gejala flu seperti demam, sakit kepala, hidung tersumbat, dan bersin-bersin serta batuk</t>
  </si>
  <si>
    <t>Penderita dengan gangguan fungsi hati. hipersensitivitas</t>
  </si>
  <si>
    <t>paracetamol phenylpropanolamine hydrochloride dexchlorpheniramine maleate guaifenesin dextromethorphan hydrobromide</t>
  </si>
  <si>
    <t>flumin plus</t>
  </si>
  <si>
    <t>flumin plus sirup paracetamol phenylpropanolamine hydrochloride dexchlorpheniramine maleate guaifenesin dextromethorphan hydrobromide meringankan gejala flu demam  sakit kepala  hidung tersumbat  bersin  bersin batuk</t>
  </si>
  <si>
    <t>DKI1435300817C1</t>
  </si>
  <si>
    <t>Crestor 20 mg 15 Tablet</t>
  </si>
  <si>
    <t>Rp477.800 - Rp596.800</t>
  </si>
  <si>
    <t>DKL0113310503A1</t>
  </si>
  <si>
    <t>Lasgan 30 mg 10 Kapsul</t>
  </si>
  <si>
    <t>Rp138.800 - Rp222.000</t>
  </si>
  <si>
    <t>DKL2034615417B1</t>
  </si>
  <si>
    <t>Rosufer 20 mg 10 Tablet</t>
  </si>
  <si>
    <t>Rp153.500 - Rp177.800</t>
  </si>
  <si>
    <t>Dapat diminum sebelum dan sebelum makan</t>
  </si>
  <si>
    <t>rosufer tablet rosuvastatin calcium hiperkolesterol primer tipe iia heterozigot familial dislipidemia campuran tipe iib terapi tambahan upaya diet olah raga tidak mencukupi</t>
  </si>
  <si>
    <t>GKL0608513317A1</t>
  </si>
  <si>
    <t>Bisoprolol 5 mg 10 Tablet</t>
  </si>
  <si>
    <t>Rp4.200 - Rp32.100</t>
  </si>
  <si>
    <t>Obat ini secara umum ditoleransi dengan baik dengan efek samping yang ringan dan sementara. Pemakaian obat umumnya memiliki efek samping tertentu dan sesuai dengan masing-masing individu. Jika terjadi efek samping yang berlebih dan berbahaya, harap konsultasikan kepada tenaga medis. Efek samping yang mungkin terjadi dalam penggunaan obat adalah: Kram abdomen, diare, pusing, sakit kepala, mual, denyut jantung lambat, tekanan darah rendah, keadaan mati rasa, kesemutan, ekstremitas dingin, nyeri tenggorokan, dan sesak napas atau mengi, kelelahan.</t>
  </si>
  <si>
    <t>bisoprolol</t>
  </si>
  <si>
    <t>bisoprolol tablet bisoprolol fumarate hipertensi angina pektoris  gagal jantung kronik stabil berat penuru fungsi ventrikular sistolik tambahan ace inhibitor  diuretik  glikosida jantung</t>
  </si>
  <si>
    <t>DKL8713401809A1</t>
  </si>
  <si>
    <t>Lauramox Forte 500mg 10 Kaplet</t>
  </si>
  <si>
    <t>Rp16.200 - Rp26.800</t>
  </si>
  <si>
    <t>lauramox forte</t>
  </si>
  <si>
    <t>lauramox forte kaplet amoxicillin trihydrate infeksi saluran napa  saluran genito  urinaria  kulit jaringan lunak disebabkan organisme gram positif gram negatif peka amoxicillin</t>
  </si>
  <si>
    <t>DKL2217631117A1</t>
  </si>
  <si>
    <t>Xybat 5 mg 10 Tablet</t>
  </si>
  <si>
    <t>Rp67.200 - Rp71.100</t>
  </si>
  <si>
    <t>PENGGUNAAN OBAT INI HARUS SESUAI DENGAN PETUNJUK DOKTER. Dewasa dan anak usia di atas 6 tahun : 5 mg, 1 kali perhari.</t>
  </si>
  <si>
    <t>INFORMASI OBAT INI HANYA UNTUK KALANGAN MEDIS. Pengobatan gejala-gejala yang berhubungan dengan kondisi alergi seperti rinitis alergi musiman (termasuk gejala-gejala pada mata), rinitis alergi perenial, urtikaria idiopatik kronik.</t>
  </si>
  <si>
    <t>DKL0226007409A1</t>
  </si>
  <si>
    <t>Viflox 500 mg 10 Tablet</t>
  </si>
  <si>
    <t>Rp210.900 - Rp213.400</t>
  </si>
  <si>
    <t>PENGGUNAAN OBAT INI HARUS SESUAI DENGAN PETUNJUK DOKTER. ISK terkomplikasi : 250 - 500 mg 2 kali sehari. Infeksi sal nafas : 250 - 500 mg 2 kali sehari. Infeksi lain : 500 mg 2 kali sehari. Infeksi kulit dan jar lunak, tulang dan sendi : 500 - 750 mg 2 kali sehari. GO akut : 250 mg dosis tunggal</t>
  </si>
  <si>
    <t>Sinusitis maksilaris akut, eksaserbasi akut dari bronkitis kronik, pneumonia yang didapat dari masyarakat, infeksi kulit dan struktur kulit tak terkomplikasi, ISK terkomlikasi, pielonefritis akut</t>
  </si>
  <si>
    <t>Tablet 500 Mg X 50</t>
  </si>
  <si>
    <t>Hipersensitif terhadap siprofloksasin atau kuinolon lain. Anak, remaja. Hamil, laktasi</t>
  </si>
  <si>
    <t>HARUS DENGAN RESEP DOKTER. Epilepsi, kerusakan SSP</t>
  </si>
  <si>
    <t>sinusitis maksilaris akut , eksaserbasi akut bronkitis kronik , pneumonia masyarakat , infeksi kulit struktur kulit terkomplikasi , isk terkomlikasi , pielonefritis akut</t>
  </si>
  <si>
    <t>viflox</t>
  </si>
  <si>
    <t>viflox kaplet ciprofloxacin hydrochloride sinusitis maksilaris akut  eksaserbasi akut bronkitis kronik  pneumonia masyarakat  infeksi kulit struktur kulit terkomplikasi  isk terkomlikasi  pielonefritis akut</t>
  </si>
  <si>
    <t>vibranat kaplet amoxicillin trihydrate potassium clavulanate with microcrystalline cellulose infeksi saluran pernfasan  infeksi saluran kemih  infeksi kulit jaringan lunak  infeksi tulang persendian</t>
  </si>
  <si>
    <t>DKL9818209810A1</t>
  </si>
  <si>
    <t>Bartolium 5 mg 10 Tablet</t>
  </si>
  <si>
    <t>Rp46.400 - Rp49.800</t>
  </si>
  <si>
    <t>PENGGUNAAN OBAT INI HARUS SESUAI DENGAN PETUNJUK DOKTER. Profilaksis Migren, gangguan Vestibular, gangguan Sirkulasi Perifer dan Serebral : Dewasa &lt; 65 tahun : diawali 2 tablet perhari pada malam hari, Dewasa &gt; 65 tahun : 1 tablet perhari, maximum 2 tablet perhari.</t>
  </si>
  <si>
    <t>Mencegah Pusing/Migren, Tinitus, Vertigo, sulit Konsentrasi dan kebingungan, gangguan Memori dan Tidur, Iritabilitas, Parestesia, Extremitas/tangan-kaki dingin dan gangguan tropik.</t>
  </si>
  <si>
    <t>Sedang diobati beta-bloker. Riwayat depresi, parkinson dan kelainan ekstrapiramidal yang lain.</t>
  </si>
  <si>
    <t>HARUS DENGAN RESEP DOKTER. Menimbulkan gejala ekstrapiramidal dan depresi, parkinsonisme pada penderita usia lanjut, hipotensi, tidak untuk wanita hamil dan menyusui. Kadang bertambah letih. Pemeriksaan medis secara berkala terutama selama pengobatan pemeliharaan sehingga gejala ek</t>
  </si>
  <si>
    <t>mencegah pusing migren , tinitus , vertigo , sulit konsentrasi kebingungan , gangguan memori tidur , iritabilitas , parestesia , extremitas tangan - kaki dingin gangguan tropik</t>
  </si>
  <si>
    <t>bartolium</t>
  </si>
  <si>
    <t>bartolium tablet flunarizine mencegah pusing migren  tinitus  vertigo  sulit konsentrasi kebingungan  gangguan memori tidur  iritabilitas  parestesia  extremitas tangan  kaki dingin gangguan tropik</t>
  </si>
  <si>
    <t>TR183614221</t>
  </si>
  <si>
    <t>Madu Zestmag 280 g</t>
  </si>
  <si>
    <t>MADU ZESTMAG</t>
  </si>
  <si>
    <t>Rp182.700 - Rp224.600</t>
  </si>
  <si>
    <t>3 x Sehari 1 Sendok Makan</t>
  </si>
  <si>
    <t>Dapat membantu mempercepat proses penyembuhan Asam Lambung dan Maag, membantu pencernaan mengeluarkan racun, dapat meningkatkan daya tahan tubuh, meredakan masuk angin</t>
  </si>
  <si>
    <t>Dus, botol @280 gram</t>
  </si>
  <si>
    <t>madu zestmag</t>
  </si>
  <si>
    <t>dapat membantu mempercepat prose penyembuhan asam lambung maag , membantu pencernaan mengeluarkan racun , meningkatkan daya tahan tubuh , meredakan masuk angin</t>
  </si>
  <si>
    <t>madu zestmag madu dapat membantu mempercepat prose penyembuhan asam lambung maag  membantu pencernaan mengeluarkan racun  meningkatkan daya tahan tubuh  meredakan masuk angin</t>
  </si>
  <si>
    <t>DTL1004132037A1</t>
  </si>
  <si>
    <t>OBH Combi Batuk Plus Flu Jahe 100 ml</t>
  </si>
  <si>
    <t>Rp20.000 - Rp23.200</t>
  </si>
  <si>
    <t>&gt; 12 thn : sehari, 3 x 3 sendok takar (@ 5 ml)</t>
  </si>
  <si>
    <t>Meredakan batuk yang disertai gejala-gejala flu seperti demam, sakit kepala, hidung tersumbat dan bersin-bersin</t>
  </si>
  <si>
    <t>Hipersensitif, pasien yang memiliki kepekaan terhadap obat simpatomimetik lain seperti pseudoefedrin, dan fenilefrin, pasien yang mengkonsumsi obat-obat golongan monoamine oksidase (MAO) inhibitor.</t>
  </si>
  <si>
    <t>meredakan batuk disertai gejala - gejala flu demam , sakit kepala , hidung tersumbat bersin - bersin</t>
  </si>
  <si>
    <t>obh combi batuk plus flu jahe</t>
  </si>
  <si>
    <t>obh combi batuk plus flu jahe sirup ammonium chloride meredakan batuk disertai gejala  gejala flu demam  sakit kepala  hidung tersumbat bersin  bersin</t>
  </si>
  <si>
    <t>TR112325671</t>
  </si>
  <si>
    <t>Sido Muncul Sari Kulit Manggis 50 Kapsul</t>
  </si>
  <si>
    <t>SARI KULIT MANGGIS</t>
  </si>
  <si>
    <t>Rp52.600 - Rp100.100</t>
  </si>
  <si>
    <t>Pengobatan : 3 x sehari 2 kapsul. Pemeliharaan : 3 x sehari 1 kapsul</t>
  </si>
  <si>
    <t>Antioksidan kuat untuk menangkal radikal bebas akibat polusi, stress, paparan bahan kimia, serta asap rokok.</t>
  </si>
  <si>
    <t>Botol Isi 50 Kapsul</t>
  </si>
  <si>
    <t>Wanita hamil dan menyusui.</t>
  </si>
  <si>
    <t>sari kulit manggis</t>
  </si>
  <si>
    <t>antioksidan kuat menangkal radikal bebas akibat polusi , stress , paparan bahan kimia , asap rokok</t>
  </si>
  <si>
    <t>sido muncul sari kulit manggis</t>
  </si>
  <si>
    <t>sido muncul sari kulit manggis kapsul sari kulit manggis antioksidan kuat megkal radikal bebas akibat polusi  stress  paparan bahan kimia  asap rokok</t>
  </si>
  <si>
    <t>DKL1015803817C1</t>
  </si>
  <si>
    <t>Concor 1.25 mg 10 Tablet</t>
  </si>
  <si>
    <t>Rp47.500 - Rp58.200</t>
  </si>
  <si>
    <t>concor</t>
  </si>
  <si>
    <t>concor tablet bisoprolol fumarate hipertensi angina pektoris  gagal jantung kronik stabil berat penuru fungsi ventrikular sistolik tambahan ace inhibitor  diuretik  glikosida jantung</t>
  </si>
  <si>
    <t>kombinasi-pellet diclofenac sodium</t>
  </si>
  <si>
    <t>deflamat cr kapsul kombinasipellet diclofenac sodium proses inflamasi reumatik generatif atritis rematoid  spondilitas ankilosa  osteoartritis spondilosa artritis  reumatik non artikular sakit tulang</t>
  </si>
  <si>
    <t>DKI1924100114A1</t>
  </si>
  <si>
    <t>Ranexa 375 mg 20 Tablet</t>
  </si>
  <si>
    <t>Rp150.500 - Rp163.300</t>
  </si>
  <si>
    <t>Dapat diberikan bersama atau tanpa makanan: Telan utuh, jangan dibagi/ dikunyah / dihancurkan.</t>
  </si>
  <si>
    <t>PENGGUNAAN OBAT INI HARUS SESUAI DENGAN PETUNJUK DOKTER. Dewasa: Dosis Awal: 375 mg 2 kali sehari. Dosis harus dititrasi hingga 500 mg 2 kali sehari setelah 2-4 minggu. Dosis maksimum: 750 mg 2 kali sehari.</t>
  </si>
  <si>
    <t>INFORMASI OBAT INI HANYA UNTUK KALANGAN MEDIS. Terapi tambahan untuk terapi simtomatik pasien dengan angina pektoris stabil yang tidak cukup terkontrol atau tidak toleran terhadap terapi antianginal lini pertama (misalnya, beta blocker &amp; / atau antagonis Ca).</t>
  </si>
  <si>
    <t>Dus, 3 Blister @ 20 Prolonged-Released Tablet</t>
  </si>
  <si>
    <t>Hipersensitif. Administrasi bersamaan dgn inhibitor CYP3A4 yang potensial (mis. Itrakonazol, ketokonazol, vorikonazol, posaconazol, PI HIV, klaritromisin, telitromisin, nefazodon) &amp; agen antiaritmia kelas Ia (mis., Quinidine) atau kelas III (misalnya, dofetilid, sotalol). Ggn ginjal berat (CrCl &lt;30 mL / mnt). Ggn hati sedang atau berat.</t>
  </si>
  <si>
    <t>HARUS DENGAN RESEP DOKTER. Pasien dengan berat badan rendah (kurang dari sama dengan 60 kg. CHF sedang hingga berat (NYHA kelas III-IV)</t>
  </si>
  <si>
    <t>DKL8707906638B1</t>
  </si>
  <si>
    <t>Decamox Forte Dry Sirup 60 ml</t>
  </si>
  <si>
    <t>Rp18.500 - Rp18.800</t>
  </si>
  <si>
    <t>decamox forte</t>
  </si>
  <si>
    <t>decamox forte sirup amoxicillin trihydrate infeksi saluran napa  saluran kemih kelamin  ginekologi  jantung  tht  kulit jaringan lunak  demam enterik infeksi pencernaan  gonore</t>
  </si>
  <si>
    <t>sterimar nose prone to cold tetes ofloxacin membantu mengembalikan kelembaban alami mukosa hidung  membersihkan hidung sekresi hingus kotoran  membantu mencegah gangguan tht</t>
  </si>
  <si>
    <t>DKL2034601917B1</t>
  </si>
  <si>
    <t>B-Beta 2.5 mg 10 Tablet</t>
  </si>
  <si>
    <t>Rp25.800 - Rp35.600</t>
  </si>
  <si>
    <t>Visionlux Plus Eye Drops 10 ml</t>
  </si>
  <si>
    <t>1-2 tetes sesuai kebutuhan, atau sesuai dengan petunjuk dokter.</t>
  </si>
  <si>
    <t>Tetes mata yang melindungi sel dari radikal bebas oksidatif yang bersifat merusak dan menggantikan nutrisi yang rendah di dalam air mata dan dapat digunakan dengan semua jenis lensa kontak.</t>
  </si>
  <si>
    <t>Box, 1 botol @ 10 ml</t>
  </si>
  <si>
    <t>Jauhkan dari pandangan dan jangkauan anak-anak. Setelah botol dibuka, cairan harus digunakan dalam waktu 90 hari dan jangan gunakan setelah tanggal kadaluwarsa.</t>
  </si>
  <si>
    <t>tetes mata melindungi sel radikal bebas oksidatif bersifat merusak menggantikan nutrisi rendah air mata jenis lensa kontak</t>
  </si>
  <si>
    <t>visionlux plus eye</t>
  </si>
  <si>
    <t>visionlux plus eye tetes ofloxacin tetes mata melindungi sel radikal bebas oksidatif bersifat merusak menggantikan nutrisi rendah air mata jenis lensa kontak</t>
  </si>
  <si>
    <t>DKL1811645948A1</t>
  </si>
  <si>
    <t>Otolin Ear Drop 10 ml</t>
  </si>
  <si>
    <t>- POLYMYXIN B SULFATE                . BENZOCAINE. CHLORAMPHENICOL</t>
  </si>
  <si>
    <t>PENGGUNAAN OBAT INI HARUS SESUAI DENGAN PETUNJUK DOKTER. 3-4 tetes pada telinga yang sakit 3-4 kali sehari.</t>
  </si>
  <si>
    <t>Sebagai pengobatan otitis eksterna akut maupun kronik yang disebabkan oleh mikroorganisme yang rentan terhadap kloramfenikol dan polimiksin B sulfat.</t>
  </si>
  <si>
    <t>HARUS DENGAN RESEP DOKTER. - Tidak boleh melebihi dosis - Penderita yang mengalami perforasi membran</t>
  </si>
  <si>
    <t>polymyxin b sulfate                 benzocaine chloramphenicol</t>
  </si>
  <si>
    <t>sebagai pengobatan otitis eksterna akut kronik disebabkan mikroorganisme rentan kloramfenikol polimiksin b sulfat</t>
  </si>
  <si>
    <t>otolin ear drop</t>
  </si>
  <si>
    <t>otolin ear drop tetes polymyxin b sulfate                 benzocaine chloramphenicol sebagai pengobatan otitis eksterna akut kronik disebabkan mikroorganisme rentan kloramfenikol polimiksin b sulfat</t>
  </si>
  <si>
    <t>DKL0935300133A1</t>
  </si>
  <si>
    <t>Ronazol Sirup 60 ml</t>
  </si>
  <si>
    <t>Rp55.700 - Rp56.400</t>
  </si>
  <si>
    <t>PENGGUNAAN OBAT INI HARUS SESUAI DENGAN PETUNJUK DOKTER. Amubiasis intestinal &amp; hati Dewasa: 750 mg 3 x sehari, selama 5-10 hr. Anak: 35-50 mg/kg BB/hr dlm 3 dosis terbagi, selama 10 hr. Trikomoniasisn Dewasa: 2 g sebagai dosis tunggal selama 1 hr atau 500 mg 2 x sehari atau 250 mg 3 x sehari selama 7 hr. Anak: 15 mg/kg BB/hr dlm 3 dosis terbagi selama 7-10 hr. Giardiasis Dewasa: 250-500 mg 3 x sehari selama 5-7 hr atau 2 g 1 x sehari selama 3 hr. Anak: 5 mg/kg BB 3 x/hr selama 5-7 hr. Infeksi anaerob serius Dewasa: 7.5 mg/kg BB tiap 6 jam, Maks: 4 g/hr selama 7 hr.</t>
  </si>
  <si>
    <t>INFORMASI OBAT INI HANYA UNTUK KALANGAN MEDIS. Urethritis dan Vaginitis yang disebabkan oleh trichomonas vaginalis. Amoebiasis (intestinal dan hepatic amoebiasis). Pencegahan infeksi anaerob pasca operasi. Giardiasis yang disebabkan oleh Giardia lambliasis</t>
  </si>
  <si>
    <t>Hipersensitif. Trimester pertama kehamilan</t>
  </si>
  <si>
    <t>HARUS DENGAN RESEP DOKTER. Lakukan tes darah dalam penggunaan jangka panjang. Gangguan SSP, penyakit hati. Konsumsi alkohol dapat menyebabkan kram perut, mual, muntah, sakit kepala &amp; muka memerah. Laktasi. anak. Kategori Kehamilan: Kategori B: Mungkin dapat digunakan oleh wanita hamil. Penelitian pada hewan uji tidak memperlihatkan ada nya risiko terhadap janin, namun belum ada bukti penelitian langsung terhadap wanita hamil.</t>
  </si>
  <si>
    <t>urethritis vaginitis disebabkan trichomonas vaginalis  amoebiasis intestinal hepatic amoebiasis  pencegahan infeksi anaerob pasca operasi  giardiasis disebabkan giardia lambliasis</t>
  </si>
  <si>
    <t>ronazol</t>
  </si>
  <si>
    <t>ronazol suspensi metronidazole benzoate urethritis vaginitis disebabkan trichomonas vaginalis  amoebiasis intestinal hepatic amoebiasis  pencegahan infeksi anaerob pasca operasi  giardiasis disebabkan giardia lambliasis</t>
  </si>
  <si>
    <t>termorex plus sirup paracetamol chlorphenamine maleate guaifenesin pseudoephedrine hydrochloride untuk meringankan gejala flu demam  sakit kepala  hidung tersumbat bersin  bersin disertai batuk</t>
  </si>
  <si>
    <t>GKL0205031510A1</t>
  </si>
  <si>
    <t>Glimepiride 1 mg 10 Tablet</t>
  </si>
  <si>
    <t>Rp900 - Rp11.900</t>
  </si>
  <si>
    <t>GKL0205031510C1</t>
  </si>
  <si>
    <t>Glimepiride 3 mg 10 Tablet</t>
  </si>
  <si>
    <t>Rp2.400 - Rp30.500</t>
  </si>
  <si>
    <t>DTL0720934681A1</t>
  </si>
  <si>
    <t>Zinkid 20 mg 10 Tablet</t>
  </si>
  <si>
    <t>Rp33.300 - Rp41.300</t>
  </si>
  <si>
    <t>penggunaan Zinkid bersama dengan oralit. sebelum atau sesudah makan</t>
  </si>
  <si>
    <t>Simpan di tempat kering dan sejuk</t>
  </si>
  <si>
    <t>zinkid</t>
  </si>
  <si>
    <t>zinkid tablet zinc sulfate monohydrate pelengkap pengobatan diare anak  anak usia 5  mencegah mengobati dehidrasi mencegah kekurangan nutrisi  mengurangi tingkat keparahan dehidrasi</t>
  </si>
  <si>
    <t>DKL9207802304A2</t>
  </si>
  <si>
    <t>Anastan Forte 10 Kaplet</t>
  </si>
  <si>
    <t>Rp8.500 - Rp10.300</t>
  </si>
  <si>
    <t>tukak lambung, infeksi saluran cerna, gangguan ginjal, asma, hamil dan menyusui</t>
  </si>
  <si>
    <t>anastan forte</t>
  </si>
  <si>
    <t>anastan forte kaplet mefenamic acid meredakan nyeri ringan sakit kepala  sakit gigi  nyeri haid primer  nyeri reumatik  nyeri otot  nyeri paska operasi</t>
  </si>
  <si>
    <t>DKL1302505017B1</t>
  </si>
  <si>
    <t>Suvesco 20 mg 10 Tablet</t>
  </si>
  <si>
    <t>Rp29.700 - Rp146.500</t>
  </si>
  <si>
    <t>PENGGUNAAN OBAT INI HARUS SESUAI DENGAN PETUNJUK DOKTER. Dosis awal : 1 x sehari 10 mg, dosis dapat disesuaikan sampai 20 mg dilakukan sesudah terapi 4 minggu. Dosis 40 mg hanya diberikan pada pasien dengan hiperkolesteromia berat termasuk pasien hiperkolesteromia familial.</t>
  </si>
  <si>
    <t>INFORMASI OBAT INI HANYA UNTUK KALANGAN MEDIS. Hiperkolesterolemia primer (tipe IIa), termasuk hiperkolesterolemia familial heterozygous atau dislipidemia campuran (tipe IIb) sebagai terapi tambahan jika respon terhadap diet dan olahraga tidak adekuat</t>
  </si>
  <si>
    <t>hiperkolesterolemia primer tipe iia , hiperkolesterolemia familial heterozygous dislipidemia campuran tipe iib terapi tambahan respon diet olahraga tidak adekuat</t>
  </si>
  <si>
    <t>suvesco tablet rosuvastatin calcium hiperkolesterolemia primer tipe iia  hiperkolesterolemia familial heterozygous dislipidemia campuran tipe iib terapi tambahan respon diet olahraga tidak adekuat</t>
  </si>
  <si>
    <t>DKI1301600117A1</t>
  </si>
  <si>
    <t>Glucovance 1.25 mg/250 mg 10 Tablet</t>
  </si>
  <si>
    <t>Rp31.500 - Rp37.500</t>
  </si>
  <si>
    <t>PENGGUNAAN OBAT INI HARUS SESUAI DENGAN PETUNJUK DOKTER. Terapi awal anjuran dosis awal: 1,25 mg/250 mg 1-2 x/hari. Terapi lini kedua anjuran dosis awal: 5 mg/500 mg atau 2,5/500 mg 2 x/hari, s/d dosis maksimal harian 20 mg glibenclamide/2000 mg metformin.</t>
  </si>
  <si>
    <t>INFORMASI OBAT INI HANYA UNTUK KALANGAN MEDIS. Sebagai terapi awal, sebagai tambahan terhadap diet dan olahraga, untuk memperbaiki kontrol Glikemik pada pasien Diabetes tipe-2 dengan HbA1c &gt;8% yang Hiperglikemianya tidak dapat diatasi dengan diet dan olahraga saja</t>
  </si>
  <si>
    <t>Penyakit ginjal atau gangguan fungsi ginjal, gagal jantung kongestif yang membutuhkan terapi farmakologi, asidosis metabolik akut atau kronik, termasuk ketoasidosis metabolik akut atau kronik, termasuk ketoasidosis diabetikum dengan atau tanpa koma.</t>
  </si>
  <si>
    <t>HARUS DENGAN RESEP DOKTER. Asidosis laktat jarang dan dapat terjadi pada insufisiensi ginjal yang signifikan. Lakukan pemantauan berkala pada fungsi ginjal terutama pada lanjut usia. Hindari pemberian pada pasien dengan gejala klinis atau lab penyakit hati. Pasien harus diingatkan Kategori Kehamilan : B</t>
  </si>
  <si>
    <t>sebagai terapi , tambahan diet olahraga , memperbaiki kontrol glikemik pasien diabetes tipe - 2 hba1c 8 hiperglikemianya tidak diatasi diet olahraga</t>
  </si>
  <si>
    <t>glucovance tablet glibenclamide sebagai terapi  tambahan diet olahraga  memperbaiki kontrol glikemik pasien diabetes tipe  2 hba1c 8 hiperglikemianya tidak diatasi diet olahraga</t>
  </si>
  <si>
    <t>DTL9922231133A1</t>
  </si>
  <si>
    <t>Bufect Suspensi 100mg/5ml 60ml</t>
  </si>
  <si>
    <t>Rp19.900 - Rp24.100</t>
  </si>
  <si>
    <t>Dewasa : 5 ml Anak-anak :Untuk meringankan nyeri dan menurunkan demam (20 mg/kg dalam dosis terbagi) 1-2 tahun (2,5 ml) 3-4 kali sehari 3-7 tahun (5 ml) 3-4 kali sehari 8-12 tahun (10 ml) 3-4 kali sehari</t>
  </si>
  <si>
    <t>Meringankan nyeri ringan sampai sedang pada penyakit gigi atau sesudah pencabutan gigi, nyeri kepala, nyeri setelah operasi, nyeri pada penyakit reumatik, nyeri karena terkilir, menurunkan demam.</t>
  </si>
  <si>
    <t>alergi, operasi by pass jantung, pasien ginjal, hati, asma, urtikaria, tukak pada lambung atau usus, demam berdarah.</t>
  </si>
  <si>
    <t>1. Tidak boleh melebihi dosis yang dianjurkan 2. Sebelum menggunakan obat ini agar dikonsultasikan terlebih dahulu dengan dokter apabila menderita penyakit saluran cerna bagian atas (ulkus peptikum)</t>
  </si>
  <si>
    <t>GKL2117630507A1</t>
  </si>
  <si>
    <t>Pantoprazole 40 mg 7 Kaplet</t>
  </si>
  <si>
    <t>Diberikan sebelum atau saat makan pagi. Telan utuh, jangan dikunyah/dihancurkan.</t>
  </si>
  <si>
    <t>INFORMASI OBAT INI HANYA UNTUK KALANGAN MEDIS. Menghilangkan gejala dan terapi jangka pendek gangguan gaster dan pengurangan asam lambung</t>
  </si>
  <si>
    <t>aluminium hydroxide gel magnesium hydroxide simethicone</t>
  </si>
  <si>
    <t>acitral suspensi aluminium hydroxide gel magnesium hydroxide simethicone sakit maag  tukak lambung tukak usus halus  hiperasiditas pencernaan  gastritis  gangguan pencernaan  perut kembung</t>
  </si>
  <si>
    <t>simethicone aluminium hydroxide gel magnesium hydroxide</t>
  </si>
  <si>
    <t>acitral suspensi simethicone aluminium hydroxide gel magnesium hydroxide sakit maag  tukak lambung tukak usus halus  hiperasiditas pencernaan  gastritis  gangguan pencernaan  perut kembung</t>
  </si>
  <si>
    <t>DTL8710900637A1</t>
  </si>
  <si>
    <t>Anaton Syrup 60 ml</t>
  </si>
  <si>
    <t>Dewasa : 4 sendok takar, 3 x sehari Anak 6-12 tahun : 2 sendok takar, 3 x sehari</t>
  </si>
  <si>
    <t>Botol Sirup 60 mL x 1</t>
  </si>
  <si>
    <t>Penderita dengan gangguan jantung dan diabetes melitus. Penderita dengan gangguan fungsi hati yang berat. Penderita yang hipersensitif terhadap komponen obat ini.</t>
  </si>
  <si>
    <t>Hati-hati penggunaan pada penderita dengan gangguan fungsi hati dan ginjal, glaukoma, hipertrofi prostat hipertiroid dan retensi urin. Tidak dianjurkan penggunaan pada anak usia di bawah 6 tahun, wanita hamil dan menyusui kecuali atas petunjuk dokter. Selama minum obat ini tidak boleh mengendarai kendaraaan bermotor atau menjalankan mesin Hati-hati penggunaan bersama dengan obat-obat yang menekan susunan saraf pusat. Penggunaan pada penderita yang mengkonsumsi alkohol dapat meningkatkan risiko kerusakan fungsi hati. Hati-hati untuk penderita debil dan hipoksia (kekurangan oksigen). Dapat menyebabkan depresi pernafasan dan susunan saraf pusat pada penggunaan dengan dosis besar atau pada pasien dengan gangguan fungsi pernafasan (misal asma, emfisema).</t>
  </si>
  <si>
    <t>chlorphenamine maleate guaifenesin paracetamol dextromethorphan hydrobromide phenylpropanolamine hydrochloride</t>
  </si>
  <si>
    <t>anaton sirup chlorphenamine maleate guaifenesin paracetamol dextromethorphan hydrobromide phenylpropanolamine hydrochloride meringankan gejala flu demam  sakit kepala  hidung tersumbat bersin  bersin disertai batuk</t>
  </si>
  <si>
    <t>GKL0112506617A1</t>
  </si>
  <si>
    <t>Ethambutol 250mg 10 Tablet</t>
  </si>
  <si>
    <t>Rp3.000 - Rp5.900</t>
  </si>
  <si>
    <t>KandunganEthambutolIndikasiTerapi penyakit Tuberkolusis dalam kombinasi dengan obat anti Tuberkolusis lain.Kontra IndikasiNeuritis optika (radang saraf mata).Efek SampingNeuritis retrobulbar dengan suatu penurunan ketajaman penglihatan, skot</t>
  </si>
  <si>
    <t>Box, 20 strip 10 tablet</t>
  </si>
  <si>
    <t>Neuritis optika (radang saraf mata).</t>
  </si>
  <si>
    <t>HARUS DENGAN RESEP DOKTER. Neuritis optika (radang saraf mata).</t>
  </si>
  <si>
    <t>kandunganethambutolindikasiterapi penyakit tuberkolusis kombinasi obat anti tuberkolusis  kontra indikasineuritis optika radang saraf mata  efek sampingneuritis retrobulbar penurunan ketajaman penglihatan , skot</t>
  </si>
  <si>
    <t>ethambutol tablet kandunganethambutolindikasiterapi penyakit tuberkolusis kombinasi obat anti tuberkolusis  kontra indikasineuritis optika radang saraf mata  efek sampingneuritis retrobulbar penuru ketajaman penglihatan  skot</t>
  </si>
  <si>
    <t>aknil kaplet ibuprofen paracetamol sakit kepala  neuralgia nyeri saraf migren  dismenore nyeri haid  nyeri trauma operasi  sakit gigi  cabut gigi  kondisi demam</t>
  </si>
  <si>
    <t>DKL1221642517A1</t>
  </si>
  <si>
    <t>Avocel 5 mg 10 Tablet</t>
  </si>
  <si>
    <t>dexamethasone sodium phosphate neomycin sulfate</t>
  </si>
  <si>
    <t>cendo dexaton eye tetes dexamethasone sodium phosphate neomycin sulfate gangguan alergi radang dijumpai segmen anterior mata  mengontrol glaukoma sekunder radang uveal anterior</t>
  </si>
  <si>
    <t>DKL9417610310B1</t>
  </si>
  <si>
    <t>Isoric 100 mg 10 Tablet</t>
  </si>
  <si>
    <t>Rp22.800 - Rp34.100</t>
  </si>
  <si>
    <t>Produk ini tidka boleh diberikan pada pasien dengan kondisi: Hipersensitif terhadap Allopurinol. Serangan asam urat akut.</t>
  </si>
  <si>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</si>
  <si>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isoric</t>
  </si>
  <si>
    <t>isoric tablet allopurinol hiperurisemia primer gout  hiperurisemia sekunder mencegah pengendapan asam urat kalsium oksalat  produksi asam urat disebakan polisitemia vera terapi sitostatik</t>
  </si>
  <si>
    <t>DKL1005044738A1</t>
  </si>
  <si>
    <t>Azomax 200 mg/5 ml Dry Sirup 15 ml</t>
  </si>
  <si>
    <t>Rp132.000 - Rp145.700</t>
  </si>
  <si>
    <t>PENGGUNAAN OBAT INI HARUS SESUAI DENGAN PETUNJUK DOKTER. Dewasa, termasuk lanjut usia penyakit menular seksual : 1 g sebagai dosis tunggal. Infeksi ringan hingga sedang pada penyakit paru, pneumonia, faringitis, tonsilitis, infeksi kulit dan jaringan lunak : Hari ke-1 : 500 mg sebagai dosis tunggal, Hari</t>
  </si>
  <si>
    <t>INFORMASI OBAT INI HANYA UNTUK KALANGAN MEDIS. Infeksi ringan hingga sedang dari saluran nafas atas dan bawah, kulit dan struktur kulit</t>
  </si>
  <si>
    <t>Voltaren Emulgel 10 g</t>
  </si>
  <si>
    <t>Rp56.000 - Rp69.900</t>
  </si>
  <si>
    <t>DKL9522216310A1</t>
  </si>
  <si>
    <t>Puricemia 300 mg 10 Tablet</t>
  </si>
  <si>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</si>
  <si>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puricemia</t>
  </si>
  <si>
    <t>puricemia tablet allopurinol hiperurisemia primer gout  hiperurisemia sekunder mencegah pengendapan asam urat kalsium oksalat  produksi asam urat disebakan polisitemia vera terapi sitostatik</t>
  </si>
  <si>
    <t>sanprima forte kaplet trimethoprim sulfamethoxazole infeksi saluran nafas  gl  saluran kemih kelamin  kulit septikemia keracu darh bakteri patogenik zat  zat dihasilkan bakteri</t>
  </si>
  <si>
    <t>DTL1526111830A1</t>
  </si>
  <si>
    <t>Babycare Salep Ruam Popok 20 g</t>
  </si>
  <si>
    <t>Bersihkan terlebih dahulu bagian kulit yang hendak diobati, oleskan salep tipis-tipis 1-2 kali sehari atau sesuai kebutuhan.</t>
  </si>
  <si>
    <t>Sebagai terapi tambahan pada bayi yang mengalami ruam popok, kulit kering, iritasi kulit karena sengatan matahari, inflamasi kulit dan tukak pada kulit.</t>
  </si>
  <si>
    <t>Dus, Tube @ 20 Gram</t>
  </si>
  <si>
    <t>Reaksi alergi, hemofilia.</t>
  </si>
  <si>
    <t>Hanya untuk pemakaian luar.</t>
  </si>
  <si>
    <t>sebagai terapi tambahan bayi mengalami ruam popok , kulit kering , iritasi kulit sengatan matahari , inflamasi kulit tukak kulit</t>
  </si>
  <si>
    <t>babycare ruam popok</t>
  </si>
  <si>
    <t>babycare ruam popok salep dexpanthenol sebagai terapi tambahan bayi mengalami ruam popok  kulit kering  iritasi kulit sengatan matahari  inflamasi kulit tukak kulit</t>
  </si>
  <si>
    <t>DKL9216905510B1</t>
  </si>
  <si>
    <t>Omeric 300 mg 10 Tablet</t>
  </si>
  <si>
    <t>Rp5.100 - Rp10.100</t>
  </si>
  <si>
    <t>omeric</t>
  </si>
  <si>
    <t>omeric tablet allopurinol hiperurisemia primer gout  hiperurisemia sekunder mencegah pengendapan asam urat kalsium oksalat  produksi asam urat disebakan polisitemia vera terapi sitostatik</t>
  </si>
  <si>
    <t>DKL9932004210B1</t>
  </si>
  <si>
    <t>Zyloric 300 mg 10 Tablet</t>
  </si>
  <si>
    <t>Rp58.800 - Rp75.900</t>
  </si>
  <si>
    <t>zyloric</t>
  </si>
  <si>
    <t>zyloric tablet allopurinol hiperurisemia primer gout  hiperurisemia sekunder mencegah pengendapan asam urat kalsium oksalat  produksi asam urat disebakan polisitemia vera terapi sitostatik</t>
  </si>
  <si>
    <t>DKL0721633110A1</t>
  </si>
  <si>
    <t>Kolton 100 mg 10 Tablet</t>
  </si>
  <si>
    <t>kolton</t>
  </si>
  <si>
    <t>kolton tablet allopurinol hiperurisemia primer gout  hiperurisemia sekunder mencegah pengendapan asam urat kalsium oksalat  produksi asam urat disebakan polisitemia vera terapi sitostatik</t>
  </si>
  <si>
    <t>flutrop kaplet pseudoephedrine hydrochloride triprolidine hydrochloride gejala berhubungan flu  sinusitis kondisi alergi  mengurangi pembengkakan mukosa rongga hidung membantu menghentikan gejala hidung berair</t>
  </si>
  <si>
    <t>DKL0721633110B1</t>
  </si>
  <si>
    <t>Kolton 300 mg 10 Tablet</t>
  </si>
  <si>
    <t>Rp35.900 - Rp47.100</t>
  </si>
  <si>
    <t>DKI0054200117B1</t>
  </si>
  <si>
    <t>Detrusitol 2 mg 14 Tablet</t>
  </si>
  <si>
    <t>Rp156.800 - Rp270.900</t>
  </si>
  <si>
    <t>Kandung Kemih/air seni yang aktif berlebihan dengan gejala keterdesakan berkemih/BAK (buang air kecil), Inkontinensia urin (ketidak mampuan mengontrol BAK) baik frekuensinya maupun keterdesakannya.</t>
  </si>
  <si>
    <t>Box Isi 2 Strip @ 14 Tablet Salut</t>
  </si>
  <si>
    <t>Retensi urin, glaukoma sudut sempit yang tidak terkontrol, miastenia gravis, kolitis ulseratif berat, megakolon toksik.</t>
  </si>
  <si>
    <t>HARUS DENGAN RESEP DOKTER. Obstruksi kandung empedu yang merupakan risiko retensi urin, gangguan obstruksi gastrointestinal (saluran cerna), stenosis pilorus, penyakit ginjal dan hati, neuropati autonomik, hiatus hernia. Hamil dan laktasi. Dapat mengganggu kemampuan mengemudi dan m</t>
  </si>
  <si>
    <t>tolterodine</t>
  </si>
  <si>
    <t>kandung kemih air seni aktif gejala keterdesakan berkemih bak buang air , inkontinensia urin ketidak mampuan mengontrol bak frekuensinya keterdesakannya</t>
  </si>
  <si>
    <t>detrusitol</t>
  </si>
  <si>
    <t>detrusitol tablet tolterodine kandung kemih air seni aktif gejala keterdesakan berkemih bak buang air  inkontinensia urin ketidak mampuan mengontrol bak frekuensinya keterdesakannya</t>
  </si>
  <si>
    <t>DKL9932004210A1</t>
  </si>
  <si>
    <t>Zyloric 100 mg 10 Tablet</t>
  </si>
  <si>
    <t>Rp31.100 - Rp34.400</t>
  </si>
  <si>
    <t>Voltaren Emulgel 20 g</t>
  </si>
  <si>
    <t>Rp96.300 - Rp122.100</t>
  </si>
  <si>
    <t>dextromethorphan hydrobromide phenylpropanolamine hydrochloride chlorphenamine maleate paracetamol</t>
  </si>
  <si>
    <t>calortusin kaplet dextromethorphan hydrobromide phenylpropanolamine hydrochloride chlorphenamine maleate paracetamol untuk meringankan gejala flu demam  sakit kepala  hidung tersumbat  bersin  bersin disertai batuk</t>
  </si>
  <si>
    <t>Betadine Mouthwash and Gargle 100 ml</t>
  </si>
  <si>
    <t>Rp26.200 - Rp31.400</t>
  </si>
  <si>
    <t>1 Cup (15 ml) untuk berkumur selama 30 detik. Dilakukan 3-5 kali per hari, atau sesuai kebutuhan.</t>
  </si>
  <si>
    <t>Obat kumur antiseptik untuk rongga mulut seperti gigi berlubang, gusi bengkak, sakit tenggorokan, sariawan, bau mulut dan nafas tak segar.</t>
  </si>
  <si>
    <t>obat kumur antiseptik rongga mulut gigi berlubang , gusi bengkak , sakit tenggorokan , sariawan , bau mulut nafas segar</t>
  </si>
  <si>
    <t>betadine mouthwash and gargle larutan povidoneiodine obat kumur antiseptik rongga mulut gigi berlubang  gusi bengkak  sakit tenggorokan  sariawan  bau mulut nafas segar</t>
  </si>
  <si>
    <t>DKL9202316410B1</t>
  </si>
  <si>
    <t>Benoxuric 300 mg 10 Tablet</t>
  </si>
  <si>
    <t>Rp41.500 - Rp45.600</t>
  </si>
  <si>
    <t>benoxuric</t>
  </si>
  <si>
    <t>benoxuric tablet allopurinol hiperurisemia primer gout  hiperurisemia sekunder mencegah pengendapan asam urat kalsium oksalat  produksi asam urat disebakan polisitemia vera terapi sitostatik</t>
  </si>
  <si>
    <t>DKL9417610310A1</t>
  </si>
  <si>
    <t>Isoric 300 mg 10 Tablet</t>
  </si>
  <si>
    <t>Rp42.100 - Rp68.200</t>
  </si>
  <si>
    <t>QD183616551</t>
  </si>
  <si>
    <t>Minyak Tawon FF 90 ml</t>
  </si>
  <si>
    <t>Rp65.000 - Rp81.300</t>
  </si>
  <si>
    <t>Oleskan pada bagian yang luka/sakit, biarkan meresep sampai kedalam kulit</t>
  </si>
  <si>
    <t>Membantu meredakan nyeri sendi, gatal akibat serangga, sakit perut, batuk, muntah, sakit gigi, bisul, dan sakit kepala</t>
  </si>
  <si>
    <t>Botol @ 90 ml</t>
  </si>
  <si>
    <t>Hanya untuk pemakaian luar. Jauhkan dari jangkauan anak-anak.</t>
  </si>
  <si>
    <t>achyrantes bidentata radix</t>
  </si>
  <si>
    <t>membantu meredakan nyeri sendi , gatal akibat serangga , sakit perut , batuk , muntah , sakit gigi , bisul , sakit kepala</t>
  </si>
  <si>
    <t>tawon ff</t>
  </si>
  <si>
    <t>tawon ff minyak achyrantes bidentata radix membantu meredakan nyeri sendi  gatal akibat serangga  sakit perut  batuk  muntah  sakit gigi  bisul  sakit kepala</t>
  </si>
  <si>
    <t>Minyak Tawon EE 60 ml</t>
  </si>
  <si>
    <t>Rp44.600 - Rp60.800</t>
  </si>
  <si>
    <t>tawon ee</t>
  </si>
  <si>
    <t>tawon ee minyak achyrantes bidentata radix membantu meredakan nyeri sendi  gatal akibat serangga  sakit perut  batuk  muntah  sakit gigi  bisul  sakit kepala</t>
  </si>
  <si>
    <t>amoxicillin trihydrate potassium clavulanate with silicon dioxide</t>
  </si>
  <si>
    <t>clabat sirup amoxicillin trihydrate potassium clavulanate with silicon dioxide infeksi sal nafas  isk  infeksi kulit jar lunak  tulang sendi  go tidak terkomplikasi</t>
  </si>
  <si>
    <t>brochifar kaplet paracetamol chlorphenamine maleate phenylpropanolamine hydrochloride dextromethorphan hydrobromide untuk meredakan gejala flu demam  sakit kepala  hidung tersumbat  bersin  bersin disertai batuk</t>
  </si>
  <si>
    <t>DKL0509207004B1</t>
  </si>
  <si>
    <t>Alofar 300 mg 10 Kaplet</t>
  </si>
  <si>
    <t>Rp12.100 - Rp17.000</t>
  </si>
  <si>
    <t>alofar kaplet allopurinol hiperurisemia primer gout  hiperurisemia sekunder mencegah pengendapan asam urat kalsium oksalat  produksi asam urat disebakan polisitemia vera terapi sitostatik</t>
  </si>
  <si>
    <t>Egoji Sirup Rasa Apel Berry 50 ml</t>
  </si>
  <si>
    <t>Rp28.600 - Rp58.400</t>
  </si>
  <si>
    <t>egoji rasa apel berry</t>
  </si>
  <si>
    <t>egoji rasa apel berry sirup egoji rasa appleberry membantu meningkatkan daya tahan tubuh  membantu mempercepat penyembuhan penyakit  mencegah tidak mudah terserang penyakit</t>
  </si>
  <si>
    <t>Polident 3 Minute Daily Cleanser 6 Tablet</t>
  </si>
  <si>
    <t>1. Taruh 1 tablet ke dalam 1 gelas air hangat yang bisa menjangkau seluruh permukaan gigi palsu dan tunggu sampai obat larut dalam air. 2. Rendam gigi palsu dalam cairan pembersih gigi palsu selama 3-10 menit. 3. Untuk hasil maksimal, dapat dibantu dengan menyikat lembut dan gosok gigi secara perlahan. 4. Bilas gigi palsu di air keran yang mengalir selama beberapa menit. 5. Gigi palsu siap digunakan kembali.</t>
  </si>
  <si>
    <t>Pembersih gigi palsu yang bekerja secara cepat untuk membersihkan gigi palsu dengan proses merendam dalam air pembersih gigi palsu untuk pemakaian sehari hari.</t>
  </si>
  <si>
    <t>Box, 6 Pack @ 6 Tablet</t>
  </si>
  <si>
    <t>Jauhkan dari jangkauan anak anak. Jangan ditaruh di dalam mulut, menggunakan air pembersih gigi palsu sebagai obat kumur, dan menyentuh mulut/mata setelah menyentuh tablet cleanser karena dapat menimbulkan iritasi. Jika terkena mata, segera bilas dengan air bersih.</t>
  </si>
  <si>
    <t>pembersih gigi palsu cepat membersihkan gigi palsu prose merendam air pembersih gigi palsu pemakaian sehari</t>
  </si>
  <si>
    <t>polident minute daily cleanser tablet tizanidine hydrochloride pembersih gigi palsu cepat membersihkan gigi palsu prose merendam air pembersih gigi palsu pemakaian sehari</t>
  </si>
  <si>
    <t>Selection Facial Cotton Special Lapis Tebal 60 g</t>
  </si>
  <si>
    <t>Rp9.000 - Rp15.400</t>
  </si>
  <si>
    <t>Kapas dijepit dengan jari manis, tengah dan telunjuk, Tekstur kapas pada posisi horisontal. Kapas sebaiknya TIDAK dibelah karena akan meninggalkan serat kapas pada wajah. Kapas sebaiknya di simpan di tempat yang kering dan tidak berdebu.</t>
  </si>
  <si>
    <t>Pack @ 60 gram</t>
  </si>
  <si>
    <t>selection facial cotton special lapis tebal</t>
  </si>
  <si>
    <t>selection facial cotton special lapis tebal tablet tizanidine hydrochloride untuk perawatan membersihkan kotoran wajah  meratakan air pembersih cleansing milk  puff  kulit bayi</t>
  </si>
  <si>
    <t>Selection Facial Cotton Special Lapis Tipis 60 g</t>
  </si>
  <si>
    <t>Kapas di jepit dengan jari manis, tengah dan telunjuk. Tekstur kapas pada posisi horisontal. Kapas sebaiknya TIDAK dibelah karena akan meninggalkan serat kapas pada wajah. Kapas sebaiknya di simpan di tempat yang kering dan tidak berdebu.</t>
  </si>
  <si>
    <t>selection facial cotton special lapis tipis</t>
  </si>
  <si>
    <t>selection facial cotton special lapis tipis tablet tizanidine hydrochloride untuk perawatan membersihkan kotoran wajah  meratakan air pembersih cleansing milk  puff  kulit bayi</t>
  </si>
  <si>
    <t>DKL0604425710A1</t>
  </si>
  <si>
    <t>Alodan 100 mg 10 Tablet</t>
  </si>
  <si>
    <t>Rp2.700 - Rp5.800</t>
  </si>
  <si>
    <t>alodan</t>
  </si>
  <si>
    <t>alodan tablet allopurinol hiperurisemia primer gout  hiperurisemia sekunder mencegah pengendapan asam urat kalsium oksalat  produksi asam urat disebakan polisitemia vera terapi sitostatik</t>
  </si>
  <si>
    <t>Nourish Beauty Care Acne Plast Pink</t>
  </si>
  <si>
    <t>Rp16.200 - Rp21.500</t>
  </si>
  <si>
    <t>Digunakan dan ditempelkan pada kulit yang berjerawat.</t>
  </si>
  <si>
    <t>Membantu menyamarkan dan mengatasi jerawat, meminimalkan timbulnya luka akibat jerawat dan melindungi jerawat dari debu dan kotoran.</t>
  </si>
  <si>
    <t>Sachet @ 12 Patchers</t>
  </si>
  <si>
    <t>membantu menyamarkan mengatasi jerawat , meminimalkan timbulnya luka akibat jerawat melindungi jerawat debu kotoran</t>
  </si>
  <si>
    <t>nourish beauty care acne plast pink</t>
  </si>
  <si>
    <t>nourish beauty care acne plast pink tablet tizanidine hydrochloride membantu menyamarkan mengatasi jerawat  meminimalkan timbulnya luka akibat jerawat melindungi jerawat debu kotoran</t>
  </si>
  <si>
    <t>DKL0908515510B1</t>
  </si>
  <si>
    <t>Alluric 300 mg 10 Tablet</t>
  </si>
  <si>
    <t>alluric</t>
  </si>
  <si>
    <t>alluric tablet allopurinol hiperurisemia primer gout  hiperurisemia sekunder mencegah pengendapan asam urat kalsium oksalat  produksi asam urat disebakan polisitemia vera terapi sitostatik</t>
  </si>
  <si>
    <t>Cap Lang Minyak Telon 60 ml</t>
  </si>
  <si>
    <t>Rp13.200 - Rp39.500</t>
  </si>
  <si>
    <t>Dapat digunakan setiap hari, terutama sehabis mandi dan bila udara dingin</t>
  </si>
  <si>
    <t>Menjaga kehangatan tubuh bayi, membantu meredakan perut kembung, masuk angin, dan mencegah gigitan nyamuk serta digunakan sebagai minyak pijat untuk bayi.</t>
  </si>
  <si>
    <t>menjaga kehangatan tubuh bayi , membantu meredakan perut kembung , masuk angin , mencegah gigitan nyamuk minyak pijat bayi</t>
  </si>
  <si>
    <t>cap lang telon minyak telon lang menjaga kehangatan tubuh bayi  membantu meredakan perut kembung  masuk angin  mencegah gigitan nyamuk minyak pijat bayi</t>
  </si>
  <si>
    <t>DKL0530907210A1</t>
  </si>
  <si>
    <t>Pritanol 100 mg 10 Tablet</t>
  </si>
  <si>
    <t>Rp5.600 - Rp5.700</t>
  </si>
  <si>
    <t>Awal 100-300 mg sehari. Pemeliharaan: 200-600 mg sehari. Kondisi ringan: 100-200 mg sehari. Kondisi sedang: 300-600 mg sehari. Kondisi berat: 700-900 mg sehari.</t>
  </si>
  <si>
    <t>Hiperurisemia primer : gout. Hiperurisemia sekunder : mencegah pengendapan asam urat dan kalsium oksalat. Produksi berlebihan asam urat antara lain pada keganasan, polisitemia vera, terapi sitostatik.</t>
  </si>
  <si>
    <t>Tablet 100 Mg X 5 X 10'S.</t>
  </si>
  <si>
    <t>Serangan gout akut.</t>
  </si>
  <si>
    <t>Obat Wajib Apotek, Obat ini dapat dibeli dan diserahkan apoteker tanpa resep dengan maksimum 1 Strip. Pembelian melebihi batas ini WAJIB RESEP DOKTER. Ruam kulit ( hentikan ), disfungsi ginjal &amp; hati, hiperurisemia asymptomatic. Tes fungsi hati harus dilaksanakan pada kejadian rasa gatal, anoreksia &amp; kekurangan berat. Kehamilan dan menyusui. Dapat merusak kemampuan mengendarai atau mengoperasikan mesin.</t>
  </si>
  <si>
    <t>hiperurisemia primer gout  hiperurisemia sekunder mencegah pengendapan asam urat kalsium oksalat  produksi asam urat keganasan , polisitemia vera , terapi sitostatik</t>
  </si>
  <si>
    <t>pritanol</t>
  </si>
  <si>
    <t>pritanol tablet allopurinol hiperurisemia primer gout  hiperurisemia sekunder mencegah pengendapan asam urat kalsium oksalat  produksi asam urat keganasan  polisitemia vera  terapi sitostatik</t>
  </si>
  <si>
    <t>DKL8916104510A1</t>
  </si>
  <si>
    <t>Tylonic 300 mg 10 Tablet</t>
  </si>
  <si>
    <t>Rp43.300 - Rp51.200</t>
  </si>
  <si>
    <t>tylonic</t>
  </si>
  <si>
    <t>tylonic tablet allopurinol hiperurisemia primer gout  hiperurisemia sekunder mencegah pengendapan asam urat kalsium oksalat  produksi asam urat disebakan polisitemia vera terapi sitostatik</t>
  </si>
  <si>
    <t>DKL9202316410A1</t>
  </si>
  <si>
    <t>Benoxuric 100 mg 10 Tablet</t>
  </si>
  <si>
    <t>Rp25.100 - Rp28.500</t>
  </si>
  <si>
    <t>DKL1118825138A1</t>
  </si>
  <si>
    <t>Clamixin Dry Syrup Sirup 60 ml</t>
  </si>
  <si>
    <t>Rp70.600 - Rp106.700</t>
  </si>
  <si>
    <t>Infeksi saluran napas atas dan bawah, infeksi saluran kemih, infeksi kulit dan jaringan lunak, infeksi tulang dan sendi, dan infeksi lain misalnya aborsi septik, sepsis intra abdominal</t>
  </si>
  <si>
    <t>infeksi saluran napa , infeksi saluran kemih , infeksi kulit jaringan lunak , infeksi tulang sendi , infeksi aborsi septik , sepsis intra abdominal</t>
  </si>
  <si>
    <t>clamixin</t>
  </si>
  <si>
    <t>clamixin sirup amoxicillin infeksi saluran napa  infeksi saluran kemih  infeksi kulit jaringan lunak  infeksi tulang sendi  infeksi aborsi septik  sepsis intra abdominal</t>
  </si>
  <si>
    <t>cotrimoxazole forte kaplet sulfamethoxazole trimethoprim infeksi saluran nafas  gl  saluran kemih kelamin  kulit septikemia keracu darh bakteri patogenik zat  zat dihasilkan bakteri</t>
  </si>
  <si>
    <t>FF152300671</t>
  </si>
  <si>
    <t>Stimuno Forte 30 Kapsul</t>
  </si>
  <si>
    <t>Rp75.900 - Rp112.900</t>
  </si>
  <si>
    <t>Dewasa (&gt;12 tahun) : 3 kali 1 kapsul sehari. Dikonsumsi usia diatas 12 tahun</t>
  </si>
  <si>
    <t>Immunomodulator untuk membantu memperbaiki sistem imun dengan membantu merangsang tubuh memproduksi lebih banyak antibodi dan membantu mengaktifkan sistem kekebalan tubuh agar daya tahan tubuh bekerja optimal</t>
  </si>
  <si>
    <t>Pasien dengan kondisi sitem imun yang hiperreaktif, misalnya pada pasien dengan riwayat penyakit autoimun atau hipersensitivitas</t>
  </si>
  <si>
    <t>Data keamanan penggunaan pada wanita hamil dan menyusui belum tersedia, obat hanya diberikan apabila keuntungan yang didapat melebihi resiko yang dapat terjadi pada janin.</t>
  </si>
  <si>
    <t>immunomodulator membantu memperbaiki sistem imun membantu merangsang tubuh memproduksi antibodi membantu mengaktifkan sistem kekebalan tubuh daya tahan tubuh optimal</t>
  </si>
  <si>
    <t>stimuno forte kapsul immunomodulator membantu memperbaiki sistem imun membantu merangsang tubuh memproduksi antibodi membantu mengaktifkan sistem kekebalan tubuh daya tahan tubuh optimal</t>
  </si>
  <si>
    <t>DKL9216905510A1</t>
  </si>
  <si>
    <t>Omeric 100 mg 10 Tablet</t>
  </si>
  <si>
    <t>Rp4.500 - Rp10.100</t>
  </si>
  <si>
    <t>DKL1030910604A1</t>
  </si>
  <si>
    <t>Pritanol 300 mg 10 Tablet</t>
  </si>
  <si>
    <t>Rp4.400 - Rp12.800</t>
  </si>
  <si>
    <t>Ruam kulit ( hentikan ), disfungsi ginjal &amp; hati, hiperurisemia asymptomatic. Tes fungsi hati harus dilaksanakan pada kejadian rasa gatal, anoreksia &amp; kekurangan berat. Kehamilan dan menyusui. Dapat merusak kemampuan mengendarai atau mengoperasikan mesin.</t>
  </si>
  <si>
    <t>pritanol kaplet allopurinol hiperurisemia primer gout  hiperurisemia sekunder mencegah pengendapan asam urat kalsium oksalat  produksi asam urat keganasan  polisitemia vera  terapi sitostatik</t>
  </si>
  <si>
    <t>DKL0908515510A1</t>
  </si>
  <si>
    <t>Alluric 100 mg 10 Tablet</t>
  </si>
  <si>
    <t>QD172715921</t>
  </si>
  <si>
    <t>Tresno Joyo Balsem Baljitot 20 g</t>
  </si>
  <si>
    <t>Rp5.500 - Rp14.300</t>
  </si>
  <si>
    <t>Oleskan secukupnya pada bagian tubuh terasa pegal</t>
  </si>
  <si>
    <t>Membantu mengatasi pegal linu, nyeri otot, nyeri sendi, sakit punggung, encok, keseleo, memar dan memperlancar peredaran darah.</t>
  </si>
  <si>
    <t>Dus, Pot @ 20 g</t>
  </si>
  <si>
    <t>membantu mengatasi pegal linu , nyeri otot , nyeri sendi , sakit punggung , encok , keseleo , memar memperlancar peredaran darah</t>
  </si>
  <si>
    <t>tresno joyo balsem baljitot</t>
  </si>
  <si>
    <t>tresno joyo balsem baljitot balsam camphora membantu mengatasi pegal linu  nyeri otot  nyeri sendi  sakit punggung  encok  keseleo  memar memperlancar peredaran darah</t>
  </si>
  <si>
    <t>DKL8714802101A1</t>
  </si>
  <si>
    <t>Bidicef 500 mg 6 Kaplet</t>
  </si>
  <si>
    <t>Rp31.800 - Rp32.500</t>
  </si>
  <si>
    <t>PENGGUNAAN OBAT INI HARUS SESUAI DENGAN PETUNJUK DOKTER. Dewasa : 1-2 gram sehari sebagai dosis tunggal atau dalam 2 dosis terbagi. Anak-anak : 30 mg/kg berat badan/hari dalam 2 dosis terbagi yang diberikan tiap 12 jam. Untuk infeksi berat mungkin dibutuhkan dosis yang lebih tinggi.</t>
  </si>
  <si>
    <t>Infeksi saluran nafas, kulit &amp; jaringan lunak, saluran kemih dan kelamin, &amp; infeksi lain yang disebabkan mikroorganisme Gram positif &amp; Gram negatif termasuk organisme yang memproduksi penisillinase.</t>
  </si>
  <si>
    <t>1 Dos isi 10 Strip x 6 Tablet</t>
  </si>
  <si>
    <t>Hipersensitivitas terhadap Sefalosporin.</t>
  </si>
  <si>
    <t>HARUS DENGAN RESEP DOKTER. Hipersensitif terhadap penisilin. ibu hamil dan menyusui. riwayat penyakit saluran cerna seperti kolitis. gangguan fungsi ginjal</t>
  </si>
  <si>
    <t>infeksi saluran nafas , kulit jaringan lunak , saluran kemih kelamin , infeksi disebabkan mikroorganisme gram positif gram negatif organisme memproduksi penisillinase</t>
  </si>
  <si>
    <t>bidicef kapsul cefadroxil infeksi saluran nafas  kulit jaringan lunak  saluran kemih kelamin  infeksi disebabkan mikroorganisme gram positif gram negatif organisme memproduksi penisillinase</t>
  </si>
  <si>
    <t>TR142677611</t>
  </si>
  <si>
    <t>Cap Lang Minyak Kayu Putih Ambonia 100 ml</t>
  </si>
  <si>
    <t>AMBONIA CAJUPUT OIL</t>
  </si>
  <si>
    <t>Rp30.000 - Rp39.500</t>
  </si>
  <si>
    <t>Dioleskan pada bagian tubuh yang diinginkan, dapat diulangi seperlunya</t>
  </si>
  <si>
    <t>Membantu meringankan sakit perut, perut kembung, rasa mual, dan gatal-gatal akibat gigitan serangga / nyamuk</t>
  </si>
  <si>
    <t>ambonia cajuput oil</t>
  </si>
  <si>
    <t>membantu meringankan sakit perut , perut kembung , mual , gatal - gatal akibat gigitan serangga nyamuk</t>
  </si>
  <si>
    <t>cap lang kayu putih ambonia</t>
  </si>
  <si>
    <t>cap lang kayu putih ambonia minyak ambonia cajuput oil membantu meringankan sakit perut  perut kembung  mual  gatal  gatal akibat gigitan serangga nyamuk</t>
  </si>
  <si>
    <t>DKL0604425710B1</t>
  </si>
  <si>
    <t>Alodan 300 mg 10 Tablet</t>
  </si>
  <si>
    <t>Rp4.700 - Rp10.000</t>
  </si>
  <si>
    <t>DKL0331108410A1</t>
  </si>
  <si>
    <t>Linogra 100 mg 10 Tablet</t>
  </si>
  <si>
    <t>Rp3.300 - Rp5.100</t>
  </si>
  <si>
    <t>linogra</t>
  </si>
  <si>
    <t>linogra tablet allopurinol hiperurisemia primer gout  hiperurisemia sekunder mencegah pengendapan asam urat kalsium oksalat  produksi asam urat disebakan polisitemia vera terapi sitostatik</t>
  </si>
  <si>
    <t>DKL0609216133A1</t>
  </si>
  <si>
    <t>Farizol Sirup 60 ml</t>
  </si>
  <si>
    <t>Rp16.600 - Rp17.000</t>
  </si>
  <si>
    <t>PENGGUNAAN OBAT INI HARUS SESUAI DENGAN PETUNJUK DOKTER. Dewasa: susp. Diminum 1 jam sebelum makan. Amubiasis: dewasa</t>
  </si>
  <si>
    <t>Cap Lang Minyak Telon 30 ml</t>
  </si>
  <si>
    <t>Rp10.200 - Rp23.800</t>
  </si>
  <si>
    <t>Voltaren Emulgel 50 g</t>
  </si>
  <si>
    <t>Rp229.700 - Rp259.600</t>
  </si>
  <si>
    <t>DBL9615806416A1</t>
  </si>
  <si>
    <t>Neurobion Forte 10 Tablet</t>
  </si>
  <si>
    <t>Rp47.400 - Rp55.300</t>
  </si>
  <si>
    <t>Berikan pada saat makan atau sesudah makan. Telan utuh jangan dikunyah/dihancurkan.</t>
  </si>
  <si>
    <t>Dewasa: 1 tablet, 1 kali per hari atau sesuai dengan anjuran dokter.</t>
  </si>
  <si>
    <t>Obat ini digunakan untuk defisiensi Vitamin B1, B6, dan B12 pada keadaan kekurangan asupan, gangguan penyerapan, meningkatnya kehilangan di ginjal maupun meningkatnya kebutuhan seperti pada penderita diabetes dan usia lanjut.</t>
  </si>
  <si>
    <t>Dus, 5 Blister @ 10 tablet Salut Gula</t>
  </si>
  <si>
    <t>Diabetes melitus, Ulkus peptikum, Infark miokard, Aritmia jantung, Gastritis</t>
  </si>
  <si>
    <t>Wanita hamil dan menyusui, gangguan ginjal dan hati.</t>
  </si>
  <si>
    <t>obat defisiensi vitamin b1 , b6 , b12 kekurangan asupan , gangguan penyerapan , meningkatnya kehilangan ginjal meningkatnya kebutuhan penderita diabetes usia</t>
  </si>
  <si>
    <t>neurobion forte</t>
  </si>
  <si>
    <t>neurobion forte tablet cyanocobalamin obat defisiensi vitamin b1  b6  b12 kekurangan asupan  gangguan penyerapan  meningkatnya kehilangan ginjal meningkatnya kebutuhan penderita diabetes usia</t>
  </si>
  <si>
    <t>TR122662321</t>
  </si>
  <si>
    <t>Bokashi Minyak Oles 140 ml</t>
  </si>
  <si>
    <t>MINYAK OLES BOKASHI</t>
  </si>
  <si>
    <t>Rp156.500 - Rp191.800</t>
  </si>
  <si>
    <t>Membantu meringankan bisul, gatal dan bengak akibat gigitan serangga. Serta dapat digunakan sebagai campuran mandi untuk membantu mengurangi bau tidak enak</t>
  </si>
  <si>
    <t>Dus, Botol @ 140 ml</t>
  </si>
  <si>
    <t>minyak oles bokashi</t>
  </si>
  <si>
    <t>membantu meringankan bisul , gatal bengak akibat gigitan serangga  serta campuran mandi membantu mengurangi bau tidak enak</t>
  </si>
  <si>
    <t>bokashi oles</t>
  </si>
  <si>
    <t>bokashi oles minyak minyak oles bokashi membantu meringankan bisul  gatal bengak akibat gigitan serangga  serta campuran mandi membantu mengurangi bau tidak enak</t>
  </si>
  <si>
    <t>DKL9221005704B1</t>
  </si>
  <si>
    <t>Xanturic 300 mg 10 Kaplet</t>
  </si>
  <si>
    <t>Rp35.700 - Rp36.200</t>
  </si>
  <si>
    <t>xanturic</t>
  </si>
  <si>
    <t>xanturic kaplet allopurinol hiperurisemia primer gout  hiperurisemia sekunder mencegah pengendapan asam urat kalsium oksalat  produksi asam urat disebakan polisitemia vera terapi sitostatik</t>
  </si>
  <si>
    <t>DKL9317608001B1</t>
  </si>
  <si>
    <t>Clinium 150 mg 10 Kapsul</t>
  </si>
  <si>
    <t>Rp73.000 - Rp76.800</t>
  </si>
  <si>
    <t>PENGGUNAAN OBAT INI HARUS SESUAI DENGAN PETUNJUK DOKTER. Dewasa, infeksi ringan-sedang: 150-300 mg 4 x sehari, infeksi berat: 300-450 mg 4 x sehari. Anak, infeksi ringan-sedang: 8-16 mg/kgBB/hari terbagi dalam 3-4 dosis, anak infeksi berat 16-20 mg/kgBB/hari dalam 3- 4 dosis.</t>
  </si>
  <si>
    <t>Infeksi serius yang disebabkan oleh mikro organisme yang sensitif terhadap Klindamisin seperti Saluran Nafas Atas, Kullit &amp; jaringan, inteksi Tulang, infeksi yang disebabkan bakteri anaerob</t>
  </si>
  <si>
    <t>infeksi serius disebabkan mikro organisme sensitif klindamisin saluran nafas atas , kullit jaringan , inteksi tulang , infeksi disebabkan bakteri anaerob</t>
  </si>
  <si>
    <t>clinium kapsul clindamycin hydrochloride infeksi serius disebabkan mikro organisme sensitif klindamisin saluran nafas atas  kullit jaringan  inteksi tulang  infeksi disebabkan bakteri anaerob</t>
  </si>
  <si>
    <t>synalten cream gr krim fluocinolone acetonide gentamicin sulfate meredakan inflamasi  dermatosis responsif kortikosteroid mengalami komplikasi infeksi sekunder disebabkan organisme sensitif tehadap gentamisin</t>
  </si>
  <si>
    <t>DKL1700205510A1</t>
  </si>
  <si>
    <t>Reucid 100 mg 10 Tablet</t>
  </si>
  <si>
    <t>Rp11.800 - Rp20.900</t>
  </si>
  <si>
    <t>reucid</t>
  </si>
  <si>
    <t>reucid tablet allopurinol hiperurisemia primer gout  hiperurisemia sekunder mencegah pengendapan asam urat kalsium oksalat  produksi asam urat disebakan polisitemia vera terapi sitostatik</t>
  </si>
  <si>
    <t>DKL9221005704A1</t>
  </si>
  <si>
    <t>Xanturic 100 mg 10 Kaplet</t>
  </si>
  <si>
    <t>Rp5.500 - Rp18.700</t>
  </si>
  <si>
    <t>"INFORMASI OBAT INI HANYA UNTUK KALANGAN MEDIS. Hiperurisemia primer: gout. Hiperurisemia sekunder: mencegah pengendapan asam urat dan kalsium oksalat. Produksi asam urat yang berlebihan antara lain disebakan karena polisitemia vera dan terapi sitostatik."</t>
  </si>
  <si>
    <t>DKL9216104510B1</t>
  </si>
  <si>
    <t>Tylonic 100 mg 10 Tablet</t>
  </si>
  <si>
    <t>Rp18.700 - Rp25.600</t>
  </si>
  <si>
    <t>DKL1700205404A1</t>
  </si>
  <si>
    <t>Reucid 300 mg 6 Kaplet</t>
  </si>
  <si>
    <t>Rp19.900 - Rp20.900</t>
  </si>
  <si>
    <t>Dus, 5 Strip @ 6 Kaptab</t>
  </si>
  <si>
    <t>reucid kaplet allopurinol hiperurisemia primer gout  hiperurisemia sekunder mencegah pengendapan asam urat kalsium oksalat  produksi asam urat disebakan polisitemia vera terapi sitostatik</t>
  </si>
  <si>
    <t>DKL1714400529A1</t>
  </si>
  <si>
    <t>Meccaderma Krim 5 g</t>
  </si>
  <si>
    <t>PENGGUNAAN OBAT INI HARUS SESUAI DENGAN PETUNJUK DOKTER. Dioleskan 1-2 kali sehari pada kulit yang terinfeksi dan daerah sekitarnya secara tipis dengan gosokan lembut, sebelumnya daerah yang terinfeksi dicuci dan dikeringkan dengan hati-hati. Lama pengobatan : Tinea corporis/cruris dan kandidiasis pada kulit : 1-2 minggu, tinea pedis : 2-4 minggu dan pitiriasis versicolor.</t>
  </si>
  <si>
    <t>Untuk pengobatan infeksi jamur kulit seperti: Tinea Pedis (Kutu Air), Tinea Cruris (Gatal Jamur Selangkangan), Tinea Corporis (Kurap), Panu, dan Candidiasis.</t>
  </si>
  <si>
    <t>HARUS DENGAN RESEP DOKTER. - Kategori Kehamilan : B</t>
  </si>
  <si>
    <t>untuk pengobatan infeksi jamur kulit tinea pedis kutu air , tinea cruris gatal jamur selangkangan , tinea corporis kurap , panu , candidiasis</t>
  </si>
  <si>
    <t>meccaderma</t>
  </si>
  <si>
    <t>meccaderma krim terbinafine hydrochloride untuk pengobatan infeksi jamur kulit tinea pedis kutu air  tinea cruris gatal jamur selangkangan  tinea corporis kurap  panu  candidiasis</t>
  </si>
  <si>
    <t>DKL8722207501B1</t>
  </si>
  <si>
    <t>Pirofel 20 mg 10 Kapsul</t>
  </si>
  <si>
    <t>Rp22.700 - Rp27.400</t>
  </si>
  <si>
    <t>PENGGUNAAN OBAT INI HARUS SESUAI DENGAN PETUNJUK DOKTER. Artritis reumatoid, osteoartritis, ankylosing spondylitis : 10-20 mg sekali sehari. Kelainan muskuloskeletal akut : diawali dengan 40 mg sehari dalam dosis tunggal atau dosis terbagi selama 2 hari pertama, kemudian 20 mg sehari selama 7-14 hari berikutnya. Gout akut : diawali dengan 40 mg sebagai dosis tunggal, kemudian 40 mg sehari dalam dosis tunggal atau dosis terbagi pada 4-6 hari berikutnya. Nyeri sesudah operasi dan setelah traumatik : diawali dengan 20 mg sehari sebagai dosis tunggal. Dismenore : 40 sehari selama 2 hari pertama, kemudian 20 mg selama 1-3 hari berikutnya jika perlu.</t>
  </si>
  <si>
    <t>Artritis reumatoid, osteoartritis, ankylosing spondylitis, kelainan muskuloskeletal akut, gout akut, nyeri sesudah operasi dan setelah traumatik (terpukul, terbentur, teriris, dll), dismenore (nyeri saat haid).</t>
  </si>
  <si>
    <t>HARUS DENGAN RESEP DOKTER. Gangguan fungsi ginjal dan retensi cairan.</t>
  </si>
  <si>
    <t>artritis reumatoid , osteoartritis , ankylosing spondylitis , kelainan muskuloskeletal akut , gout akut , nyeri operasi traumatik terpukul , terbentur , teriris , dll , dismenore nyeri haid</t>
  </si>
  <si>
    <t>pirofel</t>
  </si>
  <si>
    <t>pirofel kapsul piroxicam artritis reumatoid  osteoartritis  ankylosing spondylitis  kelai muskuloskeletal akut  gout akut  nyeri operasi traumatik terpukul  terbentur  teriris  dll  dismenore nyeri haid</t>
  </si>
  <si>
    <t>DKI1701700417C1</t>
  </si>
  <si>
    <t>Uperio 100 mg 14 Tablet</t>
  </si>
  <si>
    <t>Rp313.500 - Rp390.400</t>
  </si>
  <si>
    <t>PENGGUNAAN OBAT INI HARUS SESUAI DENGAN PETUNJUK DOKTER. Dosis sesuai petunjuk dokter</t>
  </si>
  <si>
    <t>INFORMASI OBAT INI HANYA UNTUK KALANGAN MEDIS. Pengobatan CHF (NYHA kelas II-IV) pada orang dewasa dengan pengurangan fraksi injeksi untuk mengurangi resiko kematian dan perawatan di rumah sakit akibat gagal jantung.</t>
  </si>
  <si>
    <t>Tablet 100 Mg X 2 X 14</t>
  </si>
  <si>
    <t>Hipersensitif, pasien dengan diabetes, wanita hamil.</t>
  </si>
  <si>
    <t>sacubitril</t>
  </si>
  <si>
    <t>pengobatan chf nyha kelas ii - iv orang dewasa pengurangan fraksi injeksi mengurangi resiko kematian perawatan rumah sakit akibat gagal jantung</t>
  </si>
  <si>
    <t>uperio</t>
  </si>
  <si>
    <t>uperio tablet sacubitril pengobatan chf nyha kelas ii  iv orang dewasa pengurangan fraksi injeksi mengurangi resiko kematian perawatan rumah sakit akibat gagal jantung</t>
  </si>
  <si>
    <t>DKL8722207501A1</t>
  </si>
  <si>
    <t>Pirofel 10 mg 10 Kapsul</t>
  </si>
  <si>
    <t>Rp8.600 - Rp8.900</t>
  </si>
  <si>
    <t>PENGGUNAAN OBAT INI HARUS SESUAI DENGAN PETUNJUK DOKTER. - Artritis reumatoid, osteoartritis, ankylosing spondylitis : 10-20 mg sekali sehari. - Kelainan muskuloskeletal akut : diawali dengan 40 mg sehari dalam dosis tunggal atau dosis terbagi selama 2 hari pertama, kemudian 20 mg sehari selama 7-14 hari berikutnya. - Gout akut : diawali dengan 40 mg sebagai dosis tunggal, kemudian 40 mg sehari dalam dosis tunggal atau dosis terbagi pada 4-6 hari berikutnya. - Nyeri sesudah operasi dan setelah traumatik : diawali dengan 20 mg sehari sebagai dosis tunggal. - Dismenore : 40 sehari selama 2 hari pertama, kemudian 20 mg selama 1-3 hari berikutnya jika perlu.</t>
  </si>
  <si>
    <t>INFORMASI OBAT INI HANYA UNTUK KALANGAN MEDIS. Artritis reumatoid, osteoartritis, ankylosing spondylitis, kelainan muskuloskeletal akut, gout akut, nyeri sesudah operasi dan setelah traumatik (terpukul, terbentur, teriris, dll), dismenore (nyeri saat haid).</t>
  </si>
  <si>
    <t>Hipersensitivitas terhadap pirofel (piroxicam), aspirin atau NSAID lainnya. Tukak lambung aktif, perdarahan gastrointestinal, penyakit radang usus, riwayat reaksi alergi kulit yang serius (misalnya eritema multiforme, sindrom Stevens-Johnson, nekrolisis epidermal toksik), gagal jantung parah. Pirofel (piroxicam) tidak boleh digunakan untuk pengobatan nyeri perioperatif pada pasien yang menjalani operasi koroner artery bypass graft ( CABG ). Kehamilan (trimester ke-3).</t>
  </si>
  <si>
    <t>Obat Wajib Apotek, Obat ini dapat dibeli dan diserahkan apoteker tanpa resep dengan maksimum 1 Strip. Pembelian melebihi batas ini WAJIB RESEP DOKTER. Obat ini dapat menyebabkan pusing, mengantuk, kelelahan dan gangguan penglihatan, tidak boleh mengendarai kendaraan bermotor atau menjalankan mesin. Kategori kehamilan : Kategori C: Mungkin berisiko. (pada trimester 1 &amp; 2) Obat digunakan dengan hati-hati apabila besarnya manfaat yang diperoleh melebihi besarnya risiko terhadap janin. Penelitian pada hewan uji menunjukkan risiko terhadap janin dan belum terdapat penelitian langsung terhadap wanita hamil. Kategori D: Terbukti berisiko terhadap janin. (pada trimester 3) Meski demikian, obat masih dapat digunakan jika obat diperlukan untuk mengatasi keadaan yang mengancam jiwa, atau penyakit serius, dimana obat yang lebih aman tidak dapat digunakan atau tidak efektif.</t>
  </si>
  <si>
    <t>DKL1240801410A1</t>
  </si>
  <si>
    <t>Glimefion 2 mg 10 Tablet</t>
  </si>
  <si>
    <t>Rp40.300 - Rp56.900</t>
  </si>
  <si>
    <t>Segera sebelum makan utama pertama pada hari itu (setiap harinya) dan tidak boleh mengurangi jadwal makan.\</t>
  </si>
  <si>
    <t>glimefion</t>
  </si>
  <si>
    <t>glimefion tablet glimepiride diabetes melitus tipe 2 non  insulin  dependent type ii diabetes melitus niddm dimana kadar glukosa darah tidak dikontrol diet olahraga</t>
  </si>
  <si>
    <t>Uperio 200 mg 7 Tablet</t>
  </si>
  <si>
    <t>Rp208.900 - Rp229.800</t>
  </si>
  <si>
    <t>Pengobatan CHF (NYHA kelas II-IV) pada orang dewasa dengan pengurangan fraksi injeksi untuk mengurangi resiko kematian &amp; perawatan di rumah sakit akibat gagal jantung.</t>
  </si>
  <si>
    <t>Tablet 200 Mg X 4 X 7</t>
  </si>
  <si>
    <t>DKL0908515810A1</t>
  </si>
  <si>
    <t>Glimetic 2 mg 10 Tablet</t>
  </si>
  <si>
    <t>Rp20.400 - Rp34.000</t>
  </si>
  <si>
    <t>Segera sebelum makan utama pertama pada hari itu (setiap harinya) dan tidak boleh mengurangi jadwal makan.</t>
  </si>
  <si>
    <t>glimetic</t>
  </si>
  <si>
    <t>glimetic tablet glimepiride diabetes melitus tipe 2 non  insulin  dependent type ii diabetes melitus niddm dimana kadar glukosa darah tidak dikontrol diet olahraga</t>
  </si>
  <si>
    <t>DKL7617622638A1</t>
  </si>
  <si>
    <t>Erythrin Dry Sirup 60 ml</t>
  </si>
  <si>
    <t>Rp63.500 - Rp81.200</t>
  </si>
  <si>
    <t>Infeksi saluran napas, infeksi kulit dan jaringan lunak, pneumonia, gonore, sifilis, difteri, intestinal amoebiasis, tetanus, dan peradangan lain akibat mikroorganisme yang peka</t>
  </si>
  <si>
    <t>HARUS DENGAN RESEP DOKTER. Kerusakan hati, miastenia gravis</t>
  </si>
  <si>
    <t>infeksi saluran napa , infeksi kulit jaringan lunak , pneumonia , gonore , sifilis , difteri , intestinal amoebiasis , tetanus , peradangan akibat mikroorganisme peka</t>
  </si>
  <si>
    <t>erythrin</t>
  </si>
  <si>
    <t>erythrin sirup erythromycin ethyl succinate infeksi saluran napa  infeksi kulit jaringan lunak  pneumonia  gonore  sifilis  difteri  intestinal amoebiasis  tetanus  peradangan akibat mikroorganisme peka</t>
  </si>
  <si>
    <t>chlorphenamine maleate guaifenesin paracetamol dextromethorphan hydrobromide</t>
  </si>
  <si>
    <t>omecough madu sirup chlorphenamine maleate guaifenesin paracetamol dextromethorphan hydrobromide menyembuhkan batuk berdahak  batuk panas  batuk pilek  demam  influenza disebabkan perubahan hawa musim alergi</t>
  </si>
  <si>
    <t>Symbicort 160 mcg/4.5 mcg Turbuhaler 120 Dosis</t>
  </si>
  <si>
    <t>Rp357.000 - Rp685.000</t>
  </si>
  <si>
    <t>PENGGUNAAN OBAT INI HARUS SESUAI DENGAN PETUNJUK DOKTER. ASMA - terapi pereda &amp; pemeliharaan : Dewasa dan remaja &gt;= 12 tahun : Dosis tergantung pada keparahan penyakit, 2 inhalasi perhari. Dosis pemeliharaan : 2 x sehari 2 inhalasi. Terapi pemeliharaan : Dewasa dan remaja &gt;</t>
  </si>
  <si>
    <t>Terapi reguler untuk Asma dimana kombinasi inhalasi Kortikosteroid &amp; agonis-Beta2 'long acting' adalah sesuai. Terapi PPOK berat dan riwayat exaserbasi berulang</t>
  </si>
  <si>
    <t>Dus, 1 Turbuhaler @ 120 dosis</t>
  </si>
  <si>
    <t>HARUS DENGAN RESEP DOKTER. Tirotoksikosis, feokromositoma, DM, hipokalemia yang tidak diterapi, kardiomiopati obstruktif hipertrofi, stenosis aorta subvalvular idiopatik, hipertensi berat, aneurisma atau gangguan KV berat lain. Pasien dengan perpanjangan interval QT. Asma akut bera</t>
  </si>
  <si>
    <t>terapi reguler asma dimana kombinasi inhalasi kortikosteroid agonis - beta2 long acting sesuai  terapi ppok berat riwayat exaserbasi berulang</t>
  </si>
  <si>
    <t>symbicort turbuhaler dosis powder budesonide terapi reguler asma dimana kombinasi inhalasi kortikosteroid agonis  beta2 long acting sesuai  terapi ppok berat riwayat exaserbasi berulang</t>
  </si>
  <si>
    <t>paracetamol guaifenesin ephedrine hydrochloride chlorphenamine maleate</t>
  </si>
  <si>
    <t>pimtrakol cherry sirup paracetamol guaifenesin ephedrine hydrochloride chlorphenamine maleate untuk meringankan gejala gejala flu demam  sakit kepala  hidung tersumbat bersin  bersin disertai batuk</t>
  </si>
  <si>
    <t>DKL1021638529A1</t>
  </si>
  <si>
    <t>Mertus Cream 10 gr</t>
  </si>
  <si>
    <t>Rp56.900 - Rp72.900</t>
  </si>
  <si>
    <t>Oleskan pada daerah terinfeksi</t>
  </si>
  <si>
    <t>PENGGUNAAN OBAT INI HARUS SESUAI DENGAN PETUNJUK DOKTER. 3 x sehari</t>
  </si>
  <si>
    <t>INFORMASI OBAT INI HANYA UNTUK KALANGAN MEDIS. Infeksi kulit primer maupun sekunder seperti impetigo, pioderma, folikulitis, furunkulosis, abses, luka terinfeksi, trauma, luka paska operasi, luka bakar</t>
  </si>
  <si>
    <t>Hipersensitif terhadap kandungan obat</t>
  </si>
  <si>
    <t>HARUS DENGAN RESEP DOKTER. Hindari kontak dengan mata. tidak untuk penggunaan intranasal.</t>
  </si>
  <si>
    <t>infeksi kulit primer sekunder impetigo , pioderma , folikulitis , furunkulosis , abs , luka terinfeksi , trauma , luka paska operasi , luka bakar</t>
  </si>
  <si>
    <t>mertus cream gr</t>
  </si>
  <si>
    <t>mertus cream gr krim mupirocin calcium infeksi kulit primer sekunder impetigo  pioderma  folikulitis  furunkulosis  abs  luka terinfeksi  trauma  luka paska operasi  luka bakar</t>
  </si>
  <si>
    <t>TR122665311</t>
  </si>
  <si>
    <t>Larutan Cap Kaki Tiga Anak 200 ml</t>
  </si>
  <si>
    <t>LARUTAN CAP KAKI TIGA ANAK TAWAR.</t>
  </si>
  <si>
    <t>Anak-anak: 3 x sehari 1/2-1 kaleng Untuk selanjutnya 1 x sehari 1 kaleng</t>
  </si>
  <si>
    <t>larutan cap kaki tiga anak tawar</t>
  </si>
  <si>
    <t>cap kaki tiga anak</t>
  </si>
  <si>
    <t>cap kaki tiga anak larutan larutan cap kaki tiga anak tawar membantu meredakan panas disertai tenggorokan kering  sariawan  sakit tenggorokan membantu menyegarkan badan</t>
  </si>
  <si>
    <t>ferrous gluconate ascorbic acid folic acid cyanocobalamin copper (ii) sulfate pentahydrate manganese sulfate</t>
  </si>
  <si>
    <t>sangobion kapsul ferrous gluconate ascorbic acid folic acid cyanocobalamin copper ii sulfate pentahydrate manganese sulfate anemia kekurangan zat besi mineral membantu pembentukan darah</t>
  </si>
  <si>
    <t>ascorbic acid folic acid cyanocobalamin ferrous gluconate copper (ii) sulfate pentahydrate manganese sulfate</t>
  </si>
  <si>
    <t>sangobion kapsul ascorbic acid folic acid cyanocobalamin ferrous gluconate copper ii sulfate pentahydrate manganese sulfate anemia kekurangan zat besi mineral membantu pembentukan darah</t>
  </si>
  <si>
    <t>DKL0308508438A1</t>
  </si>
  <si>
    <t>Bintamox Dry Sirup 60 ml</t>
  </si>
  <si>
    <t>Rp8.900 - Rp12.900</t>
  </si>
  <si>
    <t>infeksi pernafasan, infeksi saluran pencernaan, infeksi saluran kemih yang disebabkan oleh bakteri Gram positif dan Gram negatif, infeksi kulit &amp; jaringan lunak, gonnorhea.</t>
  </si>
  <si>
    <t>HARUS DENGAN RESEP DOKTER. Pregnancy category B</t>
  </si>
  <si>
    <t>infeksi pernafasan , infeksi saluran pencernaan , infeksi saluran kemih disebabkan bakteri gram positif gram negatif , infeksi kulit jaringan lunak , gonnorhea</t>
  </si>
  <si>
    <t>bintamox sirup amoxicillin trihydrate infeksi pernafasan  infeksi saluran pencernaan  infeksi saluran kemih disebabkan bakteri gram positif gram negatif  infeksi kulit jaringan lunak  gonnorhea</t>
  </si>
  <si>
    <t>Doodle Minyak Telon Plus 100 ml</t>
  </si>
  <si>
    <t>Rp45.000 - Rp50.900</t>
  </si>
  <si>
    <t>Minyak telon yang dapat memberikan aroma wangi green tea yang menyegarkan, lembut, tidak menyengat di mata dan dapat menghindarkan bayi dari gigitan nyamuk.</t>
  </si>
  <si>
    <t>minyak telon aroma wangi green tea menyegarkan , lembut , tidak menyengat mata menghindarkan bayi gigitan nyamuk</t>
  </si>
  <si>
    <t>doodle telon plus</t>
  </si>
  <si>
    <t>doodle telon plus minyak doodle minyak telon plus minyak telon aroma wangi green tea menyegarkan  lembut  tidak menyengat mata menghindarkan bayi gigitan nyamuk</t>
  </si>
  <si>
    <t>DKL9509311330A1</t>
  </si>
  <si>
    <t>Ikaderm 0.05% Salep 10 g</t>
  </si>
  <si>
    <t>Rp31.400 - Rp46.300</t>
  </si>
  <si>
    <t>Salep dioleskan pada area kulit yang sakit</t>
  </si>
  <si>
    <t>PENGGUNAAN OBAT INI HARUS SESUAI DENGAN PETUNJUK DOKTER. Oleskan salep 1-2 x sehari</t>
  </si>
  <si>
    <t>Pengobatan jangka pendek Dermatosis yang resisten misalnya : Psoriasis, Ekzema yang resisten, Likhen Planus, Lupus Eritematosus diskoid &amp; kondisi2 lain yang tidak responsif memuaskan terhadap steroid yang kurang kuat.</t>
  </si>
  <si>
    <t>Infeksi kutaneus misalnya: impetigo, tinea korporis, herpes simpleks, akne vulgaris, rosasea. Neonatus</t>
  </si>
  <si>
    <t>HARUS DENGAN RESEP DOKTER. Hamil, laktasi, anak &lt;12 tahun</t>
  </si>
  <si>
    <t>pengobatan jangka pendek dermatosis resisten psoriasis , ekzema resisten , likhen planus , lupus eritematosus diskoid kondisi2 tidak responsif memuaskan steroid kuat</t>
  </si>
  <si>
    <t>ikaderm</t>
  </si>
  <si>
    <t>ikaderm salep clobetasol propionate pengobatan jangka pendek dermatosis resisten psoriasis  ekzema resisten  likhen planus  lupus eritematosus diskoid kondisi2 tidak responsif memuaskan steroid kuat</t>
  </si>
  <si>
    <t>DKL1811645301B1</t>
  </si>
  <si>
    <t>Remabrex 100 mg 10 Kapsul</t>
  </si>
  <si>
    <t>Rp86.800 - Rp86.900</t>
  </si>
  <si>
    <t>- Osteoarthritis: 200 mg per hari, bisa dosis tunggal atau 2 kali sehari 100 mg. - Rheumatoid Arthritis: 2 kali sehari 100 mg atau 2 kali sehari 200 mg. - Ankylosing Spondylitis: 2 kali sehari 100 mg atau 1 kali sehari 200 mg, dapat dinaikkan hingga 400 m</t>
  </si>
  <si>
    <t>Meredakan gejala dan tanda OA (Osteoarthritis), RA (Rheumatoid Arthritis), dan AS (Ankylosing Spondylititis), dan sebagai pengobatan jangka pendek nyeri akut pasca-bedah, atau cedera musculoskeletal.</t>
  </si>
  <si>
    <t>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</si>
  <si>
    <t>meredakan gejala tanda oa osteoarthritis , ra rheumatoid arthritis , as ankylosing spondylititis , pengobatan jangka pendek nyeri akut pasca - bedah , cedera musculoskeletal</t>
  </si>
  <si>
    <t>remabrex</t>
  </si>
  <si>
    <t>remabrex kapsul celecoxib meredakan gejala tanda oa osteoarthritis  ra rheumatoid arthritis  as ankylosing spondylititis  pengobatan jangka pendek nyeri akut pasca  bedah  cedera musculoskeletal</t>
  </si>
  <si>
    <t>folic acid cyanocobalamin ferrous gluconate ascorbic acid copper (ii) sulfate pentahydrate manganese sulfate</t>
  </si>
  <si>
    <t>sangobion kapsul folic acid cyanocobalamin ferrous gluconate ascorbic acid copper ii sulfate pentahydrate manganese sulfate anemia kekurangan zat besi mineral membantu pembentukan darah</t>
  </si>
  <si>
    <t>OBH Combi Batuk Plus Flu Jahe 60 ml</t>
  </si>
  <si>
    <t>Rp17.500 - Rp17.600</t>
  </si>
  <si>
    <t>Dewasa dan anak-anak di atas 12 tahun: 3 kali sehari 15 mL</t>
  </si>
  <si>
    <t>Penderita dengan gangguan jantung, diabetes mellitus, gangguan fungsi hati yang berat dan hipersensitif terhadap komponen obat.</t>
  </si>
  <si>
    <t>Dapat menyebabkan kantuk. Hati-hati penggunaannya pada penderita dengan gangguan fungsi hati dan ginjal, galukoma, hipertrofi prostat, hipertiroid dan retensi urin. Tidak dianjurkan pada anak usia di bawah 6 tahun, wanita hamil dan menyusui, kecuali atas petunjuk dokter. Hati-hati penggunan bersama dengan obat-obat lain yang meneka susunan saraf pusat. Selama minum obat ini tidak boleh mengendari kendaraan bermotor atau menjalankan mesin. Penggunaan pada penderita yang mengonsumsi alkohol dapat meningkatkan risiko kerusakan fungsi hati.</t>
  </si>
  <si>
    <t>untuk meredakan batuk disertai gejala - gejala flu demam , sakit kepala , hidung tersumbat bersin - bersin</t>
  </si>
  <si>
    <t>obh combi batuk plus flu jahe sirup ammonium chloride untuk meredakan batuk disertai gejala  gejala flu demam  sakit kepala  hidung tersumbat bersin  bersin</t>
  </si>
  <si>
    <t>DKL9809209129A1</t>
  </si>
  <si>
    <t>Synarcus 0.025% Cream 5 g</t>
  </si>
  <si>
    <t>Rp4.800 - Rp7.300</t>
  </si>
  <si>
    <t>PENGGUNAAN OBAT INI HARUS SESUAI DENGAN PETUNJUK DOKTER. Sehari 2-3 x, oleskan pada bagian yang sakit</t>
  </si>
  <si>
    <t>Peradangan lokal, pruritus, alergi pada kulit dan selaput lendir, neurodermatitis kontak, psoriasis diskoid lupus eritemmantosus, liken planus, intergo, otitis eksterna</t>
  </si>
  <si>
    <t>Cream 5 G X 1</t>
  </si>
  <si>
    <t>Infeksi kulit disebabkan tuberkulosis, jamur dn virus, infeksi primer disebabkan bakteri, rosacea, jerawat, perioral dermatitis, anogenital pruritus dan napkin eruption</t>
  </si>
  <si>
    <t>DTL1204520936A1</t>
  </si>
  <si>
    <t>Daryazinc Drops 15 ml</t>
  </si>
  <si>
    <t>Rp44.700 - Rp49.100</t>
  </si>
  <si>
    <t>Anak 6 bulan-5 tahun : 20 mg (2 ml)/hari selama 10 hari berturut-turut (meskipun diare sudah berhenti). Bayi 2-6 bulan : 10 mg (1 ml)/hari selama 10 hari berturut-turut (meskipun diare sudah berhenti).</t>
  </si>
  <si>
    <t>Sebagai terapi komplementer untuk cairan rehidrasi oral, untuk mengganti cairan tubuh yg hilang &amp; mencegah dehidrasi pada anak. Digunakan bersamaan dengan ORS/Oralit</t>
  </si>
  <si>
    <t>sebagai terapi komplementer cairan rehidrasi oral , mengganti cairan tubuh yg hilang mencegah dehidrasi anak  digunakan bersamaan ors oralit</t>
  </si>
  <si>
    <t>daryazinc tetes zinc sulfate monohydrate sebagai terapi komplementer cairan rehidrasi oral  mengganti cairan tubuh yg hilang mencegah dehidrasi anak  digunakan bersamaan ors oralit</t>
  </si>
  <si>
    <t>guaifenesin phenylpropanolamine hydrochloride chlorphenamine maleate paracetamol</t>
  </si>
  <si>
    <t>tera f kaplet guaifenesin phenylpropanolamine hydrochloride chlorphenamine maleate paracetamol untuk meringankan gejala flu seperi demam  sakit kepala  hidung tersumbat  bersin  bersin disertai batuk</t>
  </si>
  <si>
    <t>DTL8918805840A1</t>
  </si>
  <si>
    <t>Hexadol Gargle 120 ml</t>
  </si>
  <si>
    <t>Rp14.900 - Rp31.300</t>
  </si>
  <si>
    <t>Untuk luka oada laosan mukosa mulut dan tenggorokan: 15 ml dikumurkan selama 30 detik pada pagi dan malam hari, atau oleskan dengan kapas lidi pada luka.</t>
  </si>
  <si>
    <t>Kumur 15 ml selama 30 detik pagi dan malam</t>
  </si>
  <si>
    <t>Pengobatan infeksi ringan pada mulut dan tenggorokan seperti radang gusi, radang disekitar gigi, sariawan, radang selaput lendir mulut serta untuk mengatasi gejala radang tenggorokan</t>
  </si>
  <si>
    <t>Hipersensitif atau allergi terhadap komponen obat ini.</t>
  </si>
  <si>
    <t>Jangan gunakan pada penderita yang pernah mengalami reaksi alergi terhadap komponen obat ini.</t>
  </si>
  <si>
    <t>hexetidine</t>
  </si>
  <si>
    <t>pengobatan infeksi ringan mulut tenggorokan radang gusi , radang disekitar gigi , sariawan , radang selaput lendir mulut mengatasi gejala radang tenggorokan</t>
  </si>
  <si>
    <t>hexadol gargle</t>
  </si>
  <si>
    <t>hexadol gargle larutan hexetidine pengobatan infeksi ringan mulut tenggorokan radang gusi  radang disekitar gigi  sariawan  radang selaput lendir mulut mengatasi gejala radang tenggorokan</t>
  </si>
  <si>
    <t>DKL0422239210A1</t>
  </si>
  <si>
    <t>Ostelox 7.5 mg 10 Tablet</t>
  </si>
  <si>
    <t>Rp73.100 - Rp83.900</t>
  </si>
  <si>
    <t>PENGGUNAAN OBAT INI HARUS SESUAI DENGAN PETUNJUK DOKTER. OA: 7,5 mg 1 x sehari, dosis dapat ditingkatkan s/d 15 mg 1 x sehari. AR : 15 mg 1 x sehari, dapat dikurangi s/d 7,5 mg 1 x sehari, tergantung respon klinis. Lansia: 7,5 mg per hari untuk terapi jangka panjang. Pasien gagal ginjal maks 7,5 mg 1 x sehari. Pasien dengan peningkatan risiko efek samping dosis awal 7,5 ng tiap hari. Spondilitis ankilosa 15 mg per hari.</t>
  </si>
  <si>
    <t>Pengobatan jangka pendek gejala-gejala eksaser-basi akut pada osteoartritis pengobatan jangka panjang gejala-gejala artritis rematoid, pengobatan gejala-gejala spondilitis ankilosa.</t>
  </si>
  <si>
    <t>HARUS DENGAN RESEP DOKTER. Hati-hatl penggunaan padd penderita yang se dang mendapat terapi antikoagulan. Hati-hati penggunaan pada orang tua yang menderita gangguan fungsi hati, ginjal atau jantung. Kadang-kddang dapat terjadi peningkatan serum transaminase atau parameter lain</t>
  </si>
  <si>
    <t>pengobatan jangka pendek gejala - gejala eksaser - basi akut osteoartritis pengobatan jangka gejala - gejala artritis rematoid , pengobatan gejala - gejala spondilitis ankilosa</t>
  </si>
  <si>
    <t>ostelox</t>
  </si>
  <si>
    <t>ostelox tablet meloxicam pengobatan jangka pendek gejala  gejala eksaser  basi akut osteoartritis pengobatan jangka gejala  gejala artritis rematoid  pengobatan gejala  gejala spondilitis ankilosa</t>
  </si>
  <si>
    <t>DKL0422239210B1</t>
  </si>
  <si>
    <t>Ostelox 15 mg 10 Tablet</t>
  </si>
  <si>
    <t>Rp88.900 - Rp137.200</t>
  </si>
  <si>
    <t>Dapat diberikan bersama makanan jika timbul rasa tidak nyaman pada GI</t>
  </si>
  <si>
    <t>HARUS DENGAN RESEP DOKTER. Riwayat penyakit GI (pendarahan &amp; tukak), penurunan fungsi ginjal, penyakit hati, gagal hati, dehidrasi, hipertensi, atau asma. Lansia, anak dan remaja usia &lt; 15 tahun</t>
  </si>
  <si>
    <t>succus liquiritiae ammonium chloride paracetamol ephedrine hydrochloride chlorphenamine maleate</t>
  </si>
  <si>
    <t>obh tropica plus sirup succus liquiritiae ammonium chloride paracetamol ephedrine hydrochloride chlorphenamine maleate meredakan batuk gejala flu  demam  hidung tersumbat  bersin  sakit kepala</t>
  </si>
  <si>
    <t>acitral tablet magnesium hydroxide simethicone dried aluminium hydroxide gel sakit maag  tukak lambung tukak usus halus  hiperasiditas pencernaan  gastritis  gangguan pencernaan  perut kembung</t>
  </si>
  <si>
    <t>succus liquiritiae ammonium chloride ephedrine hydrochloride chlorphenamine maleate paracetamol</t>
  </si>
  <si>
    <t>obh tropica plus sirup succus liquiritiae ammonium chloride ephedrine hydrochloride chlorphenamine maleate paracetamol meredakan batuk gejala flu  demam  hidung tersumbat  bersin  sakit kepala</t>
  </si>
  <si>
    <t>DKL0802340110D1</t>
  </si>
  <si>
    <t>Glucoryl 4 mg 10 Tablet</t>
  </si>
  <si>
    <t>Rp58.700 - Rp78.300</t>
  </si>
  <si>
    <t>glucoryl</t>
  </si>
  <si>
    <t>glucoryl tablet glimepiride diabetes melitus tipe 2 non  insulin  dependent type ii diabetes melitus niddm dimana kadar glukosa darah tidak dikontrol diet olahraga</t>
  </si>
  <si>
    <t>DKL0802340110C1</t>
  </si>
  <si>
    <t>Glucoryl 3 mg 10 Tablet</t>
  </si>
  <si>
    <t>Rp44.400 - Rp64.100</t>
  </si>
  <si>
    <t>DKL0802340110B1</t>
  </si>
  <si>
    <t>Glucoryl 2 mg 10 Tablet</t>
  </si>
  <si>
    <t>Rp32.600 - Rp42.700</t>
  </si>
  <si>
    <t>DKL0802340110A1</t>
  </si>
  <si>
    <t>Glucoryl 1 mg 10 Tablet</t>
  </si>
  <si>
    <t>Rp18.300 - Rp28.500</t>
  </si>
  <si>
    <t>DKL0522718610A1</t>
  </si>
  <si>
    <t>Nariz 25 mg 10 Tablet</t>
  </si>
  <si>
    <t>Rp17.100 - Rp17.800</t>
  </si>
  <si>
    <t>PENGGUNAAN OBAT INI HARUS SESUAI DENGAN PETUNJUK DOKTER. Untuk gangguan sirkulasi serebral dan gangguan ekuilibrium : 1 tablet 3 kali/hari. Untuk gangguan sirkulasi perifer : 2 tablet 3 kali/hari. Untuk pencegahan mabuk perjalanan : 1 tablet 2 jam sebelum perjalanan.</t>
  </si>
  <si>
    <t>Pengobatan simtomatik untuk gangguan sirkulasi serebral dan vestibular, misalnya tinitus, vertigo, pusing, gangguan sirkulasi perifer dengan gejala kesemutan, kebas, pegal-pegal, pencegahan mabuk perjalanan.</t>
  </si>
  <si>
    <t>Tablet 25 Mg X 5 X 6</t>
  </si>
  <si>
    <t>Penyakit parkinson.</t>
  </si>
  <si>
    <t>HARUS DENGAN RESEP DOKTER. Hamil dan laktasi. Dapat mengganggu kemampuan mengemudi atau menjalankan mesin. Pasien dengan hipotensi.</t>
  </si>
  <si>
    <t>pengobatan simtomatik gangguan sirkulasi serebral vestibular , tinitus , vertigo , pusing , gangguan sirkulasi perifer gejala kesemutan , kebas , pegal - pegal , pencegahan mabuk perjalanan</t>
  </si>
  <si>
    <t>nariz</t>
  </si>
  <si>
    <t>nariz tablet cinnarizine pengobatan simtomatik gangguan sirkulasi serebral vestibular  tinitus  vertigo  pusing  gangguan sirkulasi perifer gejala kesemutan  kebas  pegal  pegal  pencegahan mabuk perjala</t>
  </si>
  <si>
    <t>DKL1715809217B1</t>
  </si>
  <si>
    <t>Glucovance 2.5 mg/500 mg 15 Tablet</t>
  </si>
  <si>
    <t>Rp49.100 - Rp88.100</t>
  </si>
  <si>
    <t>PENGGUNAAN OBAT INI HARUS SESUAI DENGAN PETUNJUK DOKTER. Terapi awal - dosis awal yang dianjurkan: 1-2 x sehari Glucovance 1.25 mg/250 mg. Terapi lini ke-2 : dosis awal: Tablet Glucovance 5 mg/500 mg atau 2.5 mg/500 mg, diberikan 2 x sehari 1 tablet, hingga dosis maximum 20 mg Glibenclamid/2000 mg Metformin.</t>
  </si>
  <si>
    <t>INFORMASI OBAT INI HANYA UNTUK KALANGAN MEDIS. Sebagai terapi lini ke-2 ketika diet, olahraga, dan pengobatan awal dengan sulfonylurea atau metformin tidak menghasilkan kontrol glikemik yang memadai pada pasien diabetes tipe 2 dengan HbA1c di atas 8%.</t>
  </si>
  <si>
    <t>Dus, 8 Blister @ 15 Tablet</t>
  </si>
  <si>
    <t>Penderita hipersensitif terhadap Metformin, Glibenclamide, Sulfonylurea, atau sulfonamide. Pasien penderita ganguan ginjal, gagal jantung kongestif yang memerlukan pengobatan farmakologis, atau pasien gangguan hati.Penderita asidosis metabolik akut atau kronis, termasuk ketoasidosis diabetikum dengan atau tanpa koma.Pasien yang mengkonsumsi alkohol. Pengobatan harus dihentikan sementara pada pasien yang menjalani pemeriksaan radiologis yang melibatkan pemberian bahan kontras beryodium secara intravaskular. Pasien penderita kelainan darah (porphyria). Pengunaan bersama Miconazole. Wanita menyusui.</t>
  </si>
  <si>
    <t>HARUS DENGAN RESEP DOKTER. - Asidosis laktat jarang terjadi &amp; dapat terjadi pada penderita dengan penurunan fungsi ginjal yang signifikan. - Pemantauan ginjal secara teratur, terutama pada lansia. - Hentikan terapi selama pembedahan &amp; pemeriksaan klinis menggunakan media kontras beryodium secara IV. - Hati-hati penggunaan obat ini pada: 1. Pasien dengan bukti klinis menderita penyakit hati, keadaan hipoksia. 2. Pengkonsmusi alkohol. 3. Pasien yang mengkonsumsi obat yang dapat mempengaruhi fungsi ginjal atau menyebabkan perubahan hemodinamik yang signifikan atau dapat mengganggu disposisi metformin.</t>
  </si>
  <si>
    <t>sebagai terapi lini - 2 diet , olahraga , pengobatan sulfonylurea metformin tidak menghasilkan kontrol glikemik memadai pasien diabetes tipe 2 hba1c 8</t>
  </si>
  <si>
    <t>glucovance tablet glibenclamide sebagai terapi lini  2 diet  olahraga  pengobatan sulfonylurea metformin tidak menghasilkan kontrol glikemik memadai pasien diabetes tipe 2 hba1c 8</t>
  </si>
  <si>
    <t>acitral tablet simethicone dried aluminium hydroxide gel magnesium hydroxide sakit maag  tukak lambung tukak usus halus  hiperasiditas pencernaan  gastritis  gangguan pencernaan  perut kembung</t>
  </si>
  <si>
    <t>TR226033461</t>
  </si>
  <si>
    <t>Minyak Herba Wahid 100 ml</t>
  </si>
  <si>
    <t>MINYAK HERBA WAHID</t>
  </si>
  <si>
    <t>Rp18.800 - Rp28.000</t>
  </si>
  <si>
    <t>Minyak Herba Wahid secara tradisional digunakan sebagai minyak gosok yang mengandung ekstrak herbal brotowali dan sambiloto yang diperkaya denga habbatusauda, berkhasiat untuk mengatasi berbagai macam masalah kesehatan.</t>
  </si>
  <si>
    <t>minyak herba wahid</t>
  </si>
  <si>
    <t>minyak herba wahid tradisional minyak gosok mengandung ekstrak herbal brotowali sambiloto diperkaya denga habbatusauda , berkhasiat mengatasi kesehatan</t>
  </si>
  <si>
    <t>herba wahid</t>
  </si>
  <si>
    <t>herba wahid minyak minyak herba wahid minyak herba wahid tradisional minyak gosok mengandung ekstrak herbal brotowali sambiloto diperkaya denga habbatusauda  berkhasiat mengatasi kesehatan</t>
  </si>
  <si>
    <t>acitral tablet magnesium hydroxide dried aluminium hydroxide gel simethicone sakit maag  tukak lambung tukak usus halus  hiperasiditas pencernaan  gastritis  gangguan pencernaan  perut kembung</t>
  </si>
  <si>
    <t>pimtrakol lemon sirup paracetamol guaifenesin ephedrine hydrochloride chlorphenamine maleate untuk meringankan gejala gejala flu demam  sakit kepala  hidung tersumbat bersin  bersin disertai batuk</t>
  </si>
  <si>
    <t>- KOMBINASI-ISOSORBIDE DINITRATE 25 WITH LACTOSE</t>
  </si>
  <si>
    <t>kombinasi-isosorbide dinitrate 25 with lactose</t>
  </si>
  <si>
    <t>cedocard tablet kombinasiisosorbide dinitrate 25 with lactose terapi angina pektoris  pencegahan serangan angina penyakit2 koroner khronik  gangguan angina paska infark miokard  gagal jantung</t>
  </si>
  <si>
    <t>QL031800111</t>
  </si>
  <si>
    <t>Salonpas Koyo 10 Patch</t>
  </si>
  <si>
    <t>Rp7.200 - Rp8.600</t>
  </si>
  <si>
    <t>Bersihkan dan keringkan bagian yang sakit, lepaskan kertas dan tempelkan salonpas koyo hijau ke bagian yang sakit, dan lepaskan setelah 8 jam pemakaian.</t>
  </si>
  <si>
    <t>Tidak boleh melebihi 3-4 x sehari.</t>
  </si>
  <si>
    <t>Membantu meredakan rasa nyeri yang disebabkan oleh nyeri otot, sakit otot leher, punggung pegal, sakit kepala, sakit gigi, memar, terkilir dan nyeri sendi</t>
  </si>
  <si>
    <t>Pack @ 10 Patch</t>
  </si>
  <si>
    <t>Hanya untuk pemakaian luar. Jangan digunakan pada luka atau kulit yang rusak, pada orang yang alergi terhadap aspirin atau salisilat. Hindari kontak dengan mata, selaput lendir, atau ruam. Tidak dianjurkan pada anak di bawah 12 tahun kecuali atas anjuran dokter.</t>
  </si>
  <si>
    <t>membantu meredakan nyeri disebabkan nyeri otot , sakit otot leher , punggung pegal , sakit kepala , sakit gigi , memar , terkilir nyeri sendi</t>
  </si>
  <si>
    <t>salonpas koyo patch</t>
  </si>
  <si>
    <t>salonpas koyo patch  dlcamphor membantu meredakan nyeri disebabkan nyeri otot  sakit otot leher  punggung pegal  sakit kepala  sakit gigi  memar  terkilir nyeri sendi</t>
  </si>
  <si>
    <t>DKL0717622810B1</t>
  </si>
  <si>
    <t>Friladar 3 mg 10 Tablet</t>
  </si>
  <si>
    <t>Rp65.400 - Rp113.900</t>
  </si>
  <si>
    <t>Segera sebelum makan utama pertama pada hari itu (setiap harinya) dan tidak boleh mengurangi jadwal makan utama.</t>
  </si>
  <si>
    <t>friladar</t>
  </si>
  <si>
    <t>friladar tablet glimepiride diabetes melitus tipe 2 non  insulin  dependent type ii diabetes melitus niddm dimana kadar glukosa darah tidak dikontrol diet olahraga</t>
  </si>
  <si>
    <t>DKL1518827510A1</t>
  </si>
  <si>
    <t>Gliaride 2 mg 10 Tablet</t>
  </si>
  <si>
    <t>Rp47.900 - Rp64.100</t>
  </si>
  <si>
    <t>gliaride</t>
  </si>
  <si>
    <t>gliaride tablet glimepiride diabetes melitus tipe 2 non  insulin  dependent type ii diabetes melitus niddm dimana kadar glukosa darah tidak dikontrol diet olahraga</t>
  </si>
  <si>
    <t>DKL7820600538A1</t>
  </si>
  <si>
    <t>Arcamox Dry Sirup 60 ml</t>
  </si>
  <si>
    <t>PENGGUNAAN OBAT INI HARUS SESUAI DENGAN PETUNJUK DOKTER. Dewasa : 3 kali sehari 250-500 mg, Anak sampai dengan 10 tahun : 3 kali sehari 125 mg.</t>
  </si>
  <si>
    <t>Infeksi saluran nafas atas, otitis media, bronkitis akut dan kronik, pneumonia, sistitis, uretritis, pielonefritis, bakteriuria asimptomatik pada masa hamil, GO, infeksi kulit dan jaringan lunak</t>
  </si>
  <si>
    <t>HARUS DENGAN RESEP DOKTER. Hipersensitif terhadap sefalosporin. Kerusakan ginjal</t>
  </si>
  <si>
    <t>infeksi saluran nafas , otitis medium , bronkitis akut kronik , pneumonia , sistitis , uretritis , pielonefritis , bakteriuria asimptomatik hamil , go , infeksi kulit jaringan lunak</t>
  </si>
  <si>
    <t>arcamox</t>
  </si>
  <si>
    <t>arcamox sirup amoxicillin infeksi saluran nafas  otitis medium  bronkitis akut kronik  pneumonia  sistitis  uretritis  pielonefritis  bakteriuria asimptomatik hamil  go  infeksi kulit jaringan lunak</t>
  </si>
  <si>
    <t>DKL0413312404C2</t>
  </si>
  <si>
    <t>Amadiab 3 mg 10 Kaplet</t>
  </si>
  <si>
    <t>Rp60.000 - Rp90.200</t>
  </si>
  <si>
    <t>amadiab</t>
  </si>
  <si>
    <t>amadiab kaplet glimepiride diabetes melitus tipe 2 non  insulin  dependent type ii diabetes melitus niddm dimana kadar glukosa darah tidak dikontrol diet olahraga</t>
  </si>
  <si>
    <t>Onemed Dermafix T 5X7 cm</t>
  </si>
  <si>
    <t>Rp2.500 - Rp3.700</t>
  </si>
  <si>
    <t>Pasangkan pada daerah yang luka.</t>
  </si>
  <si>
    <t>Plester transparant steril kedap air dengan bantalan lembut, breathable, dan daya rekat sempurna sehingga dapat menutup luka dan melindungi terhadap bakteri, virus, kuman.</t>
  </si>
  <si>
    <t>Box @ 25 pieces</t>
  </si>
  <si>
    <t>plester transparant steril kedap air bantalan lembut , breathable , daya rekat sempurna menutup luka melindungi bakteri , virus , kuman</t>
  </si>
  <si>
    <t>onemed dermafix t x larutan povidoneiodine plester transparant steril kedap air bantalan lembut  breathable  daya rekat sempurna menutup luka melindungi bakteri  virus  kuman</t>
  </si>
  <si>
    <t>DKL0413312404D2</t>
  </si>
  <si>
    <t>Amadiab 4 mg 10 Kaplet</t>
  </si>
  <si>
    <t>Rp68.600 - Rp108.200</t>
  </si>
  <si>
    <t>DKL0521204110A1</t>
  </si>
  <si>
    <t>Amaryl 1 mg 10 Tablet</t>
  </si>
  <si>
    <t>Rp46.200 - Rp54.000</t>
  </si>
  <si>
    <t>Sebaiknya diberikan bersama makanan, Berikan segera sblm makan utama pertama pd hari yg sama. Jangan mengurangi jadwal makan. Telan utuh, jangan dikunyah/dihancurkan.</t>
  </si>
  <si>
    <t>PENGGUNAAN OBAT INI HARUS SESUAI DENGAN PETUNJUK DOKTER. Dosis awal: 1 mg sekali sehari. Dapat ditingkatkan dengan interval 1-2 minggu dan dilakukan secara bertahap sebagai berikut: 1 mg-2 mg-3 mg-4 mg dan dalam kasus luar biasa, 8 mg. Pasien dengan diabetes terkontrol baik 1-4 mg/hr.</t>
  </si>
  <si>
    <t>INFORMASI OBAT INI HANYA UNTUK KALANGAN MEDIS. Diabetes Miletus tipe 2, dimana kadar gula darah tidak dapat di kontrol hanya dengan diet, olah raga &amp; penurunan BB. Dpt dikombinasi dg metformin atau insulin.</t>
  </si>
  <si>
    <t>Hipersensitif thd glimepiride &amp; sulfonilurea/sulfonamid lainnya. Tidak cocok utk pengobatan IDDM (tipe 1), ketoasidosis diabetikum, prekoma diabetik atau koma. Gangguan ginjal &amp; hati berat. Tidak untuk dikonsumsi selama kehamilan &amp; menyusui.</t>
  </si>
  <si>
    <t>HARUS DENGAN RESEP DOKTER. - Risiko hipoglikemia - Tidak terkendalinya kadar glukosa darah: Bila seorang pasien, yang kondisi penyakit DM-nya stabil dengan menggunakan regimen antidiabetik tertentu, terpapar stress seperti demam, trauma, infeksi, pembedahan, kadar gluosa darah bisa tidak terkendali. - Pentingnya untuk melakukan diet, program olah raga secara teratur serta pemeriksaan glukosa darah dan urin secara teratur. - Glimepiride tidak dianjurkan pada kehamilan. - Pada ibu menyusui penggunaan glimipiride sebaiknya tidak dilanjutkan. - Keamanan dan efektivitas pada anak-anak belum diketahui. - Dapat mengganggu kemampuan mengemudi atau mengoperasikan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</si>
  <si>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diabetes miletus tipe 2 , dimana kadar gula darah tidak kontrol diet , olah raga penurunan bb  dpt dikombinasi dg metformin insulin</t>
  </si>
  <si>
    <t>amaryl</t>
  </si>
  <si>
    <t>amaryl tablet glimepiride diabetes miletus tipe 2  dimana kadar gula darah tidak kontrol diet  olah raga penuru bb  dpt dikombinasi dg metformin insulin</t>
  </si>
  <si>
    <t>DKL0521204110C1</t>
  </si>
  <si>
    <t>Amaryl 3 mg 10 Tablet</t>
  </si>
  <si>
    <t>Rp136.800 - Rp150.500</t>
  </si>
  <si>
    <t>DKL9615609201A1</t>
  </si>
  <si>
    <t>Clinjos 150 mg 6 Kapsul</t>
  </si>
  <si>
    <t>Rp28.500 - Rp29.900</t>
  </si>
  <si>
    <t>Terapi infeksi serius yang disebabkan oleh bakteri yang sensitif seperti infeksi Saluran Nafas Bawah, infeksi Kulit, Osteomielitis, infeksi serius yang disebabkan oleh bakteri anaerob yang sensitif</t>
  </si>
  <si>
    <t>1 Dos isi 5 Strip x 6 Tablet</t>
  </si>
  <si>
    <t>terapi infeksi serius disebabkan bakteri sensitif infeksi saluran nafas bawah , infeksi kulit , osteomielitis , infeksi serius disebabkan bakteri anaerob sensitif</t>
  </si>
  <si>
    <t>clinjos</t>
  </si>
  <si>
    <t>clinjos kapsul clindamycin hydrochloride terapi infeksi serius disebabkan bakteri sensitif infeksi saluran nafas bawah  infeksi kulit  osteomielitis  infeksi serius disebabkan bakteri anaerob sensitif</t>
  </si>
  <si>
    <t>DKL9615609201B1</t>
  </si>
  <si>
    <t>Clinjos 300 mg 6 Kapsul</t>
  </si>
  <si>
    <t>Rp54.600 - Rp57.600</t>
  </si>
  <si>
    <t>DKL0521204110D1</t>
  </si>
  <si>
    <t>Amaryl 4 mg 10 Tablet</t>
  </si>
  <si>
    <t>Rp120.900 - Rp171.700</t>
  </si>
  <si>
    <t>DKL0722244310A1</t>
  </si>
  <si>
    <t>Anpiride 1 mg 10 Tablet</t>
  </si>
  <si>
    <t>Rp27.600 - Rp33.200</t>
  </si>
  <si>
    <t>anpiride</t>
  </si>
  <si>
    <t>anpiride tablet glimepiride diabetes melitus tipe 2 non  insulin  dependent type ii diabetes melitus niddm dimana kadar glukosa darah tidak dikontrol diet olahraga</t>
  </si>
  <si>
    <t>DKL0413312404B2</t>
  </si>
  <si>
    <t>Amadiab 2 mg 10 Kaplet</t>
  </si>
  <si>
    <t>Rp34.800 - Rp72.800</t>
  </si>
  <si>
    <t>DKL0413312404A2</t>
  </si>
  <si>
    <t>Amadiab 1 mg 10 Kaplet</t>
  </si>
  <si>
    <t>Rp25.000 - Rp40.200</t>
  </si>
  <si>
    <t>intunal f tablet paracetamol phenylpropanolamine hydrochloride dexchlorpheniramine maleate guaifenesin dextromethorphan hydrobromide meringankan gejala flu demam  sakit kepala  hidung tersumbat  bersin  bersin disertai batuk</t>
  </si>
  <si>
    <t>DBL2124404037A1</t>
  </si>
  <si>
    <t>Tempra Forte Sirup Rasa Strawberry 60 ml</t>
  </si>
  <si>
    <t>Rp47.400 - Rp65.500</t>
  </si>
  <si>
    <t>Anak di atas 12 tahun : 2-2.5 sendok takar (10 ml - 12.5 ml). Anak 6-12 tahun : 1-2 sendok takar (5 ml - 10 ml). Semua dosis diberikan 3-4 x sehari.</t>
  </si>
  <si>
    <t>tempra forte rasa strawberry</t>
  </si>
  <si>
    <t>tempra forte rasa strawberry sirup paracetamol obat meredakan sakit kepala  sakit gigi  sakit otot  nyeri mengganggu menurunkan demam menyertai flu influensa demam vaksinasi</t>
  </si>
  <si>
    <t>DKL1333529175A1</t>
  </si>
  <si>
    <t>Velutine Inhalation Solution 2.5 mg</t>
  </si>
  <si>
    <t>Rp8.900 - Rp11.000</t>
  </si>
  <si>
    <t>Digunakan untuk nebulizer</t>
  </si>
  <si>
    <t>PENGGUNAAN OBAT INI HARUS SESUAI DENGAN PETUNJUK DOKTER. Dewasa &amp; anak Awal 2.5 mg, dapat diulangi hingga 4 x perhari dengan nebulizer.</t>
  </si>
  <si>
    <t>INFORMASI OBAT INI HANYA UNTUK KALANGAN MEDIS. Penatalaksanaan &amp; pencegahan serangan asma, penanganan rutin bronkospasme kronik yang tidak responsif terhadap terapi konvensional</t>
  </si>
  <si>
    <t>TR042632191</t>
  </si>
  <si>
    <t>Larutan Cap Kaki Tiga Anggur 320 ml</t>
  </si>
  <si>
    <t>LARUTAN CAP KAKI TIGA RASA ANGGUR</t>
  </si>
  <si>
    <t>Rp5.300 - Rp9.100</t>
  </si>
  <si>
    <t>Orang dewasa : Diminum 3 kali sehari 1/2 sampai 1 kaleng. Anak-anak : Diminum 3 kali sehari 1/4 sampai 1/2 kaleng. Untuk selanjutnya : Orang dewasa minum 1 kali sehari 1 kaleng. Anak-anak minum 1 kali sehari 1/2 kaleng.</t>
  </si>
  <si>
    <t>Kaleng 320 ml</t>
  </si>
  <si>
    <t>larutan cap kaki tiga rasa anggur</t>
  </si>
  <si>
    <t>cap kaki tiga anggur</t>
  </si>
  <si>
    <t>cap kaki tiga anggur larutan larutan cap kaki tiga rasa anggur membantu meredakan panas disertai tenggorokan kering  sariawan  sakit tenggorokan membantu menyegarkan badan</t>
  </si>
  <si>
    <t>TR042632221</t>
  </si>
  <si>
    <t>Larutan Cap Kaki Tiga Jeruk 320 ml</t>
  </si>
  <si>
    <t>LARUTAN CAP KAKI TIGA RASA JERUK</t>
  </si>
  <si>
    <t>Rp4.500 - Rp9.900</t>
  </si>
  <si>
    <t>larutan cap kaki tiga rasa jeruk</t>
  </si>
  <si>
    <t>cap kaki tiga jeruk</t>
  </si>
  <si>
    <t>cap kaki tiga jeruk larutan larutan cap kaki tiga rasa jeruk membantu meredakan panas disertai tenggorokan kering  sariawan  sakit tenggorokan membantu menyegarkan badan</t>
  </si>
  <si>
    <t>Sterimar Nose Hygiene and Comfort 50 ml</t>
  </si>
  <si>
    <t>Rp145.000 - Rp147.000</t>
  </si>
  <si>
    <t>Semprotkan pada tiap lubang hidung. Lama penyemprotan 1-2 detik. Bersihkan nosel dengan air hangat setelah digunakan dan keringkan.</t>
  </si>
  <si>
    <t>2-6 kali semprotan per hari tiap lubang hidung (atau lebih jika diperlukan). Disarankan untuk penggunaan sebelum tidur atau membersihkan hidung sehari-hari.</t>
  </si>
  <si>
    <t>Membantu membersihkan dan mengurangi kotoran, melembabkan dan mempertahankan kelembaban alami mukosa, membantu meningkatkan fungsi pernapasan dan pola tidur sehat</t>
  </si>
  <si>
    <t>membantu membersihkan mengurangi kotoran , melembabkan mempertahankan kelembaban alami mukosa , membantu meningkatkan fungsi pernapasan pola tidur sehat</t>
  </si>
  <si>
    <t>sterimar nose hygiene and comfort</t>
  </si>
  <si>
    <t>sterimar nose hygiene and comfort tablet guaifenesin membantu membersihkan mengurangi kotoran  melembabkan mempertahankan kelembaban alami mukosa  membantu meningkatkan fungsi pernapasan pola tidur sehat</t>
  </si>
  <si>
    <t>DKI1701700417B1</t>
  </si>
  <si>
    <t>Uperio 50 mg 14 Tablet</t>
  </si>
  <si>
    <t>Rp293.700 - Rp312.200</t>
  </si>
  <si>
    <t>Hipersensitivitas. Penggunaan bersama dg ACE inhibitor, aliskiren pd pasien dg diabetes tipe II atau gangguan ginjal. Riwayat angioedema yg terkait dg penggunaan ACE inhibitor atau terapi ARB. Angioedema herediter atau idiopatik. Ggn hati berat, sirosis biliaris &amp; kolestasis. Hamil.</t>
  </si>
  <si>
    <t>TR042632201</t>
  </si>
  <si>
    <t>Larutan Cap Kaki Tiga Leci 320 ml</t>
  </si>
  <si>
    <t>LARUTAN CAP KAKI TIGA RASA LECI</t>
  </si>
  <si>
    <t>Rp7.800 - Rp8.600</t>
  </si>
  <si>
    <t>Kaleng @ 320 ml</t>
  </si>
  <si>
    <t>larutan cap kaki tiga rasa leci</t>
  </si>
  <si>
    <t>cap kaki tiga leci</t>
  </si>
  <si>
    <t>cap kaki tiga leci larutan larutan cap kaki tiga rasa leci membantu meredakan panas disertai tenggorokan kering  sariawan  sakit tenggorokan membantu menyegarkan badan</t>
  </si>
  <si>
    <t>TR042632211</t>
  </si>
  <si>
    <t>Larutan Cap Kaki Tiga Strawberry 320 ml</t>
  </si>
  <si>
    <t>LARUTAN CAP KAKI TIGA RASA STROBERI</t>
  </si>
  <si>
    <t>Rp4.500 - Rp9.100</t>
  </si>
  <si>
    <t>larutan cap kaki tiga rasa stroberi</t>
  </si>
  <si>
    <t>cap kaki tiga strawberry</t>
  </si>
  <si>
    <t>cap kaki tiga strawberry larutan larutan cap kaki tiga rasa stroberi membantu meredakan panas disertai tenggorokan kering  sariawan  sakit tenggorokan membantu menyegarkan badan</t>
  </si>
  <si>
    <t>DKL0521204110B1</t>
  </si>
  <si>
    <t>Amaryl 2 mg 10 Tablet</t>
  </si>
  <si>
    <t>Rp81.100 - Rp84.600</t>
  </si>
  <si>
    <t>DKL1928208001A1</t>
  </si>
  <si>
    <t>Memucil 200 mg 10 Kapsul</t>
  </si>
  <si>
    <t>Rp45.100 - Rp46.700</t>
  </si>
  <si>
    <t>PENGGUNAAN OBAT INI HARUS SESUAI DENGAN PETUNJUK DOKTER. Sebagai mukolitik: 3 x sehari 1 kapsul.</t>
  </si>
  <si>
    <t>INFORMASI OBAT INI HANYA UNTUK KALANGAN MEDIS. Mukolitik terapi pada akut dan kronik penyakit bronkial dan paru dengan mukus yang tebal, seperti : akut bronkhitis, bronkhitis kronik dan akut berulang, pulmonari emfisema, mukovisidosis, bronkiektasis</t>
  </si>
  <si>
    <t>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</si>
  <si>
    <t>mukolitik terapi akut kronik penyakit bronkial paru mukus tebal , akut bronkhitis , bronkhitis kronik akut berulang , pulmonari emfisema , mukovisidosis , bronkiektasis</t>
  </si>
  <si>
    <t>memucil</t>
  </si>
  <si>
    <t>memucil kapsul acetyl cysteine mukolitik terapi akut kronik penyakit bronkial paru mukus tebal  akut bronkhitis  bronkhitis kronik akut berulang  pulmonari emfisema  mukovisidosis  bronkiektasis</t>
  </si>
  <si>
    <t>DKL0832401701A1</t>
  </si>
  <si>
    <t>Amoxsan 250 mg 10 Kapsul</t>
  </si>
  <si>
    <t>Rp20.000 - Rp23.500</t>
  </si>
  <si>
    <t>PENGGUNAAN OBAT INI HARUS SESUAI DENGAN PETUNJUK DOKTER. Dewasa dan Anak 20 mg/kgBB/hr : 250-500 mg. Anak dengan BB &lt;20 kg : 20-40 mg/kgBB dalam 2 dosis terbagi tiap 8 jam. Infeksi berat Dosis ganda. GO akut 2-3 g dosis tunggal.</t>
  </si>
  <si>
    <t>INFORMASI OBAT INI HANYA UNTUK KALANGAN MEDIS. Penyakit infeksi kulit dan jaringan lunak, infeksi saluran pernafasan, infeksi saluran genitourinari, dan gonore yang disebabkan organisme Gram positif &amp; Gram Negatif yang peka terhadap Amoxicillin</t>
  </si>
  <si>
    <t>Hipersensitivitas atau riwayat reaksi alergi berat (misalnya anafilaksis, sindrom Stevens-Johnson) terhadap amoksisilin atau -laktam lainnya (misalnya penisilin, sefalosporin, karbapenem, monobaktam). Mononukleosis menular (dicurigai atau dikonfirmasi).</t>
  </si>
  <si>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</si>
  <si>
    <t>penyakit infeksi kulit jaringan lunak , infeksi saluran pernafasan , infeksi saluran genitourinari , gonore disebabkan organisme gram positif gram negatif peka amoxicillin</t>
  </si>
  <si>
    <t>amoxsan</t>
  </si>
  <si>
    <t>amoxsan kapsul amoxicillin penyakit infeksi kulit jaringan lunak  infeksi saluran pernafasan  infeksi saluran genitourinari  gonore disebabkan organisme gram positif gram negatif peka amoxicillin</t>
  </si>
  <si>
    <t>DTL0302333933A1</t>
  </si>
  <si>
    <t>Anafen Sirup 60 ml</t>
  </si>
  <si>
    <t>Rp18.200 - Rp28.500</t>
  </si>
  <si>
    <t>Dewasa : 3-4 kali sehari 200 mg. Anak-anak : Dosis anjuran, 20 mg/kg BB/hari dalam dosis bagi</t>
  </si>
  <si>
    <t>DKL8627903201A1</t>
  </si>
  <si>
    <t>Suprabiotic 500 mg 10 Kapsul</t>
  </si>
  <si>
    <t>sebaiknya diminum satu jam sebelum atau dua jam sesudah makan</t>
  </si>
  <si>
    <t>PENGGUNAAN OBAT INI HARUS SESUAI DENGAN PETUNJUK DOKTER. Dosis dewasa 1-2 kapsul, 4 kali sehari. Dosis anak-anak lebih dari 8 tahun. 25-50 mg/kgBB, 4 kali sehari. Dosis dan lama pemakaian tergantung pada infeksi yang terjadi atau sesuai petunjuk dokter.</t>
  </si>
  <si>
    <t>infeksi yang disebabkan oleh Ricketsiae, infeksi saluran kemih, bronkitis, infeksi-infeksi yang disebabkan oleh Staphylococcus. Untuk penderita gonore dan sipilis tahap tertentu yang tidak tahan terhadap penisilin</t>
  </si>
  <si>
    <t>Box, 10 strip x 10 kapsul</t>
  </si>
  <si>
    <t>penderita yang hipersensitif terhadap obat golongan tetrasiklin, hamil, menyusui</t>
  </si>
  <si>
    <t>HARUS DENGAN RESEP DOKTER. Ibu hamil, ibu menyusui, anak-anak di bawah 8 tahun, pasien gangguan fungsi ginjal.</t>
  </si>
  <si>
    <t>infeksi disebabkan ricketsiae , infeksi saluran kemih , bronkitis , infeksi - infeksi disebabkan staphylococcus  untuk penderita gonore sipilis tahap tidak tahan penisilin</t>
  </si>
  <si>
    <t>suprabiotic</t>
  </si>
  <si>
    <t>suprabiotic kapsul tetracycline hydrochloride infeksi disebabkan ricketsiae  infeksi saluran kemih  bronkitis  infeksi  infeksi disebabkan staphylococcus  untuk penderita gonore sipilis tahap tidak tahan penisilin</t>
  </si>
  <si>
    <t>Tempra Forte Sirup Rasa Strawberry 30 ml</t>
  </si>
  <si>
    <t>Rp27.000 - Rp35.000</t>
  </si>
  <si>
    <t>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Kelebihan dosis: Paracetamol dalam dosis berlebih dapat menimbulkan keracunan hati pada beberapa penderita. Bila hal ini terjadi, harap segera hubungi dokter Anda atau Rumah Sakit terdekat.</t>
  </si>
  <si>
    <t>DTL9930906429A1</t>
  </si>
  <si>
    <t>Moladerm 20 mg/g Cream 10 g</t>
  </si>
  <si>
    <t>Krim dioleskan pada area kulit yang terkena/terinfeksi jamur</t>
  </si>
  <si>
    <t>Oleskan krim 1-2 x sehari. Lama terapi : Kandidiasis, Tinea Korporis : 2 minggu, Tinea pedis : 1 bulan</t>
  </si>
  <si>
    <t>Tinea Kapitis, Tinea Korporis, Tinea Manum, Tinea Pedis, Tinea Barbae, Tinea Kruris, Tinea Unguinum, Pityriasis VersiKolor, Kandidiasis Kulit.</t>
  </si>
  <si>
    <t>Iritasi, sensitisasi (hentikan penggunaan). Hamil. Tidak boleh digunakan pada kulit tangan atau kaki yang pecah-pecah</t>
  </si>
  <si>
    <t>tinea kapitis , tinea korporis , tinea manum , tinea pedis , tinea barbae , tinea kruris , tinea unguinum , pityriasis versikolor , kandidiasis kulit</t>
  </si>
  <si>
    <t>moladerm cream</t>
  </si>
  <si>
    <t>moladerm cream krim miconazole nitrate tinea kapitis  tinea korporis  tinea manum  tinea pedis  tinea barbae  tinea kruris  tinea unguinum  pityriasis versikolor  kandidiasis kulit</t>
  </si>
  <si>
    <t>DKL0722244310B1</t>
  </si>
  <si>
    <t>Anpiride 2 mg 10 Tablet</t>
  </si>
  <si>
    <t>Rp37.700 - Rp60.500</t>
  </si>
  <si>
    <t>DKL0722244310C1</t>
  </si>
  <si>
    <t>Anpiride 3 mg 10 Tablet</t>
  </si>
  <si>
    <t>Rp69.600 - Rp82.500</t>
  </si>
  <si>
    <t>DKL0722243846A1</t>
  </si>
  <si>
    <t>Hyaloph 1 mg/ml Eye Drops 5 ml</t>
  </si>
  <si>
    <t>Rp73.700 - Rp96.300</t>
  </si>
  <si>
    <t>Menyembuhkan rasa terbakar, iritasi dan ketidaknyamanan akibat mata kering, mempercepat penyembuhan gangguan permukaan bola mata, seperti pada sindrom Sjogren dan Sicca (mata kering)</t>
  </si>
  <si>
    <t>HARUS DENGAN RESEP DOKTER. Penggunaan lensa kontak. Hentikan penggunaan jika timbul efek samping</t>
  </si>
  <si>
    <t>menyembuhkan terbakar , iritasi ketidaknyamanan akibat mata kering , mempercepat penyembuhan gangguan permukaan bola mata , sindrom sjogren sicca mata kering</t>
  </si>
  <si>
    <t>hyaloph eye</t>
  </si>
  <si>
    <t>hyaloph eye tetes sodium hyaluronate menyembuhkan terbakar  iritasi ketidaknyama akibat mata kering  mempercepat penyembuhan gangguan permukaan bola mata  sindrom sjogren sicca mata kering</t>
  </si>
  <si>
    <t>DKL9409309601A1</t>
  </si>
  <si>
    <t>Nomika 50 mg 10 Kapsul</t>
  </si>
  <si>
    <t>Rp69.900 - Rp73.000</t>
  </si>
  <si>
    <t>PENGGUNAAN OBAT INI HARUS SESUAI DENGAN PETUNJUK DOKTER. 2 x sehari 4 tablet kemudian 2 tablet</t>
  </si>
  <si>
    <t>Infeksi yg disebabkan krn organisme yg sensitif atau resisten thd tetrasiklin lain. Terapi tambahan utk amubiasis intestinal akut</t>
  </si>
  <si>
    <t>DKL0732401336A1</t>
  </si>
  <si>
    <t>Amoxsan Drops 15 ml</t>
  </si>
  <si>
    <t>Rp28.900 - Rp35.000</t>
  </si>
  <si>
    <t>Dapat diberikan bersama makanan agar diabsorpsi lebih baik dan untuk mengurangi rasa tidak nyaman pada GI</t>
  </si>
  <si>
    <t>PENGGUNAAN OBAT INI HARUS SESUAI DENGAN PETUNJUK DOKTER. Dewasa dan Anak 20 mg/kgBB/hari: 250-500 mg. Anak dengan BB &lt;20 kg : 20-40 mg/kgBB dalam 2 dosis terbagi tiap 8 jam. Infeksi berat Dosis ganda. GO akut 2-3 g dosis tunggal.</t>
  </si>
  <si>
    <t>INFORMASI OBAT INI HANYA UNTUK KALANGAN MEDIS. Penyakit infeksi kulit dan jaringan lunak, infeksi saluran pernafasan, infeksi saluran genitourinari, dan gonore yang disebabkan organisme Gram positif dan Gram Negatif yang peka terhadap Amoxicillin</t>
  </si>
  <si>
    <t>amoxsan tetes amoxicillin penyakit infeksi kulit jaringan lunak  infeksi saluran pernafasan  infeksi saluran genitourinari  gonore disebabkan organisme gram positif gram negatif peka amoxicillin</t>
  </si>
  <si>
    <t>DKL0019919602B1</t>
  </si>
  <si>
    <t>Kolkatriol F 0.5 mcg 30 Kapsul</t>
  </si>
  <si>
    <t>Rp238.900 - Rp426.700</t>
  </si>
  <si>
    <t>PENGGUNAAN OBAT INI HARUS SESUAI DENGAN PETUNJUK DOKTER. Osteodistrofi Ginjal pada pasien Hemo Dialisa : diawali 1 x sehari 0.25 mcg. Hipoparatiroidisme pada bayi dan anak 1-5 tahun : 0.25-0.75 mcg perhari. Hipoparat</t>
  </si>
  <si>
    <t>Box isi 3 strip @ 10 kapsul lunak</t>
  </si>
  <si>
    <t>HARUS DENGAN RESEP DOKTER. Minum banyak cairan, Memonitor tanda-tanda vitamin D overdosis terkait dengan hiperkalsemia (kelemahan, sakit kepala, sembelit, rasa logam, anoreksia, sakit perut), Hindari menggunakan antasida</t>
  </si>
  <si>
    <t>kolkatriol f</t>
  </si>
  <si>
    <t>kolkatriol f kapsul calcitriol osteoporosis paska menopause  osteodistrofi ginjal gagal ginjal khronis  rakhitis akibat defisiensi vit  d  hipoparatiroidisme paska operasi idiopatik  pseudo  hipoparatiroidisme</t>
  </si>
  <si>
    <t>dextromethorphan hydrobromide pseudoephedrine hydrochloride triprolidine hydrochloride</t>
  </si>
  <si>
    <t>lapifed dm sirup dextromethorphan hydrobromide pseudoephedrine hydrochloride triprolidine hydrochloride meringankan gejala batuk disertai peradangan saluran pernafasan  rinitis alergi  rinitis vasomotor  kongesti nasal flu</t>
  </si>
  <si>
    <t>DKL0717622810A1</t>
  </si>
  <si>
    <t>Friladar 2 mg 10 Tablet</t>
  </si>
  <si>
    <t>Rp52.200 - Rp97.100</t>
  </si>
  <si>
    <t>Segera sebelum makan utama pertama pada hari itu (setiap harinya) dan tidak boleh mengurangi jadwal makan utama pada hari itu (setiap harinya).</t>
  </si>
  <si>
    <t>DKL0408013310B1</t>
  </si>
  <si>
    <t>Glamarol 2 mg 10 Tablet</t>
  </si>
  <si>
    <t>Rp42.800 - Rp64.100</t>
  </si>
  <si>
    <t>glamarol</t>
  </si>
  <si>
    <t>glamarol tablet glimepiride diabetes melitus tipe 2 non  insulin  dependent type ii diabetes melitus niddm dimana kadar glukosa darah tidak dikontrol diet olahraga</t>
  </si>
  <si>
    <t>DKL0408013310D1</t>
  </si>
  <si>
    <t>Glamarol 4 mg 10 Tablet</t>
  </si>
  <si>
    <t>Rp64.700 - Rp96.800</t>
  </si>
  <si>
    <t>DKL0713704109A1</t>
  </si>
  <si>
    <t>LQ Tablet 500 mg</t>
  </si>
  <si>
    <t>Rp23.900 - Rp44.100</t>
  </si>
  <si>
    <t>PENGGUNAAN OBAT INI HARUS SESUAI DENGAN PETUNJUK DOKTER. Dewasa : 250 - 500 mg 1 kali sehari selama 7 - 14 hari</t>
  </si>
  <si>
    <t>Sinusitis maksilaris akut, eksaserbasi bakteri akut dari bronkitis kronik, pneumonia yang didapat dari lingkungan , infeksi kulit dan struktur kulit yang terkomplikasi, ISK terkomplikasi, pielonefritis akut</t>
  </si>
  <si>
    <t>Hipersensitif terhadap levofloksasin atau kuinolon lain. Hamil, laktasi. Anak &lt; 18 tahun</t>
  </si>
  <si>
    <t>HARUS DENGAN RESEP DOKTER. Gangguan ginjal, lanjut usia, dehidrasi, fotosensitivitas, pemberian jangka panjang, penggunaan bersama dengan alkohol atau obat hipoglikemik oral, superinfeksi, hindari pemaparan berlebihan terhadap sinar matahari, diabetes, pasien yang diketahui atau di</t>
  </si>
  <si>
    <t>sinusitis maksilaris akut , eksaserbasi bakteri akut bronkitis kronik , pneumonia lingkungan , infeksi kulit struktur kulit terkomplikasi , isk terkomplikasi , pielonefritis akut</t>
  </si>
  <si>
    <t>lq</t>
  </si>
  <si>
    <t>lq kaplet levofloxacin hemihydrate sinusitis maksilaris akut  eksaserbasi bakteri akut bronkitis kronik  pneumonia lingkungan  infeksi kulit struktur kulit terkomplikasi  isk terkomplikasi  pielonefritis akut</t>
  </si>
  <si>
    <t>DKL0017616201A1</t>
  </si>
  <si>
    <t>Spyrocon 100 mg Kapsul</t>
  </si>
  <si>
    <t>- KOMBINASI-ITRACONAZOLE PELLETS 22%</t>
  </si>
  <si>
    <t>Rp27.100 - Rp39.800</t>
  </si>
  <si>
    <t>PENGGUNAAN OBAT INI HARUS SESUAI DENGAN PETUNJUK DOKTER. Dermatomikosis, Kandidiasis oral : 1 x sehari 1 kapsul selama 15 hari, Pitriasis Versikolor : 1 x sehari 2 kapsul selama 7 hari, Kandidiasis Vulvovaginal : 2 x sehari 2 kapsul selama 1 hari atau 1 x sehari 2 kapsul selama 3 hari, Keratinisasi berat</t>
  </si>
  <si>
    <t>Dermatomikosis, Kandidiasis Oral, Pitiriasis Versikolor, Kandidiasis Vulvovaginal, Keratitis jamur, Aspergilosis, Kandidiasis, Kriptokokosis Non-meningeal, Blastomikosis, Histoplasmosis, Parakoksidioidomikosis, Sporotrikosis.</t>
  </si>
  <si>
    <t>Box Isi 12 Kapsul</t>
  </si>
  <si>
    <t>HARUS DENGAN RESEP DOKTER. Pasien dengan peningkatan enzim hati, sirosis hepatik, insufisiensi ginjal. Anak</t>
  </si>
  <si>
    <t>kombinasi-itraconazole pellets 22%</t>
  </si>
  <si>
    <t>dermatomikosis , kandidiasis oral , pitiriasis versikolor , kandidiasis vulvovaginal , keratitis jamur , aspergilosis , kandidiasis , kriptokokosis non - meningeal , blastomikosis , histoplasmosis , parakoksidioidomikosis , sporotrikosis</t>
  </si>
  <si>
    <t>spyrocon</t>
  </si>
  <si>
    <t>spyrocon kapsul kombinasiitraconazole pellets 22 dermatomikosis  kandidiasis oral  pitiriasis versikolor  kandidiasis vulvovaginal  keratitis jamur  aspergilosis  kandidiasis  kriptokokosis non  meningeal  blastomikosis  histoplasmosis  parakoksidioidomikosis  sporotrikosis</t>
  </si>
  <si>
    <t>- KOMBINASI-ITRACONAZOLE PELLETS 22</t>
  </si>
  <si>
    <t>kombinasi-itraconazole pellets 22</t>
  </si>
  <si>
    <t>DKL9909212304A1</t>
  </si>
  <si>
    <t>Yusimox 500 mg 10 Kaplet</t>
  </si>
  <si>
    <t>Rp12.900 - Rp17.000</t>
  </si>
  <si>
    <t>yusimox</t>
  </si>
  <si>
    <t>yusimox kaplet amoxicillin penyakit infeksi kulit jaringan lunak  infeksi saluran pernafasan  infeksi saluran genitourinari  gonore disebabkan organisme gram positif gram negatif peka amoxicillin</t>
  </si>
  <si>
    <t>DKL0722244310D1</t>
  </si>
  <si>
    <t>Anpiride 4 mg 10 Tablet</t>
  </si>
  <si>
    <t>Rp64.700 - Rp98.200</t>
  </si>
  <si>
    <t>DKL0434601410B1</t>
  </si>
  <si>
    <t>Diaversa 2 mg 10 Tablet</t>
  </si>
  <si>
    <t>Rp15.600 - Rp30.600</t>
  </si>
  <si>
    <t>diaversa</t>
  </si>
  <si>
    <t>diaversa tablet glimepiride diabetes melitus tipe 2 non  insulin  dependent type ii diabetes melitus niddm dimana kadar glukosa darah tidak dikontrol diet olahraga</t>
  </si>
  <si>
    <t>DKL9409308329A1</t>
  </si>
  <si>
    <t>Gentasolon Cream 5 g</t>
  </si>
  <si>
    <t>Rp25.400 - Rp31.400</t>
  </si>
  <si>
    <t>INFORMASI OBAT INI HANYA UNTUK KALANGAN MEDIS. Pengobatan topikal penyakit kulit misalnya dermatitis atopik, terutama bentuk yang terinfeksi, neurodermatitis, dermatitis seboroik, eksim, dermatitis kontak, dermatitis eksfoliatif, pruritus anogenital.</t>
  </si>
  <si>
    <t>Hipersensitivitas. Vaksin, varicella dan TBC kulit.</t>
  </si>
  <si>
    <t>HARUS DENGAN RESEP DOKTER. Tidak untuk profilaksis atau jangka panjang. Gejala timbul kembali jika terapi dihentikan tiba-tiba. Hindari penggunaan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</si>
  <si>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topikal penyakit kulit dermatitis atopik , bentuk terinfeksi , neurodermatitis , dermatitis seboroik , eksim , dermatitis kontak , dermatitis eksfoliatif , pruritus anogenital</t>
  </si>
  <si>
    <t>gentasolon cream</t>
  </si>
  <si>
    <t>gentasolon cream krim fluocinolone acetonide pengobatan topikal penyakit kulit dermatitis atopik  bentuk terinfeksi  neurodermatitis  dermatitis seboroik  eksim  dermatitis kontak  dermatitis eksfoliatif  pruritus anogenital</t>
  </si>
  <si>
    <t>- MAGNESIUM HYDROXIDE. DRIED ALUMINIUM HYDROXIDE GEL. SIMETHICONE EMULSION 30</t>
  </si>
  <si>
    <t>magnesium hydroxide dried aluminium hydroxide gel simethicone emulsion 30</t>
  </si>
  <si>
    <t>triocid suspensi magnesium hydroxide dried aluminium hydroxide gel simethicone emulsion 30 untuk menurunkan tingkat keasaman lambung  menghilangkan flatulent kembung terapi tambahan ulkus peptikum</t>
  </si>
  <si>
    <t>DKL0434601410A1</t>
  </si>
  <si>
    <t>Diaversa 1 mg 10 Tablet</t>
  </si>
  <si>
    <t>Rp15.100 - Rp21.500</t>
  </si>
  <si>
    <t>DKL1032404201A1</t>
  </si>
  <si>
    <t>Cefacef 100 mg 10 Kapsul</t>
  </si>
  <si>
    <t>Rp261.800 - Rp285.600</t>
  </si>
  <si>
    <t>PENGGUNAAN OBAT INI HARUS SESUAI DENGAN PETUNJUK DOKTER. Dewasa: Dosis lazim: sehari 2x50-100 mg. Untuk gonorrhoea tidak terkomplikasi: dosis tunggal 400 mg dapat diberikan. Anak-anak berat badan lebih dari 30 kg: dianjurkan menggunakan dosis harian: sehari 2x50-100 mg</t>
  </si>
  <si>
    <t>DKL1711645301A1</t>
  </si>
  <si>
    <t>Remabrex 200 mg 10 Kapsul</t>
  </si>
  <si>
    <t xml:space="preserve">- Pasien hipersensitivitas celecoxib. - Pasien dengan reaksi hipersensitivitas terhadap sulphonamide. - Pasien dengan riwayat asma, urticaria, atau reaksi alergi setelah mengkonsumsi aspirin atau NSAID lainnya. - Untuk pengobatan nyeri pasca-operasi CABG </t>
  </si>
  <si>
    <t>DKL0928204304B1</t>
  </si>
  <si>
    <t>Simryl 2 mg 10 Kaplet</t>
  </si>
  <si>
    <t>Rp46.500 - Rp72.800</t>
  </si>
  <si>
    <t>simryl</t>
  </si>
  <si>
    <t>simryl kaplet glimepiride diabetes melitus tipe 2 non  insulin  dependent type ii diabetes melitus niddm dimana kadar glukosa darah tidak dikontrol diet olahraga</t>
  </si>
  <si>
    <t>DKL1235804329A1</t>
  </si>
  <si>
    <t>Lumiquin Cream 15 g</t>
  </si>
  <si>
    <t>Rp57.300 - Rp81.200</t>
  </si>
  <si>
    <t>Mengobati jerawat. Memutihkan secara bertahap hiperpigmentasi kulit: kloasma, melasma, noda hitam akibat usia, dan hiperpigmentasi karena melamin akibat pemakaian kontrasepsi oral.</t>
  </si>
  <si>
    <t>Penyakit akibat virus, infeksi kulit akibat bakteri &amp; jamur, jerawat, rosase, &amp; dermatitis perioral.</t>
  </si>
  <si>
    <t>Penggunaan jangka panjang atau luas selama hamil. Penggunaan pada wajah.</t>
  </si>
  <si>
    <t>mengobati jerawat  memutihkan bertahap hiperpigmentasi kulit kloasma , melasma , noda hitam akibat usia , hiperpigmentasi melamin akibat pemakaian kontrasepsi oral</t>
  </si>
  <si>
    <t>lumiquin cream</t>
  </si>
  <si>
    <t>lumiquin cream krim fluocinolone acetonide mengobati jerawat  memutihkan bertahap hiperpigmentasi kulit kloasma  melasma  noda hitam akibat usia  hiperpigmentasi melamin akibat pemakaian kontrasepsi oral</t>
  </si>
  <si>
    <t>Bausch+Lomb Renu Fresh Multi-Purpose Solution 60 ml</t>
  </si>
  <si>
    <t>Rp30.000 - Rp49.500</t>
  </si>
  <si>
    <t>Cairan pembersih lensa kontak yang dapat membunuh bakteri dan jamur, sekaligus memberikan kelembaban yang seimbang, sehingga menjaga kenyamanan pengguanaan lensa kontak.</t>
  </si>
  <si>
    <t>Cairan ini hanya untuk cuci dan rendam, tidak dapat digunakan untuk tetes mata. 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90 hari. Hindari penggunaan cairan di atas batas masa simpannya.</t>
  </si>
  <si>
    <t>cairan pembersih lensa kontak membunuh bakteri jamur , kelembaban seimbang , menjaga kenyamanan pengguanaan lensa kontak</t>
  </si>
  <si>
    <t>bauschlomb renu fresh multipurpose solution</t>
  </si>
  <si>
    <t>bauschlomb renu fresh multipurpose solution tablet kombinasivalsartan blend 32 cairan pembersih lensa kontak membunuh bakteri jamur  kelembaban seimbang  menjaga kenyama pengguanaan lensa kontak</t>
  </si>
  <si>
    <t>QD132711991</t>
  </si>
  <si>
    <t>Cap Lang Balsam Gosok 40 g</t>
  </si>
  <si>
    <t>Rp15.000 - Rp29.600</t>
  </si>
  <si>
    <t>Membantu meredakan pusing, masuk angin, pegal-pegal, nyeri sendi, kesleo, melegakan pernafasan, mabuk perjalanan dan gatal karena gigitan serangga</t>
  </si>
  <si>
    <t>Pot 40 G</t>
  </si>
  <si>
    <t>membantu meredakan pusing , masuk angin , pegal - pegal , nyeri sendi , kesleo , melegakan pernafasan , mabuk perjalanan gatal gigitan serangga</t>
  </si>
  <si>
    <t>cap lang balsam gosok</t>
  </si>
  <si>
    <t>cap lang balsam gosok balsam camphor membantu meredakan pusing  masuk angin  pegal  pegal  nyeri sendi  kesleo  melegakan pernafasan  mabuk perjala gatal gigitan serangga</t>
  </si>
  <si>
    <t>cendo xitrol eye drop tetes dexamethasone neomycin sulfate polymyxin b sulfate kondisi inflamasi mata responsif steroid disertai infeksi bakteri reaksi infeksi mata bakteri</t>
  </si>
  <si>
    <t>Oxycan Blue Kaleng</t>
  </si>
  <si>
    <t>Membantu mengembalikan kadar oksigen tubuh pada tingkat normal saat tubuh kekurangan oksigen karena kelelaha, olahraga berat, stress, pada tempat tinggi, kualitas udara yang buruk, dll.</t>
  </si>
  <si>
    <t>Kaleng @ 600 cc</t>
  </si>
  <si>
    <t>membantu mengembalikan kadar oksigen tubuh tingkat normal tubuh kekurangan oksigen kelelaha , olahraga berat , stress , , kualitas udara buruk , dll</t>
  </si>
  <si>
    <t>oxycan blue kaleng</t>
  </si>
  <si>
    <t>oxycan blue kaleng gas oxygen membantu mengembalikan kadar oksigen tubuh tingkat normal tubuh kekurangan oksigen kelelaha  olahraga berat  stress   kualitas udara buruk  dll</t>
  </si>
  <si>
    <t>DTL7809222133A1</t>
  </si>
  <si>
    <t>Paratenza Suspensi 60 ml</t>
  </si>
  <si>
    <t>Rp8.300 - Rp15.600</t>
  </si>
  <si>
    <t>Dosis anak 2-5 tahun: 1/2 sendok takar (2,5 ml) 3 x sehari. Anak 6-12 tahun: 1 sendok takar (5 ml) 3 x sehari. Dewasa dan anak &gt; 12 tahun: 2 sendok takar (10 ml) 3 x sehari.</t>
  </si>
  <si>
    <t>Meringankan gejala flu seperti demam, sakit kepala, hidung tersumbat dan bersin-bersin yang disertai batuk tidak berdahak.</t>
  </si>
  <si>
    <t>paracetamol pseudoephedrine hydrochloride dextromethorphan hydrobromide chlorphenamine maleate</t>
  </si>
  <si>
    <t>paratenza</t>
  </si>
  <si>
    <t>paratenza suspensi paracetamol pseudoephedrine hydrochloride dextromethorphan hydrobromide chlorphenamine maleate meringankan gejala flu demam  sakit kepala  hidung tersumbat bersin  bersin disertai batuk tidak berdahak</t>
  </si>
  <si>
    <t>TR172607931</t>
  </si>
  <si>
    <t>Cap Lang Minyak Ekaliptus Aromatherapy Rose 60 ml</t>
  </si>
  <si>
    <t>Minyak Ekaliptus Aromatherapy Rose</t>
  </si>
  <si>
    <t>Rp20.900 - Rp45.000</t>
  </si>
  <si>
    <t>Meringankan sakit perut, perut kembung, rasa mual, dan gatal-gatal akibat gigitan serangga /nyamuk, aromaterapi.</t>
  </si>
  <si>
    <t>minyak ekaliptus aromatherapy rose</t>
  </si>
  <si>
    <t>meringankan sakit perut , perut kembung , mual , gatal - gatal akibat gigitan serangga nyamuk , aromaterapi</t>
  </si>
  <si>
    <t>cap lang ekaliptus aromatherapy rose</t>
  </si>
  <si>
    <t>cap lang ekaliptus aromatherapy rose minyak minyak ekaliptus aromatherapy rose meringankan sakit perut  perut kembung  mual  gatal  gatal akibat gigitan serangga nyamuk  aromaterapi</t>
  </si>
  <si>
    <t>DKL2005064837A1</t>
  </si>
  <si>
    <t>Proterol Syrup 25 mcg/5 ml 60 ml</t>
  </si>
  <si>
    <t>PENGGUNAAN OBAT INI HARUS SESUAI DENGAN PETUNJUK DOKTER. - Dewasa &amp; Anak-anak &gt;6 tahun:2 x Sehari, 5 ml (procaterol HCl hemihydrate 25 mcg). - Anak-anak &lt;6 tahun: 2 x Sehari, 0,25 ml (procaterol HCl hemihydrate 1,25 mcg) perkgBB.</t>
  </si>
  <si>
    <t>INFORMASI OBAT INI HANYA UNTUK KALANGAN MEDIS. untuk remisi dari berbagai gejala yang disebabkan oleh gangguan saluran pernapasan obstruktif pada penyakit berikut: Asma bronkial, bronkitis kronis, emfisema paru, bronkitis akut, asthmatoid bronchitis.</t>
  </si>
  <si>
    <t>pasien dengan riwayat hipersensitivitas terhadap komponen di dalam obat.</t>
  </si>
  <si>
    <t>HARUS DENGAN RESEP DOKTER. Hindari penggunaan pada : - Pasien dengan hipertiroid (dapat memperparah penyakit). - Pasien dengan gangguan jantung (palpitasi, aritmia, peningkatan keparahan penyakit jantung dan gejala lain dapat muncul). - Pasien dengan hipertensi (tekanan darah lebih lanjut dapat meningkat). - Pasien dengan diabetes mellitus (dapat memperparah penyakit). - Pasien yang sedang hamil atau diduga hamil.</t>
  </si>
  <si>
    <t>remisi gejala disebabkan gangguan saluran pernapasan obstruktif penyakit asma bronkial , bronkitis kronis , emfisema paru , bronkitis akut , asthmatoid bronchitis</t>
  </si>
  <si>
    <t>proterol</t>
  </si>
  <si>
    <t>proterol sirup procaterol hydrochloride hemihydrate remisi gejala disebabkan gangguan saluran pernapasan obstruktif penyakit asma bronkial  bronkitis kronis  emfisema paru  bronkitis akut  asthmatoid bronchitis</t>
  </si>
  <si>
    <t>TR205642321</t>
  </si>
  <si>
    <t>Minyak Kutus Kutus 100 ml</t>
  </si>
  <si>
    <t>MINYAK KUTUS KUTUS</t>
  </si>
  <si>
    <t>Rp169.300 - Rp261.100</t>
  </si>
  <si>
    <t>Gosokan secukupnya pada kening, dada, hidung atau pada bagian yang sakit lainnya.</t>
  </si>
  <si>
    <t>oleskan sesuai kebutuhan</t>
  </si>
  <si>
    <t>Minyak gosok ini digunakan untuk membantu meredakan masuk angin, perut kembung, pegal linu, nyeri pada persendian, dan meringankan gatal akibat gigitan serangga.</t>
  </si>
  <si>
    <t>minyak kutus kutus</t>
  </si>
  <si>
    <t>minyak gosok membantu meredakan masuk angin , perut kembung , pegal linu , nyeri persendian , meringankan gatal akibat gigitan serangga</t>
  </si>
  <si>
    <t>kutus kutus</t>
  </si>
  <si>
    <t>kutus kutus minyak minyak kutus kutus minyak gosok membantu meredakan masuk angin  perut kembung  pegal linu  nyeri persendian  meringankan gatal akibat gigitan serangga</t>
  </si>
  <si>
    <t>cendo cenfresh eye tetes carmellose sodium mengurangi riritasi mata kering  melindungi mata iritasi  mengurangi tidak nyaman iritasi mata ringan  terkena matahari sinar matahari</t>
  </si>
  <si>
    <t>FF152600651</t>
  </si>
  <si>
    <t>Stimuno Sirup Rasa Anggur 100 ml</t>
  </si>
  <si>
    <t>STIMUNO RASA ANGGUR</t>
  </si>
  <si>
    <t>Rp33.200 - Rp53.300</t>
  </si>
  <si>
    <t>Anak-anak di atas 1 tahun: 5 ml, diminum 3 kali per hari. Dewasa: 10 ml, diminum 3 kali per hari</t>
  </si>
  <si>
    <t>Tidak boleh digunakan pada wanita hamil, pasien dengan hipersensitivitas terhadap phyllanthus niruri dan pasien yang menderita penyakit autoimun</t>
  </si>
  <si>
    <t>Kocok dahulu sebelum diminum. Produk ini tidak mengandung alkohol dan pewarna tambahan.</t>
  </si>
  <si>
    <t>stimuno rasa anggur</t>
  </si>
  <si>
    <t>stimuno rasa anggur sirup immunomodulator membantu memperbaiki sistem imun membantu merangsang tubuh memproduksi antibodi membantu mengaktifkan sistem kekebalan tubuh daya tahan tubuh optimal</t>
  </si>
  <si>
    <t>cendo cenfresh minidose tetes carmellose sodium mengurangi iritasi mata kering  melindungi mata iritasi  mengurangi tidak nyaman iritasi mata ringan  terkena angin sinar matahari</t>
  </si>
  <si>
    <t>TR092303851</t>
  </si>
  <si>
    <t>Sido Muncul Ginkgo Biloba 30 Kapsul</t>
  </si>
  <si>
    <t>SIDO MUNCUL GINKGO BILOBA</t>
  </si>
  <si>
    <t>Rp75.000 - Rp100.100</t>
  </si>
  <si>
    <t>? Meningkatkan daya ingat, konsentrasi dan kewaspadaan. ? Memperlancar peredaran darah. ? Mencegah penyumbatan pembuluh darah arteri/stroke. ? Meningkatkan fungsi pendengaran, baik untuk vertigo dan tinnitus.</t>
  </si>
  <si>
    <t>sido muncul ginkgo biloba</t>
  </si>
  <si>
    <t>? meningkatkan daya , konsentrasi kewaspadaan  ? memperlancar peredaran darah  ? mencegah penyumbatan pembuluh darah arteri stroke  ? meningkatkan fungsi pendengaran , vertigo tinnitus</t>
  </si>
  <si>
    <t>sido muncul ginkgo biloba kapsul  meningkatkan daya  konsentrasi kewaspadaan   memperlancar peredaran darah   mencegah penyumbatan pembuluh darah arteri stroke   meningkatkan fungsi pendengaran  vertigo tinnitus</t>
  </si>
  <si>
    <t>DKL0117617029A1</t>
  </si>
  <si>
    <t>Lotasbat 0.05% Cream 10 g</t>
  </si>
  <si>
    <t>Rp69.700 - Rp86.400</t>
  </si>
  <si>
    <t>PENGGUNAAN OBAT INI HARUS SESUAI DENGAN PETUNJUK DOKTER. Oleskan tipis 1-2 x sehari, maximum 50 g/ minggu</t>
  </si>
  <si>
    <t>INFORMASI OBAT INI HANYA UNTUK KALANGAN MEDIS. Pengobatan jangka pendek Dermatosis yang resisten misalnya : Psoriasis, Ekzema yang resisten, Likhen Planus, Lupus Eritematosus &amp; kondisi2 lain yang tidak responsif memuaskan terhadap steroid yang kurang kuat</t>
  </si>
  <si>
    <t>pengobatan jangka pendek dermatosis resisten psoriasis , ekzema resisten , likhen planus , lupus eritematosus kondisi2 tidak responsif memuaskan steroid kuat</t>
  </si>
  <si>
    <t>lotasbat cream</t>
  </si>
  <si>
    <t>lotasbat cream krim clobetasol propionate pengobatan jangka pendek dermatosis resisten psoriasis  ekzema resisten  likhen planus  lupus eritematosus kondisi2 tidak responsif memuaskan steroid kuat</t>
  </si>
  <si>
    <t>DKL1039200617A1</t>
  </si>
  <si>
    <t>Metilev Tablet 500 mg</t>
  </si>
  <si>
    <t>Rp34.500 - Rp35.500</t>
  </si>
  <si>
    <t>Sinusitis maksilaris akut, pneumonia yang didapat dr lingkungan, infeksi kulit &amp; struktur kulit terkomplikasi, ISK terkomplikasi termasuk pielonefritis akut, bronkitis kronik dengan eksaserbasi akut.</t>
  </si>
  <si>
    <t>Hipersensitif terhadap levofloxacin &amp; kuinolon lain</t>
  </si>
  <si>
    <t>TR162692071</t>
  </si>
  <si>
    <t>Cap Gajah Minyak Kayu Putih 180 ml</t>
  </si>
  <si>
    <t>MINYAK KAYU PUTIH CAP GAJAH</t>
  </si>
  <si>
    <t>Rp51.000 - Rp62.400</t>
  </si>
  <si>
    <t>Meredakan sakit perut, perut kembung, gejala masuk angin, gatal-gatal akibat gigitan serangga</t>
  </si>
  <si>
    <t>Botol @ 180 ml</t>
  </si>
  <si>
    <t>minyak kayu putih cap gajah</t>
  </si>
  <si>
    <t>meredakan sakit perut , perut kembung , gejala masuk angin , gatal - gatal akibat gigitan serangga</t>
  </si>
  <si>
    <t>cap gajah kayu putih</t>
  </si>
  <si>
    <t>cap gajah kayu putih minyak minyak kayu putih cap gajah meredakan sakit perut  perut kembung  gejala masuk angin  gatal  gatal akibat gigitan serangga</t>
  </si>
  <si>
    <t>DKL0233507202A1</t>
  </si>
  <si>
    <t>Ostovel 30 Kapsul</t>
  </si>
  <si>
    <t>Rp206.100 - Rp277.400</t>
  </si>
  <si>
    <t>PENGGUNAAN OBAT INI HARUS SESUAI DENGAN PETUNJUK DOKTER. Pada Dewasa : Osteoporosis paska menopause : 2 x sehari 1 kapsul. Osteodistrofi Ginjal pada pasien dialisis : diawali 1 kapsul perhari, dapat d</t>
  </si>
  <si>
    <t>Osteoporosis paska menopause. Osteodistrofi Ginjal pada pasien dengan Gagal Ginjal Khronik, Hipoparatiroidisme paska operasi dan idiopatik, PseudoHipoparatiroidisme, penyakit Rickets/Rachitis yang tergantung pada vit.D.</t>
  </si>
  <si>
    <t>Hiperkalsemia. Penyakit ginjal kronik.</t>
  </si>
  <si>
    <t>HARUS DENGAN RESEP DOKTER. Monitor kadar Ca, Mg, dan alkalin fosfatase serum</t>
  </si>
  <si>
    <t>DKI1152502201C1</t>
  </si>
  <si>
    <t>Pradaxa 150 mg 10 Kapsul</t>
  </si>
  <si>
    <t>Berikan pada saat atau sesudah makan</t>
  </si>
  <si>
    <t>PENGGUNAAN OBAT INI HARUS SESUAI DENGAN PETUNJUK DOKTER. Pencegahan kejadian tromboemboli vena sesudah operasi penggantian tulang lutut : terapi awal 1 kapsul dalam waktu 1-4 jam sesudah operasi selesai dilakukan. dilanjutkan dengan 2 kapsul/hari selama 10 hari. jika terapi tidak dimulai pada hari yang sama dengan operasi, terapi diawali dengan dosis 2 kapsul perhari</t>
  </si>
  <si>
    <t>Tempra Forte Sirup Rasa Anggur 30 ml</t>
  </si>
  <si>
    <t>Rp32.000 - Rp35.200</t>
  </si>
  <si>
    <t>tempra forte rasa anggur sirup paracetamol obat meredakan sakit kepala  sakit gigi  sakit otot  nyeri mengganggu menurunkan demam menyertai flu influensa demam vaksinasi</t>
  </si>
  <si>
    <t>DKI1214500411A1</t>
  </si>
  <si>
    <t>Fluimucil 600 mg 2 Tablet Effervescent</t>
  </si>
  <si>
    <t>Rp18.700 - Rp41.200</t>
  </si>
  <si>
    <t>Larutkan tablet effervescent ke dalam gelas yang berisi air secukupnya.</t>
  </si>
  <si>
    <t>ATURAN PAKAI HARUS SESUAI DENGAN PETUNJUK DOKTER. Treatment penyakit saluran pernafasan 1 tablet effervescent per hari (lebih baik pada malam hari), atau tergantung dari peresepan dokter. Untuk keracunan parasetamol yang disengaja maupun tidak, sesuai petunjuk dokter / apoteker.</t>
  </si>
  <si>
    <t>INFORMASI OBAT INI HANYA UNTUK KALANGAN MEDIS. Sebagai treatment penyakit saluran pernafasan yang ditandai dengan hipersekresi mukus yang tebal dan kental. FLUIMUCIL Effervescent 600 juga digunakan untuk terapi antidotum keracunan parasetamol yang disengaja maupun tidak.</t>
  </si>
  <si>
    <t>Dus, 5 Blister @ 2 Tablet Effervescent</t>
  </si>
  <si>
    <t>Obat Wajib Apotek, Obat ini dapat dibeli dan diserahkan apoteker tanpa resep dengan maksimum 10 Strip. Pembelian melebihi batas ini WAJIB RESEP DOKTER. Jangan minum FLUIMUCIL - Bila hipersensitif terhadap zat aktif atau zat tambahan obat ini - Pada penderita dengan riwayat gastritis, sebaiknya diberikan setelah makan.</t>
  </si>
  <si>
    <t>sebagai treatment penyakit saluran pernafasan ditandai hipersekresi mukus tebal kental  fluimucil effervescent 600 terapi antidotum keracunan parasetamol disengaja tidak</t>
  </si>
  <si>
    <t>fluimucil effervescent</t>
  </si>
  <si>
    <t>fluimucil effervescent tablet acetylcysteine sebagai treatment penyakit saluran pernafasan ditandai hipersekresi mukus tebal kental  fluimucil effervescent 600 terapi antidotum keracu parasetamol disengaja tidak</t>
  </si>
  <si>
    <t>magtral mint tablet magnesium hydroxide simethicone dried aluminium hydroxide gel sakit maag  hiperasiditas  tukak lambung usus halus  perut kembung  dispepsia gangguan pencernaan  heartbum</t>
  </si>
  <si>
    <t>DKL1006414310A1</t>
  </si>
  <si>
    <t>Domeran 10 mg 10 Tablet</t>
  </si>
  <si>
    <t>Rp27.200 - Rp27.500</t>
  </si>
  <si>
    <t>Dispepsia yang disertai oleh perlambatan pengosongan lambung, refluks gastro-esofagus &amp; esofagitis. Rasa penuh pada perut dan ulu hati, rasa seperti terbakar pada ulu hati dan retrosternal. Mual dan muntah karena berbagai macam sebab.</t>
  </si>
  <si>
    <t>Tumor hipofise yang mengeluarkan prolaktin (prolaktinoma).</t>
  </si>
  <si>
    <t>HARUS DENGAN RESEP DOKTER. Wanita hamil dan menyusui, penggunaan jangka panjang, penderita gangguan fungsi ginjal</t>
  </si>
  <si>
    <t>dispepsia disertai perlambatan pengosongan lambung , refluks gastro - esofagus esofagitis  rasa penuh perut ulu hati , terbakar ulu hati retrosternal  mual muntah</t>
  </si>
  <si>
    <t>domeran</t>
  </si>
  <si>
    <t>domeran tablet domperidone dispepsia disertai perlambatan pengosongan lambung  refluks gastro  esofagus esofagitis  rasa penuh perut ulu hati  terbakar ulu hati retrosternal  mual muntah</t>
  </si>
  <si>
    <t>Stimuno Sirup Rasa Anggur 60 ml</t>
  </si>
  <si>
    <t>Rp23.600 - Rp38.500</t>
  </si>
  <si>
    <t>gentamicin sulfate fluocinolone acetonide</t>
  </si>
  <si>
    <t>genolon cream krim gentamicin sulfate fluocinolone acetonide pengobatan topikal ermatosis dermatitis atopik  eksim  neurodermatitis  seborrhoeic dermatitis  contact dermatitis  gatal daerah anogenital  exfoliative dermatitis</t>
  </si>
  <si>
    <t>DKI9282000368A1</t>
  </si>
  <si>
    <t>Ventolin Nebules 2.5 mg 5 Ampul</t>
  </si>
  <si>
    <t>Rp36.300 - Rp81.300</t>
  </si>
  <si>
    <t>Masukkan ke dalam nebulizer untuk dibuat menjadi partikel gas dan dihirup</t>
  </si>
  <si>
    <t>PENGGUNAAN OBAT INI HARUS SESUAI DENGAN PETUNJUK DOKTER. Dewasa &amp; anak: Awal 2.5 mg, lalu dapat ditingkatkan s/d 5 mg. Dapat diulangi 4 kali per hari dengan nebulizer. Obstruksi saluran napas berat dewasa s/d 40 mg per hari.</t>
  </si>
  <si>
    <t>INFORMASI OBAT INI HANYA UNTUK KALANGAN MEDIS. Penatalaksanaan &amp; pencegahan serangan asma. Penatalaksanaan rutin bronkospasme kronis yang tidak responsif terhadap terapi konvensional</t>
  </si>
  <si>
    <t>Cap Gajah Minyak Kayu Putih 120 ml</t>
  </si>
  <si>
    <t>Botol Kaca @ 120 ml</t>
  </si>
  <si>
    <t>Salonpas Koyo 20 Patch</t>
  </si>
  <si>
    <t>Dewasa dan anak &gt; 12 tahun: 3-4 kali sehari. Anak usia &lt; 12 tahun: konsultasi ke dokter.</t>
  </si>
  <si>
    <t>Pack @ 20 Lembar</t>
  </si>
  <si>
    <t>Hanya untuk pemakaian luar. Jangan digunakan pada luka atau kulit yang rusak, pada orang yang alergi terhadap aspirin atau salisilat. Hindari kontak dengan mata, selaput lendir, atau ruam.</t>
  </si>
  <si>
    <t>DBL1124401337A1</t>
  </si>
  <si>
    <t>Tempra Forte Sirup Rasa Jeruk 60 ml</t>
  </si>
  <si>
    <t>Rp58.600 - Rp66.600</t>
  </si>
  <si>
    <t>tempra forte rasa jeruk</t>
  </si>
  <si>
    <t>tempra forte rasa jeruk sirup paracetamol obat meredakan sakit kepala  sakit gigi  sakit otot  nyeri mengganggu menurunkan demam menyertai flu influensa demam vaksinasi</t>
  </si>
  <si>
    <t>DKI0952502201A1</t>
  </si>
  <si>
    <t>Pradaxa 75 mg 10 Kapsul</t>
  </si>
  <si>
    <t>Rp282.400 - Rp380.200</t>
  </si>
  <si>
    <t>Bausch+Lomb Renu Fresh Multi-Purpose Solution 355 ml</t>
  </si>
  <si>
    <t>Rp68.000 - Rp104.500</t>
  </si>
  <si>
    <t>Dus, Botol @ 355 ml</t>
  </si>
  <si>
    <t>magtral suspensi dried aluminium hydroxide gel magnesium hydroxide simethicone mengurangi gejala  gejala berhubungan kelebihan asam lambung  gastritis  tukak lambung  tukak usus belas jari</t>
  </si>
  <si>
    <t>DKI1110300201B1</t>
  </si>
  <si>
    <t>Broncho-Vaxom Children 3.5 mg 10 Kapsul</t>
  </si>
  <si>
    <t>Rp202.200 - Rp234.800</t>
  </si>
  <si>
    <t>PENGGUNAAN OBAT INI HARUS SESUAI DENGAN PETUNJUK DOKTER. 1 kali sehari 1 kapsul selama 10 hari/bulan, selama 3 bulan</t>
  </si>
  <si>
    <t>Imunoterapi. Pencegahan infeksi berulang dari saluran udara dan eksaserbasi infeksi akut dari bronkitis kronis. Co-obat dalam pengobatan infeksi saluran napas akut.</t>
  </si>
  <si>
    <t>Kapsul 3.5 Mg X 10 X 1</t>
  </si>
  <si>
    <t>HARUS DENGAN RESEP DOKTER. Kehamilan dan laktasi. Anak berusia &lt;6 bulan</t>
  </si>
  <si>
    <t>kombinasi-bacterial lysates</t>
  </si>
  <si>
    <t>imunoterapi  pencegahan infeksi berulang saluran udara eksaserbasi infeksi akut bronkitis kronis  co - obat pengobatan infeksi saluran napa akut</t>
  </si>
  <si>
    <t>bronchovaxom children</t>
  </si>
  <si>
    <t>bronchovaxom children kapsul kombinasibacterial lysates imunoterapi  pencegahan infeksi berulang saluran udara eksaserbasi infeksi akut bronkitis kronis  co  obat pengobatan infeksi saluran napa akut</t>
  </si>
  <si>
    <t>DKL9709207804A1</t>
  </si>
  <si>
    <t>Dionicol 500 mg 10 Kaplet</t>
  </si>
  <si>
    <t>Rp24.000 - Rp26.300</t>
  </si>
  <si>
    <t>PENGGUNAAN OBAT INI HARUS SESUAI DENGAN PETUNJUK DOKTER. Dewasa, anak &amp; bayi &gt; 2 minggu 50 mg/kg berat badan/hari dalam 3-4 dosis terbagi.Bayi prematur &amp; bayi &lt; 2 minggu 25 mg/kg berat badan/hari dalam 4 dosis terbagi.</t>
  </si>
  <si>
    <t>Typhoid, paratyphoid.Infeksi yang disebabkan oleh Salmonella sp, H influenzae ( terutama infeksi meningeal ), rickettsia, chlamydia, organisme gram negative.Infeksi yang disebabkan oleh organisme yang sensitif terhadap thiamphenicol.</t>
  </si>
  <si>
    <t>Hipersensitif terhadap ThiaphenicolPasien dengan gangguan faal hati yang berat.Jangan digunakan untuk pencegahan infeksi</t>
  </si>
  <si>
    <t>HARUS DENGAN RESEP DOKTER. Hanya digunakan untuk infeksi yang sudah jelas peyebabnya,kecuali bila ada kemungkinan infeksi berat.Pada pemakaian Thiamphenicol dalam jangka waktu yang lama perlu dilakukan pemeriksaan hematologik secara berkala.Perlu dilakukan pengawasan terhadap kemungkinan timbulnya super infeksi dengan bakteri dan jamur.hati - hati penggunaan terhadap Penderita dengan gangguan ginjal,Wanita hamil dan menyusui berhubung keamanan pemakaian belum diketahui dengan pasti,Bayi prematur dan bayi baru lahir (2 minggu pertama). Kategori Kehamilan : C</t>
  </si>
  <si>
    <t>typhoid , paratyphoid  infeksi disebabkan salmonella sp , h influenzae infeksi meningeal , rickettsia , chlamydia , organisme gram negative  infeksi disebabkan organisme sensitif thiamphenicol</t>
  </si>
  <si>
    <t>dionicol</t>
  </si>
  <si>
    <t>dionicol kaplet thiamphenicol typhoid  paratyphoid  infeksi disebabkan salmonella sp  h influenzae infeksi meningeal  rickettsia  chlamydia  organisme gram negative  infeksi disebabkan organisme sensitif thiamphenicol</t>
  </si>
  <si>
    <t>Konicare Minyak Telon Plus 30 ml</t>
  </si>
  <si>
    <t>Rp12.000 - Rp21.800</t>
  </si>
  <si>
    <t>Membantu meredakan perut kembung serta memberikan rasa hangat pada bayi dan membantu menghindarkan bayi dari gigitan nyamuk/ serangga selama 8 jam</t>
  </si>
  <si>
    <t>Botol, @ 30 ml</t>
  </si>
  <si>
    <t>Simpan pada tempat kering, suhu dibawah 30 C serta terlindung dari cahaya.</t>
  </si>
  <si>
    <t>membantu meredakan perut kembung hangat bayi membantu menghindarkan bayi gigitan nyamuk serangga 8 jam</t>
  </si>
  <si>
    <t>konicare telon plus minyak konicare minyak telon plus lavender membantu meredakan perut kembung hangat bayi membantu menghindarkan bayi gigitan nyamuk serangga 8 jam</t>
  </si>
  <si>
    <t>DKL0507917004C1</t>
  </si>
  <si>
    <t>Versibet 3 mg 10 Tablet</t>
  </si>
  <si>
    <t>Rp24.000 - Rp44.700</t>
  </si>
  <si>
    <t>versibet</t>
  </si>
  <si>
    <t>versibet tablet glimepiride diabetes melitus tipe 2 non  insulin  dependent type ii diabetes melitus niddm dimana kadar glukosa darah tidak dikontrol diet olahraga</t>
  </si>
  <si>
    <t>Rp100.000 - Rp154.400</t>
  </si>
  <si>
    <t>versibet kaplet glimepiride diabetes melitus tipe 2 non  insulin  dependent type ii diabetes melitus niddm dimana kadar glukosa darah tidak dikontrol diet olahraga</t>
  </si>
  <si>
    <t>DKL0507917004B1</t>
  </si>
  <si>
    <t>Versibet 2 mg 10 Tablet</t>
  </si>
  <si>
    <t>Rp10.800 - Rp20.200</t>
  </si>
  <si>
    <t>DKL1920941501A1</t>
  </si>
  <si>
    <t>Incetyl 200 mg 10 Kapsul</t>
  </si>
  <si>
    <t>Rp15.500 - Rp16.700</t>
  </si>
  <si>
    <t>incetyl</t>
  </si>
  <si>
    <t>incetyl kapsul acetyl cysteine mukolitik terapi akut kronik penyakit bronkial paru mukus tebal  akut bronkhitis  bronkhitis kronik akut berulang  pulmonari emfisema  mukovisidosis  bronkiektasis</t>
  </si>
  <si>
    <t>DBL0534005633A1</t>
  </si>
  <si>
    <t>Novamag Suspensi 60 ml</t>
  </si>
  <si>
    <t>Rp4.800 - Rp14.400</t>
  </si>
  <si>
    <t>novamag suspensi dried aluminium hydroxide gel magnesium hydroxide simethicone mengurangi gejala  gejala berhubungan kelebihan asam lambung  gastritis  tukak lambung  tukak usus belas jari</t>
  </si>
  <si>
    <t>cendo eyefresh minidose tetes hypromellose dextran 70 mengurangi lapisan pelindung permukaan mata lapisan air mata ear film  lapisan air mata melapisi membasahi mata</t>
  </si>
  <si>
    <t>DKL9622218646A1</t>
  </si>
  <si>
    <t>Polidemisin Eye Drops 5 ml</t>
  </si>
  <si>
    <t>Rp37.200 - Rp41.000</t>
  </si>
  <si>
    <t>PENGGUNAAN OBAT INI HARUS SESUAI DENGAN PETUNJUK DOKTER. 4-6 x sehari 1 atau 2 tetes pada mata yang terinfeksi</t>
  </si>
  <si>
    <t>Inflamasi mata responsif terhadap steroid dimana terdapat infeksi/resiko infeksi bakteri. Inflamasi pada konjungtiva Palpebral dan konjungtiva Bulbar, Kornea dan segmen anterior bola mata</t>
  </si>
  <si>
    <t>Botol 5 G</t>
  </si>
  <si>
    <t>HARUS DENGAN RESEP DOKTER. Hipersensitif, epithelial herpes simplek, cacar sapi, cacar air, penyakit jamur pada mata</t>
  </si>
  <si>
    <t>inflamasi mata responsif steroid dimana infeksi resiko infeksi bakteri  inflamasi konjungtiva palpebral konjungtiva bulbar , kornea segmen anterior bola mata</t>
  </si>
  <si>
    <t>polidemisin eye</t>
  </si>
  <si>
    <t>polidemisin eye tetes dexamethasone inflamasi mata responsif steroid dimana infeksi resiko infeksi bakteri  inflamasi konjungtiva palpebral konjungtiva bulbar  kornea segmen anterior bola mata</t>
  </si>
  <si>
    <t>DKI0952502201B1</t>
  </si>
  <si>
    <t>Pradaxa 110 mg 10 Kapsul</t>
  </si>
  <si>
    <t>Rp286.600 - Rp385.200</t>
  </si>
  <si>
    <t>DKL9822223628A1</t>
  </si>
  <si>
    <t>Centabio Gel 20 g</t>
  </si>
  <si>
    <t>Rp30.000 - Rp33.400</t>
  </si>
  <si>
    <t>PENGGUNAAN OBAT INI HARUS SESUAI DENGAN PETUNJUK DOKTER. 2-5 kali perhari.</t>
  </si>
  <si>
    <t>Luka bakar, tukak khronik, luka2 yang lama sembuh &amp; bergranulasi, tukak/luka dekubital (akibat berbaring terus menerus), Ekzema bernanah, Impetigo, Furunkulosis dan infeksi kulit lainnya.</t>
  </si>
  <si>
    <t>Obat Wajib Apotek, Obat ini dapat dibeli dan diserahkan apoteker tanpa resep dengan maksimum 1 Tube. Pembelian melebihi batas ini WAJIB RESEP DOKTER. Kerusakan kulit secara berlebihan Kategori Kehamilan : D</t>
  </si>
  <si>
    <t>luka bakar , tukak khronik , luka2 sembuh bergranulasi , tukak luka dekubital akibat berbaring menerus , ekzema bernanah , impetigo , furunkulosis infeksi kulit</t>
  </si>
  <si>
    <t>centabio</t>
  </si>
  <si>
    <t>centabio gel neomycin sulfate luka bakar  tukak khronik  luka2 sembuh bergranulasi  tukak luka dekubital akibat berbaring menerus  ekzema berah  impetigo  furunkulosis infeksi kulit</t>
  </si>
  <si>
    <t>DKL0804520010A1</t>
  </si>
  <si>
    <t>Norizec 3 mg 10 Tablet</t>
  </si>
  <si>
    <t>Rp41.900 - Rp50.900</t>
  </si>
  <si>
    <t>norizec</t>
  </si>
  <si>
    <t>norizec tablet glimepiride diabetes melitus tipe 2 non  insulin  dependent type ii diabetes melitus niddm dimana kadar glukosa darah tidak dikontrol diet olahraga</t>
  </si>
  <si>
    <t>DKL0804520010B1</t>
  </si>
  <si>
    <t>Norizec 2 mg 10 Tablet</t>
  </si>
  <si>
    <t>Rp29.000 - Rp32.500</t>
  </si>
  <si>
    <t>paracetamol phenylpropanolamine hydrochloride noscapine chlorphenamine maleate guaifenesin</t>
  </si>
  <si>
    <t>paratusin tablet paracetamol phenylpropanolamine hydrochloride noscapine chlorphenamine maleate guaifenesin obat meringankan gejala  gejala flu demam  sakit kepala  hidung tersumbat bersin  bersin disertai batuk</t>
  </si>
  <si>
    <t>Cap Gajah Minyak Kayu Putih 60 ml</t>
  </si>
  <si>
    <t>Rp20.300 - Rp29.700</t>
  </si>
  <si>
    <t>DKL9309307829A1</t>
  </si>
  <si>
    <t>Ikaderm 0.05% Cream 10 g</t>
  </si>
  <si>
    <t>Rp42.100 - Rp46.300</t>
  </si>
  <si>
    <t>HARUS DENGAN RESEP DOKTER. Hamil, laktasi, anak &lt;12 tahun Kategori Kehamilan : C</t>
  </si>
  <si>
    <t>ikaderm cream</t>
  </si>
  <si>
    <t>ikaderm cream krim clobetasol propionate pengobatan jangka pendek dermatosis resisten psoriasis  ekzema resisten  likhen planus  lupus eritematosus kondisi2 tidak responsif memuaskan steroid kuat</t>
  </si>
  <si>
    <t>DKL0609216038A1</t>
  </si>
  <si>
    <t>Dionicol Dry Sirup 60 ml</t>
  </si>
  <si>
    <t>Rp9.200 - Rp19.500</t>
  </si>
  <si>
    <t>PENGGUNAAN OBAT INI HARUS SESUAI DENGAN PETUNJUK DOKTER. Dewasa 250-500 mg, empat kali sehari. Anak-anak 50 mg/KgBB sehari terbagi dalam 3-4 kali pemberian.</t>
  </si>
  <si>
    <t>Hipersensitif terhadap Thiaphenicol,Pasien dengan gangguan faal hati yang berat.Jangan digunakan untuk pencegahan infeksi.</t>
  </si>
  <si>
    <t>HARUS DENGAN RESEP DOKTER. Hanya digunakan untuk infeksi yang sudah jelas peyebabnya,kecuali bila ada kemungkinan infeksi berat.Pada pemakaian Thiamphenicol dalam jangka waktu yang lama perlu dilakukan pemeriksaan hematologik secara berkala.Perlu dilakukan pengawasan terhadap kemungkinan timbulnya super infeksi dengan bakteri dan jamur.hati - hati penggunaan terhadap Penderita dengan gangguan ginjal,Wanita hamil dan menyusui berhubung keamanan pemakaian belum diketahui dengan pasti,Bayi prematur dan bayi baru lahir (2 minggu pertama).</t>
  </si>
  <si>
    <t>dionicol sirup thiamphenicol typhoid  paratyphoid  infeksi disebabkan salmonella sp  h influenzae infeksi meningeal  rickettsia  chlamydia  organisme gram negative  infeksi disebabkan organisme sensitif thiamphenicol</t>
  </si>
  <si>
    <t>LARUTAN CAP KAKI TIGA ANAK TAWAR</t>
  </si>
  <si>
    <t>DKL0511636210D1</t>
  </si>
  <si>
    <t>Metrix 4 mg 15 Tablet</t>
  </si>
  <si>
    <t>Rp111.200 - Rp176.200</t>
  </si>
  <si>
    <t>metrix</t>
  </si>
  <si>
    <t>metrix tablet glimepiride diabetes melitus tipe 2 non  insulin  dependent type ii diabetes melitus niddm dimana kadar glukosa darah tidak dikontrol diet olahraga</t>
  </si>
  <si>
    <t>Salonpas Koyo 12 Lembar</t>
  </si>
  <si>
    <t>Rp8.600 - Rp9.500</t>
  </si>
  <si>
    <t>Dewasa dan anak &gt; 12 tahun:cDi tempelkan di area yang sakit, lepaskan setelah 8 jam pemakaian atau plester diganti 2- 3 kali per hari. Tidak boleh digunakan lebih dari 4 x sehari. Anak usia &lt; 12 tahun: konsultasi ke dokter.</t>
  </si>
  <si>
    <t>Membantu meredakan rasa nyeri yang disebabkan oleh nyeri otot, sakit otot leher, punggung pegal, sakit kepala, sakit gigi, memar, terkilir dan nyeri sendi.</t>
  </si>
  <si>
    <t>salonpas koyo lembar</t>
  </si>
  <si>
    <t>salonpas koyo lembar  dlcamphor membantu meredakan nyeri disebabkan nyeri otot  sakit otot leher  punggung pegal  sakit kepala  sakit gigi  memar  terkilir nyeri sendi</t>
  </si>
  <si>
    <t>DKL0311636210C1</t>
  </si>
  <si>
    <t>Metrix 3 mg 15 Tablet</t>
  </si>
  <si>
    <t>Rp129.100 - Rp142.000</t>
  </si>
  <si>
    <t>DKL0534604110A1</t>
  </si>
  <si>
    <t>Antiplat 50 mg 10 Kaplet</t>
  </si>
  <si>
    <t>Rp66.500 - Rp99.600</t>
  </si>
  <si>
    <t>Saat perut kosong, minimum 0.5 jam sebelum atau 2 jam sesudah makan.</t>
  </si>
  <si>
    <t>Gejala2 iskemik termasuk Ulserasi, Nyeri dan sensasi Dingin pada Extremitas (tangan-kaki) pada oklusi arterial khronik. Pencegahan berulangnya Infark Serebral (tidak termasuk Emboli Serebral Kardiogenik).</t>
  </si>
  <si>
    <t>Hamil, perdarahan, gagal jantung kongestif.</t>
  </si>
  <si>
    <t>HARUS DENGAN RESEP DOKTER. Pasien yang mendapat antikoagulan, antitrombolik atau antiplatelet, prostaglandin E 1 atau derivatnya. Mestruasi, kecenderungan perdarahan atau diatesis hemoragik, gangguan fungsi hati atau ginjal berat. Tidak direkomendasikan pada ibu hamil dan menyusui.</t>
  </si>
  <si>
    <t>gejala2 iskemik ulserasi , nyeri sensasi dingin extremitas tangan - kaki oklusi arterial khronik  pencegahan berulangnya infark serebral tidak emboli serebral kardiogenik</t>
  </si>
  <si>
    <t>antiplat</t>
  </si>
  <si>
    <t>antiplat tablet cilostazol gejala2 iskemik ulserasi  nyeri sensasi dingin extremitas tangan  kaki oklusi arterial khronik  pencegahan berulangnya infark serebral tidak emboli serebral kardiogenik</t>
  </si>
  <si>
    <t>DKL0311636210B1</t>
  </si>
  <si>
    <t>Metrix 2 mg 15 Tablet</t>
  </si>
  <si>
    <t>Rp120.500 - Rp120.700</t>
  </si>
  <si>
    <t>DKL0305033910A1</t>
  </si>
  <si>
    <t>Gluvas 1 mg 10 Tablet</t>
  </si>
  <si>
    <t>Rp24.000 - Rp34.200</t>
  </si>
  <si>
    <t>gluvas</t>
  </si>
  <si>
    <t>gluvas tablet glimepiride diabetes melitus tipe 2 non  insulin  dependent type ii diabetes melitus niddm dimana kadar glukosa darah tidak dikontrol diet olahraga</t>
  </si>
  <si>
    <t>DKL0305033910B1</t>
  </si>
  <si>
    <t>Gluvas 2 mg 10 Tablet</t>
  </si>
  <si>
    <t>Rp36.000 - Rp63.800</t>
  </si>
  <si>
    <t>QD171615041</t>
  </si>
  <si>
    <t>Rodehond Wassing 100 ml</t>
  </si>
  <si>
    <t>Rp6.900 - Rp8.600</t>
  </si>
  <si>
    <t>Membantu meringankan rasa gatal-gatal pada kulit, biang keringat, bisul-bisul, cacar air, bercak merah diseluruh tubuh disertai gatal dan panas, serta penyakit kulit lainnya</t>
  </si>
  <si>
    <t>membantu meringankan gatal - gatal kulit , biang keringat , bisul - bisul , cacar air , bercak merah diseluruh tubuh disertai gatal panas , penyakit kulit</t>
  </si>
  <si>
    <t>rodehond wassing</t>
  </si>
  <si>
    <t>rodehond wassing   menthol membantu meringankan gatal  gatal kulit  biang keringat  bisul  bisul  cacar air  bercak merah diseluruh tubuh disertai gatal panas  penyakit kulit</t>
  </si>
  <si>
    <t>DKL0305033910D1</t>
  </si>
  <si>
    <t>Gluvas 4 mg 10 Tablet</t>
  </si>
  <si>
    <t>DKL9314805610A1</t>
  </si>
  <si>
    <t>Nasafed 2.5 mg 10 Tablet</t>
  </si>
  <si>
    <t>PENGGUNAAN OBAT INI HARUS SESUAI DENGAN PETUNJUK DOKTER. Dewasa &amp; anak berusia lebih dari 12 tahun : 3 kali sehari 1 tablet. Anak berusia 6-12 tahun : 3 kali sehari 1/2 tablet. Anak berusia 2-5 tahun : 3 kali sehari 1/4 tablet.</t>
  </si>
  <si>
    <t>Meredakan gejala-gejala rinitis, hidung berair &amp; tersumbat, hay fever (demam disebabkan kepekaan terhadap rumput kering) yang berhubungan dengan masuk angin, sinusitis &amp; keadaan alergi.</t>
  </si>
  <si>
    <t>Pasien dengan riwayat hipersensitif terhadap salah satu komponen obat ini. Pasien yang memiliki kepekaan terhadap obat simpatomimetik lain seperti, ephedrine, phenylpropanolamine, phenylephrine. Pasien yang sedang menggunakan obat-obat golongan monoamine oksidase (MAO) inhibitors</t>
  </si>
  <si>
    <t>HARUS DENGAN RESEP DOKTER. Dapat mengganggu kemampuan mengendarai atau mengoperasikan mesin, hipertrofi prostat, penyakit jantung kongestif, gangguan fungsi hati &amp; ginjal, glaukoma.</t>
  </si>
  <si>
    <t>meredakan gejala - gejala rinitis , hidung berair tersumbat , hay fever demam disebabkan kepekaan rumput kering berhubungan masuk angin , sinusitis alergi</t>
  </si>
  <si>
    <t>nasafed</t>
  </si>
  <si>
    <t>nasafed tablet pseudoephedrine hydrochloride meredakan gejala  gejala rinitis  hidung berair tersumbat  hay fever demam disebabkan kepekaan rumput kering berhubungan masuk angin  sinusitis alergi</t>
  </si>
  <si>
    <t>guaifenesin ephedrine hydrochloride chlorphenamine maleate paracetamol</t>
  </si>
  <si>
    <t>coparcetin rasa orange sirup guaifenesin ephedrine hydrochloride chlorphenamine maleate paracetamol meringankan gejala  gejala flu demam  sakit kepala  hidung tersumbat  bersin  bersin disertai batuk</t>
  </si>
  <si>
    <t>DTL1822726837A2</t>
  </si>
  <si>
    <t>Bodrexin Flu Dan Pilek PE Sirup 56 ml</t>
  </si>
  <si>
    <t>2 - 6 tahun : sesuai petunjuk dokter 6 - 12 tahun : 3 kali sehari 2 sendok takar</t>
  </si>
  <si>
    <t>Meredakan gejala-gejala flu seperti pilek, demam, sakit kepala, hidung tersumbat dan bersin-bersin.</t>
  </si>
  <si>
    <t>Botol @ 56 ml</t>
  </si>
  <si>
    <t>meredakan gejala - gejala flu pilek , demam , sakit kepala , hidung tersumbat bersin - bersin</t>
  </si>
  <si>
    <t>bodrexin flu dan pilek pe</t>
  </si>
  <si>
    <t>bodrexin flu dan pilek pe sirup paracetamol phenylephrine hydrochloride chlorphenamine maleate meredakan gejala  gejala flu pilek  demam  sakit kepala  hidung tersumbat bersin  bersin</t>
  </si>
  <si>
    <t>phenylephrine hydrochloride chlorphenamine maleate paracetamol</t>
  </si>
  <si>
    <t>bodrexin flu dan pilek pe sirup phenylephrine hydrochloride chlorphenamine maleate paracetamol meredakan gejala  gejala flu pilek  demam  sakit kepala  hidung tersumbat bersin  bersin</t>
  </si>
  <si>
    <t>DKL0311636210A1</t>
  </si>
  <si>
    <t>Metrix 1 mg 15 Tablet</t>
  </si>
  <si>
    <t>Rp39.600 - Rp68.900</t>
  </si>
  <si>
    <t>paracetamol guaifenesin chlorphenamine maleate pseudoephedrine hydrochloride</t>
  </si>
  <si>
    <t>coparcetin rasa orange sirup paracetamol guaifenesin chlorphenamine maleate pseudoephedrine hydrochloride meringankan gejala  gejala flu demam  sakit kepala  hidung tersumbat  bersin  bersin disertai batuk</t>
  </si>
  <si>
    <t>- MAGNESIUM HYDROXIDE. SIMETHICONE EMULSION 30%. DRIED ALUMINIUM HYDROXIDE GEL</t>
  </si>
  <si>
    <t>magnesium hydroxide simethicone emulsion 30% dried aluminium hydroxide gel</t>
  </si>
  <si>
    <t>farmacrol forte suspensi magnesium hydroxide simethicone emulsion 30 dried aluminium hydroxide gel sakit maag  hiperasiditas  tukak ulkus lambung  usus halus  gastritis  perut kembung</t>
  </si>
  <si>
    <t>TR152684371</t>
  </si>
  <si>
    <t>Cap Lang Minyak Ekaliptus Aromatherapy Lavender 15 ml</t>
  </si>
  <si>
    <t>EUCALYPTUS AROMATHERAPY LAVENDER</t>
  </si>
  <si>
    <t>Rp7.500 - Rp10.600</t>
  </si>
  <si>
    <t>Membantu meringankan sakit perut, perut kembung, rasa mual, dan gatal-gatal akibat gigitan serangga/nyamuk serta sebagai aromaterapi.</t>
  </si>
  <si>
    <t>eucalyptus aromatherapy lavender</t>
  </si>
  <si>
    <t>membantu meringankan sakit perut , perut kembung , mual , gatal - gatal akibat gigitan serangga nyamuk aromaterapi</t>
  </si>
  <si>
    <t>cap lang ekaliptus aromatherapy lavender</t>
  </si>
  <si>
    <t>cap lang ekaliptus aromatherapy lavender minyak eucalyptus aromatherapy lavender membantu meringankan sakit perut  perut kembung  mual  gatal  gatal akibat gigitan serangga nyamuk aromaterapi</t>
  </si>
  <si>
    <t>Serenity Walking Aid FS913L</t>
  </si>
  <si>
    <t>Rp359.100 - Rp378.600</t>
  </si>
  <si>
    <t>Pegangan lansia yang kesusahan saat berjalan Membantu mempercepat pengembalian kebugaran serta menjaga pasien saat melakukan latihan berjalan. Memberi rasa aman pada pasien untuk melakukan terapi berjalan</t>
  </si>
  <si>
    <t>pegangan lansia kesusahan berjalan membantu mempercepat pengembalian kebugaran menjaga pasien latihan berjalan  memberi aman pasien terapi berjalan</t>
  </si>
  <si>
    <t>serenity walking aid fsl</t>
  </si>
  <si>
    <t>serenity walking aid fsl larutan povidoneiodine pegangan lansia kesusahan berjalan membantu mempercepat pengembalian kebugaran menjaga pasien latihan berjalan  memberi aman pasien terapi berjalan</t>
  </si>
  <si>
    <t>pantoprazole tablet kombinasipantoprazole sodium blend 275 untuk meredakan gejala gastroesophageal reflux disease gerd nonerosive reflux disease nerd  untuk pega jangka reflux esophagitis berat</t>
  </si>
  <si>
    <t>Cap Lang Balsam Gosok 20 g</t>
  </si>
  <si>
    <t>Rp8.000 - Rp17.400</t>
  </si>
  <si>
    <t>Sesuai dengan kebutuhan</t>
  </si>
  <si>
    <t>Membantu meredakan pusing, masuk angin, nyeri sendi, keseleo, melegakan pernafasan, mabuk perjalanan, serta mengurangi rasa gatal akibat gigitan serangga</t>
  </si>
  <si>
    <t>Hipersensitif terhadap komponen obat, dan hanya untuk pemakaian luar</t>
  </si>
  <si>
    <t>membantu meredakan pusing , masuk angin , nyeri sendi , keseleo , melegakan pernafasan , mabuk perjalanan , mengurangi gatal akibat gigitan serangga</t>
  </si>
  <si>
    <t>cap lang balsam gosok balsam camphor membantu meredakan pusing  masuk angin  nyeri sendi  keseleo  melegakan pernafasan  mabuk perjala  mengurangi gatal akibat gigitan serangga</t>
  </si>
  <si>
    <t>DKL1111641307A1</t>
  </si>
  <si>
    <t>Neuralgin Rhema 10 Tablet</t>
  </si>
  <si>
    <t>Rp10.000 - Rp11.200</t>
  </si>
  <si>
    <t>PENGGUNAAN OBAT INI HARUS SESUAI DENGAN PETUNJUK DOKTER. Dws : 3 x sehari 1-2 kapsul , anak-anak :3 kali sehari 1/2 tablet</t>
  </si>
  <si>
    <t>INFORMASI OBAT INI HANYA UNTUK KALANGAN MEDIS. Meredakan nyeri ringan sampai dengan berat , mialgia, artalgia, neuralgia, sakit gigi, nyeri haid nyeri karena kanker, kolik ginjal dan kandung kemih, nyeri sesudah operasi</t>
  </si>
  <si>
    <t>Dus, 10 Blister @ 10 Kaplet salut Enterik</t>
  </si>
  <si>
    <t>Hipersensitif terhadap zat aktif dan tukak lambung, Juga dikontraindikasikan pada pasien dengan riwayat tercetusnya serangan asma, urtikaria atau rinitis akut akibat obat-obat anti-inflamasi non-steroid lainnya, Penyakit jantung, Penyakit arteri perifer, penyakit serebrovaskuler, gagal jantung kongestif.</t>
  </si>
  <si>
    <t>HARUS DENGAN RESEP DOKTER. Perdarahan dan tukak GI, leukopenia, agranulositosis</t>
  </si>
  <si>
    <t>meredakan nyeri ringan berat , mialgia , artalgia , neuralgia , sakit gigi , nyeri haid nyeri kanker , kolik ginjal kandung kemih , nyeri operasi</t>
  </si>
  <si>
    <t>neuralgin rhema</t>
  </si>
  <si>
    <t>neuralgin rhema kaplet cyanocobalamin meredakan nyeri ringan berat  mialgia  artalgia  neuralgia  sakit gigi  nyeri haid nyeri kanker  kolik ginjal kandung kemih  nyeri operasi</t>
  </si>
  <si>
    <t>TR172607941</t>
  </si>
  <si>
    <t>Cap Lang Minyak Ekaliptus Aromatherapy Lavender 60 ml</t>
  </si>
  <si>
    <t>Minyak Ekaliptus Aromatherapy Lavender</t>
  </si>
  <si>
    <t>Rp22.200 - Rp45.000</t>
  </si>
  <si>
    <t>minyak ekaliptus aromatherapy lavender</t>
  </si>
  <si>
    <t>cap lang ekaliptus aromatherapy lavender minyak minyak ekaliptus aromatherapy lavender meringankan sakit perut  perut kembung  mual  gatal  gatal akibat gigitan serangga nyamuk  aromaterapi</t>
  </si>
  <si>
    <t>DTL0917207037A1</t>
  </si>
  <si>
    <t>OBH Nellco Special PE Anak Strawberry 55 ml</t>
  </si>
  <si>
    <t>Rp21.100 - Rp27.000</t>
  </si>
  <si>
    <t>Sehari 3 x 10 ml</t>
  </si>
  <si>
    <t>Penderita dengan gangguan jantung dan diabetes mellitus. Penderita dengan gangguan fungsi hati yang berat. Penderita hipersensitif terhadap komponen obat ini.</t>
  </si>
  <si>
    <t>Tidak boleh diberikan pada penderita yang peka terhadap obat simpatomimetik lain (misalnya): Efedrin, pseudoefedri, fenilpropanolamin), penderita tekanan darah tinggi berat dan yang mendapat terapi obat anti depresan tipe penghambat Monoamin Oksidase (MAO). Tidak boleh melebihi dosis yang dianjurkan. Hati-hati penggunan pada penderita tekanan darah tinggi atau yang mempunyai potensi tekanan darah tinggi atau store, seperti pada penderita dengan berat badan berlebih (over weight) atau penderita usia lanjut. Bila dalam 3 hari gejala flu tida berkuran segera hubungi dokter atau unit pelayanan kesehatan. Hentikan penggunaan obat ini jika terjadi susah tidur, jantung berdebar dan pusing.</t>
  </si>
  <si>
    <t>obh nellco special pe anak strawberry</t>
  </si>
  <si>
    <t>obh nellco special pe anak strawberry sirup ammonium chloride untuk meringankan gejala  gejala flu demam  sakit kepala  hidung tersumbat bersin  bersin disertai batuk</t>
  </si>
  <si>
    <t>GKL2004529817A1</t>
  </si>
  <si>
    <t>Etoricoxib 90 mg 10 Tablet</t>
  </si>
  <si>
    <t>Rp68.000 - Rp88.000</t>
  </si>
  <si>
    <t>PENGGUNAAN OBAT INI HARUS SESUAI DENGAN PETUNJUK DOKTER. - Osteoarthritis : 30 mg, diminum 1 kali per hari atau dapat ditingkatkan menjadi 60 mg 1 kali per hari. - Nyeri muskuloskeletal, Rheumatoid arthritis : 60 mg, diminum 1 kali per hari atau dapat ditingkatkan menjadi 90 mg 1 kali per hari. - Nyeri akut akibat operasi gigi : 90 mg, diminum 1 kali per hari. Maksimal penggunaan 3 hari.</t>
  </si>
  <si>
    <t>INFORMASI OBAT INI HANYA UNTUK KALANGAN MEDIS. Meredakan gejala-gejala Osteoarthritis (OA), Rheumatoid arthritis (RA) dan Ankilosing Spondilitis pada orang dewasa, menghilangkan nyeri muskuloskeletal kronis dan nyeri akut yang terkait dengan operasi gigi.</t>
  </si>
  <si>
    <t>Hipersensitif terhadap etoricoxib. Gagal jantung kongestif (GJK) (NYHA II-IV). Riwayat penyakit jantung iskemik, penyakit arteri perifer dan/atau penyakit serebrovaskular. Pasien dengan ulkus peptikum aktif atau perdarahan gastrointestinal, penyakit radang usus. Hipertensi yang tidak terkontrol atau dengan tekanan darah tinggi yang persisten (lebih besar dari 140/90 mmHg). Anak-anak dan remaja usia kurang dari 16 tahun. Gangguan ginjal (CrCl &lt;30 mL/menit) dan hati berat. Kehamilan dan laktasi.</t>
  </si>
  <si>
    <t>HARUS DENGAN RESEP DOKTER. Obat ini dapat menyebabkan pusing, vertigo, atau mengantuk</t>
  </si>
  <si>
    <t>DKL7622200633A1</t>
  </si>
  <si>
    <t>Colsancetine Sirup 60 ml</t>
  </si>
  <si>
    <t>PENGGUNAAN OBAT INI HARUS SESUAI DENGAN PETUNJUK DOKTER. Dewasa : 3-6 x sehari 3 sendok takar, Anak 6-15 tahun : 3-4 x sehari 2 sendok takar, Anak 1-5 tahun : 3-4 x sehari 1 sendok takar, Bayi : 3 x sehari 1/2 sendok takar</t>
  </si>
  <si>
    <t>Demam Tifoid &amp; Paratifoid, infeksi yang disebabkan bakteri Salmonela spesies H.Influenza, Rickettsia, Limfogranuloma-group Psitakosis &amp; bakteri gram negatif penyebab Bakteremia &amp; Meningitis</t>
  </si>
  <si>
    <t>HARUS DENGAN RESEP DOKTER. Terapi jangka lama, bayi, defisiensi G6PD, gangguan fungsi dan ginjal, hamil trimester 3 dan laktasi</t>
  </si>
  <si>
    <t>demam tifoid paratifoid , infeksi disebabkan bakteri salmonela spesies h  influenza , rickettsia , limfogranuloma - group psitakosis bakteri gram negatif penyebab bakteremia meningitis</t>
  </si>
  <si>
    <t>colsancetine</t>
  </si>
  <si>
    <t>colsancetine suspensi chloramphenicol demam tifoid paratifoid  infeksi disebabkan bakteri salmonela spesies h  influenza  rickettsia  limfogranuloma  group psitakosis bakteri gram negatif penyebab bakteremia meningitis</t>
  </si>
  <si>
    <t>sterimar nose hygiene and comfort tetes ofloxacin membantu membersihkan mengurangi kotoran  melembabkan mempertahankan kelembaban alami mukosa  membantu meningkatkan fungsi pernapasan pola tidur sehat</t>
  </si>
  <si>
    <t>- SIMETHICONE EMULSION 30%. MAGNESIUM HYDROXIDE. DRIED ALUMINIUM HYDROXIDE GEL</t>
  </si>
  <si>
    <t>simethicone emulsion 30% magnesium hydroxide dried aluminium hydroxide gel</t>
  </si>
  <si>
    <t>farmacrol forte suspensi simethicone emulsion 30 magnesium hydroxide dried aluminium hydroxide gel sakit maag  hiperasiditas  tukak ulkus lambung  usus halus  gastritis  perut kembung</t>
  </si>
  <si>
    <t>DKL1928208111A1</t>
  </si>
  <si>
    <t>Memucil 600 mg 2 Tablet Effervescent</t>
  </si>
  <si>
    <t>Dus, 5 Strip @ 2 Tablet Effervescent</t>
  </si>
  <si>
    <t>Obat Wajib Apotek, Obat ini dapat dibeli dan diserahkan apoteker tanpa resep dengan maksimum 10 Strip. Pembelian melebihi batas ini WAJIB RESEP DOKTER wanita hamil dan menyusui, penderita asma, penderita dengan riwayat gastritis, anak dibawah 6 tahun</t>
  </si>
  <si>
    <t>memucil effervescent</t>
  </si>
  <si>
    <t>memucil effervescent tablet acetylcysteine mukolitik terapi akut kronik penyakit bronkial paru mukus tebal  akut bronkhitis  bronkhitis kronik akut berulang  pulmonari emfisema  mukovisidosis  bronkiektasis</t>
  </si>
  <si>
    <t>tolterodine l-tartrate</t>
  </si>
  <si>
    <t>detrusitol tablet tolterodine ltartrate kandung kemih air seni aktif gejala keterdesakan berkemih bak buang air  inkontinensia urin ketidak mampuan mengontrol bak frekuensinya keterdesakannya</t>
  </si>
  <si>
    <t>DKL9322213901B1</t>
  </si>
  <si>
    <t>Prolic 150 mg 10 Kapsul</t>
  </si>
  <si>
    <t>Rp48.800 - Rp54.800</t>
  </si>
  <si>
    <t>Infeksi Gr - yang serius atau berat, disebabkan oleh organisme yang peka antara lain strep, pneumokokus dan staph, termasuk bakteri anaerob. Infeksi pada sal nafas atas dan bawah, kulit dan jar lunak dan infeksi serius lainnya</t>
  </si>
  <si>
    <t>Kapsul 150 Mg X 10 X 10</t>
  </si>
  <si>
    <t>infeksi gr - serius berat , disebabkan organisme peka strep , pneumokokus staph , bakteri anaerob  infeksi sal nafas , kulit jar lunak infeksi serius</t>
  </si>
  <si>
    <t>prolic kapsul clindamycin hydrochloride infeksi gr  serius berat  disebabkan organisme peka strep  pneumokokus staph  bakteri anaerob  infeksi sal nafas  kulit jar lunak infeksi serius</t>
  </si>
  <si>
    <t>Sterimar Nose Hygiene Baby 50 ml</t>
  </si>
  <si>
    <t>Rp143.500 - Rp173.700</t>
  </si>
  <si>
    <t>Semprotkan pada tiap lubang hidung. Lama penyemprotan 1-2 detik. Bersihkan nosel dengan air sabun setelah digunakan dan keringkan.</t>
  </si>
  <si>
    <t>2-6 kali sehari</t>
  </si>
  <si>
    <t>Membersihkan dan mengurangi kotoran hidung dengan lembut. Melembabkan dan mempertahankan kelembaban alami mukosa hidung. Mencegah gangguan THT. Membantu meningkatkan fungsi pernafasan</t>
  </si>
  <si>
    <t>Tidak boleh digunakan oleh penderita sclerosis multiple, penyakit kolagen, leucosis, tuberculosis, AIDS dan penyakit autoimun.</t>
  </si>
  <si>
    <t>Kemasan bertekanan, dapat meledak jika dipanaskan, jauhkan dari panas, permukaan yang panas, percikan, nyala api terbuka dari sumber penyulut. Jangan merokok. Jangan menusuk atau membakar, bahkan setelah digunakan. Lindungi dari sinar matahari. Jangan terpapar temperatur melebihi 50 C. Jauhkan dari jangkauan anak-anak.</t>
  </si>
  <si>
    <t>membersihkan mengurangi kotoran hidung lembut  melembabkan mempertahankan kelembaban alami mukosa hidung  mencegah gangguan tht  membantu meningkatkan fungsi pernafasan</t>
  </si>
  <si>
    <t>sterimar nose hygiene baby</t>
  </si>
  <si>
    <t>sterimar nose hygiene baby tablet guaifenesin membersihkan mengurangi kotoran hidung lembut  melembabkan mempertahankan kelembaban alami mukosa hidung  mencegah gangguan tht  membantu meningkatkan fungsi pernafasan</t>
  </si>
  <si>
    <t>fluimucil effervescent tablet acetyl cysteine sebagai treatment penyakit saluran pernafasan ditandai hipersekresi mukus tebal kental  fluimucil effervescent 600 terapi antidotum keracu parasetamol disengaja tidak</t>
  </si>
  <si>
    <t>Hypafix 10 cm X 5 M</t>
  </si>
  <si>
    <t>Rp174.900 - Rp186.000</t>
  </si>
  <si>
    <t>Untuk penutup luka lebar di daerah persendian dan lekuk tubuh yang sulit, tambahan setelah pemakaian moist wound dressing, untuk menutupi luka lebar pasca operasi</t>
  </si>
  <si>
    <t>Dus @ 1 Roll</t>
  </si>
  <si>
    <t>untuk penutup luka lebar daerah persendian lekuk tubuh sulit , tambahan pemakaian moist wound dressing , menutupi luka lebar pasca operasi</t>
  </si>
  <si>
    <t>hypafix x m larutan povidoneiodine untuk penutup luka lebar daerah persendian lekuk tubuh sulit  tambahan pemakaian moist wound dressing  menutupi luka lebar pasca operasi</t>
  </si>
  <si>
    <t>GKL0105030510B1</t>
  </si>
  <si>
    <t>Meloxicam 15 mg 10 Tablet</t>
  </si>
  <si>
    <t>Rp2.800 - Rp18.700</t>
  </si>
  <si>
    <t>PENGGUNAAN OBAT INI HARUS SESUAI DENGAN PETUNJUK DOKTER. Dewasa: Rhematoid Astritis dan Ankylosing Spondylitis: 15 mg, 1 kali per hari. Dapat diturunkan menjadi 7.5 mg, 1 kali per hari berdasarkan respon terapetik. Osteo Astritis: 7.5 mg, 1 kali per hari. Dapat ditingkankan s/d 15 mg, 1 kali per hari. Anak &gt;60 kg: Artritis idiopatik juvenil: 7,5 mg sekali sehari. Lansia dan pasien ginjal: 7.5 mg, 1 kali per hari.</t>
  </si>
  <si>
    <t>INFORMASI OBAT INI HANYA UNTUK KALANGAN MEDIS. Meredakan gejala-gejala arthritis, misalnya peradangan, pembengkakan, serta kaku dan nyeri otot. Contoh penyakit radang persendian yang biasanya ditangani dengan meloxicam adalah osteoartritis (jangka pendek), rheumatoid arthritis, dan ankylosing spondylitis.</t>
  </si>
  <si>
    <t>Hipersensitif terhadap meloxicam, aspirin atau NSAID lainnya. Riwayat atau perdarahan gastrointestinal aktif, ulserasi atau perforasi yang berhubungan dengan penggunaan NSAID. Penyakit radang usus aktif (misalnya penyakit Crohn pada kolitis ulserativa), gagal jantung berat. Pengobatan nyeri perioperatif dalam pengaturan operasi CABG. Kerusakan hati yang parah. Kehamilan (trimester ke-3) dan menyusui.</t>
  </si>
  <si>
    <t>HARUS DENGAN RESEP DOKTER. Hati-hati peggunaan pada pasien dengan asma, riwayat penyakit maag atau perdarahan gastrointestinal baru-baru ini, hipertensi, MI baru-baru ini, faktor risiko CV lainnya (misalnya hiperlipidemia, diabetes mellitus, merokok), retensi cairan dan edema, hipovolemia, koagulopati. Pasien dehidrasi dan lemah. Ginjal dan gangguan hati ringan sampai sedang. Anak-anak dan orang tua. Kehamilan (trimester 1-2). Penggunaan bersama NSAID lainnya, kortikosteroid, antiplatelet, antikoagulan.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</si>
  <si>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meredakan gejala - gejala arthritis , peradangan , pembengkakan , kaku nyeri otot  contoh penyakit radang persendian ditangani meloxicam osteoartritis jangka pendek , rheumatoid arthritis , ankylosing spondylitis</t>
  </si>
  <si>
    <t>meloxicam tablet meredakan gejala  gejala arthritis  peradangan  pembengkakan  kaku nyeri otot  contoh penyakit radang persendian ditangani meloxicam osteoartritis jangka pendek  rheumatoid arthritis  ankylosing spondylitis</t>
  </si>
  <si>
    <t>dextromethorphan hydrobromide guaifenesin sodium citrate promethazine hydrochloride</t>
  </si>
  <si>
    <t>promedex sirup dextromethorphan hydrobromide guaifenesin sodium citrate promethazine hydrochloride batuk flu  tbc  asma bronkhial  pertusis batuk rejan  pneumonia  bronkhopneumonia  faringitis  laringitis  trakhitis  bronkhitis alergi</t>
  </si>
  <si>
    <t>Sterimar Blocked Nose Baby 50 ml</t>
  </si>
  <si>
    <t>Rp135.000 - Rp190.000</t>
  </si>
  <si>
    <t>Membantu meredakan Hidung tersumba. Membersihkan hingus/lendir yang kental. Membantu melawan pilek dan Mencegah risiko infeksi sekunder dengan membersihkan rongga hidung.</t>
  </si>
  <si>
    <t>membantu meredakan hidung tersumba  membersihkan hingus lendir kental  membantu melawan pilek mencegah risiko infeksi sekunder membersihkan rongga hidung</t>
  </si>
  <si>
    <t>sterimar blocked nose baby</t>
  </si>
  <si>
    <t>sterimar blocked nose baby tablet guaifenesin membantu meredakan hidung tersumba  membersihkan hingus lendir kental  membantu melawan pilek mencegah risiko infeksi sekunder membersihkan rongga hidung</t>
  </si>
  <si>
    <t>DTL0722201210A1</t>
  </si>
  <si>
    <t>Neosanmag 4 Tablet</t>
  </si>
  <si>
    <t>Dewasa dan anak &gt; 12 tahun : 1 tablet, maksimal 2 tablet/hari</t>
  </si>
  <si>
    <t>Meredakan gejala yang berhubungan dengan hiperasiditas seperti mual, nyeri lambung, rasa panas pada ulu hati, kembung, rasa penuh pada lambung yang tidak dapt diatasi dengan antasid saja</t>
  </si>
  <si>
    <t>calcium carbonate magnesium hydroxide famotidine</t>
  </si>
  <si>
    <t>meredakan gejala berhubungan hiperasiditas mual , nyeri lambung , panas ulu hati , kembung , penuh lambung tidak dapt diatasi antasid</t>
  </si>
  <si>
    <t>neosanmag</t>
  </si>
  <si>
    <t>neosanmag tablet calcium carbonate magnesium hydroxide famotidine meredakan gejala berhubungan hiperasiditas mual  nyeri lambung  panas ulu hati  kembung  penuh lambung tidak dapt diatasi antasid</t>
  </si>
  <si>
    <t>DKL1424403810A1</t>
  </si>
  <si>
    <t>Dramamine 50 mg 10 Tablet</t>
  </si>
  <si>
    <t>Rp20.000 - Rp28.800</t>
  </si>
  <si>
    <t>PENGGUNAAN OBAT INI HARUS SESUAI DENGAN PETUNJUK DOKTER. Dewasa : 3-4 x sehari 1-2 tablet, Anak &gt; 12 tahun : 2-3 x sehari 1 tablet, Anak 8-12 tahun : 2-3 x sehari 0.5-1 tablet, Anak 6-8 tahun : 2-3 x sehari 0.25-0.5 tablet, Mencegah mabuk perjalanan : Diawali 30 menit sebelum bepergian</t>
  </si>
  <si>
    <t>INFORMASI OBAT INI HANYA UNTUK KALANGAN MEDIS. Mencegah dan meredakan mabuk perjalanan &amp; mengobati vertigo, mual atau muntah sehubungan dengan terapi elektrosyok, anestesi &amp; operasi, gangguan Labirin, sakit akibat radiasi &amp; sindroma paska fenestrasi</t>
  </si>
  <si>
    <t>Dus, 10 strip @10 Tablet</t>
  </si>
  <si>
    <t>Hipersensitifitas pada komponen dalam produk, Diabetes melitus tipe 1, Gagal jantung berat, Riwayat kanker kandung kemih.</t>
  </si>
  <si>
    <t>HARUS DENGAN RESEP DOKTER. Bersama antibiotik menyebabkan ototoksik. Dapat mengganggu kemampuan mengemudi atau mengoperasikan mesin. Hamil &amp; laktasi. Kategori Kehamilan : B</t>
  </si>
  <si>
    <t>mencegah meredakan mabuk perjalanan mengobati vertigo , mual muntah sehubungan terapi elektrosyok , anestesi operasi , gangguan labirin , sakit akibat radiasi sindroma paska fenestrasi</t>
  </si>
  <si>
    <t>dramamine</t>
  </si>
  <si>
    <t>dramamine tablet dimenhydrinate mencegah meredakan mabuk perjala mengobati vertigo  mual muntah sehubungan terapi elektrosyok  anestesi operasi  gangguan labirin  sakit akibat radiasi sindroma paska fenestrasi</t>
  </si>
  <si>
    <t>DKI0252501439A1</t>
  </si>
  <si>
    <t>Berotec MDI 100 mcg/Puff 10 ml</t>
  </si>
  <si>
    <t>Rp118.700 - Rp351.600</t>
  </si>
  <si>
    <t>Ditentukan dokter &amp; sesuai kebutuhan</t>
  </si>
  <si>
    <t>PENGGUNAAN OBAT INI HARUS SESUAI DENGAN PETUNJUK DOKTER. Episode Asma Akut : 1 puff/semprot, jika pernapasan tidak tampak membaik sesudah 5 menit, dapat diberikan semprotan/puff ke-2. Pencegahan Asma akibat aktivitas fisik, Asma Bronkial dan kondisi2 dengan</t>
  </si>
  <si>
    <t>INFORMASI OBAT INI HANYA UNTUK KALANGAN MEDIS. Episode Asma Akut, pencegahan Asma yang timbul akibat aktivitas fisik, Asma Bronkhial &amp; kondisi2 lain dimana terjadi penyempitan saluran pernafasan yang bersifat reversibel</t>
  </si>
  <si>
    <t>Dus, Canister @ 200 Dosis</t>
  </si>
  <si>
    <t>Kardiomiopati obstruktif hipertrofik, takiaritmia.</t>
  </si>
  <si>
    <t>Obat Wajib Apotek, Obat ini dapat dibeli dan diserahkan apoteker tanpa resep dengan maksimum 1 Botol. Pembelian melebihi batas ini WAJIB RESEP DOKTER. Diabetes melitus yang tidak terkontrol, infark miokardial yang baru saja terjadi dan atau kelainan parah jantung organik atau pembuluh darah, hipertiroidisme, sesak nafas akut yang semakin memburuk, trimester pertama kehamilan dan menyusui, feokromositoma</t>
  </si>
  <si>
    <t>fenoterol hydrobromide</t>
  </si>
  <si>
    <t>episode asma akut , pencegahan asma timbul akibat aktivitas fisik , asma bronkhial kondisi2 dimana penyempitan saluran pernafasan bersifat reversibel</t>
  </si>
  <si>
    <t>berotec mdi puff</t>
  </si>
  <si>
    <t>berotec mdi puff spray fenoterol hydrobromide episode asma akut  pencegahan asma timbul akibat aktivitas fisik  asma bronkhial kondisi2 dimana penyempitan saluran pernafasan bersifat reversibel</t>
  </si>
  <si>
    <t>GKL0105030510A1</t>
  </si>
  <si>
    <t>Meloxicam 7.5 mg 10 Tablet</t>
  </si>
  <si>
    <t>Rp7.100 - Rp10.900</t>
  </si>
  <si>
    <t>TR123665851</t>
  </si>
  <si>
    <t>Tresnojoyo Minyak Telon 60 ml</t>
  </si>
  <si>
    <t>MINYAK TELON TRESNO JOYO</t>
  </si>
  <si>
    <t>Rp11.500 - Rp29.900</t>
  </si>
  <si>
    <t>Dioleskan merata pada tubuh setelah mandi atau jika perlu.</t>
  </si>
  <si>
    <t>Oleskan 5-10 tetes Telon Herbal Pluss pada dada, perut, pinggang dan telapak kaki, dapat dipakai setiap saat, terutama sehabis mandi dan bila udara dingin.</t>
  </si>
  <si>
    <t>Membantu meredakan perut kembung/ masuk angin, memberi rasa hangat dan nyaman pada tubuh bayi, menghindari dari gigitan nyamuk dan melembabkan kulit agar tidak kering.</t>
  </si>
  <si>
    <t>minyak telon tresno joyo</t>
  </si>
  <si>
    <t>membantu meredakan perut kembung masuk angin , hangat nyaman tubuh bayi , menghindari gigitan nyamuk melembabkan kulit tidak kering</t>
  </si>
  <si>
    <t>tresnojoyo telon</t>
  </si>
  <si>
    <t>tresnojoyo telon minyak minyak telon tresno joyo membantu meredakan perut kembung masuk angin  hangat nyaman tubuh bayi  menghindari gigitan nyamuk melembabkan kulit tidak kering</t>
  </si>
  <si>
    <t>DKL9111613101B1</t>
  </si>
  <si>
    <t>Albiotin 150 mg 10 Kapsul</t>
  </si>
  <si>
    <t>Rp18.000 - Rp52.000</t>
  </si>
  <si>
    <t>Kapsul 150 mg x 3 x 10</t>
  </si>
  <si>
    <t>albiotin</t>
  </si>
  <si>
    <t>albiotin kapsul clindamycin hydrochloride infeksi gr  serius berat  disebabkan organisme peka strep  pneumokokus staph  bakteri anaerob  infeksi sal nafas  kulit jar lunak infeksi serius</t>
  </si>
  <si>
    <t>DKI0570600392A1</t>
  </si>
  <si>
    <t>Cygest Suppositoria 200 mg</t>
  </si>
  <si>
    <t>Rp16.600 - Rp21.000</t>
  </si>
  <si>
    <t>di masukan ke dalam vagina atau rektal</t>
  </si>
  <si>
    <t>PENGGUNAAN OBAT INI HARUS SESUAI DENGAN PETUNJUK DOKTER. Untuk mendukung fase luteal : 400 mg 2 kali sehari. Sindrom pra menstruasi : 200 mg per hari sampai dengan 400 mg 2 kali sehari, awali terapi pada hari ke-14 siklus menstruasi dan dilanjutkan sampai terjadi menstruasi.</t>
  </si>
  <si>
    <t>Terapi untuk pendarahan uterus disfungsional atau untuk membantu siklus konsepsi pada fase luteal atau fertilisasi In-Vitro, abortus yang mengancam, kehamilan dengan riwayat abortus habitualis. Sindrom pra-menstrual</t>
  </si>
  <si>
    <t>Dus, 3 Strip @ 5 Pessary</t>
  </si>
  <si>
    <t>Pendarahan vang yang tak diketahui penyebabnya</t>
  </si>
  <si>
    <t>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</si>
  <si>
    <t>terapi pendarahan uterus disfungsional membantu siklus konsepsi fase luteal fertilisasi in - vitro , abortus mengancam , kehamilan riwayat abortus habitualis  sindrom pra - menstrual</t>
  </si>
  <si>
    <t>cygest pessary progesterone terapi pendarahan uterus disfungsional membantu siklus konsepsi fase luteal fertilisasi in  vitro  abortus mengancam  kehamilan riwayat abortus habitualis  sindrom pra  menstrual</t>
  </si>
  <si>
    <t>DKL0609215704B1</t>
  </si>
  <si>
    <t>Rexavin 500 mg 10 Kaplet</t>
  </si>
  <si>
    <t>Rp13.000 - Rp27.600</t>
  </si>
  <si>
    <t>Sebaiknya diberikan bersama makanan : Berikan segera ssdh makan.</t>
  </si>
  <si>
    <t>PENGGUNAAN OBAT INI HARUS SESUAI DENGAN PETUNJUK DOKTER. Dws 500 mg/hr sebagai dosis tunggal atau dosis terbagi. Infeksi lebih berat: 750-1000 mg/hr dlm dosis terbagi. Anak 10 mg/kg BB/hr dlm dosis tunggal atau terbagi. Lama terapi: Tinea kapitis: 4-6 minggu. Tinea korporis: 2-4 minggu. Tinea pedis: 4-8 minggu. Tinea unguium: min 4 bln (kuku tangan) atau 6 bln (kuku kaki).</t>
  </si>
  <si>
    <t>Pengobatan infeksi jamur pada Kulit, kulit Kepala, dan Kuku (Tinea Korporis, Tinea Pedis, Tinea Kuris, Tinea Barbae, Tinea Kapitis) yang tidak responsif terhadap terapi topikal</t>
  </si>
  <si>
    <t>Porfiria, kerusakan sel hati, lupus eritematosus. Hamil.</t>
  </si>
  <si>
    <t>HARUS DENGAN RESEP DOKTER. Penggunaan jangka panjang. Reaksi sensitivitas silang dg penisilin lain. Reaksi fotosensitivitas (hindari paparan langsung sinar matahari atau sinar ultraviolet).</t>
  </si>
  <si>
    <t>pengobatan infeksi jamur kulit , kulit kepala , kuku tinea korporis , tinea pedis , tinea kuris , tinea barbae , tinea kapitis tidak responsif terapi topikal</t>
  </si>
  <si>
    <t>rexavin kaplet griseofulvin pengobatan infeksi jamur kulit  kulit kepala  kuku tinea korporis  tinea pedis  tinea kuris  tinea barbae  tinea kapitis tidak responsif terapi topikal</t>
  </si>
  <si>
    <t>DTL0616909510A1</t>
  </si>
  <si>
    <t>Omedrinat 50 mg 10 Tablet</t>
  </si>
  <si>
    <t>omedrinat</t>
  </si>
  <si>
    <t>omedrinat tablet dimenhydrinate mencegah meredakan mabuk perjala mengobati vertigo  mual muntah sehubungan terapi elektrosyok  anestesi operasi  gangguan labirin  sakit akibat radiasi sindroma paska fenestrasi</t>
  </si>
  <si>
    <t>floksid kaplet ciprofloxacin hydrochloride monohydrate isk prostatitis  uretritis servisitis  go  infeksi gl tifoid paratifoid  sal nafas kecuali pneumonia strep  kulit jar lunak  tulang sendi</t>
  </si>
  <si>
    <t>DKL9909209810B1</t>
  </si>
  <si>
    <t>Kaditic 50 mg 10 Tablet</t>
  </si>
  <si>
    <t>Rp4.300 - Rp9.900</t>
  </si>
  <si>
    <t>Dikonsumsi segera setelah makan.</t>
  </si>
  <si>
    <t>PENGGUNAAN OBAT INI HARUS SESUAI DENGAN PETUNJUK DOKTER. Dewasa: Dosis awal 100-150 mg per hari (dalam 2-3 kali dosis terbagi). Anak usia &gt;14 tahun: 75-100 mg per hari (dalam 2-3 kali dosis terbagi).</t>
  </si>
  <si>
    <t>INFORMASI OBAT INI HANYA UNTUK KALANGAN MEDIS. Pengobatan jangka pendek pada nyeri akibat trauma, mengatasi peradangan, meringankan nyeri setelah operasi, serta sebagai pengobatan pendukung untuk peradangan akibat infeksi telinga, hidung, serta tenggorokan (THT)</t>
  </si>
  <si>
    <t>Hipersensitivitas terhadap diklofenak atau NSAID lainnya. Gagal jantung sedang hingga berat, penyakit jantung iskemik, penyakit arteri perifer, penyakit serebrovaskular, ulserasi gastrointestinal, perforasi atau perdarahan. Pengobatan dalam pengaturan CABG. Penggunaan bersama NSAID lainnya, antiplatelet, antikoagulan. Gangguan hati atau ginjal yang parah. Kehamilan (trimester ketiga).</t>
  </si>
  <si>
    <t>HARUS DENGAN RESEP DOKTER.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 Kategori X: Kontraindikasi (tidak boleh digunakan). Terdapat hasil penelitian terhadap hewan uji dan manusia yang memperlihatkan abnormalitas terhadap janin. Obat ini dikontraindikasikan untuk wanita hamil dan yang berkemungkinan untuk hamil.</t>
  </si>
  <si>
    <t>pengobatan jangka pendek nyeri akibat trauma , mengatasi peradangan , meringankan nyeri operasi , pengobatan pendukung peradangan akibat infeksi telinga , hidung , tenggorokan tht</t>
  </si>
  <si>
    <t>kaditic</t>
  </si>
  <si>
    <t>kaditic tablet diclofenac potassium pengobatan jangka pendek nyeri akibat trauma  mengatasi peradangan  meringankan nyeri operasi  pengobatan pendukung peradangan akibat infeksi telinga  hidung  tenggorokan tht</t>
  </si>
  <si>
    <t>DKL8811606915B1</t>
  </si>
  <si>
    <t>Divoltar 50 mg 10 Tablet</t>
  </si>
  <si>
    <t>Rp5.300 - Rp6.400</t>
  </si>
  <si>
    <t>INFORMASI OBAT INI HANYA UNTUK KALANGAN MEDIS. Terapi artritis reumatoid, osteoartritis, osteoartrosis, spondilitis ankilosing, dan spondiloartritis akut atau kronik. Sindrom nyeri tulang vertebral. Rheumatisme non-artikuler. Serangan gout akut.</t>
  </si>
  <si>
    <t>terapi artritis reumatoid , osteoartritis , osteoartrosis , spondilitis ankilosing , spondiloartritis akut kronik  sindrom nyeri tulang vertebral  rheumatisme non - artikuler  serangan gout akut</t>
  </si>
  <si>
    <t>divoltar</t>
  </si>
  <si>
    <t>divoltar tablet diclofenac sodium terapi artritis reumatoid  osteoartritis  osteoartrosis  spondilitis ankilosing  spondiloartritis akut kronik  sindrom nyeri tulang vertebral  rheumatisme non  artikuler  serangan gout akut</t>
  </si>
  <si>
    <t>Hypafix 15 cm x 5 m</t>
  </si>
  <si>
    <t>Widex Evoke 50 Fa</t>
  </si>
  <si>
    <t>Rp4.400 - Rp7.149.700</t>
  </si>
  <si>
    <t>Alat bantu dengar digital dan programmable dengan tipe Behind the Ear (BTE). Alat ini digunakan untuk membantu penderita gangguan dengar ringan-sedang (26-70 dB).</t>
  </si>
  <si>
    <t>alat bantu dengar digital programmable tipe behind the ear bte  alat membantu penderita gangguan dengar ringan - 26 - 70 db</t>
  </si>
  <si>
    <t>widex evoke fa</t>
  </si>
  <si>
    <t>widex evoke fa larutan povidoneiodine alat bantu dengar digital programmable tipe behind the ear bte  alat membantu penderita gangguan dengar ringan  26  70 db</t>
  </si>
  <si>
    <t>Widex Evoke 50 Fp</t>
  </si>
  <si>
    <t>Alat bantu dengar digital dan programmable dengan tipe Behind the Ear (BTE). Alat ini digunakan untuk membantu penderita gangguan dengar sedang-berat (41-90 dB)</t>
  </si>
  <si>
    <t>alat bantu dengar digital programmable tipe behind the ear bte  alat membantu penderita gangguan dengar - berat 41 - 90 db</t>
  </si>
  <si>
    <t>widex evoke fp</t>
  </si>
  <si>
    <t>widex evoke fp larutan povidoneiodine alat bantu dengar digital programmable tipe behind the ear bte  alat membantu penderita gangguan dengar  berat 41  90 db</t>
  </si>
  <si>
    <t>X2 Contacts Moisturizing and Comfort Drops 15 ml</t>
  </si>
  <si>
    <t>Rp27.500 - Rp51.700</t>
  </si>
  <si>
    <t>Sesuai kebutuhan, 1-2 tetes pada masing-masing mata.</t>
  </si>
  <si>
    <t>Pelumas lensa kontak yang berhasil menjaga kelembaban lensa kontak serta meningkatkan kenyamanan pada mata dan memperpanjang waktu pemakaian lensa kontak</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</si>
  <si>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30 hari. Hindari penggunaan cairan di atas batas masa simpannya.</t>
  </si>
  <si>
    <t>pelumas lensa kontak berhasil menjaga kelembaban lensa kontak meningkatkan kenyamanan mata memperpanjang pemakaian lensa kontak</t>
  </si>
  <si>
    <t>x contacts moisturizing and comfort</t>
  </si>
  <si>
    <t>x contacts moisturizing and comfort tablet kombinasivalsartan blend 32 pelumas lensa kontak berhasil menjaga kelembaban lensa kontak meningkatkan kenyama mata memperpanjang pemakaian lensa kontak</t>
  </si>
  <si>
    <t>DKI0715900316A1</t>
  </si>
  <si>
    <t>Cyclo Progynova 21 Tablet</t>
  </si>
  <si>
    <t>Rp139.500 - Rp243.800</t>
  </si>
  <si>
    <t>PENGGUNAAN OBAT INI HARUS SESUAI DENGAN PETUNJUK DOKTER. Sebelum penggunaan: Harus dilakukan pemeriksaan menyeluruh termasuk pemeriksaan payudara dan harus dipastikan bahwa tidak ada kehamilan. Tindakan pencegahan: pemeriksaan harus dilakukan dengan selang waktu 6 bulan selama perawatan jangka panjang. Mulai diminum pada hari ke-5 siklus haid</t>
  </si>
  <si>
    <t>INFORMASI OBAT INI HANYA UNTUK KALANGAN MEDIS. Terapi gejala klimakterik, gangguan pasca menopause akibat menurunnya jumlah estrogen, amenore primer dan sekunder, siklus haid tidak teratur disebabkan oleh kekurangan hormon</t>
  </si>
  <si>
    <t>Dus, 1 Blister @ 21 Tablet salut gula.</t>
  </si>
  <si>
    <t>Hamil, disfungsi hati, sakit kuning, sindroma Dubin-Johnson, sindroma Rotor, herpes pada kehamilan.</t>
  </si>
  <si>
    <t>Obat Wajib Apotek, Obat ini dapat dibeli dan diserahkan apoteker tanpa resep dengan maksimum 1 Strip. Pembelian melebihi batas ini WAJIB RESEP DOKTER. Monitor denyut jantung sebelum penggunaan, uterine fibroids, endometriosis, gangguan hati, diabetes melitus, cholelithiasis, asthma, epilepsy, otosclerosis. Kategori kehamilan: X</t>
  </si>
  <si>
    <t>estradiol valerate</t>
  </si>
  <si>
    <t>terapi gejala klimakterik , gangguan pasca menopause akibat menurunnya estrogen , amenore primer sekunder , siklus haid tidak teratur disebabkan kekurangan hormon</t>
  </si>
  <si>
    <t>cyclo progynova</t>
  </si>
  <si>
    <t>cyclo progynova tablet estradiol valerate terapi gejala klimakterik  gangguan pasca menopause akibat menurunnya estrogen  amenore primer sekunder  siklus haid tidak teratur disebabkan kekurangan hormon</t>
  </si>
  <si>
    <t>DKL0033501501A1</t>
  </si>
  <si>
    <t>Lanvell 30 mg 10 Kapsul</t>
  </si>
  <si>
    <t>Rp144.500 - Rp170.400</t>
  </si>
  <si>
    <t>Sebelum makan.</t>
  </si>
  <si>
    <t>Sakit maag, Tukak Usus halus, Tukak Lambung, Reflux Esofagitis, Nyeri lambung akibat obat2 AINS (anti inflamasi non steroid).</t>
  </si>
  <si>
    <t>HARUS DENGAN RESEP DOKTER. Kemungkinan adanya keganasan harus disingkirkan sebelum terapi. Hamil dan laktasi</t>
  </si>
  <si>
    <t>sakit maag , tukak usus halus , tukak lambung , reflux esofagitis , nyeri lambung akibat obat2 ains anti inflamasi non steroid</t>
  </si>
  <si>
    <t>lanvell</t>
  </si>
  <si>
    <t>lanvell kapsul kombinasilansoprazole pellet 8 5 sakit maag  tukak usus halus  tukak lambung  reflux esofagitis  nyeri lambung akibat obat2 ains anti inflamasi non steroid</t>
  </si>
  <si>
    <t>Lambucid Suspensi 60 ml</t>
  </si>
  <si>
    <t>Rp11.200 - Rp11.300</t>
  </si>
  <si>
    <t>Diminum 1 jam sebelum makan atau 2 jam setelah makan dan menjelang tidur.</t>
  </si>
  <si>
    <t>Dewasa : sehari 3-4 kali 1-2 tablet (atau sediaan suspensi 1-2 sendok takar (5 -10 mL), Anak-anak 6-12 tahun : sehari 3-4 kali 1/2 - 1 tablet (atau sediaan suspensi 1/2 -1 sendok takar (2.5 mL - 5 mL),</t>
  </si>
  <si>
    <t>Untuk mengurangi gejala-gejala yang berhubungan dengan kelebihan asam lambung, gastritis, tukak lambung, tukak usus 12 jari</t>
  </si>
  <si>
    <t>DTL0632401040B1</t>
  </si>
  <si>
    <t>Sanorine Hijau 0.1% Gargle 200 ml</t>
  </si>
  <si>
    <t>Rp18.600 - Rp34.000</t>
  </si>
  <si>
    <t>Kumur-kumur 10 mL selama 1-2 menit.</t>
  </si>
  <si>
    <t>2 kali perhari.</t>
  </si>
  <si>
    <t>Pencegahan tukak (sariawan), gingivitis, &amp; akumulasi plak pada rongga mulut. Membantu regenerasi jaringan. Pengobatan tukak traumatik yang disebabkan pemasangan kawat gigi.</t>
  </si>
  <si>
    <t>pencegahan tukak sariawan , gingivitis , akumulasi plak rongga mulut  membantu regenerasi jaringan  pengobatan tukak traumatik disebabkan pemasangan kawat gigi</t>
  </si>
  <si>
    <t>sanorine hijau gargle</t>
  </si>
  <si>
    <t>sanorine hijau gargle larutan sodium hyaluronate pencegahan tukak sariawan  gingivitis  akumulasi plak rongga mulut  membantu regenerasi jaringan  pengobatan tukak traumatik disebabkan pemasangan kawat gigi</t>
  </si>
  <si>
    <t>yusimox kaplet amoxicillin trihydrate penyakit infeksi kulit jaringan lunak  infeksi saluran pernafasan  infeksi saluran genitourinari  gonore disebabkan organisme gram positif gram negatif peka amoxicillin</t>
  </si>
  <si>
    <t>dextrose anhydrate sodium chloride potassium chloride sodium citrate</t>
  </si>
  <si>
    <t>ramolit powder dextrose anhydrate sodium chloride potassium chloride sodium citrate indikasi bubuk gula garam mencegah mengobati dehidrasi akibat penyakit diare mencret  muntah berak kolera</t>
  </si>
  <si>
    <t>GKL9812415115A1</t>
  </si>
  <si>
    <t>Natrium Diklofenak 25 mg 10 Tablet</t>
  </si>
  <si>
    <t>Rp2.900 - Rp8.500</t>
  </si>
  <si>
    <t>INFORMASI OBAT INI HANYA UNTUK KALANGAN MEDIS. Obat pereda nyeri dari nyeri ringan sampai sedang dan membantu meredakan peradangan. Terapi simtomatik untuk eksaserbasi akut dari arthritis reumatoid (AR) dan osteoarthritis (OA), spondilitis ankilosa.</t>
  </si>
  <si>
    <t>Hipersensitivitas terhadap diklofenak atau NSAID lainnya. Gagal jantung sedang hingga berat, penyakit jantung iskemik, penyakit arteri perifer, penyakit serebrovaskular, ulserasi gastrointestinal, perforasi atau perdarahan gastrointestinal. Penggunaan bersamaan dengan NSAID lainnya, antiplatelet, antikoagulan. Gangguan hati atau ginjal berat. Kehamilan (trimester ketiga).</t>
  </si>
  <si>
    <t>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lambung/usus, penyakit Crohn, gangguan fungsi hati, gangguan fungsi ginjal, asma, lansia, anak-anak, ibu hamil (trimester 1 &amp; 2 ) dan menyusui.</t>
  </si>
  <si>
    <t>obat pereda nyeri nyeri ringan membantu meredakan peradangan  terapi simtomatik eksaserbasi akut arthritis reumatoid ar osteoarthritis oa , spondilitis ankilosa</t>
  </si>
  <si>
    <t>natrium diklofenak</t>
  </si>
  <si>
    <t>natrium diklofenak tablet diclofenac sodium obat pereda nyeri nyeri ringan membantu meredakan peradangan  terapi simtomatik eksaserbasi akut arthritis reumatoid ar osteoarthritis oa  spondilitis ankilosa</t>
  </si>
  <si>
    <t>DKL9421007634B1</t>
  </si>
  <si>
    <t>Silopect Forte Sirup 60 ml</t>
  </si>
  <si>
    <t>Rp20.000 - Rp32.100</t>
  </si>
  <si>
    <t>PENGGUNAAN OBAT INI HARUS SESUAI DENGAN PETUNJUK DOKTER. Dewasa dan anak &gt; 12 tahun : Awal : 3 kali sehari 5 mL, lalu 3 kali sehari 2.5 mL. Anak &gt; 5 tahun : 2-3 kali sehari 2.5 mL</t>
  </si>
  <si>
    <t>Penyakit saluran pernafasan akut dan kronik yang disertai dengan sekresi bronkus yang abnormal, terutama pada eksaserbasi (kambuhnya penyakit secara mendadak) bronkitis kronik, bronkitis asmatikus, asma bronkial</t>
  </si>
  <si>
    <t>Botol, Sirup 30 Mg/5 ml X 60 ml X 1</t>
  </si>
  <si>
    <t>HARUS DENGAN RESEP DOKTER. Hamil trimester 1 dan menyusui</t>
  </si>
  <si>
    <t>penyakit saluran pernafasan akut kronik disertai sekresi bronkus abnormal , eksaserbasi kambuhnya penyakit mendadak bronkitis kronik , bronkitis asmatikus , asma bronkial</t>
  </si>
  <si>
    <t>silopect forte</t>
  </si>
  <si>
    <t>silopect forte larutan ambroxol hydrochloride penyakit saluran pernafasan akut kronik disertai sekresi bronkus abnormal  eksaserbasi kambuhnya penyakit mendadak bronkitis kronik  bronkitis asmatikus  asma bronkial</t>
  </si>
  <si>
    <t>TR032225711</t>
  </si>
  <si>
    <t>Sido Muncul Kunyit Asam Sirih+Madu 5 Sachet</t>
  </si>
  <si>
    <t>KUNYIT ASAM SIRIH PLUS MADU</t>
  </si>
  <si>
    <t>Rp8.900 - Rp19.600</t>
  </si>
  <si>
    <t>Campurkan 1 sachet jamu kunyit asam sirih plus madu Sidomuncul ke dalam 150 ml air dingin aduk dan siap diminum. Lebih nikmat ditambahkan es batu</t>
  </si>
  <si>
    <t>1-2 x sehari 1 sachet</t>
  </si>
  <si>
    <t>Membantu mengurangi bau badan, menjaga badan tetap ramping, dan menyehatkan badan. Sirih sebagai antiseptik baik diminum menjelang dan pada saat datang bulan</t>
  </si>
  <si>
    <t>Dus, 5 Sachet @ 25 G</t>
  </si>
  <si>
    <t>kunyit asam sirih plus madu</t>
  </si>
  <si>
    <t>membantu mengurangi bau badan , menjaga badan ramping , menyehatkan badan  sirih antiseptik diminum menjelang</t>
  </si>
  <si>
    <t>sido muncul kunyit asam sirihmadu</t>
  </si>
  <si>
    <t>sido muncul kunyit asam sirihmadu madu kunyit asam sirih plus madu membantu mengurangi bau badan  menjaga badan ramping  menyehatkan badan  sirih antiseptik diminum menjelang</t>
  </si>
  <si>
    <t>Anerocid 300 mg 6 Kapsul</t>
  </si>
  <si>
    <t>Rp46.700 - Rp53.900</t>
  </si>
  <si>
    <t>anerocid kapsul clindamycin hydrochloride infeksi gr  serius berat  disebabkan organisme peka strep  pneumokokus staph  bakteri anaerob  infeksi sal nafas  kulit jar lunak infeksi serius</t>
  </si>
  <si>
    <t>TR142679841</t>
  </si>
  <si>
    <t>Cap Lang Minyak Kayu Putih Plus 60 ml</t>
  </si>
  <si>
    <t>MINYAK KAYU PUTIH CAP LANG</t>
  </si>
  <si>
    <t>Rp18.700 - Rp27.400</t>
  </si>
  <si>
    <t>Membantu meringankan sakit perut, perut kembung, rasa mual, dan gatal-gatal akibat gigitan serangga /nyamuk.</t>
  </si>
  <si>
    <t>minyak kayu putih cap lang</t>
  </si>
  <si>
    <t>cap lang kayu putih plus</t>
  </si>
  <si>
    <t>cap lang kayu putih plus minyak minyak kayu putih cap lang membantu meringankan sakit perut  perut kembung  mual  gatal  gatal akibat gigitan serangga nyamuk</t>
  </si>
  <si>
    <t>DKL7625202610A1</t>
  </si>
  <si>
    <t>Asvex 33.21 mg 10 Tablet</t>
  </si>
  <si>
    <t>Rp11.000 - Rp12.300</t>
  </si>
  <si>
    <t>PENGGUNAAN OBAT INI HARUS SESUAI DENGAN PETUNJUK DOKTER. Dewasa : 3 kali sehari 1 tablet. Pada kasus berat: tambah 1 tablet sebelum tidur. Anak &gt;6 tahun : 1/2 dosis. Anak &lt;6 tahun : 2.2 mg/kg BB/ hari terbagi dalam 3 dosis</t>
  </si>
  <si>
    <t>Batuk dan kesulitan dalam mengeluarkan dahak yang berhubungan dengan selesma (commond cold) dan penyakit saluran napas atas lain, bronkitis akut dan kronik, pneumonia, TB paru, bronkitis, batuk berdahak</t>
  </si>
  <si>
    <t>Pasien yang hipersensitif terhadap obat ini</t>
  </si>
  <si>
    <t>tipepidine hibenzate</t>
  </si>
  <si>
    <t>batuk kesulitan mengeluarkan dahak berhubungan selesma commond cold penyakit saluran napa , bronkitis akut kronik , pneumonia , tb paru , bronkitis , batuk berdahak</t>
  </si>
  <si>
    <t>asvex</t>
  </si>
  <si>
    <t>asvex tablet tipepidine hibenzate batuk kesulitan mengeluarkan dahak berhubungan selesma commond cold penyakit saluran napa  bronkitis akut kronik  pneumonia  tb paru  bronkitis  batuk berdahak</t>
  </si>
  <si>
    <t>DTL8915607237A1</t>
  </si>
  <si>
    <t>Intunal Sirup 60 ml</t>
  </si>
  <si>
    <t>Rp12.000 - Rp29.600</t>
  </si>
  <si>
    <t>Dewasa: 3 x sehari 4 sendok takar (20 ml) Anak-anak 6-12 tahun: 3 x sehari 2 sendok takar (10 ml) atau menurut petunjuk dokter.</t>
  </si>
  <si>
    <t>paracetamol guaifenesin dextromethorphan hydrobromide dexchlorpheniramine maleate phenylpropanolamine hydrochloride</t>
  </si>
  <si>
    <t>intunal sirup paracetamol guaifenesin dextromethorphan hydrobromide dexchlorpheniramine maleate phenylpropanolamine hydrochloride untuk meringankan gejala  gejala flu demam  sakit kepala  hidung tersumbat bersin  bersin disertai batuk</t>
  </si>
  <si>
    <t>DKL0304421302A1</t>
  </si>
  <si>
    <t>Oscal 0.5 mcg 30 Kapsul</t>
  </si>
  <si>
    <t>Rp218.300 - Rp445.400</t>
  </si>
  <si>
    <t>PENGGUNAAN OBAT INI HARUS SESUAI DENGAN PETUNJUK DOKTER. Osteoporosis paska menopause : 2 x sehari 0,25 mcg. Osteodistrofi Ginjal pada pasien dialisis : diawali 0,25 mcg perhari atau setiap 2 hari (selang 1 hari). Rentang dosis lazim : 1-2 kapsul perh</t>
  </si>
  <si>
    <t>Osteoporosis paska menopause. Osteodistrofi Ginjal pada pasien dengan gangguan Ginjal Khronik khususnya yang menjalani Hemodialisis. Hipoparatiroidisme paska operasi dan idiopatik. PseudoHipoparatiroidisme, penyakit Rickets/Rachitis yang tergantung pada v</t>
  </si>
  <si>
    <t>Hiperkalsemia, keracunan vit D.</t>
  </si>
  <si>
    <t>osteoporosis paska menopause  osteodistrofi ginjal pasien gangguan ginjal khronik menjalani hemodialisis  hipoparatiroidisme paska operasi idiopatik  pseudohipoparatiroidisme , penyakit rickets rachitis tergantung v</t>
  </si>
  <si>
    <t>oscal</t>
  </si>
  <si>
    <t>oscal kapsul calcitriol osteoporosis paska menopause  osteodistrofi ginjal pasien gangguan ginjal khronik menjalani hemodialisis  hipoparatiroidisme paska operasi idiopatik  pseudohipoparatiroidisme  penyakit rickets rachitis tergantung v</t>
  </si>
  <si>
    <t>DTL9222212604A1</t>
  </si>
  <si>
    <t>Tuzalos 4 Kaplet</t>
  </si>
  <si>
    <t>Dewasa : 3 kali per hari 1 kaplet. Anak berusia (6 - 12 tahun) : 0.5 kaplet, 3 kali per hari</t>
  </si>
  <si>
    <t>Obat ini digunakan untuk mengatasi gejala-gejala flu seperti: demam, pusing, bersin-bersin, hidung tersumbat, yang disertai batuk tidak berdahak.</t>
  </si>
  <si>
    <t>Catch Cover @ 1 strip @ 4 kaplet</t>
  </si>
  <si>
    <t>Obat ini tidak dianjurkan untuk digunakan oleh penderita penyakit jantung, diabetes mellitus, dan disfungsi hati yang berat, serta pengguna obat anti depresan tipe penghambat monoamin oksidase (MAOI).</t>
  </si>
  <si>
    <t>phenylpropanolamine hydrochloride chlorphenamine maleate paracetamol dextromethorphan hydrobromide</t>
  </si>
  <si>
    <t>obat mengatasi gejala - gejala flu demam , pusing , bersin - bersin , hidung tersumbat , disertai batuk tidak berdahak</t>
  </si>
  <si>
    <t>tuzalos</t>
  </si>
  <si>
    <t>tuzalos kaplet phenylpropanolamine hydrochloride chlorphenamine maleate paracetamol dextromethorphan hydrobromide obat mengatasi gejala  gejala flu demam  pusing  bersin  bersin  hidung tersumbat  disertai batuk tidak berdahak</t>
  </si>
  <si>
    <t>DKL0832401701B1</t>
  </si>
  <si>
    <t>Amoxsan 500 mg 10 Kapsul</t>
  </si>
  <si>
    <t>Rp42.800 - Rp51.700</t>
  </si>
  <si>
    <t>amoxsan kapsul amoxicillin trihydrate penyakit infeksi kulit jaringan lunak  infeksi saluran pernafasan  infeksi saluran genitourinari  gonore disebabkan organisme gram positif gram negatif peka amoxicillin</t>
  </si>
  <si>
    <t>DBL7821624233A1</t>
  </si>
  <si>
    <t>Polysilane Suspensi 180 ml</t>
  </si>
  <si>
    <t>Rp37.600 - Rp45.500</t>
  </si>
  <si>
    <t>Kocok dahulu sebelum diminum. Dikonsumsi sebelum makan atau 1-2 jam setelah makan dan menjelang tidur.</t>
  </si>
  <si>
    <t>Dewasa dan anak usia lebih dari 12 tahun : 1 - 2 sendok takar (5-10 ml), 3-4 kali sehari. Anak-anak usia 6-12 tahun : 1/2 - 1 sendok takar (2.5-5 ml), 3-4 kali sehari.</t>
  </si>
  <si>
    <t>Mengurangi gejala yang berhubungan dengan kelebihan asam lambung, gastritis, tukak lambung, dengan gejala seperti mual, nyeri lambung, nyeri ulu hati, kembung, dan perasaan penuh pada lambung.</t>
  </si>
  <si>
    <t>Jangan diberikan pada penderita gangguan fungsi ginjal yang berat, karena dapat menimbulkan hipermagnesia. Tidak dianjurkan digunakan terus menerus lebih dari 2 minggu, kecuali atas petunjuk dokter. Bila sedang menggunakan obat tukak lambung lain seperti simetidin atau antibiotika tetrasiklin, harap diberikan dengan selang waktu 1-2 jam. Tidak dianjurkan pemberian pada anak-anak di bawah 6 tahun, kecuali atas petunjuk dokter, karena biasanya kurang jelas penyebabnya. Hati-hati pemberian pada penderita diet fosfor rendah dan pemakaian lama, karena dapat mengurangi kadar fosfor dalam darah.</t>
  </si>
  <si>
    <t>mengurangi gejala berhubungan kelebihan asam lambung , gastritis , tukak lambung , gejala mual , nyeri lambung , nyeri ulu hati , kembung , perasaan penuh lambung</t>
  </si>
  <si>
    <t>polysilane suspensi aluminium hydroxide mengurangi gejala berhubungan kelebihan asam lambung  gastritis  tukak lambung  gejala mual  nyeri lambung  nyeri ulu hati  kembung  perasaan penuh lambung</t>
  </si>
  <si>
    <t>DBL0231522045A2</t>
  </si>
  <si>
    <t>Y-Rins Eye Liquid 12 ml 2 Botol</t>
  </si>
  <si>
    <t>1. Bersihkan eyebath (mangkuk/wadah untuk larutan pembersih mata) sebelum digunakan. 2. Sekiranya kelopak mata kurang bersih/ada sisa make-up bersihkan terlebih dahulu. 3. Isi eyebath dengan Y-Rins. 4. Tundukkan kepala sedikit ke depan, kenakan eyebath ke kelopak mata. Jaga agar kelopak mata tetap terbuka supaya larutan pembersih dapat mengalir bebas di seluruh permukaan mata maupun di bawah kelopak mata. 5. Posisi kepala tetap menunduk ke depan, goyangkan kepala ke kiri dan ke kanan sehingga larutan dapat mengurut mata dan efek pembersihan berlangsung. 6. Buang isi eyebath setelah pemakaian dan bersihkan kembali eyebath. 7. Setelah pembersihan, tutup mata sebentar lalu bersihkan sisa larutan dengan tisu bersih.</t>
  </si>
  <si>
    <t>Membersihkan, menyejukan dan menyegarkan kembali mata yang lelah dan sakit, meringankan iritasi ringan pada mata yang di sebabkan oleh udara yang berdebu atau berasap, mengemudi atau pekerjaan yang memerlukan penglihatan dekat.</t>
  </si>
  <si>
    <t>Dus., 2 Botol @ 12 ml</t>
  </si>
  <si>
    <t xml:space="preserve">- Jangan menggunakan obat ini secara rutin dan untuk jangka panjang. Jika gejala telah hilang hentikan penggunaan obat. - Untuk pengguna lensa kontak, saat menggunakan larutan pembersih Y-Rins, lepaskan lensa kontak. Beri jeda waktu untuk pemakaian lensa </t>
  </si>
  <si>
    <t>membersihkan , menyejukan menyegarkan mata lelah sakit , meringankan iritasi ringan mata sebabkan udara berdebu berasap , mengemudi pekerjaan penglihatan</t>
  </si>
  <si>
    <t>yrins eye liquid botol larutan witch hazel membersihkan  menyejukan menyegarkan mata lelah sakit  meringankan iritasi ringan mata sebabkan udara berdebu berasap  mengemudi pekerjaan penglihatan</t>
  </si>
  <si>
    <t>DKL8928601829A1</t>
  </si>
  <si>
    <t>Kloderma 0.05% Cream 5 g</t>
  </si>
  <si>
    <t>Rp30.600 - Rp34.800</t>
  </si>
  <si>
    <t>INFORMASI OBAT INI HANYA UNTUK KALANGAN MEDIS. Aplikasi jangka pendek untuk pengobatan penyakit kulit resisten, termasuk psoriasis, eksim, lupus, eritematosa, lichen, planus, peradangan dan gatal-gatal dermatosis responsif terhadap Kortikosteroid.</t>
  </si>
  <si>
    <t>Stimuno Sirup Rasa Original 100 ml</t>
  </si>
  <si>
    <t>Rp36.000 - Rp50.100</t>
  </si>
  <si>
    <t>Anak-anak di atas 1 tahun : 5 ml, diminum 3 kali per hari. Dewasa: 10 ml, diminum 3 kali per hari</t>
  </si>
  <si>
    <t>stimuno rasa original sirup stimuno immunomodulator membantu memperbaiki sistem imun membantu merangsang tubuh memproduksi antibodi membantu mengaktifkan sistem kekebalan tubuh daya tahan tubuh optimal</t>
  </si>
  <si>
    <t>anakonidin obh sirup paracetamol ammonium chloride chlorphenamine maleate pseudoephedrine hydrochloride succus liquiritiae untuk meredakan batuk gejala flu demam  sakit kepala  hidung tersumbat  bersin  bersin</t>
  </si>
  <si>
    <t>DKL0732401438A1</t>
  </si>
  <si>
    <t>Amoxsan Dry Sirup 60 ml</t>
  </si>
  <si>
    <t>amoxsan sirup amoxicillin trihydrate penyakit infeksi kulit jaringan lunak  infeksi saluran pernafasan  infeksi saluran genitourinari  gonore disebabkan organisme gram positif gram negatif peka amoxicillin</t>
  </si>
  <si>
    <t>DKL0909219109A1</t>
  </si>
  <si>
    <t>Zidalev 500 mg 10 Kaplet</t>
  </si>
  <si>
    <t>PENGGUNAAN OBAT INI HARUS SESUAI DENGAN PETUNJUK DOKTER. 250-500 mg per oral 1 x/hari selama 7-14 hari. Pasien dengan gangguan fungsi ginjal dengan bersihan kreatinin 50-80 mL/mnt Dosis biasa (tdk perlu penyesuaian dosis)</t>
  </si>
  <si>
    <t>DKL0633517010A1</t>
  </si>
  <si>
    <t>Zitanid 2 mg 10 Tablet</t>
  </si>
  <si>
    <t>Rp76.500 - Rp84.100</t>
  </si>
  <si>
    <t>PENGGUNAAN OBAT INI HARUS SESUAI DENGAN PETUNJUK DOKTER. Pada pasien dengan multiple sclerosis atau cedera atau penyakit sumsum tulang belakang: Awalnya, 2 mg sebagai dosis tunggal, tingkatkan sesuai dengan kebutuhan dan respons pasien dengan peningkatan 2-4 mg setiap hari dengan interval 3-4 hari. Dosis harus diambil dalam 3-4 dosis terbagi. Dosis biasa: 24 mg setiap hari. Maks: 36 mg setiap hari.</t>
  </si>
  <si>
    <t>INFORMASI OBAT INI HANYA UNTUK KALANGAN MEDIS. Meredakan nyeri spasme/kram otot yang berhubungan dengan gangguan statik dan fungsional tulang belakang (sindroma Servikal dan Lumbar)</t>
  </si>
  <si>
    <t>Cap Gajah Minyak Kayu Putih 30 ml</t>
  </si>
  <si>
    <t>Membantu melemaskan otot-otot yang pegal, mencegah perut kembung, menghangatkan tubuh serta sebagai penghilang gatal karena gigitan serangga.</t>
  </si>
  <si>
    <t>membantu melemaskan otot - otot pegal , mencegah perut kembung , menghangatkan tubuh penghilang gatal gigitan serangga</t>
  </si>
  <si>
    <t>cap gajah kayu putih minyak minyak kayu putih cap gajah membantu melemaskan otot  otot pegal  mencegah perut kembung  menghangatkan tubuh penghilang gatal gigitan serangga</t>
  </si>
  <si>
    <t>phenylpropanolamine hydrochloride chlorphenamine maleate dextromethorphan hydrobromide paracetamol</t>
  </si>
  <si>
    <t>tuzalos kaplet phenylpropanolamine hydrochloride chlorphenamine maleate dextromethorphan hydrobromide paracetamol obat mengatasi gejala  gejala flu demam  pusing  bersin  bersin  hidung tersumbat  disertai batuk tidak berdahak</t>
  </si>
  <si>
    <t>DKL8704404737A1</t>
  </si>
  <si>
    <t>Profilas Sirup 60 ml</t>
  </si>
  <si>
    <t>Rp56.300 - Rp138.700</t>
  </si>
  <si>
    <t>PENGGUNAAN OBAT INI HARUS SESUAI DENGAN PETUNJUK DOKTER. Anak : 0.125 mL/kg BB. Anak dengan BB 14-18 kg : 2 mL. Anak dengan BB 19-25 kg : 3 mL. Anak dengan BB 26-35 kg : 4 mL. Anak dengan BB &gt; 35 kg : 5 mL. Diberikan 2 kali sehari</t>
  </si>
  <si>
    <t>INFORMASI OBAT INI HANYA UNTUK KALANGAN MEDIS. meredakan gejala rhinitis (radang selaput lendir di hidung) seperti pilek, gatal, mata merah atau bengkak dan meredakan gatal mata pada konjungtivitis (radang selaput lendir di mata).</t>
  </si>
  <si>
    <t>Penderita yang hipersensitivitas terhadap komponen obat ini, tidak boleh digunakan bersamaan dengan obat anti diabetes</t>
  </si>
  <si>
    <t>Obat Wajib Apotek, Obat ini dapat dibeli dan diserahkan apoteker tanpa resep dengan maksimum 1 Botol. Pembelian melebihi batas ini WAJIB RESEP DOKTER. Hamil dan menyusui. Jangan mengemudi dan menjalankan mesin. Glaukoma sudut sempit, epilepsi, terapi MAOI</t>
  </si>
  <si>
    <t>meredakan gejala rhinitis radang selaput lendir hidung pilek , gatal , mata merah bengkak meredakan gatal mata konjungtivitis radang selaput lendir mata</t>
  </si>
  <si>
    <t>profilas sirup ketotifen fumarate meredakan gejala rhinitis radang selaput lendir hidung pilek  gatal  mata merah bengkak meredakan gatal mata konjungtivitis radang selaput lendir mata</t>
  </si>
  <si>
    <t>FF172600721</t>
  </si>
  <si>
    <t>Stimuno Sirup Rasa Jeruk Beri 100 ml</t>
  </si>
  <si>
    <t>STIMUNO RASA JERUK BERI</t>
  </si>
  <si>
    <t>Rp34.400 - Rp48.800</t>
  </si>
  <si>
    <t>stimuno rasa jeruk beri</t>
  </si>
  <si>
    <t>stimuno rasa jeruk beri sirup immunomodulator membantu memperbaiki sistem imun membantu merangsang tubuh memproduksi antibodi membantu mengaktifkan sistem kekebalan tubuh daya tahan tubuh optimal</t>
  </si>
  <si>
    <t>Stimuno Sirup Rasa Jeruk Beri 60 ml</t>
  </si>
  <si>
    <t>Rp20.000 - Rp46.100</t>
  </si>
  <si>
    <t>DKL1621022033A1</t>
  </si>
  <si>
    <t>Microtina 125 mg/5 ml Suspensi 60 ml</t>
  </si>
  <si>
    <t>microtina</t>
  </si>
  <si>
    <t>microtina suspensi chloramphenicol palmitate demam tifoid paratifoid  infeksi disebabkan bakteri salmonela spesies h  influenza  rickettsia  limfogranuloma  group psitakosis bakteri gram negatif penyebab bakteremia meningitis</t>
  </si>
  <si>
    <t>DTL1309222704A1</t>
  </si>
  <si>
    <t>Brochifar Plus 10 Kaplet</t>
  </si>
  <si>
    <t>Rp6.800 - Rp11.300</t>
  </si>
  <si>
    <t>Diberikan sesuai dengan petunjuk dosis penggunaan, leaflet/brosur, dokter atau apoteker</t>
  </si>
  <si>
    <t>Dewasa : 1 kaplet 3 kali perhari. Anak 6-12 tahun : 1/2 kaplet 3 kali perhari.</t>
  </si>
  <si>
    <t>Digunakan untuk meringankan gejala flu seperti demam, sakit kepala, hidung tersumbat, dan bersin-bersin yang disertai batuk.</t>
  </si>
  <si>
    <t>Amplop @ 1 Strip @ 10 tablet</t>
  </si>
  <si>
    <t>Kontraindikasi bagi pasien yang sensitif terhadap obat simpatomimetik lain, hipertensi berat, gangguan jantung, diabetes melitus, gangguan fungsi hati berat.</t>
  </si>
  <si>
    <t>Perhatian pada pasien dengan hipertensi, berat badan berlebihan, gangguan fungsi hati dan ginjal, glaukoma, hipertrofi prostat, hipertiroid, retensi urin, konsumsi alkohol, gangguan pernapasan, pasien dalam kondisi fisik lemah, hipoksia.</t>
  </si>
  <si>
    <t>paracetamol guaifenesin chlorphenamine maleate dextromethorphan hydrobromide phenylpropanolamine hydrochloride</t>
  </si>
  <si>
    <t>digunakan meringankan gejala flu demam , sakit kepala , hidung tersumbat , bersin - bersin disertai batuk</t>
  </si>
  <si>
    <t>brochifar plus</t>
  </si>
  <si>
    <t>brochifar plus kaplet paracetamol guaifenesin chlorphenamine maleate dextromethorphan hydrobromide phenylpropanolamine hydrochloride digunakan meringankan gejala flu demam  sakit kepala  hidung tersumbat  bersin  bersin disertai batuk</t>
  </si>
  <si>
    <t>sterimar nose hygiene baby  lemon oil membersihkan mengurangi kotoran hidung lembut  melembabkan mempertahankan kelembaban alami mukosa hidung  mencegah gangguan tht  membantu meningkatkan fungsi pernafasan</t>
  </si>
  <si>
    <t>sterimar blocked nose baby  lemon oil membantu meredakan hidung tersumba  membersihkan hingus lendir kental  membantu melawan pilek mencegah risiko infeksi sekunder membersihkan rongga hidung</t>
  </si>
  <si>
    <t>GKL9922230101A1</t>
  </si>
  <si>
    <t>Amoxicillin 500 mg 10 Tablet</t>
  </si>
  <si>
    <t>Rp6.100 - Rp9.000</t>
  </si>
  <si>
    <t>amoxicillin kapsul amoxicillin trihydrate penyakit infeksi kulit jaringan lunak  infeksi saluran pernafasan  infeksi saluran genitourinari  gonore disebabkan organisme gram positif gram negatif peka amoxicillin</t>
  </si>
  <si>
    <t>DKL0211634416B1</t>
  </si>
  <si>
    <t>Serolin 30 mg 21 Tablet</t>
  </si>
  <si>
    <t>PENGGUNAAN OBAT INI HARUS SESUAI DENGAN PETUNJUK DOKTER. 2-3 x sehari 30-60 mg</t>
  </si>
  <si>
    <t>Gangguan Vaskulo-Metabolik Serebral akut dan khronik (Trombosis, Emboli, gangguan sirkulasi)</t>
  </si>
  <si>
    <t>DKL0117608001C1</t>
  </si>
  <si>
    <t>Clinium 300 mg 10 Kapsul</t>
  </si>
  <si>
    <t>Rp132.000 - Rp142.800</t>
  </si>
  <si>
    <t>clinium kapsul clindamycin hydrochloride infeksi gr  serius berat  disebabkan organisme peka strep  pneumokokus staph  bakteri anaerob  infeksi sal nafas  kulit jar lunak infeksi serius</t>
  </si>
  <si>
    <t>DKI2214500822A1</t>
  </si>
  <si>
    <t>Fluimucil Granul 600 mg</t>
  </si>
  <si>
    <t>Rp17.300 - Rp19.800</t>
  </si>
  <si>
    <t>PENGGUNAAN OBAT INI HARUS SESUAI DENGAN PETUNJUK DOKTER. Dewasa : 2-3 x sehari 1 sachet, lama terapi 5-10 hari.</t>
  </si>
  <si>
    <t>INFORMASI OBAT INI HANYA UNTUK KALANGAN MEDIS. Penyakit saluran nafas (paru-paru &amp; bronkus) akut &amp; kronis dengan sekresi mukus yang kental seperti Bronkitis akut/kronik &amp; eksaserbasi akut, emfisema paru, mukovisidosis, dan bronkiektasis.</t>
  </si>
  <si>
    <t>Dus, 20 Sachet @ 3 gram</t>
  </si>
  <si>
    <t>Obat Wajib Apotek, Obat ini dapat dibeli dan diserahkan apoteker tanpa resep dengan maksimum 20 Sachet. Pembelian melebihi batas ini WAJIB RESEP DOKTER.</t>
  </si>
  <si>
    <t>penyakit saluran nafas paru - paru bronkus akut kronis sekresi mukus kental bronkitis akut kronik eksaserbasi akut , emfisema paru , mukovisidosis , bronkiektasis</t>
  </si>
  <si>
    <t>fluimucil granul granula acetylcysteine penyakit saluran nafas paru  paru bronkus akut kronis sekresi mukus kental bronkitis akut kronik eksaserbasi akut  emfisema paru  mukovisidosis  bronkiektasis</t>
  </si>
  <si>
    <t>TR082676851</t>
  </si>
  <si>
    <t>Larutan Cap Badak Kaleng Rasa Leci 320 ml</t>
  </si>
  <si>
    <t>LARUTAN PENYEGAR CAP BADAK RASA LECI</t>
  </si>
  <si>
    <t>Rp6.700 - Rp7.000</t>
  </si>
  <si>
    <t>larutan penyegar cap badak rasa leci</t>
  </si>
  <si>
    <t>cap badak kaleng rasa leci</t>
  </si>
  <si>
    <t>cap badak kaleng rasa leci larutan larutan penyegar cap badak rasa leci membantu meredakan panas disertai tenggorokan kering  sariawan  sakit tenggorokan membantu menyegarkan badan</t>
  </si>
  <si>
    <t>potassium iodide sodium iodide</t>
  </si>
  <si>
    <t>cendo vitrolenta eye drop tetes potassium iodide sodium iodide kekeruhan pendarahan vitreous body penyebabnya faktor usia  myopia  hypertonia  diabetes kekeruhan lensa gejalan katarak sinilis</t>
  </si>
  <si>
    <t>TR082676861</t>
  </si>
  <si>
    <t>Larutan Cap Badak Kaleng Rasa Jambu 320 ml</t>
  </si>
  <si>
    <t>LARUTAN PENYEGAR CAP BADAK RASA JAMBU</t>
  </si>
  <si>
    <t>Rp6.500 - Rp11.100</t>
  </si>
  <si>
    <t>Kaleng 320 ml X 1</t>
  </si>
  <si>
    <t>larutan penyegar cap badak rasa jambu</t>
  </si>
  <si>
    <t>cap badak kaleng rasa jambu</t>
  </si>
  <si>
    <t>cap badak kaleng rasa jambu larutan larutan penyegar cap badak rasa jambu membantu meredakan panas disertai tenggorokan kering  sariawan  sakit tenggorokan membantu menyegarkan badan</t>
  </si>
  <si>
    <t>TR082676831</t>
  </si>
  <si>
    <t>Larutan Cap Badak Kaleng Rasa Strawberry 320 ml</t>
  </si>
  <si>
    <t>LARUTAN PENYEGAR CAP BADAK RASA STRAWBERRY</t>
  </si>
  <si>
    <t>Rp7.800 - Rp7.900</t>
  </si>
  <si>
    <t>kaleng @ 320 ml</t>
  </si>
  <si>
    <t>larutan penyegar cap badak rasa strawberry</t>
  </si>
  <si>
    <t>cap badak kaleng rasa strawberry</t>
  </si>
  <si>
    <t>cap badak kaleng rasa strawberry larutan larutan penyegar cap badak rasa strawberry membantu meredakan panas disertai tenggorokan kering  sariawan  sakit tenggorokan membantu menyegarkan badan</t>
  </si>
  <si>
    <t>Cap Lang Minyak Urut Gpu Sereh 30 ml</t>
  </si>
  <si>
    <t>Rp9.000 - Rp17.400</t>
  </si>
  <si>
    <t>Membantu meredakan nyeri otot, pegal linu, nyeri sendi, terkilir, sakit punggung, keseleo, memar karena benturan, memperlancar peredaran darah.</t>
  </si>
  <si>
    <t>membantu meredakan nyeri otot , pegal linu , nyeri sendi , terkilir , sakit punggung , keseleo , memar benturan , memperlancar peredaran darah</t>
  </si>
  <si>
    <t>cap lang urut gpu sereh minyak camphor membantu meredakan nyeri otot  pegal linu  nyeri sendi  terkilir  sakit punggung  keseleo  memar benturan  memperlancar peredaran darah</t>
  </si>
  <si>
    <t>QD212608851</t>
  </si>
  <si>
    <t>Freshcare Roll On Minyak Angin Lavender 10 ml</t>
  </si>
  <si>
    <t>Gosokkan secukupnya pada kening, dada, hidung, atau pada bagian yang sakit lainnya.</t>
  </si>
  <si>
    <t>Memberikan indikasi sebagai aromatherapy yang menyegarkan untuk meringankan sakit kepala Meredakan perut kembung, masuk angin, mabuk perjalanan, meringankan gejala flu dan lain-lain.</t>
  </si>
  <si>
    <t>memberikan indikasi aromatherapy menyegarkan meringankan sakit kepala meredakan perut kembung , masuk angin , mabuk perjalanan , meringankan gejala flu -</t>
  </si>
  <si>
    <t>freshcare roll on angin lavender</t>
  </si>
  <si>
    <t xml:space="preserve">freshcare roll on angin lavender roll camphora memberikan indikasi aromatherapy menyegarkan meringankan sakit kepala meredakan perut kembung  masuk angin  mabuk perjala  meringankan gejala flu </t>
  </si>
  <si>
    <t xml:space="preserve">freshcare roll on angin lavender roll  menthol memberikan indikasi aromatherapy menyegarkan meringankan sakit kepala meredakan perut kembung  masuk angin  mabuk perjala  meringankan gejala flu </t>
  </si>
  <si>
    <t>TR082676871</t>
  </si>
  <si>
    <t>Larutan Penyegar Cap Badak Rasa Anggur 320 ml</t>
  </si>
  <si>
    <t>LARUTAN PENYEGAR CAP BADAK RASA ANGGUR</t>
  </si>
  <si>
    <t>Rp7.000 - Rp8.200</t>
  </si>
  <si>
    <t>larutan penyegar cap badak rasa anggur</t>
  </si>
  <si>
    <t>penyegar cap badak rasa anggur</t>
  </si>
  <si>
    <t>penyegar cap badak rasa anggur larutan larutan penyegar cap badak rasa anggur membantu meredakan panas disertai tenggorokan kering  sariawan  sakit tenggorokan membantu menyegarkan badan</t>
  </si>
  <si>
    <t>TR102620901</t>
  </si>
  <si>
    <t>Larutan Cap Kaki Tiga Jambu 320 ml</t>
  </si>
  <si>
    <t>LARUTAN CAP KAKI TIGA RASA JAMBU BIJI</t>
  </si>
  <si>
    <t>Rp7.000 - Rp8.500</t>
  </si>
  <si>
    <t>larutan cap kaki tiga rasa jambu biji</t>
  </si>
  <si>
    <t>cap kaki tiga jambu</t>
  </si>
  <si>
    <t>cap kaki tiga jambu larutan larutan cap kaki tiga rasa jambu biji membantu meredakan panas disertai tenggorokan kering  sariawan  sakit tenggorokan membantu menyegarkan badan</t>
  </si>
  <si>
    <t>DKL1821647301B1</t>
  </si>
  <si>
    <t>Clinidac 300 mg 10 Kapsul</t>
  </si>
  <si>
    <t>Rp62.000 - Rp79.500</t>
  </si>
  <si>
    <t>clinidac kapsul clindamycin hydrochloride infeksi gr  serius berat  disebabkan organisme peka strep  pneumokokus staph  bakteri anaerob  infeksi sal nafas  kulit jar lunak infeksi serius</t>
  </si>
  <si>
    <t>QD173615091</t>
  </si>
  <si>
    <t>Safe Care Minyak Kayu Putih Plus Aromatherapy 10 ml</t>
  </si>
  <si>
    <t>Rp15.000 - Rp45.800</t>
  </si>
  <si>
    <t>Membantu meredakan sakit perut, perut kembung, gejala masuk angin, menghangatkan badan, dan mencegah gigitan nyamuk hingga 4 jam.</t>
  </si>
  <si>
    <t>membantu meredakan sakit perut , perut kembung , gejala masuk angin , menghangatkan badan , mencegah gigitan nyamuk 4 jam</t>
  </si>
  <si>
    <t>safe care kayu putih plus aromatherapy</t>
  </si>
  <si>
    <t>safe care kayu putih plus aromatherapy minyak camphor membantu meredakan sakit perut  perut kembung  gejala masuk angin  menghangatkan badan  mencegah gigitan nyamuk 4 jam</t>
  </si>
  <si>
    <t>TR172607951</t>
  </si>
  <si>
    <t>Cap Lang Minyak Ekaliptus Aromatherapy Green Tea 60 ml</t>
  </si>
  <si>
    <t>Minyak Ekaliptus Aromatherapy Green Tea</t>
  </si>
  <si>
    <t>Rp20.200 - Rp43.000</t>
  </si>
  <si>
    <t>Dioleskan sesuai dengan kebutuhan</t>
  </si>
  <si>
    <t>Meringankan sakit perut, perut kembung, rasa mual, gatal-gatal akibat gigitan serangga/nyamuk</t>
  </si>
  <si>
    <t>minyak ekaliptus aromatherapy green tea</t>
  </si>
  <si>
    <t>meringankan sakit perut , perut kembung , mual , gatal - gatal akibat gigitan serangga nyamuk</t>
  </si>
  <si>
    <t>cap lang ekaliptus aromatherapy green tea</t>
  </si>
  <si>
    <t>cap lang ekaliptus aromatherapy green tea minyak minyak ekaliptus aromatherapy green tea meringankan sakit perut  perut kembung  mual  gatal  gatal akibat gigitan serangga nyamuk</t>
  </si>
  <si>
    <t>- STANDARDIZED OM-85 LYOPHILIZATE</t>
  </si>
  <si>
    <t>standardized om-85 lyophilizate</t>
  </si>
  <si>
    <t>bronchovaxom children kapsul standardized om85 lyophilizate imunoterapi  pencegahan infeksi berulang saluran udara eksaserbasi infeksi akut bronkitis kronis  co  obat pengobatan infeksi saluran napa akut</t>
  </si>
  <si>
    <t>QD102609361E</t>
  </si>
  <si>
    <t>Cap Lang V Fresh Original Roll On 4 ml</t>
  </si>
  <si>
    <t>Rp6.100 - Rp9.200</t>
  </si>
  <si>
    <t>Oleskan pada bagian yang memerlukan.</t>
  </si>
  <si>
    <t>Ulangi seperlunya.</t>
  </si>
  <si>
    <t>Membantu meringankan pusing, mabuk perjalanan, dan gatal akibat gigitan nyamuk/serangga. Aromatherapy membantu memberikan rasa segar, tenang dan relaksasi</t>
  </si>
  <si>
    <t>Roll On 4 ml</t>
  </si>
  <si>
    <t>Tidak digunakan untuk anak dibawah umur 2 tahun, Jangan digunakan lagsung ke dalam lubang hidung.</t>
  </si>
  <si>
    <t>membantu meringankan pusing , mabuk perjalanan , gatal akibat gigitan nyamuk serangga  aromatherapy membantu segar , tenang relaksasi</t>
  </si>
  <si>
    <t>cap lang v fresh original roll on</t>
  </si>
  <si>
    <t>cap lang v fresh original roll on roll camphor membantu meringankan pusing  mabuk perjala  gatal akibat gigitan nyamuk serangga  aromatherapy membantu segar  teg relaksasi</t>
  </si>
  <si>
    <t>QD142612271</t>
  </si>
  <si>
    <t>Cap Lang V Fresh Hot Roll On 8 ml</t>
  </si>
  <si>
    <t>Rp8.500 - Rp20.700</t>
  </si>
  <si>
    <t>Roll On 8 ml</t>
  </si>
  <si>
    <t>cap lang v fresh hot roll on</t>
  </si>
  <si>
    <t>cap lang v fresh hot roll on roll  menthol membantu meringankan pusing  mabuk perjala  gatal akibat gigitan nyamuk serangga  aromatherapy membantu segar  teg relaksasi</t>
  </si>
  <si>
    <t>DKL0622241946A1</t>
  </si>
  <si>
    <t>Ocuflam Eye Drops 5 ml</t>
  </si>
  <si>
    <t>Rp87.900 - Rp101.800</t>
  </si>
  <si>
    <t>PENGGUNAAN OBAT INI HARUS SESUAI DENGAN PETUNJUK DOKTER. 2-4 x sehari 1-2 tetes, dapat disesuaikan menurut usia pasien dan beratnya gejala</t>
  </si>
  <si>
    <t xml:space="preserve">Terapi jangka pendek untuk penyakit inflamasi bola mata eksternal atau anterior </t>
  </si>
  <si>
    <t>Cap Lang Minyak Kayu Putih Plus 120 ml</t>
  </si>
  <si>
    <t>Rp37.700 - Rp83.300</t>
  </si>
  <si>
    <t>Oleskan pada bagian yang membutuhkan. Ulangi pemakaian untuk memperpanjang perlindungannya</t>
  </si>
  <si>
    <t>Membantu meringankan sakit perut, perut kembung, rasa mual, dan gatal-gatal akibat gigitan nyamuk atau serangga</t>
  </si>
  <si>
    <t>membantu meringankan sakit perut , perut kembung , mual , gatal - gatal akibat gigitan nyamuk serangga</t>
  </si>
  <si>
    <t>cap lang kayu putih plus minyak minyak kayu putih cap lang membantu meringankan sakit perut  perut kembung  mual  gatal  gatal akibat gigitan nyamuk serangga</t>
  </si>
  <si>
    <t>Cendo Augentonic Drop 5 ml</t>
  </si>
  <si>
    <t>Rp25.700 - Rp35.400</t>
  </si>
  <si>
    <t>3 kali sehari 1-2 tetes pada mata yang sakit</t>
  </si>
  <si>
    <t>Memperjelas dan menguatkan pandangan, mengurangi simpton letih setelah membaca dan menonton televisi atau iritasi konjungtiva, fotoftalmia. Juga digunakan untuk iritasi noninfeksi, radang dan alergi mata</t>
  </si>
  <si>
    <t>simpan ditempat sejuk, jauhkan dari jangkauan anak, hentikan pemakaian jika timbul reaksi iritasi</t>
  </si>
  <si>
    <t>memperjelas menguatkan pandangan , mengurangi simpton letih membaca menonton televisi iritasi konjungtiva , fotoftalmia  juga iritasi noninfeksi , radang alergi mata</t>
  </si>
  <si>
    <t>cendo augentonic drop</t>
  </si>
  <si>
    <t>cendo augentonic drop tetes phenylephrine hydrochloride memperjelas menguatkan pandangan  mengurangi simpton letih membaca menonton televisi iritasi konjungtiva  fotoftalmia  juga iritasi noninfeksi  radang alergi mata</t>
  </si>
  <si>
    <t>QD152613821</t>
  </si>
  <si>
    <t>Cap Lang Minyak Urut Gpu Jahe 60 ml</t>
  </si>
  <si>
    <t>Rp19.700 - Rp34.400</t>
  </si>
  <si>
    <t>cap lang urut gpu jahe minyak camphor membantu meredakan nyeri otot  pegal linu  nyeri sendi  terkilir  sakit punggung  keseleo  memar benturan  memperlancar peredaran darah</t>
  </si>
  <si>
    <t>QD152713451</t>
  </si>
  <si>
    <t>Cap Lang Gpu Cream Minyak Pala 150 g</t>
  </si>
  <si>
    <t>Rp15.700 - Rp32.400</t>
  </si>
  <si>
    <t>Botol @150 g</t>
  </si>
  <si>
    <t>cap lang gpu cream pala</t>
  </si>
  <si>
    <t>cap lang gpu cream pala minyak  menthol membantu meredakan nyeri otot  pegal linu  nyeri sendi  terkilir  sakit punggung  keseleo  memar benturan  memperlancar peredaran darah</t>
  </si>
  <si>
    <t>cap lang gpu cream pala minyak camphor membantu meredakan nyeri otot  pegal linu  nyeri sendi  terkilir  sakit punggung  keseleo  memar benturan  memperlancar peredaran darah</t>
  </si>
  <si>
    <t>colsancetine suspensi chloramphenicol palmitate demam tifoid paratifoid  infeksi disebabkan bakteri salmonela spesies h  influenza  rickettsia  limfogranuloma  group psitakosis bakteri gram negatif penyebab bakteremia meningitis</t>
  </si>
  <si>
    <t>DKL9513304801B1</t>
  </si>
  <si>
    <t>Clinmas 300 mg 10 Kapsul</t>
  </si>
  <si>
    <t>Rp95.700 - Rp111.000</t>
  </si>
  <si>
    <t>clinmas</t>
  </si>
  <si>
    <t>clinmas kapsul clindamycin hydrochloride infeksi gr  serius berat  disebabkan organisme peka strep  pneumokokus staph  bakteri anaerob  infeksi sal nafas  kulit jar lunak infeksi serius</t>
  </si>
  <si>
    <t>Cap Lang Gpu Cream Minyak Jahe 150 g</t>
  </si>
  <si>
    <t>Rp18.700 - Rp32.400</t>
  </si>
  <si>
    <t>Tube 150 g</t>
  </si>
  <si>
    <t>cap lang gpu cream jahe</t>
  </si>
  <si>
    <t>cap lang gpu cream jahe minyak camphor membantu meredakan nyeri otot  pegal linu  nyeri sendi  terkilir  sakit punggung  keseleo  memar benturan  memperlancar peredaran darah</t>
  </si>
  <si>
    <t>cap lang gpu cream jahe minyak  menthol membantu meredakan nyeri otot  pegal linu  nyeri sendi  terkilir  sakit punggung  keseleo  memar benturan  memperlancar peredaran darah</t>
  </si>
  <si>
    <t>DTL0904131137A1</t>
  </si>
  <si>
    <t>OBH Combi Anak Batuk Plus Flu Apel 60 ml</t>
  </si>
  <si>
    <t>Rp18.700 - Rp19.300</t>
  </si>
  <si>
    <t>Umur 2-5 thn : 3 x sehari 1 sendok takar (5 ml) Umur 6-12 thn : 3 x sehari 2 sendok takar (10 ml)</t>
  </si>
  <si>
    <t>Meredakan batuk yang disertai gejala-gejala flu pada anak seperti demam, sakit kepala, hidung tersumbat dan bersin-bersin</t>
  </si>
  <si>
    <t>Hipersensitif, gangguan jantung, diabetes mellitus, gangguan fungsi hati yang berat.</t>
  </si>
  <si>
    <t>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</si>
  <si>
    <t>meredakan batuk disertai gejala - gejala flu anak demam , sakit kepala , hidung tersumbat bersin - bersin</t>
  </si>
  <si>
    <t>obh combi anak batuk plus flu apel</t>
  </si>
  <si>
    <t>obh combi anak batuk plus flu apel sirup ammonium chloride meredakan batuk disertai gejala  gejala flu anak demam  sakit kepala  hidung tersumbat bersin  bersin</t>
  </si>
  <si>
    <t>paracetamol phenylephrine hydrochloride dextromethorphan hydrobromide</t>
  </si>
  <si>
    <t>mixagrip flu dan batuk kaplet paracetamol phenylephrine hydrochloride dextromethorphan hydrobromide meredakan gejala flu bersin  bersin  hidung berair  hidung tersumbat  demam  sakit kepala disertai batuk</t>
  </si>
  <si>
    <t>DKL0033200301A1</t>
  </si>
  <si>
    <t>Biodasin 300 mg 10 Kapsul</t>
  </si>
  <si>
    <t>Rp92.900 - Rp99.600</t>
  </si>
  <si>
    <t>biodasin</t>
  </si>
  <si>
    <t>biodasin kapsul clindamycin hydrochloride infeksi gr  serius berat  disebabkan organisme peka strep  pneumokokus staph  bakteri anaerob  infeksi sal nafas  kulit jar lunak infeksi serius</t>
  </si>
  <si>
    <t>DKL0732401438B1</t>
  </si>
  <si>
    <t>Amoxsan Forte Dry Sirup 60 ml</t>
  </si>
  <si>
    <t>Rp6.300 - Rp46.400</t>
  </si>
  <si>
    <t>amoxsan forte</t>
  </si>
  <si>
    <t>amoxsan forte sirup amoxicillin penyakit infeksi kulit jaringan lunak  infeksi saluran pernafasan  infeksi saluran genitourinari  gonore disebabkan organisme gram positif gram negatif peka amoxicillin</t>
  </si>
  <si>
    <t>amoxsan tetes amoxicillin trihydrate penyakit infeksi kulit jaringan lunak  infeksi saluran pernafasan  infeksi saluran genitourinari  gonore disebabkan organisme gram positif gram negatif peka amoxicillin</t>
  </si>
  <si>
    <t>DKL7219930204A1</t>
  </si>
  <si>
    <t>Dextamine 10 Tablet</t>
  </si>
  <si>
    <t>Rp21.700 - Rp26.200</t>
  </si>
  <si>
    <t>PENGGUNAAN OBAT INI HARUS SESUAI DENGAN PETUNJUK DOKTER. Dewasa : 1 tablet, 3 kali per hari. Anak : 1/2 tablet, 3 kali per hari.</t>
  </si>
  <si>
    <t>INFORMASI OBAT INI HANYA UNTUK KALANGAN MEDIS. Hay Fever berat, Asma Bronkhial Khronik, Rinitis Alergi, Dermatitis Atopik &amp; Kontak, Reaksi terhadap obat, Serum Sickness, Konjungtivitis alergi, Keratitis &amp; gangguan peradangan Okular</t>
  </si>
  <si>
    <t>Dus, 30 Blister @ 10 kaplet</t>
  </si>
  <si>
    <t>HARUS DENGAN RESEP DOKTER. Hati-hati pada penderita gagal jantung kongestif, hipertensi, diabetes melitus, infeksi, gagal ginjal kronik, uremia, stres, usia lanjut, glaukoma sudut sempit, hipertrofi prostat. Jangan mengemudi kendaraan atau menjalankan mesin. Wanita hamil</t>
  </si>
  <si>
    <t>hay fever berat , asma bronkhial khronik , rinitis alergi , dermatitis atopik kontak , reaksi obat , serum sickness , konjungtivitis alergi , keratitis gangguan peradangan okular</t>
  </si>
  <si>
    <t>dextamine</t>
  </si>
  <si>
    <t>dextamine kaplet dexamethasone hay fever berat  asma bronkhial khronik  rinitis alergi  dermatitis atopik kontak  reaksi obat  serum sickness  konjungtivitis alergi  keratitis gangguan peradangan okular</t>
  </si>
  <si>
    <t>DKL0632400909A1</t>
  </si>
  <si>
    <t>Ciprec 500 mg 10 Kaplet</t>
  </si>
  <si>
    <t>Rp171.000 - Rp203.500</t>
  </si>
  <si>
    <t>Infeksi saluran kemih, infeksi saluran nafas, infeksi saluran cerna, infeksi kulit dan jaringan lunak, infeksi tulang dan sendi, infeksi intra-abdomen dengan komplikasi</t>
  </si>
  <si>
    <t>HARUS DENGAN RESEP DOKTER. Gangguan sistem saraf pusat, kerusakan ginjal. Hamil &amp; Laktasi. Anak &lt; 12 tahun</t>
  </si>
  <si>
    <t>infeksi saluran kemih , infeksi saluran nafas , infeksi saluran cerna , infeksi kulit jaringan lunak , infeksi tulang sendi , infeksi intra - abdomen komplikasi</t>
  </si>
  <si>
    <t>ciprec</t>
  </si>
  <si>
    <t>ciprec kaplet ciprofloxacin hydrochloride infeksi saluran kemih  infeksi saluran nafas  infeksi saluran cerna  infeksi kulit jaringan lunak  infeksi tulang sendi  infeksi intra  abdomen komplikasi</t>
  </si>
  <si>
    <t>DKL9909212438A1</t>
  </si>
  <si>
    <t>Yusimox Dry Sirup 125 mg/5 ml 60 ml</t>
  </si>
  <si>
    <t>Rp8.000 - Rp11.600</t>
  </si>
  <si>
    <t>INFORMASI OBAT INI HANYA UNTUK KALANGAN MEDIS. Penyakit infeksi kulit dan jaringan lunak, infeksi saluran pernafasan, infeksi saluran genitourinari, dan gonore yang disebabkan organisme Gram positif dan Gram Negatif yang peka terhadap Amoxicillin.</t>
  </si>
  <si>
    <t>yusimox sirup amoxicillin trihydrate penyakit infeksi kulit jaringan lunak  infeksi saluran pernafasan  infeksi saluran genitourinari  gonore disebabkan organisme gram positif gram negatif peka amoxicillin</t>
  </si>
  <si>
    <t>Hypafix 5 cm X 1 M</t>
  </si>
  <si>
    <t>Rp22.400 - Rp24.000</t>
  </si>
  <si>
    <t>phenylephrine hydrochloride dextromethorphan hydrobromide paracetamol</t>
  </si>
  <si>
    <t>mixagrip flu dan batuk kaplet phenylephrine hydrochloride dextromethorphan hydrobromide paracetamol meredakan gejala flu bersin  bersin  hidung berair  hidung tersumbat  demam  sakit kepala disertai batuk</t>
  </si>
  <si>
    <t>pseudoephedrine sulfate loratadine kombinasi-pseudoephedrine sulfate sustained release pellets</t>
  </si>
  <si>
    <t>aldisa sr kapsul pseudoephedrine sulfate loratadine kombinasipseudoephedrine sulfate sustained release pellets meredakan gejala berhubungan rinitis alergi selesma  hidung tersumbat  bersin  hidung berair  gatal lakrimasi</t>
  </si>
  <si>
    <t>DKL8520600509A1</t>
  </si>
  <si>
    <t>Arcamox 500 mg 10 Kaplet</t>
  </si>
  <si>
    <t>Rp25.100 - Rp25.500</t>
  </si>
  <si>
    <t>PENGGUNAAN OBAT INI HARUS SESUAI DENGAN PETUNJUK DOKTER. Dewasa : 250 - 500 mg, Anak sampai dengan 10 tahun : 125 mg. diberikan 3 kali sehari</t>
  </si>
  <si>
    <t>Infeksi sal nafas atas, otitis media, bronkitis akut dan kronik, pneumonia, sistitis, uretritis, pielonefritis, bakteriuria asimptomatik pada masa hamil, GO, infeksi kulit dan jar lunak</t>
  </si>
  <si>
    <t>Kaplet 500 mg x 25 x 4</t>
  </si>
  <si>
    <t>infeksi sal nafas , otitis medium , bronkitis akut kronik , pneumonia , sistitis , uretritis , pielonefritis , bakteriuria asimptomatik hamil , go , infeksi kulit jar lunak</t>
  </si>
  <si>
    <t>arcamox kaplet amoxicillin trihydrate infeksi sal nafas  otitis medium  bronkitis akut kronik  pneumonia  sistitis  uretritis  pielonefritis  bakteriuria asimptomatik hamil  go  infeksi kulit jar lunak</t>
  </si>
  <si>
    <t>DKL7820600501A1</t>
  </si>
  <si>
    <t>Arcamox 250 mg 10 Kapsul</t>
  </si>
  <si>
    <t>Rp17.400 - Rp18.400</t>
  </si>
  <si>
    <t>Kapsul 250 mg x 100</t>
  </si>
  <si>
    <t>arcamox kapsul amoxicillin trihydrate infeksi sal nafas  otitis medium  bronkitis akut kronik  pneumonia  sistitis  uretritis  pielonefritis  bakteriuria asimptomatik hamil  go  infeksi kulit jar lunak</t>
  </si>
  <si>
    <t>DKL9906501404A1</t>
  </si>
  <si>
    <t>Etafenin 500 mg 10 Kaplet</t>
  </si>
  <si>
    <t>Rp3.700 - Rp6.400</t>
  </si>
  <si>
    <t>PENGGUNAAN OBAT INI HARUS SESUAI DENGAN PETUNJUK DOKTER. Tiap 6 jam 500 mg</t>
  </si>
  <si>
    <t>Untuk meredakan rasa sakit sakit seperti sakit kepala, sakit gigi, dismenore, meredakan rasa nyeri sperti nyeri otot, nyeri sesudah operasi, nyeri pada persalinan, nyeri karena trauma.</t>
  </si>
  <si>
    <t>tukak GI, gagal hati atau jantung, bronkospasme, rinitis alergi, urtikaria</t>
  </si>
  <si>
    <t>Obat Wajib Apotek, Obat ini dapat dibeli dan diserahkan apoteker tanpa resep dengan maksimum 2 Strip. Pembelian melebihi batas ini WAJIB RESEP DOKTER. Kategori Kehamilan : C</t>
  </si>
  <si>
    <t>untuk meredakan sakit sakit sakit kepala , sakit gigi , dismenore , meredakan nyeri sperti nyeri otot , nyeri operasi , nyeri persalinan , nyeri trauma</t>
  </si>
  <si>
    <t>etafenin</t>
  </si>
  <si>
    <t>etafenin kaplet mefenamic acid untuk meredakan sakit sakit sakit kepala  sakit gigi  dismenore  meredakan nyeri sperti nyeri otot  nyeri operasi  nyeri persali  nyeri trauma</t>
  </si>
  <si>
    <t>DKI1163500117A1</t>
  </si>
  <si>
    <t>Janumet 50 mg/500 mg 7 Tablet</t>
  </si>
  <si>
    <t>Rp77.400 - Rp88.900</t>
  </si>
  <si>
    <t>PENGGUNAAN OBAT INI HARUS SESUAI DENGAN PETUNJUK DOKTER. Dosis bersifat individual, dosis harian maximal : Sitagliptin 100 mg &amp; Metformin 2 g. Pasien yang tidak terkontrol baik dengan Metformin saja : dosis awal lazim 2 x sehari Sitagliptin 50 mg + dosis Metformin yang sudah dikonsumsi. Pasien yang tidak terko</t>
  </si>
  <si>
    <t>INFORMASI OBAT INI HANYA UNTUK KALANGAN MEDIS. Sebagai penunjang diet &amp; olahraga untuk memperbaiki kontrol Glikemik pada DM tipe-2 yang tidak terkontrol baik dengan Metformin atau Sitagliptin saja, atau pasien yang sudah mendapatkan kombinasi Sitagliptin &amp; Metformin</t>
  </si>
  <si>
    <t>Dus, 4 Strip @ 7 Tablet Salut</t>
  </si>
  <si>
    <t>HARUS DENGAN RESEP DOKTER. Ginjal intrinsik &amp; hipoperfusi ginjal, penyakit jantung, Hindari konsumsi alkohol secara berlebihan, penggunaan bersama dg obat hipoglikemia, atau obat yg mempengaruhi fungsi ginjal, hamil &amp; laktasi. Anak &lt;18 thn. Lanjut usia.</t>
  </si>
  <si>
    <t>metformin hydrochloride sitagliptin phosphate</t>
  </si>
  <si>
    <t>sebagai penunjang diet olahraga memperbaiki kontrol glikemik dm tipe - 2 tidak terkontrol metformin sitagliptin , pasien kombinasi sitagliptin metformin</t>
  </si>
  <si>
    <t>janumet</t>
  </si>
  <si>
    <t>janumet tablet metformin hydrochloride sitagliptin phosphate sebagai penunjang diet olahraga memperbaiki kontrol glikemik dm tipe  2 tidak terkontrol metformin sitagliptin  pasien kombinasi sitagliptin metformin</t>
  </si>
  <si>
    <t>sitagliptin phosphate metformin hydrochloride</t>
  </si>
  <si>
    <t>janumet tablet sitagliptin phosphate metformin hydrochloride sebagai penunjang diet olahraga memperbaiki kontrol glikemik dm tipe  2 tidak terkontrol metformin sitagliptin  pasien kombinasi sitagliptin metformin</t>
  </si>
  <si>
    <t>DTL7818906237A1</t>
  </si>
  <si>
    <t>Pimacolin Sirup Rasa Milk 60 ml</t>
  </si>
  <si>
    <t>Rp7.600 - Rp11.000</t>
  </si>
  <si>
    <t>pimacolin rasa milk</t>
  </si>
  <si>
    <t>pimacolin rasa milk sirup paracetamol guaifenesin ephedrine hydrochloride chlorphenamine maleate untuk meringankan gejala  gejala flu demam  sakit kepala  hidung tersumbat  bersin  bersin disertai batuk</t>
  </si>
  <si>
    <t>DKI1301600117C1</t>
  </si>
  <si>
    <t>Glucovance 5 mg/500 mg 10 Tablet</t>
  </si>
  <si>
    <t>Rp57.500 - Rp76.700</t>
  </si>
  <si>
    <t>INFORMASI OBAT INI HANYA UNTUK KALANGAN MEDIS. Sebagai terapi lini ke-2 ketika diet, olahraga, dan pengobatan awal dengan sulfonylurea atau metformin tidak menghasilkan kontrol glikemik yang memadai pada pasien diabetes tipe 2 dengan HbA 1c di atas 8%.</t>
  </si>
  <si>
    <t>Penderita hipersensitif terhadap Metformin, Glibenclamide, Sulfonylurea, atau sulfonamide. Pasien penderita ganguan ginjal, gagal jantung kongestif yang memerlukan pengobatan farmakologis, atau pasien gangguan hati. Penderita asidosis metabolik akut atau kronis, termasuk ketoasidosis diabetikum dengan atau tanpa koma. Pasien yang mengkonsumsi alkohol. Pengobatan harus dihentikan sementara pada pasien yang menjalani pemeriksaan radiologis yang melibatkan pemberian bahan kontras beryodium secara intravaskular. Pasien penderita kelainan darah (porphyria). Pengunaan bersama Miconazole. Wanita menyusui.</t>
  </si>
  <si>
    <t>sebagai terapi lini - 2 diet , olahraga , pengobatan sulfonylurea metformin tidak menghasilkan kontrol glikemik memadai pasien diabetes tipe 2 hba 1c 8</t>
  </si>
  <si>
    <t>glucovance tablet glibenclamide sebagai terapi lini  2 diet  olahraga  pengobatan sulfonylurea metformin tidak menghasilkan kontrol glikemik memadai pasien diabetes tipe 2 hba 1c 8</t>
  </si>
  <si>
    <t>DKI1301600117B1</t>
  </si>
  <si>
    <t>Glucovance 2.5 mg/500 mg 10 Tablet</t>
  </si>
  <si>
    <t>Rp40.700 - Rp68.700</t>
  </si>
  <si>
    <t>DKL0600914704A1</t>
  </si>
  <si>
    <t>Bufacaryl 10 Kaplet</t>
  </si>
  <si>
    <t>Rp5.000 - Rp6.000</t>
  </si>
  <si>
    <t>PENGGUNAAN OBAT INI HARUS SESUAI DENGAN PETUNJUK DOKTER. Dewasa: 1-2 kaplet, diminum 3-4 kali sehari. Anak-anak: 0.5 kaplet, diminum 3 kali sehari.</t>
  </si>
  <si>
    <t>Hipersensitif, tukak lambung, infesksi berat.</t>
  </si>
  <si>
    <t>HARUS DENGAN RESEP DOKTER. Menderita tukak peptik dan infeksi jamur,riwayat hipertensi, diabetes mellitus, gagal ginjal kronik, penyakit infeksi, osteoporosis.</t>
  </si>
  <si>
    <t>bufacaryl</t>
  </si>
  <si>
    <t>bufacaryl kaplet dexamethasone hay fever berat  asma bronkhial khronik  rinitis alergi  dermatitis atopik kontak  reaksi obat  serum sickness  konjungtivitis alergi  keratitis gangguan peradangan okular</t>
  </si>
  <si>
    <t>DKL7822251529A1</t>
  </si>
  <si>
    <t>Visancort Cream 10 g</t>
  </si>
  <si>
    <t>Rp13.000 - Rp19.000</t>
  </si>
  <si>
    <t>Krim dioleskan pada kulit yang sakit/radang/gatal</t>
  </si>
  <si>
    <t>Dermatitis Kontak atau Atopik, Dermatitis Ekzematous, Jerawat berisi nanah, Urtikaria, Neuro-dermatitis, Likhen Simplex khronik, Pruritus, Folikulitis, Dermatosis bakterial &amp; mikotik, Intertrigo</t>
  </si>
  <si>
    <t>Penyakit virus dan TB kulit, akne vugaris, skabies, dermatitis perioral, infeksi jamur dan bakteri kecuali mendapat kemoterapi yang tepat, penggunaan luas dan lama pada kehamilan</t>
  </si>
  <si>
    <t>HARUS DENGAN RESEP DOKTER. Penggunaan jangka lama atau profilaksis. Reaksi yang menyertai putus obat mendadak. Hindari kontak dengan mata Kategori Kehamilan : C</t>
  </si>
  <si>
    <t>dermatitis kontak atopik , dermatitis ekzematous , jerawat berisi nanah , urtikaria , neuro - dermatitis , likhen simplex khronik , pruritus , folikulitis , dermatosis bakterial mikotik , intertrigo</t>
  </si>
  <si>
    <t>visancort cream</t>
  </si>
  <si>
    <t>visancort cream krim camphor dermatitis kontak atopik  dermatitis ekzematous  jerawat berisi ah  urtikaria  neuro  dermatitis  likhen simplex khronik  pruritus  folikulitis  dermatosis bakterial mikotik  intertrigo</t>
  </si>
  <si>
    <t>cedocard tablet isosorbide dinitrate 25 in lactose terapi angina pektoris  pencegahan serangan angina penyakit  penyakit koroner kronik  gangguan angina paska infark miokard  gagal jantung</t>
  </si>
  <si>
    <t>DKL0219922710A1</t>
  </si>
  <si>
    <t>Cardismo 20 mg 10 Tablet</t>
  </si>
  <si>
    <t>Rp23.800 - Rp35.200</t>
  </si>
  <si>
    <t>PENGGUNAAN OBAT INI HARUS SESUAI DENGAN PETUNJUK DOKTER. Dewasa : 2 kali sehari 1 tablet, bila perlu 3 kali sehari 1 tablet. Maksimal : 120 mg/hari.</t>
  </si>
  <si>
    <t>Terapi jangka panjang Penyakit Jantung Koroner/PJK dan pencegahan Angina Pektoris , terapi tambahan pada Gagal Jantung Kongestif yang tidak respon adekuat terhadap glikosida jantung dan/atau diuretik.</t>
  </si>
  <si>
    <t>Kondisi hipotensi dan hipovolemia, kardiomiopati obstruktif hipertrofik, stenosisaorta, tamponade jantung, perikarditis konstriktiva, stenosis mitral, anemia yang jelas, trauma kepala, perdarahan otak, glaukoma sudut tertutup.</t>
  </si>
  <si>
    <t>HARUS DENGAN RESEP DOKTER. Hamil dan laktasi. Tidak untuk mengatasi serangan angina pektoris akut, gangguan hati atau ginjal berat, hipertiroid.</t>
  </si>
  <si>
    <t>terapi jangka penyakit jantung koroner pjk pencegahan angina pektoris , terapi tambahan gagal jantung kongestif tidak respon adekuat glikosida jantung diuretik</t>
  </si>
  <si>
    <t>cardismo</t>
  </si>
  <si>
    <t>cardismo tablet isosorbide mononitrate terapi jangka penyakit jantung koroner pjk pencegahan angina pektoris  terapi tambahan gagal jantung kongestif tidak respon adekuat glikosida jantung diuretik</t>
  </si>
  <si>
    <t>Sido Muncul Tolak Angin Mint 50 Soft Capsule</t>
  </si>
  <si>
    <t>Rp162.600 - Rp188.300</t>
  </si>
  <si>
    <t>Untuk daya tahan tubuh: 2 kapsul per hari selama 7 hari atau lebih. Jika masuk angin, sakit perut/ diare: 3-4 kapsul per hari. Sebelum melakukan perjalan: 1 kapsul atau 1-3 kapsul pada waktu mabuk perjalanan. Saat Kecapaian dan kurang tidur minum 1 kapsul</t>
  </si>
  <si>
    <t>Membantu mengatasi berbagai gejala kembung, mual, sakit perut, pusing, meriang dan tenggorokan kering. Baik diminum saat perjalanan jauh, kecapaian dan kurang tidur.</t>
  </si>
  <si>
    <t>Tidak direkomendasikan untuk ibu hamil. Simpan di tempat kering dan terhindar dari sinar matahari langsung.</t>
  </si>
  <si>
    <t>membantu mengatasi gejala kembung , mual , sakit perut , pusing , meriang tenggorokan kering  baik diminum perjalanan , kecapaian tidur</t>
  </si>
  <si>
    <t>sido muncul tolak angin mint soft capsule</t>
  </si>
  <si>
    <t>sido muncul tolak angin mint soft capsule  herbamix5 membantu mengatasi gejala kembung  mual  sakit perut  pusing  meriang tenggorokan kering  baik diminum perjala  kecapaian tidur</t>
  </si>
  <si>
    <t>budesonide formoterol fumarate dihydrate</t>
  </si>
  <si>
    <t>symbicort turbuhaler dosis powder budesonide formoterol fumarate dihydrate terapi reguler asma terapi kombinasi inhalasi kortikosteroid agonis  beta kerja  terapi ppok berat riwayat eksaserbasi berulang</t>
  </si>
  <si>
    <t>sterimar blocked nose baby tetes ofloxacin membantu meredakan hidung tersumba  membersihkan hingus lendir kental  membantu melawan pilek mencegah risiko infeksi sekunder membersihkan rongga hidung</t>
  </si>
  <si>
    <t>DKI1735301217A1</t>
  </si>
  <si>
    <t>Onglyza 5 mg 14 Tablet</t>
  </si>
  <si>
    <t>Rp148.500 - Rp317.100</t>
  </si>
  <si>
    <t>Terapi kombinasi pada orang dewasa dengan DM tipe 2 untuk memperbaiki kontrol glikemik, dalam kombinasi dengan metformin, sulfonilurea atau thiazolidinedione saat sendirian compd ini dengan diet &amp; olahraga tidak memberikan kontrol glikemik yang memadai</t>
  </si>
  <si>
    <t>Hipersensitivitas terhadap saxagliptin atau komponen lain yang ada dalam obat ini</t>
  </si>
  <si>
    <t>saxagliptin</t>
  </si>
  <si>
    <t>terapi kombinasi orang dewasa dm tipe 2 memperbaiki kontrol glikemik , kombinasi metformin , sulfonilurea thiazolidinedione compd diet olahraga tidak kontrol glikemik memadai</t>
  </si>
  <si>
    <t>onglyza</t>
  </si>
  <si>
    <t>onglyza tablet saxagliptin terapi kombinasi orang dewasa dm tipe 2 memperbaiki kontrol glikemik  kombinasi metformin  sulfonilurea thiazolidinedione compd diet olahraga tidak kontrol glikemik memadai</t>
  </si>
  <si>
    <t>sterimar nose hygiene baby tetes ofloxacin membersihkan mengurangi kotoran hidung lembut  melembabkan mempertahankan kelembaban alami mukosa hidung  mencegah gangguan tht  membantu meningkatkan fungsi pernafasan</t>
  </si>
  <si>
    <t>DKL0835803101A1</t>
  </si>
  <si>
    <t>Clidacor 300 mg 10 Kapsul</t>
  </si>
  <si>
    <t>Rp66.000 - Rp85.400</t>
  </si>
  <si>
    <t>INFORMASI OBAT INI HANYA UNTUK KALANGAN MEDIS. Infeksi Gr - yang serius atau berat, disebabkan oleh organisme yang peka antara lain strep, pneumokokus dan staph, termasuk bakteri anaerob. Infeksi pada sal nafas atas dan bawah, kulit dan jar lunak dan infeksi serius lainnya</t>
  </si>
  <si>
    <t>clidacor</t>
  </si>
  <si>
    <t>clidacor kapsul clindamycin hydrochloride infeksi gr  serius berat  disebabkan organisme peka strep  pneumokokus staph  bakteri anaerob  infeksi sal nafas  kulit jar lunak infeksi serius</t>
  </si>
  <si>
    <t>QI094701731</t>
  </si>
  <si>
    <t>Mediflex 10% Cream 30 g</t>
  </si>
  <si>
    <t>Rp101.400 - Rp111.500</t>
  </si>
  <si>
    <t>Oleskan pada bagian yang nyeri.</t>
  </si>
  <si>
    <t>Gunakan 1 - 2 kali sehari pada sendi yang sakit</t>
  </si>
  <si>
    <t>Meredakan nyeri pada artritis dan nyeri punggung, nyeri leher, nyeri punggung, nyeri lutut dan tungkai, nyeri pergelangan dan jari tangan</t>
  </si>
  <si>
    <t>Krim 10% X 30 G X 1</t>
  </si>
  <si>
    <t>glucosamine sulfate potassium chloride usp</t>
  </si>
  <si>
    <t>meredakan nyeri artritis nyeri punggung , nyeri leher , nyeri punggung , nyeri lutut tungkai , nyeri pergelangan jari tangan</t>
  </si>
  <si>
    <t>mediflex cream</t>
  </si>
  <si>
    <t>mediflex cream krim glucosamine sulfate potassium chloride usp meredakan nyeri artritis nyeri punggung  nyeri leher  nyeri punggung  nyeri lutut tungkai  nyeri pergelangan jari tangan</t>
  </si>
  <si>
    <t>DKL1715809217C1</t>
  </si>
  <si>
    <t>Glucovance 5 mg/500 mg 15 Tablet</t>
  </si>
  <si>
    <t>Rp78.700 - Rp100.000</t>
  </si>
  <si>
    <t>Dus, 8 Blister @ 15 Tablet Salut Selaput</t>
  </si>
  <si>
    <t>HARUS DENGAN RESEP DOKTER. - Asidosis laktat jarang terjadi &amp; dapat terjadi pada penderita dengan penurunan fungsi ginjal yang signifikan. - Pemantauan ginjal secara teratur, terutama pada lansia. - Hentikan terapi selama pembedahan &amp; pemeriksaan klinis menggunakan media kontras beryodium secara IV.- Hati-hati penggunaan obat ini pada: 1. Pasien dengan bukti klinis menderita penyakit hati, keadaan hipoksia. 2. Pengkonsmusi alkohol. 3. Pasien yang mengkonsumsi obat yang dapat mempengaruhi fungsi ginjal atau menyebabkan perubahan hemodinamik yang signifikan atau dapat mengganggu disposisi metformin.</t>
  </si>
  <si>
    <t>DKL0532400809A1</t>
  </si>
  <si>
    <t>Capsinat FC 6 Kaplet</t>
  </si>
  <si>
    <t>Rp90.700 - Rp103.600</t>
  </si>
  <si>
    <t>PENGGUNAAN OBAT INI HARUS SESUAI DENGAN PETUNJUK DOKTER. Dewasa dan anak &gt;12 tahun infeksi ringan sampai dengan sedang : 3 kali sehari 250 mgi. Infeksi berat : 3 kali sehari 500 mg. Anak : 25 mg/kg BB/hari tiap 8 jam dalam dosis terbagi. Infeksi gigi dewasa dan anak &gt;12 tahun : 3 kali sehari 250 mg selama 5 hari. Gangguan ginjal : Sedang (bersihan kreatinin 10-30 mL/menit) : 250-500 mg tiap 12 jam</t>
  </si>
  <si>
    <t>DKL2004529917A1</t>
  </si>
  <si>
    <t>Etorix 90 mg 10 Tablet</t>
  </si>
  <si>
    <t>Rp83.000 - Rp91.600</t>
  </si>
  <si>
    <t>Osteoartritis: Rekomendasi dosis 60 mg sekali sehari. Nyeri muskuloskeletal kronis: Rekomendasi dosis 60 mg sekali sehari. Gout Artritis Akut: Rekomendasi dosis 120 mg sekali sehari. Nyeri setelah pembedahan gigi: Rekomendasi dosis 90 mg sekali sehari.</t>
  </si>
  <si>
    <t>Meringankan gejala pada pengobatan osteoartritis, pengobatan nyeri dan tanda-tanda inflamasi yang berhubungan dengan gout artritis akut, meringankan nyeri muskuloskeletal kronis, meringankan nyeri akut pada pembedahan gigi</t>
  </si>
  <si>
    <t>HARUS DENGAN RESEP DOKTER. Hipersensitivitas terhadap komponen yang terkandung dalam sediaan, gagal jantung kongestif (NYHA II-IV), penyakit iskemia jantung, arteri perifer, dan/atau serebrovaskular</t>
  </si>
  <si>
    <t>meringankan gejala pengobatan osteoartritis , pengobatan nyeri tanda - tanda inflamasi berhubungan gout artritis akut , meringankan nyeri muskuloskeletal kronis , meringankan nyeri akut pembedahan gigi</t>
  </si>
  <si>
    <t>etorix</t>
  </si>
  <si>
    <t>etorix tablet etoricoxib meringankan gejala pengobatan osteoartritis  pengobatan nyeri tanda  tanda inflamasi berhubungan gout artritis akut  meringankan nyeri muskuloskeletal kronis  meringankan nyeri akut pembedahan gigi</t>
  </si>
  <si>
    <t>Kinesio Tex Classic Red 1 Roll</t>
  </si>
  <si>
    <t>Plester otot dengan berbagai macam warna yang berfungsi untuk melindungi dan memaksimalkan otot saat olahraga, mencegah dan membantu penyembuhan cedera otot, dan tersedia untuk profesional perawatan medis &amp; pasien</t>
  </si>
  <si>
    <t>Box @ 1 Roll</t>
  </si>
  <si>
    <t>plester otot warna berfungsi melindungi memaksimalkan otot olahraga , mencegah membantu penyembuhan cedera otot , tersedia profesional perawatan medis pasien</t>
  </si>
  <si>
    <t>kinesio tex classic red roll</t>
  </si>
  <si>
    <t>kinesio tex classic red roll larutan povidoneiodine plester otot warna berfungsi melindungi memaksimalkan otot olahraga  mencegah membantu penyembuhan cedera otot  tersedia profesional perawatan medis pasien</t>
  </si>
  <si>
    <t>DKL9505014901A1</t>
  </si>
  <si>
    <t>Starcef 100 mg 6 Kapsul</t>
  </si>
  <si>
    <t>Rp128.000 - Rp160.000</t>
  </si>
  <si>
    <t>Dikonsumsi sebelum atau sesudah makan. Dapat diberikan bersama makanan untuk mengurangi rasa tidak nyaman pada saluran pencernaan.</t>
  </si>
  <si>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</si>
  <si>
    <t>INFORMASI OBAT INI HANYA UNTUK KALANGAN MEDIS. Infeksi saluran kemih tanpa komplikasi, otitis media, (radang rongga gendang telinga), faringitis dan tonsilitis, bronkhitis akut dan kronis serta eksaserbasi (kumatnya penyakit atau gejala penyakit secara mendadak) akut</t>
  </si>
  <si>
    <t>infeksi saluran kemih komplikasi , otitis medium , radang rongga gendang telinga , faringitis tonsilitis , bronkhitis akut kronis eksaserbasi kumatnya penyakit gejala penyakit mendadak akut</t>
  </si>
  <si>
    <t>starcef</t>
  </si>
  <si>
    <t>starcef kapsul cefixime infeksi saluran kemih komplikasi  otitis medium  radang rongga gendang telinga  faringitis tonsilitis  bronkhitis akut kronis eksaserbasi kumatnya penyakit gejala penyakit mendadak akut</t>
  </si>
  <si>
    <t>DKL7822247101B1</t>
  </si>
  <si>
    <t>Tetrasanbe 500 mg 10 Kapsul</t>
  </si>
  <si>
    <t>Rp6.200 - Rp7.300</t>
  </si>
  <si>
    <t>Infeksi yang di sebabkan oleh mikroorganisme gram positif dan gram negatif yang sensitif terhadap Tetracyclin. Infeksi pernafasan dan saluran cerna, infeksi Ricketsia, limfogranuloma, meningococcus, gonoccus, Infeksi T. Pallidium.</t>
  </si>
  <si>
    <t>infeksi sebabkan mikroorganisme gram positif gram negatif sensitif tetracyclin  infeksi pernafasan saluran cerna , infeksi ricketsia , limfogranuloma , meningococcus , gonoccus , infeksi t  pallidium</t>
  </si>
  <si>
    <t>tetrasanbe kapsul tetracycline hydrochloride infeksi sebabkan mikroorganisme gram positif gram negatif sensitif tetracyclin  infeksi pernafasan saluran cerna  infeksi ricketsia  limfogranuloma  meningococcus  gonoccus  infeksi t  pallidium</t>
  </si>
  <si>
    <t>DKL0125102110A1</t>
  </si>
  <si>
    <t>Actos 15 mg 14 Tablet</t>
  </si>
  <si>
    <t>Rp69.000 - Rp137.900</t>
  </si>
  <si>
    <t>PENGGUNAAN OBAT INI HARUS SESUAI DENGAN PETUNJUK DOKTER. Monoterapi : 15 mg atau 30 mg sekali sehari. Dosis dapat ditingkatkan hingga maksimal 45 mg sekali sehari. Kombinasi dengan Metformin atau Sulfonilurea : Dewasa : Dosis Awal : 15 mg atau 30 mg sekali sehari.</t>
  </si>
  <si>
    <t>INFORMASI OBAT INI HANYA UNTUK KALANGAN MEDIS. Monoterapi pada pasien diabetes mellitus tipe 2 yang belum terkontrol dengan diet maupun olahraga. Terapi kombinasi dengan sulfonylurea atau metformin pada pasien diabetes tipe 2 yang belum terkontrol dengan diet, olahraga, dan monoterapi.</t>
  </si>
  <si>
    <t>Obat ini dikontraindikasikan pada : - Pasien yang hipersensitif terhadap pioglitazone atau salah satu bahan yang terdapat dalam formula obat. - Gagal jantung atau pada pasien yang mempunyai riwayat gagal jantung (NYHA I sampai IV). - Gangguan hati. - Penderita kanker kandung kemih atau memiliki riwayat kanker kandung kemih. - Ibu hamil</t>
  </si>
  <si>
    <t>monoterapi pasien diabetes mellitus tipe 2 terkontrol diet olahraga  terapi kombinasi sulfonylurea metformin pasien diabetes tipe 2 terkontrol diet , olahraga , monoterapi</t>
  </si>
  <si>
    <t>actos</t>
  </si>
  <si>
    <t>actos tablet pioglitazone hydrochloride monoterapi pasien diabetes mellitus tipe 2 terkontrol diet olahraga  terapi kombinasi sulfonylurea metformin pasien diabetes tipe 2 terkontrol diet  olahraga  monoterapi</t>
  </si>
  <si>
    <t>DKL0105029917B1</t>
  </si>
  <si>
    <t>Volequin Tablet 500 mg</t>
  </si>
  <si>
    <t>Rp44.400 - Rp47.900</t>
  </si>
  <si>
    <t>PENGGUNAAN OBAT INI HARUS SESUAI DENGAN PETUNJUK DOKTER. 250 - 500 mg 1 kali sehari. Lama terapi : 7 - 14 hari, tergantung keparahan penyakit</t>
  </si>
  <si>
    <t>Pasien dewasa (â‰¥18 tahun) dengan sinusitis maksilaris akut, bronkitis kronik dengan eksaserbasi akut, pneumonia yang didapat dari lingkungan, infeksi kulit dan struktur kulit tanpa komplikasi, ISK dengan atau komplikasi, pielonefritis akut</t>
  </si>
  <si>
    <t>Tablet 500 Mg X 3 X 10</t>
  </si>
  <si>
    <t>Hipersensitif terhadap kandungan obat atau golongan kuinolon lain, epilepsi, punya sejarah gangguan tendon yang berhubungan dengan pemberian fluorokuinolon. Anak dan remaja. Hamil dan laktasi</t>
  </si>
  <si>
    <t>HARUS DENGAN RESEP DOKTER. Hindari pemaparan jangka lama terhadap sinar matahari atau ultraviolet. Gangguan SSP yang memicu kejang atau memiliki ambang kejang yang rendah. Gangguan neurologis. Monitor kadar glukosa darah pada pasien yang mendapat terapi hiperglikemik. Tes fungsi ginjal, hati, dan hematopoietik secara periodik pada terapi jangka panjang. dapat menganggu kemampuan mengemudi atau menjalankan mesin</t>
  </si>
  <si>
    <t>pasien dewasa 18 sinusitis maksilaris akut , bronkitis kronik eksaserbasi akut , pneumonia lingkungan , infeksi kulit struktur kulit komplikasi , isk komplikasi , pielonefritis akut</t>
  </si>
  <si>
    <t>volequin</t>
  </si>
  <si>
    <t>volequin tablet levofloxacin hemihydrate pasien dewasa 18 sinusitis maksilaris akut  bronkitis kronik eksaserbasi akut  pneumonia lingkungan  infeksi kulit struktur kulit komplikasi  isk komplikasi  pielonefritis akut</t>
  </si>
  <si>
    <t>GKL0918822510A1</t>
  </si>
  <si>
    <t>Spironolactone 25 mg 10 Tablet</t>
  </si>
  <si>
    <t>Rp4.300 - Rp7.500</t>
  </si>
  <si>
    <t>PENGGUNAAN OBAT INI HARUS SESUAI DENGAN PETUNJUK DOKTER. - Hipertensi Dewasa: Tambahan pada pasien yang tidak terkontrol secara adekuat dengan agen lain: Sebagai tab: Awalnya, 25-100 mg setiap hari sebagai dosis tunggal atau dalam dosis terbagi. Sebagai susp: Awalnya, 20-75 mg sehari dosis tunggal atau dalam dosis terbagi. Dosis dapat dititrasi dengan interval 2 minggu, jika diperlukan, sesuai dengan respons dan tolerabilitas. - Asites malignant: Dewasa: Awalnya, 100-200 mg setiap hari, dapat ditingkatkan secara bertahap hingga 400 mg setiap hari untuk kasus yang parah. Dosis pemeliharaan harus disesuaikan dengan respons individu. Anak: Awalnya, 1-3 mg/kg sehari dalam dosis terbagi, dapat disesuaikan menurut respons dan toleransi. Lansia: Mulai dengan dosis terendah dan titrasi ke atas jika diperlukan. - Oedema: Dewasa: Awalnya, 100 mg setiap hari, dapat disesuaikan hingga 400 mg setiap hari sesuai respons. - Gagal jantung kongestif dengan edema Dewasa: Untuk pengelolaan edema: Awalnya, 100 mg setiap hari atau 25-200 mg setiap hari sebagai dosis tunggal atau dalam dosis terbagi. Dosis pemeliharaan harus disesuaikan dengan respons individu. Anak: Awalnya, 1-3 mg/kg sehari dalam dosis terbagi, dapat disesuaikan menurut respons dan toleransi. Lansia: Mulai dengan dosis terendah dan titrasi ke atas jika diperlukan. - Sindrom nefrotik Dewasa: Jika glukokortikoid tidak cukup efektif: Dosis biasa: 100-200 mg setiap hari. Anak: Awalnya, 1-3 mg/kg sehari dalam dosis terbagi, dapat disesuaikan menurut respons dan toleransi. Lansia: Mulai dengan dosis terendah dan titrasi ke atas jika diperlukan. - Diagnosis hiperaldosteronisme primer Dewasa: Tes panjang: 400 mg setiap hari selama 3-4 minggu. Tes singkat: 400 mg setiap hari selama 4 hari. Anak: Awalnya, 1-3 mg/kg sehari dalam dosis terbagi, dapat disesuaikan menurut respons dan toleransi. Lansia: Mulai dengan dosis terendah dan titrasi ke atas jika diperlukan. - Manajemen pra operasi hiperaldosteronisme Dewasa: 100-400 mg setiap hari. Sebagai terapi pemeliharaan jangka panjang pada pasien yang dianggap tidak cocok untuk pembedahan: Gunakan dosis efektif terendah. Anak: Awalnya, 1-3 mg/kg sehari dalam dosis terbagi, dapat disesuaikan menurut respons dan toleransi. Lansia: Mulai dengan dosis terendah dan titrasi ke atas jika diperlukan. - Sirosis hati dengan asites dan edema Dewasa: Mulai perawatan di rumah sakit dan titrasi dosis secara perlahan. Jika rasio Na/K urin &gt;1: Awalnya, 100 mg setiap hari. Jika rasio Na/K urin &lt;1: Awalnya, 200-400 mg setiap hari. Dosis pemeliharaan harus disesuaikan dengan respons individu. Anak: Awalnya, 1-3 mg/kg sehari dalam dosis terbagi, dapat disesuaikan menurut respons dan toleransi. Lansia: Mulai dengan dosis terendah dan titrasi ke atas jika diperlukan. - Gagal jantung Dewasa: Dalam hubungannya dengan terapi standar untuk pengobatan New York Heart Association (NYHA) Kasus Kelas III-IV: Pasien dengan serum K ?5 mEq/L dan eGFR &gt;50 mL/min/1.73 m2: Sebagai tab: Awalnya, 25 mg sekali sehari, jika ditoleransi, dapat ditingkatkan menjadi 50 mg sekali sehari sesuai indikasi klinis. Sebagai susp: Awalnya, 20 mg sekali sehari, jika dapat ditoleransi, dapat ditingkatkan menjadi 37,5 mg sekali sehari sesuai indikasi klinis. Pasien yang mengalami hiperkalemia pada dosis awal: Sebagai tab: Dapat mengurangi dosis hingga 25 mg setiap hari. Sebagai susp: Dapat mengurangi dosis hingga 20 mg setiap hari. Anak: Sebagai tab: Awalnya, 1-3 mg/kg sehari dalam dosis terbagi, dapat disesuaikan menurut respons dan toleransi. Lansia: Mulai dengan dosis terendah dan titrasi ke atas jika diperlukan.</t>
  </si>
  <si>
    <t>INFORMASI OBAT INI HANYA UNTUK KALANGAN MEDIS. Hipertensi, asites malignant, oedema, gagal jantung kongestif dengan edema, sindrom nefrotik, diagnosis hiperaldosteronisme primer, manajemen pra operasi hiperaldosteronisme, sirosis hati dengan asites dan edema, gagal jantung.</t>
  </si>
  <si>
    <t>Hiperkalemia, penyakit Addison, anuria, insufisiensi ginjal akut, nefropati diabetik. Gangguan ginjal berat. Anak-anak dengan gangguan ginjal sedang hingga berat. Laktasi. Penggunaan bersamaan dengan eplerenone atau diuretik hemat K lainnya, dan suplemen K (kecuali dalam kasus deplesi K awal).</t>
  </si>
  <si>
    <t>HARUS DENGAN RESEP DOKTER. Asidosis, diabetes mellitus, kerusakan fungsi ginjal, lansia.</t>
  </si>
  <si>
    <t>hipertensi , asites malignant , oedema , gagal jantung kongestif edema , sindrom nefrotik , diagnosis hiperaldosteronisme primer , manajemen pra operasi hiperaldosteronisme , sirosis hati asites edema , gagal jantung</t>
  </si>
  <si>
    <t>spironolactone tablet hipertensi  asites maligt  oedema  gagal jantung kongestif edema  sindrom nefrotik  diagnosis hiperaldosteronisme primer  manajemen pra operasi hiperaldosteronisme  sirosis hati asites edema  gagal jantung</t>
  </si>
  <si>
    <t>DTL9822224929A1</t>
  </si>
  <si>
    <t>Funtas 2% Cream 20 g</t>
  </si>
  <si>
    <t>Tinea Pedis (kaki atlet), Tinea Kruris, Tinea Korporis &amp; Kandidiasis Kutaneus (Moniliasis) : Oleskan krim 2 x sehari (pagi dan malam). Tinea Versikolor : Oles</t>
  </si>
  <si>
    <t>Tinea Pedis (kaki atlet), Tinea Kruris &amp; Tinea Korporis yang disebabkan oleh Trikhofiton Rubrum, Trikhofiton Mentagrofits &amp; Epidermofiton Flokosum. Kandidiasis Kutaneus (Moniliasis) &amp; Tinea Versikolor.</t>
  </si>
  <si>
    <t>Hipersensitivitas dan bayi &lt;4 bulan</t>
  </si>
  <si>
    <t>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</si>
  <si>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tinea pedis kaki atlet , tinea kruris tinea korporis disebabkan trikhofiton rubrum , trikhofiton mentagrofits epidermofiton flokosum  kandidiasis kutaneus moniliasis tinea versikolor</t>
  </si>
  <si>
    <t>funtas cream</t>
  </si>
  <si>
    <t>funtas cream krim miconazole nitrate tinea pedis kaki atlet  tinea kruris tinea korporis disebabkan trikhofiton rubrum  trikhofiton mentagrofits epidermofiton flokosum  kandidiasis kutaneus moniliasis tinea versikolor</t>
  </si>
  <si>
    <t>DKL2004529917B1</t>
  </si>
  <si>
    <t>Etorix 120 mg 10 Tablet</t>
  </si>
  <si>
    <t>Rp119.100 - Rp126.800</t>
  </si>
  <si>
    <t>DKL9211616738A1</t>
  </si>
  <si>
    <t>Cefspan Dry Sirup 30 ml</t>
  </si>
  <si>
    <t>Rp164.500 - Rp204.400</t>
  </si>
  <si>
    <t>cefspan</t>
  </si>
  <si>
    <t>cefspan sirup cefixime infeksi saluran kemih komplikasi  otitis medium  radang rongga gendang telinga  faringitis tonsilitis  bronkhitis akut kronis eksaserbasi kumatnya penyakit gejala penyakit mendadak akut</t>
  </si>
  <si>
    <t>DKL9505014838A1</t>
  </si>
  <si>
    <t>Starcef Dry Sirup 30 ml</t>
  </si>
  <si>
    <t>Rp109.900 - Rp120.900</t>
  </si>
  <si>
    <t>starcef sirup cefixime infeksi saluran kemih komplikasi  otitis medium  radang rongga gendang telinga  faringitis tonsilitis  bronkhitis akut kronis eksaserbasi kumatnya penyakit gejala penyakit mendadak akut</t>
  </si>
  <si>
    <t>DKL0125102110B1</t>
  </si>
  <si>
    <t>Actos 30 mg 14 Tablet</t>
  </si>
  <si>
    <t>Rp102.400 - Rp204.800</t>
  </si>
  <si>
    <t>metformin hydrochloride glibenclamide</t>
  </si>
  <si>
    <t>glucovance tablet metformin hydrochloride glibenclamide sebagai terapi lini  2 diet  olahraga  pengobatan sulfonylurea metformin tidak menghasilkan kontrol glikemik memadai pasien diabetes tipe 2 hba1c 8</t>
  </si>
  <si>
    <t>Kinesio Tex Classic Beige 1 Roll</t>
  </si>
  <si>
    <t>kinesio tex classic beige roll</t>
  </si>
  <si>
    <t>kinesio tex classic beige roll larutan povidoneiodine plester otot warna berfungsi melindungi memaksimalkan otot olahraga  mencegah membantu penyembuhan cedera otot  tersedia profesional perawatan medis pasien</t>
  </si>
  <si>
    <t>Cap Lang Minyak Kayu Putih 120 ml</t>
  </si>
  <si>
    <t>Rp45.100 - Rp54.600</t>
  </si>
  <si>
    <t>Membantu meredakan masuk angin, perut kembung, rasa mual, pusing, sakit kepala, gatal-gatal karena gigitan serangga atau nyamuk</t>
  </si>
  <si>
    <t>membantu meredakan masuk angin , perut kembung , mual , pusing , sakit kepala , gatal - gatal gigitan serangga nyamuk</t>
  </si>
  <si>
    <t>cap lang kayu putih</t>
  </si>
  <si>
    <t>cap lang kayu putih minyak minyak kayu putih cap lang membantu meredakan masuk angin  perut kembung  mual  pusing  sakit kepala  gatal  gatal gigitan serangga nyamuk</t>
  </si>
  <si>
    <t>DTL0233402837A1</t>
  </si>
  <si>
    <t>Fortusin Sirup 120 ml</t>
  </si>
  <si>
    <t>Rp25.000 - Rp25.200</t>
  </si>
  <si>
    <t>Dewasa &amp; anak-anak&gt;12 tahun: 10 mL, Anak-anak 6-12 tahun: 5 mL. Untuk diminum 3 kali sehari.</t>
  </si>
  <si>
    <t>Batuk alergi dan batuk produktif/berdahak, batuk yang berhubungan dengan Flu &amp; gangguan pernapasan lain</t>
  </si>
  <si>
    <t>diabetes melitus, kardiovaskular</t>
  </si>
  <si>
    <t>Disfungsi hati dan ginjal, glaukoma, hipertrofi prostat, hipertiroidisme. Anak &lt; 6 tahun, hamil dan laktasi. Dapat mengganggu kemampuan mengemudi dan menjalankan mesin</t>
  </si>
  <si>
    <t>diphenhydramine hydrochloride bromhexine hydrochloride phenylephrine hydrochloride sodium citrate dihydrate ammonium chloride succus liquiritiae</t>
  </si>
  <si>
    <t>batuk alergi batuk produktif berdahak , batuk berhubungan flu gangguan pernapasan</t>
  </si>
  <si>
    <t>fortusin</t>
  </si>
  <si>
    <t>fortusin sirup diphenhydramine hydrochloride bromhexine hydrochloride phenylephrine hydrochloride sodium citrate dihydrate ammonium chloride succus liquiritiae batuk alergi batuk produktif berdahak  batuk berhubungan flu gangguan pernapasan</t>
  </si>
  <si>
    <t>Fortusin Sirup 60 ml</t>
  </si>
  <si>
    <t>Diabetes melitus, kardiovaskular</t>
  </si>
  <si>
    <t>DKL0621631909A1</t>
  </si>
  <si>
    <t>Lizor Fc Kaplet 500 mg</t>
  </si>
  <si>
    <t>PENGGUNAAN OBAT INI HARUS SESUAI DENGAN PETUNJUK DOKTER. Dewasa dan anak ??13 tahun infeksi sal nafas bagian atas : 500 mg tiap 24 jam. Infeksi sal nafas bagian bawah : 500 mg tiap 12 jam. Infeksi kulit dan jar : 250 mg tiap 12 jam atau 500 mg tiap 24 jam. Anak 2 - 12 tahun infeksi sal nafas bagian at</t>
  </si>
  <si>
    <t>Infeksi sal nafas bagian atas dan bawah, otitis media, infeksi bakteri sekunder dari bronkitis akut, eksaserbasi bakteri akut dari bronkitis kronik, infeksi kulit dan struktur kulit yang tidak terkomplikasi</t>
  </si>
  <si>
    <t>Kaplet 500 Mg X 2 X 10</t>
  </si>
  <si>
    <t>Hipersensitif terhadap golongan sefalosporin</t>
  </si>
  <si>
    <t>HARUS DENGAN RESEP DOKTER. Hamil, laktasi. Anak &lt; 6 bulan. Pasien dengan riwayat gangguan Gl, trauma kolitis. Evalusi fungsi ginjal sebelum dan selam terapi. Diketahui atau diduga menderita gangguan fungsi ginjal. Pemberian bersama diuretik poten. Penggunaan jangka panjang dapat me</t>
  </si>
  <si>
    <t>cefprozil</t>
  </si>
  <si>
    <t>infeksi sal nafas , otitis medium , infeksi bakteri sekunder bronkitis akut , eksaserbasi bakteri akut bronkitis kronik , infeksi kulit struktur kulit tidak terkomplikasi</t>
  </si>
  <si>
    <t>lizor fc</t>
  </si>
  <si>
    <t>lizor fc kaplet cefprozil infeksi sal nafas  otitis medium  infeksi bakteri sekunder bronkitis akut  eksaserbasi bakteri akut bronkitis kronik  infeksi kulit struktur kulit tidak terkomplikasi</t>
  </si>
  <si>
    <t>DKL0813313938A1</t>
  </si>
  <si>
    <t>Cefila Dry Sirup 30 ml</t>
  </si>
  <si>
    <t>Rp117.800 - Rp120.400</t>
  </si>
  <si>
    <t>cefila</t>
  </si>
  <si>
    <t>cefila sirup cefixime infeksi saluran kemih komplikasi  otitis medium  radang rongga gendang telinga  faringitis tonsilitis  bronkhitis akut kronis eksaserbasi kumatnya penyakit gejala penyakit mendadak akut</t>
  </si>
  <si>
    <t>DKI1120100310A1</t>
  </si>
  <si>
    <t>Vesicare 5 mg 10 Tablet</t>
  </si>
  <si>
    <t>Rp239.000 - Rp299.400</t>
  </si>
  <si>
    <t>PENGGUNAAN OBAT INI HARUS SESUAI DENGAN PETUNJUK DOKTER. Dewasa dan lanjut usia : 1 kali sehari 1 tablet, dapat ditingkatkan hingga 1 kali sehari 2 tablet. Pasien dengan gangguan Ginjal berat atau gangguan Hati sedang s/d berat : maximum 1 tablet/hari.</t>
  </si>
  <si>
    <t>INFORMASI OBAT INI HANYA UNTUK KALANGAN MEDIS. Terapi simtomatik Inkontinensia Urin (BAK/buang air kecil tidak terkontrol) dan/atau peningkatan frekuensi berkemih/BAK &amp; keterdesakan untuk berkemih/BAK pada pasien dengan gejala kandung kemih aktif berlebihan.</t>
  </si>
  <si>
    <t>Retensi urin, gangguan gastrointestinal (saluran cerna) berat, miastenia gravis atau glaukoma sudut sempit. Pasien yang menjalani hemodialisis. Gangguan ginjal berat. Gangguan hati sedang atau berat.</t>
  </si>
  <si>
    <t>HARUS DENGAN RESEP DOKTER. Obstruksi aliran keluar kandung kemih yang signifikan, gangguan obstruksi gastrointestinal (saluran cerna) dan penurunan motilitas gastrointestinal (saluran cerna), gangguan ginjal berat, gangguan hati sedang s/d berat, hernia hiatal/refluks gastroesofage, neuropati otonom. Wanita hamil dan ibu menyusui. Anak.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</si>
  <si>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solifenacin succinate</t>
  </si>
  <si>
    <t>terapi simtomatik inkontinensia urin bak buang air tidak terkontrol peningkatan frekuensi berkemih bak keterdesakan berkemih bak pasien gejala kandung kemih aktif</t>
  </si>
  <si>
    <t>vesicare</t>
  </si>
  <si>
    <t>vesicare tablet solifenacin succinate terapi simtomatik inkontinensia urin bak buang air tidak terkontrol peningkatan frekuensi berkemih bak keterdesakan berkemih bak pasien gejala kandung kemih aktif</t>
  </si>
  <si>
    <t>clabat forte sirup amoxicillin trihydrate potassium clavulanate with silicon dioxide infeksi2 saluran nafas atas bawah  saluran kemih  kulit jaringan lunak  tulang sendi  go gonorea komplikasi</t>
  </si>
  <si>
    <t>DKL9516106909A1</t>
  </si>
  <si>
    <t>Meflosin 500 mg 6 Kaplet</t>
  </si>
  <si>
    <t>Rp117.600 - Rp118.300</t>
  </si>
  <si>
    <t>Infeksi saluran kemih, saluran pernafasan, infeksi tulang &amp; sendi, infeksi kulit &amp; jaringan lunak, infeksi saluran pencernaan, gonore akut, osteomielitis (radang sumsum tulang) akut.</t>
  </si>
  <si>
    <t>Hipersensitif terhadap Siprofloksasin dan derivat Quinolon lainnya. Wanita hamil dan menyusui, anak-anak &amp; remaja.</t>
  </si>
  <si>
    <t>HARUS DENGAN RESEP DOKTER. Kerusakan ginjal, kelainan susunan saraf pusat.</t>
  </si>
  <si>
    <t>infeksi saluran kemih , saluran pernafasan , infeksi tulang sendi , infeksi kulit jaringan lunak , infeksi saluran pencernaan , gonore akut , osteomielitis radang sumsum tulang akut</t>
  </si>
  <si>
    <t>meflosin</t>
  </si>
  <si>
    <t>meflosin kaplet ciprofloxacin infeksi saluran kemih  saluran pernafasan  infeksi tulang sendi  infeksi kulit jaringan lunak  infeksi saluran pencernaan  gonore akut  osteomielitis radang sumsum tulang akut</t>
  </si>
  <si>
    <t>Kinesio Tex Classic Blue 1 Roll</t>
  </si>
  <si>
    <t>kinesio tex classic blue roll</t>
  </si>
  <si>
    <t>kinesio tex classic blue roll larutan povidoneiodine plester otot warna berfungsi melindungi memaksimalkan otot olahraga  mencegah membantu penyembuhan cedera otot  tersedia profesional perawatan medis pasien</t>
  </si>
  <si>
    <t>DKL7627912833A1</t>
  </si>
  <si>
    <t>Zenichlor Sirup 60 ml</t>
  </si>
  <si>
    <t>Rp7.800 - Rp10.100</t>
  </si>
  <si>
    <t>PENGGUNAAN OBAT INI HARUS SESUAI DENGAN PETUNJUK DOKTER. Dewasa, anak- anak dan bayi berumur diatas 2 minggu : 50 mg/kg bobot badan sehari dalam 3- 4 dosis bagi. Bayi berumur dibawah 2 minggu : 25 mg/kg bobot badan sehari dalam dosis bagi.</t>
  </si>
  <si>
    <t>Pilihan utama untuk pengobatan tifus, paratifus. Infeksi berat yang disebabkan oleh : Salmonella Sp. H. Influenza (terutama injeksi meningual). Ricketsia. Lymphogranuloma psithachosis. Gram negatif yang menyebabkan bakteremia meningitis.</t>
  </si>
  <si>
    <t>Penderita yang hipersensitif terhadap chloramphenicol. Penderita gangguan faal hati yang berat. Penderita gangguan ginjal yang berat</t>
  </si>
  <si>
    <t>HARUS DENGAN RESEP DOKTER. Tidak dianjurkan penggunaan untuk wanita hamil dan menyusui karena keamanannya belum dapat dipastikan. Pemakaian jangka panjang perlu dilakukan pemeriksaan hematologi secara berkala. Hanya digunakan untuk infeksi yang sudah jelas penyebabnya, kecuali bila ada kemungkinan infeksi berat. Perlu dilakukan pengawasan terhadap kemungkinan timbulnya super infeksi dengan bakteri dan jamur. Hati-hati penggunaan pada penderita gangguan fungsi ginjal dan hati, bayi yang lahir prematur dan bayi baru lahir (2 minggu pertama). Tidak untuk pencegahan infeksi, pengobatan influenza, batuk dan pilek.</t>
  </si>
  <si>
    <t>pilihan utama pengobatan tifus , paratifus  infeksi berat disebabkan salmonella sp  h  influenza injeksi meningual  ricketsia  lymphogranuloma psithachosis  gram negatif menyebabkan bakteremia meningitis</t>
  </si>
  <si>
    <t>zenichlor</t>
  </si>
  <si>
    <t>zenichlor suspensi chloramphenicol pilihan utama pengobatan tifus  paratifus  infeksi berat disebabkan salmonella sp  h  influenza injeksi meningual  ricketsia  lymphogranuloma psithachosis  gram negatif menyebabkan bakteremia meningitis</t>
  </si>
  <si>
    <t>TR173308661</t>
  </si>
  <si>
    <t>Minyak Buah Merah (MBM) Kapsul</t>
  </si>
  <si>
    <t>MBM CAPSULE</t>
  </si>
  <si>
    <t>Rp242.500 - Rp259.600</t>
  </si>
  <si>
    <t>Pengobatan: 3 x sehari 2-3 kapsul Pencegahan, meningkatkan stamina : 1 x sehari 1-2 kapsul Anak-anak &lt;10 tahun : setengah dari takaran dewasa</t>
  </si>
  <si>
    <t>Membantu mengobati stroke, membantu mengobati flek dan kanker paru paru, membantu mengobati miom dan kista, membantu mengobati gangguan pernafasan akibat rokok</t>
  </si>
  <si>
    <t>mbm capsule</t>
  </si>
  <si>
    <t>membantu mengobati stroke , membantu mengobati flek kanker paru paru , membantu mengobati miom kista , membantu mengobati gangguan pernafasan akibat rokok</t>
  </si>
  <si>
    <t>buah merah mbm</t>
  </si>
  <si>
    <t>buah merah mbm kapsul mbm capsule membantu mengobati stroke  membantu mengobati flek kanker paru paru  membantu mengobati miom kista  membantu mengobati gangguan pernafasan akibat rokok</t>
  </si>
  <si>
    <t>DBL1441200163A1</t>
  </si>
  <si>
    <t>Mylanta 10 Tablet</t>
  </si>
  <si>
    <t>Rp7.500 - Rp10.300</t>
  </si>
  <si>
    <t>Diminum 1 jam sebelum makan atau 2 jam setelah makan dan menjelang tidur, sebaiknya dikunyah dahulu.</t>
  </si>
  <si>
    <t>Dewasa : 1-2 tablet, diberikan 3-4 kali sehari. Anak-anak 6-12 tahun :0.5-1 tablet, diberikan 1-2 kali sehari.</t>
  </si>
  <si>
    <t>Mengurangi gejala-gejala yang berhubungan dengan kelebihan, gastritis, tukak lambung, tukak usus 12 jari dengan gejala seperti mual, nyeri lambung dan nyeri ulu hati.</t>
  </si>
  <si>
    <t>Jangan di berikan pada penderita gangguan fungsi ginjal yang berat, karena dapat menimbulkan hipermagnesia (kelebihan magnesium dalam darah). Tidak boleh digunakan pada pasien yang hipersensitif terhadap aluminium hidroksida, magnesium hidroksida, simetikon atau komponen lain dalam formulasi obat ini.</t>
  </si>
  <si>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Hentikan pemakaian jika gejala menetap atau memburuk. Kategori kehamilan : Belum terdapat data keamanan terkait penggunaan obat ini pada wanita hamil dan/atau menyusui. Konsultasikan kepada dokter apabila Anda sedang hamil dan/atau menyusui.</t>
  </si>
  <si>
    <t>mengurangi gejala - gejala berhubungan kelebihan , gastritis , tukak lambung , tukak usus 12 jari gejala mual , nyeri lambung nyeri ulu hati</t>
  </si>
  <si>
    <t>mylanta</t>
  </si>
  <si>
    <t>mylanta tablet dried aluminium hydroxide gel mengurangi gejala  gejala berhubungan kelebihan  gastritis  tukak lambung  tukak usus 12 jari gejala mual  nyeri lambung nyeri ulu hati</t>
  </si>
  <si>
    <t>Cap Lang Minyak Kayu Putih 30 ml</t>
  </si>
  <si>
    <t>Rp12.000 - Rp16.800</t>
  </si>
  <si>
    <t>DKL0609212438B1</t>
  </si>
  <si>
    <t>Yusimox Forte Dry Sirup 250 mg/5 ml 60 ml</t>
  </si>
  <si>
    <t>Rp11.300 - Rp21.900</t>
  </si>
  <si>
    <t>yusimox forte</t>
  </si>
  <si>
    <t>yusimox forte sirup amoxicillin trihydrate penyakit infeksi kulit jaringan lunak  infeksi saluran pernafasan  infeksi saluran genitourinari  gonore disebabkan organisme gram positif gram negatif peka amoxicillin</t>
  </si>
  <si>
    <t>DTL9918905937A1</t>
  </si>
  <si>
    <t>Pimacolin Plus Sirup Apple 60 ml</t>
  </si>
  <si>
    <t>Rp4.200 - Rp14.000</t>
  </si>
  <si>
    <t>Anak Diatas 2 tahun : 3x sehari setengah sendok takar sirup, Anak 6-12 th : 3 x sehari 2 sendok takar sirup, Dewasa : 3x sehari 1 sendok makan sirup.</t>
  </si>
  <si>
    <t>Analgetikum antipiretikum, antihistamina, batuk akut dan kronik,radang ringan saluran nafas, susah mengeluarkan dahak.</t>
  </si>
  <si>
    <t>paracetamol guaifenesin ammonium chloride chlorphenamine maleate pseudoephedrine hydrochloride</t>
  </si>
  <si>
    <t>analgetikum antipiretikum , antihistamina , batuk akut kronik , radang ringan saluran nafas , susah mengeluarkan dahak</t>
  </si>
  <si>
    <t>pimacolin plus apple</t>
  </si>
  <si>
    <t>pimacolin plus apple sirup paracetamol guaifenesin ammonium chloride chlorphenamine maleate pseudoephedrine hydrochloride analgetikum antipiretikum  antihistamina  batuk akut kronik  radang ringan saluran nafas  susah mengeluarkan dahak</t>
  </si>
  <si>
    <t>bufantacid tablet magnesium hydroxide dried aluminium hydroxide gel simethicone mengurangi nyeri berhubungan kelebihan asam lambung  tukak lambung  tukak usus  gejala mual  kembung  perasaan penuh lambung</t>
  </si>
  <si>
    <t>Salonpas Hot Cream 15 g</t>
  </si>
  <si>
    <t>Rp10.600 - Rp19.000</t>
  </si>
  <si>
    <t>Membantu meredakan rasa nyeri yang disebabkan oleh: nyeri otot, sakit otot leher, punggung pegal, sakit kepala, sakit gigi, memar, terkilir dan nyeri sendi.</t>
  </si>
  <si>
    <t>Kulit yang rusak atau luka. Alergi aspirin atau salisilat</t>
  </si>
  <si>
    <t>salonpas hot cream krim capsicum extraxt membantu meredakan nyeri disebabkan nyeri otot  sakit otot leher  punggung pegal  sakit kepala  sakit gigi  memar  terkilir nyeri sendi</t>
  </si>
  <si>
    <t>TR122665341</t>
  </si>
  <si>
    <t>Larutan Cap Kaki Tiga Anak Leci 250 ml</t>
  </si>
  <si>
    <t>LARUTAN CAP KAKI TIGA ANAK RASA LECI</t>
  </si>
  <si>
    <t>Dapat diminum langsung.</t>
  </si>
  <si>
    <t>larutan cap kaki tiga anak rasa leci</t>
  </si>
  <si>
    <t>cap kaki tiga anak leci</t>
  </si>
  <si>
    <t>cap kaki tiga anak leci larutan larutan cap kaki tiga anak rasa leci membantu meredakan panas disertai tenggorokan kering  sariawan  sakit tenggorokan membantu menyegarkan badan</t>
  </si>
  <si>
    <t>GKL1722725710A1</t>
  </si>
  <si>
    <t>Gliclazide 80 mg 10 Tablet</t>
  </si>
  <si>
    <t>Rp4.000 - Rp9.100</t>
  </si>
  <si>
    <t>Dikonsumsi sebelum makan.</t>
  </si>
  <si>
    <t>PENGGUNAAN OBAT INI HARUS SESUAI DENGAN PETUNJUK DOKTER. Dosis awal 40-80 mg per hari, bila perlu dosis dapat ditingkatkan menjadi dosis maksimum 320 mg per hari.</t>
  </si>
  <si>
    <t>INFORMASI OBAT INI HANYA UNTUK KALANGAN MEDIS. Diabetes Melitus tipe 2 atau Non-Insulin-Dependent (type II) Diabetes Melitus (NIDDM) dimana kadar glukosa darah tidak dapat hanya dikontrol hanya dengan diet, olahraga, dan penurunan berat badan saja.</t>
  </si>
  <si>
    <t>Wanita hamil. Pasien diabetes yang tergantung pada insulin. Pasien diabetes dengan komplikasi ketosis atau asidosis. Pasien diabetes melitus yang timbul sejak kanak-kanak. Pasien yang hipersensitif terhadap sulfonylurea. Diabetik koma, pembedahan, infeksi berat, trauma berat.</t>
  </si>
  <si>
    <t>HARUS DENGAN RESEP DOKTER. - Peningkatan risiko hipoglikema pada malnutrisi - Pasien dengan gangguan hati dan ginjal - Pasien terpapar stress (misalnya trauma, infeksi, operasi) - Pasien dengan asupan karbohidrat yang buruk atau diet yang tidak seimbang. - Kontrol rutin terhadap kadar glukosa darah. Belum terdapat data keamanan terkait penggunaan obat ini pada wanita hamil dan/atau menyusui. Konsultasikan kepada dokter apabila Anda sedang hamil dan/atau menyusui.</t>
  </si>
  <si>
    <t>diabetes melitus tipe 2 non - insulin - dependent type ii diabetes melitus niddm dimana kadar glukosa darah tidak dikontrol diet , olahraga , penurunan berat badan</t>
  </si>
  <si>
    <t>gliclazide tablet diabetes melitus tipe 2 non  insulin  dependent type ii diabetes melitus niddm dimana kadar glukosa darah tidak dikontrol diet  olahraga  penuru berat badan</t>
  </si>
  <si>
    <t>DTL1604525137A1</t>
  </si>
  <si>
    <t>Paratusin Sirup 60 ml</t>
  </si>
  <si>
    <t>Rp41.500 - Rp46.900</t>
  </si>
  <si>
    <t>Dewasa : 4 sendok takar (20 ml), 3 kali sehari Anak-anak usia 6-12 tahun : 2 sendok takar (10 ml), 3 kali sehari Anak-anak usia 2-5 tahun : 1 sendok takar (5 ml), 3 kali sehari</t>
  </si>
  <si>
    <t>Penderita yang hipersensitif terhadap komponen obat. Penderita dengan gangguan gungsi hati yang berat. Hipertiroidisme, hipertensi, Penyakit Jantung Kronis, terapi dengan MAOI, nefropati.</t>
  </si>
  <si>
    <t>Lihat Box Warning Hati-hati penggunaan pada penderita dengan gangguan fungsi hati dan ginjal, glaukoma, hipertrofi prostat, hipertiroid, jantung, dan diabetes melitus. Tidak dianjurkan penggunaan pada anak usia di bawah 2 tahun, wanita hamil dan menyusui, kecuali atas petunjuk dokter. Hati-hati penggunaan bersamaan dengan obat-obat lain yang menekan susunan syaraf pusat. Selama minum obat ini, tidak boleh mengendarai kendaraan bermotor atau menjalankan mesin. Penggunaan pada penderita yang mengonsumsi alkohol dapat meningkatkan resiko kerusakan fungsi hati.</t>
  </si>
  <si>
    <t>pseudoephedrine hydrochloride noscapine chlorphenamine maleate guaifenesin succus liquiritiae paracetamol</t>
  </si>
  <si>
    <t>paratusin sirup pseudoephedrine hydrochloride noscapine chlorphenamine maleate guaifenesin succus liquiritiae paracetamol untuk meringankan gejala  gejala flu demam  sakit kepala  hidung tersumbat bersin  bersin disertai batuk</t>
  </si>
  <si>
    <t>Hot In Cream Aromatherapy Pump 120ml</t>
  </si>
  <si>
    <t>Rp26.200 - Rp42.000</t>
  </si>
  <si>
    <t>Oleskan secukupnya ke bagian yang sakit/diinginkan</t>
  </si>
  <si>
    <t>Pencegahan dari gangguan nyamuk,inhaler pada hidung yang tersumbat akibat influenza, penghangat tubuh, pembunuh kuman, penghilang sesak nafas pada penderita sesak nafas</t>
  </si>
  <si>
    <t>Tube 120 ml</t>
  </si>
  <si>
    <t>pencegahan gangguan nyamuk , inhaler hidung tersumbat akibat influenza , penghangat tubuh , pembunuh kuman , penghilang sesak nafas penderita sesak nafas</t>
  </si>
  <si>
    <t>hot in cream aromatherapy pump krim camphora pencegahan gangguan nyamuk  inhaler hidung tersumbat akibat influenza  penghangat tubuh  pembunuh kuman  penghilang sesak nafas penderita sesak nafas</t>
  </si>
  <si>
    <t>GKL0202332317A1</t>
  </si>
  <si>
    <t>Ciprofloxacin 500 mg 10 Tablet</t>
  </si>
  <si>
    <t>Rp7.800 - Rp10.900</t>
  </si>
  <si>
    <t>INFORMASI OBAT INI HANYA UNTUK KALANGAN MEDIS. Infeksi pada saluran kemih, saluran cerna, termasuk demam tifoid yang disebabkan oleh S. thypi, saluran napas (kecuali pneumonia akibat Streptococcus), kulit dan jaringan lunak, tulang dan sendi</t>
  </si>
  <si>
    <t>Hipersensitivitas terhadap ciprofloxacin atau kuinolon lainnya. Riwayat atau risiko perpanjangan QT, diketahui riwayat miastenia gravis. Penggunaan bersamaan dengan tizanidine.</t>
  </si>
  <si>
    <t>HARUS DENGAN RESEP DOKTER. Hati-hati penggunaan pada pasien dengan gangguan SSP yang diketahui atau dicurigai, faktor risiko predisposisi kejang, atau ambang kejang yang lebih rendah, riwayat atau faktor risiko pemanjangan interval QT, torsades de pointes, hipokalemia/hipomagnesemia yang tidak dikoreksi, penyakit jantung (mis., gagal jantung, infark miokard, bradikardia), riwayat keluarga positif penyakit aneurisma, aneurisma atau diseksi aorta yang sudah ada sebelumnya dan faktor risikonya (misalnya sindrom Marfan, sindrom Ehlers-Danlos vaskular, hipertensi, penyakit vaskular aterosklerotik perifer), diabetes, gangguan tendon sebelumnya (misalnya rheumatoid arthritis), defisiensi G6PD. Gangguan ginjal dan hati. Orang tua, anak-anak. Kehamilan dan menyusui. Pasien neutropenia demam dengan imunokompromais. Tidak direkomendasikan untuk pengobatan infeksi streptokokus atau sebagai pilihan pengobatan untuk infeksi gonokokal di beberapa negara karena peningkatan resistensi kuinolon N. gonorrhoeae secara global. Tidak efektif dalam pengobatan sifilis. Cadangan penggunaan untuk pengobatan eksaserbasi akut bronkitis kronis, sistitis akut tanpa komplikasi, atau sinusitis akut pada pasien tanpa pilihan pengobatan alternatif.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</si>
  <si>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infeksi saluran kemih , saluran cerna , demam tifoid disebabkan s  thypi , saluran napa kecuali pneumonia akibat streptococcus , kulit jaringan lunak , tulang sendi</t>
  </si>
  <si>
    <t>ciprofloxacin tablet ciprofloxacin hydrochloride infeksi saluran kemih  saluran cerna  demam tifoid disebabkan s  thypi  saluran napa kecuali pneumonia akibat streptococcus  kulit jaringan lunak  tulang sendi</t>
  </si>
  <si>
    <t>Cap Lang Minyak Kayu Putih 15 ml</t>
  </si>
  <si>
    <t>Hati-hati penggunaan pada kulit yang sensitif terhadap bahan yang terkandung dalam produk ini. Simpan di tempat sejuk, di bawah suhu 30 C dan hindarkan dari sinar matahari langsung</t>
  </si>
  <si>
    <t>Whisper Ultra Reguler Wing 10 Pads</t>
  </si>
  <si>
    <t>Rp11.000 - Rp22.700</t>
  </si>
  <si>
    <t>Pembalut dengan perlindungan kebocoran semua sisi dan penyerapan yang lebih baik melalui Lingkaran. Perlindungan, desain saluran semua-baru di bagian depan, belakang dan samping yang membantu mengarahkan aliran periode Anda dan mencegah kebocoran.</t>
  </si>
  <si>
    <t>pembalut perlindungan kebocoran sisi penyerapan lingkaran  perlindungan , desain saluran - , samping membantu mengarahkan aliran periode anda mencegah kebocoran</t>
  </si>
  <si>
    <t>whisper ultra reguler wing pads</t>
  </si>
  <si>
    <t>whisper ultra reguler wing pads tablet sildenafil citrate pembalut perlindungan kebocoran sisi penyerapan lingkaran  perlindungan  desain saluran   samping membantu mengarahkan aliran periode anda mencegah kebocoran</t>
  </si>
  <si>
    <t>GKL2044401910A1</t>
  </si>
  <si>
    <t>Cimetidine 200 mg 10 Tablet</t>
  </si>
  <si>
    <t>Rp6.300 - Rp7.100</t>
  </si>
  <si>
    <t>Diminum bersama dengan makanan</t>
  </si>
  <si>
    <t>PENGGUNAAN OBAT INI HARUS SESUAI DENGAN PETUNJUK DOKTER. Dewasa: - Ulkus duodenum 3-4 kali sehari 1-2 tablet, minimal 4 minggu. - Sindroma zollinger-ellison dan hipersekresi lambung 4 kali sehari 1 tablet, maksimal 2400mg/hari. - Esofagitis 4 kali sehari 2 tablet selama 4-8 minggu. Anak: Menghambat sekresi lambung 20-40mg/kgBB/hari dalam dosis terbagi.</t>
  </si>
  <si>
    <t>INFORMASI OBAT INI HANYA UNTUK KALANGAN MEDIS. Pengobatan tukak usus, tukak lambung aktif, refluks gastroesofagus yang erosif, pencegahan, perdarahan, saluran cerna atas, hipersekresi patologis seperti pada sindroma Zollinger-Ellison, mastosis sistematik, adenoma endokrin multiple.</t>
  </si>
  <si>
    <t>HARUS DENGAN RESEP DOKTER. Ibu hamil dan menyusui, gagal ginjal, keganasan lambung.</t>
  </si>
  <si>
    <t>pengobatan tukak usus , tukak lambung aktif , refluks gastroesofagus erosif , pencegahan , perdarahan , saluran cerna , hipersekresi patologis sindroma zollinger - ellison , mastosis sistematik , adenoma endokrin multiple</t>
  </si>
  <si>
    <t>cimetidine tablet pengobatan tukak usus  tukak lambung aktif  refluks gastroesofagus erosif  pencegahan  perdarahan  saluran cerna  hipersekresi patologis sindroma zollinger  ellison  mastosis sistematik  adenoma endokrin multiple</t>
  </si>
  <si>
    <t>amoxsan forte sirup amoxicillin trihydrate penyakit infeksi kulit jaringan lunak  infeksi saluran pernafasan  infeksi saluran genitourinari  gonore disebabkan organisme gram positif gram negatif peka amoxicillin</t>
  </si>
  <si>
    <t>DKL1633535615A1</t>
  </si>
  <si>
    <t>S-Omevell 20 mg 10 Tablet</t>
  </si>
  <si>
    <t>Rp181.600 - Rp185.300</t>
  </si>
  <si>
    <t>Digunakan untuk mengobati Gastroesophageal Reflux Disease (GERD) dengan esofagitis (peradangan pada lapisan kerongkongan) atau simptom refluks yang berat dan pasien tukak lambung (Ulkus peptik) yang diakibatkan konsumsi OAINS.</t>
  </si>
  <si>
    <t>Box, 3 Strip @ 10 Tablet Salut Enterik</t>
  </si>
  <si>
    <t>digunakan mengobati gastroesophageal reflux disease gerd esofagitis peradangan lapisan kerongkongan simptom refluks berat pasien tukak lambung ulkus peptik diakibatkan konsumsi oains</t>
  </si>
  <si>
    <t>somevell</t>
  </si>
  <si>
    <t>somevell tablet esomeprazole magnesium digunakan mengobati gastroesophageal reflux disease gerd esofagitis peradangan lapisan kerongkongan simptom refluks berat pasien tukak lambung ulkus peptik diakibatkan konsumsi oains</t>
  </si>
  <si>
    <t>centabio gel placenta extract neomycin sulfate luka bakar  tukak khronik  luka2 sembuh bergranulasi  tukak luka dekubital akibat berbaring menerus  ekzema berah  impetigo  furunkulosis infeksi kulit</t>
  </si>
  <si>
    <t>Cap Lang Minyak Kayu Putih 60 ml</t>
  </si>
  <si>
    <t>Rp22.700 - Rp29.500</t>
  </si>
  <si>
    <t>Oleskan secukupnya pada bagian tubuh yang diinginkan.</t>
  </si>
  <si>
    <t>QD192716961</t>
  </si>
  <si>
    <t>Balpirik Kayu Putih Balsam 20 g</t>
  </si>
  <si>
    <t>Rp6.500 - Rp13.100</t>
  </si>
  <si>
    <t>Balpirik dapat membantu meredakan keseleo, encok, pegel linu dan nyeri otot, serta dapat digunakan untuk mengatasi rasa pusing, mabuk perjalanan, pilek, gatal karena gigitan serangga dan masuk angin</t>
  </si>
  <si>
    <t>Hipersensitif terhadap komponen obat, jangan digunakan langsung di bawah hidung, tidak untuk digunakan pada anak di bawah 2 tahun, hanya untuk pemakaian luar</t>
  </si>
  <si>
    <t>balpirik membantu meredakan keseleo , encok , pegel linu nyeri otot , mengatasi pusing , mabuk perjalanan , pilek , gatal gigitan serangga masuk angin</t>
  </si>
  <si>
    <t>balpirik kayu putih balsam</t>
  </si>
  <si>
    <t>balpirik kayu putih balsam balsam camphor balpirik membantu meredakan keseleo  encok  pegel linu nyeri otot  mengatasi pusing  mabuk perjala  pilek  gatal gigitan serangga masuk angin</t>
  </si>
  <si>
    <t>DTL1421644228A1</t>
  </si>
  <si>
    <t>Oparin Gel 20 gr</t>
  </si>
  <si>
    <t>Oleskan krim secukupnya pada daerah kulit</t>
  </si>
  <si>
    <t>Gunakan 2-3 kali sehari sebagai olesan tipis pada kulit. Dapat juga dioleskan pada sepotong kain kasa lalu tempelkan pada bagian yang sakit. Jangan digosok atau diurut pada memar atau lebam</t>
  </si>
  <si>
    <t>Oparin Gel adalah gel yang berfungsi untuk mengobati memar atau lebam. Penggunaan Oparin Gel dapat mempercepat proses pemulihan lebam atau memar, dan dapat mengurangi gejala yang terjadi seperti bengkak, kebiruan, dan nyeri.</t>
  </si>
  <si>
    <t>Tidak boleh digunakan pada luka terbuka</t>
  </si>
  <si>
    <t>Tidak boleh digunakan pada luka terbuka.</t>
  </si>
  <si>
    <t>oparin gel gel berfungsi mengobati memar lebam  penggunaan oparin gel mempercepat prose pemulihan lebam memar , mengurangi gejala bengkak , kebiruan , nyeri</t>
  </si>
  <si>
    <t>oparin gr</t>
  </si>
  <si>
    <t>oparin gr gel heparin sodium oparin gel gel berfungsi mengobati memar lebam  penggunaan oparin gel mempercepat prose pemulihan lebam memar  mengurangi gejala bengkak  kebiruan  nyeri</t>
  </si>
  <si>
    <t>Cap Lang Minyak Kayu Putih 210 ml</t>
  </si>
  <si>
    <t>Rp76.200 - Rp102.900</t>
  </si>
  <si>
    <t>Dus, Botol @ 210 ml</t>
  </si>
  <si>
    <t>DTL9822224028A1</t>
  </si>
  <si>
    <t>Flamar 10 mg/g Gel 20 g</t>
  </si>
  <si>
    <t>Rp21.700 - Rp26.300</t>
  </si>
  <si>
    <t>Oleskan di area yang membutuhkan</t>
  </si>
  <si>
    <t>PENGGUNAAN OBAT INI HARUS SESUAI DENGAN PETUNJUK DOKTER. 3-4 kali sehari. Maksimal 8g per hari</t>
  </si>
  <si>
    <t>INFORMASI OBAT INI HANYA UNTUK KALANGAN MEDIS. Membantu mengurangi nyeri, gangguan inflamasi (radang), nyeri ringan sampai sedang pasca trauma pada tendon, ligamen, otot dan persendian. Obat ini juga dapat digunakan untuk mengurangi rasa sakit pada penderita rheumatoid arthritis dan osteoarthritis.</t>
  </si>
  <si>
    <t>Hanya untuk penggunaan luar.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</si>
  <si>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membantu mengurangi nyeri , gangguan inflamasi radang , nyeri ringan pasca trauma tendon , ligamen , otot persendian  obat mengurangi sakit penderita rheumatoid arthritis osteoarthritis</t>
  </si>
  <si>
    <t>flamar gel diclofenac diethylamine membantu mengurangi nyeri  gangguan inflamasi radang  nyeri ringan pasca trauma tendon  ligamen  otot persendian  obat mengurangi sakit penderita rheumatoid arthritis osteoarthritis</t>
  </si>
  <si>
    <t>DKL9211616501B1</t>
  </si>
  <si>
    <t>Cefspan 100 mg 10 Kapsul</t>
  </si>
  <si>
    <t>Rp286.200 - Rp383.000</t>
  </si>
  <si>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oral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</si>
  <si>
    <t>cefspan kapsul cefixime infeksi saluran kemih komplikasi  otitis medium  radang rongga gendang telinga  faringitis tonsilitis  bronkhitis akut kronis eksaserbasi kumatnya penyakit gejala penyakit mendadak akut</t>
  </si>
  <si>
    <t>TR172698811</t>
  </si>
  <si>
    <t>Cap Lang Minyak Kayu Putih Plus 30 ml</t>
  </si>
  <si>
    <t>MINYAK KAYU PUTIH PLUS</t>
  </si>
  <si>
    <t>minyak kayu putih plus</t>
  </si>
  <si>
    <t>cap lang kayu putih plus minyak minyak kayu putih plus membantu meredakan masuk angin  perut kembung  mual  pusing  sakit kepala  gatal  gatal gigitan serangga nyamuk</t>
  </si>
  <si>
    <t>QD152613811</t>
  </si>
  <si>
    <t>Cap Lang Minyak Urut Gpu Pala 30 ml</t>
  </si>
  <si>
    <t>Rp11.000 - Rp17.700</t>
  </si>
  <si>
    <t>Untuk membantu meredakan nyeri otot, pegal linu, nyeri sendi, terkilir, sakit punggung, keseleo, memar karena benturan, memperlancar peredaran darah.</t>
  </si>
  <si>
    <t>untuk membantu meredakan nyeri otot , pegal linu , nyeri sendi , terkilir , sakit punggung , keseleo , memar benturan , memperlancar peredaran darah</t>
  </si>
  <si>
    <t>cap lang urut gpu pala</t>
  </si>
  <si>
    <t>cap lang urut gpu pala minyak  menthol untuk membantu meredakan nyeri otot  pegal linu  nyeri sendi  terkilir  sakit punggung  keseleo  memar benturan  memperlancar peredaran darah</t>
  </si>
  <si>
    <t>DTL1010905733A1</t>
  </si>
  <si>
    <t>Salfenal Forte 200 mg/5 ml Sirup 60 ml</t>
  </si>
  <si>
    <t>Dewasa: 1 sendok takar (5 ml), diminum 3-4 kali sehari. Anak usia 8-12 tahun: 1 sendok takar (5 ml), diminum 3-4 kali sehari. Anak usia 3-7 tahun: 1/2 sendok takar (2.5 ml), diminum 3-4 kali sehari.</t>
  </si>
  <si>
    <t>Digunakan untuk meringankan gejala-gejala penyakit renatik tulang, sendi dan otot, serta membantu meredakan nyeri ringan pada nyeri haid, sakit gigi, sakit kepala dan nyeri setelah operasi.</t>
  </si>
  <si>
    <t>digunakan meringankan gejala - gejala penyakit renatik tulang , sendi otot , membantu meredakan nyeri ringan nyeri haid , sakit gigi , sakit kepala nyeri operasi</t>
  </si>
  <si>
    <t>salfenal forte</t>
  </si>
  <si>
    <t>salfenal forte suspensi ibuprofen digunakan meringankan gejala  gejala penyakit renatik tulang  sendi otot  membantu meredakan nyeri ringan nyeri haid  sakit gigi  sakit kepala nyeri operasi</t>
  </si>
  <si>
    <t>DKL0719609601B1</t>
  </si>
  <si>
    <t>Lanfix 200 mg 10 Kapsul</t>
  </si>
  <si>
    <t>Rp427.300 - Rp470.000</t>
  </si>
  <si>
    <t>Dus, 1 Strip @ 10 kapsul</t>
  </si>
  <si>
    <t>lanfix</t>
  </si>
  <si>
    <t>lanfix kapsul cefixime infeksi saluran kemih komplikasi  otitis medium  radang rongga gendang telinga  faringitis tonsilitis  bronkhitis akut kronis eksaserbasi kumatnya penyakit gejala penyakit mendadak akut</t>
  </si>
  <si>
    <t>DKL0713313638B1</t>
  </si>
  <si>
    <t>Lapimox 250 mg/5 ml Dry Sirup 60 ml</t>
  </si>
  <si>
    <t>Rp40.900 - Rp55.500</t>
  </si>
  <si>
    <t>DKL0815620637A1</t>
  </si>
  <si>
    <t>Norages Sirup 250 mg/5 ml 60 ml</t>
  </si>
  <si>
    <t>Rp34.300 - Rp45.600</t>
  </si>
  <si>
    <t>PENGGUNAAN OBAT INI HARUS SESUAI DENGAN PETUNJUK DOKTER. 2 sendok takar (10 ml) setiap 6 - 8 jam.</t>
  </si>
  <si>
    <t>Meredakan nyeri akut &amp; kronik berat, sakit kepala, penyakit reumatik, sakit gigi, nyeri karena kanker, nyeri setelah trauma/pasca operasi, nyeri otot, nyeri kolik.</t>
  </si>
  <si>
    <t>Hipersensitif terhadap analgesik &amp; anti reumatik. Tekanan darah sistolik &lt;100 mmHg. Hamil &amp; laktasi.</t>
  </si>
  <si>
    <t>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</si>
  <si>
    <t>meredakan nyeri akut kronik berat , sakit kepala , penyakit reumatik , sakit gigi , nyeri kanker , nyeri trauma pasca operasi , nyeri otot , nyeri kolik</t>
  </si>
  <si>
    <t>norages</t>
  </si>
  <si>
    <t>norages sirup metamizole sodium meredakan nyeri akut kronik berat  sakit kepala  penyakit reumatik  sakit gigi  nyeri kanker  nyeri trauma pasca operasi  nyeri otot  nyeri kolik</t>
  </si>
  <si>
    <t>whisper ultra reguler wing pads tablet tizanidine hydrochloride pembalut perlindungan kebocoran sisi penyerapan lingkaran  perlindungan  desain saluran   samping membantu mengarahkan aliran periode anda mencegah kebocoran</t>
  </si>
  <si>
    <t>Cap Lang Minyak Kayu Putih Plus 15 ml</t>
  </si>
  <si>
    <t>DBL8517803063A1</t>
  </si>
  <si>
    <t>Polycrol 400 10 Tablet</t>
  </si>
  <si>
    <t>Dus, 12 Amplop @ 1 Strip @ 10 Tablet</t>
  </si>
  <si>
    <t>magnesium hydroxide simethicone aluminium hydroxide-magnesium carbonate gel</t>
  </si>
  <si>
    <t>polycrol tablet magnesium hydroxide simethicone aluminium hydroxidemagnesium carbonate gel gangguan lambung disebabkan karana kelebihan asam lambung seperli tukak lambung  nyari ulu hati  kambung  hiatus hernis</t>
  </si>
  <si>
    <t>Polycrol 10 Tablet</t>
  </si>
  <si>
    <t>Sebaiknya dikunyah dahulu sabelum ditelan. Diminum 1 jam sesudah makan dan menjelang tidur malam</t>
  </si>
  <si>
    <t>3 kali sehari 1-2 tablet</t>
  </si>
  <si>
    <t>Dus, 12 Amplop @ 1 Blister @ 10 Tablet kunyah</t>
  </si>
  <si>
    <t>DKL0605040501A1</t>
  </si>
  <si>
    <t>Starcef 200 mg 10 Kapsul</t>
  </si>
  <si>
    <t>DKL2006609717A1</t>
  </si>
  <si>
    <t>Singulair 10 mg 7 Tablet</t>
  </si>
  <si>
    <t>Rp85.000 - Rp93.500</t>
  </si>
  <si>
    <t>PENGGUNAAN OBAT INI HARUS SESUAI DENGAN PETUNJUK DOKTER. Asma: Dewasa dan &gt; 15 thn 1 tab 1 x/hr pd sore/malam hr. Pencegahan Bronkokonstriksi yg Dipicu oleh Olahraga: Dws 1 tab 2 jam sblm berolahraga. Penambahan dosis sebaiknya tdk dilakukan dlm waktu 24 jam.</t>
  </si>
  <si>
    <t>Pencegahan &amp; pengobatan kronik asma pd orang dws 15 tahunke atas (tab salut selaput 10 mg) termasuk mencegah bronkokonstriksi yg dipicu olahraga/latihan fisik.</t>
  </si>
  <si>
    <t>HARUS DENGAN RESEP DOKTER. Tdk boleh digunakan utk mengobati serangan asma akut. Tdk boleh diganti secara mendadak utk kortikosteroid inhalasi atau kortikosteroid oral. Tdk boleh digunakan sebagai monoterapi &amp; pd penanganan bronkospasme yg dipicu olahraga. Pasien hrs menghindari aspirin atau OAINS selama terapi. Hamil &amp; laktasi. Anak &lt;15 thn. Kategori Kehamilan : B</t>
  </si>
  <si>
    <t>pencegahan pengobatan kronik asma pd orang dws 15 tahunke tab salut selaput 10 mg mencegah bronkokonstriksi yg dipicu olahraga latihan fisik</t>
  </si>
  <si>
    <t>singulair</t>
  </si>
  <si>
    <t>singulair tablet montelukast sodium pencegahan pengobatan kronik asma pd orang dws 15 tahunke tab salut selaput 10 mg mencegah bronkokonstriksi yg dipicu olahraga latihan fisik</t>
  </si>
  <si>
    <t>DTL1222721704A1</t>
  </si>
  <si>
    <t>Bodrex Flu Dan Batuk Tidak Berdahak Pe 4 Kaplet</t>
  </si>
  <si>
    <t>Rp2.400 - Rp2.700</t>
  </si>
  <si>
    <t>Dikonsumsi setelah makanan.</t>
  </si>
  <si>
    <t>Dewasa : 1 kaplet 3 kali sehari.</t>
  </si>
  <si>
    <t>Meredakan gejala-gejala flu seperti demam, sakit kepala, hidung tersumbat, dan bersin-bersin yang disertai batuk tidak berdahak.</t>
  </si>
  <si>
    <t>Dus, 25 Sachet @ 1 Blister @ 4 Kaplet Lapis Dua</t>
  </si>
  <si>
    <t>Penderita yang hipersensitif terhadap salah satu komponen obat ini Penderita dengan gangguan fungsi hati yang berat</t>
  </si>
  <si>
    <t>Hati-hati penggunaan pada penderita dengan gangguan fungsi hati dan ginjal, glaukoma, hipertrofi prostat, hipertiroid, dan retensi urin. Tidak dianjurkan penggunaan pada anak dibawah 2 tahun, wanita hamil, dan menyusui, kecuali atas petunjuk dokter. Penggunaan pada penderita yang mengkonsumsi alkohol dapat meningkatkan resiko kerusakan fungsi hati. Dapat menyebabkan depresi pernapasan dan susunan saraf pusat pada penggunaan dosis besar atau pada pasien dengan gangguan fungsi pernapasan (misalnya: asma, emfisema) Hati-hati penggunaan pada penderita debil dan hipoksia (kekurangan oksigen)</t>
  </si>
  <si>
    <t>meredakan gejala - gejala flu demam , sakit kepala , hidung tersumbat , bersin - bersin disertai batuk tidak berdahak</t>
  </si>
  <si>
    <t>bodrex flu dan batuk tidak berdahak pe kaplet dextromethorphan hydrobromide meredakan gejala  gejala flu demam  sakit kepala  hidung tersumbat  bersin  bersin disertai batuk tidak berdahak</t>
  </si>
  <si>
    <t>Sanoskin Melladerm Plus Gel 20 gr</t>
  </si>
  <si>
    <t>Oleskan pada bagian yang luka</t>
  </si>
  <si>
    <t>Luka superfisial kronik, tukak krusis, luka akibat keganasan (kanker), luka paska operasi, luka akibat trauma, dan luka bakar ringan.</t>
  </si>
  <si>
    <t>luka superfisial kronik , tukak krusis , luka akibat keganasan kanker , luka paska operasi , luka akibat trauma , luka bakar ringan</t>
  </si>
  <si>
    <t>sanoskin melladerm plus gr</t>
  </si>
  <si>
    <t>sanoskin melladerm plus gr krim sulfadiazine silver luka superfisial kronik  tukak krusis  luka akibat keganasan kanker  luka paska operasi  luka akibat trauma  luka bakar ringan</t>
  </si>
  <si>
    <t>metamizole sodium pyridoxine hydrochloride cyanocobalamin thiamine mononitrate</t>
  </si>
  <si>
    <t>neurosanbe plus kaplet metamizole sodium pyridoxine hydrochloride cyanocobalamin thiamine mononitrate gangguan sistem saraf perifer  defisiensi vitamin b  neuritis neuralgia  nyeri berat penyakit degeneratif kolumna vertebra</t>
  </si>
  <si>
    <t>DTL0233401404B1</t>
  </si>
  <si>
    <t>Lodecon Forte 10 Kaplet</t>
  </si>
  <si>
    <t>Rp12.100 - Rp15.900</t>
  </si>
  <si>
    <t>Dewasa : 3 kali sehari 1 kaplet Anak-anak usia 6-12 tahun : 3 kali sehari 1/2 kaplet</t>
  </si>
  <si>
    <t>Mengatasi gejala flu seperti demam, sakit kepala, hidung tersumbat, bersin-bersin disertai batuk tidak berdahak.</t>
  </si>
  <si>
    <t>Penderita hipertensi, penyakit jantung koroner, pasien yang sedang mengkonsumsi obat penghambat monoamine oksidase (MAOI), penderita penyakit ginjal, hipertiroidisme.</t>
  </si>
  <si>
    <t>Dapat mengganggu kemampuan mengemudi atau menjalankan mesin. Pasien yang menderita diabetes melitus. Penderita glaukoma. Wanita hamil.</t>
  </si>
  <si>
    <t>paracetamol dextromethorphan hydrobromide guaifenesin chlorphenamine maleate phenylephrine hydrochloride</t>
  </si>
  <si>
    <t>mengatasi gejala flu demam , sakit kepala , hidung tersumbat , bersin - bersin disertai batuk tidak berdahak</t>
  </si>
  <si>
    <t>lodecon forte</t>
  </si>
  <si>
    <t>lodecon forte kaplet paracetamol dextromethorphan hydrobromide guaifenesin chlorphenamine maleate phenylephrine hydrochloride mengatasi gejala flu demam  sakit kepala  hidung tersumbat  bersin  bersin disertai batuk tidak berdahak</t>
  </si>
  <si>
    <t>DKL0332708809A1</t>
  </si>
  <si>
    <t>Dothrocyn 500 mg 10 Kaplet</t>
  </si>
  <si>
    <t>diberikan pada saat perut kosong : Paling baik diberikan pada saat perut kosong 1 jam sblm atau 2 jam sesudah makan. Dpt diberikan bersama makanan untuk mengurangi rasa tidak nyaman pada GI.</t>
  </si>
  <si>
    <t>PENGGUNAAN OBAT INI HARUS SESUAI DENGAN PETUNJUK DOKTER. Sehari 2x1 tablet jika perlu sehari 2x2 tablet</t>
  </si>
  <si>
    <t>Infeksi saluran pernafasan bagian atas dan bawah, kulit dan jaringan lunak, amubiasis intestinal, pengobatan sifilis pada pasien yang alergi terhadap penisilin, uretritis non GO, infeksi akibat chlamydia trachomatis, listeriosis, pertusis</t>
  </si>
  <si>
    <t>10X10 Kapsul</t>
  </si>
  <si>
    <t>Hipersensitivitas. Pasien yang mendapat terfenadin, astemizol, atau sisaprid. Gangguan fungsi hati berat.</t>
  </si>
  <si>
    <t>HARUS DENGAN RESEP DOKTER. Gangguan fungsi hati &amp; ginjal. Penggunaan jangka lama dapat mengakibatkan superinfeksi oleh mikroorganisme yang tidak peka. Penggunaan bersama dengan levostatin. Hamil dan laktasi.</t>
  </si>
  <si>
    <t>infeksi saluran pernafasan , kulit jaringan lunak , amubiasis intestinal , pengobatan sifilis pasien alergi penisilin , uretritis non go , infeksi akibat chlamydia trachomatis , listeriosis , pertusis</t>
  </si>
  <si>
    <t>dothrocyn</t>
  </si>
  <si>
    <t>dothrocyn kaplet erythromycin infeksi saluran pernafasan  kulit jaringan lunak  amubiasis intestinal  pengobatan sifilis pasien alergi penisilin  uretritis non go  infeksi akibat chlamydia trachomatis  listeriosis  pertusis</t>
  </si>
  <si>
    <t>DTL0231522358A1</t>
  </si>
  <si>
    <t>Fosen Enema</t>
  </si>
  <si>
    <t>Rp132.700 - Rp135.000</t>
  </si>
  <si>
    <t>Cairan enema dimasukkan kedalam rectum</t>
  </si>
  <si>
    <t>Dewasa dan Anak &gt;= 12 tahun : 118 mL dosis tunggal.</t>
  </si>
  <si>
    <t>Konstipasi akut, pengosongan usus besar sebelum pemeriksaan kolonoskopi dan endoskopi, penanganan paska operasi, pelepasan tinja/feses yang terhambat</t>
  </si>
  <si>
    <t>Dus, Botol @ 133 ml</t>
  </si>
  <si>
    <t>Hipersensitif terhadap komponen Fosen.</t>
  </si>
  <si>
    <t>Gangguan fungsi ginjal, penyakit jantung, gangguan elektrolit, mendapat terapi penghambat kanal Ca, diuretik atau obat lain yang mempengaruhi kadar elektrolit. Kolostomi.</t>
  </si>
  <si>
    <t>sodium dihydrogen phosphate monohydrate disodium hydrogen phosphate anhydrous</t>
  </si>
  <si>
    <t>konstipasi akut , pengosongan usus pemeriksaan kolonoskopi endoskopi , penanganan paska operasi , pelepasan tinja fes terhambat</t>
  </si>
  <si>
    <t>fosen enema</t>
  </si>
  <si>
    <t>fosen enema enema sodium dihydrogen phosphate monohydrate disodium hydrogen phosphate anhydrous konstipasi akut  pengosongan usus pemeriksaan kolonoskopi endoskopi  pega paska operasi  pelepasan tinja fes terhambat</t>
  </si>
  <si>
    <t>DKL1027805433A1</t>
  </si>
  <si>
    <t>Galdom Sirup 60 ml</t>
  </si>
  <si>
    <t>Rp36.900 - Rp43.500</t>
  </si>
  <si>
    <t>Dispepsia fungsional Dewasa &amp; lanjut usia : 10-20 mg 3 x/hari &amp; menjelang tidur. Lama terapi: Maksimal 12 minggu.</t>
  </si>
  <si>
    <t>Dewasa : Mual &amp; muntah akut</t>
  </si>
  <si>
    <t>Remscar Gel 15 g</t>
  </si>
  <si>
    <t>Sebelum penggunaan Remscar gel : 1) Periksa waktu kadaluarsa produk dan gunakan produk setelah memastikan produk tidak rusak atau terkontaminasi. 2) Pastikan luka sudah benar-benar sembuh dan tidak ada kerusakan pada permukaan kulit. 3) Bersihkan bekas luka dan area sekitar dengan air atau cairan saline dan keringkan. 4) Setelah kulit kering, baca instruksi dengan seksama sebelum menggunakan remscar gel 5) Jangan menggunakan krim atau lotion. Cara penggunaan remscar gel : 1) Oleskan pada bekas luka sebanyak dua kali sehari pada pagi dan sore hari. 2) Setelah luka dibersihkan dan dikeringkan, ambil produk secukupnya dan oleskan pada area bekas luka secara merata. 3) Jika produk yang diambil terlalu banyak, maka secara perlahan dapat dihilangkan dengan tisu untuk mencegah noda pada pakaian. 4. Setelah gel kering Anda dapat menggunakan kosmetik.</t>
  </si>
  <si>
    <t>bertujuan untuk manajemen bekas luka baru dan lama, termasuk bekas luka hipertrofik dan keloid yang disebabkan oleh trauma, luka bakar atau operasi. RemScarÂ® Gel adalah silikon gel transparan yang di aplikasikan pada bekas luka</t>
  </si>
  <si>
    <t>Dus, tube @ 15 g</t>
  </si>
  <si>
    <t>Penyimpanan setelah penggunaan remscar gel:1) Setelah menggunakan produk, tutup dan simpan produk di wadah kedap udara pada suhu kamar (1 â€“ 300C) dan hindari suhu tinggi serta lembap. 2) Simpan pada tempat yang bersih dan hindari paparan sinar matahari langsung. 3) Jauhkan dari jangkauan anak-anak.a. Peringatan 1) Jangan menggunakan produk pada luka terbuka. Gunakan produk hanya pada bekas luka. 2) Jangan menggunakan produk pada saat benang jahitan masih ada atau pada keropeng luka. 3) Jangan menggunakan produk pada membran mukosa atau mata. 4) Jangan menggunakan produk setelah melakukan perawatan kulit atau menggunakan produk perawatan kulit lainnya pada bekas luka. 5) Jangan menggunakan produk setelah waktu kadaluarsa. b. Penggunaan Produk pada Kehamilan, Ibu Menyusui, Wanita yang akan melahirkan, Bayi Baru Lahir, Bayi, Anak-Anak, Lanjut Usia 1) Hindari penggunaan produk jika ada kemungkinan menyebabkan efek samping. c. Perhatian Umum 1) Periksa produk apakah terdapat kerusakan sebelum penggunaan. Jika teridentifikasi adanya kerusakan produk, produk tidak dapat digunakan. 2) Jangan gunakan produk pada luka yang terbuka. Gunakan hanya untuk bekas luka yang bersih dan kering. 3) Jauhkan dari jangkauan anak-anak. 4) Hindari sinar matahari langsung dan simpan produk pada suhu kamar (1 â€“ 300C). d. Perhatian pada Penggunaan 1) Pada kasus yang jarang terjadi, gel dapat menyebabkan kemerahan pada kulit, iritasi atau reaksi kulit lainnya. Konsultasikan dengan apoteker atau dokter Anda. 2) Produk tidak dapat digunakan pada luka terbuka yang belum sembuh.</t>
  </si>
  <si>
    <t>bertujuan manajemen bekas luka , bekas luka hipertrofik keloid disebabkan trauma , luka bakar operasi  remscar gel silikon gel transparan aplikasikan bekas luka</t>
  </si>
  <si>
    <t>remscar</t>
  </si>
  <si>
    <t>remscar krim sulfadiazine silver bertujuan manajemen bekas luka  bekas luka hipertrofik keloid disebabkan trauma  luka bakar operasi  remscar gel silikon gel transparan aplikasikan bekas luka</t>
  </si>
  <si>
    <t>clamixin sirup amoxicillin trihydrate potassium clavulanate infeksi saluran napa  infeksi saluran kemih  infeksi kulit jaringan lunak  infeksi tulang sendi  infeksi aborsi septik  sepsis intra abdominal</t>
  </si>
  <si>
    <t>yrins eye liquid botol larutan distilled witch hazel membersihkan  menyejukan menyegarkan mata lelah sakit  meringankan iritasi ringan mata sebabkan udara berdebu berasap  mengemudi pekerjaan penglihatan</t>
  </si>
  <si>
    <t>Salonpas Koyo Hot 10 Lembar</t>
  </si>
  <si>
    <t>Rp7.000 - Rp8.000</t>
  </si>
  <si>
    <t>Tempelkan pada bagian yang sakit, selama 8 jam.</t>
  </si>
  <si>
    <t>Membantu meredakan rasa nyeri yang disebabkan olehnyeri otot, sakit otot leher, punggung pegal, sakit kepala, sakit gigi, memar, terkilir dan nyeri sendi.</t>
  </si>
  <si>
    <t>Sachet @ 10 lembar</t>
  </si>
  <si>
    <t>Kulit yang rusak atau luka. Alergi aspirin atau salisilat.</t>
  </si>
  <si>
    <t>membantu meredakan nyeri disebabkan olehnyeri otot , sakit otot leher , punggung pegal , sakit kepala , sakit gigi , memar , terkilir nyeri sendi</t>
  </si>
  <si>
    <t>salonpas koyo hot lembar  capsicum extract membantu meredakan nyeri disebabkan olehnyeri otot  sakit otot leher  punggung pegal  sakit kepala  sakit gigi  memar  terkilir nyeri sendi</t>
  </si>
  <si>
    <t>QL071800031</t>
  </si>
  <si>
    <t>Hansaplast Koyo Panas 10 Lembar</t>
  </si>
  <si>
    <t>Rp9.200 - Rp10.200</t>
  </si>
  <si>
    <t>Meredakan semua jenis pegal dan nyeri secara efektif, seperti nyeri otot di leher, bahu atau punggung, nyeri sendi, sakit kepala atau sakit gigi, pegal dan linu, kram saat menstruasi</t>
  </si>
  <si>
    <t>Jangan digunakan pada luka kulit terbuka. Bila terjadi iritasi, hentikan pemakaian, Tidak untuk anak dibawah 2 tahun. Jangan digunakan langsung di bawah hidung.</t>
  </si>
  <si>
    <t>meredakan jenis pegal nyeri efektif , nyeri otot leher , bahu punggung , nyeri sendi , sakit kepala sakit gigi , pegal linu , kram menstruasi</t>
  </si>
  <si>
    <t>hansaplast koyo panas lembar</t>
  </si>
  <si>
    <t>hansaplast koyo panas lembar  camphor meredakan jenis pegal nyeri efektif  nyeri otot leher  bahu punggung  nyeri sendi  sakit kepala sakit gigi  pegal linu  kram menstruasi</t>
  </si>
  <si>
    <t>Derma Angel Acne Patch Mix 18S</t>
  </si>
  <si>
    <t>Rp46.000 - Rp48.000</t>
  </si>
  <si>
    <t>Bersihkan wajah. Lepaskan plester dengan menyobek bagian tepi yang bergerigi. Gunakan plester pada bagian yang luka dan lepaskan bagian belakang kertas plester. Tekan dan tahan selama 3-5 detik sampai plester melekat dengan sempurna,</t>
  </si>
  <si>
    <t>Membantu penyembuhan jerawat dan melindungi jerawat agar terhindar dari bakteri atau paparan polusi dan mencegah terjadinya bekas luka serta meningkatkan penyerapan dan penyembuhan jerawat.</t>
  </si>
  <si>
    <t>Dos Isi 18 Patch</t>
  </si>
  <si>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</si>
  <si>
    <t>membantu penyembuhan jerawat melindungi jerawat terhindar bakteri paparan polusi mencegah bekas luka meningkatkan penyerapan penyembuhan jerawat</t>
  </si>
  <si>
    <t>derma angel acne patch mix s</t>
  </si>
  <si>
    <t>derma angel acne patch mix s tablet tizanidine hydrochloride membantu penyembuhan jerawat melindungi jerawat terhindar bakteri paparan polusi mencegah bekas luka meningkatkan penyerapan penyembuhan jerawat</t>
  </si>
  <si>
    <t>Derma Angel Acne Patch Night 12 Lembar</t>
  </si>
  <si>
    <t>Dus @ 12 Patch</t>
  </si>
  <si>
    <t>derma angel acne patch night lembar</t>
  </si>
  <si>
    <t>derma angel acne patch night lembar tablet tizanidine hydrochloride membantu penyembuhan jerawat melindungi jerawat terhindar bakteri paparan polusi mencegah bekas luka meningkatkan penyerapan penyembuhan jerawat</t>
  </si>
  <si>
    <t>DKL9222213017A1</t>
  </si>
  <si>
    <t>Akilen 200 mg 10 Tablet</t>
  </si>
  <si>
    <t>Rp110.300 - Rp125.100</t>
  </si>
  <si>
    <t>PENGGUNAAN OBAT INI HARUS SESUAI DENGAN PETUNJUK DOKTER. ISK : 100 - 400 mg 2 kali sehari selama 1 - 10 hari. Infeksi berat dan terkomplikasi : 600 mg/hari selama 20 hari. Infeksi sal nafas : 200 - 400 mg 2 kali sehari. Uretritis GO dan servisitis tanpa komplikasi : 200 - 600 mg/hari dosis tunggal. Uretretis no</t>
  </si>
  <si>
    <t>ISK, infeksi berat dan terkomplikasi, infeksi sal nafas, uretritis GO dan servisitis tanpa komplikasi, uretritis non GO, infeksi kulit dan jar lunak, infeksi kandungan serta eritis bakterial</t>
  </si>
  <si>
    <t>Tablet 200 Mg X 3 X 10</t>
  </si>
  <si>
    <t>Hipersensitif terhadap ofloxacin dan quinolone. Hamil dan menyusui, anak pra-pubertas</t>
  </si>
  <si>
    <t>HARUS DENGAN RESEP DOKTER. Penurunan fungsi ginjal</t>
  </si>
  <si>
    <t>isk , infeksi berat terkomplikasi , infeksi sal nafas , uretritis go servisitis komplikasi , uretritis non go , infeksi kulit jar lunak , infeksi kandungan eritis bakterial</t>
  </si>
  <si>
    <t>akilen</t>
  </si>
  <si>
    <t>akilen tablet ofloxacin isk  infeksi berat terkomplikasi  infeksi sal nafas  uretritis go servisitis komplikasi  uretritis non go  infeksi kulit jar lunak  infeksi kandungan eritis bakterial</t>
  </si>
  <si>
    <t>DKL1333528768A1</t>
  </si>
  <si>
    <t>Velutine Plus Inhalasi 2.5 ml</t>
  </si>
  <si>
    <t>Rp9.800 - Rp14.000</t>
  </si>
  <si>
    <t>Obat ini digunakan dengan menggunakan alat nebulizer.</t>
  </si>
  <si>
    <t>PENGGUNAAN OBAT INI HARUS SESUAI DENGAN PETUNJUK DOKTER. Dosis awal : 2.5 ml (1 Vial) dan dapat diberikan 4 kali per hari.</t>
  </si>
  <si>
    <t>INFORMASI OBAT INI HANYA UNTUK KALANGAN MEDIS. Untuk mengatasi penyempitan saluran napas (bronkospasme reversibel) yang berhubungan dengan penyakit paru obstruktif kronik (PPOK) dan serangan asma akut.</t>
  </si>
  <si>
    <t>Hindari penggunaan pada wanita hamil trimester 1 dan 2 karena dapat meningkatkan resiko prematur, antepartum hemoragik, dan toxemia.</t>
  </si>
  <si>
    <t>HARUS DENGAN RESEP DOKTER. Hati hati pada pasien hipokalemia. Lakukan monitoring kadar Kalium dalam darah. Tidak dianjurkan untuk Wanita Hamil dan Menyusui kecual atas petunjuk dokter.</t>
  </si>
  <si>
    <t>salbutamol sulfate ipratropium bromide monohydrate</t>
  </si>
  <si>
    <t>untuk mengatasi penyempitan saluran napa bronkospasme reversibel berhubungan penyakit paru obstruktif kronik ppok serangan asma akut</t>
  </si>
  <si>
    <t>velutine plus inhalasi</t>
  </si>
  <si>
    <t>velutine plus inhalasi inhaler salbutamol sulfate ipratropium bromide monohydrate untuk mengatasi penyempitan saluran napa bronkospasme reversibel berhubungan penyakit paru obstruktif kronik ppok serangan asma akut</t>
  </si>
  <si>
    <t>TR092600071</t>
  </si>
  <si>
    <t>Tolak Angin Anak Cair Plus Madu 10 ml 5 Sachet</t>
  </si>
  <si>
    <t>TOLAK ANGIN ANAK + MADU</t>
  </si>
  <si>
    <t>Rp15.200 - Rp18.500</t>
  </si>
  <si>
    <t>Kocok dahulu sebelum diminum. Sesudah makan. Obat dapat langsung diminum atau dapat dicampur dengan air.</t>
  </si>
  <si>
    <t>Untuk anak usia 1 tahun langsung diminum 1/2 sachet atau dicampur dengan 1/2 gelas air hangat. Untuk anak usia 2-6 tahun : langsung diminum 1 sachet atau dicampur dengan 1/2 gelas air hangat. Minum 3 sachet sehari sesudah makan sampai kondisi membaik. Guna menjaga kondisi tubuh: 1 sachet per hari</t>
  </si>
  <si>
    <t>Herbal untuk membantu meredakan masuk angin dan gejala-gejalanya seperti sumeng (meriang), pusing, perut mual, kembung, mules.</t>
  </si>
  <si>
    <t>Dus @ sachet @ 10 ml</t>
  </si>
  <si>
    <t>Hanya untuk anak-anak di bawah usia 12 tahun . Herbal ini tidak direkomendasikan untuk wanita hamil dan pasien dengan gangguan fungsi ginjal.</t>
  </si>
  <si>
    <t>tolak angin anak + madu</t>
  </si>
  <si>
    <t>herbal membantu meredakan masuk angin gejala - gejalanya sumeng meriang , pusing , perut mual , kembung , mule</t>
  </si>
  <si>
    <t>tolak angin anak cair plus madu</t>
  </si>
  <si>
    <t>tolak angin anak cair plus madu madu tolak angin anak  madu herbal membantu meredakan masuk angin gejala  gejalanya sumeng meriang  pusing  perut mual  kembung  mule</t>
  </si>
  <si>
    <t>DKL0212520110A1</t>
  </si>
  <si>
    <t>Fungoral 200 mg 10 Tablet</t>
  </si>
  <si>
    <t>Rp43.300 - Rp48.800</t>
  </si>
  <si>
    <t>PENGGUNAAN OBAT INI HARUS SESUAI DENGAN PETUNJUK DOKTER. Dewasa infeksi jamur pada kulit, gastrointestinal dan kandidosis sistemik : 200 mg 1 kali sehari, dapat ditingkatkan menjadi 400 mg per hari. Kandidosis vaginal : 400 mg 1 kali sehari. Anak &lt; 15 kg : 20 mg 3 kali sehari, 15 - 30 kg : 100 mg 1 kali</t>
  </si>
  <si>
    <t>Infeksi jamur pada kulit, gastrointestinal dan kandidosis sistemik, kandidosis vaginal, mikosis kulit karena dermatofita, pitiriasis versikolor, mikosis mulut dan kulit karena kandida, infeksi kuku, parakoksidioidomikosis, histoplasmosis,koksidioidomikosi</t>
  </si>
  <si>
    <t>Tablet 200 Mg X 5 X 10</t>
  </si>
  <si>
    <t>Hipersensitivitas, penyakit hati, fase penyembuhan dari hepatitis</t>
  </si>
  <si>
    <t>HARUS DENGAN RESEP DOKTER. Hamil dan laktasi. Insufisiensi adrenal. Lakukan tes fungsi hati pada penggunaan kronik ( &gt; 2 minggu )</t>
  </si>
  <si>
    <t>infeksi jamur kulit , gastrointestinal kandidosis sistemik , kandidosis vaginal , mikosis kulit dermatofita , pitiriasis versikolor , mikosis mulut kulit kandida , infeksi kuku , parakoksidioidomikosis , histoplasmosis , koksidioidomikosi</t>
  </si>
  <si>
    <t>fungoral</t>
  </si>
  <si>
    <t>fungoral tablet ketoconazole infeksi jamur kulit  gastrointestinal kandidosis sistemik  kandidosis vaginal  mikosis kulit dermatofita  pitiriasis versikolor  mikosis mulut kulit kandida  infeksi kuku  parakoksidioidomikosis  histoplasmosis  koksidioidomikosi</t>
  </si>
  <si>
    <t>cedocard retard tablet isosorbide dinitrate 25 in lactose terapi angina pektoris  pencegahan serangan angina penyakit  penyakit koroner kronik  gangguan angina paska infark miokard  gagal jantung</t>
  </si>
  <si>
    <t>DKL0234600229A1</t>
  </si>
  <si>
    <t>Forderm 0.05% Cream 10 g</t>
  </si>
  <si>
    <t>Rp43.200 - Rp53.700</t>
  </si>
  <si>
    <t>Krim dioleskan pada area kulit yang radang/sakit/gatal</t>
  </si>
  <si>
    <t>PENGGUNAAN OBAT INI HARUS SESUAI DENGAN PETUNJUK DOKTER. Oleskan krim 2 x sehari, dosis maximum : 50 g perminggu</t>
  </si>
  <si>
    <t>Terapi jangka pendek inflamasi dan Pruritus pada Dermatosis tingkat sedang s/d berat yang responsif terhadap Korticosteroid seperti Psoriasis, Ekzem yang resisten, Likhen Planus, Lupus Eritematosus diskoid.</t>
  </si>
  <si>
    <t>Rosacea, dermatitis perioral, akne, hipersensitif terhadap clobetasol propionate atau kortikosteroid lain, dermatosis pada anak &lt;1 tahun, herpes simpleks, cacar air</t>
  </si>
  <si>
    <t>HARUS DENGAN RESEP DOKTER. Dengan dosis 2 g sehari selama 1 minggu dapat menekan aksis hipotalamus-pituitari-adrenal pada penderita eksim. Obat luar, hindari kontak dengan mata. Hamil, laktasi. Anak &lt;12 tahun</t>
  </si>
  <si>
    <t>terapi jangka pendek inflamasi pruritus dermatosis tingkat s d berat responsif korticosteroid psoriasis , ekzem resisten , likhen planus , lupus eritematosus diskoid</t>
  </si>
  <si>
    <t>forderm cream</t>
  </si>
  <si>
    <t>forderm cream krim clobetasol propionate terapi jangka pendek inflamasi pruritus dermatosis tingkat s d berat responsif korticosteroid psoriasis  ekzem resisten  likhen planus  lupus eritematosus diskoid</t>
  </si>
  <si>
    <t>DKL9608006137A1</t>
  </si>
  <si>
    <t>Extropect Sirup 60 ml</t>
  </si>
  <si>
    <t>Rp29.700 - Rp39.900</t>
  </si>
  <si>
    <t>PENGGUNAAN OBAT INI HARUS SESUAI DENGAN PETUNJUK DOKTER. Dewasa &amp; anak berusia di atas 12 tahun : 3 kali sehari 2 sendok teh. Anak berusia 5-12 tahun : 3 kali sehari 1 sendok teh.</t>
  </si>
  <si>
    <t>Penyakit saluran napas akut &amp; kronis dan kaitannya dengan sekresi bronkus yang abnormal, terutama pada eksaserbasi (kumatnya penyakit atau gejala penyakit secara mendadak) bronkhitis kronis, bronkhitis asmatik, asma bronkhial.</t>
  </si>
  <si>
    <t>HARUS DENGAN RESEP DOKTER. Wanita hamil</t>
  </si>
  <si>
    <t>penyakit saluran napa akut kronis kaitannya sekresi bronkus abnormal , eksaserbasi kumatnya penyakit gejala penyakit mendadak bronkhitis kronis , bronkhitis asmatik , asma bronkhial</t>
  </si>
  <si>
    <t>extropect sirup ambroxol hydrochloride penyakit saluran napa akut kronis kaitannya sekresi bronkus abnormal  eksaserbasi kumatnya penyakit gejala penyakit mendadak bronkhitis kronis  bronkhitis asmatik  asma bronkhial</t>
  </si>
  <si>
    <t>DKL7419808301A1</t>
  </si>
  <si>
    <t>Dalacin C 150 mg 10 Kapsul</t>
  </si>
  <si>
    <t>Rp118.800 - Rp135.600</t>
  </si>
  <si>
    <t>Kapsul 150 Mg X 30</t>
  </si>
  <si>
    <t>dalacin c kapsul clindamycin hydrochloride infeksi gr  serius berat  disebabkan organisme peka strep  pneumokokus staph  bakteri anaerob  infeksi sal nafas  kulit jar lunak infeksi serius</t>
  </si>
  <si>
    <t>TR152684381</t>
  </si>
  <si>
    <t>Cap Lang Minyak Ekaliptus Aromatherapy Green Tea 30 ml</t>
  </si>
  <si>
    <t>EUCALYPTUS AROMATHERAPY GREEN TEA</t>
  </si>
  <si>
    <t>Rp10.500 - Rp19.900</t>
  </si>
  <si>
    <t>eucalyptus aromatherapy green tea</t>
  </si>
  <si>
    <t>cap lang ekaliptus aromatherapy green tea minyak eucalyptus aromatherapy green tea membantu meringankan sakit perut  perut kembung  mual  gatal  gatal akibat gigitan serangga nyamuk aromaterapi</t>
  </si>
  <si>
    <t>TR152684941</t>
  </si>
  <si>
    <t>Starvit Herbal 15 ml</t>
  </si>
  <si>
    <t>STARVIT</t>
  </si>
  <si>
    <t>Rp2.800 - Rp5.700</t>
  </si>
  <si>
    <t>1-2 Sachet per hari</t>
  </si>
  <si>
    <t>1. Membantu meredakan masuk angin seperti rasa meriang, pegal-pegal, lesu, perut kembung dan mual 2. Membantu menyegarkan badan 3. Membantu memelihara kesehatan fungsi hati</t>
  </si>
  <si>
    <t>Dus, 10 sachet @ 15 ml</t>
  </si>
  <si>
    <t>starvit</t>
  </si>
  <si>
    <t>1  membantu meredakan masuk angin meriang , pegal - pegal , lesu , perut kembung mual 2  membantu menyegarkan badan 3  membantu memelihara kesehatan fungsi hati</t>
  </si>
  <si>
    <t>starvit herbal</t>
  </si>
  <si>
    <t>starvit herbal  starvit 1  membantu meredakan masuk angin meriang  pegal  pegal  lesu  perut kembung mual 2  membantu menyegarkan badan 3  membantu memelihara kesehatan fungsi hati</t>
  </si>
  <si>
    <t>DKL0226007604A1</t>
  </si>
  <si>
    <t>Trodex 10 Kaplet</t>
  </si>
  <si>
    <t>Rp1.800 - Rp4.600</t>
  </si>
  <si>
    <t>trodex</t>
  </si>
  <si>
    <t>trodex kaplet chlorphenamine maleate hay fever berat  asma bronkhial khronik  rinitis alergi  dermatitis atopik kontak  reaksi obat  serum sickness  konjungtivitis alergi  keratitis gangguan peradangan okular</t>
  </si>
  <si>
    <t>Cap Lang Minyak Ekaliptus Aromatherapy Green Tea 120 ml</t>
  </si>
  <si>
    <t>Rp43.900 - Rp86.500</t>
  </si>
  <si>
    <t>cendo xitrol mata salep dexamethasone neomycin sulfate polymyxin b sulfate infeksi bakteri peka neomisindan polimiksin  blefaritis tidak berah  konjungtivits tidak berah  skleritis  tukak kornea keratitis</t>
  </si>
  <si>
    <t>TR122665321</t>
  </si>
  <si>
    <t>Larutan Cap Kaki Tiga Anak Strawberry 250 ml</t>
  </si>
  <si>
    <t>LARUTAN CAP KAKI TIGA ANAK RASA STROBERI</t>
  </si>
  <si>
    <t>larutan cap kaki tiga anak rasa stroberi</t>
  </si>
  <si>
    <t>cap kaki tiga anak strawberry</t>
  </si>
  <si>
    <t>cap kaki tiga anak strawberry larutan larutan cap kaki tiga anak rasa stroberi membantu meredakan panas disertai tenggorokan kering  sariawan  sakit tenggorokan membantu menyegarkan badan</t>
  </si>
  <si>
    <t>Derma Angel Acne Patch Night 6 Lembar</t>
  </si>
  <si>
    <t>DKL1433531317A1</t>
  </si>
  <si>
    <t>Destavell 5 mg 10 Tablet</t>
  </si>
  <si>
    <t>PENGGUNAAN OBAT INI HARUS SESUAI DENGAN PETUNJUK DOKTER. Dewasa :1 x sehari 1 tablet, Anak usia 6-11 tahun 1 x sehari 1/2 tablet, anak usia 6-11 bulan 1 mg/hari, anak usia 1-2,5 tahun 1,25 mg/hari.</t>
  </si>
  <si>
    <t>Meredakan Alergi Rinitis Nasal &amp; non-Nasal (termasuk alergi Rinitis intermiten/sewaktu &amp; persisten/terus-menerus), meredakan gejala Pruritus, mengurangi jumlah &amp; luasnya area Hives pada pasien dengan Urtikaria khronik idiopathik</t>
  </si>
  <si>
    <t>HARUS DENGAN RESEP DOKTER. hati-hati penggunaan pada wanita hamil, menyusui, penderita gangguan hati dan ginjal.</t>
  </si>
  <si>
    <t>meredakan alergi rinitis nasal non - nasal alergi rinitis intermiten persisten - menerus , meredakan gejala pruritus , mengurangi luasnya area hives pasien urtikaria khronik idiopathik</t>
  </si>
  <si>
    <t>destavell</t>
  </si>
  <si>
    <t>destavell tablet desloratadine meredakan alergi rinitis nasal non  nasal alergi rinitis intermiten persisten  menerus  meredakan gejala pruritus  mengurangi luasnya area hives pasien urtikaria khronik idiopathik</t>
  </si>
  <si>
    <t>DKL1124402501A1</t>
  </si>
  <si>
    <t>Sporanox Kapsul 100 mg</t>
  </si>
  <si>
    <t>Rp45.100 - Rp68.800</t>
  </si>
  <si>
    <t>PENGGUNAAN OBAT INI HARUS SESUAI DENGAN PETUNJUK DOKTER. Kandidiasis vulvovaginitis : 2 kali sehari selama 1 hari 2 kapsul atau 1 kali sehari selama 3 hari 2 kapsul. Ptiriasisa versikolor : 1 kali sehari selama 7 hari 2 kapsul. Dermatomikosis : 1 kali sehari selama 15 hari 1 kapsul. Keratinisasis kuat : 1 kali sehari selama 30 hari 1 kapsul. Kandidosis oral : 1 kali sehari selama 15 hari 1kapsul. Kreatitis fungal : 1 kali sehari selama 21 hari 2 kapsul. Aspergilosis : 1 kali sehari selama 2 sampai 5 bulan 2 kapsul. Kandidosis : 1 kali sehari selama 3 minggu sampai 7 bulan 1 sampai 2 kapsul. Kriptokokkus meningeal : 1 kali sehari selama 2 bulan sampai 1 tahun 2 kapsul. Meningitis kriptokokkus : 2 kali sehari selama 2 bulan sampai 1 tahun 2 kapsul. Histoplasmosis : 1 sampai 2 kali sehari selama 8 bulan 2 kapsul. Sporotrikosis : 1 kali sehari selama 3 bulan 1 kapsul. Parakokkidiodomikosis : 1 sampai 2hari selama 3 bulan 1 kapsul. Blastomikosis : 1 sampai 2 kapsul kali sehari selama 6 bulan 1 sampai 2 kapsul</t>
  </si>
  <si>
    <t>Kandidosis Vulvovaginal, Pitiriasis Versikolor, Dermatomikosis, Keratinisasi berat, kandidosis Oral, Keratitis jamur, Aspergilosis, Kandidosis, kriptokokosis Non-meningeal, Meningitis kriptokokal, Histoplasmosis, Sporotrikosis, Parakoksidioidomikosis, Bla</t>
  </si>
  <si>
    <t>Box Isi 28 Kapsul</t>
  </si>
  <si>
    <t>Hamil, hipersensitif</t>
  </si>
  <si>
    <t>HARUS DENGAN RESEP DOKTER. Laktasi, riwayat penyakit hati atau ginjal. Anak. Penurunan keasaman lambung</t>
  </si>
  <si>
    <t>kandidosis vulvovaginal , pitiriasis versikolor , dermatomikosis , keratinisasi berat , kandidosis oral , keratitis jamur , aspergilosis , kandidosis , kriptokokosis non - meningeal , meningitis kriptokokal , histoplasmosis , sporotrikosis , parakoksidioidomikosis , bla</t>
  </si>
  <si>
    <t>sporanox</t>
  </si>
  <si>
    <t>sporanox kapsul itraconazole kandidosis vulvovaginal  pitiriasis versikolor  dermatomikosis  keratinisasi berat  kandidosis oral  keratitis jamur  aspergilosis  kandidosis  kriptokokosis non  meningeal  meningitis kriptokokal  histoplasmosis  sporotrikosis  parakoksidioidomikosis  bla</t>
  </si>
  <si>
    <t>DBL1440000645A1</t>
  </si>
  <si>
    <t>Rohto Eyeflush 150 ml</t>
  </si>
  <si>
    <t>Rp38.300 - Rp43.700</t>
  </si>
  <si>
    <t>Bersihkan eyebath (mangkuk atau wadah untuk larutan pembersih mata) sebelum di gunakan.Sekiranya kelopak mata kurang bersih/ada sisa make-up bersihkan terlebih dahulu.Isi eyebath lalu letakkan ke kelopak mata.</t>
  </si>
  <si>
    <t>Digunakan secukupnya saat mata terasa pedih.</t>
  </si>
  <si>
    <t>Membersihkan mata, menyejukkan mata, dan menyegarkan kembali mata yg lelah, meringankan iritasi ringan pada mata yg disebabkan oleh udara berdebu atau berasap, mengemudi atau pekerjaan yang memerlukan penglihatan dekat</t>
  </si>
  <si>
    <t>Botol @ 150 ml</t>
  </si>
  <si>
    <t>Gunakan eye bath secara pribadi dan hindari pemakaian bersama dengan orang lain. Setelah kemasan dibuka, obat hanya dapat digunakan hingga 3 bulan. Jauhkan dari jangkauan anak-anak. Jangan gunakan obat ini secara rutin dan jangka panjang. Apabila gejala telah hilang, hentikan penggunaan obat ini. Jangan menggunakan lensa kontak ketika menggunakan obat ini. Lensa kontak dapat dipakai kembali minimal 10-15 menit setelah pemakaian obat.</t>
  </si>
  <si>
    <t>membersihkan mata , menyejukkan mata , menyegarkan mata yg lelah , meringankan iritasi ringan mata yg disebabkan udara berdebu berasap , mengemudi pekerjaan penglihatan</t>
  </si>
  <si>
    <t>rohto eyeflush</t>
  </si>
  <si>
    <t>rohto eyeflush larutan witch hazel membersihkan mata  menyejukkan mata  menyegarkan mata yg lelah  meringankan iritasi ringan mata yg disebabkan udara berdebu berasap  mengemudi pekerjaan penglihatan</t>
  </si>
  <si>
    <t>DTL9613306804A1</t>
  </si>
  <si>
    <t>Alerhis Loratadine 10 mg 4 Kaplet</t>
  </si>
  <si>
    <t>Dewasa dan anak &gt; 12 tahun : 1 kali sehari 1 kaplet Anak usia 6-12 tahun: BB &gt; 30 kg = 1 kali sehari 1 kaplet BB &lt; 30 kg = 1 kali sehari 1/2 kaplet</t>
  </si>
  <si>
    <t>Mengatasi gejala rinitis alergik seperti bersin-bersin, pilek dan rasa gatal pada hidung, rasa gatal dan terbakar pada mata serta untuk mengurangi gejala dan tanda-tanda urtikaria kronis serta penyakit dermatologis alergi lainnya.</t>
  </si>
  <si>
    <t>Dus, 10 Amplop @ 1 Strip @ 4 Kaplet</t>
  </si>
  <si>
    <t>Hipersensitif terhadap komponen dalam produk.</t>
  </si>
  <si>
    <t>Awas! Obat keras, bacalah aturan pakainya. Pemberian loratadin harus dihentikan 48 jam sebelum uji alergi pada kulit. Hati-hati pemberian pada wanita menyusui karena dapat disekresikan melalui air susu. Hati-hati penggunaan pada penderita gagal fungsi hati dan ginjal.</t>
  </si>
  <si>
    <t>mengatasi gejala rinitis alergik bersin - bersin , pilek gatal hidung , gatal terbakar mata mengurangi gejala tanda - tanda urtikaria kronis penyakit dermatologis alergi</t>
  </si>
  <si>
    <t>alerhis loratadine</t>
  </si>
  <si>
    <t>alerhis loratadine kaplet loratadine mengatasi gejala rinitis alergik bersin  bersin  pilek gatal hidung  gatal terbakar mata mengurangi gejala tanda  tanda urtikaria kronis penyakit dermatologis alergi</t>
  </si>
  <si>
    <t>Terasma Expectorant Sirup 100 ml</t>
  </si>
  <si>
    <t>Rp27.500 - Rp37.600</t>
  </si>
  <si>
    <t>Sebagai bronkodilator dan ekspektoran, digunakan untuk mengobati asma bronkial, bronkitis kronis, emfisema, dan penyakit paru-paru lainnya dengan bronkokontruksi sebagai faktor penyulit disertai sekresi lendir yang berlebiha.</t>
  </si>
  <si>
    <t>Penderita yang hipersensitif terhadap salah satu bahan baku dan tirotoksikois.</t>
  </si>
  <si>
    <t>sebagai bronkodilator ekspektoran , mengobati asma bronkial , bronkitis kronis , emfisema , penyakit paru - paru bronkokontruksi faktor penyulit disertai sekresi lendir berlebiha</t>
  </si>
  <si>
    <t>terasma expectorant sirup terbutaline sulfate guaifenesin sebagai bronkodilator ekspektoran  mengobati asma bronkial  bronkitis kronis  emfisema  penyakit paru  paru bronkokontruksi faktor penyulit disertai sekresi lendir berlebiha</t>
  </si>
  <si>
    <t>DKI0887101417A1</t>
  </si>
  <si>
    <t>Aerius 5 mg 15 Tablet</t>
  </si>
  <si>
    <t>Rp151.900 - Rp196.500</t>
  </si>
  <si>
    <t>PENGGUNAAN OBAT INI HARUS SESUAI DENGAN PETUNJUK DOKTER. Dewasa : 1 x sehari 1 tablet, Anak usia 6-11 tahun 1 x sehari 1/2 tablet, anak usia 6-11 bulan 1 mg/hari, anak usia 1-2,5 tahun 1,25 mg/hari.</t>
  </si>
  <si>
    <t>INFORMASI OBAT INI HANYA UNTUK KALANGAN MEDIS. Meredakan Alergi Rinitis Nasal &amp; non-Nasal (termasuk alergi Rinitis intermiten/sewaktu &amp; persisten/terus-menerus), meredakan gejala Pruritus, mengurangi jumlah &amp; luasnya area Hives pada pasien dengan Urtikaria khronik idiopathik</t>
  </si>
  <si>
    <t>Dus, 2 Strip @ 15 Tablet</t>
  </si>
  <si>
    <t>aerius tablet desloratadine meredakan alergi rinitis nasal non  nasal alergi rinitis intermiten persisten  menerus  meredakan gejala pruritus  mengurangi luasnya area hives pasien urtikaria khronik idiopathik</t>
  </si>
  <si>
    <t>DKL7224202010B1</t>
  </si>
  <si>
    <t>Primperan 10 mg 10 Tablet</t>
  </si>
  <si>
    <t>Rp17.700 - Rp19.500</t>
  </si>
  <si>
    <t>Harus diminum dalam keadaam perut kosong (30 menit sebelum makan).</t>
  </si>
  <si>
    <t>PENGGUNAAN OBAT INI HARUS SESUAI DENGAN PETUNJUK DOKTER. Dewasa : 10 mg, 3 kali per hari. Anak 5-15 tahun : 0.5 mg/kg berat badan/hari dalam dosis terbagi.</t>
  </si>
  <si>
    <t>INFORMASI OBAT INI HANYA UNTUK KALANGAN MEDIS. Meredakan mual dan muntah yang disebabkan oleh induksi kemoterapi, radiasi, paska operasi, morning sickness, dan refluks esofagitis. Obat ini juga dapat digunakan oleh pasien diabetik yang mengalami gastroparesis (kesulitan mengosongkan lambung).</t>
  </si>
  <si>
    <t>Pasien dengan perforasi gastrointestinal, perdarahan atau obstruksi mekanis, suspek atau diketahui feokromositoma atau paraganglioma pelepas katekolamin lainnya, riwayat diskinesia tardive yang diinduksi neuroleptik atau obat, gangguan kejang (misalnya epilepsi), penyakit Parkinson, riwayat methaemoglobinaemia yang diketahui dengan metoklopramid atau nikotinamida adenin defisiensi dinucleotide-cytochrome b5 reductase (NADH-Cyb5R). Anak &lt;1 tahun.</t>
  </si>
  <si>
    <t>Obat Wajib Apotek, Obat ini dapat dibeli dan diserahkan apoteker tanpa resep dengan maksimum 2 Strip. Pembelian melebihi batas ini WAJIB RESEP DOKTER. Hati-hati penggunaan pada pasien dengan kondisi neurologis yang mendasari, penyakit Parkinson, gangguan konduksi jantung atau sindrom sinus sakit, hipertensi, ketidakseimbangan elektrolit yang tidak terkoreksi, bradikardia, gagal jantung dengan gangguan ginjal yang menyertai, faktor risiko kelebihan cairan (misalnya gagal jantung, sirosis), riwayat atopi ( termasuk asma), porfiria, diabetes, gangguan yang berhubungan dengan pengosongan lambung yang tertunda, riwayat depresi. CYP2D6 metabolisme yang buruk. Gangguan ginjal dan hati. Anak-anak dan lansia. Kehamilan dan menyusui. Kategori kehamilan : Kategori B: Mungkin dapat digunakan oleh wanita hamil. Penelitian pada hewan uji tidak memperlihatkan ada nya risiko terhadap janin, namun belum ada bukti penelitian langsung terhadap wanita hamil.</t>
  </si>
  <si>
    <t>meredakan mual muntah disebabkan induksi kemoterapi , radiasi , paska operasi , morning sickness , refluks esofagitis  obat pasien diabetik mengalami gastroparesis kesulitan mengosongkan lambung</t>
  </si>
  <si>
    <t>primperan</t>
  </si>
  <si>
    <t>primperan tablet metoclopramide hydrochloride meredakan mual muntah disebabkan induksi kemoterapi  radiasi  paska operasi  morning sickness  refluks esofagitis  obat pasien diabetik mengalami gastroparesis kesulitan mengosongkan lambung</t>
  </si>
  <si>
    <t>TR112629011</t>
  </si>
  <si>
    <t>Larutan Cap Kaki Tiga Jeruk Nipis 320 ml</t>
  </si>
  <si>
    <t>LARUTAN CAP KAKI TIGA RASA JERUK NIPIS</t>
  </si>
  <si>
    <t>Dapat diminum langsung</t>
  </si>
  <si>
    <t>Botol @ 320 ml</t>
  </si>
  <si>
    <t>larutan cap kaki tiga rasa jeruk nipis</t>
  </si>
  <si>
    <t>cap kaki tiga jeruk nipis</t>
  </si>
  <si>
    <t>cap kaki tiga jeruk nipis larutan larutan cap kaki tiga rasa jeruk nipis membantu meredakan panas disertai tenggorokan kering  sariawan  sakit tenggorokan membantu menyegarkan badan</t>
  </si>
  <si>
    <t>DKL8924208337A1</t>
  </si>
  <si>
    <t>Primperan Sirup 50 ml</t>
  </si>
  <si>
    <t>PENGGUNAAN OBAT INI HARUS SESUAI DENGAN PETUNJUK DOKTER. Dewasa : 3 kali sehari 1-2 sendok teh. Anak berusia 5-15 tahun : 0,5 mg/kg berat badan/hari dalam dosis terbagi.</t>
  </si>
  <si>
    <t>HARUS DENGAN RESEP DOKTER. Hati-hati penggunaan pada pasien dengan kondisi neurologis yang mendasari, penyakit Parkinson, gangguan konduksi jantung atau sindrom sinus sakit, hipertensi, ketidakseimbangan elektrolit yang tidak terkoreksi, bradikardia, gagal jantung dengan gangguan ginjal yang menyertai, faktor risiko kelebihan cairan (misalnya gagal jantung, sirosis), riwayat atopi ( termasuk asma), porfiria, diabetes, gangguan yang berhubungan dengan pengosongan lambung yang tertunda, riwayat depresi. CYP2D6 metabolisme yang buruk. Gangguan ginjal dan hati. Anak-anak dan lansia. Kehamilan dan menyusui. Kategori kehamilan : Kategori B: Mungkin dapat digunakan oleh wanita hamil. Penelitian pada hewan uji tidak memperlihatkan ada nya risiko terhadap janin, namun belum ada bukti penelitian langsung terhadap wanita hamil.</t>
  </si>
  <si>
    <t>primperan sirup metoclopramide hydrochloride meredakan mual muntah disebabkan induksi kemoterapi  radiasi  paska operasi  morning sickness  refluks esofagitis  obat pasien diabetik mengalami gastroparesis kesulitan mengosongkan lambung</t>
  </si>
  <si>
    <t>DTL1140000346A1</t>
  </si>
  <si>
    <t>Rohto Cool Eye Drop 7 ml</t>
  </si>
  <si>
    <t>Rp18.100 - Rp23.200</t>
  </si>
  <si>
    <t>Diberikan dengan di teteskan pada mata yang terkena iritasi</t>
  </si>
  <si>
    <t>3 - 4 kali per hari teteskan 1 atau 2 tetes pada masing -masing mata.</t>
  </si>
  <si>
    <t>Meredakan sementara mata merah akibat iritasi ringan yang disebabkan debu, asap,angin, sengatan sinar matahari, pemakaian lensa kontak, alergi atau berenang</t>
  </si>
  <si>
    <t>Dus, Botol @ 7ml</t>
  </si>
  <si>
    <t>Hipersensitif pada komponen obat ini, penderita glaukoma.</t>
  </si>
  <si>
    <t>Setelah kemasan dibuka, obat hanya dapat digunakan sampai 1 bulan. Hipersensitif pada komponen obat ini, penderita glaukoma. Lepaskan lensa kontak saat digunakan. Jangan digunakan rutin jangka panjang. Lensa kontak boleh digunakan minimal 15 (lima belas) menit setelah obat diteteskan.</t>
  </si>
  <si>
    <t>meredakan mata merah akibat iritasi ringan disebabkan debu , asap , angin , sengatan sinar matahari , pemakaian lensa kontak , alergi berenang</t>
  </si>
  <si>
    <t>rohto cool eye drop</t>
  </si>
  <si>
    <t>rohto cool eye drop tetes naphazoline hydrochloride meredakan mata merah akibat iritasi ringan disebabkan debu  asap  angin  sengatan sinar matahari  pemakaian lensa kontak  alergi bereg</t>
  </si>
  <si>
    <t>lumiquin cream krim hydroquinone tretinoin fluocinolone acetonide mengobati jerawat  memutihkan bertahap hiperpigmentasi kulit kloasma  melasma  noda hitam akibat usia  hiperpigmentasi melamin akibat pemakaian kontrasepsi oral</t>
  </si>
  <si>
    <t>DKL9613307301A1</t>
  </si>
  <si>
    <t>Itzol Kapsul 100 mg</t>
  </si>
  <si>
    <t>PENGGUNAAN OBAT INI HARUS SESUAI DENGAN PETUNJUK DOKTER. Kandidosis Vulvovaginal : 2 x sehari 2 kapsul selama 1 hari atau 1 x sehari 2 kapsul selama 3 hari, Pitriasis Versikolor : 1 x sehari 2 kapsul selama 7 hari, Dermatomikosis : 1 x sehari 1 kapsul selama 15 hari, Keratinisasi berat : 1 x sehari 1 k</t>
  </si>
  <si>
    <t>HARUS DENGAN RESEP DOKTER. Laktasi, riwayat penyakit hati dan ginjal, anak, penurunan asam lambung</t>
  </si>
  <si>
    <t>itzol</t>
  </si>
  <si>
    <t>itzol kapsul itraconazole kandidosis vulvovaginal  pitiriasis versikolor  dermatomikosis  keratinisasi berat  kandidosis oral  keratitis jamur  aspergilosis  kandidosis  kriptokokosis non  meningeal  meningitis kriptokokal  histoplasmosis  sporotrikosis  parakoksidioidomikosis  bla</t>
  </si>
  <si>
    <t>Salonpas Koyo Large 2X2 Lembar</t>
  </si>
  <si>
    <t>Rp11.300 - Rp11.400</t>
  </si>
  <si>
    <t>Dewasa dan anak usia lebih dari 12 tahun: 3-4 kali sehari. Anak usia kurang dari 12 tahun: konsultasi ke dokter.</t>
  </si>
  <si>
    <t>salonpas koyo large x lembar</t>
  </si>
  <si>
    <t>salonpas koyo large x lembar  dlcamphor membantu meredakan nyeri disebabkan nyeri otot  sakit otot leher  punggung pegal  sakit kepala  sakit gigi  memar  terkilir nyeri sendi</t>
  </si>
  <si>
    <t>DKL1633535237A1</t>
  </si>
  <si>
    <t>Destavell Sirup 60 ml</t>
  </si>
  <si>
    <t>Rp83.000 - Rp85.300</t>
  </si>
  <si>
    <t>Anak &gt;12 tahun: sekali sehari 2 sendok teh, 6-11 tahun: Sehari sekali 1 sendok teh. 1-5 tahun Sehari sekali Â½ sdt.</t>
  </si>
  <si>
    <t>destavell sirup desloratadine meredakan alergi rinitis nasal non  nasal alergi rinitis intermiten persisten  menerus  meredakan gejala pruritus  mengurangi luasnya area hives pasien urtikaria khronik idiopathik</t>
  </si>
  <si>
    <t>DKL8305501001A1</t>
  </si>
  <si>
    <t>Dumocycline 250 mg 20 Kapsul</t>
  </si>
  <si>
    <t>Rp11.200 - Rp18.900</t>
  </si>
  <si>
    <t>Dus, 25 Blister @ 20 Kapsul</t>
  </si>
  <si>
    <t>dumocycline</t>
  </si>
  <si>
    <t>dumocycline kapsul tetracycline hydrochloride infeksi sebabkan mikroorganisme gram positif gram negatif sensitif tetracyclin  infeksi pernafasan saluran cerna  infeksi ricketsia  limfogranuloma  meningococcus  gonoccus  infeksi t  pallidium</t>
  </si>
  <si>
    <t>TR122665331</t>
  </si>
  <si>
    <t>Larutan Cap Kaki Tiga Anak Jeruk 250 ml</t>
  </si>
  <si>
    <t>LARUTAN CAP KAKI TIGA ANAK RASA JERUK</t>
  </si>
  <si>
    <t>Kaleng 250 ml</t>
  </si>
  <si>
    <t>larutan cap kaki tiga anak rasa jeruk</t>
  </si>
  <si>
    <t>cap kaki tiga anak jeruk</t>
  </si>
  <si>
    <t>cap kaki tiga anak jeruk larutan larutan cap kaki tiga anak rasa jeruk membantu meredakan panas disertai tenggorokan kering  sariawan  sakit tenggorokan membantu menyegarkan badan</t>
  </si>
  <si>
    <t>DKL9617612010A1</t>
  </si>
  <si>
    <t>Lotyn 20 mg 10 Tablet</t>
  </si>
  <si>
    <t>Rp108.900 - Rp167.500</t>
  </si>
  <si>
    <t>INFORMASI OBAT INI HANYA UNTUK KALANGAN MEDIS. Menurunkan kadar tinggi kolesterol Total &amp; LDL pada Hiperkolesterolemia Primer dimana respon terhadap diet dan terapi non-farmakologi lainnya tidak adekuat, menurunkan kadar tinggi LDL kolesterrol pada penderita dengan kombinasi Hiperkolesterolemia &amp; Hip</t>
  </si>
  <si>
    <t>Dus ,3 Blister @ 10 Tablet</t>
  </si>
  <si>
    <t>Ibu hamil. Penyakit hati aktif, peningkatan persisten serum transaminase yang tidak dapat dijelaskan. Laktasi.</t>
  </si>
  <si>
    <t>HARUS DENGAN RESEP DOKTER. Hamil. Lakukan tes fungsi hati selama terapi. Kategori kehamilan : Kategori X: Kontraindikasi (tidak boleh digunakan). Terdapat hasil penelitian terhadap hewan uji dan manusia yang memperlihatkan abnormalitas terhadap janin. Obat ini dikontraindikasikan untuk wanita hamil dan yang berkemungkinan untuk hamil.</t>
  </si>
  <si>
    <t>lovastatin</t>
  </si>
  <si>
    <t>menurunkan kadar kolesterol total ldl hiperkolesterolemia primer dimana respon diet terapi non - farmakologi tidak adekuat , menurunkan kadar ldl kolesterrol penderita kombinasi hiperkolesterolemia hip</t>
  </si>
  <si>
    <t>lotyn</t>
  </si>
  <si>
    <t>lotyn tablet lovastatin menurunkan kadar kolesterol total ldl hiperkolesterolemia primer dimana respon diet terapi non  farmakologi tidak adekuat  menurunkan kadar ldl kolesterrol penderita kombinasi hiperkolesterolemia hip</t>
  </si>
  <si>
    <t>DKL1231532910A1</t>
  </si>
  <si>
    <t>Prabetic 15 mg 10 Tablet</t>
  </si>
  <si>
    <t>INFORMASI OBAT INI HANYA UNTUK KALANGAN MEDIS. Monoterapi pada pasien diabetes mellitus 2 yang belum terkendali dengan diet dan olahraga. Sebagai terapi kombinasi dengan sulfonylurea atau metformin pada pasien diabetes mellitus tipe 2 yang belum terkontrol dengan monoterapi sulfonylurea atau metformin.</t>
  </si>
  <si>
    <t>Obat ini dikontraindikasikan pada : - Pasien yang hipersensitif terhadap pioglitazone atau salah satu bahan yang terdapat dalam formula obat. - Gagal jantung atau pada pasien yang mempunyai riwayat gagal jantung (NYHA I sampai IV). - Gangguan hati. - Penderita kanker kandung kemih atau memiliki riwayat kanker kandung kemih.</t>
  </si>
  <si>
    <t>monoterapi pasien diabetes mellitus 2 terkendali diet olahraga  sebagai terapi kombinasi sulfonylurea metformin pasien diabetes mellitus tipe 2 terkontrol monoterapi sulfonylurea metformin</t>
  </si>
  <si>
    <t>prabetic</t>
  </si>
  <si>
    <t>prabetic tablet pioglitazone hydrochloride monoterapi pasien diabetes mellitus 2 terkendali diet olahraga  sebagai terapi kombinasi sulfonylurea metformin pasien diabetes mellitus tipe 2 terkontrol monoterapi sulfonylurea metformin</t>
  </si>
  <si>
    <t>DKL0033400704A1</t>
  </si>
  <si>
    <t>Soldextam 10 Kaplet</t>
  </si>
  <si>
    <t>Rp3.000 - Rp7.900</t>
  </si>
  <si>
    <t>PENGGUNAAN OBAT INI HARUS SESUAI DENGAN PETUNJUK DOKTER. Dewasa 1-2 kaplet 4 x perhari. Anak 1/2 kaplet 3-4 x perhari.</t>
  </si>
  <si>
    <t>Hay fever berat, asma bronkial kronik, rinitis alergi, dermatitis kontak &amp; atopik, reaksi kulit akibat obat, serum sickness, konjungtivitis alergi, keratitis &amp; ocular inflammatory disorders.</t>
  </si>
  <si>
    <t>Tukak peptik, osteoporosis, psikosis atau psikoneurosis berat, TBC, infeksi akut, vaksin hidup, Laktasi.</t>
  </si>
  <si>
    <t>HARUS DENGAN RESEP DOKTER. Ulkus peptik, infeksi. Jangan mengemudi atau menjalankan mesin selama pengobatan. Hamil &amp; laktasi. Gagal ginjal kronik, uremia, glaukoma sudut sempit, hipertrofi prostat. Hipertensi, DM. Kategori Kehamilan : C</t>
  </si>
  <si>
    <t>hay fever berat , asma bronkial kronik , rinitis alergi , dermatitis kontak atopik , reaksi kulit akibat obat , serum sickness , konjungtivitis alergi , keratitis ocular inflammatory disorder</t>
  </si>
  <si>
    <t>soldextam</t>
  </si>
  <si>
    <t>soldextam kaplet dexamethasone hay fever berat  asma bronkial kronik  rinitis alergi  dermatitis kontak atopik  reaksi kulit akibat obat  serum sickness  konjungtivitis alergi  keratitis ocular inflammatory disorder</t>
  </si>
  <si>
    <t>DKL0431407209A1</t>
  </si>
  <si>
    <t>Bimastan 500 mg 10 Kaplet</t>
  </si>
  <si>
    <t>Rp3.900 - Rp6.600</t>
  </si>
  <si>
    <t>PENGGUNAAN OBAT INI HARUS SESUAI DENGAN PETUNJUK DOKTER. Tiap 6 jam, dosis awal 500 mg kemudian diturunkan menjadi 250 g</t>
  </si>
  <si>
    <t>menghilangkan nyeri ringan atau sedang , kondisi akut atau kronis termasuk nyeri persendian, nyeri otot, nyeri sehabis melahirkan, nyeri haid, nyeri sehabis operasi, sakit kepala dan sakit gigi</t>
  </si>
  <si>
    <t>hipersensitif, tukak lambung/usus, asma dan ginjal</t>
  </si>
  <si>
    <t>menghilangkan nyeri ringan , kondisi akut kronis nyeri persendian , nyeri otot , nyeri sehabis melahirkan , nyeri haid , nyeri sehabis operasi , sakit kepala sakit gigi</t>
  </si>
  <si>
    <t>bimastan</t>
  </si>
  <si>
    <t>bimastan kaplet mefenamic acid menghilangkan nyeri ringan  kondisi akut kronis nyeri persendian  nyeri otot  nyeri sehabis melahirkan  nyeri haid  nyeri sehabis operasi  sakit kepala sakit gigi</t>
  </si>
  <si>
    <t>GKL1422722401A1</t>
  </si>
  <si>
    <t>Ibuprofen 400 mg 10 Tablet</t>
  </si>
  <si>
    <t>Rp3.600 - Rp5.300</t>
  </si>
  <si>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</si>
  <si>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INFORMASI OBAT INI HANYA UNTUK KALANGAN MEDIS. Nyeri ringan sampai sedang antara lain nyeri pada penyakit gigi atau pencabutan gigi, nyeri pasca bedah, sakit kepala, gejala artritis reumatoid, gejala osteoartritis, gejala juvenile artritis reumatoid, menurunkan demam pada anak.</t>
  </si>
  <si>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</si>
  <si>
    <t>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</si>
  <si>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nyeri ringan nyeri penyakit gigi pencabutan gigi , nyeri pasca bedah , sakit kepala , gejala artritis reumatoid , gejala osteoartritis , gejala juvenile artritis reumatoid , menurunkan demam anak</t>
  </si>
  <si>
    <t>ibuprofen kapsul nyeri ringan nyeri penyakit gigi pencabutan gigi  nyeri pasca bedah  sakit kepala  gejala artritis reumatoid  gejala osteoartritis  gejala juvenile artritis reumatoid  menurunkan demam anak</t>
  </si>
  <si>
    <t>Thomson 9 Tablet</t>
  </si>
  <si>
    <t>Rp60.300 - Rp88.400</t>
  </si>
  <si>
    <t>1 - 2 tablet, 3 kali sehari. Untuk hasil yang optimal, dikonsumsi rutin dalam waktu 4 - 6 minggu</t>
  </si>
  <si>
    <t>Memperlancar peredaran darah. Menyalurkan oksigen ke semua jaringan tubuh. Membawa nutrisi ke semua bagian tubuh. Membuang zat sisa dari jaringan tubuh. Mengangkut anti body ke daerah infeksi</t>
  </si>
  <si>
    <t>Dus, Botol @ 9 Kapsul</t>
  </si>
  <si>
    <t>memperlancar peredaran darah  menyalurkan oksigen jaringan tubuh  membawa nutrisi tubuh  membuang zat sisa jaringan tubuh  mengangkut anti body daerah infeksi</t>
  </si>
  <si>
    <t>thomson</t>
  </si>
  <si>
    <t>thomson tablet thomson activated ginkgo extract memperlancar peredaran darah  menyalurkan oksigen jaringan tubuh  membawa nutrisi tubuh  membuang zat sisa jaringan tubuh  mengangkut anti body daerah infeksi</t>
  </si>
  <si>
    <t>starcef kapsul cefixime trihydrate infeksi saluran kemih komplikasi  otitis medium  radang rongga gendang telinga  faringitis tonsilitis  bronkhitis akut kronis eksaserbasi kumatnya penyakit gejala penyakit mendadak akut</t>
  </si>
  <si>
    <t>DKL9921622738A1</t>
  </si>
  <si>
    <t>Fixiphar Dry Sirup 100 mg/5 ml 60 ml</t>
  </si>
  <si>
    <t>Rp128.100 - Rp163.600</t>
  </si>
  <si>
    <t>fixiphar</t>
  </si>
  <si>
    <t>fixiphar sirup cefixime trihydrate infeksi saluran kemih komplikasi  otitis medium  radang rongga gendang telinga  faringitis tonsilitis  bronkhitis akut kronis eksaserbasi kumatnya penyakit gejala penyakit mendadak akut</t>
  </si>
  <si>
    <t>DKL0311636509A1</t>
  </si>
  <si>
    <t>Cefspan 200 mg 10 Kaplet</t>
  </si>
  <si>
    <t>Rp516.400 - Rp624.800</t>
  </si>
  <si>
    <t>Dus, 1 strip @ 10 Kaplet salut selaput</t>
  </si>
  <si>
    <t>cefspan kaplet cefixime trihydrate infeksi saluran kemih komplikasi  otitis medium  radang rongga gendang telinga  faringitis tonsilitis  bronkhitis akut kronis eksaserbasi kumatnya penyakit gejala penyakit mendadak akut</t>
  </si>
  <si>
    <t>DKL0828404201A1</t>
  </si>
  <si>
    <t>Taxime 200 mg 10 Kapsul</t>
  </si>
  <si>
    <t>taxime</t>
  </si>
  <si>
    <t>taxime kapsul cefixime trihydrate infeksi saluran kemih komplikasi  otitis medium  radang rongga gendang telinga  faringitis tonsilitis  bronkhitis akut kronis eksaserbasi kumatnya penyakit gejala penyakit mendadak akut</t>
  </si>
  <si>
    <t>DKL0419609601A1</t>
  </si>
  <si>
    <t>Lanfix 100 mg 10 Kapsul</t>
  </si>
  <si>
    <t>Rp271.100 - Rp298.700</t>
  </si>
  <si>
    <t>lanfix kapsul cefixime trihydrate infeksi saluran kemih komplikasi  otitis medium  radang rongga gendang telinga  faringitis tonsilitis  bronkhitis akut kronis eksaserbasi kumatnya penyakit gejala penyakit mendadak akut</t>
  </si>
  <si>
    <t>DKL9517610901B1</t>
  </si>
  <si>
    <t>Ceptik 100 mg 10 Kapsul</t>
  </si>
  <si>
    <t>Rp255.700 - Rp413.900</t>
  </si>
  <si>
    <t>ceptik</t>
  </si>
  <si>
    <t>ceptik kapsul cefixime trihydrate infeksi saluran kemih komplikasi  otitis medium  radang rongga gendang telinga  faringitis tonsilitis  bronkhitis akut kronis eksaserbasi kumatnya penyakit gejala penyakit mendadak akut</t>
  </si>
  <si>
    <t>DKL1231532910B1</t>
  </si>
  <si>
    <t>Prabetic 30 mg 10 Tablet</t>
  </si>
  <si>
    <t>Rp87.300 - Rp99.600</t>
  </si>
  <si>
    <t>Tresnojoyo Minyak Telon 100 ml</t>
  </si>
  <si>
    <t>Rp21.900 - Rp40.500</t>
  </si>
  <si>
    <t>Oleskan pada bagian yang dibutuhkan secara merata</t>
  </si>
  <si>
    <t>Meredakan perut kembung / masuk angin, memberi rasa hangat dan nyaman pada tubuh bayi, mengindari dari gigitan nyamuk bahkan nyamuk demam berdarah, dan melembabkan kulit agar tidak kering</t>
  </si>
  <si>
    <t>Hipersensitif terhadap salah satu kandungan</t>
  </si>
  <si>
    <t>Simpan ditempat yang kering dan terhindar dari sinar matahari langsung.</t>
  </si>
  <si>
    <t>meredakan perut kembung masuk angin , hangat nyaman tubuh bayi , mengindari gigitan nyamuk nyamuk demam berdarah , melembabkan kulit tidak kering</t>
  </si>
  <si>
    <t>tresnojoyo telon minyak minyak telon tresno joyo meredakan perut kembung masuk angin  hangat nyaman tubuh bayi  mengindari gigitan nyamuk nyamuk demam berdarah  melembabkan kulit tidak kering</t>
  </si>
  <si>
    <t>DKI1460600568A1</t>
  </si>
  <si>
    <t>Innovair Inhaler 100 mcg</t>
  </si>
  <si>
    <t>Menggunakan INNOVAIR : - Lepaskan tutup pelindung dari puffer Innovair - Letakkan bibir Anda di sekitar corong - Setelah anda siap, perlahan hembuskan napas. Mulai menghirup dan tekan puffer secara bersamaan - Pindahkan inhaler dari mulut Anda Tahan napas selama 5 sampai 10 detik atau selama Anda merasa nyaman - untuk inhalasi berikutnya, Anda harus menunggu beberapa waktu kemudian ulangi atau kembali kelangkah awal</t>
  </si>
  <si>
    <t>ATURAN PAKAI HARUS SESUAI DENGAN PETUNJUK DOKTER. Besar dosis tergantung dari beratnya gejala Asma : Dosis : 1-2 Inhalasi 2 kali Sehari (1-2 Inhalasi di pagi hari dan 1-2 Inhalasi di Sore hari) PPOK: Dosis : 1-2 Inhalasi 2 kali Sehari (1-2 Inhalasi di pagi hari dan 1-2 Inhalasi di Sore hari)</t>
  </si>
  <si>
    <t>INFORMASI OBAT INI HANYA UNTUK KALANGAN MEDIS. Untuk terapi reguler untuk Asma dimana diperlukan terapi kombinasi inhalasi kortikosteroid dan Beta2-Agonis kerja panjang. Terapi untuk PPOK berat dan adanya riwayat eksaserbasi berulang</t>
  </si>
  <si>
    <t>Dus, 1 Inhaler @ 120 Dosis</t>
  </si>
  <si>
    <t>Hipersensitif terhadap Beclometasone dan Formoterol fumarate Lihat leaflet untuk informasi selengkapnya</t>
  </si>
  <si>
    <t>Diskusi dengan dokter Anda sebelum menggunakan INNOVAIR, jika Anda memiliki hal-hal berikut : Masalah jantung, seperti kelainan pada irama jantung , Tekanan darah tinggi, arteriosclerosis, aneurisma, Kelenjar tiroid yang terlalu aktif, Kadar kalium rendah dalam darah, Penyakit pada Hati atau Ginjal, Diabetes serta Phaeochromocytoma Lihat leaflet untuk informasi selengkapnya</t>
  </si>
  <si>
    <t>formoterol fumarate dihydrate beclometasone dipropionate</t>
  </si>
  <si>
    <t>untuk terapi reguler asma dimana terapi kombinasi inhalasi kortikosteroid beta2 - agonis kerja  terapi ppok berat riwayat eksaserbasi berulang</t>
  </si>
  <si>
    <t>innovair inhaler</t>
  </si>
  <si>
    <t>innovair inhaler inhaler formoterol fumarate dihydrate beclometasone dipropionate untuk terapi reguler asma dimana terapi kombinasi inhalasi kortikosteroid beta2  agonis kerja  terapi ppok berat riwayat eksaserbasi berulang</t>
  </si>
  <si>
    <t>TI154349541</t>
  </si>
  <si>
    <t>Kal Flaxseed Oil 1000 mg 90 Kapsul</t>
  </si>
  <si>
    <t>KAL FLAXSEED OIL</t>
  </si>
  <si>
    <t>Rp362.600 - Rp400.000</t>
  </si>
  <si>
    <t>1 softgel, diberikan 1-3 kali sehari</t>
  </si>
  <si>
    <t>Membantu mengurangi peradangan (dapat membantu penderita arthritis/rematik), membantu mengurangi resiko terjadinya gangguan jantung, membantu memperbaiki irama jantung yang tidak teratur, membantu menurunkan tekanan darah tinggi.</t>
  </si>
  <si>
    <t>Botol @ 90 Kapsul Lunak</t>
  </si>
  <si>
    <t>kal flaxseed oil</t>
  </si>
  <si>
    <t>membantu mengurangi peradangan membantu penderita arthritis rematik , membantu mengurangi resiko gangguan jantung , membantu memperbaiki irama jantung tidak teratur , membantu menurunkan tekanan darah</t>
  </si>
  <si>
    <t>kal flaxseed oil kapsul membantu mengurangi peradangan membantu penderita arthritis rematik  membantu mengurangi resiko gangguan jantung  membantu memperbaiki irama jantung tidak teratur  membantu menurunkan teka darah</t>
  </si>
  <si>
    <t>DKL9513008209B1</t>
  </si>
  <si>
    <t>Cylowam 500 mg 4 Kaplet</t>
  </si>
  <si>
    <t>Rp31.900 - Rp32.400</t>
  </si>
  <si>
    <t>Infeksi saluran kemih, uretritis gonore, servisitis dan sal pernafasan bagian bawah kecuali disebabkan oleh Streptococus, sal cerna termasuk tifoid dan paratifoid, infeksi kulit dan jaringan yang lunak, infeksi tulang dan sendi</t>
  </si>
  <si>
    <t>Kapsul 500 Mg X 20 X 1</t>
  </si>
  <si>
    <t>infeksi saluran kemih , uretritis gonore , servisitis sal pernafasan kecuali disebabkan streptococus , sal cerna tifoid paratifoid , infeksi kulit jaringan lunak , infeksi tulang sendi</t>
  </si>
  <si>
    <t>cylowam</t>
  </si>
  <si>
    <t>cylowam kaplet ciprofloxacin hydrochloride infeksi saluran kemih  uretritis gonore  servisitis sal pernafasan kecuali disebabkan streptococus  sal cerna tifoid paratifoid  infeksi kulit jaringan lunak  infeksi tulang sendi</t>
  </si>
  <si>
    <t>starcef sirup cefixime trihydrate infeksi saluran kemih komplikasi  otitis medium  radang rongga gendang telinga  faringitis tonsilitis  bronkhitis akut kronis eksaserbasi kumatnya penyakit gejala penyakit mendadak akut</t>
  </si>
  <si>
    <t>DKL9522216438A1</t>
  </si>
  <si>
    <t>Sporetik Dry Sirup 30 ml</t>
  </si>
  <si>
    <t>Rp112.300 - Rp135.800</t>
  </si>
  <si>
    <t>sporetik</t>
  </si>
  <si>
    <t>sporetik sirup cefixime trihydrate infeksi saluran kemih komplikasi  otitis medium  radang rongga gendang telinga  faringitis tonsilitis  bronkhitis akut kronis eksaserbasi kumatnya penyakit gejala penyakit mendadak akut</t>
  </si>
  <si>
    <t>DTL0504129337A1</t>
  </si>
  <si>
    <t>OBH Combi Plus Batuk Flu Madu Sirup 60 ml</t>
  </si>
  <si>
    <t>Meredakan batuk yang disertai demam, sakit kepala, hidung tersumbat dan bersin-bersin.</t>
  </si>
  <si>
    <t>Hentikan penggunaan bila terjadi reaksi alergi, Hati-hati penggunaan pada penderita asma, Hati-hati penggunaan pada ibu menyusui, Jangan mengonsumsi alkohol, Hati-hati penggunaan pada orang yang memiliki resiko terkena hipertensi atau stroke, Hati-hati penggunaan terhadap penderita gangguan ginjal, glaukoma, hati, hipertropi prostat, atau hipertiroid, Obat ini dapat menyebabkan kantuk.</t>
  </si>
  <si>
    <t>ammonium chloride paracetamol chlorphenamine maleate ephedrine hydrochloride succus liquiritiae</t>
  </si>
  <si>
    <t>meredakan batuk disertai demam , sakit kepala , hidung tersumbat bersin - bersin</t>
  </si>
  <si>
    <t>obh combi plus batuk flu madu</t>
  </si>
  <si>
    <t>obh combi plus batuk flu madu sirup ammonium chloride paracetamol chlorphenamine maleate ephedrine hydrochloride succus liquiritiae meredakan batuk disertai demam  sakit kepala  hidung tersumbat bersin  bersin</t>
  </si>
  <si>
    <t>zenichlor suspensi chloramphenicol palmitate pilihan utama pengobatan tifus  paratifus  infeksi berat disebabkan salmonella sp  h  influenza injeksi meningual  ricketsia  lymphogranuloma psithachosis  gram negatif menyebabkan bakteremia meningitis</t>
  </si>
  <si>
    <t>DKL9902328301A1</t>
  </si>
  <si>
    <t>Trachon Kapsul</t>
  </si>
  <si>
    <t>Rp24.400 - Rp25.700</t>
  </si>
  <si>
    <t>PENGGUNAAN OBAT INI HARUS SESUAI DENGAN PETUNJUK DOKTER. Kandidosis Vulvovaginal : 2 x sehari 2 kapsul selama 1 hari atau 1 x sehari 2 kapsul selama 3 hari, Pitriasis Versikolor : 1 x sehari 2 kapsul selama 7 hari, Tinea Kruris/Korporis : 1 x sehari 2 kapsul selama 15 hari. Tinea Pedis/Manum : 1 x sehar</t>
  </si>
  <si>
    <t>Kandidosis Vulvovaginal, Pitiriasis Versikolor, Tinea Kruris/Korporis, Tinea Pedis/Manum, kandidosis Oral, Aspergilosis, Kriptokokosis, Histoplasmosis, Parakoksidioidomikosis, Sporotrikosis, Blastomikosis, Kandidosis, Infeksi Kuku, kandidiasis Orofaringe</t>
  </si>
  <si>
    <t>Kapsul 100 Mg X 1 X 10</t>
  </si>
  <si>
    <t>HARUS DENGAN RESEP DOKTER. Laktasi, riwayat penyakit hati atau ginjal. Penurunan keasaman lambung</t>
  </si>
  <si>
    <t>kandidosis vulvovaginal , pitiriasis versikolor , tinea kruris korporis , tinea pedis manum , kandidosis oral , aspergilosis , kriptokokosis , histoplasmosis , parakoksidioidomikosis , sporotrikosis , blastomikosis , kandidosis , infeksi kuku , kandidiasis orofaringe</t>
  </si>
  <si>
    <t>trachon</t>
  </si>
  <si>
    <t>trachon kapsul itraconazole kandidosis vulvovaginal  pitiriasis versikolor  tinea kruris korporis  tinea pedis manum  kandidosis oral  aspergilosis  kriptokokosis  histoplasmosis  parakoksidioidomikosis  sporotrikosis  blastomikosis  kandidosis  infeksi kuku  kandidiasis orofaringe</t>
  </si>
  <si>
    <t>DKI0952502339A1</t>
  </si>
  <si>
    <t>Berodual Inhaler</t>
  </si>
  <si>
    <t>Rp271.200 - Rp439.400</t>
  </si>
  <si>
    <t>PENGGUNAAN OBAT INI HARUS SESUAI DENGAN PETUNJUK DOKTER. Dewasa dan anak &gt; 6 tahun : Episode Asma Akut : 2 semprot. Pada kasus lebih berat, jika pernapasan tidak tampak membaik sesudah 5 menit, dapat diberikan 2 semprot lagi. Terapi intermiten dan jangka panjang : 1-2 semprot, maksimum : 8 semprot per hari</t>
  </si>
  <si>
    <t>Pencegahan dan pengobatan gejala Obstruksi Saluran Nafas Khronik dengan Bronkhospasme reversibel, seperti Asma Bronkhial dan terutama Bronkhitis Khronik dengan atau tanpa Emfisema. Terapi bersamaan dengan anti inflamasi harus dipertimbangkan pada pasien A</t>
  </si>
  <si>
    <t>Dus, 1 Kanister @ 200 Dosis (10 ml)</t>
  </si>
  <si>
    <t>Kardiomiopati obstruktif hipertrofi, takiaritmia. Hipersensitif terhadap senyawa yang menyerupai atropin.</t>
  </si>
  <si>
    <t>HARUS DENGAN RESEP DOKTER. Pasien diabetes melitus dengan metabolisme tak stabil, infark miokard yang baru saja terjadi, gangguan jantung organik berat atau gangguan vaskular, glaukoma sudut sempit, hipertiroid. Anak.</t>
  </si>
  <si>
    <t>pencegahan pengobatan gejala obstruksi saluran nafas khronik bronkhospasme reversibel , asma bronkhial bronkhitis khronik emfisema  terapi bersamaan anti inflamasi dipertimbangkan pasien a</t>
  </si>
  <si>
    <t>berodual inhaler</t>
  </si>
  <si>
    <t>berodual inhaler spray fenoterol hydrobromide pencegahan pengobatan gejala obstruksi saluran nafas khronik bronkhospasme reversibel  asma bronkhial bronkhitis khronik emfisema  terapi bersamaan anti inflamasi dipertimbangkan pasien a</t>
  </si>
  <si>
    <t>succus liquiritiae paracetamol ammonium chloride pseudoephedrine hydrochloride chlorphenamine maleate</t>
  </si>
  <si>
    <t>obh combi plus batuk flu madu sirup succus liquiritiae paracetamol ammonium chloride pseudoephedrine hydrochloride chlorphenamine maleate meredakan batuk disertai demam  sakit kepala  hidung tersumbat bersin  bersin</t>
  </si>
  <si>
    <t>DBL8511602633B1</t>
  </si>
  <si>
    <t>Plantacid Forte Suspensi 100 ml</t>
  </si>
  <si>
    <t>Dewasa : 3-4 kali sehari 5-10 mL. Anak-anak 6-12 tahun : 3-4 kali sehari 2.5-5 mL. Diberikan 1-2 jam setelah makan dan menjelang tidur.</t>
  </si>
  <si>
    <t>Mengurangi gejala-gejala yang berhubungan dengan kelebihan asam lambung, tukak lambung, tukak usus 12 jari dengan gejala seperti mual dan kembung.</t>
  </si>
  <si>
    <t>Penderita yang hipersensitif terhadap aluminium, magnesium, simethicone. Penderita dengan gangguan fungsi ginjal yang berat karena dapat menimbulkan hipermagnesemia (kadar magnesium dalam darah meningkat).</t>
  </si>
  <si>
    <t>Penderita gangguan fungsi ginjal. Penggunaan terus menerus (lebih dari 2 minggu) tidak dianjurkan (kecuali atas petunjuk dokter). Pemberian bersama dengan obat tetracycline atau cimetidine per oral harus dengan interval 2 jam. Tidak dianjurkan untuk anak-anak dibawah 6 tahun, dan hati-hati diberikan pada penderita dengan diet rendah phospor dan pemakaian yang lama.</t>
  </si>
  <si>
    <t>mengurangi gejala - gejala berhubungan kelebihan asam lambung , tukak lambung , tukak usus 12 jari gejala mual kembung</t>
  </si>
  <si>
    <t>plantacid forte</t>
  </si>
  <si>
    <t>plantacid forte suspensi dried aluminium hydroxide gel magnesium hydroxide simethicone mengurangi gejala  gejala berhubungan kelebihan asam lambung  tukak lambung  tukak usus 12 jari gejala mual kembung</t>
  </si>
  <si>
    <t>GE100 Blood Glucose Monitoring System</t>
  </si>
  <si>
    <t>Rp682.500 - Rp715.000</t>
  </si>
  <si>
    <t>Alat pengukur kadar gula darah yang mudah digunakan. Alat ini dapat mengukur dengan hanya membutuhkan sedikit sample darah dan memiliki tingkat akurasi yang tinggi dalam hasil pengukuran 5 detik</t>
  </si>
  <si>
    <t>alat pengukur kadar gula darah mudah  alat mengukur membutuhkan sample darah memiliki tingkat akurasi hasil pengukuran 5 detik</t>
  </si>
  <si>
    <t>ge blood glucose monitoring system</t>
  </si>
  <si>
    <t>ge blood glucose monitoring system tablet pioglitazone hydrochloride alat pengukur kadar gula darah mudah  alat mengukur membutuhkan sample darah memiliki tingkat akurasi hasil pengukuran 5 detik</t>
  </si>
  <si>
    <t>DTL0632401040A1</t>
  </si>
  <si>
    <t>Sanorine Biru 0.025% Gargle 200 ml</t>
  </si>
  <si>
    <t>Rp14.000 - Rp25.600</t>
  </si>
  <si>
    <t>Mencegah luka2 dalam mulut, Gingivitis/ radang gusi &amp; penumpukan plak. Membantu regenerasi jaringan lunak. Terapi luka2 dalam mulut akibat trauma yang disebabkan oleh kawat gigi</t>
  </si>
  <si>
    <t>Liquid 0.025% x 200 mL x 1</t>
  </si>
  <si>
    <t>Jangan ditelan ,hanya untuk kumur-kumur</t>
  </si>
  <si>
    <t>mencegah luka2 mulut , gingivitis radang gusi penumpukan plak  membantu regenerasi jaringan lunak  terapi luka2 mulut akibat trauma disebabkan kawat gigi</t>
  </si>
  <si>
    <t>sanorine biru gargle</t>
  </si>
  <si>
    <t>sanorine biru gargle larutan sodium hyaluronate mencegah luka2 mulut  gingivitis radang gusi penumpukan plak  membantu regenerasi jaringan lunak  terapi luka2 mulut akibat trauma disebabkan kawat gigi</t>
  </si>
  <si>
    <t>trodex kaplet dexamethasone dexchlorpheniramine maleate hay fever berat  asma bronkhial khronik  rinitis alergi  dermatitis atopik kontak  reaksi obat  serum sickness  konjungtivitis alergi  keratitis gangguan peradangan okular</t>
  </si>
  <si>
    <t>DKL0913705109A1</t>
  </si>
  <si>
    <t>Anfix 200 mg 10 Kaplet</t>
  </si>
  <si>
    <t>Rp327.800 - Rp342.000</t>
  </si>
  <si>
    <t>anfix</t>
  </si>
  <si>
    <t>anfix kaplet cefixime trihydrate infeksi saluran kemih komplikasi  otitis medium  radang rongga gendang telinga  faringitis tonsilitis  bronkhitis akut kronis eksaserbasi kumatnya penyakit gejala penyakit mendadak akut</t>
  </si>
  <si>
    <t>cefspan kapsul cefixime trihydrate infeksi saluran kemih komplikasi  otitis medium  radang rongga gendang telinga  faringitis tonsilitis  bronkhitis akut kronis eksaserbasi kumatnya penyakit gejala penyakit mendadak akut</t>
  </si>
  <si>
    <t>DKL1640500401A1</t>
  </si>
  <si>
    <t>Befixim 100 mg 6 Kapsul</t>
  </si>
  <si>
    <t>Rp25.000 - Rp27.500</t>
  </si>
  <si>
    <t>befixim</t>
  </si>
  <si>
    <t>befixim kapsul cefixime trihydrate infeksi saluran kemih komplikasi  otitis medium  radang rongga gendang telinga  faringitis tonsilitis  bronkhitis akut kronis eksaserbasi kumatnya penyakit gejala penyakit mendadak akut</t>
  </si>
  <si>
    <t>glucovance tablet metformin hydrochloride glibenclamide sebagai terapi lini  2 diet  olahraga  pengobatan sulfonylurea metformin tidak menghasilkan kontrol glikemik memadai pasien diabetes tipe 2 hba 1c 8</t>
  </si>
  <si>
    <t>dextamine kaplet dexamethasone dexchlorpheniramine maleate hay fever berat  asma bronkhial khronik  rinitis alergi  dermatitis atopik kontak  reaksi obat  serum sickness  konjungtivitis alergi  keratitis gangguan peradangan okular</t>
  </si>
  <si>
    <t>DKL0309214029A1</t>
  </si>
  <si>
    <t>Orsaderm Cream 5 gr</t>
  </si>
  <si>
    <t>Rp4.100 - Rp7.000</t>
  </si>
  <si>
    <t>Oleskan pada daerah radang</t>
  </si>
  <si>
    <t>PENGGUNAAN OBAT INI HARUS SESUAI DENGAN PETUNJUK DOKTER. 2-3 x sehari</t>
  </si>
  <si>
    <t>Antiinflamasi kortikosteroid, pengobatan jangka pendek penyakit kulit yang resisten seperti psoriasis, eksim, lichen simplek, liken planus serta inflamasi dan gatal-gatal dari dermatosis yang responsif terhadap kortikosteroid.</t>
  </si>
  <si>
    <t>Pasien yang memiliki riwayat hipersensitif pada betamethasone dan obat golongan kortikosteroid lainnya, tidak boleh diberikan untuk orang-orang yang menerima vaksinasi, penderita infeksi varisela, penderita TB kulit, dan penderita infeksi jamur dan virus.</t>
  </si>
  <si>
    <t>Obat Wajib Apotek, Obat ini dapat dibeli dan diserahkan apoteker tanpa resep dengan maksimum 1 Tube. Pembelian melebihi batas ini WAJIB RESEP DOKTER. Setelah diberikan obat, kulit jangan ditutup rapat dengan kasa pembalut. Jangan menggunakan obat ini terus menerus dalam jangka lama, karena dapat menyebabkan superinfeksi. Meskipun obat ini digunakan secara topikal, hati-hati menggunakan obat ini untuk wanita hamil dan ibu menyusui. Hal ini karena, komponen obat ini diketahui berefek buruk terhadap perkembangan janin, terutama pertumbuhan tulang. Dengan alasan yang sama, hindari menggunakan obat ini untuk anak di bawah usia 2 tahun. Segera hentikan pemakaian obat jika terjadi iritasi atau gejala hipersensitifitas lainnya. Hindari kontak dengan mata.</t>
  </si>
  <si>
    <t>antiinflamasi kortikosteroid , pengobatan jangka pendek penyakit kulit resisten psoriasis , eksim , lichen simplek , liken planus inflamasi gatal - gatal dermatosis responsif kortikosteroid</t>
  </si>
  <si>
    <t>orsaderm cream gr</t>
  </si>
  <si>
    <t>orsaderm cream gr krim betamethasone valerate antiinflamasi kortikosteroid  pengobatan jangka pendek penyakit kulit resisten psoriasis  eksim  lichen simplek  liken planus inflamasi gatal  gatal dermatosis responsif kortikosteroid</t>
  </si>
  <si>
    <t>DTL1009220628A1</t>
  </si>
  <si>
    <t>Megatic Gel 20 gr</t>
  </si>
  <si>
    <t>Rp23.000 - Rp25.400</t>
  </si>
  <si>
    <t>Mengurangi nyeri, gangguan inflamasi (radang), nyeri ringan sampai sedang pasca trauma pada tendon, ligamen, otot dan persendian, mengurangi rasa sakit pada penderita (rematik) arthritis, rheumatoid arthritis, dan osteoarthritis.</t>
  </si>
  <si>
    <t>Pasien yang alergi terhadap diclofenac, memiliki riwayat reaksi alergi (bronkospasme, shock, rhinitis, urtikaria) setelah penggunaan aspirin atau NSAID lainnya (misalnya, ibuprofen, celecoxib).</t>
  </si>
  <si>
    <t>HARUS DENGAN RESEP DOKTER. Pengobatan harus dihentikan jika tanda-tanda seperti ruam atau hipersensitivitas muncul.</t>
  </si>
  <si>
    <t>mengurangi nyeri , gangguan inflamasi radang , nyeri ringan pasca trauma tendon , ligamen , otot persendian , mengurangi sakit penderita rematik arthritis , rheumatoid arthritis , osteoarthritis</t>
  </si>
  <si>
    <t>megatic gr</t>
  </si>
  <si>
    <t>megatic gr gel diclofenac diethylamine mengurangi nyeri  gangguan inflamasi radang  nyeri ringan pasca trauma tendon  ligamen  otot persendian  mengurangi sakit penderita rematik arthritis  rheumatoid arthritis  osteoarthritis</t>
  </si>
  <si>
    <t>DKI1467508817B1</t>
  </si>
  <si>
    <t>Galvusmet 50 mg/850 mg 10 Tablet</t>
  </si>
  <si>
    <t>Rp105.700 - Rp105.800</t>
  </si>
  <si>
    <t>Diminum pagi dan sore, dengan atau tanpa makanan</t>
  </si>
  <si>
    <t>PENGGUNAAN OBAT INI HARUS SESUAI DENGAN PETUNJUK DOKTER. Dewasa : 2 kali sehari 1 tablet (pagi dan sore). Dosis harian anjuran : 100 mg vildagliptin/2000 mg metformin HCl</t>
  </si>
  <si>
    <t>INFORMASI OBAT INI HANYA UNTUK KALANGAN MEDIS. Tambahan terhadap diet dan olahraga untuk memperbaiki kontrol glukosa darah pada pasien DM tipe 2 yang tidak dapat dikendalikan dengan metformin HCl atau vildagliptin saja atau pasien DM yang sebelumnya telah diterapi dengan kombinasi vildagliptin dan metformin</t>
  </si>
  <si>
    <t>Kegagalan atau gangguan fungsi ginjal (bersihan kreatinin &lt;60 mL/menit), gagal jantung kongestif, ketoasidosis diabetikum, asidosis metabolik akut atau kronik termasuk ketoasidosis diabetikum dengan atau tanpa koma, pemberian intravaskular dari zat kontra</t>
  </si>
  <si>
    <t>HARUS DENGAN RESEP DOKTER. Komplikasi diabetes pada kulit, asidosis laktat, gangguan ginjal, hipoksia, hipoglikemia, konsumsi alkohol, pembedahan, lanjut usia, pasien dalam kondisi lemah fisik atau malnutrisi</t>
  </si>
  <si>
    <t>tambahan diet olahraga memperbaiki kontrol glukosa darah pasien dm tipe 2 tidak dikendalikan metformin hcl vildagliptin pasien dm diterapi kombinasi vildagliptin metformin</t>
  </si>
  <si>
    <t>galvusmet</t>
  </si>
  <si>
    <t>galvusmet tablet metformin hydrochloride tambahan diet olahraga memperbaiki kontrol glukosa darah pasien dm tipe 2 tidak dikendalikan metformin hcl vildagliptin pasien dm diterapi kombinasi vildagliptin metformin</t>
  </si>
  <si>
    <t>paracetamol guaifenesin phenylephrine hydrochloride bromhexine hydrochloride</t>
  </si>
  <si>
    <t>bodrex flu dan batuk berdahak pe kaplet paracetamol guaifenesin phenylephrine hydrochloride bromhexine hydrochloride meredakan gejala flu demam  sakit kepala  hidung tersumbat bersin  bersin disertai batuk berdahak</t>
  </si>
  <si>
    <t>QD121710911</t>
  </si>
  <si>
    <t>Fleximuv Cream 30 gr</t>
  </si>
  <si>
    <t>- Celadrin Oil 2. 25 g mengandung/contains Cetylated fatty ester complex (CFEC)</t>
  </si>
  <si>
    <t>Rp109.300 - Rp144.700</t>
  </si>
  <si>
    <t>Oleskan tipis-tipis pada daerah yang sakit</t>
  </si>
  <si>
    <t>Oleskan 3-4x sehari</t>
  </si>
  <si>
    <t>Membantu meredakan nyeri dan pegal-pegal pada otot dan sendi, membantu mengurangi nyeri pada inflamasi</t>
  </si>
  <si>
    <t>Alergi pada komponen obat</t>
  </si>
  <si>
    <t>celadrin oil 2 25 g mengandung/contains cetylated fatty ester complex (cfec)</t>
  </si>
  <si>
    <t>membantu meredakan nyeri pegal - pegal otot sendi , membantu mengurangi nyeri inflamasi</t>
  </si>
  <si>
    <t>fleximuv cream gr</t>
  </si>
  <si>
    <t>fleximuv cream gr krim celadrin oil 2 25 g mengandungcontains cetylated fatty ester complex cfec membantu meredakan nyeri pegal  pegal otot sendi  membantu mengurangi nyeri inflamasi</t>
  </si>
  <si>
    <t>DKL9622218217B1</t>
  </si>
  <si>
    <t>Valemia 10 mg 6 Tablet</t>
  </si>
  <si>
    <t>Rp51.100 - Rp82.300</t>
  </si>
  <si>
    <t>INFORMASI OBAT INI HANYA UNTUK KALANGAN MEDIS. Menurunkan kadar tinggi kolesterol Total &amp; LDL pada Hiperkolesterolemia primer dimana respon terhadap diet dan terapi non-farmakologi lainnya tidak adekuat, menurunkan kadar tinggi LDL kolesterrol pada penderita dengan kombinasi Hiperkolesterolemia &amp; Hi</t>
  </si>
  <si>
    <t>HARUS DENGAN RESEP DOKTER. Riwayat penyakit hati, konsumsi alkohol. Kategori kehamilan: Kategori X :Terdapat hasil penelitian terhadap hewan uji dan manusia yang memperlihatkan abnormalitas terhadap janin. Obat ini dikontraindikasikan untuk wanita hamil dan yang berkemungkinan untuk hamil.</t>
  </si>
  <si>
    <t>menurunkan kadar kolesterol total ldl hiperkolesterolemia primer dimana respon diet terapi non - farmakologi tidak adekuat , menurunkan kadar ldl kolesterrol penderita kombinasi hiperkolesterolemia hi</t>
  </si>
  <si>
    <t>valemia tablet simvastatin menurunkan kadar kolesterol total ldl hiperkolesterolemia primer dimana respon diet terapi non  farmakologi tidak adekuat  menurunkan kadar ldl kolesterrol penderita kombinasi hiperkolesterolemia hi</t>
  </si>
  <si>
    <t>DKL1340701838A1</t>
  </si>
  <si>
    <t>Pharmafix Dry Sirup 30 ml</t>
  </si>
  <si>
    <t>Rp34.900 - Rp61.500</t>
  </si>
  <si>
    <t>pharmafix</t>
  </si>
  <si>
    <t>pharmafix sirup cefixime trihydrate infeksi saluran kemih komplikasi  otitis medium  radang rongga gendang telinga  faringitis tonsilitis  bronkhitis akut kronis eksaserbasi kumatnya penyakit gejala penyakit mendadak akut</t>
  </si>
  <si>
    <t>DKL1102344538A1</t>
  </si>
  <si>
    <t>Zistic Dry Sirup 200 mg/5 ml 15 ml</t>
  </si>
  <si>
    <t>Rp114.300 - Rp128.100</t>
  </si>
  <si>
    <t>PENGGUNAAN OBAT INI HARUS SESUAI DENGAN PETUNJUK DOKTER. Berat 15 - 25 : - Pemakaian 3 hari : 200 mg (5 ml) 1 x sehari, pada hari 1 - 3. Pemakaian 5 hari : 200 mg (5 ml) 1 x sehari pada hari 1, selanjutnya 100 mg (2,5 ml), 1 x sehari pada hari 2 - 5. Berat 26 - 35 : Pemakaian 3 hari : 300 mg (7,5 ml) 1 x sehari, pada hari 1 - 3. Pemakaian 5 hari : 300 mg (7,5 ml) l x sehari pada hari 1, selanjutnya 150 mg (3.75ml) 1 x sehari pada hari 2 - 5. Berat 36 - 45 : Pemakaian 3 hari : 400 mg (10 ml) 1 x sehari, pada hari 1 - 3. Pemakaian 5 hari : 400 mg (10 ml) 1 x sehari pada hari 1, selanjutnya 200 mg (5 ml) 1 x sehari pada hari 2 - 5. Berat &gt; 45 : Sesuai dosis untuk dewasa</t>
  </si>
  <si>
    <t>Infeksi saluran pernafasan bagian atas &amp; bawah, infeksi kulit &amp; jaringan lunak. Uretritis non-gonokokal (radang aliran kandung kemih yang bukan disebabkan oleh gonococcus) &amp; servisitis (radang leher rahim) yang disebabkan oleh Chlamydia trachomatis.</t>
  </si>
  <si>
    <t>Botol, Sirup Kering 200 Mg / 5 ml X 15 ml X 1</t>
  </si>
  <si>
    <t>infeksi saluran pernafasan , infeksi kulit jaringan lunak  uretritis non - gonokokal radang aliran kandung kemih disebabkan gonococcus servisitis radang leher rahim disebabkan chlamydia trachomatis</t>
  </si>
  <si>
    <t>zistic sirup azithromycin infeksi saluran pernafasan  infeksi kulit jaringan lunak  uretritis non  gonokokal radang aliran kandung kemih disebabkan gonococcus servisitis radang leher rahim disebabkan chlamydia trachomatis</t>
  </si>
  <si>
    <t>bufacaryl kaplet dexchlorpheniramine maleate dexamethasone hay fever berat  asma bronkhial khronik  rinitis alergi  dermatitis atopik kontak  reaksi obat  serum sickness  konjungtivitis alergi  keratitis gangguan peradangan okular</t>
  </si>
  <si>
    <t>DKL9505015510A2</t>
  </si>
  <si>
    <t>Glucodex 80 mg 10 Tablet</t>
  </si>
  <si>
    <t>glucodex</t>
  </si>
  <si>
    <t>glucodex tablet gliclazide diabetes melitus tipe 2 non  insulin  dependent type ii diabetes melitus niddm dimana kadar glukosa darah tidak dikontrol diet  olahraga  penuru berat badan</t>
  </si>
  <si>
    <t>DKL1033521838A1</t>
  </si>
  <si>
    <t>Nixaven Dry Syrup 100 mg/5 ml 30 ml</t>
  </si>
  <si>
    <t>Rp111.400 - Rp113.700</t>
  </si>
  <si>
    <t>nixaven</t>
  </si>
  <si>
    <t>nixaven sirup cefixime trihydrate infeksi saluran kemih komplikasi  otitis medium  radang rongga gendang telinga  faringitis tonsilitis  bronkhitis akut kronis eksaserbasi kumatnya penyakit gejala penyakit mendadak akut</t>
  </si>
  <si>
    <t>camphor clioquinol hydrocortisone</t>
  </si>
  <si>
    <t>visancort cream krim camphor clioquinol hydrocortisone dermatitis kontak atopik  dermatitis ekzematous  jerawat berisi ah  urtikaria  neuro  dermatitis  likhen simplex khronik  pruritus  folikulitis  dermatosis bakterial mikotik  intertrigo</t>
  </si>
  <si>
    <t>DKL2133550481B1</t>
  </si>
  <si>
    <t>Destavell 2.5 mg ODT 10 Tablet</t>
  </si>
  <si>
    <t>Rp43.000 - Rp49.800</t>
  </si>
  <si>
    <t>PENGGUNAAN OBAT INI HARUS SESUAI DENGAN PETUNJUK DOKTER. Dewasa : 2 x sehari 1 tablet, Anak usia 6-11 tahun 2 x sehari 1/2 tablet, anak usia 6-11 bulan 1 mg/hari, anak usia 1-2,5 tahun 1,25 mg/hari.</t>
  </si>
  <si>
    <t>INFORMASI OBAT INI HANYA UNTUK KALANGAN MEDIS. Meredakan Alergi Rinitis Nasal &amp; non-Nasal (termasuk alergi Rinitis intermiten/sewaktu &amp; persisten/terus-menerus), meredakan gejala Pruritus, mengurangi jumlah &amp; luasnya area Hives pada pasien dengan Urtikaria khronik idiopathik.</t>
  </si>
  <si>
    <t>Dus, 3 Strip @ 10 Orally Disintegrating Tablet</t>
  </si>
  <si>
    <t>destavell odt</t>
  </si>
  <si>
    <t>destavell odt odf desloratadine meredakan alergi rinitis nasal non  nasal alergi rinitis intermiten persisten  menerus  meredakan gejala pruritus  mengurangi luasnya area hives pasien urtikaria khronik idiopathik</t>
  </si>
  <si>
    <t>DKL8722208010A1</t>
  </si>
  <si>
    <t>Glukolos 80 mg 10 Tablet</t>
  </si>
  <si>
    <t>glukolos</t>
  </si>
  <si>
    <t>glukolos tablet gliclazide diabetes melitus tipe 2 non  insulin  dependent type ii diabetes melitus niddm dimana kadar glukosa darah tidak dikontrol diet  olahraga  penuru berat badan</t>
  </si>
  <si>
    <t>DKL1604524910A1</t>
  </si>
  <si>
    <t>Diamicron 80 mg 10 Tablet</t>
  </si>
  <si>
    <t>Rp23.800 - Rp49.800</t>
  </si>
  <si>
    <t>Dus, 12 Strip @ 10 Tablet</t>
  </si>
  <si>
    <t>diamicron</t>
  </si>
  <si>
    <t>diamicron tablet gliclazide diabetes melitus tipe 2 non  insulin  dependent type ii diabetes melitus niddm dimana kadar glukosa darah tidak dikontrol diet  olahraga  penuru berat badan</t>
  </si>
  <si>
    <t>cefila sirup cefixime trihydrate infeksi saluran kemih komplikasi  otitis medium  radang rongga gendang telinga  faringitis tonsilitis  bronkhitis akut kronis eksaserbasi kumatnya penyakit gejala penyakit mendadak akut</t>
  </si>
  <si>
    <t>DKL9408001810A1</t>
  </si>
  <si>
    <t>Unalium 10 mg 20 Tablet</t>
  </si>
  <si>
    <t>Rp128.100 - Rp247.600</t>
  </si>
  <si>
    <t>PENGGUNAAN OBAT INI HARUS SESUAI DENGAN PETUNJUK DOKTER. 10 mg sekali sehari sebelum tidur atau 5 mg pada pagi hari dan 5 mg sebelum tidur.</t>
  </si>
  <si>
    <t>Menghilangkan gejala-gejala kelainan sirkulasi perifer dan serebral dan gangguan vestibular seperti pusing, vertigo, kurang konsentrasi, gangguan ingatan, sifat lekas marah, gangguan ritme tidur, telinga berdengung, migren.</t>
  </si>
  <si>
    <t>Tablet 8 X 5</t>
  </si>
  <si>
    <t>HARUS DENGAN RESEP DOKTER. Sebaik nya tidak mengemudi atau menjalankan mesin. Keamanan untuk anak, ibu hamil dan menyusui belumdi ketahui.</t>
  </si>
  <si>
    <t>menghilangkan gejala - gejala kelainan sirkulasi perifer serebral gangguan vestibular pusing , vertigo , konsentrasi , gangguan ingatan , sifat lekas marah , gangguan ritme tidur , telinga berdengung , migren</t>
  </si>
  <si>
    <t>unalium</t>
  </si>
  <si>
    <t>unalium tablet flunarizine menghilangkan gejala  gejala kelai sirkulasi perifer serebral gangguan vestibular pusing  vertigo  konsentrasi  gangguan ingatan  sifat lekas marah  gangguan ritme tidur  telinga berdengung  migren</t>
  </si>
  <si>
    <t>DKL0921624701C1</t>
  </si>
  <si>
    <t>Fixiphar 200 mg 10 Kapsul</t>
  </si>
  <si>
    <t>Rp317.500 - Rp570.500</t>
  </si>
  <si>
    <t>fixiphar kapsul cefixime trihydrate infeksi saluran kemih komplikasi  otitis medium  radang rongga gendang telinga  faringitis tonsilitis  bronkhitis akut kronis eksaserbasi kumatnya penyakit gejala penyakit mendadak akut</t>
  </si>
  <si>
    <t>DKL0719612938A1</t>
  </si>
  <si>
    <t>Lanfix Dry Syrup 30 ml</t>
  </si>
  <si>
    <t>Rp125.000 - Rp135.100</t>
  </si>
  <si>
    <t>lanfix sirup cefixime trihydrate infeksi saluran kemih komplikasi  otitis medium  radang rongga gendang telinga  faringitis tonsilitis  bronkhitis akut kronis eksaserbasi kumatnya penyakit gejala penyakit mendadak akut</t>
  </si>
  <si>
    <t>DKL8918807210A1</t>
  </si>
  <si>
    <t>Pedab 80 mg 10 Tablet</t>
  </si>
  <si>
    <t>Rp11.400 - Rp19.300</t>
  </si>
  <si>
    <t>pedab</t>
  </si>
  <si>
    <t>pedab tablet gliclazide diabetes melitus tipe 2 non  insulin  dependent type ii diabetes melitus niddm dimana kadar glukosa darah tidak dikontrol diet  olahraga  penuru berat badan</t>
  </si>
  <si>
    <t>DKL0021624701B1</t>
  </si>
  <si>
    <t>Fixiphar 100 mg 10 Kapsul</t>
  </si>
  <si>
    <t>Rp148.200 - Rp248.900</t>
  </si>
  <si>
    <t>DKL0435302738A1</t>
  </si>
  <si>
    <t>Cefarox Dry Sirup 30 ml</t>
  </si>
  <si>
    <t>Rp64.100 - Rp113.800</t>
  </si>
  <si>
    <t>cefarox</t>
  </si>
  <si>
    <t>cefarox sirup cefixime trihydrate infeksi saluran kemih komplikasi  otitis medium  radang rongga gendang telinga  faringitis tonsilitis  bronkhitis akut kronis eksaserbasi kumatnya penyakit gejala penyakit mendadak akut</t>
  </si>
  <si>
    <t>DKL0435302601A1</t>
  </si>
  <si>
    <t>Cefarox 100 mg 10 Kapsul</t>
  </si>
  <si>
    <t>Rp248.700 - Rp270.200</t>
  </si>
  <si>
    <t>cefarox kapsul cefixime trihydrate infeksi saluran kemih komplikasi  otitis medium  radang rongga gendang telinga  faringitis tonsilitis  bronkhitis akut kronis eksaserbasi kumatnya penyakit gejala penyakit mendadak akut</t>
  </si>
  <si>
    <t>TR092304011</t>
  </si>
  <si>
    <t>Sido Muncul Nature Blessing Hemoroa 30 Kapsul</t>
  </si>
  <si>
    <t>HEMOROA</t>
  </si>
  <si>
    <t>Rp59.700 - Rp72.200</t>
  </si>
  <si>
    <t>Untuk susah buang air besar: 1 kapsul sehari. Untuk wasir : 1 kapsul 3 kali sehari</t>
  </si>
  <si>
    <t>Membantu menjaga kesehatan fungsi hati untuk kesehatan funpencernaan, dan iritasi usus. Temulawak juga mengandung antioksidan dan imunostimulator/modulator yang bermanfaat untuk kesehatan.gsi hati, gangguan</t>
  </si>
  <si>
    <t>Tidak dianjurkan konsumsi bersama dengan obat pengencer darah (acetaminofen)</t>
  </si>
  <si>
    <t>hemoroa</t>
  </si>
  <si>
    <t>membantu menjaga kesehatan fungsi hati kesehatan funpencernaan , iritasi usus  temulawak mengandung antioksidan imunostimulator modulator bermanfaat kesehatan  gsi hati , gangguan</t>
  </si>
  <si>
    <t>sido muncul nature blessing hemoroa</t>
  </si>
  <si>
    <t>sido muncul nature blessing hemoroa kapsul hemoroa membantu menjaga kesehatan fungsi hati kesehatan funpencernaan  iritasi usus  temulawak mengandung antioksidan imunostimulator modulator bermanfaat kesehatan  gsi hati  gangguan</t>
  </si>
  <si>
    <t>symbicort turbuhaler dosis powder budesonide formoterol fumarate dihydrate terapi reguler asma dimana kombinasi inhalasi kortikosteroid agonis  beta2 long acting sesuai  terapi ppok berat riwayat exaserbasi berulang</t>
  </si>
  <si>
    <t>Taxime 100 mg 10 Kapsul</t>
  </si>
  <si>
    <t>DKL0604216401B1</t>
  </si>
  <si>
    <t>Fixatic 100 mg 6 Kapsul</t>
  </si>
  <si>
    <t>Rp129.700 - Rp130.900</t>
  </si>
  <si>
    <t>fixatic</t>
  </si>
  <si>
    <t>fixatic kapsul cefixime trihydrate infeksi saluran kemih komplikasi  otitis medium  radang rongga gendang telinga  faringitis tonsilitis  bronkhitis akut kronis eksaserbasi kumatnya penyakit gejala penyakit mendadak akut</t>
  </si>
  <si>
    <t>Laxadine Emulsi 110 ml</t>
  </si>
  <si>
    <t>Rp68.300 - Rp85.800</t>
  </si>
  <si>
    <t>Diminum sekali sehari pada malam hari menjelang tidur</t>
  </si>
  <si>
    <t>Dewasa: 3-6 sendok takar Anak 6-12 tahun: 1/2 dosis dewasa (1 sendok takar = 5 ml)</t>
  </si>
  <si>
    <t>Diberikan pada keadaan konstipasi yang memerlukan: - perbaikan peristaltik - pelicin jalannya faeces- penambahan volume faeces secara sistematis sehingga faeces mudah dikeluarkan. Persiapan menjelang tindakan radiologis dan operasi</t>
  </si>
  <si>
    <t>diberikan konstipasi - perbaikan peristaltik - pelicin jalannya faeces - penambahan volume faeces sistematis faeces mudah dikeluarkan  persiapan menjelang tindakan radiologis operasi</t>
  </si>
  <si>
    <t>laxadine emulsi sirup paraffin  liquid glycerol phenolphthalein diberikan konstipasi  perbaikan peristaltik  pelicin jalannya faeces  penambahan volume faeces sistematis faeces mudah dikeluarkan  persiapan menjelang tindakan radiologis operasi</t>
  </si>
  <si>
    <t>DKL9731516038A1</t>
  </si>
  <si>
    <t>Fixacep Dry Sirup 30 ml</t>
  </si>
  <si>
    <t>Rp84.600 - Rp113.700</t>
  </si>
  <si>
    <t>fixacep</t>
  </si>
  <si>
    <t>fixacep sirup cefixime trihydrate infeksi saluran kemih komplikasi  otitis medium  radang rongga gendang telinga  faringitis tonsilitis  bronkhitis akut kronis eksaserbasi kumatnya penyakit gejala penyakit mendadak akut</t>
  </si>
  <si>
    <t>DKL9615609638A1</t>
  </si>
  <si>
    <t>Nikolam Dry Syrup 125 mg/5 ml 60 ml</t>
  </si>
  <si>
    <t>Rp29.700 - Rp31.300</t>
  </si>
  <si>
    <t>PENGGUNAAN OBAT INI HARUS SESUAI DENGAN PETUNJUK DOKTER. Dewasa: 20 ml 3 kali sehari Anak-anak &amp; bayi usia &gt; 2 minggu: 10 ml 4 kali sehari Bayi usia &lt; 2 minggu &amp; bayi prematur: 5 ml 4 kali sehari</t>
  </si>
  <si>
    <t>Untuk infeksi-infeksi yang disebabkan oleh: 1. Salmonella spp. 2. H. influenzae (hanya infeksi meningeal). 3. Rickettsia. 4. Lymphogranuloma-Psittacosis. 5. Gram negatif yang menyebabkan bakteremia dan meningitis.</t>
  </si>
  <si>
    <t>Penderita yang hipersensitif. Wanita hamil dan menyusui. Penderita dengan gangguan fungsi hati yang berat.</t>
  </si>
  <si>
    <t>HARUS DENGAN RESEP DOKTER. Hanya digunakan untuk infeksi yang sudah jelas penyebabnya. Hati-hati bila digunakan pada penderita gangguan hati dan ginjal. Hindari pemakaian untuk jangka panjang, bila diperlukan maka harus dilakukan pemeriksaan hematologik secara berkala. Perlu dilakukan pengawasan terhadap kemungkinan timbulnya superinfeksi dengan bakteri dan jamur. Jangan digunakan untuk pencegahan infeksi. Jangan digunakan untuk mengobati influenxa, batuk pilek atau infeksi tenggorokan. Hati-hati bila digunakan pada bayi prematur dan bayi baru lahir (2 minggu pertama).</t>
  </si>
  <si>
    <t>untuk infeksi - infeksi disebabkan 1  salmonella spp  2  h  influenzae infeksi meningeal  3  rickettsia  4  lymphogranuloma - psittacosis  5  gram negatif menyebabkan bakteremia meningitis</t>
  </si>
  <si>
    <t>nikolam sirup thiamphenicol untuk infeksi  infeksi disebabkan 1  salmonella spp  2  h  influenzae infeksi meningeal  3  rickettsia  4  lymphogranuloma  psittacosis  5  gram negatif menyebabkan bakteremia meningitis</t>
  </si>
  <si>
    <t>DKL1632406409A1</t>
  </si>
  <si>
    <t>Cefacef 200 mg 10 Kaplet</t>
  </si>
  <si>
    <t>Rp330.200 - Rp370.900</t>
  </si>
  <si>
    <t>cefacef kaplet cefixime trihydrate infeksi saluran kemih komplikasi  otitis medium  radang rongga gendang telinga  faringitis tonsilitis  bronkhitis akut kronis eksaserbasi kumatnya penyakit gejala penyakit mendadak akut</t>
  </si>
  <si>
    <t>Fixiphar Dry Sirup 100 ml/5 ml 30 ml</t>
  </si>
  <si>
    <t>Rp79.000 - Rp100.000</t>
  </si>
  <si>
    <t>cefspan sirup cefixime trihydrate infeksi saluran kemih komplikasi  otitis medium  radang rongga gendang telinga  faringitis tonsilitis  bronkhitis akut kronis eksaserbasi kumatnya penyakit gejala penyakit mendadak akut</t>
  </si>
  <si>
    <t>DKL1009219801A1</t>
  </si>
  <si>
    <t>Helixim 100 mg 10 Kapsul</t>
  </si>
  <si>
    <t>Rp18.100 - Rp40.300</t>
  </si>
  <si>
    <t>helixim</t>
  </si>
  <si>
    <t>helixim kapsul cefixime trihydrate infeksi saluran kemih komplikasi  otitis medium  radang rongga gendang telinga  faringitis tonsilitis  bronkhitis akut kronis eksaserbasi kumatnya penyakit gejala penyakit mendadak akut</t>
  </si>
  <si>
    <t>Sanorine Biru 0.025% Gargle 80 ml</t>
  </si>
  <si>
    <t>Rp7.100 - Rp12.800</t>
  </si>
  <si>
    <t>Botol @ 80 ml</t>
  </si>
  <si>
    <t>QD072707081</t>
  </si>
  <si>
    <t>Balpirik Extra Kuat (Merah) Balsam 20 g</t>
  </si>
  <si>
    <t>Rp8.100 - Rp14.200</t>
  </si>
  <si>
    <t>Dus, Pot Plastik @ 20 G</t>
  </si>
  <si>
    <t>balpirik extra kuat merah balsam</t>
  </si>
  <si>
    <t>balpirik extra kuat merah balsam balsam camphor balpirik membantu meredakan keseleo  encok  pegel linu nyeri otot  mengatasi pusing  mabuk perjala  pilek  gatal gigitan serangga masuk angin</t>
  </si>
  <si>
    <t>DKL9921013637A1</t>
  </si>
  <si>
    <t>Costil Sirup 60 ml</t>
  </si>
  <si>
    <t>Rp33.400 - Rp55.500</t>
  </si>
  <si>
    <t>PENGGUNAAN OBAT INI HARUS SESUAI DENGAN PETUNJUK DOKTER. Dewasa : 10 mg 3 kali sehari, Anak-anak 0,25 mg/kgBB 3 kali sehari. Dosis tambahan dapat diberikan sebelum tidur pada malam hari</t>
  </si>
  <si>
    <t>Keluhan gangguan pencernaan di lambung dan lambatnya evakuasi di saluran cerna, atau reflux esofagus akibat lambung yang penuh, atau bersendawa sehabis makan, mual &amp; muntah, sensasi panas pada lambung atau tenggorokan, cegukan</t>
  </si>
  <si>
    <t>HARUS DENGAN RESEP DOKTER. Penggunaan jangka panjang, pasein dengan gangguan fungsi hati, hamil trimester 1, dan menyusui. Bayi &lt; 1tahun.</t>
  </si>
  <si>
    <t>keluhan gangguan pencernaan lambung lambatnya evakuasi saluran cerna , reflux esofagus akibat lambung penuh , bersendawa sehabis makan , mual muntah , sensasi panas lambung tenggorokan , cegukan</t>
  </si>
  <si>
    <t>costil sirup domperidone keluhan gangguan pencernaan lambung lambatnya evakuasi saluran cerna  reflux esofagus akibat lambung penuh  bersendawa sehabis makan  mual muntah  sensasi panas lambung tenggorokan  cegukan</t>
  </si>
  <si>
    <t>neurobion forte tablet thiamine mononitrate pyridoxine hydrochloride cyanocobalamin obat defisiensi vitamin b1  b6  b12 kekurangan asupan  gangguan penyerapan  meningkatnya kehilangan ginjal meningkatnya kebutuhan penderita diabetes usia</t>
  </si>
  <si>
    <t>DKL9517611038A1</t>
  </si>
  <si>
    <t>Ceptik Dry Sirup 30 ml</t>
  </si>
  <si>
    <t>Rp157.300 - Rp160.600</t>
  </si>
  <si>
    <t>ceptik sirup cefixime trihydrate infeksi saluran kemih komplikasi  otitis medium  radang rongga gendang telinga  faringitis tonsilitis  bronkhitis akut kronis eksaserbasi kumatnya penyakit gejala penyakit mendadak akut</t>
  </si>
  <si>
    <t>DKL0022231660A1</t>
  </si>
  <si>
    <t>Blecidex Eye/Ear Drops 5 ml</t>
  </si>
  <si>
    <t>Rp70.000 - Rp70.600</t>
  </si>
  <si>
    <t>PENGGUNAAN OBAT INI HARUS SESUAI DENGAN PETUNJUK DOKTER. Untuk mata: 1-2 tetes pd tiap mata yg sakit, berikan tiap 1-2 jam selama 2-3 hr, lalu kurangi mjd 1-2 tetes 3-4 x/hr. Untuk telinga: 2 sampai 3 tetes pada telinga yang sakit. Diberikan 3 sampai 4 kali per hari.</t>
  </si>
  <si>
    <t>Terapi jangka pendek untuk gangguan mata yang responsif terhadap kortikosteroid yang membutuhkan juga profilaksis antibiotik. Radang kelopak mata (Blefaritis) non purulen. Radang telinga luar akut dan kronis.</t>
  </si>
  <si>
    <t>Herpes simpleks akut dan penyakit virus lain pada kornea dan konjungtiva, TBC pada mata, penyakit jamur pada mata, trakhoma, infeksi purulen akut pada mata</t>
  </si>
  <si>
    <t>HARUS DENGAN RESEP DOKTER. Kasus mata merah yang tidak diketahui penyebabnya. Hindari penggunaan jangka lama &gt;7 hari. Tidak boleh digunakan pada luka terbuka atau kulit yang mengalami kerusakan. Bayi dan anak kecil. Hipersensitivitas terhadap streptomicin (neomisin, paramomisin, ka</t>
  </si>
  <si>
    <t>dexamethasone sodium metasulfobenzoate</t>
  </si>
  <si>
    <t>terapi jangka pendek gangguan mata responsif kortikosteroid membutuhkan profilaksis antibiotik  radang kelopak mata blefaritis non purulen  radang telinga akut kronis</t>
  </si>
  <si>
    <t>blecidex eyeear</t>
  </si>
  <si>
    <t>blecidex eyeear tetes dexamethasone sodium metasulfobenzoate terapi jangka pendek gangguan mata responsif kortikosteroid membutuhkan profilaksis antibiotik  radang kelopak mata blefaritis non purulen  radang telinga akut kronis</t>
  </si>
  <si>
    <t>DKL9815613138A1</t>
  </si>
  <si>
    <t>Maxpro Dry Sirup 30 ml</t>
  </si>
  <si>
    <t>Rp86.100 - Rp110.300</t>
  </si>
  <si>
    <t>maxpro</t>
  </si>
  <si>
    <t>maxpro sirup cefixime trihydrate infeksi saluran kemih komplikasi  otitis medium  radang rongga gendang telinga  faringitis tonsilitis  bronkhitis akut kronis eksaserbasi kumatnya penyakit gejala penyakit mendadak akut</t>
  </si>
  <si>
    <t>Cap Ayam Minyak Kayu Putih 12 ml</t>
  </si>
  <si>
    <t>Rp7.100 - Rp8.100</t>
  </si>
  <si>
    <t>Membantu meringankan masuk angin, perut kembung, sakit kepala, pusing, gatal-gatal akibat gigitan serangga atau nyamuk, rasa mual</t>
  </si>
  <si>
    <t>membantu meringankan masuk angin , perut kembung , sakit kepala , pusing , gatal - gatal akibat gigitan serangga nyamuk , mual</t>
  </si>
  <si>
    <t>cap ayam kayu putih minyak minyak kayu putih cap ayam membantu meringankan masuk angin  perut kembung  sakit kepala  pusing  gatal  gatal akibat gigitan serangga nyamuk  mual</t>
  </si>
  <si>
    <t>DKL1333529809A1</t>
  </si>
  <si>
    <t>Respira 400 mg Tablet</t>
  </si>
  <si>
    <t>Rp41.000 - Rp42.800</t>
  </si>
  <si>
    <t>PENGGUNAAN OBAT INI HARUS SESUAI DENGAN PETUNJUK DOKTER. 400 mg/hari dengan lama pengobatan : eksaserbasi akut bronkhitis kronis : 5-10 hari, pneumonia yang didapat dari komunitas : 10 hari, sinusitis akut : 7 hari.</t>
  </si>
  <si>
    <t>Pengobatan pada orang dewasa berusia 18 tahun ke atas yang menderita infeksi seperti eksaserbasi (kambuhnya penyakit atau gejala penyakit secara mendadak) bakterial akut bronkhitis kronis, pneumonia yang didapat dari komunitas, sinusitis bakterial akut.</t>
  </si>
  <si>
    <t>Dus, 1 strip @ 10 kaplet</t>
  </si>
  <si>
    <t>pengobatan orang dewasa berusia 18 menderita infeksi eksaserbasi kambuhnya penyakit gejala penyakit mendadak bakterial akut bronkhitis kronis , pneumonia komunitas , sinusitis bakterial akut</t>
  </si>
  <si>
    <t>respira</t>
  </si>
  <si>
    <t>respira kaplet moxifloxacin hydrochloride pengobatan orang dewasa berusia 18 menderita infeksi eksaserbasi kambuhnya penyakit gejala penyakit mendadak bakterial akut bronkhitis kronis  pneumonia komunitas  sinusitis bakterial akut</t>
  </si>
  <si>
    <t>GTL0934008817A1</t>
  </si>
  <si>
    <t>Ibuprofen 200 mg 10 Tablet</t>
  </si>
  <si>
    <t>Rp3.500 - Rp3.700</t>
  </si>
  <si>
    <t>Dewasa: Dosis yang dianjurkan 200-250 mg 3-4 kali sehari. Osteoartritis, artritis reumatoid: 1200 mg ï¿½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</si>
  <si>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Nyeri ringan sampai sedang antara lain nyeri pada penyakit gigi atau pencabutan gigi, nyeri pasca bedah, sakit kepala, gejala artritis reumatoid, gejala osteoartritis, gejala juvenile artritis reumatoid, menurunkan demam pada anak.</t>
  </si>
  <si>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</si>
  <si>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ibuprofen tablet nyeri ringan nyeri penyakit gigi pencabutan gigi  nyeri pasca bedah  sakit kepala  gejala artritis reumatoid  gejala osteoartritis  gejala juvenile artritis reumatoid  menurunkan demam anak</t>
  </si>
  <si>
    <t>GKL0802340009A1</t>
  </si>
  <si>
    <t>Cefixime 200 mg 10 Kapsul</t>
  </si>
  <si>
    <t>Rp16.700 - Rp64.100</t>
  </si>
  <si>
    <t>cefixime kaplet cefixime trihydrate infeksi saluran kemih komplikasi  otitis medium  radang rongga gendang telinga  faringitis tonsilitis  bronkhitis akut kronis eksaserbasi kumatnya penyakit gejala penyakit mendadak akut</t>
  </si>
  <si>
    <t>Cap Ayam Minyak Kayu Putih 150 ml</t>
  </si>
  <si>
    <t>Rp69.000 - Rp75.900</t>
  </si>
  <si>
    <t>DKL9815612117B1</t>
  </si>
  <si>
    <t>Gavistal 10 mg 10 Tablet</t>
  </si>
  <si>
    <t>Rp6.100 - Rp8.000</t>
  </si>
  <si>
    <t>PENGGUNAAN OBAT INI HARUS SESUAI DENGAN PETUNJUK DOKTER. 3 x 1 tab</t>
  </si>
  <si>
    <t>Penderita dengan ggn pencernaan seperti mual ,muntah akibat toleransi oat tertentu maupun karena anestesi atau setelah operasi, mengobati rasa panas sehubungan dengan reflucks esofagitis, meringankan gejala diabetik gastro paresis akut yang kambuh kembali</t>
  </si>
  <si>
    <t>Epilepsi, pheochromocytoma, hipersensitif, pendarahan gastrointestinal, obstruksi mekanik atau perforasi</t>
  </si>
  <si>
    <t>penderita ggn pencernaan mual , muntah akibat toleransi oat anestesi operasi , mengobati panas sehubungan reflucks esofagitis , meringankan gejala diabetik gastro paresis akut kambuh</t>
  </si>
  <si>
    <t>gavistal</t>
  </si>
  <si>
    <t>gavistal tablet metoclopramide hydrochloride penderita ggn pencernaan mual  muntah akibat toleransi oat anestesi operasi  mengobati panas sehubungan reflucks esofagitis  meringankan gejala diabetik gastro paresis akut kambuh</t>
  </si>
  <si>
    <t>DKL0817623609A1</t>
  </si>
  <si>
    <t>Ceptik 200 mg 10 Kaplet</t>
  </si>
  <si>
    <t>Rp320.700 - Rp608.200</t>
  </si>
  <si>
    <t>ceptik kaplet cefixime trihydrate infeksi saluran kemih komplikasi  otitis medium  radang rongga gendang telinga  faringitis tonsilitis  bronkhitis akut kronis eksaserbasi kumatnya penyakit gejala penyakit mendadak akut</t>
  </si>
  <si>
    <t>Blink N Clean Lens Drops 15 ml</t>
  </si>
  <si>
    <t>Rp77.500 - Rp125.800</t>
  </si>
  <si>
    <t>Cairan yang digunakan sebagai tetes mata untuk melumasi lensa, meningkatkan kelembaban, menghilangkan dan mencegah melekatnya kotoran serta penumpukan protein pada softlens atau kontak lens bagi pengguna softlens.</t>
  </si>
  <si>
    <t>cairan tetes mata melumasi lensa , meningkatkan kelembaban , menghilangkan mencegah melekatnya kotoran penumpukan protein softlens kontak lens pengguna softlens</t>
  </si>
  <si>
    <t>blink n clean lens</t>
  </si>
  <si>
    <t>blink n clean lens tablet kombinasivalsartan blend 32 cairan tetes mata melumasi lensa  meningkatkan kelembaban  menghilangkan mencegah melekatnya kotoran penumpukan protein softlens kontak lens pengguna softlens</t>
  </si>
  <si>
    <t>DKL9722220510A1</t>
  </si>
  <si>
    <t>Cholvastin 20 mg 10 Tablet</t>
  </si>
  <si>
    <t>Rp87.600 - Rp154.900</t>
  </si>
  <si>
    <t>INFORMASI OBAT INI HANYA UNTUK KALANGAN MEDIS. Menurunkan kadar tinggi kolesterol Total &amp; LDL pada Hiperkolesterolemia primer dimana respon terhadap diet dan terapi non-farmakologi lainnya tidak adekuat, menurunkan kadar tinggi LDL kolesterrol pada penderita dengan kombinasi Hiperkolesterolemia &amp; Hip</t>
  </si>
  <si>
    <t>Penyakit hati aktif atau peningkatan persisten serum transaminase. Hamil dan laktasi.</t>
  </si>
  <si>
    <t>HARUS DENGAN RESEP DOKTER. Penyakit hati aktif, hamil dan laktasi. Kategori kehamilan : Kategori X: Kontraindikasi (tidak boleh digunakan). Terdapat hasil penelitian terhadap hewan uji dan manusia yang memperlihatkan abnormalitas terhadap janin. Obat ini dikontraindikasikan untuk wanita hamil dan yang berkemungkinan untuk hamil.</t>
  </si>
  <si>
    <t>cholvastin</t>
  </si>
  <si>
    <t>cholvastin tablet lovastatin menurunkan kadar kolesterol total ldl hiperkolesterolemia primer dimana respon diet terapi non  farmakologi tidak adekuat  menurunkan kadar ldl kolesterrol penderita kombinasi hiperkolesterolemia hip</t>
  </si>
  <si>
    <t>DKL0802340309A1</t>
  </si>
  <si>
    <t>Tocef 200 mg 10 Tablet</t>
  </si>
  <si>
    <t>Rp311.200 - Rp355.200</t>
  </si>
  <si>
    <t>tocef kaplet cefixime trihydrate infeksi saluran kemih komplikasi  otitis medium  radang rongga gendang telinga  faringitis tonsilitis  bronkhitis akut kronis eksaserbasi kumatnya penyakit gejala penyakit mendadak akut</t>
  </si>
  <si>
    <t>DKL9522216501B1</t>
  </si>
  <si>
    <t>Sporetik 100 mg 10 Kapsul</t>
  </si>
  <si>
    <t>Rp294.900 - Rp324.400</t>
  </si>
  <si>
    <t>sporetik kapsul cefixime trihydrate infeksi saluran kemih komplikasi  otitis medium  radang rongga gendang telinga  faringitis tonsilitis  bronkhitis akut kronis eksaserbasi kumatnya penyakit gejala penyakit mendadak akut</t>
  </si>
  <si>
    <t>Bausch+Lomb Renu Fresh Multi-Purpose Solution for Colour 355 ml</t>
  </si>
  <si>
    <t>Rp72.500 - Rp103.400</t>
  </si>
  <si>
    <t>Cairan pembersih lensa kontak yang dapat membunuh bakteri dan jamur, sekaligus memberikan kelembaban yang seimbang, sehingga menjaga kenyamanan pengguanaan lensa kontak warna.</t>
  </si>
  <si>
    <t>cairan pembersih lensa kontak membunuh bakteri jamur , kelembaban seimbang , menjaga kenyamanan pengguanaan lensa kontak warna</t>
  </si>
  <si>
    <t>bauschlomb renu fresh multipurpose solution for colour</t>
  </si>
  <si>
    <t>bauschlomb renu fresh multipurpose solution for colour tablet kombinasivalsartan blend 32 cairan pembersih lensa kontak membunuh bakteri jamur  kelembaban seimbang  menjaga kenyama pengguanaan lensa kontak warna</t>
  </si>
  <si>
    <t>QD183616061</t>
  </si>
  <si>
    <t>Shen Nong Si Four Season Medicated Oil 12 ml</t>
  </si>
  <si>
    <t>Rp20.500 - Rp20.900</t>
  </si>
  <si>
    <t>Hanya untuk pemakaian luar. Gosokkan pada bagian tubuh yang sakit.</t>
  </si>
  <si>
    <t>Membantu meredakan sakit kepala, perut kembung, mual dan gatal akibat gigitan serangga, juga meredakan pegal-pegal dan nyeri otot.</t>
  </si>
  <si>
    <t>hak yau</t>
  </si>
  <si>
    <t>membantu meredakan sakit kepala , perut kembung , mual gatal akibat gigitan serangga , meredakan pegal - pegal nyeri otot</t>
  </si>
  <si>
    <t>shen nong si four season medicated oil</t>
  </si>
  <si>
    <t>shen nong si four season medicated oil minyak hak yau membantu meredakan sakit kepala  perut kembung  mual gatal akibat gigitan serangga  meredakan pegal  pegal nyeri otot</t>
  </si>
  <si>
    <t>Shen Nong Si Four Season Medicated Oil 20 ml</t>
  </si>
  <si>
    <t>Rp29.500 - Rp36.100</t>
  </si>
  <si>
    <t>Dus, Botol Kaca @ 20 ml</t>
  </si>
  <si>
    <t>DKL0808014938A1</t>
  </si>
  <si>
    <t>Nucef Dry Sirup 30 ml</t>
  </si>
  <si>
    <t>Rp103.600 - Rp116.700</t>
  </si>
  <si>
    <t>nucef</t>
  </si>
  <si>
    <t>nucef sirup cefixime trihydrate infeksi saluran kemih komplikasi  otitis medium  radang rongga gendang telinga  faringitis tonsilitis  bronkhitis akut kronis eksaserbasi kumatnya penyakit gejala penyakit mendadak akut</t>
  </si>
  <si>
    <t>GKL1708025009A1</t>
  </si>
  <si>
    <t>Levofloxacin 750 mg 10 Kaplet</t>
  </si>
  <si>
    <t>Rp29.900 - Rp62.100</t>
  </si>
  <si>
    <t>PENGGUNAAN OBAT INI HARUS SESUAI DENGAN PETUNJUK DOKTER. - Eksaserbasi akut dari bronkitis kronik : 500 mg perhari selama 7-10 hari. - Sinusitis maksilaris akut : 500 mg perhari selama 10-14 hari. - Pneumonia komunitas : 500 mg perhari atau 2 kali sehari selama 7-14 hari. - Infeksi saluran kemih kompleks : 500 mg perhari selama 7-14 hari.</t>
  </si>
  <si>
    <t>INFORMASI OBAT INI HANYA UNTUK KALANGAN MEDIS. Eksaserbasi bakterial akut pada bronkitis kronik, pneumonia komunitas (Community-Acquired Pneumonia), sinusitis maksilaris akut, infeksi saluran kemih kompleks (Complicated Urinary Tract Infection), dan pielonefritis.</t>
  </si>
  <si>
    <t>Dus, 5 Strip @ 10 Kaplet salut</t>
  </si>
  <si>
    <t>Hipersensitif terhadap levofloksasin dan fluorokuinolon lain. Hamil dan laktasi. Anak &lt;12 tahun</t>
  </si>
  <si>
    <t>HARUS DENGAN RESEP DOKTER. - Pasien dengan riwayat kejang - Pasien dengan gangguan ginjal - Pasien dengan gangguan sistem saraf pusat - Lanjut usia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</si>
  <si>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eksaserbasi bakterial akut bronkitis kronik , pneumonia komunitas community - acquired pneumonia , sinusitis maksilaris akut , infeksi saluran kemih kompleks complicated urinary tract infection , pielonefritis</t>
  </si>
  <si>
    <t>levofloxacin kaplet levofloxacin hemihydrate eksaserbasi bakterial akut bronkitis kronik  pneumonia komunitas community  acquired pneumonia  sinusitis maksilaris akut  infeksi saluran kemih kompleks complicated urinary tract infection  pielonefritis</t>
  </si>
  <si>
    <t>Cutimed Gel 15 gr</t>
  </si>
  <si>
    <t>Cutimed gel memiliki efek melembabkan sehingga membantu autolytic debridement jaringan nekrotik atau sloughy pada penyembuhan luka sekunder seperti: ulkus vena tungkai, ganggren diabetic, luka tekan, dll</t>
  </si>
  <si>
    <t>cutimed gel memiliki efek melembabkan membantu autolytic debridement jaringan nekrotik sloughy penyembuhan luka sekunder ulkus vena tungkai , ganggren diabetic , luka tekan , dll</t>
  </si>
  <si>
    <t>cutimed gr</t>
  </si>
  <si>
    <t>cutimed gr larutan povidoneiodine cutimed gel memiliki efek melembabkan membantu autolytic debridement jaringan nekrotik sloughy penyembuhan luka sekunder ulkus vena tungkai  ganggren diabetic  luka tekan  dll</t>
  </si>
  <si>
    <t>Cutimed Gel 25 gr</t>
  </si>
  <si>
    <t>Rp98.000 - Rp160.800</t>
  </si>
  <si>
    <t>Tube 25 g</t>
  </si>
  <si>
    <t>Tresnojoyo Minyak Telon 30 ml</t>
  </si>
  <si>
    <t>Rp5.500 - Rp15.000</t>
  </si>
  <si>
    <t>primperan tablet metoclopramide hydrochloride monohydrate meredakan mual muntah disebabkan induksi kemoterapi  radiasi  paska operasi  morning sickness  refluks esofagitis  obat pasien diabetik mengalami gastroparesis kesulitan mengosongkan lambung</t>
  </si>
  <si>
    <t>DKL1009220138A1</t>
  </si>
  <si>
    <t>Helixim Dry Sirup 30 ml</t>
  </si>
  <si>
    <t>Rp15.300 - Rp46.100</t>
  </si>
  <si>
    <t>helixim sirup cefixime trihydrate infeksi saluran kemih komplikasi  otitis medium  radang rongga gendang telinga  faringitis tonsilitis  bronkhitis akut kronis eksaserbasi kumatnya penyakit gejala penyakit mendadak akut</t>
  </si>
  <si>
    <t>Shen Nong Si Four Season Medicated Oil 6 ml</t>
  </si>
  <si>
    <t>Rp12.700 - Rp12.900</t>
  </si>
  <si>
    <t>DKL1340803938A1</t>
  </si>
  <si>
    <t>Inbacef 100 mg Dry Syrup 30 ml</t>
  </si>
  <si>
    <t>Rp99.700 - Rp103.900</t>
  </si>
  <si>
    <t>inbacef</t>
  </si>
  <si>
    <t>inbacef sirup cefixime trihydrate infeksi saluran kemih komplikasi  otitis medium  radang rongga gendang telinga  faringitis tonsilitis  bronkhitis akut kronis eksaserbasi kumatnya penyakit gejala penyakit mendadak akut</t>
  </si>
  <si>
    <t>DKL9522216501A1</t>
  </si>
  <si>
    <t>Sporetik 50 mg 10 Kapsul</t>
  </si>
  <si>
    <t>Rp119.200 - Rp138.000</t>
  </si>
  <si>
    <t>DKL0808014601A1</t>
  </si>
  <si>
    <t>Nucef 100 mg 10 Kapsul</t>
  </si>
  <si>
    <t>Rp110.600 - Rp277.400</t>
  </si>
  <si>
    <t>nucef kapsul cefixime trihydrate infeksi saluran kemih komplikasi  otitis medium  radang rongga gendang telinga  faringitis tonsilitis  bronkhitis akut kronis eksaserbasi kumatnya penyakit gejala penyakit mendadak akut</t>
  </si>
  <si>
    <t>Remscar TR 3.5 Cm X15 Cm 1 Sheet</t>
  </si>
  <si>
    <t>Rp295.200 - Rp357.700</t>
  </si>
  <si>
    <t>1. Cuci tangan dengan bersih dan keringkan, 2. Keluarkan produk dari kemasan, 3. Potong produk 1-2cm lebih besar dari ukuran bekas luka 4. simpan kembali sisa produk pada kemasan pouch dan tutup rapat, 5. lepaskan kerta film dan lekatkan produk pada bekas luca secara perlahan, 6. untuk 2 hari pertama gunakan produk selama 4 jam, pada 2 hari berikutny gunakan produk selama 8 jam. Perpanjang lama penggunaan 2 jam per hari hingga durasi penggunaan menjadi 12 jam perhari, 7. Produk akan lebih efektif jika digunakan sepanjang hari 8 . Bersihkan produk dengan pembersih sabun hipoalergenik 2 kali sehari. Bersihkan bekas luka dan area sekitar bekas luka sebelum menggunakan kembali RemScarÂ® TR.9. Ganti produk dengan yang baru jika produk sudah rusak atau sulit dibersihkan. Umumnya 1 lembar RemScarÂ® TR dapat digunakan selama dua minggu. Waktu penggantian dapat lebih cepat jika digunakan pada area sendi atau permukaan dengan banyak gesekan 10. Balut dengan perban atau dressing jika Anda beraktivitas.</t>
  </si>
  <si>
    <t>Merupakan dressing luka berperekat yang berfungsi untuk menyamarkan bekas luka hipertrofik dan keloid serta menyelaraskan warna bekas luka atau rongga dengan area sekitar luka dengan menjaga kelembapan kulit</t>
  </si>
  <si>
    <t>Dus, 1 sheet</t>
  </si>
  <si>
    <t>Jangan gunakan pada luka terbuka, luka yang terinfeksi atau pada saat benang jahitan masih ada, Peringatan : Kemerahan, ruam atau gatal dapat timbul pada bekas luka atau area bekas luka bergantung pada kondisi pasien. Gejala biasanya muncul ketika luka kurang bersih atau menempelkan RemScarÂ® TR terlalu kencang, Gatal atau reaksi kulit lainnya dapat timbul akibat permeabilitas udara yang rendah pada lembaran silikon, Produk harus dibersihkan secara berkala untuk menjaga kelembapan produk terutama pada daerah dimana Anda sering berkeringat.Gunakan pembersih sabun hipoalergenik untuk membersihkan produk dan keringkan pada suhu kamarJangan menggunakan produk dengan produk salep, kosmetik ataupun produk perawatan kulit. Gunakan produk dengan hati-hati untuk anak dibawah 3 tahun</t>
  </si>
  <si>
    <t>merupakan dressing luka berperekat berfungsi menyamarkan bekas luka hipertrofik keloid menyelaraskan warna bekas luka rongga area luka menjaga kelembapan kulit</t>
  </si>
  <si>
    <t>remscar tr x sheet</t>
  </si>
  <si>
    <t>remscar tr x sheet larutan povidoneiodine merupakan dressing luka berperekat berfungsi menyamarkan bekas luka hipertrofik keloid menyelaraskan warna bekas luka rongga area luka menjaga kelembapan kulit</t>
  </si>
  <si>
    <t>Wound Dressing Waterproof And Transparent With Absorbent Pad 25 Cm</t>
  </si>
  <si>
    <t>Fiksasi transparent film steril, yang dilengkapi bantalan penyerap eksudat yang bersifat low adherent pad. Untuk luka kecil dan lebar. Steril</t>
  </si>
  <si>
    <t>fiksasi transparent film steril , dilengkapi bantalan penyerap eksudat bersifat low adherent pad  untuk luka lebar  steril</t>
  </si>
  <si>
    <t>wound dressing waterproof and transparent with absorbent pad</t>
  </si>
  <si>
    <t>wound dressing waterproof and transparent with absorbent pad larutan povidoneiodine fiksasi transparent film steril  dilengkapi bantalan penyerap eksudat bersifat low adherent pad  untuk luka lebar  steril</t>
  </si>
  <si>
    <t>Shen Nong Si Four Season Medicated Oil 40 ml</t>
  </si>
  <si>
    <t>Rp42.300 - Rp47.900</t>
  </si>
  <si>
    <t>Dus, Botol Kaca @ 40 ml</t>
  </si>
  <si>
    <t>DKL1908026509A1</t>
  </si>
  <si>
    <t>Nucef 200 mg 10 Kaplet</t>
  </si>
  <si>
    <t>Rp392.200 - Rp440.500</t>
  </si>
  <si>
    <t>nucef kaplet cefixime trihydrate infeksi saluran kemih komplikasi  otitis medium  radang rongga gendang telinga  faringitis tonsilitis  bronkhitis akut kronis eksaserbasi kumatnya penyakit gejala penyakit mendadak akut</t>
  </si>
  <si>
    <t>DKL1340804309A1</t>
  </si>
  <si>
    <t>Inbacef 200 mg 10 Kaplet</t>
  </si>
  <si>
    <t>Rp256.000 - Rp327.200</t>
  </si>
  <si>
    <t>inbacef kaplet cefixime trihydrate infeksi saluran kemih komplikasi  otitis medium  radang rongga gendang telinga  faringitis tonsilitis  bronkhitis akut kronis eksaserbasi kumatnya penyakit gejala penyakit mendadak akut</t>
  </si>
  <si>
    <t>QD122610511</t>
  </si>
  <si>
    <t>Parcok Minyak Urut 30 ml</t>
  </si>
  <si>
    <t>Rp7.800 - Rp14.200</t>
  </si>
  <si>
    <t>Dioleskan pada bagian tubuh yang sakit</t>
  </si>
  <si>
    <t>Mengurangi lelah dan pegal linu setelah bekerja keras atau berolah raga, mengobati otot-otot kaku, kejang karena terkilir atau rematik, mengobati nyeri dan bengkak karena kena pukulan atau digigit serangga</t>
  </si>
  <si>
    <t>Botol 30 ml X 1</t>
  </si>
  <si>
    <t>cajuputi oil</t>
  </si>
  <si>
    <t>mengurangi lelah pegal linu kera berolah raga , mengobati otot - otot kaku , kejang terkilir rematik , mengobati nyeri bengkak kena pukulan digigit serangga</t>
  </si>
  <si>
    <t>parcok urut</t>
  </si>
  <si>
    <t>parcok urut minyak cajuputi oil mengurangi lelah pegal linu kera berolah raga  mengobati otot  otot kaku  kejang terkilir rematik  mengobati nyeri bengkak kena pukulan digigit serangga</t>
  </si>
  <si>
    <t>DBL1233526035A1</t>
  </si>
  <si>
    <t>Cooling 5 Mouth Spray Cappucinno 15 ml</t>
  </si>
  <si>
    <t>Rp23.400 - Rp45.500</t>
  </si>
  <si>
    <t>Semprot tepat ke arah tenggorokan</t>
  </si>
  <si>
    <t>Untuk setiap kali pemakaian, cukup disemprotkan 2-3 kali, semprotan dapat diulang tiap 3 jam sampai gejala reda.</t>
  </si>
  <si>
    <t>Membunuh kuman penyebab sakit tenggorokan, meredakan sakit tenggorokan karena terlalu banyak merokok, makan makanan yang berminyak, perubahan cuaca, banyak bicara atau berteriak, kurang minum, gejala flu dan pelega tenggorokan</t>
  </si>
  <si>
    <t>Dus, Botol semprot @ 15 ml</t>
  </si>
  <si>
    <t>membunuh kuman penyebab sakit tenggorokan , meredakan sakit tenggorokan merokok , makan makanan berminyak , perubahan cuaca , bicara berteriak , minum , gejala flu pelega tenggorokan</t>
  </si>
  <si>
    <t>cooling mouth cappucinno</t>
  </si>
  <si>
    <t>cooling mouth cappucinno larutan phenol membunuh kuman penyebab sakit tenggorokan  meredakan sakit tenggorokan merokok  makan maka berminyak  perubahan cuaca  bicara berteriak  minum  gejala flu pelega tenggorokan</t>
  </si>
  <si>
    <t>DKL1622254309A1</t>
  </si>
  <si>
    <t>Sporetik 200 mg 10 Kaplet</t>
  </si>
  <si>
    <t>Rp374.500 - Rp462.700</t>
  </si>
  <si>
    <t>Dus, 1 strip @ 10 kaplet salut selaput</t>
  </si>
  <si>
    <t>sporetik kaplet cefixime trihydrate infeksi saluran kemih komplikasi  otitis medium  radang rongga gendang telinga  faringitis tonsilitis  bronkhitis akut kronis eksaserbasi kumatnya penyakit gejala penyakit mendadak akut</t>
  </si>
  <si>
    <t>DKL1039200403A1</t>
  </si>
  <si>
    <t>Omed 20 mg 10 Kapsul</t>
  </si>
  <si>
    <t>Rp133.400 - Rp149.200</t>
  </si>
  <si>
    <t>terapi jangka pendek tukak duodenum yang tidak responsif terhadap antagonis reseptor H2, tukak lambung, refluks esofagitis erosif atau ulseratif yang sudah didiagnosa melalui endoskopi, terapi jangka lama untuk sindrom Zollinger-Ellison.</t>
  </si>
  <si>
    <t>gangguan ginjal, fungsi hati, menyusui, hipersensitifitas, kehamilan, lambung</t>
  </si>
  <si>
    <t>HARUS DENGAN RESEP DOKTER. efek sustained hipoklorhidria dan hipergastrinemia harus diwaspadai pada penggunaan jangka lama. ibu hamil dan menyusui.</t>
  </si>
  <si>
    <t>terapi jangka pendek tukak duodenum tidak responsif antagonis reseptor h2 , tukak lambung , refluks esofagitis erosif ulseratif didiagnosa endoskopi , terapi jangka sindrom zollinger - ellison</t>
  </si>
  <si>
    <t>omed</t>
  </si>
  <si>
    <t>omed kapsul omeprazole terapi jangka pendek tukak duodenum tidak responsif antagonis reseptor h2  tukak lambung  refluks esofagitis erosif ulseratif didiagnosa endoskopi  terapi jangka sindrom zollinger  ellison</t>
  </si>
  <si>
    <t>Tolak Angin Anak Cair Plus Madu Anak 10 ml 12 Sachet</t>
  </si>
  <si>
    <t>Rp35.000 - Rp46.200</t>
  </si>
  <si>
    <t>Untuk anak usia 1 tahun langsung diminum 1/2 sachet atau dicampur dengan 1/2 gelas air hangat. Untuk anak usia 2-6 tahun: langsung diminum 1 sachet atau dicampur dengan 1/2 gelas air hangat. Minum 3 sachet sehari sesudah makan sampai kondisi membaik. Guna menjaga kondisi tubuh: 1 sachet per hari</t>
  </si>
  <si>
    <t>Dus @ 12 sachet @ 10 ml</t>
  </si>
  <si>
    <t>tolak angin anak cair plus madu anak</t>
  </si>
  <si>
    <t>tolak angin anak cair plus madu anak madu tolak angin anak  madu herbal membantu meredakan masuk angin gejala  gejalanya sumeng meriang  pusing  perut mual  kembung  mule</t>
  </si>
  <si>
    <t>DKL1640500401B1</t>
  </si>
  <si>
    <t>Befixim 200 mg 6 Kapsul</t>
  </si>
  <si>
    <t>DKL2233217538A1</t>
  </si>
  <si>
    <t>Profim Dry Sirup 30 ml</t>
  </si>
  <si>
    <t>INFORMASI OBAT INI HANYA UNTUK KALANGAN MEDIS. Infeksi saluran kemih tanpa komplikasi, otitis media, (radang rongga gendang telinga), faringitis dan tonsilitis, bronkhitis akut dan kronis serta eksaserbasi (kumatnya penyakit atau gejala penyakit secara mendadak) akut.</t>
  </si>
  <si>
    <t>profim</t>
  </si>
  <si>
    <t>profim sirup cefixime trihydrate infeksi saluran kemih komplikasi  otitis medium  radang rongga gendang telinga  faringitis tonsilitis  bronkhitis akut kronis eksaserbasi kumatnya penyakit gejala penyakit mendadak akut</t>
  </si>
  <si>
    <t>GKL0608513538A1</t>
  </si>
  <si>
    <t>Cefixime Dry Sirup 30 ml</t>
  </si>
  <si>
    <t>Rp12.500 - Rp51.000</t>
  </si>
  <si>
    <t>cefixime sirup cefixime trihydrate infeksi saluran kemih komplikasi  otitis medium  radang rongga gendang telinga  faringitis tonsilitis  bronkhitis akut kronis eksaserbasi kumatnya penyakit gejala penyakit mendadak akut</t>
  </si>
  <si>
    <t>DKL9311613101C1</t>
  </si>
  <si>
    <t>Albiotin 300 mg 10 Kapsul</t>
  </si>
  <si>
    <t>Sesudah makan. Diusahkan dalam waktu yang sama setiap hari nya</t>
  </si>
  <si>
    <t>PENGGUNAAN OBAT INI HARUS SESUAI DENGAN PETUNJUK DOKTER. Dewasa : - Infeksi serius : 150 - 300 mg tiap 6 jam. Infeksi lebih serius : 300 - 450 mg tiap 6 jam. Anak usia lebih dari 1 bulan : - Infeksi serius : 8 - 16 mg/kg BB terbagi dalam 3 - 4 dosis. - Infeksi lebih serius : 16 - 20 mg/kg BB terbagi dalam 3 - 4 dosis.</t>
  </si>
  <si>
    <t>INFORMASI OBAT INI HANYA UNTUK KALANGAN MEDIS. Infeksi serius atau berat karena organisme yang sensitif terhadap clindamycin antara lain Streptokokus, Pneumokokus, Stafilokokus, termasuk bakteri anaerob. Infeksi akibat organisme ini misalnya pada infeksi saluran nafas bawah, kulit dan jaringan lunak, serta infeksi serius lainnya.</t>
  </si>
  <si>
    <t>Hipersensitif terhadap clindamycin atau lincomycin, riwayat ulcerative colitis atau enteritis.</t>
  </si>
  <si>
    <t>HARUS DENGAN RESEP DOKTER. Perlu dilakukan pengawasan terhadap kemungkinan timbulnya super infeksi dengan bakteri dan jamur. Selama penggunaan jangka panjang perlu dilakukan pemeriksaan hematologi, fungsi hati dan ginjal. Hati-hati penggunaannya pada penderita kerusakan hati atau ginjal yang berat. Kategori Kehamilan : Kategori B: Mungkin dapat digunakan oleh wanita hamil. Penelitian pada hewan uji tidak memperlihatkan ada nya risiko terhadap janin, namun belum ada bukti penelitian langsung terhadap wanita hamil.</t>
  </si>
  <si>
    <t>infeksi serius berat organisme sensitif clindamycin streptokokus , pneumokokus , stafilokokus , bakteri anaerob  infeksi akibat organisme infeksi saluran nafas , kulit jaringan lunak , infeksi serius</t>
  </si>
  <si>
    <t>albiotin kapsul clindamycin hydrochloride infeksi serius berat organisme sensitif clindamycin streptokokus  pneumokokus  stafilokokus  bakteri anaerob  infeksi akibat organisme infeksi saluran nafas  kulit jaringan lunak  infeksi serius</t>
  </si>
  <si>
    <t>DKL2002507102A1</t>
  </si>
  <si>
    <t>Tride 5000 IU 6 Kapsul</t>
  </si>
  <si>
    <t>PENGGUNAAN OBAT INI HARUS SESUAI DENGAN PETUNJUK DOKTER. Dewasa dan anak di atas 12 tahun : 1 kapsul lunak, 1 kali sehari (dosis harus disesuaikan berdasarkan kadar serum 25-hydroxycholecalciferol dan tidak melebihi 5000 IU/hari)</t>
  </si>
  <si>
    <t>INFORMASI OBAT INI HANYA UNTUK KALANGAN MEDIS. TRIDE 5000 berfungsi untuk meningkatkan kadar serum 25(OH)D dalam darah pada pasien dengan kekurangan Vitamin D (kadar serum 25(OH)D &lt; 30 mg/mL</t>
  </si>
  <si>
    <t>Dus, 10 strip @ 6 kapsul</t>
  </si>
  <si>
    <t>Penderita dengan hipersensitivitas dengan vitamin D dan analognya atau dengan komponen lain dalam formula. Hiperkalsemia atau dan hiperkalsiuria. Kalsium nefrolitiasis, nefrokalsinosis, hipervitaminosis D. Kerusakan ginjal berat dan gagal ginjal.</t>
  </si>
  <si>
    <t>tride 500 berfungsi meningkatkan kadar serum 25 oh d darah pasien kekurangan vitamin d kadar serum 25 oh d 30 mg ml</t>
  </si>
  <si>
    <t>tride iu</t>
  </si>
  <si>
    <t>tride iu kapsul cholecalciferol tride 500 berfungsi meningkatkan kadar serum 25 oh d darah pasien kekurangan vitamin d kadar serum 25 oh d 30 mg ml</t>
  </si>
  <si>
    <t>DKL1003813046A1</t>
  </si>
  <si>
    <t>Cendo Posop Minidose 0.6 ml</t>
  </si>
  <si>
    <t>Rp60.000 - Rp81.400</t>
  </si>
  <si>
    <t>PENGGUNAAN OBAT INI HARUS SESUAI DENGAN PETUNJUK DOKTER. Teteskan 1-2 tetes pada setiap mata, 2-4 kali per hari atau sesuai anjuran dokter. Dosis disesuaikan dengan umur dan keparahan penyakit.</t>
  </si>
  <si>
    <t>INFORMASI OBAT INI HANYA UNTUK KALANGAN MEDIS. Cendo Posop Minidose digunakan untuk pengobatan jangka pendek kondisi eksternal atau interior inflamasi okular seperti blepharitis, konjungtivitis, keratitis, sclaritis, episcleritis, iritis, iridocyclitis dan inflamasi pasca operasi.</t>
  </si>
  <si>
    <t>Penyakit virus pada kornea dan konjungtiva (misalnya keratitis epitel herpes simpleks, varicella), infeksi mata mikobakteri, penyakit jamur pada struktur mata, infeksi mata bakteri purulen akut yang tidak diobati.</t>
  </si>
  <si>
    <t>HARUS DENGAN RESEP DOKTER. Pasien dengan glaukoma, riwayat herpes simpleks, mata merah yang tidak terdiagnosis, penyakit yang menyebabkan penipisan jaringan kornea atau skleral. Gunakan setelah operasi katarak. Anak-anak. Kehamilan dan menyusui. Jangan digunakan 3 x 24 jam setelah kemasan dibuka.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</si>
  <si>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cendo posop minidose pengobatan jangka pendek kondisi eksternal interior inflamasi okular blepharitis , konjungtivitis , keratitis , sclaritis , episcleritis , iritis , iridocyclitis inflamasi pasca operasi</t>
  </si>
  <si>
    <t>cendo posop minidose</t>
  </si>
  <si>
    <t>cendo posop minidose tetes fluorometholone cendo posop minidose pengobatan jangka pendek kondisi eksternal interior inflamasi okular blepharitis  konjungtivitis  keratitis  sclaritis  episcleritis  iritis  iridocyclitis inflamasi pasca operasi</t>
  </si>
  <si>
    <t>TR152685051</t>
  </si>
  <si>
    <t>Cap Lang Minyak Ekaliptus Aromatherapy Rose 30 ml</t>
  </si>
  <si>
    <t>EUCALYPTUS   AROMATHERAPY ROSE</t>
  </si>
  <si>
    <t>Rp12.000 - Rp20.000</t>
  </si>
  <si>
    <t>Membantu meringankan sakit perut, perut kembung, rasa mual, dan gatal-gatal akibat gigitan serangga/nyamuk serta sebagai aromaterapi untuk refreshing pikiran &amp; ketenangan</t>
  </si>
  <si>
    <t>eucalyptus   aromatherapy rose</t>
  </si>
  <si>
    <t>membantu meringankan sakit perut , perut kembung , mual , gatal - gatal akibat gigitan serangga nyamuk aromaterapi refreshing pikiran ketenangan</t>
  </si>
  <si>
    <t>cap lang ekaliptus aromatherapy rose minyak eucalyptus   aromatherapy rose membantu meringankan sakit perut  perut kembung  mual  gatal  gatal akibat gigitan serangga nyamuk aromaterapi refreshing pikiran ketegan</t>
  </si>
  <si>
    <t>bufantacid forte suspensi dried aluminium hydroxide gel magnesium hydroxide simethicone mengurangi nyeri berhubungan kelebihan asam lambung  tukak lambung  tukak usus  gejala mual  kembung  perasaan penuh lambung</t>
  </si>
  <si>
    <t>DTL1140000246A1</t>
  </si>
  <si>
    <t>Rohto Steril Eye Drop 7 ml</t>
  </si>
  <si>
    <t>Rp13.100 - Rp14.000</t>
  </si>
  <si>
    <t>Mengatasi mata merah karena iritasi ringan yang disebabkan oleh debu, asap, terkena sengatan matahari, cuaca dingin, pemakaian lensa kontak, terlalu banyak membaca atau iritasi setelah berenang.</t>
  </si>
  <si>
    <t>Infeksi mata, glaukoma.</t>
  </si>
  <si>
    <t>mengatasi mata merah iritasi ringan disebabkan debu , asap , terkena sengatan matahari , cuaca dingin , pemakaian lensa kontak , membaca iritasi berenang</t>
  </si>
  <si>
    <t>rohto steril eye drop</t>
  </si>
  <si>
    <t>rohto steril eye drop tetes tetryzoline hydrochloride mengatasi mata merah iritasi ringan disebabkan debu  asap  terkena sengatan matahari  cuaca dingin  pemakaian lensa kontak  membaca iritasi bereg</t>
  </si>
  <si>
    <t>DKL1810810737A1</t>
  </si>
  <si>
    <t>Tivomit 10 mg/5ml Sirup 60 ml</t>
  </si>
  <si>
    <t>tivomit sirup metoclopramide hydrochloride monohydrate meredakan mual muntah disebabkan induksi kemoterapi  radiasi  paska operasi  morning sickness  refluks esofagitis  obat pasien diabetik mengalami gastroparesis kesulitan mengosongkan lambung</t>
  </si>
  <si>
    <t>DKL0631111709A1</t>
  </si>
  <si>
    <t>Pro Atp 10 Tablet</t>
  </si>
  <si>
    <t>- ADENOSINE TRIPHOSPHATE. THIAMINE DISULFIDE. PYRIDOXINE HYDROCHLORIDE. CYANOCOBALAMIN. KOMBINASI-TOCOPHEROL 50 POWDER</t>
  </si>
  <si>
    <t>Rp11.300 - Rp17.700</t>
  </si>
  <si>
    <t>PENGGUNAAN OBAT INI HARUS SESUAI DENGAN PETUNJUK DOKTER. 2-4 tablet sehari, atau menurut petunjuk dokter</t>
  </si>
  <si>
    <t>Terapi suportif untuk Astenia/Kelemahan muskuler/Otot atau neuromuskuler/Syaraf otot, gangguan metabolisme otot jantung</t>
  </si>
  <si>
    <t>HARUS DENGAN RESEP DOKTER. Hipersensitif terhadap salah satu komponen obat</t>
  </si>
  <si>
    <t>adenosine triphosphate thiamine disulfide pyridoxine hydrochloride cyanocobalamin kombinasi-tocopherol 50 powder</t>
  </si>
  <si>
    <t>terapi suportif astenia kelemahan muskuler otot neuromuskuler syaraf otot , gangguan metabolisme otot jantung</t>
  </si>
  <si>
    <t>pro atp</t>
  </si>
  <si>
    <t>pro atp kaplet adenosine triphosphate thiamine disulfide pyridoxine hydrochloride cyanocobalamin kombinasitocopherol 50 powder terapi suportif astenia kelemahan muskuler otot neuromuskuler syaraf otot  gangguan metabolisme otot jantung</t>
  </si>
  <si>
    <t>TI134647471</t>
  </si>
  <si>
    <t>Brand's Essence Of Chicken with American Ginseng 6 Botol</t>
  </si>
  <si>
    <t>BRAND`S ESSENCE OF CHICKEN WITH AMERICAN GINSENG (BRAND`S SARIPATI AYAM DENGAN GINSENG AMERIKA)</t>
  </si>
  <si>
    <t>Rp136.600 - Rp219.100</t>
  </si>
  <si>
    <t>setelah botol dibuka sebaiknya disimpan dalam lemari pendingin dan dikonsumsi selama maksimal 24 jam setelah dibuka</t>
  </si>
  <si>
    <t>1 x sehari 1 botol</t>
  </si>
  <si>
    <t>Memelihara kesehatan dan meningkatkan vitalitas tubuh</t>
  </si>
  <si>
    <t>Dus, 6 Botol @ 70 G</t>
  </si>
  <si>
    <t>brand`s essence of chicken with american ginseng (brand`s saripati ayam dengan ginseng amerika)</t>
  </si>
  <si>
    <t>memelihara kesehatan meningkatkan vitalitas tubuh</t>
  </si>
  <si>
    <t>brands essence of chicken with american ginseng botol</t>
  </si>
  <si>
    <t>brands essence of chicken with american ginseng botol  brands essence of chicken with american ginseng brands saripati ayam dengan ginseng amerika memelihara kesehatan meningkatkan vitalitas tubuh</t>
  </si>
  <si>
    <t>QD212608841</t>
  </si>
  <si>
    <t>Freshcare Roll On Minyak Angin Splash Fruity 10 ml</t>
  </si>
  <si>
    <t>Rp14.700 - Rp16.100</t>
  </si>
  <si>
    <t>Membantu meringankan sakit kepala, perut kembung, masuk angin, mabuk perjalanan, gejala flu, pegal-pegal dan gatal akibat gigitan serangga</t>
  </si>
  <si>
    <t>membantu meringankan sakit kepala , perut kembung , masuk angin , mabuk perjalanan , gejala flu , pegal - pegal gatal akibat gigitan serangga</t>
  </si>
  <si>
    <t>freshcare roll on angin splash fruity</t>
  </si>
  <si>
    <t>freshcare roll on angin splash fruity roll  menthol membantu meringankan sakit kepala  perut kembung  masuk angin  mabuk perjala  gejala flu  pegal  pegal gatal akibat gigitan serangga</t>
  </si>
  <si>
    <t>ciprofloxacin hcl monohydrate</t>
  </si>
  <si>
    <t>ciprofloxacin tablet ciprofloxacin hcl monohydrate infeksi saluran kemih  saluran cerna  demam tifoid disebabkan s  thypi  saluran napa kecuali pneumonia akibat streptococcus  kulit jaringan lunak  tulang sendi</t>
  </si>
  <si>
    <t>itzol kapsul kombinasiitraconazole pellet kandidosis vulvovaginal  pitiriasis versikolor  dermatomikosis  keratinisasi berat  kandidosis oral  keratitis jamur  aspergilosis  kandidosis  kriptokokosis non  meningeal  meningitis kriptokokal  histoplasmosis  sporotrikosis  parakoksidioidomikosis  bla</t>
  </si>
  <si>
    <t>rohto steril eye drop tetes tetrahydrozoline hydrochloride mengatasi mata merah iritasi ringan disebabkan debu  asap  terkena sengatan matahari  cuaca dingin  pemakaian lensa kontak  membaca iritasi bereg</t>
  </si>
  <si>
    <t>TR102312751</t>
  </si>
  <si>
    <t>Sido Muncul Red Ginseng 30 Kapsul</t>
  </si>
  <si>
    <t>RED GINSENG</t>
  </si>
  <si>
    <t>Rp60.300 - Rp181.100</t>
  </si>
  <si>
    <t>2 x 1 kapsul sehari atau sesuai petunjuk dokter.</t>
  </si>
  <si>
    <t>Meningkatkan daya tahan tubuh terhadap stres dan penyakit-penyakit. Meningkatkan stamina, energi dan vitalitas Mengatasi masalah-masalah seksual pada pria. Mempercepat penyembuhan penyakit-penyakit berat</t>
  </si>
  <si>
    <t>Tidak dianjurkan bagi ibu hamil dan menyusui</t>
  </si>
  <si>
    <t>red ginseng</t>
  </si>
  <si>
    <t>meningkatkan daya tahan tubuh stres penyakit - penyakit  meningkatkan stamen , energi vitalitas mengatasi - seksual pria  mempercepat penyembuhan penyakit - penyakit berat</t>
  </si>
  <si>
    <t>sido muncul red ginseng</t>
  </si>
  <si>
    <t>sido muncul red ginseng kapsul red ginseng meningkatkan daya tahan tubuh stres penyakit  penyakit  meningkatkan stamen  energi vitalitas mengatasi  seksual pria  mempercepat penyembuhan penyakit  penyakit berat</t>
  </si>
  <si>
    <t>Cap Lang Minyak Ekaliptus Aromatherapy Rose 120 ml</t>
  </si>
  <si>
    <t>Rp47.800 - Rp86.900</t>
  </si>
  <si>
    <t>DKI2004900268A1</t>
  </si>
  <si>
    <t>Symbicort 160 mcg/4.5 mcg Rapihaler 120 Dosis</t>
  </si>
  <si>
    <t>PENGGUNAAN OBAT INI HARUS SESUAI DENGAN PETUNJUK DOKTER. ASMA - terapi pereda &amp; pemeliharaan : Dewasa dan remaja &gt;= 12 tahun : Dosis tergantung pada keparahan penyakit, 2 inhalasi perhari. Dosis pemeliharaan : 2 x sehari 2 inhalasi.</t>
  </si>
  <si>
    <t>symbicort rapihaler dosis</t>
  </si>
  <si>
    <t>symbicort rapihaler dosis suspensi budesonide formoterol fumarate dihydrate terapi reguler asma dimana kombinasi inhalasi kortikosteroid agonis  beta2 long acting sesuai  terapi ppok berat riwayat exaserbasi berulang</t>
  </si>
  <si>
    <t>DKL2133217201B1</t>
  </si>
  <si>
    <t>Profim 100 mg 10 Kapsul</t>
  </si>
  <si>
    <t>Rp179.900 - Rp200.000</t>
  </si>
  <si>
    <t>profim kapsul cefixime trihydrate infeksi saluran kemih komplikasi  otitis medium  radang rongga gendang telinga  faringitis tonsilitis  bronkhitis akut kronis eksaserbasi kumatnya penyakit gejala penyakit mendadak akut</t>
  </si>
  <si>
    <t>Cap Lang Minyak Ekaliptus Aromatherapy Lavender 30 ml</t>
  </si>
  <si>
    <t>Rp13.100 - Rp23.100</t>
  </si>
  <si>
    <t>cap lang ekaliptus aromatherapy lavender minyak eucalyptus aromatherapy lavender membantu meringankan sakit perut  perut kembung  mual  gatal  gatal akibat gigitan serangga nyamuk aromaterapi refreshing pikiran ketegan</t>
  </si>
  <si>
    <t>DKL2133217201A1</t>
  </si>
  <si>
    <t>Profim 200 mg 10 Kapsul</t>
  </si>
  <si>
    <t>Rp391.200 - Rp426.300</t>
  </si>
  <si>
    <t>Cap Lang Minyak Ekaliptus Aromatherapy Lavender 120 ml</t>
  </si>
  <si>
    <t>Rp44.000 - Rp87.400</t>
  </si>
  <si>
    <t>TR082578221</t>
  </si>
  <si>
    <t>Gingkan 40 mg 10 Tablet</t>
  </si>
  <si>
    <t>GINGKAN</t>
  </si>
  <si>
    <t>Rp29.500 - Rp39.500</t>
  </si>
  <si>
    <t>dengan atau tanpa makanan</t>
  </si>
  <si>
    <t>Sehari 3 x 1 tablet, tablet jangan dikunyah, diminum bersama air secukupnya</t>
  </si>
  <si>
    <t>Gangguan peredaran darah di otak dan perifer dengan manifestasi, seperti sakit kepala, pusing, vertigo, tinitus, pikun (demensia), daya ingat berkurang, sulit konsentrasi, mudah tersinggung, emosis yang labil, memperbaiki kesehatan lansia</t>
  </si>
  <si>
    <t>Hipersensitivitas terhadap komponen Ginkona, ibu hamil.</t>
  </si>
  <si>
    <t>gingkan</t>
  </si>
  <si>
    <t>gangguan peredaran darah otak perifer manifestasi , sakit kepala , pusing , vertigo , tinitus , pikun demensia , daya berkurang , sulit konsentrasi , mudah tersinggung , emosis labil , memperbaiki kesehatan lansia</t>
  </si>
  <si>
    <t>gingkan tablet gangguan peredaran darah otak perifer manifestasi  sakit kepala  pusing  vertigo  tinitus  pikun demensia  daya berkurang  sulit konsentrasi  mudah tersinggung  emosis labil  memperbaiki kesehatan lansia</t>
  </si>
  <si>
    <t>DKL0813314001A1</t>
  </si>
  <si>
    <t>Cefila 200 mg 10 Kapsul</t>
  </si>
  <si>
    <t>Rp423.500 - Rp446.300</t>
  </si>
  <si>
    <t>cefila kapsul cefixime trihydrate infeksi saluran kemih komplikasi  otitis medium  radang rongga gendang telinga  faringitis tonsilitis  bronkhitis akut kronis eksaserbasi kumatnya penyakit gejala penyakit mendadak akut</t>
  </si>
  <si>
    <t>Dermacoid Cream 10 gr</t>
  </si>
  <si>
    <t>Rp87.600 - Rp106.000</t>
  </si>
  <si>
    <t>Gangguan pada kulit yang disebabkan oleh eksema, inflamasi atau alergi, atopik, dermatitis kontak, neurodermatitis, intertrigo, dermatitis solaris, ruam popok, dan pruritus skrotalis, vulval, dan anal non-spesifik.</t>
  </si>
  <si>
    <t>gangguan kulit disebabkan eksema , inflamasi alergi , atopik , dermatitis kontak , neurodermatitis , intertrigo , dermatitis solaris , ruam popok , pruritus skrotalis , vulval , anal non - spesifik</t>
  </si>
  <si>
    <t>dermacoid cream gr</t>
  </si>
  <si>
    <t>dermacoid cream gr krim hydrocortisone butyrate gangguan kulit disebabkan eksema  inflamasi alergi  atopik  dermatitis kontak  neurodermatitis  intertrigo  dermatitis solaris  ruam popok  pruritus skrotalis  vulval  anal non  spesifik</t>
  </si>
  <si>
    <t>DKL7813703066A1</t>
  </si>
  <si>
    <t>Betadine Vaginal Douche 10% 100 ml Plus Dengan Alat</t>
  </si>
  <si>
    <t>Rp126.400 - Rp152.900</t>
  </si>
  <si>
    <t>Isi botol plastik yang tersedia dengan larutan sampai batas A (untuk menjaga kebersihan) atau sampai batas B (untuk mengobati infeksi). Tambahkan air hangat sampai batas C, kocok hingga merata.</t>
  </si>
  <si>
    <t>PENGGUNAAN OBAT INI HARUS SESUAI DENGAN PETUNJUK DOKTER. Terapi : 30-960 mL betadine dalam air hangat 1 kali sehari selama 6 hari. Upaya pembersihan rutin : 15-960 mL betadine dalam air hangat 1-2 kali/minggu</t>
  </si>
  <si>
    <t>INFORMASI OBAT INI HANYA UNTUK KALANGAN MEDIS. Sebagai disinfektan Vagina. Digunakan untuk mengobati gejala iritasi ringan, gatal-gatal &amp; keputihan yang disebabkan oleh Trichomonas vaginalis, Candida albicans&amp; Gardnerella vaginalis.</t>
  </si>
  <si>
    <t>Dus, Botol plastik @ 100 ml dengan Aplikator</t>
  </si>
  <si>
    <t>HARUS DENGAN RESEP DOKTER. Jangan digunakan untuk pasien yang alergi Iodine, wanita hamil dan menyusui. Produk ini memiliki fungsi spermisidal, sebaiknya tidak digunakan untuk wanita yang sedang perencanaan kehamilan.</t>
  </si>
  <si>
    <t>vaginal douche</t>
  </si>
  <si>
    <t>sebagai disinfektan vagina  digunakan mengobati gejala iritasi ringan , gatal - gatal keputihan disebabkan trichomonas vaginalis , candida albicans gardnerella vaginalis</t>
  </si>
  <si>
    <t>betadine vaginal douche plus dengan alat</t>
  </si>
  <si>
    <t>betadine vaginal douche plus dengan alat vaginal douche povidoneiodine sebagai disinfektan vagina  digunakan mengobati gejala iritasi ringan  gatal  gatal keputihan disebabkan trichomonas vaginalis  candida albicans gardnerella vaginalis</t>
  </si>
  <si>
    <t>DKL0433205217A1</t>
  </si>
  <si>
    <t>Prolecin Kaplet 500 mg</t>
  </si>
  <si>
    <t>Rp22.000 - Rp47.000</t>
  </si>
  <si>
    <t>PENGGUNAAN OBAT INI HARUS SESUAI DENGAN PETUNJUK DOKTER. Kapl salut selaput 250-500 mg 1 x/hr selama 7-14 hr.. Pasien dg bersihan kreatinin 20-40 mL/mnt Awal 500 mg, dilanjutkan dg 250 mg tiap 24 hr. Bersihan kreatinin 10-19 mL/mnt, sedang menjalani hemodialisis Awal 500 mg, dilanjutkan dg 250 mg tiap 48 jam. Infus IV 250-500 mg secara infus lambat selma 60 mnt tiap 24 jam atau 750 mg secara infus lambat selama 90 mnt tiap 24 jam. Pneumonia komuniti &amp; sinusitis bakterial akut 500 mg tiap 24 jam selama 7-14 hr atau 750 mg tiap 24 jam selama 5 hr. Pneumonia nosokomial 750 mg tiap 24 jam selama 7-14 hr. Eksaserbasi bakterial akut dr bronkitis kronik 500 mg tiap 24 jam selama 7 hr atau 750 mg tiap 24 jam selama 3-5 hr. Prostatitis bakterial kronik 500 mg tiap 24 jam selama 28 hr. Infeksi kulit &amp; struktur kulit terkomplikasi, ISK, &amp; pielonefritis akut 250-750 mg 1 x/hr tergantung dr tipe &amp; beratnya patogen penyebab, selama 7-14 hr tergantung pd keparahan penyakit.</t>
  </si>
  <si>
    <t>Sinusitis maksilaris akut, eksaserbasi akut dr bronkitis kronik, pneumonia nosokomial, prostatitis bakterial kronik, pneumonia komuniti, infeksi kulit &amp; jar lunak terkomplikasi, ISK, pielonefritis akut.</t>
  </si>
  <si>
    <t>Dus 2 strip x 10 tablet salut selaput</t>
  </si>
  <si>
    <t>Hipersensitivitas thd levofloksasin atau kuinolon lain. Ggn SSP, sal kemih kelamin, kulit &amp; hematologi, epilepsi</t>
  </si>
  <si>
    <t>DKI1258501317B1</t>
  </si>
  <si>
    <t>Caduet 5 mg/20 mg Tablet</t>
  </si>
  <si>
    <t>Rp18.900 - Rp30.400</t>
  </si>
  <si>
    <t>PENGGUNAAN OBAT INI HARUS SESUAI DENGAN PETUNJUK DOKTER. 1 kali sehari 5/10 mg hingga 10/80 mg</t>
  </si>
  <si>
    <t>INFORMASI OBAT INI HANYA UNTUK KALANGAN MEDIS. Amlodipine : Hipertensi, Iskemia Miokardial akibat obstruksi (angina stabil), dan/atau vasospasme/vasokonstriksi vaskulatur koroner (Angina Prinzmetal atau Angina Varian). Atorvastatin : sebagai terapi tambahan pada diet untuk menurunkan kadar tinggi kol</t>
  </si>
  <si>
    <t>Tablet 5 Mg/10 Mg X 30 X 1</t>
  </si>
  <si>
    <t>Penyakit hati, peningkatan persistren dari transaminase serum yang tidak diketahui penyebabnya hingga 3 kali batas normal, hamil, laktasi, wanita subur yang tidak menggunakan kontrasepsi.</t>
  </si>
  <si>
    <t>amlodipine hipertensi , iskemia miokardial akibat obstruksi angina stabil , vasospasme vasokonstriksi vaskulatur koroner angina prinzmetal angina varian  atorvastatin terapi tambahan diet menurunkan kadar kol</t>
  </si>
  <si>
    <t>caduet</t>
  </si>
  <si>
    <t>caduet tablet amlodipine besilate amlodipine hipertensi  iskemia miokardial akibat obstruksi angina stabil  vasospasme vasokonstriksi vaskulatur koroner angina prinzmetal angina varian  atorvastatin terapi tambahan diet menurunkan kadar kol</t>
  </si>
  <si>
    <t>TR132667791</t>
  </si>
  <si>
    <t>Larutan Penyegar Cap Badak Anak Rasa Strawberry 238 ml</t>
  </si>
  <si>
    <t>LARUTAN PENYEGAR CAP BADAK KEMASAN ANAK RASA STRAWBERI</t>
  </si>
  <si>
    <t>Anak-anak minum 1-2 kaleng sehari.</t>
  </si>
  <si>
    <t>Kaleng @ 238 ml</t>
  </si>
  <si>
    <t>larutan penyegar cap badak kemasan anak rasa strawberi</t>
  </si>
  <si>
    <t>penyegar cap badak anak rasa strawberry</t>
  </si>
  <si>
    <t>penyegar cap badak anak rasa strawberry larutan larutan penyegar cap badak kemasan anak rasa strawberi membantu meredakan panas disertai tenggorokan kering  sariawan  sakit tenggorokan membantu menyegarkan badan</t>
  </si>
  <si>
    <t>DTL1422723337A2</t>
  </si>
  <si>
    <t>Bodrexin Flu Dan Batuk PE Sirup 56 ml</t>
  </si>
  <si>
    <t>Rp12.000 - Rp12.800</t>
  </si>
  <si>
    <t>Anak umur 2 - &lt;6 tahun: sesuai petunjuk dokter Anak umut 6-12 tahun: 3 x sehari 2 sendok takar</t>
  </si>
  <si>
    <t>Meringankan gejala flu seperti demam, sakit kepala, hidung tersumbat dan bersin-bersin yang disertai batuk berdahak.</t>
  </si>
  <si>
    <t>Penderita yang hipersensitif terhadap komponen obat ini Penderita dengan gangguan jantung dan diabetes melitus Penderita dengan gangguan fungsi hati yang berat</t>
  </si>
  <si>
    <t>Tidak dianjurkan penggunaan pada anak usia dibawah 6 tahun, wanita hamil dan menyusui.</t>
  </si>
  <si>
    <t>bromhexine hydrochloride guaifenesin chlorphenamine maleate phenylephrine hydrochloride paracetamol</t>
  </si>
  <si>
    <t>meringankan gejala flu demam , sakit kepala , hidung tersumbat bersin - bersin disertai batuk berdahak</t>
  </si>
  <si>
    <t>bodrexin flu dan batuk pe</t>
  </si>
  <si>
    <t>bodrexin flu dan batuk pe sirup bromhexine hydrochloride guaifenesin chlorphenamine maleate phenylephrine hydrochloride paracetamol meringankan gejala flu demam  sakit kepala  hidung tersumbat bersin  bersin disertai batuk berdahak</t>
  </si>
  <si>
    <t>QI094801801</t>
  </si>
  <si>
    <t>Tiger Balm Plaster Warm 2 Lembar</t>
  </si>
  <si>
    <t>Bersihkan dan keringkan area yang akan ditempeli.Buka pelindung perekat dan tempelkan pada bagian yang sakit satu atau dua kali sehari.</t>
  </si>
  <si>
    <t>Mengatasi sakit kepala, meredakan hidung tersumbat, perut kembung, dan gatal akibat digigit serangga. Berkhasiat cepat sebagai pereda nyeri, dibuat dari bahan herbal alami berkualitas.</t>
  </si>
  <si>
    <t>mengatasi sakit kepala , meredakan hidung tersumbat , perut kembung , gatal akibat digigit serangga  berkhasiat cepat pereda nyeri , bahan herbal alami berkualitas</t>
  </si>
  <si>
    <t>tiger balm plaster warm lembar</t>
  </si>
  <si>
    <t>tiger balm plaster warm lembar balsam camphor mengatasi sakit kepala  meredakan hidung tersumbat  perut kembung  gatal akibat digigit serangga  berkhasiat cepat pereda nyeri  bahan herbal alami berkualitas</t>
  </si>
  <si>
    <t>DKL1906609510B1</t>
  </si>
  <si>
    <t>Vytorin 10 mg/20 mg 10 Tablet</t>
  </si>
  <si>
    <t>Rp315.200 - Rp319.600</t>
  </si>
  <si>
    <t>PENGGUNAAN OBAT INI HARUS SESUAI DENGAN PETUNJUK DOKTER. Rentang dosis : tablet komposisi 10/10 mg - 10/40 mg perhari. Dosis awal lazim : 1 tablet perhari. Bagi pasien yang tidak membutuhkan penurunan kadar LDL secara agresif dapat diawali dengan dosis 1 tablet 10/10 mg perhari</t>
  </si>
  <si>
    <t>INFORMASI OBAT INI HANYA UNTUK KALANGAN MEDIS. Terapi tambahan terhadap diet untuk menurunkan kadar tinggi Kolesterol Total, LDL, Apo-B, Trigliserida &amp; non HDL serta untuk meningkatkan HDL pada Hiperkolesterolemia Primer (famili &amp; non famili Heterozigos) atau Hiperlipidemia campuran.</t>
  </si>
  <si>
    <t>Hamil dan laktasi. Hipersensitif. Penyakit hati aktif atau peningkatan persisten transaminase serum yang tidak diketahui penyebabnya.</t>
  </si>
  <si>
    <t>HARUS DENGAN RESEP DOKTER. Konsumsi alkohol dan atau punya riwayat penyakit hati.</t>
  </si>
  <si>
    <t>simvastatin ezetimibe</t>
  </si>
  <si>
    <t>terapi tambahan diet menurunkan kadar kolesterol total , ldl , apo - b , trigliserida non hdl meningkatkan hdl hiperkolesterolemia primer famili non famili heterozigos hiperlipidemia campuran</t>
  </si>
  <si>
    <t>vytorin</t>
  </si>
  <si>
    <t>vytorin tablet simvastatin ezetimibe terapi tambahan diet menurunkan kadar kolesterol total  ldl  apo  b  trigliserida non hdl meningkatkan hdl hiperkolesterolemia primer famili non famili heterozigos hiperlipidemia campuran</t>
  </si>
  <si>
    <t>DKI1258501317A1</t>
  </si>
  <si>
    <t>Caduet 5 mg/10 mg 10 Tablet</t>
  </si>
  <si>
    <t>Rp107.900 - Rp179.200</t>
  </si>
  <si>
    <t>INFORMASI OBAT INI HANYA UNTUK KALANGAN MEDIS. Amlodipine : Hipertensi, Iskemia Miokardial akibat obstruksi tetap (angina stabil), dan/atau vasospasme/vasokonstriksi vaskulatur koroner (Angina Prinzmetal atau Angina Varian). Atorvastatin : sebagai terapi tambahan pada diet untuk menurunkan kadar tinggi kolesterol.</t>
  </si>
  <si>
    <t>amlodipine hipertensi , iskemia miokardial akibat obstruksi angina stabil , vasospasme vasokonstriksi vaskulatur koroner angina prinzmetal angina varian  atorvastatin terapi tambahan diet menurunkan kadar kolesterol</t>
  </si>
  <si>
    <t>caduet tablet amlodipine besilate amlodipine hipertensi  iskemia miokardial akibat obstruksi angina stabil  vasospasme vasokonstriksi vaskulatur koroner angina prinzmetal angina varian  atorvastatin terapi tambahan diet menurunkan kadar kolesterol</t>
  </si>
  <si>
    <t>DKL0732711717A1</t>
  </si>
  <si>
    <t>Yafix FC 100 mg 10 Tablet</t>
  </si>
  <si>
    <t>Rp218.700 - Rp227.600</t>
  </si>
  <si>
    <t>yafix fc</t>
  </si>
  <si>
    <t>yafix fc tablet cefixime trihydrate infeksi saluran kemih komplikasi  otitis medium  radang rongga gendang telinga  faringitis tonsilitis  bronkhitis akut kronis eksaserbasi kumatnya penyakit gejala penyakit mendadak akut</t>
  </si>
  <si>
    <t>TR132667761</t>
  </si>
  <si>
    <t>Larutan Penyegar Cap Badak Anak Rasa Jambu 238 ml</t>
  </si>
  <si>
    <t>LARUTAN PENYEGAR CAP BADAK KEMASAN ANAK RASA JAMBU</t>
  </si>
  <si>
    <t>Rp6.000 - Rp6.800</t>
  </si>
  <si>
    <t>larutan penyegar cap badak kemasan anak rasa jambu</t>
  </si>
  <si>
    <t>penyegar cap badak anak rasa jambu</t>
  </si>
  <si>
    <t>penyegar cap badak anak rasa jambu larutan larutan penyegar cap badak kemasan anak rasa jambu membantu meredakan panas disertai tenggorokan kering  sariawan  sakit tenggorokan membantu menyegarkan badan</t>
  </si>
  <si>
    <t>DTL9522713528A1</t>
  </si>
  <si>
    <t>Neo Rheumacyl Anti Inflammation Gel 30 g</t>
  </si>
  <si>
    <t>Rp15.800 - Rp25.000</t>
  </si>
  <si>
    <t>Oleskan secara merata pada area nyeri.</t>
  </si>
  <si>
    <t>3 - 4 kali sehari</t>
  </si>
  <si>
    <t>Berbagai keadaan inflamaso (peradangan) di otot dan urat sendi yang berhubungan dengan radang otot (miositis), akibat trauma seperti salah urat, terkilir dan memar, serta radang sendi artritis/rematik.</t>
  </si>
  <si>
    <t>Jangan digunakan pada kulit yang luka.</t>
  </si>
  <si>
    <t>berbagai inflamaso peradangan otot urat sendi berhubungan radang otot miositis , akibat trauma salah urat , terkilir memar , radang sendi artritis rematik</t>
  </si>
  <si>
    <t>neo rheumacyl anti inflammation</t>
  </si>
  <si>
    <t>neo rheumacyl anti inflammation gel diclofenac diethylamine berbagai inflamaso peradangan otot urat sendi berhubungan radang otot miositis  akibat trauma salah urat  terkilir memar  radang sendi artritis rematik</t>
  </si>
  <si>
    <t>DKL9313303215B1</t>
  </si>
  <si>
    <t>Zegren 50 mg 10 Tablet</t>
  </si>
  <si>
    <t>Rp21.400 - Rp24.300</t>
  </si>
  <si>
    <t>Meredakan nyeri dan mengurangi inflamasi pada pasien Rematoid Atritis akut dan kronis, nyeri pada tulang, spondilitis ankilosa. Meredakan nyeri ringan sampai sedang pada saat dismenore atau pasca operasi. Meredakan nyeri gigi ringan hingga sedang.</t>
  </si>
  <si>
    <t>Tukak peptik, asma, alergi terhadap aspirin atau AINS lain.</t>
  </si>
  <si>
    <t>meredakan nyeri mengurangi inflamasi pasien rematoid atritis akut kronis , nyeri tulang , spondilitis ankilosa  meredakan nyeri ringan dismenore pasca operasi  meredakan nyeri gigi ringan</t>
  </si>
  <si>
    <t>zegren</t>
  </si>
  <si>
    <t>zegren tablet diclofenac sodium meredakan nyeri mengurangi inflamasi pasien rematoid atritis akut kronis  nyeri tulang  spondilitis ankilosa  meredakan nyeri ringan dismenore pasca operasi  meredakan nyeri gigi ringan</t>
  </si>
  <si>
    <t>GBL0830908863A2</t>
  </si>
  <si>
    <t>Antasida Doen 10 Tablet</t>
  </si>
  <si>
    <t>Rp2.200 - Rp2.800</t>
  </si>
  <si>
    <t>Sebaiknya diberikan pada saat perut kosong: Berikan 1-2 jam setelah makan dan sebelum tidur. Kunyah tablet degan baik sebelum ditelan.</t>
  </si>
  <si>
    <t>Dewasa : 1-2 tablet, 3-4 kali per hari. Anak (6-12 tahun) : 0.5-1 tablet, 3-4 kali per hari.</t>
  </si>
  <si>
    <t>Obat sakit maag untuk mengurangi nyeri lambung yang disebabkan oleh kelebihan asam lambung, gastritis, ulkus gastritis dan ulkus duodenal dengan gejala seperti mual dan perih.</t>
  </si>
  <si>
    <t>Disfungsi ginjal berat, hipersensitif, obstruksi saluran pencernaan, dan pasien yang sangat lemah.</t>
  </si>
  <si>
    <t>Pasien yg sedang menjalani diet rendah fosfor, pasien hemodialisis, dan gangguan fungsi ginjal. Hamil &amp; laktasi. Jangan digunakan selama &gt;2 minggu. Anak &lt;6 thn.</t>
  </si>
  <si>
    <t>magnesium hydroxide dried aluminium hydroxide gel</t>
  </si>
  <si>
    <t>obat sakit maag mengurangi nyeri lambung disebabkan kelebihan asam lambung , gastritis , ulkus gastritis ulkus duodenal gejala mual perih</t>
  </si>
  <si>
    <t>antasida doen</t>
  </si>
  <si>
    <t>antasida doen tablet magnesium hydroxide dried aluminium hydroxide gel obat sakit maag mengurangi nyeri lambung disebabkan kelebihan asam lambung  gastritis  ulkus gastritis ulkus duodenal gejala mual perih</t>
  </si>
  <si>
    <t>Magic Power Crimson Desire 6 Lembar</t>
  </si>
  <si>
    <t>Rp11.600 - Rp28.400</t>
  </si>
  <si>
    <t>Usapkan magic power tissue pada alat vital anda dengan rata, diamkan selama 3-5 menit. Pemakain hanya sekali lalu buang.</t>
  </si>
  <si>
    <t>Membantu dalam Pencegahan Ejakulasi Dini, Membantu Mencegah Penularan Penyakit Seksual Menular, Membantu Meningkatkan Keperkasaan Pria, Memiliki Kandungan Antiseptik dan Keharuman Casanova</t>
  </si>
  <si>
    <t>Untuk pemakaian luar saja. Jauhkan dari anak anak.</t>
  </si>
  <si>
    <t>membantu pencegahan ejakulasi dini , membantu mencegah penularan penyakit seksual menular , membantu meningkatkan keperkasaan pria , memiliki kandungan antiseptik keharuman casanova</t>
  </si>
  <si>
    <t>magic power crimson desire lembar</t>
  </si>
  <si>
    <t>magic power crimson desire lembar tablet sildenafil citrate membantu pencegahan ejakulasi dini  membantu mencegah penularan penyakit seksual menular  membantu meningkatkan keperkasaan pria  memiliki kandungan antiseptik keharuman casanova</t>
  </si>
  <si>
    <t>DKL1715719209B1</t>
  </si>
  <si>
    <t>Glucovel 2 10 Kaplet</t>
  </si>
  <si>
    <t>Rp33.900 - Rp49.800</t>
  </si>
  <si>
    <t>PENGGUNAAN OBAT INI HARUS SESUAI DENGAN PETUNJUK DOKTER. - Dosis harus disesuaikan dengan kadar gula pasien. - Dosis bersifat individual, diberikan 1 atau 2 kali per hari.</t>
  </si>
  <si>
    <t>INFORMASI OBAT INI HANYA UNTUK KALANGAN MEDIS. Terapi tambahan untuk diet dan olahraga pada pasien Diabetes Melitus Tipe 2 atau NIDDM dimana penggunaan glimepiride atau metformin saja tidak menghasilkan kontrol glikemik yang adekuat, serta sebagai pengganti terapi kombinasi glimepiride dan metformin.</t>
  </si>
  <si>
    <t>HARUS DENGAN RESEP DOKTER. - Setelah mengonsumsi obat, jangan menunda waktu makan untuk mengurangi risiko hipoglikemia (kadar gula darah rendah). - Hati-hati pada pasien dengan defisiensi G6PD, gangguan saraf (neuropati otonom), gangguan hati atau ginjal, pasien lansia. - Hati-hati pada wanita hamil dan ibu menyusui. - Lakukan pemantauan glukosa dan Hb glikosilat secara berkala. Belum terdapat data keamanan terkait penggunaan obat ini pada wanita hamil dan/atau menyusui. Konsultasikan kepada dokter apabila Anda sedang hamil dan/atau menyusui.</t>
  </si>
  <si>
    <t>terapi tambahan diet olahraga pasien diabetes melitus tipe 2 niddm dimana penggunaan glimepiride metformin tidak menghasilkan kontrol glikemik adekuat , pengganti terapi kombinasi glimepiride metformin</t>
  </si>
  <si>
    <t>glucovel</t>
  </si>
  <si>
    <t>glucovel kaplet glimepiride terapi tambahan diet olahraga pasien diabetes melitus tipe 2 niddm dimana penggunaan glimepiride metformin tidak menghasilkan kontrol glikemik adekuat  pengganti terapi kombinasi glimepiride metformin</t>
  </si>
  <si>
    <t>DKL9930409514A1</t>
  </si>
  <si>
    <t>Voltaren Retard 100 mg 10 Tablet</t>
  </si>
  <si>
    <t>Inflamasi dan bentuk degeneratif dari Reumatik, Artritis Reumatoid, Spondilitis Ankilosa, Osteoartritis &amp; Spondilartritis/artritis pada tulang punggung, Nyeri pada tulang punggung, non-artikular Reumatik, serangan akut Gout.</t>
  </si>
  <si>
    <t>HARUS DENGAN RESEP DOKTER. Penyakit GI, asma, kerusakan fungsi hati, ginjal dan jantung. Usia lanjut. Pasien dalam terapi dengan diuretika. Pada pemakaian jangka lama, tes fungsi hati dan darah secara teratur. Hamil, laktasi, porfiria, deplesi vol ekstraselular. Gangguan untuk meng</t>
  </si>
  <si>
    <t>inflamasi bentuk degeneratif reumatik , artritis reumatoid , spondilitis ankilosa , osteoartritis spondilartritis artritis tulang punggung , nyeri tulang punggung , non - artikular reumatik , serangan akut gout</t>
  </si>
  <si>
    <t>voltaren retard</t>
  </si>
  <si>
    <t>voltaren retard tablet diclofenac sodium inflamasi bentuk degeneratif reumatik  artritis reumatoid  spondilitis ankilosa  osteoartritis spondilartritis artritis tulang punggung  nyeri tulang punggung  non  artikular reumatik  serangan akut gout</t>
  </si>
  <si>
    <t>DKI1258501317C1</t>
  </si>
  <si>
    <t>Caduet 10 mg/10 mg 10 Tablet</t>
  </si>
  <si>
    <t>Rp140.400 - Rp179.200</t>
  </si>
  <si>
    <t>obh tropica plus sirup succus liquiritiae ammonium chloride paracetamol ephedrine hydrochloride chlorphenamine maleate untuk meredakan batuk sertai gejala  gejala flu demam  sakit kepala  hidung tersumbat  bersin  bersin</t>
  </si>
  <si>
    <t>obh tropica plus sirup succus liquiritiae ammonium chloride ephedrine hydrochloride chlorphenamine maleate paracetamol untuk meredakan batuk sertai gejala  gejala flu demam  sakit kepala  hidung tersumbat  bersin  bersin</t>
  </si>
  <si>
    <t>DKL0822245029A1</t>
  </si>
  <si>
    <t>Clobesan 0.05% Cream 10 g</t>
  </si>
  <si>
    <t>Rp48.400 - Rp59.200</t>
  </si>
  <si>
    <t>PENGGUNAAN OBAT INI HARUS SESUAI DENGAN PETUNJUK DOKTER. 1 atau 2 x sehari hingga terjadi perbaikan</t>
  </si>
  <si>
    <t>Terapi jangka pendek untuk Dermatosis yang resisten seperti Psoriasis, Ekzema rekalsitran/sulit sembuh, Lichen Planus, Lupus Eritematosus Dsikoid &amp; kondisi lain yang tidak responsif memuaskan terhadap steroid yang kurang aktif/kuat</t>
  </si>
  <si>
    <t>HARUS DENGAN RESEP DOKTER. Penggunaan dalam jangka waktu lama. Hamil &amp; laktasi. Pasien anak.</t>
  </si>
  <si>
    <t>terapi jangka pendek dermatosis resisten psoriasis , ekzema rekalsitran sulit sembuh , lichen planus , lupus eritematosus dsikoid kondisi tidak responsif memuaskan steroid aktif kuat</t>
  </si>
  <si>
    <t>clobesan cream</t>
  </si>
  <si>
    <t>clobesan cream krim clobetasol propionate terapi jangka pendek dermatosis resisten psoriasis  ekzema rekalsitran sulit sembuh  lichen planus  lupus eritematosus dsikoid kondisi tidak responsif memuaskan steroid aktif kuat</t>
  </si>
  <si>
    <t>DKL1818832237A1</t>
  </si>
  <si>
    <t>Methopi Sirup 60 ml</t>
  </si>
  <si>
    <t>Rp91.300 - Rp99.600</t>
  </si>
  <si>
    <t>Dewasa: 4 sendok takar, diminum 3-4 x sehari. Anak: 2 sendok takar, di minum 3-4 x sehari.</t>
  </si>
  <si>
    <t>INFORMASI OBAT INI HANYA UNTUK KALANGAN MEDIS. Penyakit yang disebabkan oleh virus pada saluran nafas, penyakit-penyakit eksantem, penyakit hati, dan beberapa penyakit sistem saraf. Flu pada anak dan dewasa, bronchiolitis, rhinopharyngitis, varicella, campak, herpes simplex dan zoster, parotitis</t>
  </si>
  <si>
    <t>Dus 1 Botol @ 60 ml</t>
  </si>
  <si>
    <t>Penyakt jantung, hipersensitif.</t>
  </si>
  <si>
    <t>HARUS DENGAN RESEP DOKTER. Wanita hamil dan menyusui</t>
  </si>
  <si>
    <t>penyakit disebabkan virus saluran nafas , penyakit - penyakit eksantem , penyakit hati , penyakit sistem saraf  flu anak dewasa , bronchiolitis , rhinopharyngitis , varicella , campak , herpes simplex zoster , parotitis</t>
  </si>
  <si>
    <t>methopi</t>
  </si>
  <si>
    <t>methopi sirup methisoprinol penyakit disebabkan virus saluran nafas  penyakit  penyakit eksantem  penyakit hati  penyakit sistem saraf  flu anak dewasa  bronchiolitis  rhinopharyngitis  varicella  campak  herpes simplex zoster  parotitis</t>
  </si>
  <si>
    <t>DKL8102301001B1</t>
  </si>
  <si>
    <t>Phenobiotic 500 mg 10 Kapsul</t>
  </si>
  <si>
    <t>Rp13.200 - Rp22.300</t>
  </si>
  <si>
    <t>untuk demam tifus, paratifus, infeksi Salmonella sp sp, H. influenzae, terutama infeksi meningeal, Rickettsia, Lympogranulloma psittacosis, bakteri gram negatif penyebab bakteria meningitis, infeksi kuman yang resisten terhadap antibiotik lain.</t>
  </si>
  <si>
    <t>box 10 strip @ 10 kapsul</t>
  </si>
  <si>
    <t>demam tifus , paratifus , infeksi salmonella sp sp , h  influenzae , infeksi meningeal , rickettsia , lympogranulloma psittacosis , bakteri gram negatif penyebab bakteria meningitis , infeksi kuman resisten antibiotik</t>
  </si>
  <si>
    <t>phenobiotic</t>
  </si>
  <si>
    <t>phenobiotic kapsul thiamphenicol demam tifus  paratifus  infeksi salmonella sp sp  h  influenzae  infeksi meningeal  rickettsia  lympogranulloma psittacosis  bakteri gram negatif penyebab bakteria meningitis  infeksi kuman resisten antibiotik</t>
  </si>
  <si>
    <t>DKI1485200817B1</t>
  </si>
  <si>
    <t>Januvia 50 mg 14 Tablet</t>
  </si>
  <si>
    <t>Rp174.800 - Rp323.900</t>
  </si>
  <si>
    <t>PENGGUNAAN OBAT INI HARUS SESUAI DENGAN PETUNJUK DOKTER. 1 x sehari 2 tablet. Insufisiensi ginjal derajat sedang (CrCl/bersihan Kreatinin minimum 30 mL/mnt hingga maximum 50 mL/mnt) : 1 x sehari 1 tablet. Insufisiensi ginjal berat</t>
  </si>
  <si>
    <t>Tambahan terhadap diet dan olahraga untuk memperbaiki kontrol Glikemik pada Diabetes Melitus tipe-2. Terapi kombinasi dengan Metformin atau Tiazolidinedion pada Diabetes Melitus tipe-2 yang tidak dapat dikontrol secara adekuat dengan monoterapi saja, diet</t>
  </si>
  <si>
    <t>Box Isi 2 Strip @ 14 Tablet</t>
  </si>
  <si>
    <t>HARUS DENGAN RESEP DOKTER. DM tipe I atau ketoasidosis diabetikum, insufisiensi ginjal derajat sedang atau berat</t>
  </si>
  <si>
    <t>cendo augentonic drop tetes phenylephrine hydrochloride zinc sulfate heptahydrate memperjelas menguatkan pandangan  mengurangi simpton letih membaca menonton televisi iritasi konjungtiva  fotoftalmia  juga iritasi noninfeksi  radang alergi mata</t>
  </si>
  <si>
    <t>DKL8831501017A1</t>
  </si>
  <si>
    <t>Farmadral 10 mg 10 Tablet</t>
  </si>
  <si>
    <t>Sebaiknya diberikan pada saat perut kosong.</t>
  </si>
  <si>
    <t>PENGGUNAAN OBAT INI HARUS SESUAI DENGAN PETUNJUK DOKTER. Dewasa &amp; anak &gt; 12 tahun - Angina Pectoris : 3-4 x sehari 2 tablet, ditingkatkan bertahap menjadi 3-4 x sehari 4 tablet. Maximum : 200-280 mg perhari. Cardiac Arrhythmia :</t>
  </si>
  <si>
    <t>INFORMASI OBAT INI HANYA UNTUK KALANGAN MEDIS. Hipertensi, Angina Pektoris, Kecemasan, Takikardia, Disritmia jantung, Cardiomiopati obstruktif hipertrofik &amp; Tremor esensial, terapi tambahan pada Tirotoksikosis &amp; Feokhromositoma, pencegahan paska Infark Miokard akut, Migren &amp; Angina Pektoris</t>
  </si>
  <si>
    <t>Sinus bradikardia, syok kardiogenik, blok jantung derajat 2 atau 3, penyakit jantung.</t>
  </si>
  <si>
    <t>HARUS DENGAN RESEP DOKTER. Gangguan penerimaan jantung, gagal jantung, DM, hipertiroid, anestesi. Katagori Kehamilan: Katagori C: Mungkin berisiko. Obat digunakan dengan hati-hati apabila besarnya manfaat yang diperoleh melebihi besarnya risiko terhadap janin. Penelitian pada hewan uji menunjukkan risiko terhadap janin dan belum terdapat penelitian langsung terhadap wanita hamil</t>
  </si>
  <si>
    <t>propranolol</t>
  </si>
  <si>
    <t>hipertensi , angina pektoris , kecemasan , takikardia , disritmia jantung , cardiomiopati obstruktif hipertrofik tremor esensial , terapi tambahan tirotoksikosis feokhromositoma , pencegahan paska infark miokard akut , migren angina pektoris</t>
  </si>
  <si>
    <t>farmadral</t>
  </si>
  <si>
    <t>farmadral tablet propranolol hipertensi  angina pektoris  kecemasan  takikardia  disritmia jantung  cardiomiopati obstruktif hipertrofik tremor esensial  terapi tambahan tirotoksikosis feokhromositoma  pencegahan paska infark miokard akut  migren angina pektoris</t>
  </si>
  <si>
    <t>DKI1849800209B1</t>
  </si>
  <si>
    <t>Lapigim 2/500 mg 10 Kaplet</t>
  </si>
  <si>
    <t>Rp69.200 - Rp81.700</t>
  </si>
  <si>
    <t>lapigim</t>
  </si>
  <si>
    <t>lapigim tablet glimepiride terapi tambahan diet olahraga pasien diabetes melitus tipe 2 niddm dimana penggunaan glimepiride metformin tidak menghasilkan kontrol glikemik adekuat  pengganti terapi kombinasi glimepiride metformin</t>
  </si>
  <si>
    <t>DKL9408001810B1</t>
  </si>
  <si>
    <t>Unalium 5 mg 20 Tablet</t>
  </si>
  <si>
    <t>Rp93.300 - Rp189.500</t>
  </si>
  <si>
    <t>Kehamilan, menyusui, GI atau obstruksi saluran kemih, porfiria akut.</t>
  </si>
  <si>
    <t>unalium tablet flunarizine hydrochloride menghilangkan gejala  gejala kelai sirkulasi perifer serebral gangguan vestibular pusing  vertigo  konsentrasi  gangguan ingatan  sifat lekas marah  gangguan ritme tidur  telinga berdengung  migren</t>
  </si>
  <si>
    <t>meflosin kaplet ciprofloxacin hydrochloride monohydrate infeksi saluran kemih  saluran pernafasan  infeksi tulang sendi  infeksi kulit jaringan lunak  infeksi saluran pencernaan  gonore akut  osteomielitis radang sumsum tulang akut</t>
  </si>
  <si>
    <t>DKL0304421302B1</t>
  </si>
  <si>
    <t>Oscal 0.25 mcg 30 Kapsul</t>
  </si>
  <si>
    <t>Rp242.900 - Rp340.400</t>
  </si>
  <si>
    <t>PENGGUNAAN OBAT INI HARUS SESUAI DENGAN PETUNJUK DOKTER. 1-2 kapsul sehari</t>
  </si>
  <si>
    <t>Osteoporosis pasca menopause. Osteodistrofi renal pada pasien dengan gangguan ginjal kronik, terutama yang menjalani hemodialisis. Hipoparatiroidisme pasca operasi dan idiopatik. Pseudohipoparatiroidisme. Ketergantungan vit D dan hipofsofatemik. Rickets yang resisten terhadap vit D.</t>
  </si>
  <si>
    <t>Dus, Botol @ 30 kapsul lunak</t>
  </si>
  <si>
    <t>HARUS DENGAN RESEP DOKTER. Ibu hamil dan menyusui</t>
  </si>
  <si>
    <t>osteoporosis pasca menopause  osteodistrofi renal pasien gangguan ginjal kronik , menjalani hemodialisis  hipoparatiroidisme pasca operasi idiopatik  pseudohipoparatiroidisme  ketergantungan vit d hipofsofatemik  rickets resisten vit d</t>
  </si>
  <si>
    <t>oscal kapsul calcitriol osteoporosis pasca menopause  osteodistrofi renal pasien gangguan ginjal kronik  menjalani hemodialisis  hipoparatiroidisme pasca operasi idiopatik  pseudohipoparatiroidisme  ketergantungan vit d hipofsofatemik  rickets resisten vit d</t>
  </si>
  <si>
    <t>DKL1313317710A1</t>
  </si>
  <si>
    <t>Laprosin 500 mg 4 Tablet</t>
  </si>
  <si>
    <t>Rp29.200 - Rp58.300</t>
  </si>
  <si>
    <t>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t>
  </si>
  <si>
    <t>Infeksi virus pd sal napas, eksantema, peny hati, &amp; penyakit saraf tertetntu</t>
  </si>
  <si>
    <t>Tenangin 15 ml 5 Sachet</t>
  </si>
  <si>
    <t>Rp11.200 - Rp14.000</t>
  </si>
  <si>
    <t>Membantu memelihara daya tahan tubuh saat bekerja dan melakukan perjalanan jauh. Membantu meredakan gejala masuk angin seperti meriang, pusing, mual, otot-otot kaku, perut kembung. Membantu meredakan pegal linu dan menyegarkan badan</t>
  </si>
  <si>
    <t>Dus, 5 Sachet @ 15 ml Sirup</t>
  </si>
  <si>
    <t>membantu memelihara daya tahan tubuh perjalanan  membantu meredakan gejala masuk angin meriang , pusing , mual , otot - otot kaku , perut kembung  membantu meredakan pegal linu menyegarkan badan</t>
  </si>
  <si>
    <t>tegin sachet membantu memelihara daya tahan tubuh perjala  membantu meredakan gejala masuk angin meriang  pusing  mual  otot  otot kaku  perut kembung  membantu meredakan pegal linu menyegarkan badan</t>
  </si>
  <si>
    <t>DBL1820940516A1</t>
  </si>
  <si>
    <t>Indobion 10 Tablet</t>
  </si>
  <si>
    <t>Rp7.700 - Rp8.100</t>
  </si>
  <si>
    <t>Untuk membantu memenuhi kebutuhan zat besi, mencegah anemia karena kekurangan zat besi ataupun asam folat dan mineral lain yang membantu proses pembentukan hemoglobin dan sel darah merah</t>
  </si>
  <si>
    <t>Dus, 3 Catch Cover @ 1 Strip @ 10 Tablet Salut Gula</t>
  </si>
  <si>
    <t>untuk membantu memenuhi kebutuhan zat besi , mencegah anemia kekurangan zat besi asam folat mineral membantu prose pembentukan hemoglobin sel darah merah</t>
  </si>
  <si>
    <t>indobion</t>
  </si>
  <si>
    <t>indobion tablet folic acid ferrous fumarate untuk membantu memenuhi kebutuhan zat besi  mencegah anemia kekurangan zat besi asam folat mineral membantu prose pembentukan hemoglobin sel darah merah</t>
  </si>
  <si>
    <t>cendo statrol eye drop tetes polymyxin b sulfate neomycin sulfate phenylephrine hydrochloride infeksi mata disebabkan kuman peka obat  sptp  seudomonas aeruginosa  haemophilus influenza  proteus  vulgaris  staphylococcus aureus</t>
  </si>
  <si>
    <t>DTL1313318317A1</t>
  </si>
  <si>
    <t>Lapibion 10 Tablet</t>
  </si>
  <si>
    <t>Rp12.700 - Rp22.900</t>
  </si>
  <si>
    <t>Neuritis, Neuroparalisis, Lumbago (sakit pada punggung bagian bawah), Neuralgia, Parestesia, Lemah tak bertenaga (Astenia), Neuropati, Fatig/rasa Lelah, Polineuropati Diabetikum, gangguan kesehatan pagi hari pada wanita hamil muda termasuk mual-muntah.</t>
  </si>
  <si>
    <t>Hipersensitif, gastritis atrofi, kalium dalam darah rendah,</t>
  </si>
  <si>
    <t>Hamil, berencana untuk hamil atau menyusui, infeksi, melemah saraf mata, anemia,</t>
  </si>
  <si>
    <t>neuritis , neuroparalisis , lumbago sakit punggung , neuralgia , parestesia , lemah bertenaga astenia , neuropati , fatig lelah , polineuropati diabetikum , gangguan kesehatan pagi wanita hamil muda mual - muntah</t>
  </si>
  <si>
    <t>lapibion</t>
  </si>
  <si>
    <t>lapibion tablet adenosine triphosphate neuritis  neuroparalisis  lumbago sakit punggung  neuralgia  parestesia  lemah bertenaga astenia  neuropati  fatig lelah  polineuropati diabetikum  gangguan kesehatan pagi wanita hamil muda mual  muntah</t>
  </si>
  <si>
    <t>DKL0633208409A1</t>
  </si>
  <si>
    <t>Metham 10 Tablet</t>
  </si>
  <si>
    <t>PENGGUNAAN OBAT INI HARUS SESUAI DENGAN PETUNJUK DOKTER. 1 x sehari 1 1/2 tablet pada 2 bulan pertama</t>
  </si>
  <si>
    <t>Pasien tuberkulosis dewasa dengan BTA positif, pasien baru tuberkulosis dewasa dengan BTA negatif dengan perluasan ke parenkim, kasus baru bentuk ekstra BTA berat, tuberkulosis meningitis dan tuberkulosis milliar. Mentham, rifampisin,pirazinamid</t>
  </si>
  <si>
    <t>Hipersensitif terhadap isonicotine hydrazine dan etambutol. Hepatitis, kerusakan hati berat, neuritis optik, pasien dengan gangguan fungsi ginjal, epilepsi, alkoholik kronik</t>
  </si>
  <si>
    <t>HARUS DENGAN RESEP DOKTER. Penggunaan isonicotine hydrazine jangka panjang dapat meningkatkan risiko gangguan fungsi hati. Gangguan fungsi ginjal. Individu dengan ambang kejang yang rendah. Malnutrisi berat. Riwayat gout. Lanjut usia</t>
  </si>
  <si>
    <t>pasien tuberkulosis dewasa bta positif , pasien tuberkulosis dewasa bta negatif perluasan parenkim , bentuk ekstra bta berat , tuberkulosis meningitis tuberkulosis milliar  mentham , rifampisin , pirazinamid</t>
  </si>
  <si>
    <t>metham</t>
  </si>
  <si>
    <t>metham kaplet ethambutol hydrochloride pasien tuberkulosis dewasa bta positif  pasien tuberkulosis dewasa bta negatif perluasan parenkim  bentuk ekstra bta berat  tuberkulosis meningitis tuberkulosis milliar  mentham  rifampisin  pirazinamid</t>
  </si>
  <si>
    <t>Tolak Angin Bebas Gula 5 Sachet</t>
  </si>
  <si>
    <t>Rp25.600 - Rp28.200</t>
  </si>
  <si>
    <t>Untuk daya tahan tubuh: minum 1 sachet, 2 kali per hari. Selama 7 hari atau lebih. Untuk masuk angin/ sakit perut: minum 1 sachet, 3 sampai 4 kali per hari. Untuk mabuk atau saat melakukan perjalanan: minum 1 sachet, 1 kali per hari. Untuk kecapaian dan kurang tidur: minum 1 sachet per hari.</t>
  </si>
  <si>
    <t>Obat herbal untuk embantu mengurangi gejala masuk angin dengan gejala kembung, mual, sakit perut, pusing, meriang, lesu dan tenggorokan kering. Juga baik diminum saat perjalanan, kecapaian dan kurang tidur.</t>
  </si>
  <si>
    <t>Obat ini tidak direkomendasikan untuk wanita hamil dan pasien dengan gangguan fungsi ginjal.</t>
  </si>
  <si>
    <t>obat herbal embantu mengurangi gejala masuk angin gejala kembung , mual , sakit perut , pusing , meriang , lesu tenggorokan kering  juga diminum perjalanan , kecapaian tidur</t>
  </si>
  <si>
    <t>tolak angin bebas gula sachet obat herbal embantu mengurangi gejala masuk angin gejala kembung  mual  sakit perut  pusing  meriang  lesu tenggorokan kering  juga diminum perjala  kecapaian tidur</t>
  </si>
  <si>
    <t>DKL1931543117A1</t>
  </si>
  <si>
    <t>Sikstop 90 mg 10 Tablet</t>
  </si>
  <si>
    <t>Rp89.800 - Rp106.600</t>
  </si>
  <si>
    <t>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t>
  </si>
  <si>
    <t>INFORMASI OBAT INI HANYA UNTUK KALANGAN MEDIS. Meredakan gejala Osteo arthritis, Rheumatoid arthritis, spondilitis ankilosa, serta nyeri dan tanda inflamasi yg berhubungan dengan artritis gout akut, nyeri muskuloskeletal kronik, nyeri akut yang berhubungan dengan bedah gigi.</t>
  </si>
  <si>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t>
  </si>
  <si>
    <t>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</si>
  <si>
    <t>meredakan gejala osteo arthritis , rheumatoid arthritis , spondilitis ankilosa , nyeri tanda inflamasi yg berhubungan artritis gout akut , nyeri muskuloskeletal kronik , nyeri akut berhubungan bedah gigi</t>
  </si>
  <si>
    <t>sikstop</t>
  </si>
  <si>
    <t>sikstop tablet etoricoxib meredakan gejala osteo arthritis  rheumatoid arthritis  spondilitis ankilosa  nyeri tanda inflamasi yg berhubungan artritis gout akut  nyeri muskuloskeletal kronik  nyeri akut berhubungan bedah gigi</t>
  </si>
  <si>
    <t>DKL1931543117B1</t>
  </si>
  <si>
    <t>Sikstop 60 mg 10 Tablet</t>
  </si>
  <si>
    <t>Rp83.300 - Rp92.400</t>
  </si>
  <si>
    <t>DKL9522713217A1</t>
  </si>
  <si>
    <t>Scanaflam Tablet 25 mg</t>
  </si>
  <si>
    <t>Rp1.300 - Rp2.100</t>
  </si>
  <si>
    <t>scanaflam</t>
  </si>
  <si>
    <t>scanaflam tablet diclofenac potassium meredakan nyeri mengurangi inflamasi pasien rematoid atritis akut kronis  nyeri tulang  spondilitis ankilosa  meredakan nyeri ringan dismenore pasca operasi  meredakan nyeri gigi ringan</t>
  </si>
  <si>
    <t>DKL8302301038A1</t>
  </si>
  <si>
    <t>Phenobiotic Dry Sirup 60 ml</t>
  </si>
  <si>
    <t>Rp12.800 - Rp41.700</t>
  </si>
  <si>
    <t>PENGGUNAAN OBAT INI HARUS SESUAI DENGAN PETUNJUK DOKTER. dewasa anak bayi &gt; 2 minggu 50 mg / kg BB / hari dalam 3-4 dosis bagi, bayi &lt; 2 minggu dan prematur 25 mg / kg BB / hari dalam 4 dosis.</t>
  </si>
  <si>
    <t>demam tifus, paratifus, infeksi Salmonella sp sp, H. influenzae, terutama infeksi meningeal, Rickettsia, Lympogranulloma psittacosis, bakteri gram negatif penyebab bakteria meningitis, infeksi kuman yang resisten terhadap antibiotik lain.</t>
  </si>
  <si>
    <t>phenobiotic sirup thiamphenicol demam tifus  paratifus  infeksi salmonella sp sp  h  influenzae  infeksi meningeal  rickettsia  lympogranulloma psittacosis  bakteri gram negatif penyebab bakteria meningitis  infeksi kuman resisten antibiotik</t>
  </si>
  <si>
    <t>sodium citrate dihydrate ammonium chloride pseudoephedrine hydrochloride paracetamol diphenhydramine hydrochloride</t>
  </si>
  <si>
    <t>ikadryl flu sirup sodium citrate dihydrate ammonium chloride pseudoephedrine hydrochloride paracetamol diphenhydramine hydrochloride untuk meringankan gejala  gejala flu demam  sakit kepala  hidung tersumbat bersin  bersin disertai batuk</t>
  </si>
  <si>
    <t>DTL1733539010A1</t>
  </si>
  <si>
    <t>Dicom 30/2.5 mg 10 Tablet</t>
  </si>
  <si>
    <t>Rp21.400 - Rp22.000</t>
  </si>
  <si>
    <t>Dewasa 1 tablet , 3 kali sehari. Anak-anak (6-12 tahun) 1/2 tablet, 3 kali sehari</t>
  </si>
  <si>
    <t>Mengatasi dan meringankan gejala flu serta alergi, seperti hidung tersumbat. Mengatasi peradangan pada bagian dalam hidung yang tidak diketahui penyebabnya. Meredakan bersin-bersin, peradangan pada mukosa hidung yang disebabkan reaksi alergi (rhinitis alergi).</t>
  </si>
  <si>
    <t>Dus, 1 Catch Cover @ 10 Tablet</t>
  </si>
  <si>
    <t>Penderita hipersensitif terhadap komponen obat ini, penderita yang peka terhadap obat simpatomimetik lain dan yang mendapat terapi obat antidepresan, penderita tekanan darah tinggi, stroke, berat badan berlebih atau pada penderita usia lanjut</t>
  </si>
  <si>
    <t>mengatasi meringankan gejala flu alergi , hidung tersumbat  mengatasi peradangan hidung tidak penyebabnya  meredakan bersin - bersin , peradangan mukosa hidung disebabkan reaksi alergi rhinitis alergi</t>
  </si>
  <si>
    <t>dicom</t>
  </si>
  <si>
    <t>dicom tablet pseudoephedrine hydrochloride mengatasi meringankan gejala flu alergi  hidung tersumbat  mengatasi peradangan hidung tidak penyebabnya  meredakan bersin  bersin  peradangan mukosa hidung disebabkan reaksi alergi rhinitis alergi</t>
  </si>
  <si>
    <t>DKL9221005907B1</t>
  </si>
  <si>
    <t>Prostanac 50 mg 10 Tablet</t>
  </si>
  <si>
    <t>Rp5.400 - Rp16.500</t>
  </si>
  <si>
    <t>prostanac</t>
  </si>
  <si>
    <t>prostanac kaplet diclofenac sodium meredakan nyeri mengurangi inflamasi pasien rematoid atritis akut kronis  nyeri tulang  spondilitis ankilosa  meredakan nyeri ringan dismenore pasca operasi  meredakan nyeri gigi ringan</t>
  </si>
  <si>
    <t>DKL9321006809A1</t>
  </si>
  <si>
    <t>Volinol 500 mg 6 Kaplet</t>
  </si>
  <si>
    <t>Rp111.100 - Rp121.200</t>
  </si>
  <si>
    <t>ISK (kecuali prostatitis, uretritis dan servisitis). GO, infeksi sal cerna termasuk tifoid dan paratifoid, infeksi sal nafas (kecuali pneumonia oleh Strep _ hemolitikus), kulit dan jar lunak, tulang dan sendi</t>
  </si>
  <si>
    <t>Hamil, menyusui. Hipersensitif</t>
  </si>
  <si>
    <t>HARUS DENGAN RESEP DOKTER. Kelainan SSP, gangguan ginjal</t>
  </si>
  <si>
    <t>isk kecuali prostatitis , uretritis servisitis  go , infeksi sal cerna tifoid paratifoid , infeksi sal nafas kecuali pneumonia strep hemolitikus , kulit jar lunak , tulang sendi</t>
  </si>
  <si>
    <t>volinol</t>
  </si>
  <si>
    <t>volinol kaplet ciprofloxacin hydrochloride isk kecuali prostatitis  uretritis servisitis  go  infeksi sal cerna tifoid paratifoid  infeksi sal nafas kecuali pneumonia strep hemolitikus  kulit jar lunak  tulang sendi</t>
  </si>
  <si>
    <t>Vigel Gel 30 g</t>
  </si>
  <si>
    <t>Rp19.400 - Rp21.600</t>
  </si>
  <si>
    <t>Buka tutup tube dan tekan keluar gel secukupnya ke jari tangan. Oleskan sesuai kebutuhan, tambahkan bila dirasa kurang.</t>
  </si>
  <si>
    <t>Dapat dipakai sebagai bahan tambahan pelumas yang dioleskan pada bagian luar lapisan kondom yang siap pakai</t>
  </si>
  <si>
    <t>DKL9131503115B1</t>
  </si>
  <si>
    <t>Renadinac 25 mg 10 Tablet</t>
  </si>
  <si>
    <t>Rp3.400 - Rp5.600</t>
  </si>
  <si>
    <t>renadinac tablet diclofenac sodium meredakan nyeri mengurangi inflamasi pasien rematoid atritis akut kronis  nyeri tulang  spondilitis ankilosa  meredakan nyeri ringan dismenore pasca operasi  meredakan nyeri gigi ringan</t>
  </si>
  <si>
    <t>DTL2118218537A1</t>
  </si>
  <si>
    <t>Bronchitin Flu 60 ml</t>
  </si>
  <si>
    <t>Rp7.900 - Rp12.600</t>
  </si>
  <si>
    <t>- Usia 2-6 tahun : 2,5 ml tiap 6-8 jam - Usia 6-12 tahun : 5 ml tiap 6-8 jam - Maksimal 4 dosis dalam 24 jam</t>
  </si>
  <si>
    <t>Meringankan gejala-gejala demam seperti, Hidung meler, hidung tersumbat dan meredakan bersin, gatal pada hidung atau tenggorokan, mata berair karena flu atau alergi saluran pernafasan atas.</t>
  </si>
  <si>
    <t>meringankan gejala - gejala demam , hidung meler , hidung tersumbat meredakan bersin , gatal hidung tenggorokan , mata berair flu alergi saluran pernafasan</t>
  </si>
  <si>
    <t>bronchitin flu</t>
  </si>
  <si>
    <t>bronchitin flu sirup paracetamol chlorphenamine maleate pseudoephedrine hydrochloride meringankan gejala  gejala demam  hidung meler  hidung tersumbat meredakan bersin  gatal hidung tenggorokan  mata berair flu alergi saluran pernafasan</t>
  </si>
  <si>
    <t>DKL1815629601A1</t>
  </si>
  <si>
    <t>Maxpro FC 100 mg 10 Tablet</t>
  </si>
  <si>
    <t>Rp149.300 - Rp270.200</t>
  </si>
  <si>
    <t>maxpro fc</t>
  </si>
  <si>
    <t>maxpro fc kapsul cefixime trihydrate infeksi saluran kemih komplikasi  otitis medium  radang rongga gendang telinga  faringitis tonsilitis  bronkhitis akut kronis eksaserbasi kumatnya penyakit gejala penyakit mendadak akut</t>
  </si>
  <si>
    <t>DKL0419609417A1</t>
  </si>
  <si>
    <t>Lexa Kaplet 500 mg</t>
  </si>
  <si>
    <t>Rp40.300 - Rp52.700</t>
  </si>
  <si>
    <t>Sebaiknya diberikan bersama atau tanpa makanan</t>
  </si>
  <si>
    <t>PENGGUNAAN OBAT INI HARUS SESUAI DENGAN PETUNJUK DOKTER. Sinusitis Maksilaris Akut: 1 x sehari 500 mg selama 10-14 hari. Pneumonia Komunitas: 1 x sehari 500 mg selama 7-14 hari. Eksaserbasi Akut Bronkitis Kronis: 1 x sehari 500 mg selama 7 hari. Infeksi Saluran Kemih dengan Komplikasi, Pielonefritis Akut: 1 x sehari 250 mg selama 10 hari. Infeksi Kulit &amp; Jaringan Lunak Tanpa Komplikasi: 1 x sehari 500 mg selama 7-10 hari.</t>
  </si>
  <si>
    <t>INFORMASI OBAT INI HANYA UNTUK KALANGAN MEDIS. Digunakan untuk sinusitis maksilaris akut, pneumonia komunitas, eksaserbasi akut bronkitis kronis, infeksi saluran kemih dengan komplikasi, pielonefritis (infeksi pada ginjal) akut, infeksi kulit dan jaringan lunak tanpa komplikasi.</t>
  </si>
  <si>
    <t>Dus,1 Strip @10 Kaplet Salut Selaput</t>
  </si>
  <si>
    <t>HARUS DENGAN RESEP DOKTER. Insufisiensi ginjal, diabetes melitus.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</si>
  <si>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digunakan sinusitis maksilaris akut , pneumonia komunitas , eksaserbasi akut bronkitis kronis , infeksi saluran kemih komplikasi , pielonefritis infeksi ginjal akut , infeksi kulit jaringan lunak komplikasi</t>
  </si>
  <si>
    <t>lexa</t>
  </si>
  <si>
    <t>lexa tablet levofloxacin hemihydrate digunakan sinusitis maksilaris akut  pneumonia komunitas  eksaserbasi akut bronkitis kronis  infeksi saluran kemih komplikasi  pielonefritis infeksi ginjal akut  infeksi kulit jaringan lunak komplikasi</t>
  </si>
  <si>
    <t>DKL9622713217B1</t>
  </si>
  <si>
    <t>Scanaflam Tablet 50 mg</t>
  </si>
  <si>
    <t>DKL0832401503A1</t>
  </si>
  <si>
    <t>Zolacap 20 mg 10 Kapsul</t>
  </si>
  <si>
    <t>Rp156.300 - Rp183.200</t>
  </si>
  <si>
    <t>Terapi jangka pendek untuk tukak lambung,tukak duodenum yang tidak responsif terhadap antagonis reseptor H2. Terapi refluks esofagitis erosif/ulseratif yang didiagnosis melalui endoskopi, Terapi jangka panjang untuk sindrom Zollinger-Ellison</t>
  </si>
  <si>
    <t>Dus, 2 Strip @ 2 Kapsul</t>
  </si>
  <si>
    <t>HARUS DENGAN RESEP DOKTER. Anak, hamil, laktasi. Hipoklorhidria dan hipergastrinemia (penggunaan jangka panjang). Monitor adanya pertumbuhan bakteri secara berlebihan di saluran Gastritis</t>
  </si>
  <si>
    <t>terapi jangka pendek tukak lambung , tukak duodenum tidak responsif antagonis reseptor h2  terapi refluks esofagitis erosif ulseratif didiagnosis endoskopi , terapi jangka sindrom zollinger - ellison</t>
  </si>
  <si>
    <t>zolacap</t>
  </si>
  <si>
    <t>zolacap kapsul omeprazole terapi jangka pendek tukak lambung  tukak duodenum tidak responsif antagonis reseptor h2  terapi refluks esofagitis erosif ulseratif didiagnosis endoskopi  terapi jangka sindrom zollinger  ellison</t>
  </si>
  <si>
    <t>- SIMETHICONE. ALUMINIUM HYDROXIDE GEL. MAGNESIUM HYDROXIDE PASTE (30)</t>
  </si>
  <si>
    <t>simethicone aluminium hydroxide gel magnesium hydroxide paste (30)</t>
  </si>
  <si>
    <t>polycrol forte suspensi simethicone aluminium hydroxide gel magnesium hydroxide paste 30 gangguan lambung disebabkan karana kelebihan asam lambung seperli tukak lambung  nyari ulu hati  kambung  hiatus hernis</t>
  </si>
  <si>
    <t>- SIMETHICONE. MAGNESIUM HYDROXIDE PASTE (30). ALUMINIUM HYDROXIDE GEL</t>
  </si>
  <si>
    <t>simethicone magnesium hydroxide paste (30) aluminium hydroxide gel</t>
  </si>
  <si>
    <t>polycrol forte suspensi simethicone magnesium hydroxide paste 30 aluminium hydroxide gel gangguan lambung disebabkan karana kelebihan asam lambung seperli tukak lambung  nyari ulu hati  kambung  hiatus hernis</t>
  </si>
  <si>
    <t>DTL1124401824A1</t>
  </si>
  <si>
    <t>Daktarin Powder 20 g</t>
  </si>
  <si>
    <t>Rp43.900 - Rp64.600</t>
  </si>
  <si>
    <t>Bubuhkan secukupnya pada bagian yang terinfeksi.</t>
  </si>
  <si>
    <t>Gunakan 2 kali sehari selama 2-6 minggu, tergantung berat-ringan penyakit.</t>
  </si>
  <si>
    <t>Obat ini digunakan untuk mengatasi penyakit kulit yang diakibatkan oleh berbagai jenis jamur (panu, penyakit kulit pada sela-sela jari, selangkangan, lipatan kulit, badan) dan infeksi jamur yang sudah disertai infeksi sekunder bakteri gram positif.</t>
  </si>
  <si>
    <t>Dus, Botol Plastik @ 20 gram</t>
  </si>
  <si>
    <t>Hipersensitif terhadap miconazole.</t>
  </si>
  <si>
    <t>obat mengatasi penyakit kulit diakibatkan jenis jamur panu , penyakit kulit - jari , selangkangan , lipatan kulit , badan infeksi jamur disertai infeksi sekunder bakteri gram positif</t>
  </si>
  <si>
    <t>daktarin</t>
  </si>
  <si>
    <t>daktarin powder miconazole nitrate obat mengatasi penyakit kulit diakibatkan jenis jamur panu  penyakit kulit  jari  selangkangan  lipatan kulit  badan infeksi jamur disertai infeksi sekunder bakteri gram positif</t>
  </si>
  <si>
    <t>DKL9409204409A1</t>
  </si>
  <si>
    <t>Farsifen 400 mg 10 Tablet</t>
  </si>
  <si>
    <t>Rp8.000 - Rp12.400</t>
  </si>
  <si>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</si>
  <si>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farsifen</t>
  </si>
  <si>
    <t>farsifen kaplet ibuprofen nyeri ringan nyeri penyakit gigi pencabutan gigi  nyeri pasca bedah  sakit kepala  gejala artritis reumatoid  gejala osteoartritis  gejala juvenile artritis reumatoid  menurunkan demam anak</t>
  </si>
  <si>
    <t>DTL9821620633A1</t>
  </si>
  <si>
    <t>Proris Suspensi 60 ml</t>
  </si>
  <si>
    <t>Rp28.000 - Rp35.600</t>
  </si>
  <si>
    <t>Dewasa : 3-4 kali/hari, 1 sendok takar Anak-anak,untuk menurunkan demam dan meringankan nyeri. Dosis yang direkomendasikan 20 mg/kg berat badan/hari dalam dosis terbagi : 1-2 tahun : 3-4 kali/hari 1/4 sendok takar (50 mg) 3-7 tahun : 3-4 kali/hari, 1/2 sendok makan (100 mg) 8-12 tahun : 3-4 kali/hari, 1 sendok takar (200 mg)</t>
  </si>
  <si>
    <t>proris</t>
  </si>
  <si>
    <t>proris suspensi ibuprofen nyeri ringan nyeri penyakit gigi pencabutan gigi  nyeri pasca bedah  sakit kepala  gejala artritis reumatoid  gejala osteoartritis  gejala juvenile artritis reumatoid  menurunkan demam anak</t>
  </si>
  <si>
    <t>DKL0621632117A1</t>
  </si>
  <si>
    <t>Aclonac 25 mg 10 Tablet</t>
  </si>
  <si>
    <t>Rp8.900 - Rp11.100</t>
  </si>
  <si>
    <t>Pasien dengan perdarahan, ulserasi atau perforasi saluran cerna.</t>
  </si>
  <si>
    <t>aclonac tablet diclofenac potassium meredakan nyeri mengurangi inflamasi pasien rematoid atritis akut kronis  nyeri tulang  spondilitis ankilosa  meredakan nyeri ringan dismenore pasca operasi  meredakan nyeri gigi ringan</t>
  </si>
  <si>
    <t>trachon kapsul kombinasiitraconazole pellet kandidosis vulvovaginal  pitiriasis versikolor  tinea kruris korporis  tinea pedis manum  kandidosis oral  aspergilosis  kriptokokosis  histoplasmosis  parakoksidioidomikosis  sporotrikosis  blastomikosis  kandidosis  infeksi kuku  kandidiasis orofaringe</t>
  </si>
  <si>
    <t>sodium chloride sodium citrate dihydrate dextrose anhydrate potassium chloride</t>
  </si>
  <si>
    <t>pharolit sitrat powder sodium chloride sodium citrate dihydrate dextrose anhydrate potassium chloride dapat mencegah mengobati dehidrasi muntah diare  gastroenteritis infeksi usus perut  kolera diare akut infeksi usus</t>
  </si>
  <si>
    <t>TR123665861</t>
  </si>
  <si>
    <t>Tresnojoyo Telon Herbal Plus Citronella 100 ml</t>
  </si>
  <si>
    <t>MINYAK TELON HERBAL PLUSS CITRONELLA</t>
  </si>
  <si>
    <t>Rp12.100 - Rp36.300</t>
  </si>
  <si>
    <t>minyak telon herbal pluss citronella</t>
  </si>
  <si>
    <t>tresnojoyo telon herbal plus citronella</t>
  </si>
  <si>
    <t>tresnojoyo telon herbal plus citronella  minyak telon herbal pluss citronella membantu meredakan perut kembung masuk angin  hangat nyaman tubuh bayi  menghindari gigitan nyamuk melembabkan kulit tidak kering</t>
  </si>
  <si>
    <t>DKI1768601214A1</t>
  </si>
  <si>
    <t>Diamicron MR 60 mg 15 Tablet</t>
  </si>
  <si>
    <t>Rp130.500 - Rp167.600</t>
  </si>
  <si>
    <t>Dikonsumsi sebelum makan. Telan utuh, jangan dikunyah atau dihancurkan.</t>
  </si>
  <si>
    <t>PENGGUNAAN OBAT INI HARUS SESUAI DENGAN PETUNJUK DOKTER. Dosis dapat diawali dengan 30 mg per hari dan dapat ditingkatkan hingga dosis maksimum 120 mg per hari.</t>
  </si>
  <si>
    <t>Dus, 2 Blister @ 15 Tablet Pelepasan Lambat</t>
  </si>
  <si>
    <t>diamicron mr</t>
  </si>
  <si>
    <t>diamicron mr tablet gliclazide diabetes melitus tipe 2 non  insulin  dependent type ii diabetes melitus niddm dimana kadar glukosa darah tidak dikontrol diet  olahraga  penuru berat badan</t>
  </si>
  <si>
    <t>DKL8511603809A1</t>
  </si>
  <si>
    <t>Neuralgin Rx 10 Kaplet</t>
  </si>
  <si>
    <t>Rp7.900 - Rp12.500</t>
  </si>
  <si>
    <t>PENGGUNAAN OBAT INI HARUS SESUAI DENGAN PETUNJUK DOKTER. Dewasa : 3-4 x sehari 1-2 kaplet. Anak : 3-4 x sehari 1/2-1 kaplet.</t>
  </si>
  <si>
    <t>INFORMASI OBAT INI HANYA UNTUK KALANGAN MEDIS. Meringankan rasa nyeri, seperti sakit kepala, sakit gigi, kram perut yang disebabkan oleh menstruasi (dysmenorrhea), nyeri perut, dan nyeri yang muncul setelah operasi, nyeri berat yang disebabkan oleh gangguan saraf seperti neuritis dan neuralgia.</t>
  </si>
  <si>
    <t>Ulkus peptikum. Ibu hamil dan menyusui. Bronkospasme, alergi rinitis dan urtikaria karena asetosal. Anak usia kurang dari 14 tahun. Hipersensitif terhadap methampyron.</t>
  </si>
  <si>
    <t>HARUS DENGAN RESEP DOKTER. Hindarkan penggunaan pada kehamilan trimester 3 karena dapat menyebabkan penutupan dini duktus arteriosus. Pemberian bersama dengan NSAID lain.</t>
  </si>
  <si>
    <t>meringankan nyeri , sakit kepala , sakit gigi , kram perut disebabkan menstruasi dysmenorrhea , nyeri perut , nyeri muncul operasi , nyeri berat disebabkan gangguan saraf neuritis neuralgia</t>
  </si>
  <si>
    <t>neuralgin rx</t>
  </si>
  <si>
    <t>neuralgin rx kaplet caffeine meringankan nyeri  sakit kepala  sakit gigi  kram perut disebabkan menstruasi dysmenorrhea  nyeri perut  nyeri muncul operasi  nyeri berat disebabkan gangguan saraf neuritis neuralgia</t>
  </si>
  <si>
    <t>DKI1485200817C1</t>
  </si>
  <si>
    <t>Januvia 100 mg 14 Tablet</t>
  </si>
  <si>
    <t>Rp266.400 - Rp317.500</t>
  </si>
  <si>
    <t>PENGGUNAAN OBAT INI HARUS SESUAI DENGAN PETUNJUK DOKTER. 1 x sehari 1 tablet. Insufisiensi ginjal derajat sedang (CrCl/bersihan Kreatinin minimum 30 mL/mnt hingga maximum 50 mL/mnt) : 1 x sehari 0.5 tablet. Penurunan fungsi ginjal berat 25 mg sekali sehari.</t>
  </si>
  <si>
    <t>Tambahan terhadap diet dan olahraga untuk memperbaiki kontrol Glikemik pada Diabetes Melitus tipe-2. Terapi kombinasi dengan Metformin atau Tiazolidinedion pada Diabetes Melitus tipe-2 yang tidak dapat dikontrol secara adekuat dengan monoterapi saja, diet.</t>
  </si>
  <si>
    <t>Dus, 2 Blister @ 14 tablet salut selaput</t>
  </si>
  <si>
    <t>DKL9832701204A1</t>
  </si>
  <si>
    <t>Dogesic 500 mg 10 Tablet</t>
  </si>
  <si>
    <t>Rp16.500 - Rp17.100</t>
  </si>
  <si>
    <t>PENGGUNAAN OBAT INI HARUS SESUAI DENGAN PETUNJUK DOKTER. Dewasa &amp; Anak &gt; 14 tahun Awal 500 mg dilanjutkan dengan 250 mg tiap 6 jam. Lama pengobatan tidak boleh melebihi 7 hari.</t>
  </si>
  <si>
    <t>Nyeri kronis atau akut sedang, sakit kepala, nyeri otot, nyeri traumatik (yang disebabkan pencabutan, operasi, sakit habis melahirkan).Mencegah nyeri sakit gigi &amp; paska pencabutan gigi, dismenore.</t>
  </si>
  <si>
    <t>Kaplet 500 Mg X 10 X 10'S.</t>
  </si>
  <si>
    <t>Obat Wajib Apotek, Obat ini dapat dibeli dan diserahkan apoteker tanpa resep dengan maksimum 2 Strip. Pembelian melebihi batas ini WAJIB RESEP DOKTER. Dpt menyebabkan sensitivitas silang pada pasien dengan bronkospasme, rinitis alergi atau urtikaria akibat penggunaan AINS. Penggunaan dalam jangka lama (lebih dari 7 hr) atau melebihi dosis anjuran. Hamil dan laktasi. Anak kurang 14 tahun</t>
  </si>
  <si>
    <t>nyeri kronis akut , sakit kepala , nyeri otot , nyeri traumatik disebabkan pencabutan , operasi , sakit habis melahirkan  mencegah nyeri sakit gigi paska pencabutan gigi , dismenore</t>
  </si>
  <si>
    <t>dogesic</t>
  </si>
  <si>
    <t>dogesic kaplet mefenamic acid nyeri kronis akut  sakit kepala  nyeri otot  nyeri traumatik disebabkan pencabutan  operasi  sakit habis melahirkan  mencegah nyeri sakit gigi paska pencabutan gigi  dismenore</t>
  </si>
  <si>
    <t>DKL9722222016A1</t>
  </si>
  <si>
    <t>Eflagen 25 mg 10 Tablet</t>
  </si>
  <si>
    <t>Rp14.900 - Rp19.900</t>
  </si>
  <si>
    <t>hipersensitivitas, Penyakit jantung iskemik, Penyakit arteri perifer, Penyakit serebrovaskuler, Gagal jantung kongestif (NYHA (New York Heart Association) kelas II-IV).</t>
  </si>
  <si>
    <t>eflagen tablet diclofenac potassium meredakan nyeri mengurangi inflamasi pasien rematoid atritis akut kronis  nyeri tulang  spondilitis ankilosa  meredakan nyeri ringan dismenore pasca operasi  meredakan nyeri gigi ringan</t>
  </si>
  <si>
    <t>- SORBITOL. MACROGOL 400. SODIUM CITRATE DIHYDRATE. SODIUM LAURILSULFATE</t>
  </si>
  <si>
    <t>sorbitol macrogol 400 sodium citrate dihydrate sodium laurilsulfate</t>
  </si>
  <si>
    <t>microlax enema sorbitol macrogol 400 sodium citrate dihydrate sodium laurilsulfate obat mengatasi susah buang air bab sembelit  penderita tinggal tidur  orang dewasa  lansia  anak  anak wanita hamil</t>
  </si>
  <si>
    <t>DKL0121625953A1</t>
  </si>
  <si>
    <t>Proris Suppositoria 125 mg</t>
  </si>
  <si>
    <t>Rp5.400 - Rp7.600</t>
  </si>
  <si>
    <t>masukkan kedalam dubur</t>
  </si>
  <si>
    <t>PENGGUNAAN OBAT INI HARUS SESUAI DENGAN PETUNJUK DOKTER. Demam, Nyeri ringan sampai sedang Anak, Sebagai supositoria 60 atau 125 mg: 3-9 bulan dengan berat 6-8 kg: 60 mg setiap 6-8 jam hingga 3 dosis setiap hari &gt;9 bulan hingga 2 tahun dengan berat 8-12,5 kg: 60 mg setiap 6 jam hingga 4 dosis setiap hari &gt;2-4 tahun dengan berat 12,5-17 kg: 125 mg setiap 6-8 jam hingga 3 dosis setiap hari &gt;4-6 tahun dengan berat 17-20,5 kg: 125 mg setiap 6 jam hingga 4 dosis setiap hari.</t>
  </si>
  <si>
    <t>HARUS DENGAN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</si>
  <si>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proris suppositoria ibuprofen nyeri ringan nyeri penyakit gigi pencabutan gigi  nyeri pasca bedah  sakit kepala  gejala artritis reumatoid  gejala osteoartritis  gejala juvenile artritis reumatoid  menurunkan demam anak</t>
  </si>
  <si>
    <t>DKL8512405815B1</t>
  </si>
  <si>
    <t>Klotaren 50 mg 10 Tablet</t>
  </si>
  <si>
    <t>1 Kapsul Isi 1 Strip X 10 Tablet</t>
  </si>
  <si>
    <t>klotaren</t>
  </si>
  <si>
    <t>klotaren tablet diclofenac sodium meredakan nyeri mengurangi inflamasi pasien rematoid atritis akut kronis  nyeri tulang  spondilitis ankilosa  meredakan nyeri ringan dismenore pasca operasi  meredakan nyeri gigi ringan</t>
  </si>
  <si>
    <t>DKL9008501810A1</t>
  </si>
  <si>
    <t>Anfuhex 200 mg 10 Tablet</t>
  </si>
  <si>
    <t>Rp21.200 - Rp22.800</t>
  </si>
  <si>
    <t>PENGGUNAAN OBAT INI HARUS SESUAI DENGAN PETUNJUK DOKTER. Dewasa : 200 mg per hari, Infeksi Berat : 400 mg per hari. Anak &gt;2 tahun : 1 kali sehari 3.3-6.6 mg/kg BB Berat badan &gt;30 kg : 299 mg per hari. Berat badan 15-30 kg : 100 mg per hari. Berat badan 0-15 kg : 50 mg per hari</t>
  </si>
  <si>
    <t>Infeksi jamur sistemik, seperti histoplasmosis paru, tulang, dan sendi, kulit dan jar lunak, blastomikosis, parakoksidioidomikosis, kandidiasis sistemik</t>
  </si>
  <si>
    <t>DBL0916910433A1</t>
  </si>
  <si>
    <t>Stomach Sirup 60 ml</t>
  </si>
  <si>
    <t>1 jam sebelum makan atau 2 jam setelah makan.</t>
  </si>
  <si>
    <t>Dewasa dan anak di atas 12 tahun: 1-2 sendok takar, 3-4 kali sehari. Anak 6-12 tahun: 1/2-1 sendok takar, 3-4 kali sehari.</t>
  </si>
  <si>
    <t>Untuk mengatasi gejala-gejala yang berhubungan dengan kelebihan asam lambung, gastritis, tukak lambung, tukak usus dua belas jari, dengan gejala-gejala seperti mual, nyeri lambung, nyeri ulu hati.</t>
  </si>
  <si>
    <t>untuk mengatasi gejala - gejala berhubungan kelebihan asam lambung , gastritis , tukak lambung , tukak usus belas jari , gejala - gejala mual , nyeri lambung , nyeri ulu hati</t>
  </si>
  <si>
    <t>stomach</t>
  </si>
  <si>
    <t>stomach suspensi aluminium hydroxide untuk mengatasi gejala  gejala berhubungan kelebihan asam lambung  gastritis  tukak lambung  tukak usus belas jari  gejala  gejala mual  nyeri lambung  nyeri ulu hati</t>
  </si>
  <si>
    <t>phenol crystal</t>
  </si>
  <si>
    <t>cooling mouth cappucinno larutan phenol crystal membunuh kuman penyebab sakit tenggorokan  meredakan sakit tenggorokan merokok  makan maka berminyak  perubahan cuaca  bicara berteriak  minum  gejala flu pelega tenggorokan</t>
  </si>
  <si>
    <t>DKL9206308130A1</t>
  </si>
  <si>
    <t>Enbatic Salep Kulit 10 g</t>
  </si>
  <si>
    <t>Rp10.200 - Rp11.400</t>
  </si>
  <si>
    <t>Oleskan pada bagian kulit yang diinginkan</t>
  </si>
  <si>
    <t>PENGGUNAAN OBAT INI HARUS SESUAI DENGAN PETUNJUK DOKTER. Oleskan tipis 2-3 kali sehari atau atas petunjuk dokter</t>
  </si>
  <si>
    <t>Untuk infeksi kulit yang disebabkan oleh bakteri gram positif dan gram negatif yang peka terhadap Neomycin dan Bacitracin, luka bakar, luka setelah tindakan operasi, pada anak-anak untuk omfalitis, pioderma, dan folikulitis.</t>
  </si>
  <si>
    <t>HARUS DENGAN RESEP DOKTER. - tidak di gunakan untuk mata - terjadinya pertumbuhan organisme patogen lain yang tidak peka Kategori Kehamilan : D</t>
  </si>
  <si>
    <t>untuk infeksi kulit disebabkan bakteri gram positif gram negatif peka neomycin bacitracin , luka bakar , luka tindakan operasi , anak - anak omfalitis , pioderma , folikulitis</t>
  </si>
  <si>
    <t>enbatic kulit</t>
  </si>
  <si>
    <t>enbatic kulit salep bacitracin zinc untuk infeksi kulit disebabkan bakteri gram positif gram negatif peka neomycin bacitracin  luka bakar  luka tindakan operasi  anak  anak omfalitis  pioderma  folikulitis</t>
  </si>
  <si>
    <t>DKL0607809433A1</t>
  </si>
  <si>
    <t>Hufadon Sirup 60 ml</t>
  </si>
  <si>
    <t>Rp5.000 - Rp6.800</t>
  </si>
  <si>
    <t>PENGGUNAAN OBAT INI HARUS SESUAI DENGAN PETUNJUK DOKTER. Untuk pengobatan dispepsia fungsional pada dewasa dan usia lanjut diminum 10 - 20 mg 3 kali sehari dan 10 - 20 mg 2 kali sehari sebelum tidur malam tergantung respon klinis, pengobatan tidak boleh lebih dari 12 minggu, Untuk mengatasi mual dan muntah pada dewasa diminum 10 - 20 mg setiap 4-8 jam, pada anak-anak (sehubungan kemoterapi kanker dan radioterapi) diminum 0.2-0.4 mg per kg berat badan dengan interval waktu 4-8 jam.</t>
  </si>
  <si>
    <t>Untuk mengatasi keluhan dispepsia yang dikombinasi dengan lambatnya proses pengosongan saluran cerna atau refluks esofagus, seperti rasa penuh pada epigastrium atau kembung sesudah makan, mual dan muntah, rasa panas terbakar pada epigastrium atau retrosternal, cegukan karena berbagai penyebab.</t>
  </si>
  <si>
    <t>untuk mengatasi keluhan dispepsia dikombinasi lambatnya prose pengosongan saluran cerna refluks esofagus , penuh epigastrium kembung makan , mual muntah , panas terbakar epigastrium retrosternal , cegukan penyebab</t>
  </si>
  <si>
    <t>hufadon suspensi domperidone untuk mengatasi keluhan dispepsia dikombinasi lambatnya prose pengosongan saluran cerna refluks esofagus  penuh epigastrium kembung makan  mual muntah  panas terbakar epigastrium retrosternal  cegukan penyebab</t>
  </si>
  <si>
    <t>DKL9813308509B2</t>
  </si>
  <si>
    <t>Aclam 500 mg 6 Kaplet</t>
  </si>
  <si>
    <t>Rp102.600 - Rp124.900</t>
  </si>
  <si>
    <t>Dikonsumsi bersama atau sebelum makan</t>
  </si>
  <si>
    <t>PENGGUNAAN OBAT INI HARUS SESUAI DENGAN PETUNJUK DOKTER. Dewasa dan anak diatas usia 12 tahun: 1 Kaplet (500 mg), diminum 3 kali per hari.</t>
  </si>
  <si>
    <t>INFORMASI OBAT INI HANYA UNTUK KALANGAN MEDIS. Infeksi saluran pernafasan bagian atas &amp; bawah, infeksi kulit &amp; jaringan lunak, infeksi saluran kemih, penyakit radang panggul, septikemia, osteomielitis, infeksi pasca operasi.</t>
  </si>
  <si>
    <t>HARUS DENGAN RESEP DOKTER. Bayi yang lahir dari ibu yang alergi penisilin. Hipersensitif terhadap sefalosporin atau alergen lain sebelumnya. Hamil, laktasi. Superinfeksi.</t>
  </si>
  <si>
    <t>infeksi saluran pernafasan , infeksi kulit jaringan lunak , infeksi saluran kemih , penyakit radang panggul , septikemia , osteomielitis , infeksi pasca operasi</t>
  </si>
  <si>
    <t>aclam kaplet amoxicillin trihydrate potassium clavulanate with microcrystalline cellulose infeksi saluran pernafasan  infeksi kulit jaringan lunak  infeksi saluran kemih  penyakit radang panggul  septikemia  osteomielitis  infeksi pasca operasi</t>
  </si>
  <si>
    <t>estradiol valerate estradiol valerate norgestrel</t>
  </si>
  <si>
    <t>cyclo progynova tablet estradiol valerate estradiol valerate norgestrel terapi gejala klimakterik  gangguan pasca menopause akibat menurunnya estrogen  amenore primer sekunder  siklus haid tidak teratur disebabkan kekurangan hormon</t>
  </si>
  <si>
    <t>DKL9913018929A1</t>
  </si>
  <si>
    <t>Heltiskin Cream 5 g</t>
  </si>
  <si>
    <t>PENGGUNAAN OBAT INI HARUS SESUAI DENGAN PETUNJUK DOKTER. Tinea cruris dan Tinea corporis : Oleskan pada kulit yang terinfeksi 2 kali sehari (pagi dan malam) selama 2 minggu. Perbaikan klinis ditandai dengan hilangnya eritema dan pruritus biasanya setelah 3 ï¿½ 5 hari penggunaan. Tinea pedis : Oleskan pada kulit yang terinfeksi 2 kali sehari (pagi dan malam) selama 4 minggu. Perbaikan klinis ditandai dengan hilangnya eritema dan pruritus biasanya setelah 3 ï¿½ 5 hari penggunaan.</t>
  </si>
  <si>
    <t>INFORMASI OBAT INI HANYA UNTUK KALANGAN MEDIS. Untuk pengobatan topikal yang disertai infeksi kulit seperti pada : Tinea cruris, Tinea corporis, dan Tinea pedis yang disebabkan oleh Trichophyton rubrum, Trichophyton mentogrophytas, Epidermophyton floccosum, dan Microsporum canis.</t>
  </si>
  <si>
    <t>Pasien yang hipersensitif terhadap komponen obat ini</t>
  </si>
  <si>
    <t>HARUS DENGAN RESEP DOKTER. - Jangan digunakan dengan pembalut oklusif. - Bila terjadi reaksi iritasi atau sensitisasi, hentikan segera penggunaan dan berikan terapi yang sesuai. - Hanya digunakan untuk pemakaian luar (topikal) dan hindari kontak dengan mata. - Penggunaan pada anak-anak : Efektivitas dan keamanan penggunaan pada anak-anak usia kurang dari 12 tahun belum ditetapkan. - Penggunaan pada wanita hamil : Penggunaan hanya direkomendasikan bila potensi manfaatnya sebanding dengan resikonya terhadap janin. Jangan digunakan secara ekstensif dan / atau dalam jumlah besar atau dalam jangka panjang.</t>
  </si>
  <si>
    <t>clotrimazole betamethasone dipropionate</t>
  </si>
  <si>
    <t>untuk pengobatan topikal disertai infeksi kulit tinea cruris , tinea corporis , tinea pedis disebabkan trichophyton rubrum , trichophyton mentogrophytas , epidermophyton floccosum , microsporum canis</t>
  </si>
  <si>
    <t>heltiskin cream</t>
  </si>
  <si>
    <t>heltiskin cream krim clotrimazole betamethasone dipropionate untuk pengobatan topikal disertai infeksi kulit tinea cruris  tinea corporis  tinea pedis disebabkan trichophyton rubrum  trichophyton mentogrophytas  epidermophyton floccosum  microsporum canis</t>
  </si>
  <si>
    <t>DKI2045900202B1</t>
  </si>
  <si>
    <t>Utrogestan 200 mg 15 Kapsul</t>
  </si>
  <si>
    <t>Rp464.700 - Rp511.200</t>
  </si>
  <si>
    <t>Dikonsumsi pada saat perut kosong. Sebaiknya diberikan menjelang tidur.</t>
  </si>
  <si>
    <t>PENGGUNAAN OBAT INI HARUS SESUAI DENGAN PETUNJUK DOKTER. Tidak lebih dari 200 mg per asupan. Insufisiensi progesteron : 200-300 mg per hari dalam 1 atau 2 dosis terbagi. Dapat ditingkatkan hingga 600 mg per hari dalam 3 dosis terbagi, pada kasus untuk membantu terjadinya kehamilan. Vaginal, masukan 1 kapsul ke dalam vaginal. Lama terapi: tergantung pada indikasi dan efikasi terapi.</t>
  </si>
  <si>
    <t>INFORMASI OBAT INI HANYA UNTUK KALANGAN MEDIS. Utrogestan digunakan untuk mengatasi gangguan yang berhubungan dengan defisiensi progesteron. Penggunaan oral untuk mengatasi haid yang tidak teratur karena disovulasi. Penggunaan Vaginal untuk siklus fertilisasi invitro (IVF), alternatif terhadap rute oral jika tidak dapat ditoleransi.</t>
  </si>
  <si>
    <t>Hipersensitivitas, alergi terhadap kacang, gangguan fungsi hati berat, perdarahan vagina yang tidak diketahui penyebabnya, karsinoma mamaria atau saluran kelamin, tromboflebitis, tromboembolik, perdarahan otak</t>
  </si>
  <si>
    <t>HARUS DENGAN RESEP DOKTER. - Wanita pasca menopause, kondisi yang dapat mempengaruhi retensi cairan sepert hipertensi, penyakit jantung dan ginjal, epilepsi, asma, riwayat depresi, diabetes, gangguan hati ringan hingga sedang, migren atau fotosensitivitas. - Dapat mempengaruhi kemampuan mengemudi atau menjalankan mesin. - Hamil dan laktasi.</t>
  </si>
  <si>
    <t>utrogestan mengatasi gangguan berhubungan defisiensi progesteron  penggunaan oral mengatasi haid tidak teratur disovulasi  penggunaan vaginal siklus fertilisasi invitro ivf , alternatif rute oral tidak ditoleransi</t>
  </si>
  <si>
    <t>utrogestan kapsul progesterone utrogestan mengatasi gangguan berhubungan defisiensi progesteron  penggunaan oral mengatasi haid tidak teratur disovulasi  penggunaan vaginal siklus fertilisasi invitro ivf  alternatif rute oral tidak ditoleransi</t>
  </si>
  <si>
    <t>DKL1006414216A1</t>
  </si>
  <si>
    <t>Erphaflam 50 mg 10 Tablet</t>
  </si>
  <si>
    <t>Dus, isi 5 strip @10 tablet</t>
  </si>
  <si>
    <t>hipersensitivitas, tekanan darah tinggi, stroke, asma, penyakit lambung, gangguan pada hati, ginjal, kehamilan, anemia, pembekuan daarah,</t>
  </si>
  <si>
    <t>erphaflam</t>
  </si>
  <si>
    <t>erphaflam tablet diclofenac potassium meredakan nyeri mengurangi inflamasi pasien rematoid atritis akut kronis  nyeri tulang  spondilitis ankilosa  meredakan nyeri ringan dismenore pasca operasi  meredakan nyeri gigi ringan</t>
  </si>
  <si>
    <t>DKL9522213017B1</t>
  </si>
  <si>
    <t>Akilen 400 mg 6 Tablet</t>
  </si>
  <si>
    <t>PENGGUNAAN OBAT INI HARUS SESUAI DENGAN PETUNJUK DOKTER. Infeksi Saluran Kemih : 2 kali sehari 100-400 mg selama 1-10 hari. Infeksi berat dan terkomplikasi : 600 mg/hari selama 20 hari. Infeksi saluran nafas : 2 kali sehari 200-400 mg. Uretritis Gonore dan servisitis tanpa komplikasi : 200-600 mg/hari</t>
  </si>
  <si>
    <t>Infeksi Saluran Kemih, infeksi berat dan terkomplikasi, infeksi saluran nafas, uretritis gonore dan servisitis tanpa komplikasi, uretritis non gonore, infeksi kulit dan jaringan lunak, infeksi kandungan serta eritis bakterial</t>
  </si>
  <si>
    <t>Tablet 400 Mg X 5 X 6</t>
  </si>
  <si>
    <t>infeksi saluran kemih , infeksi berat terkomplikasi , infeksi saluran nafas , uretritis gonore servisitis komplikasi , uretritis non gonore , infeksi kulit jaringan lunak , infeksi kandungan eritis bakterial</t>
  </si>
  <si>
    <t>akilen tablet ofloxacin infeksi saluran kemih  infeksi berat terkomplikasi  infeksi saluran nafas  uretritis gonore servisitis komplikasi  uretritis non gonore  infeksi kulit jaringan lunak  infeksi kandungan eritis bakterial</t>
  </si>
  <si>
    <t>clindamycin monohydrochloride monohydrate</t>
  </si>
  <si>
    <t>albiotin kapsul clindamycin monohydrochloride monohydrate infeksi serius berat organisme sensitif clindamycin streptokokus  pneumokokus  stafilokokus  bakteri anaerob  infeksi akibat organisme infeksi saluran nafas  kulit jaringan lunak  infeksi serius</t>
  </si>
  <si>
    <t>TR192637181</t>
  </si>
  <si>
    <t>My Baby Minyak Telon Plus Lavender 150 ml</t>
  </si>
  <si>
    <t>PURE BABY MINYAK TELON PLUS</t>
  </si>
  <si>
    <t>Rp100 - Rp50.100</t>
  </si>
  <si>
    <t>Oleskan 5-10 tetes pada dada, perut, pinggang dan telapak kaki. Dapat dipakai setiap saat, terutama sehabis mandi dan bila udara dingin.</t>
  </si>
  <si>
    <t>Membantu meredakan perut kembung dan masuk angin, memberikan rasa hangat dan nyaman pada tubuh bayi, membantu menghindari bayi dari gigitan serangga dan nyamuk.</t>
  </si>
  <si>
    <t>Obat Luar. Simpan di tempat yang sejuk dibawah 30 C.</t>
  </si>
  <si>
    <t>pure baby minyak telon plus</t>
  </si>
  <si>
    <t>membantu meredakan perut kembung masuk angin , hangat nyaman tubuh bayi , membantu menghindari bayi gigitan serangga nyamuk</t>
  </si>
  <si>
    <t>my baby telon plus lavender</t>
  </si>
  <si>
    <t>my baby telon plus lavender minyak pure baby minyak telon plus membantu meredakan perut kembung masuk angin  hangat nyaman tubuh bayi  membantu menghindari bayi gigitan serangga nyamuk</t>
  </si>
  <si>
    <t>DKL0531109317A1</t>
  </si>
  <si>
    <t>Flamigra 50 mg 10 Tablet</t>
  </si>
  <si>
    <t>Rp3.300 - Rp9.100</t>
  </si>
  <si>
    <t>flamigra</t>
  </si>
  <si>
    <t>flamigra tablet diclofenac potassium meredakan nyeri mengurangi inflamasi pasien rematoid atritis akut kronis  nyeri tulang  spondilitis ankilosa  meredakan nyeri ringan dismenore pasca operasi  meredakan nyeri gigi ringan</t>
  </si>
  <si>
    <t>DKL9231103415A1</t>
  </si>
  <si>
    <t>Gratheos 50 mg 10 Tablet</t>
  </si>
  <si>
    <t>Rp6.000 - Rp7.400</t>
  </si>
  <si>
    <t>gratheos</t>
  </si>
  <si>
    <t>gratheos tablet diclofenac sodium meredakan nyeri mengurangi inflamasi pasien rematoid atritis akut kronis  nyeri tulang  spondilitis ankilosa  meredakan nyeri ringan dismenore pasca operasi  meredakan nyeri gigi ringan</t>
  </si>
  <si>
    <t>DBL9631106733A1</t>
  </si>
  <si>
    <t>Atmacid Sirup 60 ml</t>
  </si>
  <si>
    <t>1 jam sebelum makan atau 2 jam sesudah makan.</t>
  </si>
  <si>
    <t xml:space="preserve">Dewasa : 3-4 x sehari 1-2 sendok teh 5 cc </t>
  </si>
  <si>
    <t>DBL8931101763A1</t>
  </si>
  <si>
    <t>Atmacid 10 Tablet</t>
  </si>
  <si>
    <t>Rp3.500 - Rp5.500</t>
  </si>
  <si>
    <t>1 jam sebelum makan atau 2 jam sesudah makan. Tablet dikunyah sampai halus sebelum ditelan</t>
  </si>
  <si>
    <t>My Baby Minyak Telon Plus Lavender 60 ml</t>
  </si>
  <si>
    <t>Rp17.800 - Rp23.400</t>
  </si>
  <si>
    <t>Obat Luar, Simpan di tempat yang sejuk dibawah 30 C</t>
  </si>
  <si>
    <t>DKL8512405815A1</t>
  </si>
  <si>
    <t>Klotaren 25 mg 10 Tablet</t>
  </si>
  <si>
    <t>Rp12.500 - Rp13.300</t>
  </si>
  <si>
    <t>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</si>
  <si>
    <t>DKL1240700601A1</t>
  </si>
  <si>
    <t>Pharma Fix 100 mg 10 Kapsul</t>
  </si>
  <si>
    <t>Rp49.900 - Rp50.500</t>
  </si>
  <si>
    <t>pharma fix</t>
  </si>
  <si>
    <t>pharma fix kapsul cefixime trihydrate infeksi saluran kemih komplikasi  otitis medium  radang rongga gendang telinga  faringitis tonsilitis  bronkhitis akut kronis eksaserbasi kumatnya penyakit gejala penyakit mendadak akut</t>
  </si>
  <si>
    <t>DKL9608005717B1</t>
  </si>
  <si>
    <t>Exaflam 50 mg 10 Tablet</t>
  </si>
  <si>
    <t>Rp33.400 - Rp41.600</t>
  </si>
  <si>
    <t>hipersensitivitas, setelah menjalani operasi by pass jantung, ginjal, hati, tukak lambung</t>
  </si>
  <si>
    <t>exaflam</t>
  </si>
  <si>
    <t>exaflam tablet diclofenac potassium meredakan nyeri mengurangi inflamasi pasien rematoid atritis akut kronis  nyeri tulang  spondilitis ankilosa  meredakan nyeri ringan dismenore pasca operasi  meredakan nyeri gigi ringan</t>
  </si>
  <si>
    <t>DKL9608005717A1</t>
  </si>
  <si>
    <t>Exaflam 25 mg 10 Tablet</t>
  </si>
  <si>
    <t>Rp16.300 - Rp25.700</t>
  </si>
  <si>
    <t>DKL1313318537A1</t>
  </si>
  <si>
    <t>Laprosin Sirup 250 mg/5 ml 60 ml</t>
  </si>
  <si>
    <t>Rp85.700 - Rp111.000</t>
  </si>
  <si>
    <t>DKL9731515917A1</t>
  </si>
  <si>
    <t>Fixacep Fc 200 mg 10 Tablet</t>
  </si>
  <si>
    <t>Rp336.900 - Rp369.500</t>
  </si>
  <si>
    <t>fixacep fc</t>
  </si>
  <si>
    <t>fixacep fc tablet cefixime trihydrate infeksi saluran kemih komplikasi  otitis medium  radang rongga gendang telinga  faringitis tonsilitis  bronkhitis akut kronis eksaserbasi kumatnya penyakit gejala penyakit mendadak akut</t>
  </si>
  <si>
    <t>DKL1906609510A1</t>
  </si>
  <si>
    <t>Vytorin 10 mg/10 mg 10 Tablet</t>
  </si>
  <si>
    <t>Rp255.600 - Rp326.100</t>
  </si>
  <si>
    <t>PENGGUNAAN OBAT INI HARUS SESUAI DENGAN PETUNJUK DOKTER. Rentang dosis : 1 tablet perhari hingga komposisi 10/40 mg perhari. Dosis awal lazim : 10/20 mg perhari. Bagi pasien yang tidak membutuhkan penurunan kadar LDL secara agresif dapat diawali dengan dosis 1 tablet perhari.</t>
  </si>
  <si>
    <t>Terapi tambahan terhadap diet untuk menurunkan kadar tinggi Kolesterol Total, LDL, Apo-B, Trigliserida &amp; non HDL serta untuk meningkatkan HDL pada Hiperkolesterolemia Primer (famili &amp; non famili Heterozigos) atau Hiperlipidemia campuran.</t>
  </si>
  <si>
    <t>HARUS DENGAN RESEP DOKTER. Konsumsi alkohol dan atau punya riwayat penyakit hati. Kategori Kehamilan : X</t>
  </si>
  <si>
    <t>DKL9504413117A1</t>
  </si>
  <si>
    <t>Kaflam 25 mg 10 Tablet</t>
  </si>
  <si>
    <t>Rp23.400 - Rp29.300</t>
  </si>
  <si>
    <t>kaflam tablet diclofenac potassium meredakan nyeri mengurangi inflamasi pasien rematoid atritis akut kronis  nyeri tulang  spondilitis ankilosa  meredakan nyeri ringan dismenore pasca operasi  meredakan nyeri gigi ringan</t>
  </si>
  <si>
    <t>DKL7225102430A1</t>
  </si>
  <si>
    <t>Borraginol-S Salep 15 g</t>
  </si>
  <si>
    <t>Rp128.200 - Rp153.500</t>
  </si>
  <si>
    <t>HARUS DENGAN RESEP DOKTER. - hipersensitif terhadap kompenen obat - penggunaan pada ibu menyusui dan hamil sebaiknya di konsultasikan dengan dokter. Ketegory kehamilan : C</t>
  </si>
  <si>
    <t>prednisolone lithospermi radix extract lidocaine benzocaine cetrimonium bromide</t>
  </si>
  <si>
    <t>borraginols salep prednisolone lithospermi radix extract lidocaine benzocaine cetrimonium bromide hemoroid wasir internal eksternal disertai perdarahan  luka2 anus perineum  prolaps anus fistula  peradangan disekitar rektum  pruritus anus</t>
  </si>
  <si>
    <t>vildagliptin metformin hydrochloride</t>
  </si>
  <si>
    <t>galvusmet tablet vildagliptin metformin hydrochloride tambahan diet olahraga memperbaiki kontrol glukosa darah pasien dm tipe 2 tidak dikendalikan metformin hcl vildagliptin pasien dm diterapi kombinasi vildagliptin metformin</t>
  </si>
  <si>
    <t>My Baby Minyak Telon Plus Lavender 90 ml</t>
  </si>
  <si>
    <t>Rp24.000 - Rp32.400</t>
  </si>
  <si>
    <t>DKL0327912201A1</t>
  </si>
  <si>
    <t>Zeprazol 20 mg 10 Kapsul</t>
  </si>
  <si>
    <t>Rp16.200 - Rp19.500</t>
  </si>
  <si>
    <t>Sebaiknya diberikan bersama makanan : Berikan segera sblm makan.</t>
  </si>
  <si>
    <t>Refluks esofagitis, tukak lambung &amp; usus, tukak lambung &amp; usus yang berkaitan dengan pemakaian obat AINS, lesi di saluran pencernaan, terapi tambahan terhadap penyakit infeksi H.pylori, sindrom Zollinger-Ellison</t>
  </si>
  <si>
    <t>HARUS DENGAN RESEP DOKTER. Singkirkan kemungkinan adanya keganasan jika ada dugaan tukak GI.</t>
  </si>
  <si>
    <t>refluks esofagitis , tukak lambung usus , tukak lambung usus berkaitan pemakaian obat ains , lesi saluran pencernaan , terapi tambahan penyakit infeksi h  pylorus , sindrom zollinger - ellison</t>
  </si>
  <si>
    <t>zeprazol</t>
  </si>
  <si>
    <t>zeprazol kapsul omeprazole refluks esofagitis  tukak lambung usus  tukak lambung usus berkaitan pemakaian obat ains  lesi saluran pencernaan  terapi tambahan penyakit infeksi h  pylorus  sindrom zollinger  ellison</t>
  </si>
  <si>
    <t>DKI1973401817D1</t>
  </si>
  <si>
    <t>Cialis Tablet 20 mg</t>
  </si>
  <si>
    <t>Rp245.800 - Rp252.500</t>
  </si>
  <si>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</si>
  <si>
    <t>Dus, 1 Blister @ 2 Tablet Salut Selaput</t>
  </si>
  <si>
    <t>Hipotensi, gangguan fungsi jantung, infark miokard akut, stroke, aritmia, angina tidak stabil, gangguan fungsi ginjal, penggunaan bersamaan dengan obat golongan nitrat, NOS, dan guanylate cyclase stimulator.</t>
  </si>
  <si>
    <t>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</si>
  <si>
    <t>pengobatan ketidakmampuan mencapai mempertahankan ereksi berhubungan seksual disfungsi ereksi pria dewasa , mengobati penderita pembesaran prostat jinak bph hipertensi pulmonal tekanan pembuluh darah arteri paru - paru</t>
  </si>
  <si>
    <t>cialis</t>
  </si>
  <si>
    <t>cialis tablet tadalafil pengobatan ketidakmampuan mencapai mempertahankan ereksi berhubungan seksual disfungsi ereksi pria dewasa  mengobati penderita pembesaran prostat jinak bph hipertensi pulmonal teka pembuluh darah arteri paru  paru</t>
  </si>
  <si>
    <t>DKI1973401817B1</t>
  </si>
  <si>
    <t>Cialis 5 mg 14 Tablet</t>
  </si>
  <si>
    <t>Rp697.000 - Rp716.000</t>
  </si>
  <si>
    <t>Dikontraindikasikan pada terapi dengan nitrat</t>
  </si>
  <si>
    <t>DTL8828601728A1</t>
  </si>
  <si>
    <t>Ketomed 2% Cream 15 g</t>
  </si>
  <si>
    <t>Rp36.000 - Rp40.600</t>
  </si>
  <si>
    <t>Dewasa: Oleskan 1 sampai 2 kali per hari pada tempat yang infeksi. Durasi Pengobatan: P. Versikolor (2-3 minggu), T. Korporis (3-4 minggu), T. Pedis (4-6 minggu), T. Kruris (2-4 minggu), Infeksi ragi (2-3 minggu), Dermatitis Seboroik (2-4 minggu)</t>
  </si>
  <si>
    <t>Infeksi dermatofita pada kulit atau kuku tangan (tidak pada kuku kaki), kandidiasis mukokutan kronis yang tidak responsif terhadap nistatin dan obat-obat lain, infeksi mikosis sistemik (kandidiasis, paraksidioidomikasis, cocci dioidomycosis, hiptoplasmosis).</t>
  </si>
  <si>
    <t>Jangan dioleskan pada area mata. Hentikan penggunaan jika terjadi iritasi. Hati-hati penggunaan pada pasien dengan aklorhidria, kanker prostat, infeksi SSP, insufisiensi adrenal, di bawah stres berkepanjangan (misalnya operasi besar, perawatan intensif), Anak-anak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</si>
  <si>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infeksi dermatofita kulit kuku tangan tidak kuku kaki , kandidiasis mukokutan kronis tidak responsif nistatin obat - obat , infeksi mikosis sistemik kandidiasis , paraksidioidomikasis , cocci dioidomycosis , hiptoplasmosis</t>
  </si>
  <si>
    <t>ketomed cream</t>
  </si>
  <si>
    <t>ketomed cream gel ketoconazole infeksi dermatofita kulit kuku tangan tidak kuku kaki  kandidiasis mukokutan kronis tidak responsif nistatin obat  obat  infeksi mikosis sistemik kandidiasis  paraksidioidomikasis  cocci dioidomycosis  hiptoplasmosis</t>
  </si>
  <si>
    <t>QD142612771</t>
  </si>
  <si>
    <t>Green Oil Herbal 3 ml</t>
  </si>
  <si>
    <t>Rp5.500 - Rp5.900</t>
  </si>
  <si>
    <t>Membantu meredakan sakit perut, perut kembung, muntah-muntah perut mual, mabuk perjalanan, masuk angin, kepala pusing, sakit gigi dan gatal-gatal akibat digigit serangga.</t>
  </si>
  <si>
    <t>Botol @ 3 ml</t>
  </si>
  <si>
    <t>membantu meredakan sakit perut , perut kembung , muntah - muntah perut mual , mabuk perjalanan , masuk angin , kepala pusing , sakit gigi gatal - gatal akibat digigit serangga</t>
  </si>
  <si>
    <t>green oil herbal</t>
  </si>
  <si>
    <t>green oil herbal minyak camphor membantu meredakan sakit perut  perut kembung  muntah  muntah perut mual  mabuk perjala  masuk angin  kepala pusing  sakit gigi gatal  gatal akibat digigit serangga</t>
  </si>
  <si>
    <t>DTL9509204409A1</t>
  </si>
  <si>
    <t>Farsifen 200 mg 10 Tablet</t>
  </si>
  <si>
    <t>Rp5.200 - Rp6.200</t>
  </si>
  <si>
    <t>Efek antiinflamasi dan analgesik: meringankan gejala rematik tulang, sendi, non sendi,trauma otot dan muskuloskeletal. Efek analgesik: meringankan nyeri pada dismenore primer, sakit kepala, pencabutan gigi dan nyeri sesudah operasi.</t>
  </si>
  <si>
    <t>Alergi, operasi by pass jantung. asma, demam berdarah</t>
  </si>
  <si>
    <t>HARUS DENGAN RESEP DOKTER. - Di berikan bersamaan makanan - Tidak boleh di gunakan pada orang yang memiliki fungsi hati dan ginjal buruk - Penderita hipertensi - Pada pasien lanjut usia Kategori Kehamilan : D</t>
  </si>
  <si>
    <t>efek antiinflamasi analgesik meringankan gejala rematik tulang , sendi , non sendi , trauma otot muskuloskeletal  efek analgesik meringankan nyeri dismenore primer , sakit kepala , pencabutan gigi nyeri operasi</t>
  </si>
  <si>
    <t>farsifen kaplet ibuprofen efek antiinflamasi analgesik meringankan gejala rematik tulang  sendi  non sendi  trauma otot muskuloskeletal  efek analgesik meringankan nyeri dismenore primer  sakit kepala  pencabutan gigi nyeri operasi</t>
  </si>
  <si>
    <t>DTL1124401729A1</t>
  </si>
  <si>
    <t>Daktarin Cream 10 g</t>
  </si>
  <si>
    <t>Rp46.100 - Rp54.700</t>
  </si>
  <si>
    <t>Oleskan krim setelah bagian yang sakit dibersihkan dan dikeringkan.</t>
  </si>
  <si>
    <t>Oleskan 2 kali sehari pada bagian kulit yang terinfeksi selama 2-6 minggu, tergantung berat ringan penyakit. Penggunaan krim harus dilanjutkan setidaknya 7 hari setelah hilangnya semua tanda-tanda infeksi hilang dengan tujuan untuk mencegah infeksi kembali kambuh.</t>
  </si>
  <si>
    <t>Krim yang digunakan untuk mengobati penyakit kulit yang diakibatkan oleh berbagai jenis jamur (panu, penyakit kulit pada sela-sela jari, selangkangan, lipatan kulit, badan) dan infeksi jamur yang sudah disertai infeksi sekunder bakteri gram positif.</t>
  </si>
  <si>
    <t>Penggunaan krim ini tidak dianjurkan untuk individu dengan hipersensitif atau alergi terhadap mikonazol atau mikonazol nitrat, atau turunan imidazol lain.</t>
  </si>
  <si>
    <t>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</si>
  <si>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krim mengobati penyakit kulit diakibatkan jenis jamur panu , penyakit kulit - jari , selangkangan , lipatan kulit , badan infeksi jamur disertai infeksi sekunder bakteri gram positif</t>
  </si>
  <si>
    <t>daktarin cream</t>
  </si>
  <si>
    <t>daktarin cream krim miconazole nitrate krim mengobati penyakit kulit diakibatkan jenis jamur panu  penyakit kulit  jari  selangkangan  lipatan kulit  badan infeksi jamur disertai infeksi sekunder bakteri gram positif</t>
  </si>
  <si>
    <t>MY BABY MINYAK TELON PLUS LAVENDER</t>
  </si>
  <si>
    <t>my baby minyak telon plus lavender</t>
  </si>
  <si>
    <t>my baby telon plus lavender minyak my baby minyak telon plus lavender membantu meredakan perut kembung masuk angin  hangat nyaman tubuh bayi  membantu menghindari bayi gigitan serangga nyamuk</t>
  </si>
  <si>
    <t>DKL1008516217A1</t>
  </si>
  <si>
    <t>Svt 10 mg 10 Tablet</t>
  </si>
  <si>
    <t>Rp6.000 - Rp17.400</t>
  </si>
  <si>
    <t>Hindari konsumsi jus grapefruit secara berlebih (&gt; 1 L/hari)</t>
  </si>
  <si>
    <t>INFORMASI OBAT INI HANYA UNTUK KALANGAN MEDIS. Meningkatnya resiko aterosklerosis vaskular akibat Hiperkolesterolemia, terapi tambahan pada saat respon terhadap diet dan terapi non-farmakologi lainnya tidak adekuat, menurunkan resiko mortalitas total dengan menurunkan resiko kematian akibat faktor kor</t>
  </si>
  <si>
    <t>HARUS DENGAN RESEP DOKTER. Monitoring kadar lipid tiap 3 bulan (pada pemakaian lama).Kategori kehamilan: Kategori X :Terdapat hasil penelitian terhadap hewan uji dan manusia yang memperlihatkan abnormalitas terhadap janin. Obat ini dikontraindikasikan untuk wanita hamil dan yang berkemungkinan untuk hamil.</t>
  </si>
  <si>
    <t>meningkatnya resiko aterosklerosis vaskular akibat hiperkolesterolemia , terapi tambahan respon diet terapi non - farmakologi tidak adekuat , menurunkan resiko mortalitas total menurunkan resiko kematian akibat faktor kor</t>
  </si>
  <si>
    <t>svt tablet simvastatin meningkatnya resiko aterosklerosis vaskular akibat hiperkolesterolemia  terapi tambahan respon diet terapi non  farmakologi tidak adekuat  menurunkan resiko mortalitas total menurunkan resiko kematian akibat faktor kor</t>
  </si>
  <si>
    <t>DKI1973401817C1</t>
  </si>
  <si>
    <t>Cialis Tablet 10 mg</t>
  </si>
  <si>
    <t>Rp197.300 - Rp203.500</t>
  </si>
  <si>
    <t>Dus, 2 Blister @ 2 Tablet Salut Selaput</t>
  </si>
  <si>
    <t>DKL9531509910A1</t>
  </si>
  <si>
    <t>Sotatic 10 mg 10 Tablet</t>
  </si>
  <si>
    <t>Rp4.200 - Rp7.200</t>
  </si>
  <si>
    <t>PENGGUNAAN OBAT INI HARUS SESUAI DENGAN PETUNJUK DOKTER. Dewasa : 3 x sehari 1 tablet, Anak dan remaja : maximum 0.5 mg/kg BB/hari terbagi dalam 3 dosis. Anti muntah paska kemoterapi - Dewasa : 0.5 mg/kg BB/hari terbagi dalam 4 dosis selama 6 hari, dimulai 24 jam paska kemoterapi.</t>
  </si>
  <si>
    <t>Gastroparesis Diabetikum akut &amp; berulang, Rasa panas pada uluhati atau kerongkongan &amp; pengosongan Lambung terlambat akibat Reflux Esofagitis, pencegahan mual-muntah pada paska tindakan &amp; kemoterapi kanker emetogenik, memudahkan intestinal intubation pada</t>
  </si>
  <si>
    <t>Epilepsi, perdarahan gastrointestinal (saluran cerna), obstruksi mekanik atau perforasi, feokromositoma.</t>
  </si>
  <si>
    <t>Obat Wajib Apotek, Obat ini dapat dibeli dan diserahkan apoteker tanpa resep dengan maksimum 2 Strip. Pembelian melebihi batas ini WAJIB RESEP DOKTER. Dosis harus dikurangi pada gangguan ginjal, dapat meningkatkan gejala ekstrapiramidal. Tidak toleransi terhadap prokain dan prokainamida. Usia lanjut dan anak. Hamil dan menyusui.</t>
  </si>
  <si>
    <t>gastroparesis diabetikum akut berulang , rasa panas uluhati kerongkongan pengosongan lambung terlambat akibat reflux esofagitis , pencegahan mual - muntah paska tindakan kemoterapi kanker emetogenik , memudahkan intestinal intubation</t>
  </si>
  <si>
    <t>sotatic</t>
  </si>
  <si>
    <t>sotatic tablet metoclopramide gastroparesis diabetikum akut berulang  rasa panas uluhati kerongkongan pengosongan lambung terlambat akibat reflux esofagitis  pencegahan mual  muntah paska tindakan kemoterapi kanker emetogenik  memudahkan intestinal intubation</t>
  </si>
  <si>
    <t>DKL1007810404A1</t>
  </si>
  <si>
    <t>Hufaxol 30 mg 10 Tablet</t>
  </si>
  <si>
    <t>INFORMASI OBAT INI HANYA UNTUK KALANGAN MEDIS. pengobatan saliran pernapasanakut dan kronis dengan sekresi bronkial yang abnormalterutama serangan akut bronkhitis kronis, asma bronkial, bronkhitis asmatik, terapi pra dan pasca operasi perawatan intensifuntuk menghindari komplikasi paru</t>
  </si>
  <si>
    <t>pengobatan saliran pernapasanakut kronis sekresi bronkial abnormalterutama serangan akut bronkhitis kronis , asma bronkial , bronkhitis asmatik , terapi pra pasca operasi perawatan intensifuntuk menghindari komplikasi paru</t>
  </si>
  <si>
    <t>hufaxol kaplet ambroxol hydrochloride pengobatan saliran pernapasanakut kronis sekresi bronkial abnormalterutama serangan akut bronkhitis kronis  asma bronkial  bronkhitis asmatik  terapi pra pasca operasi perawatan intensifuntuk menghindari komplikasi paru</t>
  </si>
  <si>
    <t>DBL7603810046A1</t>
  </si>
  <si>
    <t>Cendo Lyteers Minidose 0.6 ml</t>
  </si>
  <si>
    <t>Rp23.600 - Rp30.200</t>
  </si>
  <si>
    <t>1-2 tetes 3-4 kali sehari</t>
  </si>
  <si>
    <t>Melumasi dan menyejukan pada mata kering akibat kekurangan sekresi air mata atau teriritasi kondisi lingkungan, ketidaknyamanan karena penggunaan hard contact lens, gangguan penglihatan karena kelebihan lendir pada mata.</t>
  </si>
  <si>
    <t>Hipersensitivitas. Penderita yang memiliki riwayat alergi pada obat mata, kecuali mendapatkan pengawasan dari dokter</t>
  </si>
  <si>
    <t>Hanya untuk pemakaian luar. Untuk mencegah kontaminasi, hindarkan kontak langsung antara ujung wadah dengan mata. Jauhkan dari jangkauan anak-anak. Jika terasa sakit, gangguan penglihatan, terjadi kemerahan dan iritasi berlanjut atau keadaan makin parah lebih dari 72 jam, hentikan pemakaian dan konsultasi ke dokter. Tidak dianjurkan dipakai bersama dengan penggunaan "soft contact lenses" Untuk menghindari pencemaran, botol harus ditutup kembali setelah pemakaian. Jangan digunakan jika larutan berubah warna atau keruh.</t>
  </si>
  <si>
    <t>potassium chloride</t>
  </si>
  <si>
    <t>melumasi menyejukan mata kering akibat kekurangan sekresi air mata teriritasi kondisi lingkungan , ketidaknyamanan penggunaan hard contact lens , gangguan penglihatan kelebihan lendir mata</t>
  </si>
  <si>
    <t>cendo lyteers minidose</t>
  </si>
  <si>
    <t>cendo lyteers minidose tetes potassium chloride melumasi menyejukan mata kering akibat kekurangan sekresi air mata teriritasi kondisi lingkungan  ketidaknyama penggunaan hard contact lens  gangguan penglihatan kelebihan lendir mata</t>
  </si>
  <si>
    <t>DKL0333304717A1</t>
  </si>
  <si>
    <t>Merron 25 mg 10 Tablet</t>
  </si>
  <si>
    <t>Rp14.800 - Rp21.100</t>
  </si>
  <si>
    <t>PENGGUNAAN OBAT INI HARUS SESUAI DENGAN PETUNJUK DOKTER. Gangguan sirkulasi Serebral : 3 tablet perhari, Gangguan sirkulasi Perifer : 3 x sehari 2-3 tablet, Gangguan Keseimbangan : 3 ta</t>
  </si>
  <si>
    <t>Terapi suportif untuk gejala-gejala Vertigo, Pusing, Tinitus, Nistagmus &amp; Muntah</t>
  </si>
  <si>
    <t>GKL0219608617A1</t>
  </si>
  <si>
    <t>Ranitidine 150 mg 10 Tablet</t>
  </si>
  <si>
    <t>Rp3.300 - Rp5.900</t>
  </si>
  <si>
    <t>dikonsumsi bersama atau setelah makanan. Telan utuh, jangan dikunyah</t>
  </si>
  <si>
    <t>INFORMASI OBAT INI HANYA UNTUK KALANGAN MEDIS. Tukak lambung dan tukak duodenum, refluks esofagitis, dispepsia episodik kronis, tukak akibat AINS, tukak duodenum karena H.pylori, sindrom Zollinger-Ellison, kondisi lain dimana pengurangan asam lambung</t>
  </si>
  <si>
    <t>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</si>
  <si>
    <t>tukak lambung tukak duodenum , refluks esofagitis , dispepsia episodik kronis , tukak akibat ains , tukak duodenum h  pylorus , sindrom zollinger - ellison , kondisi dimana pengurangan asam lambung</t>
  </si>
  <si>
    <t>ranitidine tablet ranitidine hydrochloride tukak lambung tukak duodenum  refluks esofagitis  dispepsia episodik kronis  tukak akibat ains  tukak duodenum h  pylorus  sindrom zollinger  ellison  kondisi dimana pengurangan asam lambung</t>
  </si>
  <si>
    <t>DKL1033522737A1</t>
  </si>
  <si>
    <t>Ranivel 75mg/5 ml Sirup 60 ml</t>
  </si>
  <si>
    <t>Rp72.600 - Rp93.900</t>
  </si>
  <si>
    <t>PENGGUNAAN OBAT INI HARUS SESUAI DENGAN PETUNJUK DOKTER. Ulserasi NSAID: 10 ml sirup diberikan 2 kali dalam sehari (pagi dan malam), atau 20 ml diberikan sekali sehari sesudah makan malam atau sebelum tidur, selama 8 minggu. Dispepsia: 5 ml sirup diberikan 2 kali dalam sehari (pagi dan malam) diberikan hingga 6 minggu. Refluks gastro-esofagus: 10 ml sirup diberikan 2 kali dalam sehari (pagi dan malam), atau 20 ml diberikan sekali sehari sesudah makan malam atau sebelum tidur, selama 8-12 minggu. Ulkus duodenum (H.Pylori): 10 ml sirup diberikan 2 kali diberikan dengan amoksisilin dan metronidazol selama 2 minggu. Ulkus lambung dan duodenum jinak: Dewasa dan anak &gt; 12 tahun: 10 ml sirup diberikan 2 kali dalam sehari (pagi dan malam), atau 20 ml diberikan sekali sehari sesudah makan malam atau sebelum tidur, selama 4 minggu. Anak 3-11 tahun: 4-8 mg/kg setiap hari dalam 2 dosis terbagi maks.300 mg selama 4-8 minggu</t>
  </si>
  <si>
    <t>HARUS DENGAN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</si>
  <si>
    <t>ranivel</t>
  </si>
  <si>
    <t>ranivel sirup ranitidine hydrochloride tukak lambung tukak duodenum  refluks esofagitis  dispepsia episodik kronis  tukak akibat ains  tukak duodenum h  pylorus  sindrom zollinger  ellison  kondisi dimana pengurangan asam lambung</t>
  </si>
  <si>
    <t>GKL1106506403A1</t>
  </si>
  <si>
    <t>Omeprazole 20 mg 10 Kapsul</t>
  </si>
  <si>
    <t>Rp5.300 - Rp8.200</t>
  </si>
  <si>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</si>
  <si>
    <t>Dus, 3 Strip @ 10 Kapsul lepas tunda</t>
  </si>
  <si>
    <t>Omeprazole dikontraindikasikan untuk pasien yang diketahui hipersensitivitas terhadap obat ini atau bahan lain yang terdapat dalam formulasi. Penggunaan dengan nelfinavir.</t>
  </si>
  <si>
    <t>HARUS DENGAN RESEP DOKTER. Perhatian khusus pada Pasien dengan penurunan simpanan tubuh atau faktor risiko penurunan penyerapan vitamin B12</t>
  </si>
  <si>
    <t>Green Oil Herbal 5 ml</t>
  </si>
  <si>
    <t>Rp7.500 - Rp8.000</t>
  </si>
  <si>
    <t>Microlax Family Gel 3 Tube</t>
  </si>
  <si>
    <t>Rp69.900 - Rp72.500</t>
  </si>
  <si>
    <t>Dewasa dan anak diatas 3 thn : 1 tube</t>
  </si>
  <si>
    <t>Konstipasi Rektal dan Sigmoid, Konstipasi pada masa Kehamilan, Konstipasi Habitual dan transitorik pada anak, tinja/feses yang mengeras/menggumpal dalam usus besar (Fekaloma dan Skibala), Persiapan sebelum operasi (partus, ginekologi, pembedahan anus),</t>
  </si>
  <si>
    <t>Dus @ 3 Tube @ 5 ml</t>
  </si>
  <si>
    <t>Microlax Enema tidak boleh digunakan pada kasus peradangan usus dan penderita wasir yang akut.</t>
  </si>
  <si>
    <t>konstipasi rektal sigmoid , konstipasi kehamilan , konstipasi habitual transitorik anak , tinja fes mengeras menggumpal usus fekaloma skibala , persiapan operasi partus , ginekologi , pembedahan anus ,</t>
  </si>
  <si>
    <t>microlax family tube</t>
  </si>
  <si>
    <t xml:space="preserve">microlax family tube enema macrogol 400 konstipasi rektal sigmoid  konstipasi kehamilan  konstipasi habitual transitorik anak  tinja fes mengeras menggumpal usus fekaloma skibala  persiapan operasi partus  ginekologi  pembedahan anus </t>
  </si>
  <si>
    <t>Freshkon Clear Multi-Purpose Solution 360 ml</t>
  </si>
  <si>
    <t>Rp48.800 - Rp88.000</t>
  </si>
  <si>
    <t>Larutan serbaguna untuk lensa kontak lunak yang digunakan untuk membersihkan, membilas, menghilangkan protein, mendisinfeksi, melumasi dan menyimpan semua lensa kontak (hidrofilik), termasuk lensa kontak kosmetik dan Silikon Hidrogel.</t>
  </si>
  <si>
    <t>larutan serbaguna lensa kontak lunak membersihkan , membilas , menghilangkan protein , mendisinfeksi , melumasi menyimpan lensa kontak hidrofilik , lensa kontak kosmetik silikon hidrogel</t>
  </si>
  <si>
    <t>freshkon clear multipurpose solution</t>
  </si>
  <si>
    <t>freshkon clear multipurpose solution tablet kombinasivalsartan blend 32 larutan serbaguna lensa kontak lunak membersihkan  membilas  menghilangkan protein  mendisinfeksi  melumasi menyimpan lensa kontak hidrofilik  lensa kontak kosmetik silikon hidrogel</t>
  </si>
  <si>
    <t>- OMEPRAZOLE PELLET 8.5%</t>
  </si>
  <si>
    <t>omeprazole pellet 85%</t>
  </si>
  <si>
    <t>omed kapsul omeprazole pellet 85 terapi jangka pendek tukak duodenum tidak responsif antagonis reseptor h2  tukak lambung  refluks esofagitis erosif ulseratif didiagnosa endoskopi  terapi jangka sindrom zollinger  ellison</t>
  </si>
  <si>
    <t>TR173302621</t>
  </si>
  <si>
    <t>Daun Sirsak 100 Kapsul</t>
  </si>
  <si>
    <t>SIRSAK HIKMAH</t>
  </si>
  <si>
    <t>Rp52.300 - Rp74.600</t>
  </si>
  <si>
    <t>Pengobatan : 3 x sehari 2 kapsul, pemeliharaan : 3 x sehari 1 kapsul</t>
  </si>
  <si>
    <t>Untuk membantu melawan radikal bebas dan menghambat pertumbuhan sel kanker, meningkatkan sistem kekebalan tubuh dan meningkatkan stamina agar tubuh tidak lemah, mengatasi tekanan darah tinggi, bronkitis, rematik.</t>
  </si>
  <si>
    <t>Tidak dianjurkan untuk wanita hamil dan menyusui, penderita darah rendah sebaiknya berkonsultasi terlebih dahulu dengan dokter,tidak dianjurkan diminum bersama dengan obat co-enzim Q10</t>
  </si>
  <si>
    <t>sirsak hikmah</t>
  </si>
  <si>
    <t>untuk membantu melawan radikal bebas menghambat pertumbuhan sel kanker , meningkatkan sistem kekebalan tubuh meningkatkan stamen tubuh tidak lemah , mengatasi tekanan darah , bronkitis , rematik</t>
  </si>
  <si>
    <t>daun sirsak</t>
  </si>
  <si>
    <t>daun sirsak kapsul sirsak hikmah untuk membantu melawan radikal bebas menghambat pertumbuhan sel kanker  meningkatkan sistem kekebalan tubuh meningkatkan stamen tubuh tidak lemah  mengatasi teka darah  bronkitis  rematik</t>
  </si>
  <si>
    <t>Daun Sirsak 50 Kapsul</t>
  </si>
  <si>
    <t>Rp46.300 - Rp76.900</t>
  </si>
  <si>
    <t>Hexadol Gargle 60 ml</t>
  </si>
  <si>
    <t>Rp14.000 - Rp24.200</t>
  </si>
  <si>
    <t>Pada pagi hari dan malam hari.</t>
  </si>
  <si>
    <t>Kumur 15 mL selama 30 detik pagi dan malam, atau oleskan pada luka dengan lidi kapas.</t>
  </si>
  <si>
    <t>Untuk mengatasi radang gusi, radang disekitar gigi, sariawan, radang selaput lendir mulut serta untuk mengatasi gejala-gejala radang tenggorokan dan radang akibat amandel. Selain itu sebagai pembilas sebelum dan sesudah pencabutan gigi.</t>
  </si>
  <si>
    <t>Alergi dan sensitif.</t>
  </si>
  <si>
    <t>Alergi atau sensitif atau memiliki reaksi terhadap salah satu bahan dalam obat,sedang hamil, berencana hamil, atau menyusui.</t>
  </si>
  <si>
    <t>untuk mengatasi radang gusi , radang disekitar gigi , sariawan , radang selaput lendir mulut mengatasi gejala - gejala radang tenggorokan radang akibat amandel  selain pembilas pencabutan gigi</t>
  </si>
  <si>
    <t>hexadol gargle larutan hexetidine untuk mengatasi radang gusi  radang disekitar gigi  sariawan  radang selaput lendir mulut mengatasi gejala  gejala radang tenggorokan radang akibat amandel  selain pembilas pencabutan gigi</t>
  </si>
  <si>
    <t>QD212608831</t>
  </si>
  <si>
    <t>Freshcare Roll On Minyak Angin Green Tea 10 ml</t>
  </si>
  <si>
    <t>Rp14.000 - Rp17.800</t>
  </si>
  <si>
    <t>Minyak ini digunakan untuk mengurangi sakit kepala, perut kembung, masuk angin, mabuk perjalanan, gejala flu, pegal pegal, gatal akibat gigitan serangga.</t>
  </si>
  <si>
    <t>Hanya untuk penggunaan luar, hindari kontak dengan mata, kulit yang luka ataupun iritasi, jauhkan dari jangkauan anak-anak.</t>
  </si>
  <si>
    <t>camellia sinensis oil</t>
  </si>
  <si>
    <t>minyak mengurangi sakit kepala , perut kembung , masuk angin , mabuk perjalanan , gejala flu , pegal pegal , gatal akibat gigitan serangga</t>
  </si>
  <si>
    <t>freshcare roll on angin green tea</t>
  </si>
  <si>
    <t>freshcare roll on angin green tea roll camellia sinensis oil minyak mengurangi sakit kepala  perut kembung  masuk angin  mabuk perjala  gejala flu  pegal pegal  gatal akibat gigitan serangga</t>
  </si>
  <si>
    <t>DKL0121626017A1</t>
  </si>
  <si>
    <t>Cholespar 10 mg 10 Tablet</t>
  </si>
  <si>
    <t>Rp88.500 - Rp177.800</t>
  </si>
  <si>
    <t>INFORMASI OBAT INI HANYA UNTUK KALANGAN MEDIS. Terapi zat pengubah lemak penunjang diet ketat, sebagai hiperko-lesterolemia dapat mengurangi resiko infark miokardial, mengurang resiko pasien penjalani prosedur revasularisasi miokardia, mengurangi resiko mortilitas kardiovaskuler</t>
  </si>
  <si>
    <t>terapi zat pengubah lemak penunjang diet ketat , hiperko - lesterolemia mengurangi resiko infark miokardial , mengurang resiko pasien penjalani prosedur revasularisasi miokardia , mengurangi resiko mortilitas kardiovaskuler</t>
  </si>
  <si>
    <t>cholespar tablet pravastatin sodium terapi zat pengubah lemak penunjang diet ketat  hiperko  lesterolemia mengurangi resiko infark miokardial  mengurang resiko pasien penjalani prosedur revasularisasi miokardia  mengurangi resiko mortilitas kardiovaskuler</t>
  </si>
  <si>
    <t>TR032220701</t>
  </si>
  <si>
    <t>Lasegar Plus Cap Badak Rasa Jambu Sachet</t>
  </si>
  <si>
    <t>LASEGAR PLUS (RASA JAMBU)</t>
  </si>
  <si>
    <t>Rp2.300 - Rp4.100</t>
  </si>
  <si>
    <t>Dewasa : 3 x sehari 1 sachet. Anak-anak : 3 x sehari 1/2-1 sachet</t>
  </si>
  <si>
    <t>Panas dalam disertai dengan gejala seperti bibir pecah-pecah, sariawan, bau mulut, sakit tenggorokan, batuk, tenggorokan kering, tubuh tidak fit</t>
  </si>
  <si>
    <t>Dus, 6 sachet @ 7 g</t>
  </si>
  <si>
    <t>lasegar plus (rasa jambu)</t>
  </si>
  <si>
    <t>panas disertai gejala bibir pecah - pecah , sariawan , bau mulut , sakit tenggorokan , batuk , tenggorokan kering , tubuh tidak fit</t>
  </si>
  <si>
    <t>lasegar plus cap badak rasa jambu</t>
  </si>
  <si>
    <t>lasegar plus cap badak rasa jambu sachet lasegar plus rasa jambu panas disertai gejala bibir pecah  pecah  sariawan  bau mulut  sakit tenggorokan  batuk  tenggorokan kering  tubuh tidak fit</t>
  </si>
  <si>
    <t>GKL9912516510A1</t>
  </si>
  <si>
    <t>Metoclopramide 10 mg 10 Tablet</t>
  </si>
  <si>
    <t>Diminum saat perut kosong. 30 menit sebelum makan.</t>
  </si>
  <si>
    <t>PENGGUNAAN OBAT INI HARUS SESUAI DENGAN PETUNJUK DOKTER. Dewasa: 1 tablet, 3 kali per hari.</t>
  </si>
  <si>
    <t>INFORMASI OBAT INI HANYA UNTUK KALANGAN MEDIS. Mual dan muntah yang disebabkan oleh obat, muntah pada kehamilan, Gangguan saluran cerna, anoreksia, aerofagi, ulkus peptik, stenosis pilorik(ringan), dispepsia, epigastralgia, gastroduodenitis, dispepsia pasca gastrektomi, endoskopi dan intubasi</t>
  </si>
  <si>
    <t>Dus, 10 Strip @ 10 Strip</t>
  </si>
  <si>
    <t>Pasien epilepsi, perdarahan GI, obstruksi atau perforasi pheochromocytoma.</t>
  </si>
  <si>
    <t>Obat Wajib Apotek, Obat ini dapat dibeli dan diserahkan apoteker tanpa resep dengan maksimum 2 Strip. Pembelian melebihi batas ini WAJIB RESEP DOKTER. Gagal ginjla, menyusui, dan hamil (pada trimester ke-1) Kategori kehamilan: B</t>
  </si>
  <si>
    <t>mual muntah disebabkan obat , muntah kehamilan , gangguan saluran cerna , anoreksia , aerofagi , ulkus peptik , stenosis pilorik ringan , dispepsia , epigastralgia , gastroduodenitis , dispepsia pasca gastrektomi , endoskopi intubasi</t>
  </si>
  <si>
    <t>metoclopramide tablet metoclopramide hydrochloride mual muntah disebabkan obat  muntah kehamilan  gangguan saluran cerna  anoreksia  aerofagi  ulkus peptik  stenosis pilorik ringan  dispepsia  epigastralgia  gastroduodenitis  dispepsia pasca gastrektomi  endoskopi intubasi</t>
  </si>
  <si>
    <t>DTL0518819640A1</t>
  </si>
  <si>
    <t>Hexadol Mint Gargle 100 ml</t>
  </si>
  <si>
    <t>Rp21.000 - Rp42.700</t>
  </si>
  <si>
    <t>Larutan dikumur-kumur</t>
  </si>
  <si>
    <t>Untuk luka pada bagian mukosa dan tenggorokan, kumur 15 ml selama 30 detik pagi dan malam, atau oleskan pada luka dengan lidi kapas.</t>
  </si>
  <si>
    <t>Mengatasi infeksi ringan pada mulut dan tenggorokan, seperti radang gusi, radang disekitar gigi, sariawan, radang selaput lendir mulut serta untuk mengatasi gejala-gejala radang tenggorokan dan radang akibat amandel.</t>
  </si>
  <si>
    <t>Botol, 100 ml</t>
  </si>
  <si>
    <t>mengatasi infeksi ringan mulut tenggorokan , radang gusi , radang disekitar gigi , sariawan , radang selaput lendir mulut mengatasi gejala - gejala radang tenggorokan radang akibat amandel</t>
  </si>
  <si>
    <t>hexadol mint gargle</t>
  </si>
  <si>
    <t>hexadol mint gargle larutan hexetidine mengatasi infeksi ringan mulut tenggorokan  radang gusi  radang disekitar gigi  sariawan  radang selaput lendir mulut mengatasi gejala  gejala radang tenggorokan radang akibat amandel</t>
  </si>
  <si>
    <t>DKL9421000809B1</t>
  </si>
  <si>
    <t>Varoc 500 mg 10 Kaplet</t>
  </si>
  <si>
    <t>PENGGUNAAN OBAT INI HARUS SESUAI DENGAN PETUNJUK DOKTER. Dws 500 mg 3 x/hari selama 5 hari. Infeksi berat: 3 g/hari. Anak 50-75 mg/kg BB 2-3 x/hari.</t>
  </si>
  <si>
    <t>Infeksi saluran nafas atas, nyeri tenggorokan, rinitis purulen, sinusitis, otitis media akuta, bronkitis purulen, pneumonia atipik primer, pneumonia aspirasi, infeksi rongga mulut. Profilaksis toksoplasmosis pada wanita hamil.</t>
  </si>
  <si>
    <t>Dus, Kaplet 500 Mg X 50</t>
  </si>
  <si>
    <t>Hipersensitif terhadap spiramisin.</t>
  </si>
  <si>
    <t>HARUS DENGAN RESEP DOKTER. Hamil trimester ke-1, laktasi.</t>
  </si>
  <si>
    <t>infeksi saluran nafas , nyeri tenggorokan , rinitis purulen , sinusitis , otitis medium akuta , bronkitis purulen , pneumonia atipik primer , pneumonia aspirasi , infeksi rongga mulut  profilaksis toksoplasmosis wanita hamil</t>
  </si>
  <si>
    <t>varoc</t>
  </si>
  <si>
    <t>varoc kaplet spiramycin infeksi saluran nafas  nyeri tenggorokan  rinitis purulen  sinusitis  otitis medium akuta  bronkitis purulen  pneumonia atipik primer  pneumonia aspirasi  infeksi rongga mulut  profilaksis toksoplasmosis wanita hamil</t>
  </si>
  <si>
    <t>Air Mancur Parcok Minyak Urut 30 ml</t>
  </si>
  <si>
    <t>Rp7.700 - Rp13.900</t>
  </si>
  <si>
    <t>Untuk pijat, oleskan secukupnya pada bagian tubuh yang sakit, lakukan pemijatan dan urut selama 10-15 menit. Untuk menghangatkan tubuh, gosok pada tubuh yang terasa dingin yaitu perut, dada, punggung, dan kaki secukupnya.</t>
  </si>
  <si>
    <t>Mengurangi lelah dan pegal linu setelah bekerja keras atau berolah raga, mengobati otot-otot kaku, kejang karena terkilir atau rematik, mengobati nyeri dan bengkak karena kena pukulan atau digigit serangga.</t>
  </si>
  <si>
    <t>Botol 30 ml x 1</t>
  </si>
  <si>
    <t>air mancur parcok urut</t>
  </si>
  <si>
    <t>air mancur parcok urut minyak cajuputi oil mengurangi lelah pegal linu kera berolah raga  mengobati otot  otot kaku  kejang terkilir rematik  mengobati nyeri bengkak kena pukulan digigit serangga</t>
  </si>
  <si>
    <t>DKL0217617410A1</t>
  </si>
  <si>
    <t>Interbi 250 mg 6 Tablet</t>
  </si>
  <si>
    <t>Rp297.700 - Rp303.800</t>
  </si>
  <si>
    <t>PENGGUNAAN OBAT INI HARUS SESUAI DENGAN PETUNJUK DOKTER. 1 x sehari 1 tablet, Lama terapi : Tinea Pedis (tipe interdigital, plantar atau moccasin) : 2-6 minggu, Tinea Korporis, Tinea Kruris : 2-4 minggu, Onikomikosis : 6 minggu sampai 3 bulan</t>
  </si>
  <si>
    <t>Infeksi jamur Onikomikosis pada kulit dan kuku yang di sebabkan oleh Dermatofit seperti Trichophyton, Microsporum Canis &amp; Epidermophyton floccosum. Pengobaan penyakit kulit akibat jamur/Ringworm seperti Tinea Korporis, Tinea Kruris, Tinea Pedis, di mana</t>
  </si>
  <si>
    <t>HARUS DENGAN RESEP DOKTER. Disfungsi hepatik atau ginjal berat (bersihan kreatini &lt; 50 mL/menit). Hamil dan laktasi</t>
  </si>
  <si>
    <t>infeksi jamur onikomikosis kulit kuku sebabkan dermatofit trichophyton , microsporum canis epidermophyton floccosum  pengobaan penyakit kulit akibat jamur ringworm tinea korporis , tinea kruris , tinea pedis ,</t>
  </si>
  <si>
    <t>interbi</t>
  </si>
  <si>
    <t xml:space="preserve">interbi tablet terbinafine hydrochloride infeksi jamur onikomikosis kulit kuku sebabkan dermatofit trichophyton  microsporum canis epidermophyton floccosum  pengobaan penyakit kulit akibat jamur ringworm tinea korporis  tinea kruris  tinea pedis </t>
  </si>
  <si>
    <t>DBL9720920933A1</t>
  </si>
  <si>
    <t>Indomag Suspensi 60 ml</t>
  </si>
  <si>
    <t>Rp13.500 - Rp19.200</t>
  </si>
  <si>
    <t>Dikonsumsi 1-2 jam setelah makan dan menjelang tidur.</t>
  </si>
  <si>
    <t>Dewasa : 5 - 10 ml, diminum 3-4 kali per hari. Anak 6-12 tahun : 2.5 - 5 ml diminum 3-4 kali per hari.</t>
  </si>
  <si>
    <t>Gejala yang berhubungan dengan kelebihan asam lambung, gastritis, tukak lambung, dengan gejala seperti mual, nyeri lambung, nyeri ulu hati, kembung, dan perasaan penuh pada lambung.</t>
  </si>
  <si>
    <t>gejala berhubungan kelebihan asam lambung , gastritis , tukak lambung , gejala mual , nyeri lambung , nyeri ulu hati , kembung , perasaan penuh lambung</t>
  </si>
  <si>
    <t>indomag</t>
  </si>
  <si>
    <t>indomag suspensi simethicone magnesium hydroxide dried aluminium hydroxide gel gejala berhubungan kelebihan asam lambung  gastritis  tukak lambung  gejala mual  nyeri lambung  nyeri ulu hati  kembung  perasaan penuh lambung</t>
  </si>
  <si>
    <t>DKL1640500110A1</t>
  </si>
  <si>
    <t>Beprin 500 mg 10 Tablet</t>
  </si>
  <si>
    <t>Rp59.800 - Rp69.400</t>
  </si>
  <si>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t>
  </si>
  <si>
    <t>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t>
  </si>
  <si>
    <t>HARUS DENGAN RESEP DOKTER. Pasien dengan gout, penyakit jantung yang mendapat terapi digitalis.</t>
  </si>
  <si>
    <t>penyakit disebabkan virus saluran napa , penyakit - penyakit eksantem , penyakit hati penyakit sistem saraf  flu anak orang dewasa , bronchiolitis , rhinopharyngitis , varicella , campak , herpes simplex zoster , parotitis</t>
  </si>
  <si>
    <t>beprin</t>
  </si>
  <si>
    <t>beprin tablet methisoprinol penyakit disebabkan virus saluran napa  penyakit  penyakit eksantem  penyakit hati penyakit sistem saraf  flu anak orang dewasa  bronchiolitis  rhinopharyngitis  varicella  campak  herpes simplex zoster  parotitis</t>
  </si>
  <si>
    <t>DKL9604413909A1</t>
  </si>
  <si>
    <t>Zithrax 500 mg 6 Tablet</t>
  </si>
  <si>
    <t>Rp259.400 - Rp398.400</t>
  </si>
  <si>
    <t>Sebaiknya diberikan pada saat perut kosong: Berikan pada saat perut kosong 1 jam sebelum atau 2 jam sesudah makan. Kaplet salut selaput: Dapat diberikan bersama atau tanpa makanan: Dapat diberikan bersama makanan untuk mengurangi rasa tidak nyaman pada saluran cerna.</t>
  </si>
  <si>
    <t>PENGGUNAAN OBAT INI HARUS SESUAI DENGAN PETUNJUK DOKTER. PHS Dewasa 1 g sebagai dosis tunggal. Indikasi lain 500 mg pada hari pertama dilanjutkan dengan 250 mg perhari pada hari kedua sampai dengan kelima. Dosis total : 1.5g</t>
  </si>
  <si>
    <t>Pasien diatas 16 tahun dengan infeksi ringan hingga sedang karena mikroorganisme yang sensitif seperti tonsilitis, faringitis, bronkitis, pneumonia, infeksi kulit &amp; jaringan lunak, uretritis, servisitis yang berhubungan dengan C. trachomatis, U. urealyticum, &amp; N. gonorrhoeae.</t>
  </si>
  <si>
    <t>HARUS DENGAN RESEP DOKTER. Gangguan fungsi hati atau ginjal. Tidak untuk pneumonia, pasien rawat jalan. Pasien dengan infeksi nosokomial yang didapat, diketahui mengalami bakteremia. Pasien yang perlu rawat inap di rumah sakit, pasien dengan kondisi lemah. Pasien dengan masalah kesehatan serius, seperti penyakit imunodefisiensi atau asplenia fungsional. Anak &lt;16 tahun. Hamil &amp; laktasi.</t>
  </si>
  <si>
    <t>pasien diatas 16 infeksi ringan mikroorganisme sensitif tonsilitis , faringitis , bronkitis , pneumonia , infeksi kulit jaringan lunak , uretritis , servisitis berhubungan c  trachomatis , u  urealyticum , n  gonorrhoeae</t>
  </si>
  <si>
    <t>zithrax</t>
  </si>
  <si>
    <t>zithrax kaplet azithromycin dihydrate pasien diatas 16 infeksi ringan mikroorganisme sensitif tonsilitis  faringitis  bronkitis  pneumonia  infeksi kulit jaringan lunak  uretritis  servisitis berhubungan c  trachomatis  u  urealyticum  n  gonorrhoeae</t>
  </si>
  <si>
    <t>DTL1934012633A1</t>
  </si>
  <si>
    <t>Novaxifen Forte 200 mg/5 ml Suspensi 60 ml</t>
  </si>
  <si>
    <t>- Dewasa : untuk meringankan nyeri ringan sampai sedang, dosis yang dianjurkan : 5 ml sebanyak 3-4 kali/hari - Anak Â– anak : untuk menurunkan demam dan meringankan nyeri ringan sampai sedang, dosis yang direkomendasikan 20mg/kgBB/hari dalam dosis terbagi</t>
  </si>
  <si>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</si>
  <si>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novaxifen forte</t>
  </si>
  <si>
    <t>novaxifen forte suspensi ibuprofen nyeri ringan nyeri penyakit gigi pencabutan gigi  nyeri pasca bedah  sakit kepala  gejala artritis reumatoid  gejala osteoartritis  gejala juvenile artritis reumatoid  menurunkan demam anak</t>
  </si>
  <si>
    <t>DKL9531509546A1</t>
  </si>
  <si>
    <t>Isotic Neolyson Eye Drops 5 ml</t>
  </si>
  <si>
    <t>Rp24.100 - Rp41.400</t>
  </si>
  <si>
    <t>PENGGUNAAN OBAT INI HARUS SESUAI DENGAN PETUNJUK DOKTER. 4-5 x sehari 1-2 tetes</t>
  </si>
  <si>
    <t>Pengobatan infeksi, inflamasi/peradangan Okular, Konjungtivitis nonpurulen akut &amp; kronis, Blefarokonjungtivitis &amp; Keratokonjungtivitis, Keratitis superfisial nonspesifik, Keratitis dalam, Iridosiklitis, Iritis, Blefaritis nonpurulen, Skleritis, Episklerit</t>
  </si>
  <si>
    <t>Lesi di mata karena infeksi virus, jamur, TBC, vaksin, varisela, konjungtivitis purulenta akut dan blefaritis</t>
  </si>
  <si>
    <t>HARUS DENGAN RESEP DOKTER. Pertumbuhan berlebih organisme yang tidak peka</t>
  </si>
  <si>
    <t>pengobatan infeksi , inflamasi peradangan okular , konjungtivitis nonpurulen akut kronis , blefarokonjungtivitis keratokonjungtivitis , keratitis superfisial nonspesifik , keratitis , iridosiklitis , iritis , blefaritis nonpurulen , skleritis , episklerit</t>
  </si>
  <si>
    <t>isotic neolyson eye</t>
  </si>
  <si>
    <t>isotic neolyson eye tetes dexamethasone sodium phosphate pengobatan infeksi  inflamasi peradangan okular  konjungtivitis nonpurulen akut kronis  blefarokonjungtivitis keratokonjungtivitis  keratitis superfisial nonspesifik  keratitis  iridosiklitis  iritis  blefaritis nonpurulen  skleritis  episklerit</t>
  </si>
  <si>
    <t>Aquas Solusi Multiguna 120 ml</t>
  </si>
  <si>
    <t>Sebelum membuka botol, cuci tangan dengan sabun sampai bersih. Tuangkan beberapa tetes AQUAS di permukaan lensa kontak. Usap lensa dengan hati-hati selama 20 detik di setiap permukaan. Bilas lensa kontak tersebut dengan menambahkan MPS untuk melepaskan lapisan kotoran. Letakan lensa kontak pada tempat lensa dan diisi dengan Multi Purpose Solution selama kurang lebih dari 5 menit. Jika tanpa penggosokan, rendam minimal 4 jam. Lensa dapat disimpan maksimal 30 hari.</t>
  </si>
  <si>
    <t>Larutan multiguna untuk lensa kontak lunak yang digunakan untuk membersihkan protein, kotoran lain dan debu pada lensa kontak lunak, membunuh bakteri pada permukaan lensa, membilas dan merendam lensa kontak lunak.</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</si>
  <si>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90 hari. Hindari penggunaan cairan di atas batas masa simpannya</t>
  </si>
  <si>
    <t>larutan multiguna lensa kontak lunak membersihkan protein , kotoran debu lensa kontak lunak , membunuh bakteri permukaan lensa , membilas merendam lensa kontak lunak</t>
  </si>
  <si>
    <t>aquas solusi multiguna</t>
  </si>
  <si>
    <t>aquas solusi multiguna tablet kombinasivalsartan blend 32 larutan multiguna lensa kontak lunak membersihkan protein  kotoran debu lensa kontak lunak  membunuh bakteri permukaan lensa  membilas merendam lensa kontak lunak</t>
  </si>
  <si>
    <t>Aquas Solusi Multiguna 60 ml</t>
  </si>
  <si>
    <t>Rp6.100 - Rp12.100</t>
  </si>
  <si>
    <t>bodrex flu dan batuk tidak berdahak pe kaplet paracetamol phenylephrine hydrochloride dextromethorphan hydrobromide meredakan gejala  gejala flu demam  sakit kepala  hidung tersumbat  bersin  bersin disertai batuk tidak berdahak</t>
  </si>
  <si>
    <t>volinol kaplet ciprofloxacin hcl monohydrate isk kecuali prostatitis  uretritis servisitis  go  infeksi sal cerna tifoid paratifoid  infeksi sal nafas kecuali pneumonia strep hemolitikus  kulit jar lunak  tulang sendi</t>
  </si>
  <si>
    <t>volinol kaplet ciprofloxacin hydrochloride monohydrate isk kecuali prostatitis  uretritis servisitis  go  infeksi sal cerna tifoid paratifoid  infeksi sal nafas kecuali pneumonia strep hemolitikus  kulit jar lunak  tulang sendi</t>
  </si>
  <si>
    <t>TR212649421</t>
  </si>
  <si>
    <t>Cap Lang Minyak Ekaliptus Aromatherapy Green Tea 15 ml</t>
  </si>
  <si>
    <t>EUCALYPTUS AROMATHERAPY GREEN TEA.</t>
  </si>
  <si>
    <t>Rp8.300 - Rp8.400</t>
  </si>
  <si>
    <t>cap lang ekaliptus aromatherapy green tea minyak eucalyptus aromatherapy green tea membantu meringankan sakit perut  perut kembung  mual  gatal  gatal akibat gigitan serangga nyamuk aromaterapi refreshing pikiran ketegan</t>
  </si>
  <si>
    <t>Brilliant Multi-Purpose Solution 120 ml</t>
  </si>
  <si>
    <t>Rp18.700 - Rp25.300</t>
  </si>
  <si>
    <t>Sebelum membuka botol, cuci tangan dengan sabun sampai bersih. Tuangkan beberapa tetes Multi Purpose Solution di permukaan lensa kontak. Usap lensa dengan hati-hati selama 20 detik di setiap permukaan. Bilas lensa kontak tersebut dengan menambahkan MPS untuk melepaskan lapisan kotoran. Letakan lensa kontak pada tempat lensa dan diisi dengan Multi Purpose Solution selama kurang lebih dari 5 menit. Jika tanpa penggosokan, rendam minimal 4 jam. Lensa dapat disimpan maksimal 30 hari.</t>
  </si>
  <si>
    <t>Larutan serbaguna untuk lensa kontak lunak yang digunakan untuk membersihkan protein, kotoran lain dan debu pada lensa kontak lunak, membunuh bakteri pada permukaan lensa, membilas dan merendam lensa kontak lunak</t>
  </si>
  <si>
    <t>Jangan dicampur dengan cairan lain selain yang tertera. Jangan digunakan bila alergi terhadap campuran yang terkandung pada produk ini. Jika terjadi peradangan, hentikan pemakaian dan segeralah bilas mata.</t>
  </si>
  <si>
    <t>larutan serbaguna lensa kontak lunak membersihkan protein , kotoran debu lensa kontak lunak , membunuh bakteri permukaan lensa , membilas merendam lensa kontak lunak</t>
  </si>
  <si>
    <t>brilliant multipurpose solution</t>
  </si>
  <si>
    <t>brilliant multipurpose solution tablet kombinasivalsartan blend 32 larutan serbaguna lensa kontak lunak membersihkan protein  kotoran debu lensa kontak lunak  membunuh bakteri permukaan lensa  membilas merendam lensa kontak lunak</t>
  </si>
  <si>
    <t>QD202634891</t>
  </si>
  <si>
    <t>Freshcare Roll On Minyak Angin Kayu Putih 10 ml</t>
  </si>
  <si>
    <t>Rp14.000 - Rp16.100</t>
  </si>
  <si>
    <t>Meringankan Pusing-pusing, sakit kepala, perut kembung, masuk angin, mabuk perjalanan, gejala flu, pegal-pegal, dan gatal akibat gigitan seranggga.</t>
  </si>
  <si>
    <t>Obat Luar tidak digunakan untuk anak-anak</t>
  </si>
  <si>
    <t>meringankan pusing - pusing , sakit kepala , perut kembung , masuk angin , mabuk perjalanan , gejala flu , pegal - pegal , gatal akibat gigitan serangga</t>
  </si>
  <si>
    <t>freshcare roll on angin kayu putih</t>
  </si>
  <si>
    <t>freshcare roll on angin kayu putih roll cajuput oil meringankan pusing  pusing  sakit kepala  perut kembung  masuk angin  mabuk perjala  gejala flu  pegal  pegal  gatal akibat gigitan serangga</t>
  </si>
  <si>
    <t>DKL9830905837A1</t>
  </si>
  <si>
    <t>Lexapram Sirup 60 ml</t>
  </si>
  <si>
    <t>Rp7.500 - Rp9.700</t>
  </si>
  <si>
    <t>PENGGUNAAN OBAT INI HARUS SESUAI DENGAN PETUNJUK DOKTER. Tablet : Dewasa : 1/2-1 tablet 3 kali/hari. Anak 5-14 tahun : 1/4-1/2 tablet 3 kali/hari. Sirup : Dewasa : 1-2 sendok takar 3 kali/hari. Anak 5-14 tahun 1/2-1 sendok takar/hari.</t>
  </si>
  <si>
    <t>Untuk mengontrol atau mengurangi mual dan muntah yang diikuti dengan kondisi ketidaktahanan tehadap obat-obat yang merangsang atau menyebabkan muntah (Cytotoxic Agents), mual disebabkan radiasi penyakit ganas dan muntah selesai operasi</t>
  </si>
  <si>
    <t>Sirup 5 Mg/5 ml X 60 ml X 1</t>
  </si>
  <si>
    <t>Feokromositoma, epilepsi, perdarahan, obstruksi saluran cerna. Gangguan ekstrapiramidal.</t>
  </si>
  <si>
    <t>HARUS DENGAN RESEP DOKTER. Hamil, usia lanjut, anak &lt; 5 tahun. Pasien disfungsi ginjal dosis dikurangi. Penggunaan dengan fenotiazin dapat menyebabkan reaksi ekstrapiramidal. Hipersensitif terhadap prokain dan prokainamid.</t>
  </si>
  <si>
    <t>untuk mengontrol mengurangi mual muntah diikuti kondisi ketidaktahanan tehadap obat - obat merangsang menyebabkan muntah cytotoxic agents , mual disebabkan radiasi penyakit ganas muntah selesai operasi</t>
  </si>
  <si>
    <t>lexapram sirup metoclopramide hydrochloride untuk mengontrol mengurangi mual muntah diikuti kondisi ketidaktaha tehadap obat  obat merangsang menyebabkan muntah cytotoxic agents  mual disebabkan radiasi penyakit ganas muntah selesai operasi</t>
  </si>
  <si>
    <t>DTL8911608429A1</t>
  </si>
  <si>
    <t>Mycoral 2% Cream 5 g</t>
  </si>
  <si>
    <t>Rp18.300 - Rp23.100</t>
  </si>
  <si>
    <t>mycoral cream</t>
  </si>
  <si>
    <t>mycoral cream krim ketoconazole infeksi dermatofita kulit kuku tangan tidak kuku kaki  kandidiasis mukokutan kronis tidak responsif nistatin obat  obat  infeksi mikosis sistemik kandidiasis  paraksidioidomikasis  cocci dioidomycosis  hiptoplasmosis</t>
  </si>
  <si>
    <t>DKL8911603617A1</t>
  </si>
  <si>
    <t>Rantin 150 mg 10 Tablet</t>
  </si>
  <si>
    <t>Rp57.900 - Rp85.800</t>
  </si>
  <si>
    <t>rantin</t>
  </si>
  <si>
    <t>rantin tablet ranitidine hydrochloride tukak lambung tukak duodenum  refluks esofagitis  dispepsia episodik kronis  tukak akibat ains  tukak duodenum h  pylorus  sindrom zollinger  ellison  kondisi dimana pengurangan asam lambung</t>
  </si>
  <si>
    <t>DKL9231103210A1</t>
  </si>
  <si>
    <t>Tokasid 200 mg 10 Tablet</t>
  </si>
  <si>
    <t>Rp8.100 - Rp14.900</t>
  </si>
  <si>
    <t>PENGGUNAAN OBAT INI HARUS SESUAI DENGAN PETUNJUK DOKTER. Dewasa : 1 x sehari 1 tablet, kandidiasis Vaginal : 1 x sehari 2 tablet selama 5 hari. Lama terapi : Kandidiasis oral : 10 hari, Aspergilosis, kandidiasis sistemik : 1-2 bulan, Parakoksidioidomikosis, Histoplasmosis : 2-6 bulan</t>
  </si>
  <si>
    <t>Kandidiasis mukokutan (kulit-mukosa) khronik yang tidak responsif terhadap Nistatin atau obat lain seperti : kandidiasis Vaginal, kandidiasis Oral (infeksi jamur dalam rongga mulut, kulit pecah-pecah pada sudut mulut), kandidiasis Saluran Cerna</t>
  </si>
  <si>
    <t>HARUS DENGAN RESEP DOKTER. Penyakit hati. Penggobatan harus dihentikan jika terjadi gejala-gejala seperti mual atau kelelahan dengan fases berwarna pucat, ikterus. Anak &lt; 2 tahun Kategori Kehamilan : C</t>
  </si>
  <si>
    <t>kandidiasis mukokutan kulit - mukosa khronik tidak responsif nistatin obat kandidiasis vaginal , kandidiasis oral infeksi jamur rongga mulut , kulit pecah - pecah sudut mulut , kandidiasis saluran cerna</t>
  </si>
  <si>
    <t>tokasid</t>
  </si>
  <si>
    <t>tokasid tablet ketoconazole kandidiasis mukokutan kulit  mukosa khronik tidak responsif nistatin obat kandidiasis vaginal  kandidiasis oral infeksi jamur rongga mulut  kulit pecah  pecah sudut mulut  kandidiasis saluran cerna</t>
  </si>
  <si>
    <t>DKI1074300417A1</t>
  </si>
  <si>
    <t>Spedifen 400 mg 6 Tablet</t>
  </si>
  <si>
    <t>Rp49.300 - Rp53.900</t>
  </si>
  <si>
    <t>Tablet diminum dengan air putih, sebaiknya diberikan sesudah makan</t>
  </si>
  <si>
    <t>ATURAN PAKAI HARUS SESUAI DENGAN PETUNJUK DOKTER. Rekomendasi dosis harian sebesar 1200 mg per hari yang terbagi menjadi 3-4 tablet sehari Pada kasus rheumatoid asthritis dosis mungkin dibutuhkan lebih tinggi, namun dianjurkan tidak melebihi dosis 2400 mg per hari. Untuk nyeri haid: dosis 400 mg setiap 4 jam</t>
  </si>
  <si>
    <t>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t>
  </si>
  <si>
    <t>Hipersensitif terhadap ibuprofen, penderita ulkus peptik, pasien penyakit hati dan ginjal berat, masa awal kehamilan, gagal jantung berat (NYHA class IV)</t>
  </si>
  <si>
    <t>Obat Wajib Apotek, Obat ini dapat dibeli dan diserahkan apoteker tanpa resep dengan maksimum 1 Strip. Pembelian melebihi batas ini WAJIB RESEP DOKTER. Walaupun studi pada hewan percobaan tidak menunjukkan efek teratogenik, Ibuprofen tidak direkomendasikan untuk ibu hamil pada awal masa kehamilan. Tidak direkomendasikan pada ibu menyusui</t>
  </si>
  <si>
    <t>mengurangi nyeri gejala sakit kepala , nyeri pencabutan gigi sertanyeri pasca operasi  spedifen diindikasikan meredakan tanda gejala rheumatoid arthritis osteoarthritis , peradangan sendi , keram haid , luka minor</t>
  </si>
  <si>
    <t>spedifen</t>
  </si>
  <si>
    <t>spedifen tablet ibuprofen mengurangi nyeri gejala sakit kepala  nyeri pencabutan gigi sertanyeri pasca operasi  spedifen diindikasikan meredakan tanda gejala rheumatoid arthritis osteoarthritis  peradangan sendi  keram haid  luka minor</t>
  </si>
  <si>
    <t>lithospermi radix extract cetrimide benzocaine cinchocaine hydrochloride diphenhydramine hydrochloride</t>
  </si>
  <si>
    <t>borraginoln salep lithospermi radix extract cetrimide benzocaine cinchocaine hydrochloride diphenhydramine hydrochloride hemoroid wasir internal eksternal disertai perdarahan  luka  luka terbuka anus  prolaps anus  peradangan disekitar rektum  pruritus anus</t>
  </si>
  <si>
    <t>GKL0433510110A1</t>
  </si>
  <si>
    <t>Acyclovir 200 mg 10 Tablet</t>
  </si>
  <si>
    <t>Rp8.500 - Rp9.400</t>
  </si>
  <si>
    <t>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t>
  </si>
  <si>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</si>
  <si>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</si>
  <si>
    <t>pengobatan infeksi herpes simpleks kulit membran mukosa , herpes genital rekuren  pencegahan infeksi herpes simpleks berulang pasien imunokompeten  profilaksis herpes simpleks pasien immunocompromised  pengobatan herpes zoster</t>
  </si>
  <si>
    <t>acyclovir</t>
  </si>
  <si>
    <t>acyclovir tablet aciclovir pengobatan infeksi herpes simpleks kulit membran mukosa  herpes genital rekuren  pencegahan infeksi herpes simpleks berulang pasien imunokompeten  profilaksis herpes simpleks pasien immunocompromised  pengobatan herpes zoster</t>
  </si>
  <si>
    <t>DKI1890701617C1</t>
  </si>
  <si>
    <t>Normetec 10 mg/40 mg 10 Tablet</t>
  </si>
  <si>
    <t>Rp111.600 - Rp160.600</t>
  </si>
  <si>
    <t>INFORMASI OBAT INI HANYA UNTUK KALANGAN MEDIS. Hipertensi esensial pd pasien yg tidak dapat dikendalikan dengan monoterapi olmesartan medoxomil atau amlodipin. Terapi sulih: Pasien yang sedang menggunakan olmesartan medoxomil dari tablet terpisah dapat menggantinya dengan Normetec yang mengandung komponen sama. Tidak boleh digunakan sebagai terapi awal.</t>
  </si>
  <si>
    <t>Dos Isi 30 Tablet</t>
  </si>
  <si>
    <t>Hipersensitivitas terhadap derivat dihidropiridin</t>
  </si>
  <si>
    <t>DTL9322213829A1</t>
  </si>
  <si>
    <t>Formyco 2% Cream 10 g</t>
  </si>
  <si>
    <t>Rp24.900 - Rp30.100</t>
  </si>
  <si>
    <t>formyco cream</t>
  </si>
  <si>
    <t>formyco cream krim ketoconazole infeksi dermatofita kulit kuku tangan tidak kuku kaki  kandidiasis mukokutan kronis tidak responsif nistatin obat  obat  infeksi mikosis sistemik kandidiasis  paraksidioidomikasis  cocci dioidomycosis  hiptoplasmosis</t>
  </si>
  <si>
    <t>DBL0204128263A1</t>
  </si>
  <si>
    <t>Maltofer Fol Chewable 6 Tablet</t>
  </si>
  <si>
    <t>Rp23.000 - Rp28.100</t>
  </si>
  <si>
    <t>Dosis harian dapat dibagi dalam beberapa dosis atau dapat dikonsumsi sekaligus. Maltofer Fol tablet dapat dikunyah atau ditelan langsung dan harus dikonsumsi selama atau segera setelah makan. Jika zat besi diperlukan dengan segera (Hb rendah, pengobatan bersamaan dengan EPO, dll), sebaiknya digunakan sediaan zat besi parenteral untuk mensubstitusi zat besi sehingga zat besi tersedia dengan cepat.</t>
  </si>
  <si>
    <t>Dosis &amp; lama terapi bergantung pada tingkat defisiensi zat besi. Gejala defisiensi zat besi: 1 tablet, 2-3 kali sehari sampai angka Hb normal. Selanjutnya terapi diteruskan dengan 1 tablet sehari setidaknya sampai akhir masa kehamilan untuk melengkapi cadangan zat besi. Defisiensi zat besi laten dan pencegahan defisiensi zat besi dan asam folat: 1 tablet sehari. Defisiensi zat besi laten dan pencegahan defisiensi zat besi dan asam folat: 1 tablet sehari.</t>
  </si>
  <si>
    <t>Untuk pengobatan defisiensi zat besi laten dan anemia defisiensi zat besi (gejala defisiensi zat besi), dan untuk pencegahan defisiensi zat besi dan asam folat pada masa sebelum, selama, dan setelah masa kehamilan serta selama masa menyusui.</t>
  </si>
  <si>
    <t>Dus, 5 Amplop @ 1 Strip @ 6 Tablet kunyah</t>
  </si>
  <si>
    <t>Jangan di konsumsi jika: - Kelebihan zat besi - Gangguan utilitas zat besi - Anemia yang tidak disebabkan oleh defisiensi zat besi - Hipersenstitif terhadap komponen obat</t>
  </si>
  <si>
    <t>Tidak untuk pengobatan anemia selain defisiensi zat besi misalnya anemia hemolitik akibat penyakit tertentu.</t>
  </si>
  <si>
    <t>untuk pengobatan defisiensi zat besi laten anemia defisiensi zat besi gejala defisiensi zat besi , pencegahan defisiensi zat besi asam folat , , kehamilan menyusui</t>
  </si>
  <si>
    <t>maltofer fol chewable</t>
  </si>
  <si>
    <t>maltofer fol chewable tablet folic acid untuk pengobatan defisiensi zat besi laten anemia defisiensi zat besi gejala defisiensi zat besi  pencegahan defisiensi zat besi asam folat   kehamilan menyusui</t>
  </si>
  <si>
    <t>DKL0509207204B1</t>
  </si>
  <si>
    <t>Acifar 400 mg 10 Tablet</t>
  </si>
  <si>
    <t>Rp15.300 - Rp36.300</t>
  </si>
  <si>
    <t>acifar</t>
  </si>
  <si>
    <t>acifar kaplet aciclovir pengobatan infeksi herpes simpleks kulit membran mukosa  herpes genital rekuren  pencegahan infeksi herpes simpleks berulang pasien imunokompeten  profilaksis herpes simpleks pasien immunocompromised  pengobatan herpes zoster</t>
  </si>
  <si>
    <t>DKL165052310A1</t>
  </si>
  <si>
    <t>Moprin 500 mg 10 Tablet</t>
  </si>
  <si>
    <t>Rp107.600 - Rp120.900</t>
  </si>
  <si>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t>
  </si>
  <si>
    <t>INFORMASI OBAT INI HANYA UNTUK KALANGAN MEDIS. Penyakit yang disebabkan oleh virus pada saluran nafas, penyakit-penyakit eksantem, infeksi hepatitis, dan beberapa penyakit infeksi sistem saraf. Influenza pada anak dan dewasa, bronchiolitis, rhinopharyngitis, varicella, campak, herpes simplex dan zoster, parotitis.</t>
  </si>
  <si>
    <t>Pasien dengan gout, penyakit jantung yang sedang mendapat terapi digitalis. Usia kehamilan 4 bulan pertama.</t>
  </si>
  <si>
    <t>HARUS DENGAN RESEP DOKTER. Hati-hati penggunaannya pada pasien gout (asam urat) karena obat ini dapat sedikit meningkatkan serum asam urat. Hati-hati penggunaannya pada pasien yang sedang mengonsumsi obat digitalis.</t>
  </si>
  <si>
    <t>penyakit disebabkan virus saluran nafas , penyakit - penyakit eksantem , infeksi hepatitis , penyakit infeksi sistem saraf  influenza anak dewasa , bronchiolitis , rhinopharyngitis , varicella , campak , herpes simplex zoster , parotitis</t>
  </si>
  <si>
    <t>moprin tablet methisoprinol penyakit disebabkan virus saluran nafas  penyakit  penyakit eksantem  infeksi hepatitis  penyakit infeksi sistem saraf  influenza anak dewasa  bronchiolitis  rhinopharyngitis  varicella  campak  herpes simplex zoster  parotitis</t>
  </si>
  <si>
    <t>DKL9531105804A1</t>
  </si>
  <si>
    <t>Moxigra 500 mg 10 Kaplet</t>
  </si>
  <si>
    <t>Rp6.800 - Rp15.200</t>
  </si>
  <si>
    <t>PENGGUNAAN OBAT INI HARUS SESUAI DENGAN PETUNJUK DOKTER. Dewasa : 1-2 tablet 3 kali sehari</t>
  </si>
  <si>
    <t>Terapi infeksi gram positif dan negatif, seperti pada saluran nafas atas dan bawah, saluran kemih dan kelamin. Kulit &amp; jaringan lunak, infeksi tulang, GO, abses gigi (terapi tambahan thd penanganan bedah/operasi)</t>
  </si>
  <si>
    <t>Tablet 500 mg x 10 x10</t>
  </si>
  <si>
    <t>Penderita hipersensitif atau mempunyai riwayat hipersensitif terhadap antibiotik beta laktam (penisilin, sefalosporin).</t>
  </si>
  <si>
    <t>HARUS DENGAN RESEP DOKTER. Hati-hati pada pemberian obat ini pada penderita leukemia limphatik, hati-hati pada wanita hamil dan menyusui. - Pengobatan dengan Amoksisilin dalam jangka waktu yang lama harus disertai dengan pemeriksaan terhadap fungsi ginjal, hati dan darah, Jangan untuk pengobatan meningitis atau infeksi pada tulang sendi</t>
  </si>
  <si>
    <t>terapi infeksi gram positif negatif , saluran nafas , saluran kemih kelamin  kulit jaringan lunak , infeksi tulang , go , abs gigi terapi tambahan thd penanganan bedah operasi</t>
  </si>
  <si>
    <t>moxigra</t>
  </si>
  <si>
    <t>moxigra kaplet amoxicillin trihydrate terapi infeksi gram positif negatif  saluran nafas  saluran kemih kelamin  kulit jaringan lunak  infeksi tulang  go  abs gigi terapi tambahan thd pega bedah operasi</t>
  </si>
  <si>
    <t>DBL8511621463A1</t>
  </si>
  <si>
    <t>Plantacid Forte 10 Tablet</t>
  </si>
  <si>
    <t>Rp11.500 - Rp13.900</t>
  </si>
  <si>
    <t>Dewasa: 3-4 x sehari 1 - 2 tablet Plantacid Anak - anak 6-12 th: 3-4 x sehari 1/2 - 1 tablet Plantacid Plantacid Forte diberikan bila diperlukan dosis antasida yang lebih besar.</t>
  </si>
  <si>
    <t>Untuk mengatasi gejala-gejala yang berhubungan dengan kelebihan asam lambung, tukak lambung, tukak usus 12 jari dengan gejala-gejala seperti mual dan kembung.</t>
  </si>
  <si>
    <t>Pasien yang alergi terhadap komponen obat. Tidak dianjurkan pemberian pada penderita gangguan fungsi ginjal yang berat, jika dipaksakan berpotensi menimbulkan hipermagnesia atau tingginya kadar magnesium (Mg) dalam tubuh.</t>
  </si>
  <si>
    <t>Insufisiensi ginjal. Tidak dianjurkan penggunaan terus menerus (&gt; 2 minggu) kecuali atas petunjuk dokter. Tidak dianjurkan untuk anak &lt;6 th.</t>
  </si>
  <si>
    <t>untuk mengatasi gejala - gejala berhubungan kelebihan asam lambung , tukak lambung , tukak usus 12 jari gejala - gejala mual kembung</t>
  </si>
  <si>
    <t>plantacid forte tablet dried aluminium hydroxide gel magnesium hydroxide simethicone untuk mengatasi gejala  gejala berhubungan kelebihan asam lambung  tukak lambung  tukak usus 12 jari gejala  gejala mual kembung</t>
  </si>
  <si>
    <t>mylanta tablet dried aluminium hydroxide gel simethicone magnesium hydroxide mengurangi gejala  gejala berhubungan kelebihan  gastritis  tukak lambung  tukak usus 12 jari gejala mual  nyeri lambung nyeri ulu hati</t>
  </si>
  <si>
    <t>fenoterol hydrobromide ipratropium bromide</t>
  </si>
  <si>
    <t>berodual inhaler spray fenoterol hydrobromide ipratropium bromide pencegahan pengobatan gejala obstruksi saluran nafas khronik bronkhospasme reversibel  asma bronkhial bronkhitis khronik emfisema  terapi bersamaan anti inflamasi dipertimbangkan pasien a</t>
  </si>
  <si>
    <t>DKL0915620736A1</t>
  </si>
  <si>
    <t>Norages Drop 20 ml</t>
  </si>
  <si>
    <t>Rp47.700 - Rp55.600</t>
  </si>
  <si>
    <t>PENGGUNAAN OBAT INI HARUS SESUAI DENGAN PETUNJUK DOKTER. Anak usia 3-11 bulan : 2-5 tetes</t>
  </si>
  <si>
    <t>DKL0333304617A1</t>
  </si>
  <si>
    <t>Silum 5 mg 10 Tablet</t>
  </si>
  <si>
    <t>PENGGUNAAN OBAT INI HARUS SESUAI DENGAN PETUNJUK DOKTER. 5-10 mg perhari. Profilaksis/pencegahan migren : Dewasa &lt;65 tahun diberikan awal 10 mg perhari dan usia &gt;65 tahun diberikan awal 5 mg perhari. Jika sesudah 2 bulan belum ada perbaikan, hentikan terapi. Untuk terapi pemeliharaan, terapi diberikan selama 5</t>
  </si>
  <si>
    <t>Untuk profilaksis/pencegahan migren. Pengobatan dan pencegahan gangguan vestibular, sirkulasi serebral dan perifer, tinitus, vertigo, kesulitan berkonsentrasi, kebingungan, gangguan daya ingat, kram nokturnal, parestesis, ekstremitas teraba dingin</t>
  </si>
  <si>
    <t>Riwayat depresi, gejala penyakit parkinson atau gangguan ekstrapiramidal lain. Pemberian bersama ? bloker.</t>
  </si>
  <si>
    <t>HARUS DENGAN RESEP DOKTER. Hentikan terapi jika lelah bertambah secara preogresif. Efek terapeutik menurun, timbul gejala ekstrapiramidal atau depresi. Lanjut usia. Hamil dan menyusui. Dapat mengganggu kemampuan mengemudi atau menjalankan mesin.</t>
  </si>
  <si>
    <t>untuk profilaksis pencegahan migren  pengobatan pencegahan gangguan vestibular , sirkulasi serebral perifer , tinitus , vertigo , kesulitan berkonsentrasi , kebingungan , gangguan daya , kram nokturnal , parestesis , ekstremitas teraba dingin</t>
  </si>
  <si>
    <t>silum</t>
  </si>
  <si>
    <t>silum tablet flunarizine hydrochloride untuk profilaksis pencegahan migren  pengobatan pencegahan gangguan vestibular  sirkulasi serebral perifer  tinitus  vertigo  kesulitan berkonsentrasi  kebingungan  gangguan daya  kram nokturnal  parestesis  ekstremitas teraba dingin</t>
  </si>
  <si>
    <t>DKL0817623004A1</t>
  </si>
  <si>
    <t>Pravinat 10 mg 10 Kaplet</t>
  </si>
  <si>
    <t>Rp123.600 - Rp177.600</t>
  </si>
  <si>
    <t>PENGGUNAAN OBAT INI HARUS SESUAI DENGAN PETUNJUK DOKTER. Awal: 10-20 mg 1 kali sehari pada malam hari. Pasien dengan hiperkolesterolemia primer dengan riwayat gangguan fungsi hati atau ginjal awal: 10 mg/hari pada malam hari. Kisaran dosis yang dianjurkan 10-40 mg 1 kali sehari pada malam hari.</t>
  </si>
  <si>
    <t>Tambahan terhadap diet untuk mengurangi Hiperkolesterolemia dan Dislipidemia campuran (Fredrickson tipe IIa dan IIb), menurunkan resiko mortalitas dengan menurunkan resiko kematian akibat penyakit jantung, Infark Miokard, prosedur Revaskularisasi, Stroke</t>
  </si>
  <si>
    <t>HARUS DENGAN RESEP DOKTER. Lakukan pengukuran kadar transaminase secara periodik. Riwayat penyakit hati. Hentikan penggunaan pada pasien dengan miopati akut atau risiko gagal ginjal sekunder karena rabdomiolisis atau peningkatan kadar kreatinin fosfokinase. Tidak untuk hipoprolaktinemia familial homozigot. Alkoholisme. Anak &lt; 18 tahun.</t>
  </si>
  <si>
    <t>tambahan diet mengurangi hiperkolesterolemia dislipidemia campuran fredrickson tipe iia iib , menurunkan resiko mortalitas menurunkan resiko kematian akibat penyakit jantung , infark miokard , prosedur revaskularisasi , stroke</t>
  </si>
  <si>
    <t>pravinat kaplet pravastatin sodium tambahan diet mengurangi hiperkolesterolemia dislipidemia campuran fredrickson tipe iia iib  menurunkan resiko mortalitas menurunkan resiko kematian akibat penyakit jantung  infark miokard  prosedur revaskularisasi  stroke</t>
  </si>
  <si>
    <t>DKI1314500522A1</t>
  </si>
  <si>
    <t>Spedifen 600 mg Sachet</t>
  </si>
  <si>
    <t>Rp8.100 - Rp8.600</t>
  </si>
  <si>
    <t>Obat berupa granul dilarutkan pada 50 hingga 100 ml air putih, diaduk hingga larut kemudian diminum. Sebaiknya diberikan sesudah makan</t>
  </si>
  <si>
    <t>ATURAN PAKAI HARUS SESUAI DENGAN PETUNJUK DOKTER. Rekomendasi dosis harian sebesar 1200 mg per hari yang terbagi menjadi 2-3 sachet sehari Pada kasus rheumatoid asthritis dosis mungkin dibutuhkan lebih tinggi, namun dianjurkan tidak melebihi dosis 2400 mg per hari.</t>
  </si>
  <si>
    <t>Dus, 40 Sachets</t>
  </si>
  <si>
    <t>Obat Wajib Apotek, Obat ini dapat dibeli dan diserahkan apoteker tanpa resep dengan maksimum 10 Sachet. Pembelian melebihi batas ini WAJIB RESEP DOKTER. Walaupun studi pada hewan percobaan tidak menunjukkan efek teratogenik, Ibuprofen tidak direkomendasikan untuk ibu hamil pada awal masa kehamilan. Tidak direkomendasikan pada ibu menyusui</t>
  </si>
  <si>
    <t>spedifen granula ibuprofen mengurangi nyeri gejala sakit kepala  nyeri pencabutan gigi sertanyeri pasca operasi  spedifen diindikasikan meredakan tanda gejala rheumatoid arthritis osteoarthritis  peradangan sendi  keram haid  luka minor</t>
  </si>
  <si>
    <t>DKL9927911837A1</t>
  </si>
  <si>
    <t>Berea Sirup 60 ml</t>
  </si>
  <si>
    <t>Rp27.500 - Rp28.100</t>
  </si>
  <si>
    <t>Dewasa dan anak di atas 12 tahun: 10 ml (dua sendok takar), diberikan 2-3 kali sehari. Anak-anak usia 6-12 tahun: 5 ml (1 sendok takar), diberikan 2-3 kali sehari.</t>
  </si>
  <si>
    <t>berea</t>
  </si>
  <si>
    <t>berea sirup ambroxol hydrochloride pengobatan saliran pernapasanakut kronis sekresi bronkial abnormalterutama serangan akut bronkhitis kronis  asma bronkial  bronkhitis asmatik  terapi pra pasca operasi perawatan intensifuntuk menghindari komplikasi paru</t>
  </si>
  <si>
    <t>DKL2040405710A1</t>
  </si>
  <si>
    <t>Dizine 10 mg 10 Tablet</t>
  </si>
  <si>
    <t>Rp63.500 - Rp75.400</t>
  </si>
  <si>
    <t>PENGGUNAAN OBAT INI HARUS SESUAI DENGAN PETUNJUK DOKTER. Maksimal 10mg/hari. Kurangi dosis hingga 5mg/hari untuk mengurang efek samping</t>
  </si>
  <si>
    <t>Mencegah Migren. Pengobatan dan pencegahan Pusing, Tinitus, Vertigo, sulit Konsentrasi, Bingung, gangguan Daya Ingat, gangguan Tidur, Iritabilitas, Kejang, Parestesia, Extremitas/tangan-kaki dingin, gangguan Tropik.</t>
  </si>
  <si>
    <t>Terapi beta-bloker, depresi, parkinson.</t>
  </si>
  <si>
    <t>HARUS DENGAN RESEP DOKTER. ibu hamil dan menyusui, pasien ggn hati parah</t>
  </si>
  <si>
    <t>flunarizine dihydrochloride</t>
  </si>
  <si>
    <t>mencegah migren  pengobatan pencegahan pusing , tinitus , vertigo , sulit konsentrasi , bingung , gangguan daya ingat , gangguan tidur , iritabilitas , kejang , parestesia , extremitas tangan - kaki dingin , gangguan tropik</t>
  </si>
  <si>
    <t>dizine</t>
  </si>
  <si>
    <t>dizine tablet flunarizine dihydrochloride mencegah migren  pengobatan pencegahan pusing  tinitus  vertigo  sulit konsentrasi  bingung  gangguan daya ingat  gangguan tidur  iritabilitas  kejang  parestesia  extremitas tangan  kaki dingin  gangguan tropik</t>
  </si>
  <si>
    <t>dizine tablet flunarizine hydrochloride mencegah migren  pengobatan pencegahan pusing  tinitus  vertigo  sulit konsentrasi  bingung  gangguan daya ingat  gangguan tidur  iritabilitas  kejang  parestesia  extremitas tangan  kaki dingin  gangguan tropik</t>
  </si>
  <si>
    <t>GKL0433512210B1</t>
  </si>
  <si>
    <t>Pravastatin 20 mg 10 Tablet</t>
  </si>
  <si>
    <t>Rp2.900 - Rp37.000</t>
  </si>
  <si>
    <t>PENGGUNAAN OBAT INI HARUS SESUAI DENGAN PETUNJUK DOKTER. Dosis awal yang dianjurkan 10 mg atau 20 mg 1 x sehari pada malam hari. Penderita hiperkolesterolemia primer yang mempunyai sejarah penyakit disfungsi hati atau ginjal, orang tua : dosis awal yang dianjurkan 10 mg sehari pada malam hari. Pemberian bersama-sama dengan obat-obat immunosupresan (seperti siklosporin) dimulai dengan 10 mg pravastatin sekali sehari pada malam hari. Penyesuaian dosis selanjutnya dengan hati-hati.</t>
  </si>
  <si>
    <t>Hiperlipidemia. Pravastatin diindikasikan sebagai tambahan pada diet untuk mengurangi peningkatan kadar total-C, LDL-C, Apo B, dan TG pada penderita hiperkolesterolemia primer dan campuran dislipidemia (Fredrickson tipe IIa dan IIb).</t>
  </si>
  <si>
    <t>Penyakit hati aktif atau peningkatan terus-menerus yang tidak jelas pada serum aminotransferase. Kehamilan dan menyusui.</t>
  </si>
  <si>
    <t>HARUS DENGAN RESEP DOKTER. Kelainan fungsi ginjal, hamil dan menyusui, peningkatan level kreatinin fosfokinase dan transaminase, homozigot familial hiperkolesterol, kerusakan fungsi ginjal.</t>
  </si>
  <si>
    <t>hiperlipidemia  pravastatin diindikasikan tambahan diet mengurangi peningkatan kadar total - c , ldl - c , apo b , tg penderita hiperkolesterolemia primer campuran dislipidemia fredrickson tipe iia iib</t>
  </si>
  <si>
    <t>pravastatin</t>
  </si>
  <si>
    <t>pravastatin tablet pravastatin sodium hiperlipidemia  pravastatin diindikasikan tambahan diet mengurangi peningkatan kadar total  c  ldl  c  apo b  tg penderita hiperkolesterolemia primer campuran dislipidemia fredrickson tipe iia iib</t>
  </si>
  <si>
    <t>- SODIUM LAURYL SULFOACETATE. SODIUM CITRATE DIHYDRATE. MACROGOL 400. SORBITOL</t>
  </si>
  <si>
    <t>sodium lauryl sulfoacetate sodium citrate dihydrate macrogol 400 sorbitol</t>
  </si>
  <si>
    <t>microlax enema sodium lauryl sulfoacetate sodium citrate dihydrate macrogol 400 sorbitol obat mengatasi susah buang air bab sembelit  penderita tinggal tidur  orang dewasa  lansia  anak  anak wanita hamil</t>
  </si>
  <si>
    <t>DKL1433531509B1</t>
  </si>
  <si>
    <t>Velacom Plus 2/500 10 Tablet</t>
  </si>
  <si>
    <t>Rp40.700 - Rp48.900</t>
  </si>
  <si>
    <t>Dus, 3 Strip @ 10 Captabs Salut Selaput</t>
  </si>
  <si>
    <t>velacom plus</t>
  </si>
  <si>
    <t>velacom plus kaplet glimepiride terapi tambahan diet olahraga pasien diabetes melitus tipe 2 niddm dimana penggunaan glimepiride metformin tidak menghasilkan kontrol glikemik adekuat  pengganti terapi kombinasi glimepiride metformin</t>
  </si>
  <si>
    <t>- SORBITOL. MACROGOL 400. SODIUM CITRATE DIHYDRATE. SODIUM LAURYL SULFOACETATE</t>
  </si>
  <si>
    <t>sorbitol macrogol 400 sodium citrate dihydrate sodium lauryl sulfoacetate</t>
  </si>
  <si>
    <t>microlax enema sorbitol macrogol 400 sodium citrate dihydrate sodium lauryl sulfoacetate obat mengatasi susah buang air bab sembelit  penderita tinggal tidur  orang dewasa  lansia  anak  anak wanita hamil</t>
  </si>
  <si>
    <t>benzocaine prednisolone lidocaine hydrochloride cetrimonium bromide lithospermi radix extract</t>
  </si>
  <si>
    <t>borraginols suppositoria benzocaine prednisolone lidocaine hydrochloride cetrimonium bromide lithospermi radix extract hemoroid wasir internal eksternal disertai perdarahan  luka2 anus perineum  prolaps anus fistula  peradangan disekitar rektum  pruritus anus</t>
  </si>
  <si>
    <t>GKL0433510110B1</t>
  </si>
  <si>
    <t>Acyclovir 400 mg 10 Tablet</t>
  </si>
  <si>
    <t>Rp4.200 - Rp14.400</t>
  </si>
  <si>
    <t>Dapat dikonsumsi sebelum atau sesudah makan. Untuk menghindari rasa tidak nyaman pada saluran cerna, sebaiknya dikonsumsi setelah makan.</t>
  </si>
  <si>
    <t>GTL9905027729A1</t>
  </si>
  <si>
    <t>Ketoconazole 2% Cream 5 g</t>
  </si>
  <si>
    <t>Rp9.000 - Rp9.900</t>
  </si>
  <si>
    <t>ketoconazole cream</t>
  </si>
  <si>
    <t>ketoconazole cream krim ketoconazole infeksi dermatofita kulit kuku tangan tidak kuku kaki  kandidiasis mukokutan kronis tidak responsif nistatin obat  obat  infeksi mikosis sistemik kandidiasis  paraksidioidomikasis  cocci dioidomycosis  hiptoplasmosis</t>
  </si>
  <si>
    <t>DKL9331505117B1</t>
  </si>
  <si>
    <t>Sharox Tablet 500 mg</t>
  </si>
  <si>
    <t>Rp16.700 - Rp31.400</t>
  </si>
  <si>
    <t>PENGGUNAAN OBAT INI HARUS SESUAI DENGAN PETUNJUK DOKTER. Dewasa : infeksi berat : 2 kali sehari 250 mg. ISK : 2 kali sehari 125 mg. infeksi sal nafas bawah : ringan-sedang : 2 kali sehari 250 . Barat : 2 kali sehari 500 mg. pielonefritis : 2 kali sehari 250 mg. GO : 1 g dosis tunggal. Anak infeksi berat : 2 kali sehari 125 mg. Otitis media : 2 kali sehari 250</t>
  </si>
  <si>
    <t>Infeksi saluran nafas bagian atas dan bawah, bronkitis akut dan kronik, pneumonia, otitis media, sinusitis, tonsilitis, faringitis, ISK, infeksi jaringan lunak dan kulit, furunkulosis, pioderma, impetigo. GO tanpa komplikasi, uretritis dan servisitis GO</t>
  </si>
  <si>
    <t>cefuroxime</t>
  </si>
  <si>
    <t>infeksi saluran nafas , bronkitis akut kronik , pneumonia , otitis medium , sinusitis , tonsilitis , faringitis , isk , infeksi jaringan lunak kulit , furunkulosis , pioderma , impetigo  go komplikasi , uretritis servisitis go</t>
  </si>
  <si>
    <t>sharox</t>
  </si>
  <si>
    <t>sharox tablet cefuroxime infeksi saluran nafas  bronkitis akut kronik  pneumonia  otitis medium  sinusitis  tonsilitis  faringitis  isk  infeksi jaringan lunak kulit  furunkulosis  pioderma  impetigo  go komplikasi  uretritis servisitis go</t>
  </si>
  <si>
    <t>DKL0433511510A1</t>
  </si>
  <si>
    <t>Isprinol 500 mg 4 Tablet</t>
  </si>
  <si>
    <t>Rp46.200 - Rp57.000</t>
  </si>
  <si>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(untuk infeksi virus akut singkat) atau 1 - 2 minggu (untuk infeksi virus akut lama) atau sesuai anjuran dokter.</t>
  </si>
  <si>
    <t>Hipersensitif, penderita gout, jantung, wanita hamil dan laktasi.</t>
  </si>
  <si>
    <t>isprinol tablet methisoprinol penyakit disebabkan virus saluran napa  penyakit  penyakit eksantem  penyakit hati penyakit sistem saraf  flu anak orang dewasa  bronchiolitis  rhinopharyngitis  varicella  campak  herpes simplex zoster  parotitis</t>
  </si>
  <si>
    <t>Madu Jadied Kids Platinum 150 g</t>
  </si>
  <si>
    <t>Rp25.000 - Rp31.400</t>
  </si>
  <si>
    <t>Dewasa : 3 x 2 sendok makan (30 ml) Anak-anak : 3 x 1 sendok makan ( 15 ml)</t>
  </si>
  <si>
    <t>Meningkatkan daya konsentrasi dan gairah belajar, meningkatkan fungsi sel otak, meningkatkan daya tahan tubuh, membantu meningkatkan pertumbuhan anak, meningkatkan napsu makan</t>
  </si>
  <si>
    <t>Dus, botol 150 g</t>
  </si>
  <si>
    <t>madu jadied kids</t>
  </si>
  <si>
    <t>meningkatkan daya konsentrasi gairah belajar , meningkatkan fungsi sel otak , meningkatkan daya tahan tubuh , membantu meningkatkan pertumbuhan anak , meningkatkan napsu makan</t>
  </si>
  <si>
    <t>madu jadied kids platinum</t>
  </si>
  <si>
    <t>madu jadied kids platinum madu madu jadied kids meningkatkan daya konsentrasi gairah belajar  meningkatkan fungsi sel otak  meningkatkan daya tahan tubuh  membantu meningkatkan pertumbuhan anak  meningkatkan napsu makan</t>
  </si>
  <si>
    <t>DBL9111601963A1</t>
  </si>
  <si>
    <t>Promag 10 Tablet</t>
  </si>
  <si>
    <t>Rp6.400 - Rp10.600</t>
  </si>
  <si>
    <t>Dianjurkan untuk meminum obat ini segera pada saat timbul gejala dan dilanjutkan 1-2 jam sebelum makan atau sesudah makan dan sebelum tidur. Obat ini dapat diminum dengan air atau dikunyah langsung.</t>
  </si>
  <si>
    <t>Dewasa dan anak &gt; 12 tahun: 3-4 kali sehari 1-2 tablet. Anak-anak 6 - 12 tahun : 3 - 4 kali sehari 0.5 - 1 tablet. Atau menurut petunjuk dokter.</t>
  </si>
  <si>
    <t>Meringankan gejala-gejala yang berhubungan dengan kelebihan asam lambung, gastritis, tukak lambung, tukak usus 12 jari dengan gejala seperti mual, nyeri lambung, nyeri ulu hati, kembung dan perasaan penuh pada lambung.</t>
  </si>
  <si>
    <t>Dus, 3 blister @ 10 tablet kunyah</t>
  </si>
  <si>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Kategori kehamilan : Belum terdapat data keamanan terkait penggunaan obat ini pada wanita hamil dan/atau menyusui. Konsultasikan kepada dokter apabila Anda sedang hamil dan/atau menyusui.</t>
  </si>
  <si>
    <t>hydrotalcite</t>
  </si>
  <si>
    <t>meringankan gejala - gejala berhubungan kelebihan asam lambung , gastritis , tukak lambung , tukak usus 12 jari gejala mual , nyeri lambung , nyeri ulu hati , kembung perasaan penuh lambung</t>
  </si>
  <si>
    <t>promag</t>
  </si>
  <si>
    <t>promag tablet hydrotalcite meringankan gejala  gejala berhubungan kelebihan asam lambung  gastritis  tukak lambung  tukak usus 12 jari gejala mual  nyeri lambung  nyeri ulu hati  kembung perasaan penuh lambung</t>
  </si>
  <si>
    <t>GKL1702356517A1</t>
  </si>
  <si>
    <t>Desloratadine 5 mg 10 Tablet</t>
  </si>
  <si>
    <t>Rp55.100 - Rp60.600</t>
  </si>
  <si>
    <t>PENGGUNAAN OBAT INI HARUS SESUAI DENGAN PETUNJUK DOKTER. Dewasa : 5 mg,1 kali sehari</t>
  </si>
  <si>
    <t>INFORMASI OBAT INI HANYA UNTUK KALANGAN MEDIS. - Meringankan gejala-gejala nasal dan non-nasal rinitis alergi (termasuk rinitis alergi yang intermiten dan persisten) pada pasien usia 12 tahun atau lebih). - Meringankan gejala pruritus, mengurangi dan memperkecil area gatal pada pasien urtikaria usia 12 tahun atau lebih.</t>
  </si>
  <si>
    <t>HARUS DENGAN RESEP DOKTER. Hati-hati penggunaannya pada pasien dengan gangguan ginjal dan/atau gangguan hati.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</si>
  <si>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 meringankan gejala - gejala nasal non - nasal rinitis alergi rinitis alergi intermiten persisten pasien usia 12  - meringankan gejala pruritus , mengurangi memperkecil area gatal pasien urtikaria usia 12</t>
  </si>
  <si>
    <t>desloratadine tablet  meringankan gejala  gejala nasal non  nasal rinitis alergi rinitis alergi intermiten persisten pasien usia 12   meringankan gejala pruritus  mengurangi memperkecil area gatal pasien urtikaria usia 12</t>
  </si>
  <si>
    <t>Charm Safe Night Gathers 42 cm 8 Pads</t>
  </si>
  <si>
    <t>Rp18.400 - Rp30.900</t>
  </si>
  <si>
    <t>CHARM Safe Night Gathers 42cm, pembalut terpanjang di Indonesia ! Dengan dinding pelindung samping, bebas bocor belakang &amp; samping. Tak khawatir lagi dan bisa tidur nyenyak sampai pagi !</t>
  </si>
  <si>
    <t>Pack isi 8 pads</t>
  </si>
  <si>
    <t>charm safe night gathers 42cm , pembalut terpanjang indonesia ! dengan dinding pelindung samping , bebas bocor samping  tak khawatir tidur nyenyak pagi !</t>
  </si>
  <si>
    <t>charm safe night gathers pads</t>
  </si>
  <si>
    <t xml:space="preserve">charm safe night gathers pads tablet tizanidine hydrochloride charm safe night gathers 42cm  pembalut terpanjang indonesia  dengan dinding pelindung samping  bebas bocor samping  tak khawatir tidur nyenyak pagi </t>
  </si>
  <si>
    <t>DKL1505051215B1</t>
  </si>
  <si>
    <t>Vomizole 40 mg 10 Tablet</t>
  </si>
  <si>
    <t>Telan utuh dengan air 1 jam sebelum sarapan. Jangan dikunyah atau dihancurkan. Dalam terapi kombinasi untuk pengatasan H.pylori, tablet ke-2 (40 mg) diberikan sebelum makan malam.</t>
  </si>
  <si>
    <t>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t>
  </si>
  <si>
    <t>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t>
  </si>
  <si>
    <t>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</si>
  <si>
    <t>dalam kombinasi 2 antibiotik eradikasi h  pylorus  ulkus peptikum  ulkus duodenum  ulkus lambung , inflamasi esofagus refluks esofagus berat  sindrom zollinger - ellison kondisi hipersekresi patologis</t>
  </si>
  <si>
    <t>vomizole tablet pantoprazole sodium dalam kombinasi 2 antibiotik eradikasi h  pylorus  ulkus peptikum  ulkus duodenum  ulkus lambung  inflamasi esofagus refluks esofagus berat  sindrom zollinger  ellison kondisi hipersekresi patologis</t>
  </si>
  <si>
    <t>DTL0909219333A1</t>
  </si>
  <si>
    <t>Farsifen Suspensi 60 ml</t>
  </si>
  <si>
    <t>Rp6.100 - Rp13.800</t>
  </si>
  <si>
    <t>Dewasa untuk antiinflamasi dan analgesik: 400 mg 3 sampai 4 kali perhari. Analgesik: 200 sampai 400 mg 3 hingga 4 kali perhari, maksimum: 2400 mg perhari. Anak usia 8 hingga 12 tahun 200 mg 3 sampai 4 kali perhari, 3 hingga 7 tahun 100 mg 3 sampai 4 kali perhari, 1 hingga 2 tahun 50 mg 3 sampai 4 kali perhari. Tidak untuk anak dengan berat badan kurang dari 7 tahun.</t>
  </si>
  <si>
    <t>farsifen suspensi ibuprofen efek antiinflamasi analgesik meringankan gejala rematik tulang  sendi  non sendi  trauma otot muskuloskeletal  efek analgesik meringankan nyeri dismenore primer  sakit kepala  pencabutan gigi nyeri operasi</t>
  </si>
  <si>
    <t>DKL1613712404A1</t>
  </si>
  <si>
    <t>Prinol 500 mg 10 Kaplet</t>
  </si>
  <si>
    <t>Rp90.500 - Rp124.400</t>
  </si>
  <si>
    <t>Pasien dengan gout, penyakit jantung yg sedang mendapat terapi digitalis, wanita hamil dan menyusui.</t>
  </si>
  <si>
    <t>HARUS DENGAN RESEP DOKTER. Penggunaan terus menerus &amp; dalam jangka yang panjang pada anak-anak selama masa pertumbuhan. Penyakit jantung kongestif, gangguan fungsi ginjal. Hindari penghentian terapi mendadak. Hamil, laktasi Kategori Kehamilan : C, D untuk semester 1</t>
  </si>
  <si>
    <t>prinol</t>
  </si>
  <si>
    <t>prinol kaplet methisoprinol penyakit disebabkan virus saluran napa  penyakit  penyakit eksantem  penyakit hati penyakit sistem saraf  flu anak orang dewasa  bronchiolitis  rhinopharyngitis  varicella  campak  herpes simplex zoster  parotitis</t>
  </si>
  <si>
    <t>DKL9721012410A1</t>
  </si>
  <si>
    <t>Nizol 200 mg 10 Tablet</t>
  </si>
  <si>
    <t>Rp76.800 - Rp78.000</t>
  </si>
  <si>
    <t>PENGGUNAAN OBAT INI HARUS SESUAI DENGAN PETUNJUK DOKTER. Dewasa - kandidiasis Vaginal : 1 x sehari 2 tablet selama 5 hari, Indikasi lain : 1 x sehari 1 tablet sampai gejala hilang dan terapi dilanjutkan selama 1 minggu sesudahnya, Lama terapi : Kandid</t>
  </si>
  <si>
    <t>Patologi hati akut dan hepatitis fase penyembuhan. Hamil dan laktasi</t>
  </si>
  <si>
    <t>HARUS DENGAN RESEP DOKTER. Monitor kadar enzim hati pada pasien dengan riwayat penyakit hati. Insufisiensi adrenal. Anak &lt; 2 tahun</t>
  </si>
  <si>
    <t>nizol</t>
  </si>
  <si>
    <t>nizol tablet ketoconazole kandidiasis mukokutan kulit  mukosa khronik tidak responsif nistatin obat kandidiasis vaginal  kandidiasis oral infeksi jamur rongga mulut  kulit pecah  pecah sudut mulut  kandidiasis saluran cerna</t>
  </si>
  <si>
    <t xml:space="preserve">charm safe night gathers pads tablet sildenafil citrate charm safe night gathers 42cm  pembalut terpanjang indonesia  dengan dinding pelindung samping  bebas bocor samping  tak khawatir tidur nyenyak pagi </t>
  </si>
  <si>
    <t>DKL9921620633B1</t>
  </si>
  <si>
    <t>Proris Forte Suspensi 50 ml</t>
  </si>
  <si>
    <t>Rp32.000 - Rp38.500</t>
  </si>
  <si>
    <t xml:space="preserve">- Dewasa : untuk meringankan nyeri ringan sampai sedang, dosis yang dianjurkan : 5 ml sebanyak 3-4 kali/hari - Anak-anak : untuk menurunkan demam dan meringankan nyeri ringan sampai sedang, dosis yang direkomendasikan 20mg/kgBB/hari dalam dosis terbagi : </t>
  </si>
  <si>
    <t>proris forte</t>
  </si>
  <si>
    <t>proris forte suspensi ibuprofen nyeri ringan nyeri penyakit gigi pencabutan gigi  nyeri pasca bedah  sakit kepala  gejala artritis reumatoid  gejala osteoartritis  gejala juvenile artritis reumatoid  menurunkan demam anak</t>
  </si>
  <si>
    <t>Illustro Premium Solution 350 ml</t>
  </si>
  <si>
    <t>Cairan pembersih contact lens dengan manfaat sebagai berikut: Cleans (Membersihkan), Lubricates (Melembabkan), Desinfects (Mematikan kuman), Protein Removes (Membersihkan protein pengotor), Stores (Mempertahankan Kualitas Softlens selama penyimpanan).</t>
  </si>
  <si>
    <t>Botol @ 350 ml</t>
  </si>
  <si>
    <t>cairan pembersih contact lens manfaat cleans membersihkan , lubricates melembabkan , desinfects mematikan kuman , protein removes membersihkan protein pengotor , stores mempertahankan kualitas softlens penyimpanan</t>
  </si>
  <si>
    <t>illustro premium solution</t>
  </si>
  <si>
    <t>illustro premium solution tablet kombinasivalsartan blend 32 cairan pembersih contact lens manfaat cleans membersihkan  lubricates melembabkan  desinfects mematikan kuman  protein removes membersihkan protein pengotor  stores mempertahankan kualitas softlens penyimpa</t>
  </si>
  <si>
    <t>Nice Look Solusi Multiguna 120 ml</t>
  </si>
  <si>
    <t>Rp11.200 - Rp16.800</t>
  </si>
  <si>
    <t>Larutan serbaguna untuk lensa kontak lunak yang digunakan untuk membersihkan protein, kotoran lain dan debu pada lensa kontak lunak, membunuh bakteri pada permukaan lensa, membilas dan merendam lensa kontak lunak.</t>
  </si>
  <si>
    <t>nice look solusi multiguna</t>
  </si>
  <si>
    <t>nice look solusi multiguna tablet kombinasivalsartan blend 32 larutan serbaguna lensa kontak lunak membersihkan protein  kotoran debu lensa kontak lunak  membunuh bakteri permukaan lensa  membilas merendam lensa kontak lunak</t>
  </si>
  <si>
    <t>Chloramphenicol 250 mg 10 Kapsul</t>
  </si>
  <si>
    <t>Rp8.100 - Rp8.700</t>
  </si>
  <si>
    <t>PENGGUNAAN OBAT INI HARUS SESUAI DENGAN PETUNJUK DOKTER. Dewasa, anak dan bayi &gt; 2 minggu: sehari 50 mg/kgBB dalam 3-4 dosis. Bayi &lt; 2 minggu &amp; bayi prematur 25 mg/kgBB/hari dibagi 4 dosis.</t>
  </si>
  <si>
    <t>INFORMASI OBAT INI HANYA UNTUK KALANGAN MEDIS. Bruselosis, pneumonia bakteri, pertusis, meningitis non-TBC, demam tifus dan paratifus, skrub tipus, tifus epidemi, limfogranuloma inguinale, gastroenteritis pada bayi, laringotrakeobronkitis, disentri basil, demam Q, ornitosis, sifilis, gonore, tularemia</t>
  </si>
  <si>
    <t>hipersensitivitas, ibu hamil, menyusui, porfiria</t>
  </si>
  <si>
    <t>HARUS DENGAN RESEP DOKTER. Pengobatan jangka lama. Insufisiensi ginjal. Prematur &amp; bayi baru lahir. Lakukan pemeriksaan hematologi secara periodik. Hamil &amp; laktasi Kategori Kehamilan : C</t>
  </si>
  <si>
    <t>bruselosis , pneumonia bakteri , pertusis , meningitis non - tbc , demam tifus paratifus , skrub tipu , tifus epidemi , limfogranuloma inguinale , gastroenteritis bayi , laringotrakeobronkitis , disentri basil , demam q , ornitosis , sifilis , gonore , tularemia</t>
  </si>
  <si>
    <t>chloramphenicol kapsul bruselosis  pneumonia bakteri  pertusis  meningitis non  tbc  demam tifus paratifus  skrub tipu  tifus epidemi  limfogranuloma inguinale  gastroenteritis bayi  laringotrakeobronkitis  disentri basil  demam q  ornitosis  sifilis  gonore  tularemia</t>
  </si>
  <si>
    <t>DKL0133204015B1</t>
  </si>
  <si>
    <t>Volten 50 mg 10 Tablet</t>
  </si>
  <si>
    <t>PENGGUNAAN OBAT INI HARUS SESUAI DENGAN PETUNJUK DOKTER. Dewasa dan Anak diatas 12 tahun : 50-75 mg, 2 - 3 kali per hari. Max. 150 mg per hari. Anak &lt; 12 tahun : 1-3 mg/kg, 2-3 kali per hari.</t>
  </si>
  <si>
    <t>INFORMASI OBAT INI HANYA UNTUK KALANGAN MEDIS. Terapi awal untuk membantu mengobati rematik yang disertai inflamasi dan degeneratif (artritis rematoid, ankylosing spondylitis, osteoartritis dan spondilartritis), sindroma nyeri dan kolumna vertebralis, rematik non-artikular, serangan akut dari gout, nyeri pascabedah.</t>
  </si>
  <si>
    <t>terapi membantu mengobati rematik disertai inflamasi degeneratif artritis rematoid , ankylosing spondylitis , osteoartritis spondilartritis , sindroma nyeri kolumna vertebralis , rematik non - artikular , serangan akut gout , nyeri pascabedah</t>
  </si>
  <si>
    <t>volten</t>
  </si>
  <si>
    <t>volten tablet diclofenac sodium terapi membantu mengobati rematik disertai inflamasi degeneratif artritis rematoid  ankylosing spondylitis  osteoartritis spondilartritis  sindroma nyeri kolumna vertebralis  rematik non  artikular  serangan akut gout  nyeri pascabedah</t>
  </si>
  <si>
    <t>atorvastatin calcium amlodipine besilate</t>
  </si>
  <si>
    <t>caduet tablet atorvastatin calcium amlodipine besilate amlodipine hipertensi  iskemia miokardial akibat obstruksi angina stabil  vasospasme vasokonstriksi vaskulatur koroner angina prinzmetal angina varian  atorvastatin terapi tambahan diet menurunkan kadar kolesterol</t>
  </si>
  <si>
    <t>DKL9930409415B1</t>
  </si>
  <si>
    <t>Voltaren 50 mg 10 Tablet</t>
  </si>
  <si>
    <t>Rp88.400 - Rp101.100</t>
  </si>
  <si>
    <t>Sesudah makan. Jangan dikunyah atau dihancurkan.</t>
  </si>
  <si>
    <t>voltaren tablet diclofenac sodium terapi membantu mengobati rematik disertai inflamasi degeneratif artritis rematoid  ankylosing spondylitis  osteoartritis spondilartritis  sindroma nyeri kolumna vertebralis  rematik non  artikular  serangan akut gout  nyeri pascabedah</t>
  </si>
  <si>
    <t>DKL0634006304A1</t>
  </si>
  <si>
    <t>Novamox 500 mg 10 Kaplet</t>
  </si>
  <si>
    <t>Rp5.600 - Rp16.900</t>
  </si>
  <si>
    <t>PENGGUNAAN OBAT INI HARUS SESUAI DENGAN PETUNJUK DOKTER. Dewasa dan anak 20 kg: 3 x sehari 1 kaplet</t>
  </si>
  <si>
    <t>Untuk terapi infeksi gram positif dan negatif, seperti pada saluran nafas atas dan bawah, saluran kemih dan kelamin. Kulit &amp; jaringan lunak, infeksi tulang, GO, abses gigi (terapi tambahan thd penanganan bedah/operasi)</t>
  </si>
  <si>
    <t>1 Strip Isi 10 Tablet</t>
  </si>
  <si>
    <t>Hipersensitivitas terhadap penisilin</t>
  </si>
  <si>
    <t>HARUS DENGAN RESEP DOKTER. Jangan menggunakan lebih dari 2 minggu. Konsultasikan dengan dokter segera jika mengalami diare berair atau berdarah selama atau setelah mengonsumsi obat ini. Melakukan penilaian periodik ginjal, hati atau fungsi hematopoietik. Membutuhkan pemantauan dari ginjal, hati, dan fungsi hematopoetic. Obat ini tidak boleh digunakan untuk infeksi non-bakteri Kategori Kehamilan : B</t>
  </si>
  <si>
    <t>untuk terapi infeksi gram positif negatif , saluran nafas , saluran kemih kelamin  kulit jaringan lunak , infeksi tulang , go , abs gigi terapi tambahan thd penanganan bedah operasi</t>
  </si>
  <si>
    <t>novamox kaplet amoxicillin trihydrate untuk terapi infeksi gram positif negatif  saluran nafas  saluran kemih kelamin  kulit jaringan lunak  infeksi tulang  go  abs gigi terapi tambahan thd pega bedah operasi</t>
  </si>
  <si>
    <t>DKL1605054809A1</t>
  </si>
  <si>
    <t>MXN 400 mg Tablet</t>
  </si>
  <si>
    <t>Rp48.900 - Rp51.300</t>
  </si>
  <si>
    <t>Tablet diminum setelah makan. Tablet ditelan utuh, tidak dibelah ataupun tidak digerus.</t>
  </si>
  <si>
    <t>PENGGUNAAN OBAT INI HARUS SESUAI DENGAN PETUNJUK DOKTER. 1 tablet, 1 kali per hari, diminum selama 5 - 10 hari.</t>
  </si>
  <si>
    <t>Terapi infeksi bakteri pada pasien dewasa (diatas 18 tahun) seperti eksaserbasi akut dari bronkitis kronik, pneumonia komuniti, sinusitis bakterial akut, infeksi kulit dan struktur kulit terkomplikasi, infeksi lain karena bakteri yang sensitif terhadap moxifloxacin.</t>
  </si>
  <si>
    <t>Hipersensitivitas. Hamil, Ibu menyusui. Anak dan remaja. Pasien dengan riwayat penyakit atau tendon yang berhubunan dengan terapi kuinolon. Pasien dengan QT memajang, gangguan elektrolit, bradikardi, gagal jantung dengan penurunan fraksi ejeksi ventrikel kiri,</t>
  </si>
  <si>
    <t>HARUS DENGAN RESEP DOKTER. Pasien dengan SSP yang merupakan faktor predisposisi untuk terjadinya penurunan ambang kejang. Defisiensi G6PD. Gangguan daya penglihatan, gangguan hati berat, aritmia jantung</t>
  </si>
  <si>
    <t>caduet tablet atorvastatin calcium amlodipine besilate amlodipine hipertensi  iskemia miokardial akibat obstruksi angina stabil  vasospasme vasokonstriksi vaskulatur koroner angina prinzmetal angina varian  atorvastatin terapi tambahan diet menurunkan kadar kol</t>
  </si>
  <si>
    <t>GKL9805025217A1</t>
  </si>
  <si>
    <t>Kalium Diklofenak 25 mg 10 Tablet</t>
  </si>
  <si>
    <t>Rp5.200 - Rp5.800</t>
  </si>
  <si>
    <t>INFORMASI OBAT INI HANYA UNTUK KALANGAN MEDIS. Sebagai pengobatan jangka pendek untuk nyeri inflamasi setelah trauma (seperti karena terkilir), nyeri dan inflamasi setelah operasi tulang atau gigi, serta sebagai terapi tambahan pada nyeri inflamasi yang berat dari infeksi telinga, hidung atau tenggorokan, (misalnya faringotonsilitis, otitis).</t>
  </si>
  <si>
    <t>Tukak lambung. Reaksi alergi atau anafilaksis terhadap aspirin atau AINS. Hipersensitif terhadap kandungan obat.</t>
  </si>
  <si>
    <t>HARUS DENGAN RESEP DOKTER. Memiliki riwayat penyakit atau faktor resiko gangguan kardiovaskular, hipertensi, retensi cairan, gagal jantung. Memiliki riwayat penyakit tukak lambung atau usus, penyakit Crohn, gangguan fungsi hati, gangguan fungsi ginjal, asma, lansia, anak-anak, ibu hamil dan menyusui. Bila terjadi perdarahan saluran pencernaan atau ulkus pada pasien yang menerima kalium diklofenak, obat ini harus dihentikan.</t>
  </si>
  <si>
    <t>sebagai pengobatan jangka pendek nyeri inflamasi trauma terkilir , nyeri inflamasi operasi tulang gigi , terapi tambahan nyeri inflamasi berat infeksi telinga , hidung tenggorokan , faringotonsilitis , otitis</t>
  </si>
  <si>
    <t>kalium diklofenak tablet diclofenac potassium sebagai pengobatan jangka pendek nyeri inflamasi trauma terkilir  nyeri inflamasi operasi tulang gigi  terapi tambahan nyeri inflamasi berat infeksi telinga  hidung tenggorokan  faringotonsilitis  otitis</t>
  </si>
  <si>
    <t>DKI1668601317B1</t>
  </si>
  <si>
    <t>Coralan 7.5 mg 14 Tablet</t>
  </si>
  <si>
    <t>Rp151.300 - Rp201.200</t>
  </si>
  <si>
    <t>Diberikan saat makan pada pagi dan malam hari. Hindari konsumsi jus grapefruit secara berlebihan.</t>
  </si>
  <si>
    <t>PENGGUNAAN OBAT INI HARUS SESUAI DENGAN PETUNJUK DOKTER. Dosis awal : 5 mg 2 kali/hari, dapat ditingkatkan menjadi 7.5 mg 2 kali/hari sesudah 1 bulan terapi, tergantung dari respon terapeutik pasien. Berikan pada pagi dan malam hari pada waktu makan.</t>
  </si>
  <si>
    <t>Angina stabil kronis pada penyakit arteri koroner dewasa dengan irama sinus normal tidak toleran terhadap B-blockers, atau terapi kombinasi pada pasien yang terkontrol baik dengan B-blocker dengan kecepatan denyut jantung &gt; 60 bpm.</t>
  </si>
  <si>
    <t>Dus, 4 Blister @ 14 Tablet Salut Selaput</t>
  </si>
  <si>
    <t>Kecepatan denyut jantung pada saat istirahat &lt; 60 kali/menit sebelum terapi, syok kardiogenik, infark miokard akut, hipotensi berat, blok SA, blok AV derajat 3. klasifikasi kilinis NYHA (klasifikasi klinis New York Heart Association) kelas III-IV</t>
  </si>
  <si>
    <t>HARUS DENGAN RESEP DOKTER. Pasien dengan bersihan kreatinin &lt; 15 mL/menit, blok AV derajat 2, aritmia jantung, atau stroke</t>
  </si>
  <si>
    <t>ivabradine hydrochloride</t>
  </si>
  <si>
    <t>angina stabil kronis penyakit arteri koroner dewasa irama sinus normal tidak toleran b - blocker , terapi kombinasi pasien terkontrol b - blocker kecepatan denyut jantung 60 bpm</t>
  </si>
  <si>
    <t>coralan</t>
  </si>
  <si>
    <t>coralan tablet ivabradine hydrochloride angina stabil kronis penyakit arteri koroner dewasa irama sinus normal tidak toleran b  blocker  terapi kombinasi pasien terkontrol b  blocker kecepatan denyut jantung 60 bpm</t>
  </si>
  <si>
    <t>DKL1817627409A1</t>
  </si>
  <si>
    <t>Moxibat 400 mg Tablet</t>
  </si>
  <si>
    <t>Rp53.300 - Rp61.900</t>
  </si>
  <si>
    <t>Dus, 1 blister @ 5 tablet</t>
  </si>
  <si>
    <t>Omron Automatic Blood Pressure HEM-7120</t>
  </si>
  <si>
    <t>Rp538.600 - Rp550.000</t>
  </si>
  <si>
    <t>1. Masukan plug udara ke jack udara. 2. Gunakan manset pada lengan atas. 3. Bagian bawah manset berada 1-2 cm di atas siku. 4. Kencangkan manset. 5. Duduklah dengan tenang dan tegak, kaki menapak di lantai. 6. Pastikan level ketinggian manset sama dengan jantung. 7. Tekan tombol START/STOP untuk memulai pengukuran, manset akan mengembang otomatis. 8. Lepaskan manset. Jika Anda ingin melakukan pengukuran lagi, tunggu selama 2-3 menit. 9. Tekan tombol START/STOP untuk mematikan monitor. Monitor dapat otomatis mati dalam 2 menit.</t>
  </si>
  <si>
    <t>Alat pengukur tekanan darah otomatis dan digital serta memberikan pembacaan yang sangat akurat. Dengan teknologi IntelliSense yang memberikan pembacaan bio-informasi yang akurat namun mudah dan sangat nyaman digunakan. Tensimeter digital ini dipergunakan pada lengan bagian atas.</t>
  </si>
  <si>
    <t>Simpan di tempat yang sejuk dan terhindar dari sinar matahari secara langsung.</t>
  </si>
  <si>
    <t>alat pengukur tekanan darah otomatis digital pembacaan akurat  dengan teknologi intellisense pembacaan bio - informasi akurat mudah nyaman  tensimeter digital lengan</t>
  </si>
  <si>
    <t>omron automatic blood pressure hem tablet kombinasivalsartan blend 32 alat pengukur teka darah otomatis digital pembacaan akurat  dengan teknologi intellisense pembacaan bio  informasi akurat mudah nyaman  tensimeter digital lengan</t>
  </si>
  <si>
    <t>DKI0151601617A1</t>
  </si>
  <si>
    <t>Avelox Tablet 400 mg</t>
  </si>
  <si>
    <t>Rp75.000 - Rp87.400</t>
  </si>
  <si>
    <t>TR202681581</t>
  </si>
  <si>
    <t>Konicare Minyak Telon Extra Lemongrass 60 ml</t>
  </si>
  <si>
    <t>KONICARE MINYAK TELON PLUS LEMONGRASS (NEW FORMULA)</t>
  </si>
  <si>
    <t>Rp19.300 - Rp35.200</t>
  </si>
  <si>
    <t>Usapkan secara merata pada perut, punggung, serta dada bayi dan juga di area yang rentan gigitan nyamuk seperti leher, tangan dan kaki setiap habis mandi dan sebelum tidur dan setiap kali diperlukan.</t>
  </si>
  <si>
    <t>Memberikan rasa hangat pada tubuh bayi, meredakan perut kembung dan masuk angin, serta membantu mencegah gigitan nyamuk/ serangga efektif selama 8 jam</t>
  </si>
  <si>
    <t>konicare minyak telon plus lemongrass (new formula)</t>
  </si>
  <si>
    <t>memberikan hangat tubuh bayi , meredakan perut kembung masuk angin , membantu mencegah gigitan nyamuk serangga efektif 8 jam</t>
  </si>
  <si>
    <t>konicare telon extra lemongrass</t>
  </si>
  <si>
    <t>konicare telon extra lemongrass minyak konicare minyak telon plus lemongrass new formula memberikan hangat tubuh bayi  meredakan perut kembung masuk angin  membantu mencegah gigitan nyamuk serangga efektif 8 jam</t>
  </si>
  <si>
    <t>DKL8705002715B1</t>
  </si>
  <si>
    <t>Voltadex 50 mg 10 Tablet</t>
  </si>
  <si>
    <t>Rp4.600 - Rp7.200</t>
  </si>
  <si>
    <t>Dus, 5 Blister @ 10 tablet salut Enterik</t>
  </si>
  <si>
    <t>voltadex tablet diclofenac sodium terapi membantu mengobati rematik disertai inflamasi degeneratif artritis rematoid  ankylosing spondylitis  osteoartritis spondilartritis  sindroma nyeri kolumna vertebralis  rematik non  artikular  serangan akut gout  nyeri pascabedah</t>
  </si>
  <si>
    <t>Konicare Minyak Telon Extra Lemongrass 125 ml</t>
  </si>
  <si>
    <t>Rp51.200 - Rp69.300</t>
  </si>
  <si>
    <t>Dus, botol @ 125 ml</t>
  </si>
  <si>
    <t>QD082607871</t>
  </si>
  <si>
    <t>Polar Bear Minyak Angin 18 ml</t>
  </si>
  <si>
    <t>Rp23.900 - Rp37.000</t>
  </si>
  <si>
    <t>Oles/gosok pada tempat yang sakit atau tempat yang diinginkan</t>
  </si>
  <si>
    <t>Digunakan secukupnya</t>
  </si>
  <si>
    <t>Membantu meredakan sakit kepala, pusing, sakit pinggan, meredakan gejala flu, masuk angin, sakit perut, melegakan hidung tersumbat dan sesak nafas, serta mengurangi rasa gatal akibat gigitan serangga</t>
  </si>
  <si>
    <t>Hanya untuk pemakaian luar. Tidak boleh digunakan pada anak di bawah 2 tahun.</t>
  </si>
  <si>
    <t>membantu meredakan sakit kepala , pusing , sakit pinggan , meredakan gejala flu , masuk angin , sakit perut , melegakan hidung tersumbat sesak nafas , mengurangi gatal akibat gigitan serangga</t>
  </si>
  <si>
    <t>polar bear angin</t>
  </si>
  <si>
    <t>polar bear angin minyak camphora membantu meredakan sakit kepala  pusing  sakit pinggan  meredakan gejala flu  masuk angin  sakit perut  melegakan hidung tersumbat sesak nafas  mengurangi gatal akibat gigitan serangga</t>
  </si>
  <si>
    <t>DTL1509219333A1</t>
  </si>
  <si>
    <t>Farsifen Forte Sirup 60 ml</t>
  </si>
  <si>
    <t>Rp7.700 - Rp15.000</t>
  </si>
  <si>
    <t>farsifen forte</t>
  </si>
  <si>
    <t>farsifen forte suspensi ibuprofen efek antiinflamasi analgesik meringankan gejala rematik tulang  sendi  non sendi  trauma otot muskuloskeletal  efek analgesik meringankan nyeri dismenore primer  sakit kepala  pencabutan gigi nyeri operasi</t>
  </si>
  <si>
    <t>Polar Bear Minyak Angin 8 ml</t>
  </si>
  <si>
    <t>Rp13.400 - Rp24.100</t>
  </si>
  <si>
    <t>DKL1718829636A1</t>
  </si>
  <si>
    <t>Mucera Drops 15 ml</t>
  </si>
  <si>
    <t>Rp46.600 - Rp61.200</t>
  </si>
  <si>
    <t>INFORMASI OBAT INI HANYA UNTUK KALANGAN MEDIS. Penyakit saluran napas akut dan kronis dengan sekresi bronkial yang abnormal, terutama serangan akut bronkitis kronis, asma bronkial, bronkitis asmatik, terapi pra dan pasca operasi, perawatan intensif untuk menghindari kompllikasi paru</t>
  </si>
  <si>
    <t>Pasien penderita ulkus lambung, hipersensitif</t>
  </si>
  <si>
    <t>penyakit saluran napa akut kronis sekresi bronkial abnormal , serangan akut bronkitis kronis , asma bronkial , bronkitis asmatik , terapi pra pasca operasi , perawatan intensif menghindari kompllikasi paru</t>
  </si>
  <si>
    <t>mucera tetes ambroxol hydrochloride penyakit saluran napa akut kronis sekresi bronkial abnormal  serangan akut bronkitis kronis  asma bronkial  bronkitis asmatik  terapi pra pasca operasi  perawatan intensif menghindari kompllikasi paru</t>
  </si>
  <si>
    <t>DBL1422723233A2</t>
  </si>
  <si>
    <t>Bodrexin Demam Forte Sirup Rasa Jeruk 60 ml</t>
  </si>
  <si>
    <t>Rp11.700 - Rp12.200</t>
  </si>
  <si>
    <t>Anak usia 6-12 tahun: 1 sendok takar (5 ml), 3-4 kali sehari Dewasa dan anak usia &gt; 12 tahun 2 sendok takar (10 ml), 3-4 kali sehari Atau sesuai petunjuk dokter.</t>
  </si>
  <si>
    <t>Bodrexin demam forte sudah dikenal dan dipercaya dari generasi ke generasi untuk menurunkan panas demam antara lain yang menyertai flu, serta mengurangi rasa sakit seperti sakit kepala, sakit gigi dan sakit pada otot untuk anak 6 tahun ke atas.</t>
  </si>
  <si>
    <t>Penggunaan obat ini pada penderita yang mengkonsumsi alkohol dapat meningkatkan risiko kerusakan fungsi hati.</t>
  </si>
  <si>
    <t>bodrexin demam forte dikenal dipercaya generasi generasi menurunkan panas demam menyertai flu , mengurangi sakit sakit kepala , sakit gigi sakit otot anak 6</t>
  </si>
  <si>
    <t>bodrexin demam forte rasa jeruk</t>
  </si>
  <si>
    <t>bodrexin demam forte rasa jeruk suspensi paracetamol bodrexin demam forte dikenal dipercaya generasi generasi menurunkan panas demam menyertai flu  mengurangi sakit sakit kepala  sakit gigi sakit otot anak 6</t>
  </si>
  <si>
    <t>Illustro Aquasoft Solution 60 ml</t>
  </si>
  <si>
    <t>Box @ 60 ml</t>
  </si>
  <si>
    <t>illustro aquasoft solution</t>
  </si>
  <si>
    <t>illustro aquasoft solution tablet kombinasivalsartan blend 32 cairan pembersih contact lens manfaat cleans membersihkan  lubricates melembabkan  desinfects mematikan kuman  protein removes membersihkan protein pengotor  stores mempertahankan kualitas softlens penyimpa</t>
  </si>
  <si>
    <t>ammonium chloride chlorphenamine maleate pseudoephedrine hydrochloride paracetamol succus liquiritiae</t>
  </si>
  <si>
    <t>obh combi anak batuk plus flu madu sirup ammonium chloride chlorphenamine maleate pseudoephedrine hydrochloride paracetamol succus liquiritiae mengobati batuk disertai gejala influenza demam  sakit kepala  hidung tersumbat  bersin  bersin</t>
  </si>
  <si>
    <t>Hansaplast Koyo Panas Besar 5 Lembar</t>
  </si>
  <si>
    <t>Hansaplast Koyo Panas dapat meredakan semua jenis pegal dan nyeri secara efektif, seperti: - Nyeri otot di leher, bahu atau punggung - Nyeri sendi - Sakit kepala atau sakit gigi - Pegal dan linu - Kram saat menstruasi</t>
  </si>
  <si>
    <t>Hindari pemakaian pada penderita yang hipersensitif terhadap bahan obat.</t>
  </si>
  <si>
    <t>Jangan digunakan pada kulit yang luka. Bila terjadi iritasi, hentikan pemakaian. Tidak untuk digunakan pada anak dengan usia dibawah 2 tahun. Jangan digunakan langsung di bawah hidung. Simpan di bawah suhu 30ï¿½C.</t>
  </si>
  <si>
    <t>hansaplast koyo panas meredakan jenis pegal nyeri efektif , - nyeri otot leher , bahu punggung - nyeri sendi - sakit kepala sakit gigi - pegal linu - kram menstruasi</t>
  </si>
  <si>
    <t>hansaplast koyo panas besar lembar</t>
  </si>
  <si>
    <t>hansaplast koyo panas besar lembar  camphor hansaplast koyo panas meredakan jenis pegal nyeri efektif   nyeri otot leher  bahu punggung  nyeri sendi  sakit kepala sakit gigi  pegal linu  kram menstruasi</t>
  </si>
  <si>
    <t>Illustro Premium Solution 100 ml</t>
  </si>
  <si>
    <t>Sebelum membuka botol, cuci tangan dengan sabun sampai bersih. Tuangkan beberapa tetes Illustro Premium Solution di permukaan lensa kontak. Usap lensa dengan hati-hati selama 20 detik di setiap permukaan. Bilas lensa kontak tersebut dengan menambahkan Illustro Premium Solution untuk melepaskan lapisan kotoran. Letakan lensa kontak pada tempat lensa dan diisi dengan Illustro Premium Solution selama kurang lebih dari 5 menit. Jika tanpa penggosokan, rendam minimal 4 jam. Lensa dapat disimpan maksimal 30 hari.</t>
  </si>
  <si>
    <t>Jika sudah dibuka, botol tidak boleh digunakan lebih dari 90 hari. Tutup rapat-rapat setelah digunakan. Jangan sentuh ujung botol untuk mencegah kontaminasi</t>
  </si>
  <si>
    <t>DKL8922209615A1</t>
  </si>
  <si>
    <t>Flamar 25 mg 10 Tablet</t>
  </si>
  <si>
    <t>Rp11.200 - Rp12.500</t>
  </si>
  <si>
    <t>Obat Wajib Apotek, Obat ini dapat dibeli dan diserahkan apoteker tanpa resep dengan maksimum 1 Strip. Pembelian melebihi batas ini WAJIB RESEP DOKTER.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 Kategori X: Kontraindikasi (tidak boleh digunakan). Terdapat hasil penelitian terhadap hewan uji dan manusia yang memperlihatkan abnormalitas terhadap janin. Obat ini dikontraindikasikan untuk wanita hamil dan yang berkemungkinan untuk hamil.</t>
  </si>
  <si>
    <t>flamar tablet diclofenac sodium terapi membantu mengobati rematik disertai inflamasi degeneratif artritis rematoid  ankylosing spondylitis  osteoartritis spondilartritis  sindroma nyeri kolumna vertebralis  rematik non  artikular  serangan akut gout  nyeri pascabedah</t>
  </si>
  <si>
    <t>DKI1367508453B1</t>
  </si>
  <si>
    <t>Voltaren Suppositoria 100 mg</t>
  </si>
  <si>
    <t>Dimasukkan kedalam anus</t>
  </si>
  <si>
    <t>PENGGUNAAN OBAT INI HARUS SESUAI DENGAN PETUNJUK DOKTER. Dewasa : 1 suppositoria pada malam hari. Pada kasus yang lebih berat : dikombinasikan dengan tablet oral 25/50 mg, maximum 150 mg/hari</t>
  </si>
  <si>
    <t>Inflamasi dan bentuk degeneratif dari Reumatik, Artritis Reumatoid, Spondilitis Ankilosa, Osteoartritis &amp; Spondilartritis/artritis pada tulang punggung, Nyeri pada tulang punggung, non-artikular Reumatik, serangan akut Gout, juvenile Artritis Reumatoid</t>
  </si>
  <si>
    <t>Proktitis</t>
  </si>
  <si>
    <t>inflamasi bentuk degeneratif reumatik , artritis reumatoid , spondilitis ankilosa , osteoartritis spondilartritis artritis tulang punggung , nyeri tulang punggung , non - artikular reumatik , serangan akut gout , juvenile artritis reumatoid</t>
  </si>
  <si>
    <t>voltaren suppositoria diclofenac sodium inflamasi bentuk degeneratif reumatik  artritis reumatoid  spondilitis ankilosa  osteoartritis spondilartritis artritis tulang punggung  nyeri tulang punggung  non  artikular reumatik  serangan akut gout  juvenile artritis reumatoid</t>
  </si>
  <si>
    <t>succus liquiritiae ammonium chloride paracetamol pseudoephedrine hydrochloride chlorphenamine maleate</t>
  </si>
  <si>
    <t>obh tropica plus anak rasa strawberry sirup succus liquiritiae ammonium chloride paracetamol pseudoephedrine hydrochloride chlorphenamine maleate membantu meredakan batuk disertai gejala influenza demam  sakit kepala  hidung tersumbat  bersin  bersin</t>
  </si>
  <si>
    <t>Hansaplast Koyo Hangat Besar 5 Lembar</t>
  </si>
  <si>
    <t>Dus, 5 Sachet @ 5 Lembar</t>
  </si>
  <si>
    <t>Jangan digunakan pada kulit yang luka. Bila terjadi iritasi, hentikan pemakaian. Tidak untuk digunakan pada anak dengan usia dibawah 2 tahun. Jangan digunakan langsung di bawah hidung. Simpan di bawah suhu 30 derajat C.</t>
  </si>
  <si>
    <t>hansaplast koyo hangat besar lembar</t>
  </si>
  <si>
    <t>hansaplast koyo hangat besar lembar  camphor hansaplast koyo panas meredakan jenis pegal nyeri efektif   nyeri otot leher  bahu punggung  nyeri sendi  sakit kepala sakit gigi  pegal linu  kram menstruasi</t>
  </si>
  <si>
    <t>Illustro Aquasoft Solution 120 ml</t>
  </si>
  <si>
    <t>Rp15.000 - Rp36.200</t>
  </si>
  <si>
    <t>Illustro Aquasoft Solution 350 ml</t>
  </si>
  <si>
    <t>Rp34.200 - Rp59.000</t>
  </si>
  <si>
    <t>neuralgin rhema kaplet diclofenac sodium thiamine mononitrate pyridoxine hydrochloride cyanocobalamin meredakan nyeri ringan berat  mialgia  artalgia  neuralgia  sakit gigi  nyeri haid nyeri kanker  kolik ginjal kandung kemih  nyeri operasi</t>
  </si>
  <si>
    <t>obh tropica plus anak rasa jeruk sirup succus liquiritiae ammonium chloride paracetamol pseudoephedrine hydrochloride chlorphenamine maleate membantu meredakan batuk disertai gejala influenza demam  sakit kepala  hidung tersumbat  bersin  bersin</t>
  </si>
  <si>
    <t>DKL1007810304A1</t>
  </si>
  <si>
    <t>Hufatidine Kaplet 40 mg</t>
  </si>
  <si>
    <t>Rp300 - Rp600</t>
  </si>
  <si>
    <t>PENGGUNAAN OBAT INI HARUS SESUAI DENGAN PETUNJUK DOKTER. Ukak usus 12 jari: 40 mg sehari sebelum tidur atau 2 kali sehari 20 mg. tukak lambung: 40 mg sehari sebelum tidur. refluks esofagitis: 2 kali sehari 20 mg selama 6 minggu. hipersekresi patologis: awal 20 mg tiap 6 jam (dapat ditingkatkan sesuai kondisi penderita). penderita Zollinger-Ellison yang serius: dapat ditingkatkan 160 mg tiap 6 jam.</t>
  </si>
  <si>
    <t>Terapi pemeliharaan dan pengobatan jangka pendek pada penderita tukak usus 12 jari aktif, tukak lambung aktif, pengobatan jangka pendek refluks esofagitis, hipersekresi, sindrom Zollinger-Ellison dan adenoma endokrin multiple.</t>
  </si>
  <si>
    <t>Obat Wajib Apotek, Obat ini dapat dibeli dan diserahkan apoteker tanpa resep dengan maksimum 10 Tablet. Pembelian melebihi batas ini WAJIB RESEP DOKTER. Meningkatkan resiko pneumonia. keganasan lambung. ibu hamil dan menyusui. gangguan fungsi ginjal.</t>
  </si>
  <si>
    <t>terapi pemeliharaan pengobatan jangka pendek penderita tukak usus 12 jari aktif , tukak lambung aktif , pengobatan jangka pendek refluks esofagitis , hipersekresi , sindrom zollinger - ellison adenoma endokrin multiple</t>
  </si>
  <si>
    <t>hufatidine</t>
  </si>
  <si>
    <t>hufatidine kaplet famotidine terapi pemeliharaan pengobatan jangka pendek penderita tukak usus 12 jari aktif  tukak lambung aktif  pengobatan jangka pendek refluks esofagitis  hipersekresi  sindrom zollinger  ellison adenoma endokrin multiple</t>
  </si>
  <si>
    <t>DKL9321614529A1</t>
  </si>
  <si>
    <t>Clinovir 5% Cream 5 g</t>
  </si>
  <si>
    <t>Rp40.700 - Rp46.200</t>
  </si>
  <si>
    <t>PENGGUNAAN OBAT INI HARUS SESUAI DENGAN PETUNJUK DOKTER. Oleskan 5 kali sehari dengan interval 4 jam selama 4-10 hari.</t>
  </si>
  <si>
    <t>clinovir cream</t>
  </si>
  <si>
    <t>clinovir cream krim aciclovir pengobatan infeksi herpes simpleks kulit membran mukosa  herpes genital rekuren  pencegahan infeksi herpes simpleks berulang pasien imunokompeten  profilaksis herpes simpleks pasien immunocompromised  pengobatan herpes zoster</t>
  </si>
  <si>
    <t>GKL1212425629A1</t>
  </si>
  <si>
    <t>Acyclovir 5% Cream 5 g</t>
  </si>
  <si>
    <t>Dioleskan pada area infeksi/yang sakit setelah kulit dibersihkan dan dikeringkan.</t>
  </si>
  <si>
    <t>acyclovir cream</t>
  </si>
  <si>
    <t>acyclovir cream krim aciclovir pengobatan infeksi herpes simpleks kulit membran mukosa  herpes genital rekuren  pencegahan infeksi herpes simpleks berulang pasien imunokompeten  profilaksis herpes simpleks pasien immunocompromised  pengobatan herpes zoster</t>
  </si>
  <si>
    <t>DTL9309307429A1</t>
  </si>
  <si>
    <t>Zoloral 2% Cream 10 g</t>
  </si>
  <si>
    <t>Rp26.100 - Rp34.400</t>
  </si>
  <si>
    <t>Tinea korporis, tinea manus, tinea pedis, kandidiasis kutis : oleskan sehari 1 kali pada kulit yang terinfeksi. Tinea Cruris, Tinea Versicolor (panu) : oleskan 1 kali sehari selama 2 minggu.</t>
  </si>
  <si>
    <t>Tinea korporis (kurap), tinea cruris (ruam merah di bagian paha dalam, area kelamin, dan bokong), tinea manus (ruam merah di tangan), tinea pedis (kutu air), tinea versicolor (panu), kandidiasis kulit.</t>
  </si>
  <si>
    <t>tinea korporis kurap , tinea cruris ruam merah paha , area kelamin , bokong , tinea manus ruam merah tangan , tinea pedis kutu air , tinea versicolor panu , kandidiasis kulit</t>
  </si>
  <si>
    <t>zoloral cream</t>
  </si>
  <si>
    <t>zoloral cream krim ketoconazole tinea korporis kurap  tinea cruris ruam merah paha  area kelamin  bokong  tinea manus ruam merah tangan  tinea pedis kutu air  tinea versicolor panu  kandidiasis kulit</t>
  </si>
  <si>
    <t>TR092304381</t>
  </si>
  <si>
    <t>Sido Muncul SM-Diabe 30 Kapsul</t>
  </si>
  <si>
    <t>SM DIABE</t>
  </si>
  <si>
    <t>Rp63.500 - Rp89.400</t>
  </si>
  <si>
    <t>1 kapsul 3 x sehari.</t>
  </si>
  <si>
    <t>Meringankan gangguan penderita kencing manis dengan cara membantu mengurangi penyerapan glucose dalam usus sehingga kadar gula darah menurun. Membantu memperbaiki kerusakan jaringan-jaringan yang terjadi akibat tingginya kadar gula.</t>
  </si>
  <si>
    <t>sm diabe</t>
  </si>
  <si>
    <t>meringankan gangguan penderita kencing manis membantu mengurangi penyerapan glucose usus kadar gula darah menurun  membantu memperbaiki kerusakan jaringan - jaringan akibat tingginya kadar gula</t>
  </si>
  <si>
    <t>sido muncul smdiabe</t>
  </si>
  <si>
    <t>sido muncul smdiabe kapsul sm diabe meringankan gangguan penderita kencing manis membantu mengurangi penyerapan glucose usus kadar gula darah menurun  membantu memperbaiki kerusakan jaringan  jaringan akibat tingginya kadar gula</t>
  </si>
  <si>
    <t>DKL1617627207A1</t>
  </si>
  <si>
    <t>Pantopump 40 mg 7 Kaplet</t>
  </si>
  <si>
    <t>Rp204.900 - Rp228.500</t>
  </si>
  <si>
    <t>Dus, 1 Blister @ 7 Kaplet Salut Enterik</t>
  </si>
  <si>
    <t>pantopump</t>
  </si>
  <si>
    <t>pantopump kaplet pantoprazole sodium sesquihydrate dalam kombinasi 2 antibiotik eradikasi h  pylorus  ulkus peptikum  ulkus duodenum  ulkus lambung  inflamasi esofagus refluks esofagus berat  sindrom zollinger  ellison kondisi hipersekresi patologis</t>
  </si>
  <si>
    <t>DKL1106506509A1</t>
  </si>
  <si>
    <t>Etaflox 500 mg 10 Tablet</t>
  </si>
  <si>
    <t>Rp800 - Rp12.300</t>
  </si>
  <si>
    <t>PENGGUNAAN OBAT INI HARUS SESUAI DENGAN PETUNJUK DOKTER. ISK ringan-sedang : 250 mg 2 kali sehari. ISK berat : infeksi sal nafas, tulang, sendi, kulit dan jar lunak ringan-sedang</t>
  </si>
  <si>
    <t>Star AG Gel 50 g</t>
  </si>
  <si>
    <t>Rp295.600 - Rp328.600</t>
  </si>
  <si>
    <t>1. Bersihkan luka dengan seksama. 2. Letakkan Star Ag dengan ketebalan 1/4 dari luka dangkal atau mengisi luka dalam. 3. Tutup luka dengan balutan yang sesuai seperti gauze, foam, atau film hidrokoloid sesuai dengan drainase luka. 4. Untuk menghilangkan sisa Star Ag dari tempat luka, lepaskan balutan luka dan cuci luka dengan larutan irigasi. Kemudian lanjutkan bersihkan luka untuk menghilangkan drainase luka atau sisa dari Star Ag.</t>
  </si>
  <si>
    <t>Oleskan dengan ketebalan 1/4 dari luka dangkal atau mengisi luka yang dalam.</t>
  </si>
  <si>
    <t>Gel yang digunakan sebagai antimikroba untuk manajemen luka baik luka akut maupun luka kronik, meliputi pressure ulcer, venous ulcers, ulkus diabetic, lesi pada kulit, luka bakar derajat satu dan dua, luka donor dan luka pasca operasi.</t>
  </si>
  <si>
    <t>Box, Tube @ 50 g</t>
  </si>
  <si>
    <t>Hanya untuk pemakaian luar. Simpan ditempat yang sejuk dan kering hindari cahaya matahari. Jauhkan dari jangkauan anak-anak.</t>
  </si>
  <si>
    <t>gel antimikroba manajemen luka luka akut luka kronik , meliputi pressure ulcer , venous ulcer , ulkus diabetic , lesi kulit , luka bakar derajat , luka donor luka pasca operasi</t>
  </si>
  <si>
    <t>star ag</t>
  </si>
  <si>
    <t>star ag larutan povidoneiodine gel antimikroba manajemen luka luka akut luka kronik  meliputi pressure ulcer  venous ulcer  ulkus diabetic  lesi kulit  luka bakar derajat  luka donor luka pasca operasi</t>
  </si>
  <si>
    <t>borraginol n suppositoria lithospermi radix extract cetrimide benzocaine cinchocaine hydrochloride diphenhydramine hydrochloride wasir internal eksternal  wasir disertai perdarahan  luka terbuka anus  prolaps anus  periproktitis radang inflamasi rectum  pruritus anus</t>
  </si>
  <si>
    <t>DKL7825202101A1</t>
  </si>
  <si>
    <t>Sesden 30 mg 10 Kapsul</t>
  </si>
  <si>
    <t>Rp27.000 - Rp29.000</t>
  </si>
  <si>
    <t>PENGGUNAAN OBAT INI HARUS SESUAI DENGAN PETUNJUK DOKTER. Kapsul : Dewasa : 1 kapsul 3 kali/hari. Injeksi : Dewasa : 1 ampul secara SK, IM, atai IV.</t>
  </si>
  <si>
    <t>Nyeri spasme/kram otot polos akibat gastritis, tukak/ulkus Lambung &amp; Usus halus, tukak/ulkus Peptikum, Pankreatitis, penyakit2 kandung empedu dan saluran empedu, radang usus halus, litangiuria</t>
  </si>
  <si>
    <t>Kapsul 30 Mg X 10 X 10</t>
  </si>
  <si>
    <t>Glaukoma, penyakit jantung yang berat, ileus paralitik.</t>
  </si>
  <si>
    <t>HARUS DENGAN RESEP DOKTER. Aritmia, jantung kronis, prostatomegali, hipertiroidisme, kolitis ulserative idiopatik.</t>
  </si>
  <si>
    <t>timepidium bromide</t>
  </si>
  <si>
    <t>nyeri spasme kram otot polo akibat gastritis , tukak ulkus lambung usus halus , tukak ulkus peptikum , pankreatitis , penyakit2 kandung empedu saluran empedu , radang usus halus , litangiuria</t>
  </si>
  <si>
    <t>sesden</t>
  </si>
  <si>
    <t>sesden kapsul timepidium bromide nyeri spasme kram otot polo akibat gastritis  tukak ulkus lambung usus halus  tukak ulkus peptikum  pankreatitis  penyakit2 kandung empedu saluran empedu  radang usus halus  litangiuria</t>
  </si>
  <si>
    <t>DKI2056100117A1</t>
  </si>
  <si>
    <t>Jardiance Duo 5 mg/500 mg 10 Tablet</t>
  </si>
  <si>
    <t>Rp110.800 - Rp142.800</t>
  </si>
  <si>
    <t>Diberikan bersamaan dengan makanan</t>
  </si>
  <si>
    <t>PENGGUNAAN OBAT INI HARUS SESUAI DENGAN PETUNJUK DOKTER. 1 Tablet 1-2 kali per hari. Dosis harian maksimal: 25/2000 mg.</t>
  </si>
  <si>
    <t>Dewasa dengan DM tipe 2 sebagai tambahan terhadap diet dan olahraga untuk memperbaiki kontrol glikemik pada pasien yang tidak dapat dikendalikan secara adekuat dengan dosis maksimal (yang dapat ditolerir) metformin saja, pasien yang sedang diterapi dengan kombinasi empagliflozin dan metformin dalam tablet terpisah.</t>
  </si>
  <si>
    <t>Hipersensitivitas, Pre-koma diabetes,</t>
  </si>
  <si>
    <t>dewasa dm tipe 2 tambahan diet olahraga memperbaiki kontrol glikemik pasien tidak dikendalikan adekuat dosis maksimal ditolerir metformin , pasien diterapi kombinasi empagliflozin metformin tablet terpisah</t>
  </si>
  <si>
    <t>jardiance duo</t>
  </si>
  <si>
    <t>jardiance duo tablet empagliflozin dewasa dm tipe 2 tambahan diet olahraga memperbaiki kontrol glikemik pasien tidak dikendalikan adekuat dosis maksimal ditolerir metformin  pasien diterapi kombinasi empagliflozin metformin tablet terpisah</t>
  </si>
  <si>
    <t>DKI1553300715B1</t>
  </si>
  <si>
    <t>Pantozol 40 mg 7 Tablet</t>
  </si>
  <si>
    <t>Rp155.300 - Rp204.600</t>
  </si>
  <si>
    <t>Telan utuh dengan air 1 jam sebelum sarapan. Jangan dikunyah/ dihancurkan. Dalam terapi kombinasi untuk pemberantasan H.pylori tablet ke-2: 40 mg harus diberikan sebelum makan malam.</t>
  </si>
  <si>
    <t>PENGGUNAAN OBAT INI HARUS SESUAI DENGAN PETUNJUK DOKTER. Eradikasi H. pylori 1 tab dengan amoksisilin 1.000 mg &amp; klaritromisin 500 mg atau 1 tab dengan metronidazol 500 mg &amp; klaritromisin 500 mg atau 1 tab dengan amoksisilin 1.000 mg &amp; metronidazol 500 mg, diminum 2 x sehari. Monoterapi utk tukak lambung &amp; duodenum &amp; refluks esofagitis 1 tab per hari, dosis dapat digandakan terutama jika tidak ada respon. Penatalaksanaan jangka panjang sindrom Zollinger-Ellison &amp; kondisi hipersekresi patologis lainnya Awal 80 mg/hr. Titrasi dosis naik atau turun sesuai kebutuhan. Gangguan hati berat Kurangi dosis menjadi 1 tab setiap hari. Lansia atau pasien dg ggn fungsi ginjal Jangan melebihi 40 mg sehari kecuali pada eradikasi H. pylori.</t>
  </si>
  <si>
    <t>INFORMASI OBAT INI HANYA UNTUK KALANGAN MEDIS. Untuk kombinasi dengan 2 antibiotik yang sesuai untuk eradikasi H. pylori pada pasien dengan tukak lambung. Tukak duodenum, tukak lambung, refluks esofagitis sedang &amp; berat. Sindrom Zollinger-Ellison &amp; kondisi hipersekresi patologis lainnya.</t>
  </si>
  <si>
    <t>Dus, 1 Blister @ 7 tablet salut enterik</t>
  </si>
  <si>
    <t>Hipersensitivitas. Dalam pengobatan kombinasi untuk eradikasi H. pylori pada pasien dengan disfungsi hati/ginjal sedang hingga berat.</t>
  </si>
  <si>
    <t>HARUS DENGAN RESEP DOKTER. Kewaspadaan khusus : Bukan untuk keluhan GI ringan misalnya dispepsia saraf. Pada pasien dengan sindrom Zollinger-Ellison &amp; kondisi hipersekresi lainnya yang memerlukan pengobatan jangka panjang dapat mengurangi penyerapan vit B12 karena hipo atau aklorhidria. Singkirkan kemungkinan keganasan tukak lambung atau penyakit keganasan esofagus sebelum pengobatan. Kehamilan &amp; laktasi. anak.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</si>
  <si>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untuk kombinasi 2 antibiotik sesuai eradikasi h  pylorus pasien tukak lambung  tukak duodenum , tukak lambung , refluks esofagitis berat  sindrom zollinger - ellison kondisi hipersekresi patologis</t>
  </si>
  <si>
    <t>pantozol tablet pantoprazole sodium sesquihydrate untuk kombinasi 2 antibiotik sesuai eradikasi h  pylorus pasien tukak lambung  tukak duodenum  tukak lambung  refluks esofagitis berat  sindrom zollinger  ellison kondisi hipersekresi patologis</t>
  </si>
  <si>
    <t>DBL2113324058A1</t>
  </si>
  <si>
    <t>L-Lax Gel 5 ml</t>
  </si>
  <si>
    <t>- SODIUM LAURYL SULFOACETATE. MACROGOL 400. SODIUM CITRATE. SORBITOL SOLUTION 70</t>
  </si>
  <si>
    <t>Rp21.900 - Rp24.000</t>
  </si>
  <si>
    <t>Tekan tube sedikit agar sebagian isi obat keluar. Oleskan pada bagian luar dari pipa/cannula. Masukkan pipa kedalam anus. Tekan tube tersebut hingga seluruh isinya habis keluar. Cabut kembali pipa tersebut tanpa melepaskan tekanan pada tube.</t>
  </si>
  <si>
    <t>Dewasa &amp; anak-anak di atas 3 tahun 1 tube untuk sekali pemakaian melalui anus</t>
  </si>
  <si>
    <t>sodium lauryl sulfoacetate macrogol 400 sodium citrate sorbitol solution 70</t>
  </si>
  <si>
    <t>llax</t>
  </si>
  <si>
    <t>llax enema sodium lauryl sulfoacetate macrogol 400 sodium citrate sorbitol solution 70 obat mengatasi susah buang air bab sembelit  penderita tinggal tidur  orang dewasa  lansia  anak  anak wanita hamil</t>
  </si>
  <si>
    <t>DTL1922727537A1</t>
  </si>
  <si>
    <t>Bodrexin Flu Dan Batuk Tidak Berdahak Dph 56 ml</t>
  </si>
  <si>
    <t>Anak umur 2- &lt;6 tahun: Sesuai dengan petunjuk dokter Anak umur 6-12 tahun: 3 x sehari 2 sendok takar</t>
  </si>
  <si>
    <t>Meringankan gejala flu seperti demam, sakit kepala, bersin-bersin, hidung tersumbat yang disertai batuk tidak berdahak.</t>
  </si>
  <si>
    <t>Dus, Botol plastik @ 56 ml</t>
  </si>
  <si>
    <t>Penderita dengan hipersensitif terhadap komponen obat ini. Penderita gangguan jantung dan diabetes melitus. Penderita edngan gangguan fungsi hati yang berat.</t>
  </si>
  <si>
    <t>Gangguan fungsi hati dan ginjal, hipertensi, glaukoma, hipertrofi prostat, hipertiroid, retensi urin. Penggunaan bersama dengan obat yang menekan fungsi SSP. Dapat meningkatkan risiko gangguan fungsi hati pada pasien alkoholik.</t>
  </si>
  <si>
    <t>paracetamol chlorphenamine maleate diphenhydramine hydrochloride phenylephrine hydrochloride</t>
  </si>
  <si>
    <t>meringankan gejala flu demam , sakit kepala , bersin - bersin , hidung tersumbat disertai batuk tidak berdahak</t>
  </si>
  <si>
    <t>bodrexin flu dan batuk tidak berdahak dph</t>
  </si>
  <si>
    <t>bodrexin flu dan batuk tidak berdahak dph sirup paracetamol chlorphenamine maleate diphenhydramine hydrochloride phenylephrine hydrochloride meringankan gejala flu demam  sakit kepala  bersin  bersin  hidung tersumbat disertai batuk tidak berdahak</t>
  </si>
  <si>
    <t>DKL0406412310A1</t>
  </si>
  <si>
    <t>Emeran 10 mg 10 Tablet</t>
  </si>
  <si>
    <t>Rp1.500 - Rp1.700</t>
  </si>
  <si>
    <t>1/2 jam sebelum makan</t>
  </si>
  <si>
    <t>PENGGUNAAN OBAT INI HARUS SESUAI DENGAN PETUNJUK DOKTER. Dewasa: 3 x sehari 1 tablet</t>
  </si>
  <si>
    <t>Meredakan gejala gastroparesis diabetikum akut &amp; rekuren, pencegahan mual &amp; muntah akibat gangguan metabolik dan pasca operasi. Rasa panas pada ulu hati &amp; keterlambatan proses pengosongan lambung yang menyertai refluks esofagitis</t>
  </si>
  <si>
    <t>Penyumbatan usus, feokromositoma, epilepsi.</t>
  </si>
  <si>
    <t>Obat Wajib Apotek, Obat ini dapat dibeli dan diserahkan apoteker tanpa resep dengan maksimum 2 Strip. Pembelian melebihi batas ini WAJIB RESEP DOKTER. Gangguang ginjal. Anak, hamil, laktasi</t>
  </si>
  <si>
    <t>meredakan gejala gastroparesis diabetikum akut rekuren , pencegahan mual muntah akibat gangguan metabolik pasca operasi  rasa panas ulu hati keterlambatan prose pengosongan lambung menyertai refluks esofagitis</t>
  </si>
  <si>
    <t>emeran</t>
  </si>
  <si>
    <t>emeran tablet metoclopramide hydrochloride meredakan gejala gastroparesis diabetikum akut rekuren  pencegahan mual muntah akibat gangguan metabolik pasca operasi  rasa panas ulu hati keterlambatan prose pengosongan lambung menyertai refluks esofagitis</t>
  </si>
  <si>
    <t>DTL1840000946A1</t>
  </si>
  <si>
    <t>Rohto Dry Fresh 7 ml</t>
  </si>
  <si>
    <t>Rp20.300 - Rp20.600</t>
  </si>
  <si>
    <t>Buka tutup botol dengan memutar tutup. Teteskan pada kedua mata. Untuk mempertahankan sterilitas, alat tetes tidak boleh menyentuh mata atau permukaan lain. Tutup botol dengan rapat sampai terdengar bunyik "klik".</t>
  </si>
  <si>
    <t>1-2 tetes pada setiap mata, 3 kali per hari atau sesuai anjuran dokter.</t>
  </si>
  <si>
    <t>Digunakan untuk memberikan efek pelumas seperti air mata, mengatasi gejala kekeringan mata, meringankan iritasi mata yang disebabkan oleh kekurangan produksi air mata (biasanya pada penderita Rheumatoid Arthritis, Keratoconjuctivitis Xeropthalmia) juga digunakan sebagai pelumas pada mata palsu.</t>
  </si>
  <si>
    <t>Penderita yang hipersensitif terhadap zat aktif dalam obat ini.</t>
  </si>
  <si>
    <t>Jauhkan dari jangkauan anak-anak. Tutup rapat dan hindari pencemaran. Jangan dipakai setelah dibuka 1 bulan. Hentikan pemakaian dan konsultasi dengan dokter bila iritasi tetap, lebih buruk, sakit kepala, sakit pada mata, gangguan penglihatan, atau mata merah terus menerus.</t>
  </si>
  <si>
    <t>digunakan efek pelumas air mata , mengatasi gejala kekeringan mata , meringankan iritasi mata disebabkan kekurangan produksi air mata penderita rheumatoid arthritis , keratoconjuctivitis xeropthalmia pelumas mata palsu</t>
  </si>
  <si>
    <t>rohto fresh</t>
  </si>
  <si>
    <t>rohto fresh tetes hypromellose digunakan efek pelumas air mata  mengatasi gejala kekeringan mata  meringankan iritasi mata disebabkan kekurangan produksi air mata penderita rheumatoid arthritis  keratoconjuctivitis xeropthalmia pelumas mata palsu</t>
  </si>
  <si>
    <t>DTL9804123737B1</t>
  </si>
  <si>
    <t>OBH Combi Plus Batuk Flu Menthol 60 ml</t>
  </si>
  <si>
    <t>Rp14.500 - Rp18.700</t>
  </si>
  <si>
    <t>Dewasa dan anak-anak di atas 12 tahun : sehari 3 x 15 ml</t>
  </si>
  <si>
    <t>Meredakan batuk yang disertai gejala-gejala flu seperti demam, sakit kepala, hidung tersumbat dan bersin-bersin.</t>
  </si>
  <si>
    <t>Hipersensitif, pasien yang memiliki kepekaan terhadap obat simpatomimetik lain seperti pseudoefedrin, dan fenilefrin, pasien yang mengkonsumsi obat-obat golongan monoamine oksidase (MAO) inhibitor. Penderita gangguan jantung, diabetes mellitus, gangguan fungsi hati berat.</t>
  </si>
  <si>
    <t>Hati-hati penggunaan pada penderita dengan gangguan fungsi hati dan ginjal, glaukoma, hipertrofi prostat, hipertiroid dan retensi urin, menggunakan obat penekan susunan saraf pusat. Tidak dianjurkan untuk anak &lt;6 th, wanita hamil &amp; menyusui, kecuali atas petunjuk dokter. Jangan mengendarai kendaraan dan menjalankan mesin selama penggunaan obat.</t>
  </si>
  <si>
    <t>ammonium chloride paracetamol ephedrine hydrochloride chlorphenamine maleate succus liquiritiae</t>
  </si>
  <si>
    <t>obh combi plus batuk flu menthol</t>
  </si>
  <si>
    <t>obh combi plus batuk flu menthol sirup ammonium chloride paracetamol ephedrine hydrochloride chlorphenamine maleate succus liquiritiae meredakan batuk disertai gejala  gejala flu demam  sakit kepala  hidung tersumbat bersin  bersin</t>
  </si>
  <si>
    <t>Bionect 0.2% Cream 15 g</t>
  </si>
  <si>
    <t>Oleskan cream secara tipis ke permukaan luka, 2 kali sehari atau lebih, area yang luka sebaiknya ditutup dengan gauze - pad yang steril atau dengan kasa steril, untuk yang gauze tempelkan 1 atau lebih gauze - pads sesuai ukuran luka, 2 kali sehari atau</t>
  </si>
  <si>
    <t>Sebagai dressing dan mengatasi iritasi dan lesi cutaneus seperti luka pada kulit (luka terpotong, abrasions, donor sites, luka bedah atau operasi), untuk pengobatan ulkus kulit, luka bakar derajat I dan II</t>
  </si>
  <si>
    <t>Cream 15 G X 1, Gauze Pads 10X10</t>
  </si>
  <si>
    <t>Tidak boleh diberikan pada pasien yang hipersensitif terhadap asam hyaluronat dan bahan lain yang terkandung di dalamnya</t>
  </si>
  <si>
    <t>sebagai dressing mengatasi iritasi lesi cutaneus luka kulit luka terpotong , abrasion , donor site , luka bedah operasi , pengobatan ulkus kulit , luka bakar derajat i ii</t>
  </si>
  <si>
    <t>bionect cream</t>
  </si>
  <si>
    <t>bionect cream krim sulfadiazine silver sebagai dressing mengatasi iritasi lesi cutaneus luka kulit luka terpotong  abrasion  donor site  luka bedah operasi  pengobatan ulkus kulit  luka bakar derajat i ii</t>
  </si>
  <si>
    <t>succus liquiritiae paracetamol ammonium chloride ephedrine hydrochloride chlorphenamine maleate</t>
  </si>
  <si>
    <t>obh combi plus batuk flu menthol sirup succus liquiritiae paracetamol ammonium chloride ephedrine hydrochloride chlorphenamine maleate meredakan batuk disertai gejala  gejala flu demam  sakit kepala  hidung tersumbat bersin  bersin</t>
  </si>
  <si>
    <t>DBL7814705910A1</t>
  </si>
  <si>
    <t>Gastran 325 mg 4 Tablet</t>
  </si>
  <si>
    <t>Rp2.500 - Rp4.000</t>
  </si>
  <si>
    <t>Diberikan sebelum makan atau 1 jam sesudah makan</t>
  </si>
  <si>
    <t>Tukak peptik dan gastritis: tiap 4 jam 2-4 tablet</t>
  </si>
  <si>
    <t>DKL0433204317A1</t>
  </si>
  <si>
    <t>Fordin 150 mg 10 Tablet</t>
  </si>
  <si>
    <t>Rp56.200 - Rp64.000</t>
  </si>
  <si>
    <t>PENGGUNAAN OBAT INI HARUS SESUAI DENGAN PETUNJUK DOKTER. Untuk tukak duodenum aktif : 150 mg 2 kali/hari (pagi dan Malam) atau 300 mg 1 kali/hari sesudah makaan malam atau menjelang tidur, diberikan selama 4-8 minggu. Untuk tukak lambung aktif : 150 mg 2 kali/hari selama 2 minggu. Untuk pemeliharaan tuk</t>
  </si>
  <si>
    <t>Terapi jangka pendek tukak usus 12 jari, tukak lambung aktif. Meredakan gejala refluks esofagitis. Pemeliharaan tukak usus 12 jari dan lambung. Pengobatan hipersekresi patologis seperti Zollinger-Ellison</t>
  </si>
  <si>
    <t>Obat Wajib Apotek, Obat ini dapat dibeli dan diserahkan apoteker tanpa resep dengan maksimum 1 Strip. Pembelian melebihi batas ini WAJIB RESEP DOKTER. Pasien dengan riwayat porfiria akut, Disfungsi ginjal dan hati, hamil dan laktasi, anak</t>
  </si>
  <si>
    <t>terapi jangka pendek tukak usus 12 jari , tukak lambung aktif  meredakan gejala refluks esofagitis  pemeliharaan tukak usus 12 jari lambung  pengobatan hipersekresi patologis zollinger - ellison</t>
  </si>
  <si>
    <t>fordin</t>
  </si>
  <si>
    <t>fordin tablet ranitidine hydrochloride terapi jangka pendek tukak usus 12 jari  tukak lambung aktif  meredakan gejala refluks esofagitis  pemeliharaan tukak usus 12 jari lambung  pengobatan hipersekresi patologis zollinger  ellison</t>
  </si>
  <si>
    <t>DKL1118825017A1</t>
  </si>
  <si>
    <t>Clamixin 6 Tablet</t>
  </si>
  <si>
    <t>Dewasa: - Infeksi ringan s/d sedang : 500/125 mg, 2 atau 3 x/hari - Infeksi berat : 1-2 x 500/125 mg, 3 x/hari Anak kurang dari 12 tahun: - Infeksi kulit &amp; jaringan lunak &amp; tonsilitis rekuren : 20/5-40/10 mg/kg BB/hari - Otitis media, sinusitis, infeksi saluran napas bawah, &amp; ISK : 40/10-60/15 mg/kg BB/hari. Dosis harus diberikan 3 x/hari</t>
  </si>
  <si>
    <t>INFORMASI OBAT INI HANYA UNTUK KALANGAN MEDIS. - Infeksi saluran napas atas &amp; bawah - Infeksi saluran kemih &amp; kelamin - Infeksi kulit &amp; jaringan lunak - Infeksi tulang &amp; sendi, serta infeksi lainnya seperti abortus septik, sepsis intra abdominal.</t>
  </si>
  <si>
    <t>HARUS DENGAN RESEP DOKTER. Hati-hati pada penderita yang memiliki fungsi hati dan ginjal yang rusak terutama pada pemakaian obat dalam jangka waktu panjang. Hentikan pemakaian jika terjadi super infeksi yang biasanya terjadi pada saluran pencernaan (umumnya disebabkan Enterobacter, Pseudomonas, S.aureus Candida). Hati-hati pada pasien dengan mononukleosis. Penggunaan antibiotik bukan untuk mengobati penyakit infeksi yang disebabkan oleh virus. Jangan menghentikan pengobatan sebelum dosis dan durasi yang disarankan habis untuk menghindari terjadinya resistensi. Untuk pasien dengan fungsi ginjal yang buruk, monitor kadar obat dalam plasma dan urine harus dilakukan.</t>
  </si>
  <si>
    <t>- infeksi saluran napa - infeksi saluran kemih kelamin - infeksi kulit jaringan lunak - infeksi tulang sendi , infeksi abortus septik , sepsis intra abdominal</t>
  </si>
  <si>
    <t>clamixin tablet amoxicillin trihydrate potassium clavulanate with microcrystalline cellulose  infeksi saluran napa  infeksi saluran kemih kelamin  infeksi kulit jaringan lunak  infeksi tulang sendi  infeksi abortus septik  sepsis intra abdominal</t>
  </si>
  <si>
    <t>DKL9322213529A1</t>
  </si>
  <si>
    <t>Sagestam 0.1% Cream 10 g</t>
  </si>
  <si>
    <t>Rp19.100 - Rp23.700</t>
  </si>
  <si>
    <t>PENGGUNAAN OBAT INI HARUS SESUAI DENGAN PETUNJUK DOKTER. Oleskan 3-4 kali sehari. Pada impetigo contagiosa, krusta harus dibuang sebelum Sagestam dioleskan.</t>
  </si>
  <si>
    <t>INFORMASI OBAT INI HANYA UNTUK KALANGAN MEDIS. Infeksi kulit primer seperti folikulitis superfisial, furunkulosis, impetigo kontagiosa, pioderma gangrenosa. Infeksi kulit sekunder seperti dermatitis eksematus infeksiosa, akne pustular, psoriasis pustular, dermatitis seboroik terinfeksi, dermatitis kontak.</t>
  </si>
  <si>
    <t>HARUS DENGAN RESEP DOKTER. Jika terjadi iritasi pengobatan harus segera dihentikan. Tidak dianjurkan penggunaan secara terus menerus karena dapat menyebabkan resistensi. Hindari kontak dengan mata. Hati-hati penggunaan pada wanita hamil dan menyusui.</t>
  </si>
  <si>
    <t>infeksi kulit primer folikulitis superfisial , furunkulosis , impetigo kontagiosa , pioderma gangrenosa  infeksi kulit sekunder dermatitis eksematus infeksiosa , akne pustular , psoriasis pustular , dermatitis seboroik terinfeksi , dermatitis kontak</t>
  </si>
  <si>
    <t>sagestam cream</t>
  </si>
  <si>
    <t>sagestam cream krim gentamicin infeksi kulit primer folikulitis superfisial  furunkulosis  impetigo kontagiosa  pioderma gangrenosa  infeksi kulit sekunder dermatitis eksematus infeksiosa  akne pustular  psoriasis pustular  dermatitis seboroik terinfeksi  dermatitis kontak</t>
  </si>
  <si>
    <t>Rohto C-Cube Eye Drops 8 ml</t>
  </si>
  <si>
    <t>Teteskan 1-2 tetes Rohto C Cube pada masing-masing mata. Gunakan 5 sampai 6 kali per hari.</t>
  </si>
  <si>
    <t>Melumasi mata kering akibat penggunaan berbagai lensa kontak (soft lens, hard lens, disposable, atau rigid gas permeable lens, Melembabkan dan membuat mata kembali nyaman, Dapat digunakan langsung tanpa harus membuka lensa kontak</t>
  </si>
  <si>
    <t>Cube 8 ml, Drops</t>
  </si>
  <si>
    <t>melumasi mata kering akibat penggunaan lensa kontak soft lens , hard lens , disposable , rigid gas permeable lens , melembabkan mata nyaman , dapat langsung membuka lensa kontak</t>
  </si>
  <si>
    <t>rohto ccube eye</t>
  </si>
  <si>
    <t>rohto ccube eye tetes ofloxacin melumasi mata kering akibat penggunaan lensa kontak soft lens  hard lens  disposable  rigid gas permeable lens  melembabkan mata nyaman  dapat langsung membuka lensa kontak</t>
  </si>
  <si>
    <t>simethicone aluminium hydroxide gel magnesium hydroxide paste</t>
  </si>
  <si>
    <t>polysilane suspensi simethicone aluminium hydroxide gel magnesium hydroxide paste mengurangi gejala berhubungan kelebihan asam lambung  gastritis  tukak lambung  gejala mual  nyeri lambung  nyeri ulu hati  kembung  perasaan penuh lambung</t>
  </si>
  <si>
    <t>DKL9321614310B1</t>
  </si>
  <si>
    <t>Clinovir 400 mg 10 Tablet</t>
  </si>
  <si>
    <t>Rp113.500 - Rp113.600</t>
  </si>
  <si>
    <t>PENGGUNAAN OBAT INI HARUS SESUAI DENGAN PETUNJUK DOKTER. Dioles 5 x sehari</t>
  </si>
  <si>
    <t>Infeksi virus Herpes Simplex pada kulit dan membran mukosa termasuk Herpes Genital awal &amp; berulang, Herpes Zoster. Pencegahan/supresi kekambuhan infeksi Herpes Simplex pada pasien dengan daya tahan tubuh yang baik (immunocompetent). Profilaksis infeksi He</t>
  </si>
  <si>
    <t>Strip Isi 10</t>
  </si>
  <si>
    <t>HARUS DENGAN RESEP DOKTER. Hipersensitifitas</t>
  </si>
  <si>
    <t>infeksi virus herpes simplex kulit membran mukosa herpes genital berulang , herpes zoster  pencegahan supresi kekambuhan infeksi herpes simplex pasien daya tahan tubuh immunocompetent  profilaksis infeksi he</t>
  </si>
  <si>
    <t>clinovir</t>
  </si>
  <si>
    <t>clinovir tablet aciclovir infeksi virus herpes simplex kulit membran mukosa herpes genital berulang  herpes zoster  pencegahan supresi kekambuhan infeksi herpes simplex pasien daya tahan tubuh immunocompetent  profilaksis infeksi he</t>
  </si>
  <si>
    <t>Brand's Essence Of Chicken With Cordyceps 70 g 6 Botol</t>
  </si>
  <si>
    <t>Rp102.500 - Rp213.800</t>
  </si>
  <si>
    <t>Untuk membantu memelihara kesehatan terutama bagi kesehatan saluran nafas, paru-paru, dan fungsi ginjal.</t>
  </si>
  <si>
    <t>untuk membantu memelihara kesehatan kesehatan saluran nafas , paru - paru , fungsi ginjal</t>
  </si>
  <si>
    <t>brands essence of chicken with cordyceps botol</t>
  </si>
  <si>
    <t>brands essence of chicken with cordyceps botol  brands essence of chicken with cordyceps brands saripati ayam dengan cordycep untuk membantu memelihara kesehatan kesehatan saluran nafas  paru  paru  fungsi ginjal</t>
  </si>
  <si>
    <t>DBL1441200233A1</t>
  </si>
  <si>
    <t>Mylanta Sirup 50 ml</t>
  </si>
  <si>
    <t>Dikonsumsi 1 jam sebelum makan atau 2 jam sesudah makan dan menjelang tidur.</t>
  </si>
  <si>
    <t>Dewasa : 1-2 sendok takar (5-10 mL) 3-4 kali sehari. Anak-anak (6 - 12 tahun) : 1/2 - 1 sendok takar (2.5 - 5 mL), sebanyak 3-4 kali sehari.</t>
  </si>
  <si>
    <t>Obat ini digunakan untuk mengurangi gejala-gejala yang berhubungan dengan kelebihan asam lambung, gastritis, tukak lambung, tukak usus 12 jari, dengan gejala-gejala seperti mual, nyeri lambung, nyeri ulu hati.</t>
  </si>
  <si>
    <t>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t>
  </si>
  <si>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</si>
  <si>
    <t>obat mengurangi gejala - gejala berhubungan kelebihan asam lambung , gastritis , tukak lambung , tukak usus 12 jari , gejala - gejala mual , nyeri lambung , nyeri ulu hati</t>
  </si>
  <si>
    <t>mylanta suspensi dried aluminium hydroxide gel obat mengurangi gejala  gejala berhubungan kelebihan asam lambung  gastritis  tukak lambung  tukak usus 12 jari  gejala  gejala mual  nyeri lambung  nyeri ulu hati</t>
  </si>
  <si>
    <t>DBL8918805733B1</t>
  </si>
  <si>
    <t>Magtral Forte Sirup 120 ml</t>
  </si>
  <si>
    <t>Rp56.900 - Rp62.600</t>
  </si>
  <si>
    <t>Diminum 1 jam sebelum makan atau 2 jam setelah makan</t>
  </si>
  <si>
    <t>Dewasa : 1-2 sendok takar (5-10 ml), 3-4 kali sehari Anak-anak 6-12 tahun 0.5 -1 sendok takar(2.5 ml-5 ml), 3-4 kali sehari</t>
  </si>
  <si>
    <t>Untuk mengobati gangguan pada saluran pencernaan seperti gastritis, perut kembung, maag, dispepsia, hiatus hernia, tukak lambung dan usus duabelas jari, kepenuhan, dan ketidaknyamanan akibat adanya kelebihan gas pada saluran pencernaan</t>
  </si>
  <si>
    <t>Insufisiensi renal, diet rendah fosfat, terapi jangka panjang.</t>
  </si>
  <si>
    <t>untuk mengobati gangguan saluran pencernaan gastritis , perut kembung , maag , dispepsia , hiatus hernia , tukak lambung usus duabelas jari , kepenuhan , ketidaknyamanan akibat kelebihan gas saluran pencernaan</t>
  </si>
  <si>
    <t>magtral forte</t>
  </si>
  <si>
    <t>magtral forte suspensi aluminium hydroxide untuk mengobati gangguan saluran pencernaan gastritis  perut kembung  maag  dispepsia  hiatus hernia  tukak lambung usus duabelas jari  kepenuhan  ketidaknyama akibat kelebihan gas saluran pencernaan</t>
  </si>
  <si>
    <t>DKL9933301517A1</t>
  </si>
  <si>
    <t>Rancus 150 mg 10 Tablet</t>
  </si>
  <si>
    <t>Rp4.400 - Rp7.200</t>
  </si>
  <si>
    <t>Sakit maag, Tukak/Ulkus Lambung &amp; ulkus/tukak Lambung paska tindakan, Tukak/Ulkus akibat obat2 NSAID/AINS, Ulkus/tukak usus halus, Zollinger Ellison syndrome, Pencegahan ulkus stress</t>
  </si>
  <si>
    <t>Obat Wajib Apotek, Obat ini dapat dibeli dan diserahkan apoteker tanpa resep dengan maksimum 1 Strip. Pembelian melebihi batas ini WAJIB RESEP DOKTER. Dpt menutupi gejala yang berhubungan dengan karsinoma lambung. Hati-hati pada gangguan ginjal berat, hamil, laktasi.</t>
  </si>
  <si>
    <t>sakit maag , tukak ulkus lambung ulkus tukak lambung paska tindakan , tukak ulkus akibat obat2 nsaid ains , ulkus tukak usus halus , zollinger ellison syndrome , pencegahan ulkus stress</t>
  </si>
  <si>
    <t>rancus</t>
  </si>
  <si>
    <t>rancus tablet ranitidine sakit maag  tukak ulkus lambung ulkus tukak lambung paska tindakan  tukak ulkus akibat obat2 nsaid ains  ulkus tukak usus halus  zollinger ellison syndrome  pencegahan ulkus stress</t>
  </si>
  <si>
    <t>DKL2124231163A1</t>
  </si>
  <si>
    <t>Boost D 5000 IU 10 Tablet</t>
  </si>
  <si>
    <t>- KOMBINASI-DRY VITAMIN D3 100 CWS</t>
  </si>
  <si>
    <t>Minum obat ini sesuai anjuran dokter Anda. Konsultasikan kepada dokter atau apoteker Anda jika Anda merasa tidak yakin.</t>
  </si>
  <si>
    <t>Dewasa dan anak diatas 12 tahun: 1 tablet kunyah, 1 kali sehari. Dosis harus disesuaikan berdasarkan kadar serum 25-hydroxycholecalciferol (25(OH)D) dan tidak melebihi 5000 IU/hari.</t>
  </si>
  <si>
    <t>Untuk meningkatkan kadar serum 25(OH)D dalam darah pada pasien dengan kekurangan vitamin D (kadar serum 25(OH)D &lt;30 ng/mL)</t>
  </si>
  <si>
    <t>Penderita dengan hipersensitivitas dengan vitamin D dan analognya atau dengan komponen lain dalam formula, hiperkalsimea dan/atau hiperkalsiuria, kalsium nefrolitiasis, nefrokalsinosis, hipervitaminosis D, kerusakan ginjal berat dan gagal ginjal</t>
  </si>
  <si>
    <t>Cholecalciferol harus digunakan hati-hati pada pasien dengan gangguan fungsi ginjal dan diperlukan pemantauan terhadap kadar kalsium dan fosfat dalam serum. Risiko kalsifikasi jaringan lunak harus diperhitungkan. Pada pasien dengan insufisiensi ginjal berat, vitamin D dalam bentuk Cholecalciferol tidak dimetabolisme secara normal dan bentuk lain dari vitamin D harus digunakan. Cholecalciferol tidak boleh dikonsumsi oleh pasien dengan kecenderungan untuk membentuk batu ginjal yang mengandung kalsium. Perhatian diperlukan pada pasien yang menerima pengobatan untuk penyakit kardiovaskular, seperti glikosida jantung. Adanya risiko hipokalsimea pada pasien yang mengalami toksisitas digitalis. Cholecalciferol dosis tinggi harus diresepkan dengan hati-hati untuk pasien yang menderita sarkoidosis karena risiko peningkatan metabolisme vitamin D ke bentuk aktifnya. Pasien-pasien ini harus dimonitor sehubungan dengan kandungan kalsium dalam serum dan urin. Kebutuhan akan suplementasi kalsium tambahan harus dipertimbangkan untuk masing-masing pasien. Suplemen kalsium harus diberikan dibawah pengawasan medis yang ketat. Pengawasan medis diperlukan saat pengobatan untuk mencegah hiperkalsimia. Penggunaan sediaan vitamin D pada pengobatan hipertiroid yang berhubungan dengan penyakit kardiovaskular tidak direkomendasikan karena dapat menyebabkan kegagalan ginjal.</t>
  </si>
  <si>
    <t>kombinasi-dry vitamin d3 100 cws</t>
  </si>
  <si>
    <t>untuk meningkatkan kadar serum 25 oh d darah pasien kekurangan vitamin d kadar serum 25 oh d 30 ng ml</t>
  </si>
  <si>
    <t>boost d iu</t>
  </si>
  <si>
    <t>boost d iu tablet kombinasidry vitamin d3 100 cws untuk meningkatkan kadar serum 25 oh d darah pasien kekurangan vitamin d kadar serum 25 oh d 30 ng ml</t>
  </si>
  <si>
    <t>DKL0332708910A1</t>
  </si>
  <si>
    <t>Yaridon 10 mg 10 Tablet</t>
  </si>
  <si>
    <t>Rp41.900 - Rp45.600</t>
  </si>
  <si>
    <t>PENGGUNAAN OBAT INI HARUS SESUAI DENGAN PETUNJUK DOKTER. Dewasa dan usia lanjut: Untuk dispepsia fungsional : 10-20 mg 3 kali/hari dan 10-20 mg sebelum tidur selama maksimal 12 minggu. Untuk mual dan muntah : Dewasa dan usia lanjut : 10-20 mg tiap 4-8 jam. Anak : 0.2-0.4 mg/kg berat badan/hari tiap 4-8 jam.</t>
  </si>
  <si>
    <t>Mual dan muntah akut, tidak untuk mual atau muntah pasca operasi. Mual dan muntah akibat penggunaal levodopa dan bromokriptin selama &gt; 12 minggu. Terapi simtomatik dispepsia fungsional. Mual dan muntah pada Anak akibat kemoterapi dan radioterapi.</t>
  </si>
  <si>
    <t>Prolaktinoma.Anak ( kecuali mual dan muntah pada kemoterapi dan radioterapi kanker).</t>
  </si>
  <si>
    <t>mual muntah akut , tidak mual muntah pasca operasi  mual muntah akibat penggunaal levodopa bromokriptin 12 minggu  terapi simtomatik dispepsia fungsional  mual muntah anak akibat kemoterapi radioterapi</t>
  </si>
  <si>
    <t>yaridon</t>
  </si>
  <si>
    <t>yaridon tablet domperidone mual muntah akut  tidak mual muntah pasca operasi  mual muntah akibat penggunaal levodopa bromokriptin 12 minggu  terapi simtomatik dispepsia fungsional  mual muntah anak akibat kemoterapi radioterapi</t>
  </si>
  <si>
    <t>obh combi plus batuk flu menthol sirup paracetamol ammonium chloride pseudoephedrine hydrochloride chlorphenamine maleate succus liquiritiae meredakan batuk disertai gejala  gejala flu demam  sakit kepala  hidung tersumbat bersin  bersin</t>
  </si>
  <si>
    <t>enbatic kulit salep bacitracin zinc neomycin sulfate untuk infeksi kulit disebabkan bakteri gram positif gram negatif peka neomycin bacitracin  luka bakar  luka tindakan operasi  anak  anak omfalitis  pioderma  folikulitis</t>
  </si>
  <si>
    <t>obh combi batuk plus flu jahe sirup succus liquiritiae ammonium chloride paracetamol ephedrine hydrochloride chlorphenamine maleate meredakan batuk disertai gejala  gejala flu demam  sakit kepala  hidung tersumbat bersin  bersin</t>
  </si>
  <si>
    <t>GKL1615718915A1</t>
  </si>
  <si>
    <t>Esomeprazole 20 mg 10 Tablet</t>
  </si>
  <si>
    <t>Rp109.100 - Rp120.000</t>
  </si>
  <si>
    <t>Dikonsumsi saat perut kosong (1 jam sebelum makan). Telan seluruh tablet atau dilarutkan dalam air.</t>
  </si>
  <si>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</si>
  <si>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</si>
  <si>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</si>
  <si>
    <t>mengobati gastroesophageal reflux disease gerd esofagitis peradangan lapisan kerongkongan simptom refluks berat pasien tukak lambung ulkus peptik disebabkan h  pylori terapi kombinasi diakibatkan konsumsi oains</t>
  </si>
  <si>
    <t>esomeprazole</t>
  </si>
  <si>
    <t>esomeprazole tablet esomeprazole magnesium mengobati gastroesophageal reflux disease gerd esofagitis peradangan lapisan kerongkongan simptom refluks berat pasien tukak lambung ulkus peptik disebabkan h  pylori terapi kombinasi diakibatkan konsumsi oains</t>
  </si>
  <si>
    <t>Mylanta Sirup 150 ml</t>
  </si>
  <si>
    <t>Rp43.600 - Rp56.100</t>
  </si>
  <si>
    <t>Dikonsumsi 1 jam sebelum makan atau 2 jam sesudah makan dan menjelang tidur. Kocok sebelum diminum.</t>
  </si>
  <si>
    <t>Dewasa : 1-2 sendok takar (5-10 mL) 3-4 kali sehari. Anak-anak (6-12 tahun) :1/2-1 sendok takar (2.5-5 mL), sebanyak 3-4 kali sehari.</t>
  </si>
  <si>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 Hamil &amp; laktasi. Penderita gangguan ginjal.</t>
  </si>
  <si>
    <t>Innovair Inhalation Solution</t>
  </si>
  <si>
    <t>Jika Anda menggunakan inhaler untuk pertama kalinya, atau inhaler Anda sudah lama tidak digunakan (lebih dari 14 hari), tekan 1 puff inhaler ke udara sebelum digunakan untuk memastikan inhaler Anda berfungsi dengan baik. Duduk atau berdiri tegak saat menggunakan inhaler. Kocok inhaler dengan baik sebelum menghirupsnya. Langsung tarik napas perlahan begitu Anda menekan inhaler. Tahan napas selama minimal 10 detik setelah menghirupnya. Tarik dan buang napas perlahan diantara setiap isapan. Setelah menggunakan inhaler, sebaikanya Anda membersihkan area mulut dengan berkumur menggunakan air atau menyikat gigi Anda. Cara membersihkan inhaler: Lepaskan bagian tutup dari mouthpiece, kemudian lap bagian dalam dan luar mouthpiece dengan kain bersih dan kering.</t>
  </si>
  <si>
    <t>PENGGUNAAN OBAT INI HARUS SESUAI DENGAN PETUNJUK DOKTER. Dewasa atau usia di atas 18 tahun 2 x sehari 1 atau 2 inhalasi. Dosis harian maks: 4 inhalasi. Atau sesuai anjuran dokter</t>
  </si>
  <si>
    <t>Terapi reguler untuk asma pada kondisi berikut ini: Asma tidak dapat dikendalikan oleh inhalasi kortikosteroid dan bronkodilator kerja pendek atau penderita asma yang memiliki respon baik terhadap terapi dengan kortikosteroid &amp; bronkodilator kerja panjang.</t>
  </si>
  <si>
    <t>Dus, 1 canister @ 120 actuations</t>
  </si>
  <si>
    <t>Pasien yang mengalami hipersensitif terhadap kandungan obat ini. Tidak digunakan pada asma akut.</t>
  </si>
  <si>
    <t>HARUS DENGAN RESEP DOKTER. Setelah digunakan : Simpan pada suhu di bawah 30 derajat C, umur simpan maksimal 2 bulan. Shelf-Life: 17 bulan. Hati2 penggunaan pada penderita hipertensi, Aritmia jantung terutama blok AV derajat 3, takiaritmia, penyakit jantung berat terutama infark miokard akut, penyakit jantung iskemik, gagal jantung kongestif, penyakit jantung oklusi terutama arterioskelrosis, Tirotoksisitas, Diabetes Mellitus, eokromositoma &amp; hipokalemia yang tidak diobati, TB Paru, infeksi jamur dan virus pada saluran napas, wanita hamil &amp; menyusui, anak dan remaja di bawah usia 18 tahun. Lakukan pemantauan Kalium serum pada penderita asma berat dan tidak stabil serta pantau kadar glukosa darah secara teratur. Hindari penghentian obat secara tiba-tiba.</t>
  </si>
  <si>
    <t>terapi reguler asma kondisi asma tidak dikendalikan inhalasi kortikosteroid bronkodilator kerja pendek penderita asma memiliki respon terapi kortikosteroid bronkodilator kerja</t>
  </si>
  <si>
    <t>innovair inhalation solution</t>
  </si>
  <si>
    <t>innovair inhalation solution inhaler formoterol fumarate dihydrate beclometasone dipropionate terapi reguler asma kondisi asma tidak dikendalikan inhalasi kortikosteroid bronkodilator kerja pendek penderita asma memiliki respon terapi kortikosteroid bronkodilator kerja</t>
  </si>
  <si>
    <t>DBL8512421163A1</t>
  </si>
  <si>
    <t>Magasida Chewable 10 Tablet</t>
  </si>
  <si>
    <t>1-2 jam sesudah makan dan sebelum tidur.</t>
  </si>
  <si>
    <t>Dewasa: 1-2 tablet , 3-4 kali sehari, 1-2 jam sesudah makan dan sebelum tidur. Anak-anak 6-12 tahun: 3-4 kali sehari, 1-2 jam sesudah makan dan sebelum tidur.</t>
  </si>
  <si>
    <t>Mengurangi gejala-gejala yang berhubungan dengan kelebihan asam lambung, gastristis, tukak lambung, tukak usus dua belas jari seperti mual, nyeri lambung, nyeri ulu hati, kembung dan perasaan penuh pada lambung</t>
  </si>
  <si>
    <t>Dus, 10 catch cover @ 1 Strip @ 10 Tablet kunyah</t>
  </si>
  <si>
    <t>mengurangi gejala - gejala berhubungan kelebihan asam lambung , gastristis , tukak lambung , tukak usus belas jari mual , nyeri lambung , nyeri ulu hati , kembung perasaan penuh lambung</t>
  </si>
  <si>
    <t>magasida chewable</t>
  </si>
  <si>
    <t>magasida chewable tablet aluminium hydroxide mengurangi gejala  gejala berhubungan kelebihan asam lambung  gastristis  tukak lambung  tukak usus belas jari mual  nyeri lambung  nyeri ulu hati  kembung perasaan penuh lambung</t>
  </si>
  <si>
    <t>obh combi batuk plus flu jahe sirup succus liquiritiae paracetamol ammonium chloride pseudoephedrine hydrochloride chlorphenamine maleate meredakan batuk disertai gejala  gejala flu demam  sakit kepala  hidung tersumbat bersin  bersin</t>
  </si>
  <si>
    <t>DKL1009221404A1</t>
  </si>
  <si>
    <t>Ziloven 4 mg Kaplet</t>
  </si>
  <si>
    <t>4-48 mg/hari, tergantung dr jenis penyakitnya.</t>
  </si>
  <si>
    <t>Terapi untuk gangguan endokrin, reumatik, hematologi</t>
  </si>
  <si>
    <t>DTL7219802210A1</t>
  </si>
  <si>
    <t>Combantrin 125 mg 4 Tablet</t>
  </si>
  <si>
    <t>Rp18.000 - Rp21.700</t>
  </si>
  <si>
    <t>Anak usia 2-6 tahun: 1-2 tablet, diberikan sekali. Anak usia 6-12 tahun: 2-3 tablet, diberikan sekali. Di atas usia 12 tahun: 3-4 tablet, diberikan sekali.</t>
  </si>
  <si>
    <t>Obat cacing yang digunakan untuk mengatasi infeksi cacing kremi (enterobius vermicularis), cacing gelang (ascaris lumbricoides), cacing tambang (ancylostoma duodenale), cacing tambang (necator americanus), cacing trichostrongylus colubriformis dan trichostrongylus orientalis.</t>
  </si>
  <si>
    <t>Dus, 25 Catch Cover @ 1 Blister @ 4 Tablet</t>
  </si>
  <si>
    <t>Penderita hipersensitif</t>
  </si>
  <si>
    <t>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</si>
  <si>
    <t>obat cacing mengatasi infeksi cacing kremi enterobius vermicularis , cacing gelang ascaris lumbricoides , cacing tambang ancylostoma duodenale , cacing tambang necator americanus , cacing trichostrongylus colubriformis trichostrongylus orientalis</t>
  </si>
  <si>
    <t>combantrin</t>
  </si>
  <si>
    <t>combantrin tablet pyrantel pamoate obat cacing mengatasi infeksi cacing kremi enterobius vermicularis  cacing gelang ascaris lumbricoides  cacing tambang ancylostoma duodenale  cacing tambang necator americanus  cacing trichostrongylus colubriformis trichostrongylus orientalis</t>
  </si>
  <si>
    <t>DKL1633535615B1</t>
  </si>
  <si>
    <t>S-Omevell 40 mg 10 Tablet</t>
  </si>
  <si>
    <t>Rp226.300 - Rp248.900</t>
  </si>
  <si>
    <t>somevell tablet esomeprazole magnesium mengobati gastroesophageal reflux disease gerd esofagitis peradangan lapisan kerongkongan simptom refluks berat pasien tukak lambung ulkus peptik disebabkan h  pylori terapi kombinasi diakibatkan konsumsi oains</t>
  </si>
  <si>
    <t>DKL9421000904C1</t>
  </si>
  <si>
    <t>Cotrim Forte 10 Kaplet</t>
  </si>
  <si>
    <t>PENGGUNAAN OBAT INI HARUS SESUAI DENGAN PETUNJUK DOKTER. 2 x sehari 1-2 tablet</t>
  </si>
  <si>
    <t>INFORMASI OBAT INI HANYA UNTUK KALANGAN MEDIS. Infeksi saluran nafas, saluran kemih, saluran pencernaan dan infeksi lainnya seperti pada penyakit Eksaserbasi akut bronkitis kronis, Infeksi saluran kemih akut tanpa komplikasi, Pneumocystis (carinii) jirovecii pneumonia, Otitis media akut</t>
  </si>
  <si>
    <t>Hipersensitifitas. Riwayat trombositopenia imun akibat obat dengan penggunaan sulfonamid atau trimetoprim</t>
  </si>
  <si>
    <t>GKL1615718915B1</t>
  </si>
  <si>
    <t>Esomeprazole 40 mg 10 Tablet</t>
  </si>
  <si>
    <t>Rp140.000 - Rp142.300</t>
  </si>
  <si>
    <t>lexapram sirup metoclopramide hydrochloride monohydrate untuk mengontrol mengurangi mual muntah diikuti kondisi ketidaktaha tehadap obat  obat merangsang menyebabkan muntah cytotoxic agents  mual disebabkan radiasi penyakit ganas muntah selesai operasi</t>
  </si>
  <si>
    <t>QD211724981</t>
  </si>
  <si>
    <t>Mediflex Plus Cream 75 g</t>
  </si>
  <si>
    <t>Rp191.900 - Rp211.000</t>
  </si>
  <si>
    <t>Bersihkan daerah yang akan dioleskan dengan mencuci/membilasnya. Keringkan kulit sebelum pengolesan. Oleskan krim pada daerah sendi yang nyeri sambal dipihat secara lembut sampai krim menghilang.</t>
  </si>
  <si>
    <t>Oleskan krim Mediflex Plus sebanyak 2 gram (2,5 cm) pada sendi yang sakit, 1-2 kali sehari.</t>
  </si>
  <si>
    <t>Membantu mengurangi rasa nyeri sendi dan nyeri otot seperti sakit pinggang, nyeri leher, nyeri bahu, nyeri lutut, nyeri kaki dan nyeri pada pergelangan tangan serta jari-jari tangan.</t>
  </si>
  <si>
    <t>Tube @ 75 g</t>
  </si>
  <si>
    <t>Krim Mediflex Plus tidak boleh diberikan pada pasien dengan riwayat hipersensitivitas terhadap glucosamine, camphor dan metil salisilat. Jangan dioleskan pada daerah yang sedang mengalami iritasi/luka</t>
  </si>
  <si>
    <t>Hati-hati pada bila diberikan pada penderita diabetes melitus karena dapat meningkatkan resistensi insulin. Hati-hati jika digunakan pada penderita yang alergi terhadap seafood. Hindari pengoleskan krim pada kulit yang terluka, dekat mata atau membrane mukosa. Setelah pengolesan pada kulit : jangan gunakan bantalan pemanas atau alat pemanas lain, jangan ditutup dengan perban yang ketat karena dapat menyebabkan iritasi atau kerusakan kulit. Tidak digunakan untuk anak dibawah 2 tahun. Jangan digunakan langsung di bawah lubang hidung</t>
  </si>
  <si>
    <t>camphor  usp synthetic</t>
  </si>
  <si>
    <t>membantu mengurangi nyeri sendi nyeri otot sakit pinggang , nyeri leher , nyeri bahu , nyeri lutut , nyeri kaki nyeri pergelangan tangan jari - jari tangan</t>
  </si>
  <si>
    <t>mediflex plus cream</t>
  </si>
  <si>
    <t>mediflex plus cream krim camphor  usp synthetic membantu mengurangi nyeri sendi nyeri otot sakit pinggang  nyeri leher  nyeri bahu  nyeri lutut  nyeri kaki nyeri pergelangan tangan jari  jari tangan</t>
  </si>
  <si>
    <t>DKI1057505217A1</t>
  </si>
  <si>
    <t>Bonviva 150 mg Tablet</t>
  </si>
  <si>
    <t>Pagi hari saat perut kosong, setelah puasa tengah malam selama minimum 6 jam &amp; minimum 1 jam sebelum masuknya makanan/minuman/obat2an di pagi hari. Diminum dengan segelas penuh air murni dan setelahnya harus pertahankan posisi duduk tegak selama minimum 1</t>
  </si>
  <si>
    <t>PENGGUNAAN OBAT INI HARUS SESUAI DENGAN PETUNJUK DOKTER. 1 x sebulan 1 tablet salut, pada tanggal yang sama setiap bulannya.</t>
  </si>
  <si>
    <t>Terapi osteoporosis pada wanita paska menopause untuk mengurangi resiko patah tulang punggung/belakang. (Osteoporosis dapat dikonfirmasikan dengan parameter Massa Tulang Rendah &lt;= 2 SD dengan riwayat fraktur osteoporotik atau parameter Massa Tulang Rendah</t>
  </si>
  <si>
    <t>Dus, 1 Blister @ 3 Tablet Salut Selaput</t>
  </si>
  <si>
    <t>Hipokalsemia. Anak dan remaja. Hamil, laktasi.</t>
  </si>
  <si>
    <t>HARUS DENGAN RESEP DOKTER. Punya riwayat perpanjangan waktu transit makanan di esofagus, bersihan kreatinin &lt;30 mL/menit.</t>
  </si>
  <si>
    <t>ibandronic acid</t>
  </si>
  <si>
    <t>terapi osteoporosis wanita paska menopause mengurangi resiko patah tulang punggung  osteoporosis dikonfirmasikan parameter massa tulang rendah 2 sd riwayat fraktur osteoporotik parameter massa tulang rendah</t>
  </si>
  <si>
    <t>bonviva</t>
  </si>
  <si>
    <t>bonviva tablet ibandronic acid terapi osteoporosis wanita paska menopause mengurangi resiko patah tulang punggung  osteoporosis dikonfirmasikan parameter massa tulang rendah 2 sd riwayat fraktur osteoporotik parameter massa tulang rendah</t>
  </si>
  <si>
    <t>DTL7219802210B1</t>
  </si>
  <si>
    <t>Combantrin 250 mg 2 Tablet</t>
  </si>
  <si>
    <t>Anak usia 2-6 tahun: 0.5-1 tablet, diberikan sekali. Anak usia 6-12 tahun: 1-1.5 tablet, diberikan sekali. Di atas usia 12 tahun: 1.5-2 tablet, diberikan sekali.</t>
  </si>
  <si>
    <t>Dus, 25 Catch Cover @ 1 Blister @ 2 Tablet</t>
  </si>
  <si>
    <t>DTL8819801933A1</t>
  </si>
  <si>
    <t>Combantrin Jeruk Sirup 10 ml</t>
  </si>
  <si>
    <t>Anak usia 2-6 tahun: 5-10 ml, diberikan sekali. Anak usia 6-12 tahun: 10-15 ml, diberikan sekali. Di atas usia 12 tahun: 15-20 ml, diberikan sekali.</t>
  </si>
  <si>
    <t>combantrin jeruk</t>
  </si>
  <si>
    <t>combantrin jeruk suspensi pyrantel pamoate obat cacing mengatasi infeksi cacing kremi enterobius vermicularis  cacing gelang ascaris lumbricoides  cacing tambang ancylostoma duodenale  cacing tambang necator americanus  cacing trichostrongylus colubriformis trichostrongylus orientalis</t>
  </si>
  <si>
    <t>DBL1111641033A3</t>
  </si>
  <si>
    <t>Promag Suspensi 60 ml</t>
  </si>
  <si>
    <t>Rp12.000 - Rp14.600</t>
  </si>
  <si>
    <t>Kocok dahulu sebelum diminum. Dianjurkan untuk meminum obat ini segera pada saat timbul gejala dan dianjurkan 1-2 jam sebelum atau setelah makan dan sebelum tidur.</t>
  </si>
  <si>
    <t>Dewasa : 1-2 sendok takar (5-10 ml), 3-4 kali sehari. Anak usia 6-12 tahun : 1 sendok takar (5 ml), 3-4 kali sehari.</t>
  </si>
  <si>
    <t>Untuk mengurangi gejala yang berhubungan dengan kelebihan asam lambung, gastritis, tukak lambung, dan tukak usus 12 jari dengan gejala mual, kembung, nyeri lambung, nyeri ulu hati, dan rasa penuh pada lambung</t>
  </si>
  <si>
    <t>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</si>
  <si>
    <t>magnesium hydroxide hydrotalcite simethicone</t>
  </si>
  <si>
    <t>untuk mengurangi gejala berhubungan kelebihan asam lambung , gastritis , tukak lambung , tukak usus 12 jari gejala mual , kembung , nyeri lambung , nyeri ulu hati , penuh lambung</t>
  </si>
  <si>
    <t>promag suspensi magnesium hydroxide hydrotalcite simethicone untuk mengurangi gejala berhubungan kelebihan asam lambung  gastritis  tukak lambung  tukak usus 12 jari gejala mual  kembung  nyeri lambung  nyeri ulu hati  penuh lambung</t>
  </si>
  <si>
    <t>OBH Combi Plus Batuk Flu Madu Sirup 100 ml</t>
  </si>
  <si>
    <t>Rp22.900 - Rp25.500</t>
  </si>
  <si>
    <t>Dewasa dan anak diatas 12 tahun : 3 kali sehari, 3 sendok takar (15 ml).</t>
  </si>
  <si>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</si>
  <si>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obh combi plus batuk flu madu sirup ammonium chloride paracetamol chlorphenamine maleate ephedrine hydrochloride succus liquiritiae obat meredakan batuk disertai gejala  gejala flu demam  sakit kepala  hidung tersumbat  bersin  bersin</t>
  </si>
  <si>
    <t>FF172600731</t>
  </si>
  <si>
    <t>Stimuno Stick Pack Rasa Jeruk Beri 5 ml 5 Sachet</t>
  </si>
  <si>
    <t>Rp9.700 - Rp19.800</t>
  </si>
  <si>
    <t>Dus, 5 Stick pack @ 5 ml</t>
  </si>
  <si>
    <t>stimuno stick pack rasa jeruk beri</t>
  </si>
  <si>
    <t>stimuno stick pack rasa jeruk beri sachet stimuno rasa jeruk beri immunomodulator membantu memperbaiki sistem imun membantu merangsang tubuh memproduksi antibodi membantu mengaktifkan sistem kekebalan tubuh daya tahan tubuh optimal</t>
  </si>
  <si>
    <t>DKL1134609503A2</t>
  </si>
  <si>
    <t>OMZ 20 mg 6 Kapsul</t>
  </si>
  <si>
    <t>Rp96.700 - Rp108.500</t>
  </si>
  <si>
    <t>Obat Wajib Apotek, Obat ini dapat dibeli dan diserahkan apoteker tanpa resep dengan maksimum 1 Strip. Pembelian melebihi batas ini WAJIB RESEP DOKTER. Perhatian khusus pada Pasien dengan penurunan simpanan tubuh atau faktor risiko penurunan penyerapan vitamin B12</t>
  </si>
  <si>
    <t>Mangostana 88 80 Kapsul</t>
  </si>
  <si>
    <t>Rp30.000 - Rp70.200</t>
  </si>
  <si>
    <t>Meregenerasi sel-sel yang rusak, sebagai immunomodulator sehingga kekebalan tubuh dan stamina tubuh meningkat, membantu sel-sel yang sehat tidak cepat rusak, menghambat pertumbuhan bakteri penyebab diare, disentri, dan tifus.</t>
  </si>
  <si>
    <t>Botol Isi 80 Kapsul</t>
  </si>
  <si>
    <t>Jauhkan dari paparan sinar matahari secara terus menerus</t>
  </si>
  <si>
    <t>meregenerasi sel - sel rusak , immunomodulator kekebalan tubuh stamen tubuh meningkat , membantu sel - sel sehat tidak cepat rusak , menghambat pertumbuhan bakteri penyebab diare , disentri , tifus</t>
  </si>
  <si>
    <t>mangostana</t>
  </si>
  <si>
    <t>mangostana kapsul kapsul manggis mangostana 88 meregenerasi sel  sel rusak  immunomodulator kekebalan tubuh stamen tubuh meningkat  membantu sel  sel sehat tidak cepat rusak  menghambat pertumbuhan bakteri penyebab diare  disentri  tifus</t>
  </si>
  <si>
    <t>TR113328811</t>
  </si>
  <si>
    <t>Garcia 60 Kapsul</t>
  </si>
  <si>
    <t>GARCIA</t>
  </si>
  <si>
    <t>Rp100.600 - Rp162.800</t>
  </si>
  <si>
    <t>Membantu tubuh untuk menurunkan gula darah, kolesterol, tekanan darah, melindungi jantung, mencegah kebutaan, mencegah infeksi bakteri, virus dan jamur, menghambat kanker hati, kanker lambung dan kanker paru, dan melawan kanker payu dara</t>
  </si>
  <si>
    <t>garcia</t>
  </si>
  <si>
    <t>membantu tubuh menurunkan gula darah , kolesterol , tekanan darah , melindungi jantung , mencegah kebutaan , mencegah infeksi bakteri , virus jamur , menghambat kanker hati , kanker lambung kanker paru , melawan kanker payu dara</t>
  </si>
  <si>
    <t>garcia kapsul membantu tubuh menurunkan gula darah  kolesterol  teka darah  melindungi jantung  mencegah kebutaan  mencegah infeksi bakteri  virus jamur  menghambat kanker hati  kanker lambung kanker paru  melawan kanker payu dara</t>
  </si>
  <si>
    <t>sagestam cream krim gentamicin sulfate infeksi kulit primer folikulitis superfisial  furunkulosis  impetigo kontagiosa  pioderma gangrenosa  infeksi kulit sekunder dermatitis eksematus infeksiosa  akne pustular  psoriasis pustular  dermatitis seboroik terinfeksi  dermatitis kontak</t>
  </si>
  <si>
    <t>TR122563851</t>
  </si>
  <si>
    <t>Kunyit Asem Plus Fiber 12 g 5 Sachet</t>
  </si>
  <si>
    <t>KUNYIT ASAM PLUS FIBER</t>
  </si>
  <si>
    <t>Rp5.900 - Rp13.000</t>
  </si>
  <si>
    <t>Untuk menjaga kehalusan kulit, menghilangkan bau mulut dan bau badan serta baik untuk pencernaan. Kunyit bersifat anti oksidan untuk kulit dan bersifat anti radang, melindungi hati, dan baik untuk pencernaan.</t>
  </si>
  <si>
    <t>Penggunaan produk-produk yang mengandung serat harus disertai dengan banyak minum air putih (8-10 gelas serhari).</t>
  </si>
  <si>
    <t>kunyit asam plus fiber</t>
  </si>
  <si>
    <t>untuk menjaga kehalusan kulit , menghilangkan bau mulut bau badan pencernaan  kunyit bersifat anti oksidan kulit bersifat anti radang , melindungi hati , pencernaan</t>
  </si>
  <si>
    <t>kunyit asem plus fiber</t>
  </si>
  <si>
    <t>kunyit asem plus fiber sachet kunyit asam plus fiber untuk menjaga kehalusan kulit  menghilangkan bau mulut bau badan pencernaan  kunyit bersifat anti oksidan kulit bersifat anti radang  melindungi hati  pencernaan</t>
  </si>
  <si>
    <t>Polysilane Suspensi 100 ml</t>
  </si>
  <si>
    <t>Rp27.300 - Rp33.700</t>
  </si>
  <si>
    <t>Obat ini digunakan untuk mengurangi gejala yang berhubungan dengan kelebihan asam lambung, gastritis, tukak lambung, tukak usus 12 jari, dengan gejala-gejala seperti mual, nyeri lambung, nyeri ulu hati, kembung dan perasaan penuh pada lambung.</t>
  </si>
  <si>
    <t>Gangguan fungsi ginjal berat karena dapat menimbulkan hipermagnesia (kadar magnesium dalam darah meningkat).</t>
  </si>
  <si>
    <t>Jangan diberikan pada penderita gangguan fungsi ginjal yang berat. Tidak dianjurkan digunakan terus-menerus lebih dari 2 minggu. Bila menggunakan obat bersamaan dengan obat tukak lambung lain (simetidin) atau antibiotika tetrasiklin, harap diberikan dengan selang waktu 1-2 jam. Tidak dianjurkan untuk anak-anak di bawah 6 tahun. Hati-hati pemberian pada diet fosfor rendah dan pemakaian lama karena dapat mengurangi kadar fosfor dalam darah. Sedian suspensi sebaiknya hanya digunakan sampai 1minggu setelah dibuka tutup segel.</t>
  </si>
  <si>
    <t>obat mengurangi gejala berhubungan kelebihan asam lambung , gastritis , tukak lambung , tukak usus 12 jari , gejala - gejala mual , nyeri lambung , nyeri ulu hati , kembung perasaan penuh lambung</t>
  </si>
  <si>
    <t>polysilane suspensi aluminium hydroxide obat mengurangi gejala berhubungan kelebihan asam lambung  gastritis  tukak lambung  tukak usus 12 jari  gejala  gejala mual  nyeri lambung  nyeri ulu hati  kembung perasaan penuh lambung</t>
  </si>
  <si>
    <t>ammonium chloride succus liquiritiae ephedrine hydrochloride chlorphenamine maleate paracetamol</t>
  </si>
  <si>
    <t>obh nellco special pe anak strawberry sirup ammonium chloride succus liquiritiae ephedrine hydrochloride chlorphenamine maleate paracetamol untuk meringankan gejala  gejala flu demam  sakit kepala  hidung tersumbat bersin  bersin disertai batuk</t>
  </si>
  <si>
    <t>EUA2111646817A1</t>
  </si>
  <si>
    <t>Favikal 200 mg 10 Tablet</t>
  </si>
  <si>
    <t>Dikonsumsi secara oral (melalui mulut), sebelum atau sesudah makan</t>
  </si>
  <si>
    <t>Hari-1 : 2 x 1600 mg/hari Hari-2 dst : 2 x 600 mg/hari Durasi pengobatan: 7-14 hari (maksimal 14 hari), berdasarkan pertimbangan klinis oleh dokter yang meresepkan.</t>
  </si>
  <si>
    <t>INFORMASI OBAT INI HANYA UNTUK KALANGAN MEDIS. Mengatasi infeksi virus seperti virus influenza A, B, serta C. Indikasi BPOM (Terkait COVID-19) : Penggunaan darurat / Emergency Use Authorization (EUA) pada dewasa (berusia ?18 tahun) dengan COVID-19 ringan s/d sedang.</t>
  </si>
  <si>
    <t>Dus, 10 strip @ 10 tablet salut selaput.</t>
  </si>
  <si>
    <t>Tidak boleh diberikan pada Ibu Hamil. Hipersensitivitas terhadap kandungan tablet Favipiravir.</t>
  </si>
  <si>
    <t>HARUS DENGAN RESEP DOKTER. Pengobatan harus dihentikan pada pasien yang hamil. Favipiravir terdistribusi dalam Air Susu Ibu (ASI). Favipiravir terdistribusi dalam sperma laki-laki. Hati-hati penggunaannya pada pasien dengan level asam urat tinggi. Hati-hati pemberian pada pasien usia lanjut, diperlukan pemantauan secara berkala. Tidak boleh diberikan pada anak-anak.</t>
  </si>
  <si>
    <t>mengatasi infeksi virus virus influenza a , b , c  indikasi bpom terkait covid - 19 penggunaan darurat emergency use authorization eua dewasa berusia ? 18 covid - 19 ringan s d</t>
  </si>
  <si>
    <t>favikal</t>
  </si>
  <si>
    <t>favikal tablet favipiravir mengatasi infeksi virus virus influenza a  b  c  indikasi bpom terkait covid  19 penggunaan darurat emergency use authorization eua dewasa berusia  18 covid  19 ringan s d</t>
  </si>
  <si>
    <t>DBL9007801563A1</t>
  </si>
  <si>
    <t>Hufamag Plus 10 Tablet</t>
  </si>
  <si>
    <t>Rp5.100 - Rp6.200</t>
  </si>
  <si>
    <t>Mengurangi gejala yang berhubungan dengan hipersekresi asam lambung, tukak lambung, gastritis, dan tukak duodenum yang disertai dengan gejala-gejala seperti mual, nyeri ulu hati, nyeri lambung, kembung, dan rasa penuh pada lambung.</t>
  </si>
  <si>
    <t>mengurangi gejala berhubungan hipersekresi asam lambung , tukak lambung , gastritis , tukak duodenum disertai gejala - gejala mual , nyeri ulu hati , nyeri lambung , kembung , penuh lambung</t>
  </si>
  <si>
    <t>hufamag plus</t>
  </si>
  <si>
    <t>hufamag plus tablet dried aluminium hydroxide gel mengurangi gejala berhubungan hipersekresi asam lambung  tukak lambung  gastritis  tukak duodenum disertai gejala  gejala mual  nyeri ulu hati  nyeri lambung  kembung  penuh lambung</t>
  </si>
  <si>
    <t>DKI1467508817A1</t>
  </si>
  <si>
    <t>Galvusmet 50 mg/500 mg 10 Tablet</t>
  </si>
  <si>
    <t>Rp91.800 - Rp98.800</t>
  </si>
  <si>
    <t>Diberikan bersamaan makanan atau segera setelah makan untuk mengurangi rasa tidak nyaman pada perut.</t>
  </si>
  <si>
    <t>PENGGUNAAN OBAT INI HARUS SESUAI DENGAN PETUNJUK DOKTER. Dewasa : 2 x sehari 1 tablet - pagi dan malam hari. Dosis rekomendasi harian : Vildagliptin 100 mg/Metformin HCl 2000 mg</t>
  </si>
  <si>
    <t>INFORMASI OBAT INI HANYA UNTUK KALANGAN MEDIS. Tambahan terhadap diet dan olahraga untuk memperbaiki kontrol glukosa darah pada pasien DM tipe 2 yang tidak dapat dikendalikan dengan metformin HCl atau vildagliptin saja atau pasien DM yang sebelumnya telah diterapi dengan kombinasi vildagliptin dan metformin HCl. Digunakan dalam kombinasi dengan insulin.</t>
  </si>
  <si>
    <t>Hipersensitivitas, gagal ginjal (CrCl &lt; 60 ml/menit), gagal jantung kongestif, asidosis metabolik akut, dehidrasi, infeksi berat, syok septikemia, gagal jantung tau respirasi, Miokard infark yang baru terjadi, kerusakan hati. intoksikasi alkohol, , alkoholisme, hamil dan laktasi.</t>
  </si>
  <si>
    <t>HARUS DENGAN RESEP DOKTER. Bukan pengganti insulin, tidak untuk pasien DM tipe 1 atau utk pengobatan ketoasidosis diabetes, gagal jantung kongestif, kerusakan hati. Vidagliptin: kelainan kulit (misalnya lesi kulit termasuk terik dan ulserasi). Matformin HCl: Asidosis laktat, gangguan ginjal, obat bersamaan yang dapat mempengaruhi ginjal.</t>
  </si>
  <si>
    <t>tambahan diet olahraga memperbaiki kontrol glukosa darah pasien dm tipe 2 tidak dikendalikan metformin hcl vildagliptin pasien dm diterapi kombinasi vildagliptin metformin hcl  digunakan kombinasi insulin</t>
  </si>
  <si>
    <t>galvusmet tablet metformin hydrochloride tambahan diet olahraga memperbaiki kontrol glukosa darah pasien dm tipe 2 tidak dikendalikan metformin hcl vildagliptin pasien dm diterapi kombinasi vildagliptin metformin hcl  digunakan kombinasi insulin</t>
  </si>
  <si>
    <t>obh combi plus batuk flu madu sirup succus liquiritiae paracetamol ammonium chloride pseudoephedrine hydrochloride chlorphenamine maleate obat meredakan batuk disertai gejala  gejala flu demam  sakit kepala  hidung tersumbat  bersin  bersin</t>
  </si>
  <si>
    <t>GKL9219910210B2</t>
  </si>
  <si>
    <t>Cotrimoxazole 480 mg 10 Tablet</t>
  </si>
  <si>
    <t>Rp4.000 - Rp6.300</t>
  </si>
  <si>
    <t>PENGGUNAAN OBAT INI HARUS SESUAI DENGAN PETUNJUK DOKTER. Dosis lazim untuk dewasa dan anak usia diatas 12 tahun: 2 kali sehari 1 tablet, selama 10-14 hari.</t>
  </si>
  <si>
    <t>INFORMASI OBAT INI HANYA UNTUK KALANGAN MEDIS. Obat ini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t>
  </si>
  <si>
    <t>hipersensitif, gangguan hati dan ginjal, wanita hamil, menyusui</t>
  </si>
  <si>
    <t>HARUS DENGAN RESEP DOKTER. - Gangguan fungsi hati. - Gangguan fungsi ginjal, dianjurkan banyak minum, minimal 1.5 liter sehari. Kategori Kehamilan : D. Kategori D: Terbukti berisiko terhadap janin. Meski demikian, obat masih dapat digunakan jika obat diperlukan untuk mengatasi keadaan yang mengancam jiwa, atau penyakit serius, dimana obat yang lebih aman tidak dapat digunakan atau tidak efektif.</t>
  </si>
  <si>
    <t>obat menangani infeksi disebabkan bakteri , bronkitis , otitis medium , infeksi saluran kemih  selain , kotrimoksazol menangani mencegah pneumocystis carinii pneumonia pcp pasien daya tahan tubuh turun , penderita hiv aids</t>
  </si>
  <si>
    <t>cotrimoxazole</t>
  </si>
  <si>
    <t>cotrimoxazole tablet sulfamethoxazole obat megani infeksi disebabkan bakteri  bronkitis  otitis medium  infeksi saluran kemih  selain  kotrimoksazol megani mencegah pneumocystis carinii pneumonia pcp pasien daya tahan tubuh turun  penderita hiv aids</t>
  </si>
  <si>
    <t>DKL0116109917B1</t>
  </si>
  <si>
    <t>Kadiflam 50 mg 10 Tablet</t>
  </si>
  <si>
    <t>Rp33.800 - Rp56.900</t>
  </si>
  <si>
    <t>Pengobatan jangka pendek untuk kondisi akut: nyeri dan inflamasi pasca trauma seperti terkilir, nyeri pasca operasi seperti pasca bedah gigi atau tulang, sebagai terapi penunjang pada nyeri inflamasi berat pada infeksi THT seperti pada faringotonsilitis, otitis.</t>
  </si>
  <si>
    <t>HARUS DENGAN RESEP DOKTER. Penyakit gastrointestinal, gangguan hepatik, ginjal, atau jantung. Hamil dan laktasi.</t>
  </si>
  <si>
    <t>pengobatan jangka pendek kondisi akut nyeri inflamasi pasca trauma terkilir , nyeri pasca operasi pasca bedah gigi tulang , terapi penunjang nyeri inflamasi berat infeksi tht faringotonsilitis , otitis</t>
  </si>
  <si>
    <t>kadiflam</t>
  </si>
  <si>
    <t>kadiflam tablet diclofenac potassium pengobatan jangka pendek kondisi akut nyeri inflamasi pasca trauma terkilir  nyeri pasca operasi pasca bedah gigi tulang  terapi penunjang nyeri inflamasi berat infeksi tht faringotonsilitis  otitis</t>
  </si>
  <si>
    <t>obh combi batuk plus flu jahe sirup succus liquiritiae paracetamol ammonium chloride pseudoephedrine hydrochloride chlorphenamine maleate untuk meredakan batuk disertai gejala  gejala flu demam  sakit kepala  hidung tersumbat bersin  bersin</t>
  </si>
  <si>
    <t>TR163698481</t>
  </si>
  <si>
    <t>Safe Care 3 Point Oil Telon Aromatherapy 30 ml</t>
  </si>
  <si>
    <t>SAFE CARE 3 POINT OIL TELON AROMATHERAPY</t>
  </si>
  <si>
    <t>Rp19.300 - Rp46.900</t>
  </si>
  <si>
    <t>Oleskan secukupnya pada bagian yang diperlukan.</t>
  </si>
  <si>
    <t>Sesuai kebutuhan dan tidak dikonsumsi berlebihan</t>
  </si>
  <si>
    <t>Membantu meredakan perut kembung, membantu memberikan rasa hangat pada tubuh bayi, membantu melembutkan kulit bayi, dan membantu menghindari gigitan nyamuk.</t>
  </si>
  <si>
    <t>safe care 3 point oil telon aromatherapy</t>
  </si>
  <si>
    <t>membantu meredakan perut kembung , membantu hangat tubuh bayi , membantu melembutkan kulit bayi , membantu menghindari gigitan nyamuk</t>
  </si>
  <si>
    <t>safe care point oil telon aromatherapy</t>
  </si>
  <si>
    <t>safe care point oil telon aromatherapy minyak safe care 3 point oil telon aromatherapy membantu meredakan perut kembung  membantu hangat tubuh bayi  membantu melembutkan kulit bayi  membantu menghindari gigitan nyamuk</t>
  </si>
  <si>
    <t>DTL2117207537A1</t>
  </si>
  <si>
    <t>OBH Nellco Special PE Anak Jeruk 55 ml</t>
  </si>
  <si>
    <t>Rp18.000 - Rp27.000</t>
  </si>
  <si>
    <t>- Tidak boleh diberikan pada penderita yang peka terhadap obat simpatomimetik lain (misalnya): Efedrin, pseudoefedri, fenilpropanolamin), penderita tekanan darah tinggi berat dan yang mendapat terapi obat anti depresan tipe penghambat Monoamin Oksidase (M</t>
  </si>
  <si>
    <t>paracetamol chlorphenamine maleate phenylephrine hydrochloride succus liquiritiae ammonium chloride</t>
  </si>
  <si>
    <t>obh nellco special pe anak jeruk</t>
  </si>
  <si>
    <t>obh nellco special pe anak jeruk sirup paracetamol chlorphenamine maleate phenylephrine hydrochloride succus liquiritiae ammonium chloride untuk meringankan gejala  gejala flu demam  sakit kepala  hidung tersumbat bersin  bersin disertai batuk</t>
  </si>
  <si>
    <t>DKL1133525010C1</t>
  </si>
  <si>
    <t>Prohistin 10 mg 10 Tablet</t>
  </si>
  <si>
    <t>Rp54.100 - Rp70.900</t>
  </si>
  <si>
    <t>Untuk pengobatan gejala-gejala yang berkaitan dengan rinitis alergik, seperti bersin-bersin, pilek dan rasa gatal pada hidung, demikian juga rasa gatal dan terbakar pada mata. Juga diindikasikan untuk pengobatan gejala dan tanda-tanda urtikaria kronis serta penyakit-penyakit dermatologis alergik lainnya.</t>
  </si>
  <si>
    <t>Tablet 10 mg x 5 x 10</t>
  </si>
  <si>
    <t>Bayi prematur dan bayi baru lahir, atau penderita asma akut</t>
  </si>
  <si>
    <t>HARUS DENGAN RESEP DOKTER. Tidak mengemudi atau menyalakan mesin selama menggunakan obat ini. harus dihentikan sekitar 48 jam sebelum menjalani tes alergi kulit, karena dapat mengganggu hasil tes. Ibu menyusui</t>
  </si>
  <si>
    <t>untuk pengobatan gejala - gejala berkaitan rinitis alergik , bersin - bersin , pilek gatal hidung , gatal terbakar mata  juga diindikasikan pengobatan gejala tanda - tanda urtikaria kronis penyakit - penyakit dermatologis alergik</t>
  </si>
  <si>
    <t>prohistin</t>
  </si>
  <si>
    <t>prohistin tablet ramipril untuk pengobatan gejala  gejala berkaitan rinitis alergik  bersin  bersin  pilek gatal hidung  gatal terbakar mata  juga diindikasikan pengobatan gejala tanda  tanda urtikaria kronis penyakit  penyakit dermatologis alergik</t>
  </si>
  <si>
    <t>obh combi batuk plus flu jahe sirup succus liquiritiae ammonium chloride paracetamol ephedrine hydrochloride chlorphenamine maleate untuk meredakan batuk disertai gejala  gejala flu demam  sakit kepala  hidung tersumbat bersin  bersin</t>
  </si>
  <si>
    <t>DKL2221208617A1</t>
  </si>
  <si>
    <t>Amaryl M 1 mg/250 mg 10 Tablet</t>
  </si>
  <si>
    <t>Rp46.300 - Rp56.000</t>
  </si>
  <si>
    <t>PENGGUNAAN OBAT INI HARUS SESUAI DENGAN PETUNJUK DOKTER. Dosis harus disesuaikan dengan kadar gula pasien. Dosis bersifat individual, diberikan 1 atau 2 kali per hari.</t>
  </si>
  <si>
    <t>HARUS DENGAN RESEP DOKTER. Secara teratur memonitor glukosa &amp; glikosilasi Hb. Gejala hipoglikemia yang lebih ringan atau tidak ada misalnya, pada lansia, pasien dengan neuropati otonom atau memakai ï¿½-blocker, clonidine, reserpin, guanethidine atau obat sympatholytic lainnya. Pergantian sementara ke insulin dalam situasi stres yang luar biasa (misalnya trauma, operasi, infeksi demam). Penggunaan obat lain secara bersamaan dapat mempengaruhi fungsi ginjal. Monitor fungsi ginjal. Dapat mengganggu kemampuan menyetir atau mengoperasikan mesin. Anak. Lansia.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</si>
  <si>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glimepiride metformin hydrochloride</t>
  </si>
  <si>
    <t>amaryl m</t>
  </si>
  <si>
    <t>amaryl m tablet glimepiride metformin hydrochloride terapi tambahan diet olahraga pasien diabetes melitus tipe 2 niddm dimana penggunaan glimepiride metformin tidak menghasilkan kontrol glikemik adekuat  pengganti terapi kombinasi glimepiride metformin</t>
  </si>
  <si>
    <t>DKL2134616203B1</t>
  </si>
  <si>
    <t>Esoferr 20 mg 10 Kapsul</t>
  </si>
  <si>
    <t>Rp131.300 - Rp132.600</t>
  </si>
  <si>
    <t>esomeprazole magnesium trihydrate</t>
  </si>
  <si>
    <t>esoferr</t>
  </si>
  <si>
    <t>esoferr kapsul esomeprazole magnesium trihydrate mengobati gastroesophageal reflux disease gerd esofagitis peradangan lapisan kerongkongan simptom refluks berat pasien tukak lambung ulkus peptik disebabkan h  pylori terapi kombinasi diakibatkan konsumsi oains</t>
  </si>
  <si>
    <t>DKL2221208617B1</t>
  </si>
  <si>
    <t>Amaryl M 2 mg/500 mg 10 Tablet</t>
  </si>
  <si>
    <t>Rp82.000 - Rp105.400</t>
  </si>
  <si>
    <t>Tresnojoyo Balsem Telon 20 g</t>
  </si>
  <si>
    <t>Rp9.500 - Rp10.900</t>
  </si>
  <si>
    <t>Hirupkan dan oleskan penghangat lembut Balsem Telon TRESNO JOYO pada dada dan punggung sebelum tidur, membuat anak Anda tidur lebih nyenyak.</t>
  </si>
  <si>
    <t>Mencegah dan mengobati masuk angin dan perut kembung pada bayi dan anak, juga dapat digunakan untuk ibu dan anak, juga dapat digunakan untuk ibu setelah melahirkan. Mengatasi rasa gatal dan mencegah terjadinya iritasi serta keinginan untuk menggaruk. Melegakan pernafasan karena hidung tersumbat, batuk, flu dan pilek. Meringankan sakit kepala.</t>
  </si>
  <si>
    <t>Dus, pot plastik @ 20 gram</t>
  </si>
  <si>
    <t>mencegah mengobati masuk angin perut kembung bayi anak , anak , melahirkan  mengatasi gatal mencegah iritasi menggaruk  melegakan pernafasan hidung tersumbat , batuk , flu pilek  meringankan sakit kepala</t>
  </si>
  <si>
    <t>tresnojoyo balsem telon balsam anethole mencegah mengobati masuk angin perut kembung bayi anak  anak  melahirkan  mengatasi gatal mencegah iritasi menggaruk  melegakan pernafasan hidung tersumbat  batuk  flu pilek  meringankan sakit kepala</t>
  </si>
  <si>
    <t>DBL9907808433A1</t>
  </si>
  <si>
    <t>Hufamag Plus Sirup</t>
  </si>
  <si>
    <t>Rp8.700 - Rp10.300</t>
  </si>
  <si>
    <t>Diminum 1-2 jam setelah makan dan sebelum tidur malam</t>
  </si>
  <si>
    <t>Dewasa: 3-4 kali sehari 1-2 sendok takar. anak 6-12th: 3-4 kali sehari 1/2-1 sendok takar</t>
  </si>
  <si>
    <t>hufamag plus suspensi dried aluminium hydroxide gel mengurangi gejala berhubungan hipersekresi asam lambung  tukak lambung  gastritis  tukak duodenum disertai gejala  gejala mual  nyeri ulu hati  nyeri lambung  kembung  penuh lambung</t>
  </si>
  <si>
    <t>Beurer Blood Pressure Monitor BM26</t>
  </si>
  <si>
    <t>Rp517.000 - Rp976.500</t>
  </si>
  <si>
    <t>1. Gunakan manset pada lengan atas pada sebelah kiri. 2. Manset harus sekitar 2-3 cm di atas siku. Tempatkan manset langsung pada kulit, karena pakaian dapat menyebabkan denyut nadi lemah dan mengakibatkan kesalahan pengukuran. 3. Kencangkan manset. 4. Letakkan tangan Anda di atas meja dan rilekskan postur Anda. 5. Manset harus setinggi jantung Anda. 6. Tekan tombol START untuk memulai pengukuran. 7. Tetap diam sampai pengukuran selesai.</t>
  </si>
  <si>
    <t>Alat pengukur tekanan darah digital dengan fitur Indikator hipertensi menurut WHO dengan model upper arm cuff yang aman dan nyaman digunakan. Pengukuran diambil dari lengan atas dan ditujukan untuk pengukuran sendiri dan penggunaan di rumah.</t>
  </si>
  <si>
    <t>alat pengukur tekanan darah digital fitur indikator hipertensi who model upper arm cuff aman nyaman  pengukuran diambil lengan pengukuran penggunaan rumah</t>
  </si>
  <si>
    <t>beurer blood pressure monitor bm</t>
  </si>
  <si>
    <t>beurer blood pressure monitor bm tablet kombinasivalsartan blend 32 alat pengukur teka darah digital fitur indikator hipertensi who model upper arm cuff aman nyaman  pengukuran diambil lengan pengukuran penggunaan rumah</t>
  </si>
  <si>
    <t>DKL2134616203A1</t>
  </si>
  <si>
    <t>Esoferr 40 mg 10 Kapsul</t>
  </si>
  <si>
    <t>Rp190.300 - Rp199.000</t>
  </si>
  <si>
    <t>DKL9115301317A1</t>
  </si>
  <si>
    <t>Clast 0.5 mg 10 Tablet</t>
  </si>
  <si>
    <t>Berikan 30 menit sebelum makan</t>
  </si>
  <si>
    <t>PENGGUNAAN OBAT INI HARUS SESUAI DENGAN PETUNJUK DOKTER. Dewasa : 1 tablet, 3 kali sehari</t>
  </si>
  <si>
    <t>INFORMASI OBAT INI HANYA UNTUK KALANGAN MEDIS. - Tukak peptik dan Gastroduodenitis. - Menormalkan motilitas saluran cerna, Dispepsia, Anorexia, Aerofagia dan Meteorisme/perut kembung, Gastritis, Reflux Esofagitis, Gastritis akibat alkoholisme khronik. - Mual dan muntah. - Muntah karena obat anti kanker dan radioterapi.</t>
  </si>
  <si>
    <t>Pasien yang dengan stimulasi mobilitas lambung akan membahayakan (perdarahan, obstruksi, perforasi). Pasien yang terbukti diskinesia tardive terhadap neuroleptik.</t>
  </si>
  <si>
    <t>HARUS DENGAN RESEP DOKTER. - Kehamilan trimester-1, menyusui. - Anak-anak. - Dapat mengganggu kemampuan mengemudi atau mengoperasikan mesin.</t>
  </si>
  <si>
    <t>clebopride</t>
  </si>
  <si>
    <t>- tukak peptik gastroduodenitis  - menormalkan motilitas saluran cerna , dispepsia , anorexia , aerofagia meteorisme perut kembung , gastritis , reflux esofagitis , gastritis akibat alkoholisme khronik  - mual muntah  - muntah obat anti kanker radioterapi</t>
  </si>
  <si>
    <t>clast</t>
  </si>
  <si>
    <t>clast tablet clebopride  tukak peptik gastroduodenitis   menormalkan motilitas saluran cerna  dispepsia  anorexia  aerofagia meteorisme perut kembung  gastritis  reflux esofagitis  gastritis akibat alkoholisme khronik   mual muntah   muntah obat anti kanker radioterapi</t>
  </si>
  <si>
    <t>- METAMIZOLE SODIUM. KOMBINASI-KOMBINASI GRANUL VIT B1. KOMBINASI-KOMBINASI GRANUL VIT B6. KOMBINASI-KOMBINASI GRANUL CYANOCOBALAMIN 0. 49. THIAMINE HYDROCHLORIDE. PYRIDOXINE HYDROCHLORIDE. CYANOCOBALAMIN</t>
  </si>
  <si>
    <t>metamizole sodium kombinasi-kombinasi granul vit b1 kombinasi-kombinasi granul vit b6 kombinasi-kombinasi granul cyanocobalamin 0 49 thiamine hydrochloride pyridoxine hydrochloride cyanocobalamin</t>
  </si>
  <si>
    <t>pritagesic kaplet metamizole sodium kombinasikombinasi granul vit b1 kombinasikombinasi granul vit b6 kombinasikombinasi granul cyanocobalamin 0 49 thiamine hydrochloride pyridoxine hydrochloride cyanocobalamin untuk menghilangkan sakit disebabkan neuritis neuralgia  sakit bera</t>
  </si>
  <si>
    <t>DKL9620920417A1</t>
  </si>
  <si>
    <t>Urispas 200 mg 10 Tablet</t>
  </si>
  <si>
    <t>Rp61.600 - Rp100.400</t>
  </si>
  <si>
    <t>PENGGUNAAN OBAT INI HARUS SESUAI DENGAN PETUNJUK DOKTER. Dewasa dan anak berusia lebih dari 12 tahun : 3-4 kali sehari 200 mg.</t>
  </si>
  <si>
    <t>INFORMASI OBAT INI HANYA UNTUK KALANGAN MEDIS. Menghilangkan gejala-gejala disuria (kesulitan saat buang air kecil/kencing atau sakit sewaktu kencing), kencing yang tidak dapat ditahan, ngompol pada malam hari, nyeri di atas daerah kemaluan, sering kencing dan tidak dapat ditahan yang dapat terjadi pada sistitis, prostatitis, uretritis, uretrosistitis, uretrotrigonitis</t>
  </si>
  <si>
    <t>Penderita yang memiliki riwayat alergi terhadap flavoksat atau komponen obat, mengalami penyumbatan pada saluran kemih bagian bawah, gangguan menelan seperti akalasia, obstruksi pada lambung, pendarahan pada lambung dan usus.</t>
  </si>
  <si>
    <t>HARUS DENGAN RESEP DOKTER. Hindari menyetir kendaraan, mengoperasikan mesin, atau melakukan aktivitas yang memerlukan kesadaran dan pandangan yang jelas pada saat menggunakan obat. Hindari melakukan olahraga, berendam di air panas, atau melakukan aktivitas yang menghasilkan banyak keringat pada saat menggunakan obat. Hati-hati penggunaan obat pada pasien yang diduga memiliki penyakit glaukoma. Hati-hati penggunaan obat pada pasien lanjut usia dan anak &lt;12 tahun karena lebih sensitif terhadap efek samping terutama kebingungan dan mengantuk. Hamil dan menyusui. Kategori Kehamilan : B</t>
  </si>
  <si>
    <t>flavoxate hydrochloride</t>
  </si>
  <si>
    <t>menghilangkan gejala - gejala disuria kesulitan buang air kencing sakit kencing , kencing tidak ditahan , ngompol malam , nyeri daerah kemaluan , kencing tidak ditahan sistitis , prostatitis , uretritis , uretrosistitis , uretrotrigonitis</t>
  </si>
  <si>
    <t>urispas</t>
  </si>
  <si>
    <t>urispas tablet flavoxate hydrochloride menghilangkan gejala  gejala disuria kesulitan buang air kencing sakit kencing  kencing tidak ditahan  ngompol malam  nyeri daerah kemaluan  kencing tidak ditahan sistitis  prostatitis  uretritis  uretrosistitis  uretrotrigonitis</t>
  </si>
  <si>
    <t>DKL1017809937A1</t>
  </si>
  <si>
    <t>Ranicho Sirup 60 ml</t>
  </si>
  <si>
    <t>Diminum sebelum atau sesudah makan dan sebelum tidur malam. Sirup ini tidak boleh dicampur dengan sediaan cair lainnya.</t>
  </si>
  <si>
    <t>PENGGUNAAN OBAT INI HARUS SESUAI DENGAN PETUNJUK DOKTER. Tukak duodenum aktif: 2 kali sehari 150 mg (10 mL) selama 4-8 mg, pemeliharaan 1 kali sehari 150 mg (10 mL) sebelum tidur malam. Tukak lambung aktif: 2 kali sehari 150 mg (10 mL) (pagi dan malam) selama 2 minggu, pemeliharaan 1 kali sehari 150 mg (10 mL) sebelum tidur malam. Esofagitis erosif: 4 kali sehari 150 mg (10 mL). refluks esofagitis: 2 kali sehari 150 mg (10 mL). Sindrom zollinger-ellison: awal 3 kali sehari 150mg (10 mL) kemudian 2 kali sehari 150 mg (10 mL). Pasien dengan gangguan ginjal dengan bersihan kreatinin &lt; 50ml/menit 150 mg (10 mL)/24jam.</t>
  </si>
  <si>
    <t>Terapi jangka pendek untuk tukak duodenal atau tukak lambung aktif, meredakan gejala-gejala refluks esofagitis. Terapi pemeliharaan sesudah penyembuhan tukak duodenal atau tukak lambung. Terapi untuk kondisi hipersekresi patologis seperti sindrom Zollinge</t>
  </si>
  <si>
    <t>HARUS DENGAN RESEP DOKTER. Ibu hamil dan menyusui, anak, gangguan fungsi ginjal dan hati, porfiria akut.</t>
  </si>
  <si>
    <t>terapi jangka pendek tukak duodenal tukak lambung aktif , meredakan gejala - gejala refluks esofagitis  terapi pemeliharaan penyembuhan tukak duodenal tukak lambung  terapi kondisi hipersekresi patologis sindrom zollinge</t>
  </si>
  <si>
    <t>ranicho</t>
  </si>
  <si>
    <t>ranicho sirup ranitidine hydrochloride terapi jangka pendek tukak duodenal tukak lambung aktif  meredakan gejala  gejala refluks esofagitis  terapi pemeliharaan penyembuhan tukak duodenal tukak lambung  terapi kondisi hipersekresi patologis sindrom zollinge</t>
  </si>
  <si>
    <t>DBL1111641033A1</t>
  </si>
  <si>
    <t>Promag Suspensi 7 ml 6 Sachet</t>
  </si>
  <si>
    <t>Rp14.600 - Rp16.000</t>
  </si>
  <si>
    <t>Satu jam sebelum atau sesudah makan, dan sebelum tidur malam</t>
  </si>
  <si>
    <t>Dewasa : 3-4 x sehari 1-2 sachet, anak 6-12 tahun : 1/2-1 sachet</t>
  </si>
  <si>
    <t>Dus, 6 Sachet @ 7 ml</t>
  </si>
  <si>
    <t>Pada penderita gangguan fungsi ginjal, pemberian antasida yang mengandung magnesium dapat menimbulkan hipermagnesemia.Tidak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</si>
  <si>
    <t>hydrotalcite magnesium hydroxide simethicone</t>
  </si>
  <si>
    <t>promag suspensi hydrotalcite magnesium hydroxide simethicone untuk mengurangi gejala berhubungan kelebihan asam lambung  gastritis  tukak lambung  tukak usus 12 jari gejala mual  kembung  nyeri lambung  nyeri ulu hati  penuh lambung</t>
  </si>
  <si>
    <t>- KOMBINASI-AZITHROMYCIN TASTE MASKING GRANULE 15</t>
  </si>
  <si>
    <t>kombinasi-azithromycin taste masking granule 15</t>
  </si>
  <si>
    <t>zistic sirup kombinasiazithromycin taste masking granule 15 infeksi saluran pernafasan  infeksi kulit jaringan lunak  uretritis non  gonokokal radang aliran kandung kemih disebabkan gonococcus servisitis radang leher rahim disebabkan chlamydia trachomatis</t>
  </si>
  <si>
    <t>DKL9222212709B1</t>
  </si>
  <si>
    <t>Anbacim Kaplet 500 mg</t>
  </si>
  <si>
    <t>Rp24.400 - Rp31.400</t>
  </si>
  <si>
    <t>PENGGUNAAN OBAT INI HARUS SESUAI DENGAN PETUNJUK DOKTER. Dewasa dan anak &gt;12 tahun : 2 kalil sehari 250 mg, ditingkatkan menjadi 2 kali sehari 500 mg. Bayi dan anak ??2 tahun : 2 kali sehari 125 mg. Infeksi Saluran Kemih tanpa komplikasi : 2 kali sehari 125-250 mg. Uretritis GO tanpa komplikasi : 1</t>
  </si>
  <si>
    <t>Infeksi saluran napas bawah, Infeksi Saluran Kemih, infeksi jaringan lunak, tulang dan sendi, infeksi obstertik dan ginekologis, gonore, septikemia dan meningitis. Profilaksis pada infeksi abdomen, pelvis, ortopedik, jantung, paru, operasi esofangeal dan</t>
  </si>
  <si>
    <t>Kaplet 500 Mg X 5 X 4</t>
  </si>
  <si>
    <t>HARUS DENGAN RESEP DOKTER. Hipersensitif terhadap sefalosporinReaksi anafilaksis terhadap penisilin, penggunaan bersama diuretik, gangguan ginjal</t>
  </si>
  <si>
    <t>infeksi saluran napa , infeksi saluran kemih , infeksi jaringan lunak , tulang sendi , infeksi obstertik ginekologis , gonore , septikemia meningitis  profilaksis infeksi abdomen , pelvis , ortopedik , jantung , paru , operasi esofangeal</t>
  </si>
  <si>
    <t>anbacim</t>
  </si>
  <si>
    <t>anbacim kaplet cefuroxime axetil infeksi saluran napa  infeksi saluran kemih  infeksi jaringan lunak  tulang sendi  infeksi obstertik ginekologis  gonore  septikemia meningitis  profilaksis infeksi abdomen  pelvis  ortopedik  jantung  paru  operasi esofangeal</t>
  </si>
  <si>
    <t>DKL1331610181A1</t>
  </si>
  <si>
    <t>Anuva Tablet 50 mg</t>
  </si>
  <si>
    <t>Rp5.700 - Rp6.000</t>
  </si>
  <si>
    <t>Sebaiknya diberikan pada saat perut kosong: Berikan sblm makan. Larutkan tab dlm segelas air sblm diminum. Jangan dikunyah/dibagi.</t>
  </si>
  <si>
    <t>Terapi akut &amp; kronik utk AR, OA, &amp; spondilitis ankilosa. Penatalaksanaan nyeri &amp; dismenore primer. Terapi jangka pendek utk serangna migren akut, nyeri pasca op, &amp; inflamasi ssdh op gigi &amp; ortopedi.</t>
  </si>
  <si>
    <t>Hipersensitivitas. Tukak lambung atau usus aktif, perdarahan atau perforasi lambung atau usus, gagal hati, ginjal &amp; jantung</t>
  </si>
  <si>
    <t>vomizole tablet kombinasipantoprazole sodium blend 275 dalam kombinasi 2 antibiotik eradikasi h  pylorus  ulkus peptikum  ulkus duodenum  ulkus lambung  inflamasi esofagus refluks esofagus berat  sindrom zollinger  ellison kondisi hipersekresi patologis</t>
  </si>
  <si>
    <t>Minyak Tawon CC 20 ml</t>
  </si>
  <si>
    <t>Rp22.000 - Rp27.600</t>
  </si>
  <si>
    <t>Oleskan pada bagian yang luka atau sakit, biarkan meresep sampai ke dalam kulit.</t>
  </si>
  <si>
    <t>Minyak gosok atau minyak urut yang dapat digunakan untuk membantu meredakan nyeri sendi, sakit gigi, bisul, sakit kepala, kudis, panu, gatal-gatal akibat digigit serangga, muntah, sakit perut dan batuk.</t>
  </si>
  <si>
    <t>Simpan di tempat yang kering, sejuk dan terhindar dari sinar matahari langsung. Simpan pada suhu dibawah 30 C.</t>
  </si>
  <si>
    <t>minyak gosok minyak urut membantu meredakan nyeri sendi , sakit gigi , bisul , sakit kepala , kudis , panu , gatal - gatal akibat digigit serangga , muntah , sakit perut batuk</t>
  </si>
  <si>
    <t>tawon cc</t>
  </si>
  <si>
    <t>tawon cc minyak achyrantes bidentata radix minyak gosok minyak urut membantu meredakan nyeri sendi  sakit gigi  bisul  sakit kepala  kudis  panu  gatal  gatal akibat digigit serangga  muntah  sakit perut batuk</t>
  </si>
  <si>
    <t>Vitabumin Madu Ikan Gabus Sirup 60 ml</t>
  </si>
  <si>
    <t>Rp37.300 - Rp40.000</t>
  </si>
  <si>
    <t>VITABUMIN MADU IKAN GABUS SIRUP merupakan suplemen makanan untuk anak-anak yang mengandung madu, ekstrak ikan gabus dan temulawak. Kombinasi zat aktif tersebut berguna untuk membantu menjaga daya tahan tubuh anak.</t>
  </si>
  <si>
    <t>vitabumin madu ikan gabus sirup suplemen makanan anak - anak mengandung madu , ekstrak ikan gabus temulawak  kombinasi zat aktif berguna membantu menjaga daya tahan tubuh anak</t>
  </si>
  <si>
    <t>vitabumin madu ikan gabus madu vitabumin madu ikan gabus sirup suplemen maka anak  anak mengandung madu  ekstrak ikan gabus temulawak  kombinasi zat aktif berguna membantu menjaga daya tahan tubuh anak</t>
  </si>
  <si>
    <t>DKL0721015217A1</t>
  </si>
  <si>
    <t>Tyran 150 mg 10 Tablet</t>
  </si>
  <si>
    <t>PENGGUNAAN OBAT INI HARUS SESUAI DENGAN PETUNJUK DOKTER. Dewasa : 150 mg 2 kali/hari atau 300 mg menjelang tidur. Pemeliharaan : 150 mg menjelang tidur. Untuk tukak lambung jinak dan tukak pasca operasi lama terapi 4 minggu. Untuk tukak yang berhubungan dengan penggunaan AINS lama terapi 8-12 minggu.</t>
  </si>
  <si>
    <t>Untuk tukak lambung jinak dan tukak pasca operasi, Untuk tukak lambung jinak dan tukak pasca operasi, tukak yang berhubungan dengan penggunaan AINS, tukak duodenum, tukak duodenum, profilaksis tukak stre dan kasus berat</t>
  </si>
  <si>
    <t>Dus, 5 Strip @ 10 tablet salut selaput</t>
  </si>
  <si>
    <t>Obat Wajib Apotek, Obat ini dapat dibeli dan diserahkan apoteker tanpa resep dengan maksimum 1 Strip. Pembelian melebihi batas ini WAJIB RESEP DOKTER. Hamil, laktasi, gangguan fungsi ginjal dan hati. Singkirkan keganasan lambung sebelum terapi.</t>
  </si>
  <si>
    <t>untuk tukak lambung jinak tukak pasca operasi , untuk tukak lambung jinak tukak pasca operasi , tukak berhubungan penggunaan ains , tukak duodenum , tukak duodenum , profilaksis tukak stre berat</t>
  </si>
  <si>
    <t>tyran</t>
  </si>
  <si>
    <t>tyran tablet ranitidine hydrochloride untuk tukak lambung jinak tukak pasca operasi  untuk tukak lambung jinak tukak pasca operasi  tukak berhubungan penggunaan ains  tukak duodenum  tukak duodenum  profilaksis tukak stre berat</t>
  </si>
  <si>
    <t>star ag tablet pioglitazone hydrochloride gel antimikroba manajemen luka luka akut luka kronik  meliputi pressure ulcer  venous ulcer  ulkus diabetic  lesi kulit  luka bakar derajat  luka donor luka pasca operasi</t>
  </si>
  <si>
    <t>Minyak Tawon DD 30 ml</t>
  </si>
  <si>
    <t>Rp35.000 - Rp40.900</t>
  </si>
  <si>
    <t>tawon dd</t>
  </si>
  <si>
    <t>tawon dd minyak achyrantes bidentata radix minyak gosok minyak urut membantu meredakan nyeri sendi  sakit gigi  bisul  sakit kepala  kudis  panu  gatal  gatal akibat digigit serangga  muntah  sakit perut batuk</t>
  </si>
  <si>
    <t>DKL9622218546A1</t>
  </si>
  <si>
    <t>Polifrisin Eye Drop 5 ml</t>
  </si>
  <si>
    <t>PENGGUNAAN OBAT INI HARUS SESUAI DENGAN PETUNJUK DOKTER. 2-4 kali sehari 1-2 tetes selama 7-10 hari. Untuk infeksi akut 1-2 tetes tiap 15-30 menit</t>
  </si>
  <si>
    <t>Infeksi mata disebabkan Staphylococcus Aureus, Streptococcus Pneumoniae, Escherichia coli, H. influenza, Klebsiela sp, Enterobacter sp, Neisseria sp, Pseudomonas Aeruginosa</t>
  </si>
  <si>
    <t>HARUS DENGAN RESEP DOKTER. Tidak untuk pasien dengan hipersensitivitas, glaukoma sudut sempit, Penggunaan jangka panjang. Hentikan penggunaan jika tjd iritasi mata. Hindari kontak langsung dg mata, kelopak mata atau permukaan yg lain. Hamil.</t>
  </si>
  <si>
    <t>infeksi mata disebabkan staphylococcus aureus , streptococcus pneumoniae , escherichia coli , h  influenza , klebsiela sp , enterobacter sp , neisseria sp , pseudomonas aeruginosa</t>
  </si>
  <si>
    <t>polifrisin eye drop</t>
  </si>
  <si>
    <t>polifrisin eye drop tetes polymyxin b sulfate neomycin sulfate phenylephrine hydrochloride infeksi mata disebabkan staphylococcus aureus  streptococcus pneumoniae  escherichia coli  h  influenza  klebsiela sp  enterobacter sp  neisseria sp  pseudomonas aeruginosa</t>
  </si>
  <si>
    <t>DKI1335300317A1</t>
  </si>
  <si>
    <t>Nexium Mups 20 mg 10 Tablet</t>
  </si>
  <si>
    <t>Rp275.400 - Rp314.500</t>
  </si>
  <si>
    <t>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t>
  </si>
  <si>
    <t>nexium mups</t>
  </si>
  <si>
    <t>nexium mups tablet esomeprazole magnesium mengobati gastroesophageal reflux disease gerd esofagitis peradangan lapisan kerongkongan simptom refluks berat pasien tukak lambung ulkus peptik disebabkan h  pylori terapi kombinasi diakibatkan konsumsi oains</t>
  </si>
  <si>
    <t>sodium chloride potassium chloride</t>
  </si>
  <si>
    <t>cendo lyteers minidose tetes sodium chloride potassium chloride melumasi menyejukan mata kering akibat kekurangan sekresi air mata teriritasi kondisi lingkungan  ketidaknyama penggunaan hard contact lens  gangguan penglihatan kelebihan lendir mata</t>
  </si>
  <si>
    <t>- AMOXICILLIN TRIHYDRATE.  CLAVULANATE POTASIUM AND MICROCRYSTALLINE CELLULOSE (4:1:1)</t>
  </si>
  <si>
    <t>amoxicillin trihydrate  clavulanate potasium and microcrystalline cellulose (4:1:1)</t>
  </si>
  <si>
    <t>clamixin tablet amoxicillin trihydrate  clavulanate potasium and microcrystalline cellulose 411  infeksi saluran napa  infeksi saluran kemih kelamin  infeksi kulit jaringan lunak  infeksi tulang sendi  infeksi abortus septik  sepsis intra abdominal</t>
  </si>
  <si>
    <t>ethambutol hydrochloride isoniazid pyridoxine hydrochloride</t>
  </si>
  <si>
    <t>metham kaplet ethambutol hydrochloride isoniazid pyridoxine hydrochloride pasien tuberkulosis dewasa bta positif  pasien tuberkulosis dewasa bta negatif perluasan parenkim  bentuk ekstra bta berat  tuberkulosis meningitis tuberkulosis milliar  mentham  rifampisin  pirazinamid</t>
  </si>
  <si>
    <t>OBH Combi Plus Batuk Flu Menthol 100 ml</t>
  </si>
  <si>
    <t>Rp19.700 - Rp25.500</t>
  </si>
  <si>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</si>
  <si>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obh combi plus batuk flu menthol sirup paracetamol ammonium chloride pseudoephedrine hydrochloride chlorphenamine maleate succus liquiritiae obat meredakan batuk disertai gejala  gejala flu demam  sakit kepala  hidung tersumbat  bersin  bersin</t>
  </si>
  <si>
    <t>DKL9930409514B1</t>
  </si>
  <si>
    <t>Voltaren SR 75 mg 10 Tablet</t>
  </si>
  <si>
    <t>Rp119.000 - Rp138.400</t>
  </si>
  <si>
    <t>voltaren sr</t>
  </si>
  <si>
    <t>voltaren sr tablet diclofenac sodium terapi membantu mengobati rematik disertai inflamasi degeneratif artritis rematoid  ankylosing spondylitis  osteoartritis spondilartritis  sindroma nyeri kolumna vertebralis  rematik non  artikular  serangan akut gout  nyeri pascabedah</t>
  </si>
  <si>
    <t>BC Be Seen Multi Purpose Solution with Oxygen All In One Solution 360 ml</t>
  </si>
  <si>
    <t>Rp36.300 - Rp44.800</t>
  </si>
  <si>
    <t>Larutan serbaguna untuk lensa kontak lunak yang digunakan untuk membersihkan, membilas, menghilangkan protein, merendam, dan membasahi lensa kontak Anda.</t>
  </si>
  <si>
    <t>Tutup kembali produk ini jika sudah selesai digunakan. Jangan gunakan produk ini jika penutup botol rusak atau hilang. Simpan di tempat kering pada suhu ruang dan jauhkan dari sinar matahari serta dari jangkauan anak-anak. Hindari mencampurkan produk ini dengan air, atau cairan lainnya. Pastikan bagian ujung botol (tempat keluar cairan) tidak tersentuh dan mengenai benda-benda lainnya. Perhatikan masa kadaluarsa produk. Masa simpan produk setelah dibuka biasanya: 90 hari atau kurang. Hindari penggunaan cairan di atas batas masa simpannya.</t>
  </si>
  <si>
    <t>larutan serbaguna lensa kontak lunak membersihkan , membilas , menghilangkan protein , merendam , membasahi lensa kontak anda</t>
  </si>
  <si>
    <t>bc be seen multi purpose solution with oxygen all in one solution</t>
  </si>
  <si>
    <t>bc be seen multi purpose solution with oxygen all in one solution tablet kombinasivalsartan blend 32 larutan serbaguna lensa kontak lunak membersihkan  membilas  menghilangkan protein  merendam  membasahi lensa kontak anda</t>
  </si>
  <si>
    <t>Bc Be Seen Multi Purpose Solution with Oxygen All In One Solution 120 ml</t>
  </si>
  <si>
    <t>Rp26.300 - Rp31.100</t>
  </si>
  <si>
    <t>Bc Be Seen Multi Purpose Solution with Oxygen All In One Solution 80 ml</t>
  </si>
  <si>
    <t>Rp11.200 - Rp45.000</t>
  </si>
  <si>
    <t>TR142681391</t>
  </si>
  <si>
    <t>Konicare Minyak Kayu Putih Plus 125 ml</t>
  </si>
  <si>
    <t>KONICARE MINYAK KAYU PUTIH PLUS</t>
  </si>
  <si>
    <t>Rp40.500 - Rp75.700</t>
  </si>
  <si>
    <t>Membantu menghangatkan badan, menghindari tubuh dari gigitan nyamuk serta meredakan gatal-gatal akibat digigit serangga dan membantu gejala masuk angin seperti perut kembung dan mual.</t>
  </si>
  <si>
    <t>konicare minyak kayu putih plus</t>
  </si>
  <si>
    <t>membantu menghangatkan badan , menghindari tubuh gigitan nyamuk meredakan gatal - gatal akibat digigit serangga membantu gejala masuk angin perut kembung mual</t>
  </si>
  <si>
    <t>konicare kayu putih plus</t>
  </si>
  <si>
    <t>konicare kayu putih plus minyak konicare minyak kayu putih plus membantu menghangatkan badan  menghindari tubuh gigitan nyamuk meredakan gatal  gatal akibat digigit serangga membantu gejala masuk angin perut kembung mual</t>
  </si>
  <si>
    <t>Konicare Minyak Kayu Putih Plus 30 ml</t>
  </si>
  <si>
    <t>Rp12.000 - Rp21.600</t>
  </si>
  <si>
    <t>Konicare Minyak Kayu Putih Plus 60 ml</t>
  </si>
  <si>
    <t>Rp20.300 - Rp38.400</t>
  </si>
  <si>
    <t>obh combi plus batuk flu menthol sirup succus liquiritiae paracetamol ammonium chloride ephedrine hydrochloride chlorphenamine maleate obat meredakan batuk disertai gejala  gejala flu demam  sakit kepala  hidung tersumbat  bersin  bersin</t>
  </si>
  <si>
    <t>Nice Look Multi Purpose Solution 60 ml</t>
  </si>
  <si>
    <t>Rp6.800 - Rp13.000</t>
  </si>
  <si>
    <t>nice look multi purpose solution</t>
  </si>
  <si>
    <t>nice look multi purpose solution tablet kombinasivalsartan blend 32 larutan serbaguna lensa kontak lunak membersihkan protein  kotoran debu lensa kontak lunak  membunuh bakteri permukaan lensa  membilas merendam lensa kontak lunak</t>
  </si>
  <si>
    <t>Oxi-Five Multi Purpose Solution 160 ml</t>
  </si>
  <si>
    <t>Rp23.100 - Rp26.900</t>
  </si>
  <si>
    <t>oxifive multi purpose solution</t>
  </si>
  <si>
    <t>oxifive multi purpose solution tablet kombinasivalsartan blend 32 cairan pembersih contact lens manfaat cleans membersihkan  lubricates melembabkan  desinfects mematikan kuman  protein removes membersihkan protein pengotor  stores mempertahankan kualitas softlens penyimpa</t>
  </si>
  <si>
    <t>DKL9822224146A1</t>
  </si>
  <si>
    <t>Baquinor 3 mg/ml Eye Drops 5 ml</t>
  </si>
  <si>
    <t>Rp39.100 - Rp49.400</t>
  </si>
  <si>
    <t>Diteteskan pada mata yang terinfeksi.</t>
  </si>
  <si>
    <t>PENGGUNAAN OBAT INI HARUS SESUAI DENGAN PETUNJUK DOKTER. Ulkus Kornea : Hari ke-1 : 2 tetes tiap 15 menit selama 6 jam pertama, kemudian 2 tetes tiap 30 menit selama sisa hari itu. Hari ke-2 : 2 tetes setiap jam. Hari ke-3-14 : 2 tetes tiap 4 jam. Konjungtivitis : 1-2 tetes tiap 2 jam selama 2 hari. 1-2 tetes tiap 4 jam untuk 5 hari berikutnya.</t>
  </si>
  <si>
    <t>INFORMASI OBAT INI HANYA UNTUK KALANGAN MEDIS. Ulkus kornea yang disebabkan oleh bakteri Pseudomonas aeruginosa, Serratia marcescens, Staphylococcusa aureus, Streptococcus epidermidis, Streptococcus pneumoniae, Streptococcus viridans. Konjungtivitis yang disebabkan oleh bakteri Staphylococcusa aureus, Streptococcus epidermidis, Streptococcus pneumoniae.</t>
  </si>
  <si>
    <t>Hipersensitif terhadap siprofloksasin atau kuinolon lain</t>
  </si>
  <si>
    <t>HARUS DENGAN RESEP DOKTER. Penggunaan jangka lama menyebabkan pertumbuhan organisme yang tidak peka. Hentikan penggunaan jika timbul ruam kulit atau tanda hipersensitivitas lain. Benzalkonium Klorida adalah pengawet yang umum digunakan untuk produk tetes mata, telah dilaporkan dapat menyebabkan keratopati pungtata dan/atau keratopati ulseratif toksik. Karena obat ini mengandung Benzalkonium Klorida, dibutuhkan pengawasan pada pemakaian yang sering dan lama pada pasien dry eye atau pada kondisi kornea yang sensitif. Obat ini tidak digunakan untuk mengobati iritasi karena lensa kontak. Pasien yang menggunakan yang hendak menggunakan lensa kontak, harus menunggu selama 10 menit setelah pemakaian obat ini sebelum mengenakan lensa kontak.</t>
  </si>
  <si>
    <t>ulkus kornea disebabkan bakteri pseudomonas aeruginosa , serratia marcescens , staphylococcusa aureus , streptococcus epidermidis , streptococcus pneumoniae , streptococcus viridans  konjungtivitis disebabkan bakteri staphylococcusa aureus , streptococcus epidermidis , streptococcus pneumoniae</t>
  </si>
  <si>
    <t>baquinor eye</t>
  </si>
  <si>
    <t>baquinor eye tetes ciprofloxacin hydrochloride ulkus kornea disebabkan bakteri pseudomonas aeruginosa  serratia marcescens  staphylococcusa aureus  streptococcus epidermidis  streptococcus pneumoniae  streptococcus viridans  konjungtivitis disebabkan bakteri staphylococcusa aureus  streptococcus epidermidis  streptococcus pneumoniae</t>
  </si>
  <si>
    <t>Oxi-Five Multi Purpose Solution 80 ml</t>
  </si>
  <si>
    <t>Rp14.300 - Rp28.100</t>
  </si>
  <si>
    <t>obh combi plus batuk flu menthol sirup ammonium chloride paracetamol ephedrine hydrochloride chlorphenamine maleate succus liquiritiae obat meredakan batuk disertai gejala  gejala flu demam  sakit kepala  hidung tersumbat  bersin  bersin</t>
  </si>
  <si>
    <t>DBL2022259946A1</t>
  </si>
  <si>
    <t>Ocufresh Tetes Mata 5 ml</t>
  </si>
  <si>
    <t>Rp23.100 - Rp25.600</t>
  </si>
  <si>
    <t>Teteskan pada mata yang teriritasi</t>
  </si>
  <si>
    <t>Melumasi dan menyejukkan mata kering akibat kekurangan sekresi air mata atau teriritasi karena kondisi lingkungan, ketidaknyamanan karena penggunaan hard contact lens, gangguan penglihatan karena kelebihan mukus pada mata.</t>
  </si>
  <si>
    <t>Obat ini mengandung pengawet Benzalkonium Chloride penggunaan jangka panjang dan berlebihan dapat menyebabkan kerusakan selaput mata Jangan menggunakan obat ini secara rutin dan untuk jangka panjang. Jika gejala telah hilang hentikan penggunaan obat Jangan menggunakan lensa kontak ketika menggunakan obat ini. Kontak lensa dapat digunakan minimal 10-15 menit setelah obat diteteskan</t>
  </si>
  <si>
    <t>melumasi menyejukkan mata kering akibat kekurangan sekresi air mata teriritasi kondisi lingkungan , ketidaknyamanan penggunaan hard contact lens , gangguan penglihatan kelebihan mukus mata</t>
  </si>
  <si>
    <t>ocufresh tetes mata</t>
  </si>
  <si>
    <t>ocufresh tetes mata tetes sodium chloride potassium chloride melumasi menyejukkan mata kering akibat kekurangan sekresi air mata teriritasi kondisi lingkungan  ketidaknyama penggunaan hard contact lens  gangguan penglihatan kelebihan mukus mata</t>
  </si>
  <si>
    <t>DKL0005029416A1</t>
  </si>
  <si>
    <t>Ossoral 200 mg 10 Tablet</t>
  </si>
  <si>
    <t>Rp18.800 - Rp21.900</t>
  </si>
  <si>
    <t>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t>
  </si>
  <si>
    <t>Hiperkalsemia dan hiperkalsiuria berat</t>
  </si>
  <si>
    <t>HARUS DENGAN RESEP DOKTER. Pasien dengan kecenderungan pengkristalan urin. Paraplegia</t>
  </si>
  <si>
    <t>osteoporosis primer pra - , peri - , paska menopause , lansia , osteoporosis sekunder terapi kortikoid , heparin , imobilisasi , artritis reumatoid , penyakit ginjal hati , hiperparatiroidisme , osteogenesis imperfekta , keseimbangan kalsium fosfat kehami</t>
  </si>
  <si>
    <t>ossoral</t>
  </si>
  <si>
    <t>ossoral tablet ossein hydroxyapatite compound osteoporosis primer pra   peri   paska menopause  lansia  osteoporosis sekunder terapi kortikoid  heparin  imobilisasi  artritis reumatoid  penyakit ginjal hati  hiperparatiroidisme  osteogenesis imperfekta  keseimbangan kalsium fosfat kehami</t>
  </si>
  <si>
    <t>rancus tablet ranitidine hydrochloride sakit maag  tukak ulkus lambung ulkus tukak lambung paska tindakan  tukak ulkus akibat obat2 nsaid ains  ulkus tukak usus halus  zollinger ellison syndrome  pencegahan ulkus stress</t>
  </si>
  <si>
    <t>GKL0433510217A1</t>
  </si>
  <si>
    <t>Ofloxacin 200 mg 10 Tablet</t>
  </si>
  <si>
    <t>Rp5.400 - Rp10.800</t>
  </si>
  <si>
    <t>Diminum 1 jam sebelum makan atau 2 jam setelah makan.</t>
  </si>
  <si>
    <t>PENGGUNAAN OBAT INI HARUS SESUAI DENGAN PETUNJUK DOKTER. 2 kali sehari, 400-800 mg per hari</t>
  </si>
  <si>
    <t>Infeksi saluran nafas bawah dan kulit, uretritis akut tak terkomplikasi dan servisitis GO, servisitis non-GO, infeksi campuran pada uretra dan serviks karena C. trachomatis dan N. gonorrhoae, penyakit radang panggul akut, sistitis tak terkomplikasi, ISK t</t>
  </si>
  <si>
    <t>hipersensitif terhadap golongan kuinolon</t>
  </si>
  <si>
    <t>infeksi saluran nafas kulit , uretritis akut terkomplikasi servisitis go , servisitis non - go , infeksi campuran uretra serviks c  trachomatis n  gonorrhoae , penyakit radang panggul akut , sistitis terkomplikasi , isk t</t>
  </si>
  <si>
    <t>ofloxacin tablet infeksi saluran nafas kulit  uretritis akut terkomplikasi servisitis go  servisitis non  go  infeksi campuran uretra serviks c  trachomatis n  gonorrhoae  penyakit radang panggul akut  sistitis terkomplikasi  isk t</t>
  </si>
  <si>
    <t>Sensi Adult Diapers M 2 Pieces</t>
  </si>
  <si>
    <t>Rp12.200 - Rp14.100</t>
  </si>
  <si>
    <t>Pastikan perekat untuk pinggang. Buka lampit, sesuaikan lampit agar sesuai dipinggang pemakai, kemudian tempatkan sisi depan lampit diantara kedua kaki dan letakkan diatas perut. Kencangkan perekat di tempat yang telah disediakan.</t>
  </si>
  <si>
    <t>Menampung Buang Air Besar (BAB) dan Buang Air Kecil (BAK) bagi Orang tua, Manula, Geriatri, Orang pasca stroke dan pasca operasi serta Ibu hamil atau pasca melahirkan</t>
  </si>
  <si>
    <t>menampung buang air besar bab buang air kecil bak orang tua , manula , geriatri , orang pasca stroke pasca operasi ibu hamil pasca melahirkan</t>
  </si>
  <si>
    <t>sensi adult diapers m pieces</t>
  </si>
  <si>
    <t>sensi adult diapers m pieces tablet tizanidine hydrochloride menampung buang air besar bab buang air kecil bak orang tua  manula  geriatri  orang pasca stroke pasca operasi ibu hamil pasca melahirkan</t>
  </si>
  <si>
    <t>DKL9611624209A1</t>
  </si>
  <si>
    <t>Cholestat 10 mg 10 Kaplet</t>
  </si>
  <si>
    <t>Rp78.000 - Rp148.300</t>
  </si>
  <si>
    <t>Menurunkan kadar Kolesterol Total &amp; LDL pada Hiperkolesterolemia Primer &amp; Sekunder dimana respon terhadap diet dan terapi non-farmakologi lain tidak adekuat. Menurunkan Mortalitas total dengan menurunkan Kematian akibat penyakit Koroner/Jantung &amp; resiko I</t>
  </si>
  <si>
    <t>Dus, 2 strip @ 10 Kaplet</t>
  </si>
  <si>
    <t>Hipersensitif, wanita hamil, menyusui, penderita penyakit hati akut, penyakit ginjal, inhibitor CYP3A4 yang kuat misalnya itraconazole,ketoconazole, posaconazole,clarithromycin, erythromycin, telithromycin, nefazodone, HIV protease inhibitors (misalnya nelfinavir), boceprivir, telaprevir, gemfibrozil, ciclosporin, danazol, dan jus grapefruit (jeruk bali).</t>
  </si>
  <si>
    <t>HARUS DENGAN RESEP DOKTER. Gangguan hepatik akut, peningkatan sgot/sgpt tanpa penjelasan, hamil dan laktasi Kategori Kehamilan : X</t>
  </si>
  <si>
    <t>menurunkan kadar kolesterol total ldl hiperkolesterolemia primer sekunder dimana respon diet terapi non - farmakologi tidak adekuat  menurunkan mortalitas total menurunkan kematian akibat penyakit koroner jantung resiko i</t>
  </si>
  <si>
    <t>cholestat kaplet simvastatin menurunkan kadar kolesterol total ldl hiperkolesterolemia primer sekunder dimana respon diet terapi non  farmakologi tidak adekuat  menurunkan mortalitas total menurunkan kematian akibat penyakit koroner jantung resiko i</t>
  </si>
  <si>
    <t>DKL0328603729A1</t>
  </si>
  <si>
    <t>Desolex-N Cream 10 g</t>
  </si>
  <si>
    <t>Rp38.500 - Rp49.100</t>
  </si>
  <si>
    <t>PENGGUNAAN OBAT INI HARUS SESUAI DENGAN PETUNJUK DOKTER. Oleskan krim 2-3 x sehari pada area yang sakit, radang atau gatal</t>
  </si>
  <si>
    <t>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t>
  </si>
  <si>
    <t>dermatitis disertai infeksi , dermatitis atopik alergi herediter keturunan , dermatitis seboroik berkaitan sekresi minyak kulit , pruritus gatal - gatal anus vulva genital external wanita , otitis externa peradangan telinga</t>
  </si>
  <si>
    <t>desolexn cream</t>
  </si>
  <si>
    <t>desolexn cream krim desonide dermatitis disertai infeksi  dermatitis atopik alergi herediter keturu  dermatitis seboroik berkaitan sekresi minyak kulit  pruritus gatal  gatal anus vulva genital external wanita  otitis externa peradangan telinga</t>
  </si>
  <si>
    <t>sotatic tablet metoclopramide hydrochloride monohydrate gastroparesis diabetikum akut berulang  rasa panas uluhati kerongkongan pengosongan lambung terlambat akibat reflux esofagitis  pencegahan mual  muntah paska tindakan kemoterapi kanker emetogenik  memudahkan intestinal intubation</t>
  </si>
  <si>
    <t>DKI1335300317B1</t>
  </si>
  <si>
    <t>Nexium Mups 40 mg 7 Tablet</t>
  </si>
  <si>
    <t>Rp227.400 - Rp258.800</t>
  </si>
  <si>
    <t>Dus, 2 Blister @ 7 Tablet Salut Selaput</t>
  </si>
  <si>
    <t>DKL0005029509A1</t>
  </si>
  <si>
    <t>Ossoral 800 mg 10 Kaplet</t>
  </si>
  <si>
    <t>Rp63.500 - Rp69.900</t>
  </si>
  <si>
    <t>PENGGUNAAN OBAT INI HARUS SESUAI DENGAN PETUNJUK DOKTER. 1 x sehari 1-2 kapet, Osteoporosis : 2 x sehari 2-4 kaplet, indikasi lainnya : 1 x sehari 1 kaplet</t>
  </si>
  <si>
    <t>ossoral kaplet ossein hydroxyapatite compound osteoporosis primer pra   peri   paska menopause  lansia  osteoporosis sekunder terapi kortikoid  heparin  imobilisasi  artritis reumatoid  penyakit ginjal hati  hiperparatiroidisme  osteogenesis imperfekta  keseimbangan kalsium fosfat kehami</t>
  </si>
  <si>
    <t>DTL7600915629A1</t>
  </si>
  <si>
    <t>New Astar Cream 15 g</t>
  </si>
  <si>
    <t>Rp10.700 - Rp24.000</t>
  </si>
  <si>
    <t>Oleskan di bagian yang sakit</t>
  </si>
  <si>
    <t>2 x sehari</t>
  </si>
  <si>
    <t>Mengatasi eksem, panu, kadas, gatal akibat keringat, gatal akibat zat kimia, gatal disekitar alat kelamin, infeksi akibat jamur, athlete's foot, dan barber's itch.</t>
  </si>
  <si>
    <t>Cream 15 Gr X 1 Tube</t>
  </si>
  <si>
    <t>Pada penderita yang sensitif terhadap kandungan obat ini.</t>
  </si>
  <si>
    <t>Hindari pemakaian dekat mata, mulut, mukosa membran lain atau pada bagian-bagian dengan radang berat dan luka terbuka.</t>
  </si>
  <si>
    <t>mengatasi eksem , panu , kadas , gatal akibat keringat , gatal akibat zat kimia , gatal disekitar alat kelamin , infeksi akibat jamur , athlete s foot , barber s itch</t>
  </si>
  <si>
    <t>new astar cream</t>
  </si>
  <si>
    <t>new astar cream krim diphenhydramine hydrochloride mengatasi eksem  panu  kadas  gatal akibat keringat  gatal akibat zat kimia  gatal disekitar alat kelamin  infeksi akibat jamur  athlete s foot  barber s itch</t>
  </si>
  <si>
    <t>GKL9812415115B1</t>
  </si>
  <si>
    <t>Natrium Diklofenak 50 mg 10 Tablet</t>
  </si>
  <si>
    <t>Rp2.300 - Rp4.800</t>
  </si>
  <si>
    <t>Dus, 5 Strip @ 10 tablet Salut Enterik</t>
  </si>
  <si>
    <t>natrium diklofenak tablet diclofenac sodium terapi membantu mengobati rematik disertai inflamasi degeneratif artritis rematoid  ankylosing spondylitis  osteoartritis spondilartritis  sindroma nyeri kolumna vertebralis  rematik non  artikular  serangan akut gout  nyeri pascabedah</t>
  </si>
  <si>
    <t>nicotinamide riboflavin ascorbic acid folic acid thiamine mononitrate pyridoxine hydrochloride calcium pantothenate ferrous sulfate cyanocobalamin</t>
  </si>
  <si>
    <t>iberet folic tablet nicotinamide riboflavin ascorbic acid folic acid thiamine mononitrate pyridoxine hydrochloride calcium pantothenate ferrous sulfate cyanocobalamin anemia defisiensi zat besi  anemia megaloblastik disertai kekurangan vitamin c b kompleks  kehamilan</t>
  </si>
  <si>
    <t>DKL0309214203A1</t>
  </si>
  <si>
    <t>Lokev 20 mg 10 Kapsul</t>
  </si>
  <si>
    <t>Rp7.500 - Rp9.600</t>
  </si>
  <si>
    <t>Dus, 5 strip @ 10 kapsul</t>
  </si>
  <si>
    <t>TR183619851</t>
  </si>
  <si>
    <t>Madu Syamil Anak 125 ml</t>
  </si>
  <si>
    <t>SYAMIL DATES HONEY MADU SI BUAH HATI</t>
  </si>
  <si>
    <t>Diminum langsung atau dilarutkan dalam minuman</t>
  </si>
  <si>
    <t>Untuk membantu meningkatkan stamina dan daya tahan tubuh, meningkatkan nafsu makan, melancarkan pencernaan, mengurangi gejala batuk dan pilek, serta membantu pertumbuhan dan perkembangan anak.</t>
  </si>
  <si>
    <t>Dus, Botol @ 125 ml</t>
  </si>
  <si>
    <t>jika terjadi efek yang tidak diharapkan harap segera hentikan penggunaan dan konsultasikan ke dokter.</t>
  </si>
  <si>
    <t>syamil dates honey madu si buah hati</t>
  </si>
  <si>
    <t>untuk membantu meningkatkan stamen daya tahan tubuh , meningkatkan nafsu makan , melancarkan pencernaan , mengurangi gejala batuk pilek , membantu pertumbuhan perkembangan anak</t>
  </si>
  <si>
    <t>madu syamil anak</t>
  </si>
  <si>
    <t>madu syamil anak madu syamil dates honey madu si buah hati untuk membantu meningkatkan stamen daya tahan tubuh  meningkatkan nafsu makan  melancarkan pencernaan  mengurangi gejala batuk pilek  membantu pertumbuhan perkembangan anak</t>
  </si>
  <si>
    <t>Bagus Nina Pantyliner Anion Floral Scent 20 Pads</t>
  </si>
  <si>
    <t>DISKON PRODUK INI HANYA BERLAKU UNTUK PEMBELIAN MELALUI OFFICIAL STORE WATSONS DI APLIKASI HALODOC. Pembalut saat keputihan atau saat keluarnya lendir berlebih dari organ kewanitaan.</t>
  </si>
  <si>
    <t>diskon produk ini hanya berlaku untuk pembelian melalui official store watsons di aplikasi halodoc  pembalut keputihan keluarnya lendir berlebih organ kewanitaan</t>
  </si>
  <si>
    <t>bagus nina pantyliner anion floral scent pads</t>
  </si>
  <si>
    <t>bagus nina pantyliner anion floral scent pads tablet tizanidine hydrochloride diskon produk ini hanya berlaku untuk pembelian melalui official store watsons di aplikasi halodoc  pembalut keputihan keluarnya lendir berlebih organ kewanitaan</t>
  </si>
  <si>
    <t>DKL0534602430A1</t>
  </si>
  <si>
    <t>Ketricin Orabase 0.1% Salep 5 g</t>
  </si>
  <si>
    <t>Rp62.700 - Rp75.500</t>
  </si>
  <si>
    <t>Salep dioleskan pada bagian mukosa mulut atau gusi yang luka/radang</t>
  </si>
  <si>
    <t>PENGGUNAAN OBAT INI HARUS SESUAI DENGAN PETUNJUK DOKTER. Oleskan salep pada mukosa mulut 2-3 x sehari, maximum pemakaian 7 hari</t>
  </si>
  <si>
    <t>INFORMASI OBAT INI HANYA UNTUK KALANGAN MEDIS. Lesi akut dan khronik pada mukosa rongga mulut, seperti : luka2, peradangan ulseratif/disertai luka &amp; akibat pemakaian gigi palus (denture stomatitis), Gingivitis Deskuamatif, Likhen Planus Erosif, lesi mukosa akibat trauma</t>
  </si>
  <si>
    <t>TB kulit, infeksi jamur, virus (herpes simpleks dan varisela), dan infeksi bakteri pada rongga mulut dan tenggorkan yang tidak mendapat terapi anti-infeksi yang tepat</t>
  </si>
  <si>
    <t>Obat Wajib Apotek, Obat ini dapat dibeli dan diserahkan apoteker tanpa resep dengan maksimum 1 Tube. Pembelian melebihi batas ini WAJIB RESEP DOKTER. Supresi adrenal selama penggunaan jangka panjang atau pada penggunaan perban/plester/dibalut. Pertumbuhan berlebihan dari mikroorganisme pada penggunaan jangka panjang dan pada area luas. Hamil Kategori kehamilan : C</t>
  </si>
  <si>
    <t>lesi akut khronik mukosa rongga mulut , luka2 , peradangan ulseratif disertai luka akibat pemakaian gigi palus denture stomatitis , gingivitis deskuamatif , likhen planus erosif , lesi mukosa akibat trauma</t>
  </si>
  <si>
    <t>ketricin orabase</t>
  </si>
  <si>
    <t>ketricin orabase salep triamcinolone acetonide lesi akut khronik mukosa rongga mulut  luka2  peradangan ulseratif disertai luka akibat pemakaian gigi palus denture stomatitis  gingivitis deskuamatif  likhen planus erosif  lesi mukosa akibat trauma</t>
  </si>
  <si>
    <t>DBL0422706609B1</t>
  </si>
  <si>
    <t>Hemaviton Neuro Forte 10 Kaplet</t>
  </si>
  <si>
    <t>Rp24.500 - Rp25.000</t>
  </si>
  <si>
    <t>1 kaplet sehari. Dalam keadaan tertentu dosis dapat ditingkatkan sesuai petunjuk dokter.</t>
  </si>
  <si>
    <t>Pengobatan neuropatik (kerusakan sel saraf) dengan gejala kesemutan dan kebas karena kekurangan vitamin neurotropik (B1, B6, B12) pada keadaan kekurangan asupan, gangguan penyerapan, meningkatnya kehilangan di ginjal, maupun meningkatnya kebutuhan seperti pada penderita diabetes dan usia lanjut.</t>
  </si>
  <si>
    <t>Dus, Blister @ 10 Kaplet Salut Selaput</t>
  </si>
  <si>
    <t>Penderita yang hipersensitif terhadap komponen obat ini.</t>
  </si>
  <si>
    <t>Konsultasikan kepada dokter lebih dahulu sebelum mengonsumsi suplemen ini jika sedang mendapatkan terapi levodopa.</t>
  </si>
  <si>
    <t>pengobatan neuropatik kerusakan sel saraf gejala kesemutan kebas kekurangan vitamin neurotropik b1 , b6 , b12 kekurangan asupan , gangguan penyerapan , meningkatnya kehilangan ginjal , meningkatnya kebutuhan penderita diabetes usia</t>
  </si>
  <si>
    <t>hemaviton neuro forte</t>
  </si>
  <si>
    <t>hemaviton neuro forte kaplet cyanocobalamin pengobatan neuropatik kerusakan sel saraf gejala kesemutan kebas kekurangan vitamin neurotropik b1  b6  b12 kekurangan asupan  gangguan penyerapan  meningkatnya kehilangan ginjal  meningkatnya kebutuhan penderita diabetes usia</t>
  </si>
  <si>
    <t>DKI1763500814C1</t>
  </si>
  <si>
    <t>Janumet XR 100mg/1000 mg 28 Tablet</t>
  </si>
  <si>
    <t>Rp615.700 - Rp645.900</t>
  </si>
  <si>
    <t>PENGGUNAAN OBAT INI HARUS SESUAI DENGAN PETUNJUK DOKTER. Dosis bersifat individual, tidak boleh melebihi dosis maksimal sitagliptin 100 mg &amp; metformin 2 g. Umumnya diberikan 2 x perhari.Pasien dengan glukosa darah tidak dapat dikendalikan secara adekuat dengan metformin saja:Dosis awal lazim: Sitagliptin 50 mg 2 x perhari, plus dosis metformin yang telah digunakan.Pasien dengan glukosa darah tidak dapat dikendalikan secara adekuat dengan sitagliptin saja:Dosis awal lazim: Sitagliptin 50 mg/metformin HCl 500 mg 2 x perhari.Dosis dapat dititrasi hingga dosis sitagliptin 50 mg/metformin HCl 1000 mg 2 x perhari.Penggantian dari pemberian Sitagliptin &amp; Metformin secara bersama, dapat dimulai dengan dosis sitagliptin &amp; metformin yang sudah digunakan sebelumnya.</t>
  </si>
  <si>
    <t>Sebagai terapi tambahan terhadap diet &amp; olahraga untuk memperbaiki kontrol glukosa darah pada pasien Diabetes Melitus tipe 2 yang tidak dapat dikendalikan secara adekuat dengan metformin atau sitagliptin saja, atau pasien yang telah mendapat terapi kombinasi sitagliptin &amp; metformin.</t>
  </si>
  <si>
    <t>Dus, Botol @ 28 Tablet Pelepasan Lambat</t>
  </si>
  <si>
    <t>Peny ginjal atau ggn fungsi ginjal (kadar kreatinin serum ??.5 g/dL utk pria &amp; ??.4 mg/dL utk wanita atau bersihan kreatinin abnormal) yd juga diakibatkan oleh kondisi spt kolaps KV (syok)</t>
  </si>
  <si>
    <t>nicotinamide riboflavin thiamine mononitrate folic acid cyanocobalamin pyridoxine hydrochloride ascorbic acid calcium pantothenate ferrous sulfate</t>
  </si>
  <si>
    <t>iberet folic tablet nicotinamide riboflavin thiamine mononitrate folic acid cyanocobalamin pyridoxine hydrochloride ascorbic acid calcium pantothenate ferrous sulfate anemia defisiensi zat besi  anemia megaloblastik disertai kekurangan vitamin c b kompleks  kehamilan</t>
  </si>
  <si>
    <t>DKL1804527817C1</t>
  </si>
  <si>
    <t>Roswin 40 mg 10 Tablet</t>
  </si>
  <si>
    <t>INFORMASI OBAT INI HANYA UNTUK KALANGAN MEDIS. Sebagai terapi tambahan di samping diet, untuk menurunkan peningkatan kolesterol total, kolesterol LDL, apo-B &amp; trigliserida serta meningkatkan kolestroll HDL pada pasien dengan hiperkolesterolemia primer, hiperlipidemia kombinasi (campuran) &amp; hiperkolesterolemia familial heterozigot &amp; homozigot</t>
  </si>
  <si>
    <t>Hipersensitivitas. Pasien dengan penyakit hati aktif misalnya peningkatan yang tidak dapat dijelaskan, persisten &amp; peningkatan serum tranaminase yang melebihi 3 kali batas atas normal, miopati, menerima siklosporin bersamaan. Selama kehamilan &amp; menyusui &amp; pada wanita usia subur yang tidak menggunakan tindakan kontrasepsi yang tepat.</t>
  </si>
  <si>
    <t>HARUS DENGAN RESEP DOKTER. Pasien yang mengonsumsi alkohol dalam jumlah berlebihan dan atau memiliki riwayat penyakit hati. Lakukan tes fungsi hati sebelum dan 3 bulan setelah memulai pengobatan. Hentikan pengobatan atau kurangi dosis jika kadar transaminase serum &gt;3 kali batas atas normal. Pasien harus segera melaporkan nyeri atau kelemahan otot yang tidak dapat dijelaskan, terutama jika berhubungan dengan malaise atau demam. Mengukur kadar kreatinin kinase. Hentikan pengobatan jika kadar kreatinin kinase &gt;5 kali batas atas normal atau jika gejala otot parah &amp; menyebabkan ketidaknyamanan harian bahkan jika kadar kreatinin kinase 5 kali batas atas normal. Pengobatan tidak boleh dimulai jika tes ulang mengkonfirmasi tingkat kreatinin kinase dasar&gt; 5 kali batas atas normal. Pasien dengan risiko tinggi untuk berkembang menjadi diabetes Pusing dapat terjadi yang dapat mengganggu kemampuan mengemudi &amp; mengoperasikan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</si>
  <si>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sebagai terapi tambahan samping diet , menurunkan peningkatan kolesterol total , kolesterol ldl , apo - b trigliserida meningkatkan kolestroll hdl pasien hiperkolesterolemia primer , hiperlipidemia kombinasi campuran hiperkolesterolemia familial heterozigot homozigot</t>
  </si>
  <si>
    <t>roswin</t>
  </si>
  <si>
    <t>roswin tablet rosuvastatin calcium sebagai terapi tambahan samping diet  menurunkan peningkatan kolesterol total  kolesterol ldl  apo  b trigliserida meningkatkan kolestroll hdl pasien hiperkolesterolemia primer  hiperlipidemia kombinasi campuran hiperkolesterolemia familial heterozigot homozigot</t>
  </si>
  <si>
    <t>DKL1804527817A1</t>
  </si>
  <si>
    <t>Roswin 10 mg 10 Tablet</t>
  </si>
  <si>
    <t>DKL0408013517A1</t>
  </si>
  <si>
    <t>Lefos-500 Tablet</t>
  </si>
  <si>
    <t>Rp43.100 - Rp58.900</t>
  </si>
  <si>
    <t>PENGGUNAAN OBAT INI HARUS SESUAI DENGAN PETUNJUK DOKTER. 250-500 sekali sehari selama 7-14 hari</t>
  </si>
  <si>
    <t>Sinusitis maxillary akut, eksaserbasi bakteri akut dari bronkitis kronis, pneumonia nosokomial, pneumonia akibat lingkungan, prostatitis bakteri kronis, infeksi struktur kulit &amp; komplikasi kulit, komplikasi infeksi saluran kemih &amp; akut pyelonephritis.</t>
  </si>
  <si>
    <t>Hipersensitifitas terhadap kuinolon, epilepsi, riwayat kelainan tendon yang berkaitan dengan pemberian fluorokuinolon, anak-anak atau remaja, wanita hamil &amp; menyusui.</t>
  </si>
  <si>
    <t>HARUS DENGAN RESEP DOKTER. Jaga kondisi hidrasi tubuh. Insufisiensi ginjal. Paparan berlebih terhadap sinar matahari harus dihindari. Pasien dengan / dicurigai mempunyai kelainan SSP yang mudah mengalami kejang atau memiliki ambang kejang yang rendah. direkomendasikan pengawasan kadar gula darah secara 5eksama. Pemeriksaan secara berkala terhadap fungsi ginjal, hati &amp; hematopoietic.</t>
  </si>
  <si>
    <t>sinusitis maxillary akut , eksaserbasi bakteri akut bronkitis kronis , pneumonia nosokomial , pneumonia akibat lingkungan , prostatitis bakteri kronis , infeksi struktur kulit komplikasi kulit , komplikasi infeksi saluran kemih akut pyelonephritis</t>
  </si>
  <si>
    <t>lefos tablet levofloxacin hemihydrate sinusitis maxillary akut  eksaserbasi bakteri akut bronkitis kronis  pneumonia nosokomial  pneumonia akibat lingkungan  prostatitis bakteri kronis  infeksi struktur kulit komplikasi kulit  komplikasi infeksi saluran kemih akut pyelonephritis</t>
  </si>
  <si>
    <t>Pamperindo Adult Diapers M 8 Pieces</t>
  </si>
  <si>
    <t>Rp38.500 - Rp57.800</t>
  </si>
  <si>
    <t>Popok untuk orang dewasa ukuran M dengan ukuran pinggang 71-107 cm dan dapat dipakai oleh pria dan wanita yang berfungsi untuk menampung cairan urine orang dewasa yang sakit atau lansia agar tidak mengompol</t>
  </si>
  <si>
    <t>popok orang dewasa ukuran m ukuran pinggang 71 - 107 cm dipakai pria wanita berfungsi menampung cairan urine orang dewasa sakit lansia tidak mengompol</t>
  </si>
  <si>
    <t>pamperindo adult diapers m pieces</t>
  </si>
  <si>
    <t>pamperindo adult diapers m pieces tablet tizanidine hydrochloride popok orang dewasa ukuran m ukuran pinggang 71  107 cm dipakai pria wanita berfungsi menampung cairan urine orang dewasa sakit lansia tidak mengompol</t>
  </si>
  <si>
    <t>DKL0423407437A1</t>
  </si>
  <si>
    <t>Miratadin Sirup 60 ml</t>
  </si>
  <si>
    <t>PENGGUNAAN OBAT INI HARUS SESUAI DENGAN PETUNJUK DOKTER. Anak-anak umur 2-12 tahun: - BB lebih dari 30 Kg: 10 mg (2 sendok takar 5 ml) sirup, diberikan1 x sehari. - BB kurang dari 30 Kg: 5 mg (1 sendok takar 5 ml) sirup, diberikan 1 x sehari.</t>
  </si>
  <si>
    <t>INFORMASI OBAT INI HANYA UNTUK KALANGAN MEDIS. Untuk menyembuhkan gejala-gejala yang berkaitan dengan rinitis alergik, seperti bersin-bersin, pilek (rinorea) dan rasa gatal pada hidung, demikian juga rasa gatal dan terbakar pada mata.ï¿½Juga diindikasikan untuk menyembuhkan gejala dan tanda-tanda urtikaria kronis serta penyakit-penyakit dermatologis alergik lainnya.</t>
  </si>
  <si>
    <t>untuk menyembuhkan gejala - gejala berkaitan rinitis alergik , bersin - bersin , pilek rinorea gatal hidung , gatal terbakar mata  juga diindikasikan menyembuhkan gejala tanda - tanda urtikaria kronis penyakit - penyakit dermatologis alergik</t>
  </si>
  <si>
    <t>miratadin</t>
  </si>
  <si>
    <t>miratadin sirup loratadine untuk menyembuhkan gejala  gejala berkaitan rinitis alergik  bersin  bersin  pilek rinorea gatal hidung  gatal terbakar mata  juga diindikasikan menyembuhkan gejala tanda  tanda urtikaria kronis penyakit  penyakit dermatologis alergik</t>
  </si>
  <si>
    <t>DKL1805060310A1</t>
  </si>
  <si>
    <t>Vildi 50 mg 10 Tablet</t>
  </si>
  <si>
    <t>Rp59.500 - Rp71.700</t>
  </si>
  <si>
    <t>Diberikan sebelum atau setelah makan.</t>
  </si>
  <si>
    <t>PENGGUNAAN OBAT INI HARUS SESUAI DENGAN PETUNJUK DOKTER. Untuk monoterapi dosis anjuran: 50 mg 1 x/hari pada pagi dan atau malam hari. Untuk terapi kombinasi dosis anjuran: 50 mg 1 x/hari pada pagi hari atau 100 mg dalam 2 dosis terbagi yang diberikan pada pagi hari atau pada malam hari dikombinasi dengan sulfonilurea.</t>
  </si>
  <si>
    <t>Terapi tambahan pada diet dan olahraga untuk meningkatkan kontrol glikemik pada pasien DM tipe 2. Untuk penggunaan monoterapi atau terapi kombinasi dengan metformin, sulfonilurea atau tiazolindinedion jika diet, olahraga, dan obat antidiabetes tunggal tidak dapat mengontrol glikemik secara memadai.</t>
  </si>
  <si>
    <t>Gangguan ginjal sedang atau berat, gangguan hati. Kelainan herediter yang jarang berupa intoleransi galaktosa, defisiensi laktase atau malabsorpsi glukosa-galaktosa. DM tipe 1 atau terapi diabetik keotasidosis. Anak &lt;18 tahun. Laktasi.</t>
  </si>
  <si>
    <t>HARUS DENGAN RESEP DOKTER. Hamil. Dapat mengganggu kemampuan mengemudi atau menjalankan mesin.</t>
  </si>
  <si>
    <t>vildagliptin</t>
  </si>
  <si>
    <t>terapi tambahan diet olahraga meningkatkan kontrol glikemik pasien dm tipe 2  untuk penggunaan monoterapi terapi kombinasi metformin , sulfonilurea tiazolindinedion diet , olahraga , obat antidiabetes tunggal tidak mengontrol glikemik memadai</t>
  </si>
  <si>
    <t>vildi</t>
  </si>
  <si>
    <t>vildi tablet vildagliptin terapi tambahan diet olahraga meningkatkan kontrol glikemik pasien dm tipe 2  untuk penggunaan monoterapi terapi kombinasi metformin  sulfonilurea tiazolindinedion diet  olahraga  obat antidiabetes tunggal tidak mengontrol glikemik memadai</t>
  </si>
  <si>
    <t>O2 Oxygen Multi Purpose Solution 160 ml</t>
  </si>
  <si>
    <t>Rp19.000 - Rp41.400</t>
  </si>
  <si>
    <t>o oxygen multi purpose solution</t>
  </si>
  <si>
    <t>o oxygen multi purpose solution tablet kombinasivalsartan blend 32 cairan pembersih contact lens manfaat cleans membersihkan  lubricates melembabkan  desinfects mematikan kuman  protein removes membersihkan protein pengotor  stores mempertahankan kualitas softlens penyimpa</t>
  </si>
  <si>
    <t>nexium mups tablet esomeprazole magnesium trihydrate mengobati gastroesophageal reflux disease gerd esofagitis peradangan lapisan kerongkongan simptom refluks berat pasien tukak lambung ulkus peptik disebabkan h  pylori terapi kombinasi diakibatkan konsumsi oains</t>
  </si>
  <si>
    <t>DKI1852503717B1</t>
  </si>
  <si>
    <t>Jardiance Duo 12.5 mg/500 mg 10 Tablet</t>
  </si>
  <si>
    <t>Rp139.400 - Rp178.400</t>
  </si>
  <si>
    <t>empagliflozin metformin hydrochloride</t>
  </si>
  <si>
    <t>jardiance duo tablet empagliflozin metformin hydrochloride dewasa dm tipe 2 tambahan diet olahraga memperbaiki kontrol glikemik pasien tidak dikendalikan adekuat dosis maksimal ditolerir metformin  pasien diterapi kombinasi empagliflozin metformin tablet terpisah</t>
  </si>
  <si>
    <t>Polylab Moisture Rich Multi Purpose Solution 100 ml</t>
  </si>
  <si>
    <t>Rp25.100 - Rp65.000</t>
  </si>
  <si>
    <t>Larutan serbaguna untuk lensa kontak lunak yang digunakan untuk membersihkan, melepaskan dan menghancurkan timbunan lemak, protein, kotoran lain dan debu pada lensa kontak lunak, membilas dan merendam lensa kontak lunak.</t>
  </si>
  <si>
    <t>larutan serbaguna lensa kontak lunak membersihkan , melepaskan menghancurkan timbunan lemak , protein , kotoran debu lensa kontak lunak , membilas merendam lensa kontak lunak</t>
  </si>
  <si>
    <t>polylab moisture rich multi purpose solution</t>
  </si>
  <si>
    <t>polylab moisture rich multi purpose solution tablet kombinasivalsartan blend 32 larutan serbaguna lensa kontak lunak membersihkan  melepaskan menghancurkan timbu lemak  protein  kotoran debu lensa kontak lunak  membilas merendam lensa kontak lunak</t>
  </si>
  <si>
    <t>Polylab Moisture Rich Multi Purpose Solution 360 ml</t>
  </si>
  <si>
    <t>Rp52.800 - Rp105.500</t>
  </si>
  <si>
    <t>DTL1124403528A1</t>
  </si>
  <si>
    <t>Counterpain PXM Gel 25 g</t>
  </si>
  <si>
    <t>Rp109.700 - Rp120.700</t>
  </si>
  <si>
    <t>Oleskan pada bagian yang di rasa sakit. Hanya untuk penggunaan luar.</t>
  </si>
  <si>
    <t>Oleskan sehari 3-4 x 1 g pada bagian yang sakit.</t>
  </si>
  <si>
    <t>Untuk meredakan nyeri dan peradangan pada otot dan sendi, seperti osteoartritis, post-trauma atau kelainan otot rangka akut termasuk tendinitis, tenosynovitis, periarthritis, sprains (keseleo), strains (otot tegang), dan sakit punggung bagian bawah.</t>
  </si>
  <si>
    <t>Dus, Tube @ 25 G</t>
  </si>
  <si>
    <t>Hentikan penggunaan jika nyeri radang sendi lebih dari 10 hari atau jika kulit menjadi merah, jangan digunakan pada kulit dengan luka terbuka atau teriritasi. Tidak boleh di gunakan pada mata, mukosa, atau lesi kulit yang terbuka.</t>
  </si>
  <si>
    <t>piroxicam methyl salicylate menthol eugenol</t>
  </si>
  <si>
    <t>untuk meredakan nyeri peradangan otot sendi , osteoartritis , post - trauma kelainan otot rangka akut tendinitis , tenosynovitis , periarthritis , sprain keseleo , strain otot tegang , sakit punggung</t>
  </si>
  <si>
    <t>counterpain pxm</t>
  </si>
  <si>
    <t>counterpain pxm gel piroxicam methyl salicylate menthol eugenol untuk meredakan nyeri peradangan otot sendi  osteoartritis  post  trauma kelai otot rangka akut tendinitis  tenosynovitis  periarthritis  sprain keseleo  strain otot tegang  sakit punggung</t>
  </si>
  <si>
    <t>galvusmet tablet vildagliptin metformin hydrochloride tambahan diet olahraga memperbaiki kontrol glukosa darah pasien dm tipe 2 tidak dikendalikan metformin hcl vildagliptin pasien dm diterapi kombinasi vildagliptin metformin hcl  digunakan kombinasi insulin</t>
  </si>
  <si>
    <t>DBL1715625433A1</t>
  </si>
  <si>
    <t>Gastrinal HD Suspensi 120 ml</t>
  </si>
  <si>
    <t>Diminum 1 jam sebelum makan atau 2 jam sesudah makan dan menjelang tidur.</t>
  </si>
  <si>
    <t>Dewasa : 1-2 sendok takar (5-10 ml), 3-4 kali sehari Anak-anak : 1 sendok takar ( 5 ml), 3-4 kali sehari</t>
  </si>
  <si>
    <t>Untuk meringankan gejala-gejala yang berhubungan dengan kelebihan asam lambung, gastritis, tukak lambung, tukak usus 12 jari dengan gejala-gejala seperti mual, nyeri lambung, nyeri ulu hati, kembung, dan perasaan penuh pada lambung.</t>
  </si>
  <si>
    <t>Jangan diberikan pada penderita gangguan fungsi ginjal yang berat karena dapat menimbulkan hipermagnesia (kadar magnesium dalam darah meningkat)</t>
  </si>
  <si>
    <t>Kocok dahulu sebelum digunakan. Tidak dianjurkan digunakan terus menerus lebih dari 2 minggu, kecuali atas petunjuk dokter karena dapat menimbulkan ketergantungan fungsi lambung. Bila sedang menggunakan obat tukak lambung lain seperti cimetidine atau antibiotika tetracycline, harap diberikan dengan selang waktu 2 jam. Tidak dianjurkan pemberian pada anak-anak di bawah usia 6 tahun, kecuali atas petunjuk dokter, karena biasanya kurang jelas penyebab gangguan penyakitnya. Hati0hati pemberian pada diet fosfor rendag dan pemakaian lama, karena dapat mengurangi kadar fosfor dalam darah.</t>
  </si>
  <si>
    <t>untuk meringankan gejala - gejala berhubungan kelebihan asam lambung , gastritis , tukak lambung , tukak usus 12 jari gejala - gejala mual , nyeri lambung , nyeri ulu hati , kembung , perasaan penuh lambung</t>
  </si>
  <si>
    <t>gastrinal hd</t>
  </si>
  <si>
    <t>gastrinal hd suspensi hydrotalcite untuk meringankan gejala  gejala berhubungan kelebihan asam lambung  gastritis  tukak lambung  tukak usus 12 jari gejala  gejala mual  nyeri lambung  nyeri ulu hati  kembung  perasaan penuh lambung</t>
  </si>
  <si>
    <t>DKI1697300610A1</t>
  </si>
  <si>
    <t>Galvus 50 mg 14 Tablet</t>
  </si>
  <si>
    <t>Rp63.700 - Rp147.900</t>
  </si>
  <si>
    <t>INFORMASI OBAT INI HANYA UNTUK KALANGAN MEDIS. Terapi tambahan pada diet dan olahraga untuk meningkatkan kontrol glikemik pada pasien DM tipe 2. Untuk penggunaan monoterapi atau terapi kombinasi dengan metformin, sulfonilurea atau tiazolindinedion jika diet, olahraga, dan obat antidiabetes tunggal tidak dapat mengontrol glikemik secara memadai.</t>
  </si>
  <si>
    <t>galvus</t>
  </si>
  <si>
    <t>galvus tablet vildagliptin terapi tambahan diet olahraga meningkatkan kontrol glikemik pasien dm tipe 2  untuk penggunaan monoterapi terapi kombinasi metformin  sulfonilurea tiazolindinedion diet  olahraga  obat antidiabetes tunggal tidak mengontrol glikemik memadai</t>
  </si>
  <si>
    <t>bagus nina pantyliner anion floral scent pads tablet sildenafil citrate diskon produk ini hanya berlaku untuk pembelian melalui official store watsons di aplikasi halodoc  pembalut keputihan keluarnya lendir berlebih organ kewanitaan</t>
  </si>
  <si>
    <t>DKL0406311646A1</t>
  </si>
  <si>
    <t>Erlamycetin Plus Eye Drops 5 ml</t>
  </si>
  <si>
    <t>Rp22.200 - Rp40.900</t>
  </si>
  <si>
    <t>Teteskan pada mata yang sakit. Perlu perhatian untuk pemberian pada bayi dan anak-anak dibawah 2 tahun.</t>
  </si>
  <si>
    <t>PENGGUNAAN OBAT INI HARUS SESUAI DENGAN PETUNJUK DOKTER. Teteskan 1 tetes pada mata yang sakit sehari 1-4 kali atau menurut petunjuk dokter. Untuk infeksi akut teteskan 1 tetes setiap jam atau sesuai petunjuk dokter.</t>
  </si>
  <si>
    <t>INFORMASI OBAT INI HANYA UNTUK KALANGAN MEDIS. Keratitis akut maupun kronik dan konjungtivitis akibat infeksi yang disertai pembengkakan hebat. Inflamasi uvea anterior (iritis, iriocyclitis). Scleritis, episcleritis, sympathetic ophtalmia dan miositis. Pengelolaan radang pasca operasi katarak, glaukoma dan strabismus</t>
  </si>
  <si>
    <t>Hipersensitivitas terhadap salah satu bahan, galukoma, neonatus, poriporia intermitten akut, penderita dengan riwayat osteoporosis, herpes simplex pada mata, ulkus peptikum.</t>
  </si>
  <si>
    <t>HARUS DENGAN RESEP DOKTER. Pemberian Chloramphenicol jangan dilakukan lebih dari sepuluh hari. Sebaiknya jangan diberikan pada anak-anak dibawah 2 tahun, wanita hamil dan menyusui dan pada penderita hipertensi atau hipotensi. Pada saat pemberian obat ini sebaiknya tidak menggunakan lensa kontak.</t>
  </si>
  <si>
    <t>keratitis akut kronik konjungtivitis akibat infeksi disertai pembengkakan hebat  inflamasi uvea anterior iritis , iriocyclitis  scleritis , episcleritis , sympathetic ophtalmia miositis  pengelolaan radang pasca operasi katarak , glaukoma strabismus</t>
  </si>
  <si>
    <t>erlamycetin plus eye</t>
  </si>
  <si>
    <t>erlamycetin plus eye tetes chloramphenicol keratitis akut kronik konjungtivitis akibat infeksi disertai pembengkakan hebat  inflamasi uvea anterior iritis  iriocyclitis  scleritis  episcleritis  sympathetic ophtalmia miositis  pengelolaan radang pasca operasi katarak  glaukoma strabismus</t>
  </si>
  <si>
    <t>DTL9922231133B1</t>
  </si>
  <si>
    <t>Bufect Suspensi Forte 200mg/5ml 50 ml</t>
  </si>
  <si>
    <t>Rp27.900 - Rp33.800</t>
  </si>
  <si>
    <t>Dewasa: 1 sendok teh 3-4 kali per hari. Anak:ï¿½untuk meredakan demam &amp; nyeriï¿½20 mg/kgBB dalam dosis terbagi.</t>
  </si>
  <si>
    <t>Nyeri ringan sampai dengan sedang seperti dismenor primer, nyeri gigi atau nyeri pasca operasi cabut gigi, nyeri pasca operasi, sakit kepala. Nyeri ringan hingga sedang yang merupakan gejala dari nyeri pada penyakit reumatik, nyeri otot, untuk meredakan demam.</t>
  </si>
  <si>
    <t>Hipersensitif terhadap AINS lain, ulkus peptik. Pasien yg mengalami asma, rinitis atau urtikaria jika menggunakan aspirin atau obat AINS lain. Kehamilan trimester 3</t>
  </si>
  <si>
    <t>Riwayat penyakit Gastrointestinal bagian atas, gangguann fungsi ginjal, gagal ginjal, hipertensi, defek koagulasi, asma, SLE. Hipertensi atau kondisi lain yang dapat memicu retensi cairan</t>
  </si>
  <si>
    <t>promag tablet hydrotalcite magnesium hydroxide simethicone meringankan gejala  gejala berhubungan kelebihan asam lambung  gastritis  tukak lambung  tukak usus 12 jari gejala mual  nyeri lambung  nyeri ulu hati  kembung perasaan penuh lambung</t>
  </si>
  <si>
    <t>Emtrix Gel 10 ml</t>
  </si>
  <si>
    <t>Rp209.200 - Rp230.200</t>
  </si>
  <si>
    <t>Aplikasikan Emtrix satu kali sehari pada kuku yang bermasalah pada malam hari sebelum tidur. Letakkan ujung tube ( seperti pensil ) ke kuku, tekan perlahan sehingga larutan Emtrix keluar dan ratakan tipis-tipis dengan ujung tube. Pastikan semua permukaan kuku yang bermasalah terlapisi, termasuk di bawah atau tepi/ujung kuku. Diamkan kuku beberapa saat hingga mengering.</t>
  </si>
  <si>
    <t>Digunakan 1 kali sehari</t>
  </si>
  <si>
    <t>Membantu dalam proses perawatan kuku yang rusak dan warnya menjadi gelap, retak-retak serta rapuh yang biasanya disebabkan oleh infeksi jamur atau psoriasis. Dapat melembutkan dan meratakan lapisan luar kuku. Dapat membantu memperbaiki tampilan kuku dan menjaga agar tetp sehat</t>
  </si>
  <si>
    <t>menggunakan cat kuku</t>
  </si>
  <si>
    <t>Hanya untuk penggunaan luar. Hindari kontak dengan mata atau membran mukosa lainnya. Jangan digunakan jika ada alergi terhadap salah satu dari komponen produk.</t>
  </si>
  <si>
    <t>membantu prose perawatan kuku rusak warnya gelap , retak - retak rapuh disebabkan infeksi jamur psoriasis  dapat melembutkan meratakan lapisan kuku  dapat membantu memperbaiki tampilan kuku menjaga tetp sehat</t>
  </si>
  <si>
    <t>emtrix</t>
  </si>
  <si>
    <t>emtrix krim sulfadiazine silver membantu prose perawatan kuku rusak warnya gelap  retak  retak rapuh disebabkan infeksi jamur psoriasis  dapat melembutkan meratakan lapisan kuku  dapat membantu memperbaiki tampilan kuku menjaga tetp sehat</t>
  </si>
  <si>
    <t>DKL2013322102B1</t>
  </si>
  <si>
    <t>Microgest 200 mg 15 Kapsul</t>
  </si>
  <si>
    <t>Rp391.800 - Rp501.800</t>
  </si>
  <si>
    <t>Penggunaan oral: Sebaiknya diberikan pada saat perut kosong. Telan dengan segelas air diluar waktu makan. Sebaiknya diberikan menjelang tidur Penggunaan vaginal: Masukkan tiap kapsul jauh ke dalam vaginal.</t>
  </si>
  <si>
    <t>PENGGUNAAN OBAT INI HARUS SESUAI DENGAN PETUNJUK DOKTER. Dosis umum : 1-2 kapsul setiap hari dalam dosis terbagi. Dosis dapat bervariasi berdasarkan indikasi dan kebutuhan pasien.</t>
  </si>
  <si>
    <t>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t>
  </si>
  <si>
    <t>Dus, 1 Blister @ 8 Kapsul Lunak + 1 Blister @ 7Kapsul Lunak</t>
  </si>
  <si>
    <t>Hipersensitivitas, gangguan fungsi hati, pendarahan vagina yang belum terdiagnosis, porfiria, kanker uterus dan organ genital, kanker payudara, riwayat idiopatik jaundice, gatal-gatal berat atau pemphigoid gestationis selama kehamilan, terlambat haid dan aborsi tidak sempurna.</t>
  </si>
  <si>
    <t>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</si>
  <si>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untuk gangguan berhubungan defisiensi progesteron  penggunaan oral diindikasikan menstruasi tidak teratur akibat disovulasi  penggunaan vaginal diindikasikan siklus fertilisasi in vitro ivf  penggunaan vaginal alternatif menghindari efek samping progesteron</t>
  </si>
  <si>
    <t>microgest</t>
  </si>
  <si>
    <t>microgest kapsul progesterone untuk gangguan berhubungan defisiensi progesteron  penggunaan oral diindikasikan menstruasi tidak teratur akibat disovulasi  penggunaan vaginal diindikasikan siklus fertilisasi in vitro ivf  penggunaan vaginal alternatif menghindari efek samping progesteron</t>
  </si>
  <si>
    <t>metformin hydrochloride empagliflozin</t>
  </si>
  <si>
    <t>jardiance duo tablet metformin hydrochloride empagliflozin dewasa dm tipe 2 tambahan diet olahraga memperbaiki kontrol glikemik pasien tidak dikendalikan adekuat dosis maksimal ditolerir metformin  pasien diterapi kombinasi empagliflozin metformin tablet terpisah</t>
  </si>
  <si>
    <t>DKI1763500814B1</t>
  </si>
  <si>
    <t>Janumet XR 50mg/1000 mg 28 Tablet</t>
  </si>
  <si>
    <t>Rp683.200 - Rp701.900</t>
  </si>
  <si>
    <t>DKI1763500814A1</t>
  </si>
  <si>
    <t>Janumet XR 50mg/500 mg 28 Tablet</t>
  </si>
  <si>
    <t>Rp688.400 - Rp702.000</t>
  </si>
  <si>
    <t>DKL8705502829A1</t>
  </si>
  <si>
    <t>Apolar N Cream 10 g</t>
  </si>
  <si>
    <t>Rp46.500 - Rp50.000</t>
  </si>
  <si>
    <t>PENGGUNAAN OBAT INI HARUS SESUAI DENGAN PETUNJUK DOKTER. Oleskan krim 2-3 x sehari pada area yang sakit, radang, atau gatal.</t>
  </si>
  <si>
    <t>apolar n cream</t>
  </si>
  <si>
    <t>apolar n cream krim desonide dermatitis disertai infeksi  dermatitis atopik alergi herediter keturu  dermatitis seboroik berkaitan sekresi minyak kulit  pruritus gatal  gatal anus vulva genital external wanita  otitis externa peradangan telinga</t>
  </si>
  <si>
    <t>DKI1852503717C1</t>
  </si>
  <si>
    <t>Jardiance Duo 12.5 mg/850 mg 10 Tablet</t>
  </si>
  <si>
    <t>Rp123.600 - Rp164.200</t>
  </si>
  <si>
    <t>Tissue Super Magic Man Premium Gold 3 Pieces</t>
  </si>
  <si>
    <t>Rp13.900 - Rp14.300</t>
  </si>
  <si>
    <t>Usapkan tissue super magic pada alat vital dengan rata sesuai kebutuhan, diamkan selama 5-15 menit sebelum berhubungan, setelah 5 - 15 menit, cuci menggunakan sabun dan bilas dengan air hangat.</t>
  </si>
  <si>
    <t>Membantu meningkatkan stamina seksual pria, membantu membuat ereksi menjadi tahan lama, sebagai antiseptik untuk membersihkan area organ intim pria, menyegarkan dan menghilangkan bau tak sedap pada organ intim pria.</t>
  </si>
  <si>
    <t>Dus, 3 pieces</t>
  </si>
  <si>
    <t>membantu meningkatkan stamen seksual pria , membantu ereksi tahan , antiseptik membersihkan area organ intim pria , menyegarkan menghilangkan bau sedap organ intim pria</t>
  </si>
  <si>
    <t>tissue super magic man premium gold pieces</t>
  </si>
  <si>
    <t>tissue super magic man premium gold pieces tablet sildenafil citrate membantu meningkatkan stamen seksual pria  membantu ereksi tahan  antiseptik membersihkan area organ intim pria  menyegarkan menghilangkan bau sedap organ intim pria</t>
  </si>
  <si>
    <t>succus liquiritiae ammonium chloride paracetamol chlorphenamine maleate pseudoephedrine hydrochloride</t>
  </si>
  <si>
    <t>obh combi anak batuk plus flu apel sirup succus liquiritiae ammonium chloride paracetamol chlorphenamine maleate pseudoephedrine hydrochloride meredakan batuk disertai gejala  gejala flu anak demam  sakit kepala  hidung tersumbat bersin  bersin</t>
  </si>
  <si>
    <t>TI194658331</t>
  </si>
  <si>
    <t>Green Fit Liquid Chlorophyll 500 ml</t>
  </si>
  <si>
    <t>GREEN FIT LIQUID CHLOROPHYLL</t>
  </si>
  <si>
    <t>Rp169.000 - Rp232.600</t>
  </si>
  <si>
    <t>DEWASA: Tambahkan satu sendok makan Green Fit Liquid Chlorophyll ke dalam segelas air. 3 kali sehari. ANAK-ANAK: Tambahkan satu sendok teh Green Fit Liquid Chlorophyll ke dalam segelas air. 3 kali sehari.</t>
  </si>
  <si>
    <t>Membantu mendetoksifikasi dan menghilangkan kotoran dari tubuh. Membantu menyeimbangkan hormon tubuh dan tingkat pH asam / basa (alkali). Membantu meningkatkan nutrisi/gizi pada tubuh dan meremajakan sel darah merah. Untuk membantu mencegah berbagai macam penyakit.</t>
  </si>
  <si>
    <t>green fit liquid chlorophyll</t>
  </si>
  <si>
    <t>membantu mendetoksifikasi menghilangkan kotoran tubuh  membantu menyeimbangkan hormon tubuh tingkat ph asam basa alkali  membantu meningkatkan nutrisi gizi tubuh meremajakan sel darah merah  untuk membantu mencegah penyakit</t>
  </si>
  <si>
    <t>green fit liquid chlorophyll  membantu mendetoksifikasi menghilangkan kotoran tubuh  membantu menyeimbangkan hormon tubuh tingkat ph asam basa alkali  membantu meningkatkan nutrisi gizi tubuh meremajakan sel darah merah  untuk membantu mencegah penyakit</t>
  </si>
  <si>
    <t>DKL2013322102A1</t>
  </si>
  <si>
    <t>Microgest 100 mg 15 Kapsul</t>
  </si>
  <si>
    <t>Rp215.700 - Rp270.900</t>
  </si>
  <si>
    <t>PENGGUNAAN OBAT INI HARUS SESUAI DENGAN PETUNJUK DOKTER. Dosis umum : 2-3 kapsul setiap hari dalam dosis terbagi. Dosis dapat bervariasi berdasarkan indikasi dan kebutuhan pasien.</t>
  </si>
  <si>
    <t>clebopride malate</t>
  </si>
  <si>
    <t>clast tablet clebopride malate  tukak peptik gastroduodenitis   menormalkan motilitas saluran cerna  dispepsia  anorexia  aerofagia meteorisme perut kembung  gastritis  reflux esofagitis  gastritis akibat alkoholisme khronik   mual muntah   muntah obat anti kanker radioterapi</t>
  </si>
  <si>
    <t>DTL9804123737A1</t>
  </si>
  <si>
    <t>OBH Combi Anak Batuk Plus Flu Strawberry 60 ml</t>
  </si>
  <si>
    <t>Rp17.000 - Rp21.200</t>
  </si>
  <si>
    <t>Umur 2 - 5 tahun : 3 x sehari 1 sendok takar (@ 5 ml). Umur 6 - 12 tahun : 3 x sehari 2 sendok takar (@10 ml).</t>
  </si>
  <si>
    <t>Meredakan batuk yang disertai gejala-gejala flu pada anak seperti demam, sakit kepala, hidung tersumbat dan bersin-bersin.</t>
  </si>
  <si>
    <t>Hati-hati pada penderita dengan gangguan fungsi hati dan ginjal. Tidak dianjuran pada anak- anak usia dibawah 2 tahun, wanita hamil dan menyusui kecuali atas petunjuk dokter. Selama minum obat tidak boleh mengendarai kendaraan atau menjalankan mesin.</t>
  </si>
  <si>
    <t>obh combi anak batuk plus flu strawberry</t>
  </si>
  <si>
    <t>obh combi anak batuk plus flu strawberry sirup succus liquiritiae ammonium chloride paracetamol pseudoephedrine hydrochloride chlorphenamine maleate meredakan batuk disertai gejala  gejala flu anak demam  sakit kepala  hidung tersumbat bersin  bersin</t>
  </si>
  <si>
    <t>DTL9804123837A1</t>
  </si>
  <si>
    <t>OBH Combi Anak Batuk Plus Flu Jeruk 60 ml</t>
  </si>
  <si>
    <t>Rp14.800 - Rp21.200</t>
  </si>
  <si>
    <t>Meredakan batuk yang disertai gejala-gejala flu seperti demam, sakit kepala, hidung tersumbat dan bersin-bersin pada anak.</t>
  </si>
  <si>
    <t>meredakan batuk disertai gejala - gejala flu demam , sakit kepala , hidung tersumbat bersin - bersin anak</t>
  </si>
  <si>
    <t>obh combi anak batuk plus flu jeruk</t>
  </si>
  <si>
    <t>obh combi anak batuk plus flu jeruk sirup succus liquiritiae ammonium chloride paracetamol chlorphenamine maleate pseudoephedrine hydrochloride meredakan batuk disertai gejala  gejala flu demam  sakit kepala  hidung tersumbat bersin  bersin anak</t>
  </si>
  <si>
    <t>succus liquiritiae paracetamol ammonium chloride chlorphenamine maleate pseudoephedrine hydrochloride</t>
  </si>
  <si>
    <t>obh combi anak batuk plus flu strawberry sirup succus liquiritiae paracetamol ammonium chloride chlorphenamine maleate pseudoephedrine hydrochloride meredakan batuk disertai gejala  gejala flu anak demam  sakit kepala  hidung tersumbat bersin  bersin</t>
  </si>
  <si>
    <t>DKI9790700217A1</t>
  </si>
  <si>
    <t>Lipitor 10 mg 10 Tablet</t>
  </si>
  <si>
    <t>Rp209.800 - Rp296.000</t>
  </si>
  <si>
    <t>PENGGUNAAN OBAT INI HARUS SESUAI DENGAN PETUNJUK DOKTER. Dosis awal yang biasa diberikan adalah 10 mg 1 kali sehari. Rentang dosis adalah antara 10-80 mg sekali sehari. Hypercholesterolemia primer dan hyperlipidemia campuran: 10 mg, diberikan 1 kali sehari. Familial hypercholesterolemia homozigot: 10-80 mg per hari. Familial hypercholesterolemia heterozigot pada pasien anak-anak (10-17 tahun): dosis awal yang direkomendasikan adalah 10 mg/hari, dosis maksimum yang direkomendasikan adalah 20 mg/hari. Penyesuaian harus dilakukan pada interval 4 minggu. Kombinasi dg siklosporin, telaprevir, atau kombinasi tipranavir/ritonavir: Dosis tidak boleh melebihi 10 mg.</t>
  </si>
  <si>
    <t>INFORMASI OBAT INI HANYA UNTUK KALANGAN MEDIS. Sebagai terapi tambahan di samping diet, untuk menurunkan kolesterol total, kolesterol LDL, apolipoprotein-B, dan kadar trigliserida pada pasien dengan hiperkolesterolemia primer, hiperlipidemia kombinasi (campuran), serta hiperkolesterolemia familial heterozigot dan homozigot, bila diet dan penatalaksanaan non-farmakologik lainnya kurang berhasil.</t>
  </si>
  <si>
    <t>Obat ini tidak boleh diberikan kepada pasien denga kondisi: Hipersensitif terhadap komponen- komponen dalam obat ini. Penyakit hati aktif atau peningkatan serum transaminase yang menetap melebihi 3 kali lipat dari batas atas normal. Ibu hamil, menyusui atau usia produktif yang tidak menggunakan alat kontrasepsi yang adekuat. Atorvastatin harus diberikan pada wanita usia subur hanya jika sangat tidak mungkin hamil dan telah diinformasikan potensi bahayanya terhadap janin.</t>
  </si>
  <si>
    <t>HARUS DENGAN RESEP DOKTER. Pasien yang memberikan tanda atau gejala yang mengarah pada kerusakan hati harus melakukan tes fungsi hati. Pasien dengan kondisi serius yang akut mengarah pada miopatia atau memiliki faktor risiko yang mempengaruhi pada perkembangan menjadi gagal ginjal sekunder dari rhabdomyolysis harus menunda atau menghentikan terapi sementara. Pasien dengan stroke hemoragi pada saat awal pengobatan tampak memiliki risiko yang lebih tinggi untuk mengalami stroke hemoragi berulang. Kategori kehamilan: Kategori X: Kontraindikasi (tidak boleh digunakan). Terdapat hasil penelitian terhadap hewan uji dan manusia yang memperlihatkan abnormalitas terhadap janin. Obat ini dikontraindikasikan untuk wanita hamil dan yang berkemungkinan untuk hamil.</t>
  </si>
  <si>
    <t>atorvastatin</t>
  </si>
  <si>
    <t>sebagai terapi tambahan samping diet , menurunkan kolesterol total , kolesterol ldl , apolipoprotein - b , kadar trigliserida pasien hiperkolesterolemia primer , hiperlipidemia kombinasi campuran , hiperkolesterolemia familial heterozigot homozigot , diet penatalaksanaan non - farmakologik berhasil</t>
  </si>
  <si>
    <t>lipitor</t>
  </si>
  <si>
    <t>lipitor tablet atorvastatin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</si>
  <si>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stomach suspensi dried aluminium hydroxide gel magnesium hydroxide simethicone untuk mengatasi gejala  gejala berhubungan kelebihan asam lambung  gastritis  tukak lambung  tukak usus belas jari  gejala  gejala mual  nyeri lambung  nyeri ulu hati</t>
  </si>
  <si>
    <t>DKL9702323834B1</t>
  </si>
  <si>
    <t>Broxal 15mg/5ml Sirup 60 ml</t>
  </si>
  <si>
    <t>Rp20.700 - Rp22.300</t>
  </si>
  <si>
    <t>PENGGUNAAN OBAT INI HARUS SESUAI DENGAN PETUNJUK DOKTER. Dosis: Anak sampai dengan usia 2 thn : 0.5 mL (10 tetes) 2 kali sehari.</t>
  </si>
  <si>
    <t>enyakit saluran napas akut dan kronis dengan sekresi bronkial yg abnormal, terutama serangan akut bronkitis kronis, asma bronkial, bronkitis asmatik, terapi pra &amp; pasca op, perawatan intensif utk menghindari komplikasi paru.</t>
  </si>
  <si>
    <t>enyakit saluran napa akut kronis sekresi bronkial yg abnormal , serangan akut bronkitis kronis , asma bronkial , bronkitis asmatik , terapi pra pasca op , perawatan intensif utk menghindari komplikasi paru</t>
  </si>
  <si>
    <t>broxal mgml larutan ambroxol hydrochloride enyakit saluran napa akut kronis sekresi bronkial yg abnormal  serangan akut bronkitis kronis  asma bronkial  bronkitis asmatik  terapi pra pasca op  perawatan intensif utk menghindari komplikasi paru</t>
  </si>
  <si>
    <t>DKI9790700217C1</t>
  </si>
  <si>
    <t>Lipitor 40 mg 10 Tablet</t>
  </si>
  <si>
    <t>Rp211.800 - Rp318.800</t>
  </si>
  <si>
    <t>Physiomer Normal Jet Nasal Spray 135 ml</t>
  </si>
  <si>
    <t>Sempotkan pada tiap lubang hidung. Lama penyemprotan 1-2 detik.</t>
  </si>
  <si>
    <t>Pada perawatan gejala gangguan pada rongga hidung karena hidung tersumbat: 4-6 kali sehari, dengan lama penyemprotan 1-2 detik untuk tiap rongga hidung. Untuk penggunaan sehari-hari, pemeliharaan kebersihan dan kesehatan rongga hidung: 1 -2 kali sehari, dengan lama penyemprotan 1-2 detik</t>
  </si>
  <si>
    <t>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t>
  </si>
  <si>
    <t>Botol @ 135 ml</t>
  </si>
  <si>
    <t>Jauhkan dari jangkauan anak-anak</t>
  </si>
  <si>
    <t>physiomer nasal spray - membersihkan menghilangkan sekresi mukus rongga hidung , - membantu membersihkan saluran hidung debu , alergen , polutan patogen , - melembabkan mukosa rongga hidung , - secara efektif melindungi pilek flu</t>
  </si>
  <si>
    <t>physiomer normal jet nasal</t>
  </si>
  <si>
    <t>physiomer normal jet nasal tablet guaifenesin physiomer nasal spray  membersihkan menghilangkan sekresi mukus rongga hidung   membantu membersihkan saluran hidung debu  alergen  polutan patogen   melembabkan mukosa rongga hidung   secara efektif melindungi pilek flu</t>
  </si>
  <si>
    <t>DKI9790700217B1</t>
  </si>
  <si>
    <t>Lipitor 20 mg 10 Tablet</t>
  </si>
  <si>
    <t>Rp224.600 - Rp303.800</t>
  </si>
  <si>
    <t>Omega Moisture Blast Multi Purpose Solution 500 ml</t>
  </si>
  <si>
    <t>Rp55.000 - Rp84.000</t>
  </si>
  <si>
    <t>omega moisture blast multi purpose solution</t>
  </si>
  <si>
    <t>omega moisture blast multi purpose solution tablet kombinasivalsartan blend 32 cairan pembersih contact lens manfaat cleans membersihkan  lubricates melembabkan  desinfects mematikan kuman  protein removes membersihkan protein pengotor  stores mempertahankan kualitas softlens penyimpa</t>
  </si>
  <si>
    <t>retinol acetate cholecalciferol thiamine mononitrate riboflavin pyridoxine hydrochloride cyanocobalamin nicotinamide calcium pantothenate sodium ascorbate tocopheryl acetate potassium iodide ferrous fumarate copper sulfate manganese sulfate</t>
  </si>
  <si>
    <t>theragranm tablet retinol acetate cholecalciferol thiamine mononitrate riboflavin pyridoxine hydrochloride cyanocobalamin nicotinamide calcium pantothenate sodium ascorbate tocopheryl acetate potassium iodide ferrous fumarate copper sulfate manganese sulfate memenuhi kebutuhan vitamin mineral penyembuhan sakit</t>
  </si>
  <si>
    <t>DBL7815613063A1</t>
  </si>
  <si>
    <t>Mepromaag 10 Tablet</t>
  </si>
  <si>
    <t>Rp4.000 - Rp6.400</t>
  </si>
  <si>
    <t>Dewasa: 3-4 x sehari 1-2 tablet. Anak usia 6-12 tahun: 3-4 x sehari 1/2-1 tablet</t>
  </si>
  <si>
    <t>Jangan diberikan pada penderita gangguan fungsi ginjal yang berat, karena dapat menimbulkan hipermagnesia (kadar magnesium dalam darah meningkat).</t>
  </si>
  <si>
    <t>Hindari penggunaan dalam jangka waktu lama &gt; 2 minggu, pasien dengan gangguan ginjal dan diet rendah fosfor</t>
  </si>
  <si>
    <t>mepromaag</t>
  </si>
  <si>
    <t>mepromaag tablet magnesium hydroxide simethicone dried aluminium hydroxide gel mengurangi gejala berhubungan hipersekresi asam lambung  tukak lambung  gastritis  tukak duodenum disertai gejala  gejala mual  nyeri ulu hati  nyeri lambung  kembung  penuh lambung</t>
  </si>
  <si>
    <t>retinol acetate cholecalciferol tocopheryl acetate thiamine mononitrate riboflavin pyridoxine hydrochloride cyanocobalamin nicotinamide calcium pantothenate sodium ascorbate potassium iodide ferrous fumarate copper sulfate manganese sulfate</t>
  </si>
  <si>
    <t>theragranm tablet retinol acetate cholecalciferol tocopheryl acetate thiamine mononitrate riboflavin pyridoxine hydrochloride cyanocobalamin nicotinamide calcium pantothenate sodium ascorbate potassium iodide ferrous fumarate copper sulfate manganese sulfate memenuhi kebutuhan vitamin mineral penyembuhan sakit</t>
  </si>
  <si>
    <t>- RETINOL ACETATE. CHOLECALCIFEROL. THIAMINE MONONITRATE. RIBOFLAVIN. PYRIDOXINE HYDROCHLORIDE. KOMBINASI-CYANOCOBALAMIN U.S.P. 1 RESIN ADSORBATE. NICOTINAMIDE. CALCIUM PANTOTHENATE. SODIUM ASCORBATE. TOCOPHERYL ACETATE. POTASSIUM IODIDE. FERROUS FUMARATE</t>
  </si>
  <si>
    <t>retinol acetate cholecalciferol thiamine mononitrate riboflavin pyridoxine hydrochloride kombinasi-cyanocobalamin usp 1 resin adsorbate nicotinamide calcium pantothenate sodium ascorbate tocopheryl acetate potassium iodide ferrous fumarate</t>
  </si>
  <si>
    <t>theragranm tablet retinol acetate cholecalciferol thiamine mononitrate riboflavin pyridoxine hydrochloride kombinasicyanocobalamin usp 1 resin adsorbate nicotinamide calcium pantothenate sodium ascorbate tocopheryl acetate potassium iodide ferrous fumarate memenuhi kebutuhan vitamin mineral penyembuhan sakit</t>
  </si>
  <si>
    <t>Optifree Pure Moist Multi Purpose Solution 300 ml</t>
  </si>
  <si>
    <t>Rp120.000 - Rp126.200</t>
  </si>
  <si>
    <t>Botol @ 300 ml</t>
  </si>
  <si>
    <t>optifree pure moist multi purpose solution</t>
  </si>
  <si>
    <t>optifree pure moist multi purpose solution tablet kombinasivalsartan blend 32 cairan pembersih contact lens manfaat cleans membersihkan  lubricates melembabkan  desinfects mematikan kuman  protein removes membersihkan protein pengotor  stores mempertahankan kualitas softlens penyimpa</t>
  </si>
  <si>
    <t>VCO Palem Mustika 100 ml</t>
  </si>
  <si>
    <t>Pengobatan : 3 x 1 sendok makan, Pencegahan : 1 x 1 sendok makan</t>
  </si>
  <si>
    <t>Berfungsi sebagai anti microbial sehingga dapat memerangi beberapa mikroorganisme penyebab penyakit. Juga berfungsi sebagai anti bakteri, anti virus, anti jamur dan anti protozoameningkatkan Kuantitas dan Kualitas Air Susu Ibu (ASI) serta pendamping ASI bagi bayi,</t>
  </si>
  <si>
    <t>berfungsi anti microbial memerangi mikroorganisme penyebab penyakit  juga berfungsi anti bakteri , anti virus , anti jamur anti protozoameningkatkan kuantitas kualitas air susu ibu asi pendamping asi bayi ,</t>
  </si>
  <si>
    <t xml:space="preserve">vco palem mustika  palem mustika vco berfungsi anti microbial memerangi mikroorganisme penyebab penyakit  juga berfungsi anti bakteri  anti virus  anti jamur anti protozoameningkatkan kuantitas kualitas air susu ibu asi pendamping asi bayi </t>
  </si>
  <si>
    <t>DKL0930909710A1</t>
  </si>
  <si>
    <t>Lexadon 10 mg 10 Tablet</t>
  </si>
  <si>
    <t>Rp6.800 - Rp8.400</t>
  </si>
  <si>
    <t>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t>
  </si>
  <si>
    <t>untuk mual muntah akut  untuk mual muntah disebabkan pemberian levodopa bromokriptin 12 minggu  untuk pengobatan simtom dispepsia fungsional  tidak dianjurkan pemberian jangka  pada anakanak mual muntah kemoterapi radioterapi</t>
  </si>
  <si>
    <t>lexadon</t>
  </si>
  <si>
    <t>lexadon tablet domperidone maleate untuk mual muntah akut  untuk mual muntah disebabkan pemberian levodopa bromokriptin 12 minggu  untuk pengobatan simtom dispepsia fungsional  tidak dianjurkan pemberian jangka  pada anakanak mual muntah kemoterapi radioterapi</t>
  </si>
  <si>
    <t>TR152685621</t>
  </si>
  <si>
    <t>Tresnojoyo Madu TJ Jahe Merah Mint 150 g</t>
  </si>
  <si>
    <t>MADU TJ JAHE MERAH MINT</t>
  </si>
  <si>
    <t>Rp18.400 - Rp32.500</t>
  </si>
  <si>
    <t>Memberikan kehangatan badan, membantu meredakan perut kembung, mual, sakit perut, membantu meredakan gejala masuk angin dan membantu memelihara daya tahan tubuh</t>
  </si>
  <si>
    <t>madu tj jahe merah mint</t>
  </si>
  <si>
    <t>memberikan kehangatan badan , membantu meredakan perut kembung , mual , sakit perut , membantu meredakan gejala masuk angin membantu memelihara daya tahan tubuh</t>
  </si>
  <si>
    <t>tresnojoyo madu tj jahe merah mint</t>
  </si>
  <si>
    <t>tresnojoyo madu tj jahe merah mint madu madu tj jahe merah mint memberikan kehangatan badan  membantu meredakan perut kembung  mual  sakit perut  membantu meredakan gejala masuk angin membantu memelihara daya tahan tubuh</t>
  </si>
  <si>
    <t>desonide neomycin sulfate</t>
  </si>
  <si>
    <t>desolexn cream krim desonide neomycin sulfate dermatitis disertai infeksi  dermatitis atopik alergi herediter keturu  dermatitis seboroik berkaitan sekresi minyak kulit  pruritus gatal  gatal anus vulva genital external wanita  otitis externa peradangan telinga</t>
  </si>
  <si>
    <t>DKL1031529817B1</t>
  </si>
  <si>
    <t>Atofar 20 mg 10 Tablet</t>
  </si>
  <si>
    <t>Rp175.700 - Rp181.300</t>
  </si>
  <si>
    <t>Dus, 3 Strip @10 Tablet Salut Selaput.</t>
  </si>
  <si>
    <t>atofar</t>
  </si>
  <si>
    <t>atofar tablet atorvastatin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</si>
  <si>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DKL9122211517A1</t>
  </si>
  <si>
    <t>Baquinor 250 mg 10 Tablet</t>
  </si>
  <si>
    <t>Rp78.100 - Rp95.700</t>
  </si>
  <si>
    <t>Infeksi saluran kemih, Infeksi saluran nafas, kulit dan jaringan lunak, tulang dan sendi, infeksi saluran cerna, osteomielitis akut, infeksi sal nafas bawah, kulit dan jaringan lunak, tulang dan sendi, infeksi intra-abdomen dengan komplikasi</t>
  </si>
  <si>
    <t>Hamil, laktasi. Anak dan juvenil sebelum masa pertumbuhan berakhir</t>
  </si>
  <si>
    <t>HARUS DENGAN RESEP DOKTER. Epilepsi, gangguan ginjal, hati dan SSP, Lanjut usia, kehamilan dan ibu menyusui Kategori Kehamilan : C</t>
  </si>
  <si>
    <t>infeksi saluran kemih , infeksi saluran nafas , kulit jaringan lunak , tulang sendi , infeksi saluran cerna , osteomielitis akut , infeksi sal nafas , kulit jaringan lunak , tulang sendi , infeksi intra - abdomen komplikasi</t>
  </si>
  <si>
    <t>baquinor</t>
  </si>
  <si>
    <t>baquinor tablet ciprofloxacin hydrochloride infeksi saluran kemih  infeksi saluran nafas  kulit jaringan lunak  tulang sendi  infeksi saluran cerna  osteomielitis akut  infeksi sal nafas  kulit jaringan lunak  tulang sendi  infeksi intra  abdomen komplikasi</t>
  </si>
  <si>
    <t>DKL1002503104A1</t>
  </si>
  <si>
    <t>Situroxime Fc Kaplet 500 mg</t>
  </si>
  <si>
    <t>Rp24.600 - Rp24.900</t>
  </si>
  <si>
    <t>PENGGUNAAN OBAT INI HARUS SESUAI DENGAN PETUNJUK DOKTER. Dws &amp; anak &gt;12 thn 250 mg, dpt ditingkatkan s/d 500 mg. Anak &lt; 12 thn &amp; bayi 125 mg. ISK tak terkomplikasi 125-250 mg diberikan 2x/hr. Uretritis GO tak terkomplikasi 1 g sebagai dosis tunggal. Otitis media Anak &gt;2 thn 250 mg, &lt;2 thn 125 mg. Semua dosis diberikan 2 x/hr.</t>
  </si>
  <si>
    <t>Infeksi sal napas bagian bwh, sal kemih, jar lunak, tulang &amp; sendi, obstetrik &amp; ginekologi</t>
  </si>
  <si>
    <t>DKL0809218104B1</t>
  </si>
  <si>
    <t>Seremig 10 mg 10 Kaplet</t>
  </si>
  <si>
    <t>Rp14.000 - Rp25.900</t>
  </si>
  <si>
    <t>Profilaksis migren. Pengobatan &amp; pencegahan gangguan vestibular, serebral &amp; sistem sirkulasi perifer, misalnya pusing, tinitus, vertigo, gangguan konsentrasi, bingung, gangguan daya ingat, gangguan irama tidur, iritabilitas, konvulsi, parestesia, ekstremitas dingin, gangguan trofik.</t>
  </si>
  <si>
    <t>HARUS DENGAN RESEP DOKTER. Dpt mengganggu kemampuan mengemudi atau menjalankan mesin. Hipotensi. Gagal ginjal. Pd terapi jangka panjang, perlu dilakukan pemantauan fungsi hati &amp; ginjal. Anak. Hamil, laktasi. Kategori Kehamilan : C</t>
  </si>
  <si>
    <t>profilaksis migren  pengobatan pencegahan gangguan vestibular , serebral sistem sirkulasi perifer , pusing , tinitus , vertigo , gangguan konsentrasi , bingung , gangguan daya , gangguan irama tidur , iritabilitas , konvulsi , parestesia , ekstremitas dingin , gangguan trofik</t>
  </si>
  <si>
    <t>seremig</t>
  </si>
  <si>
    <t>seremig kaplet flunarizine hydrochloride profilaksis migren  pengobatan pencegahan gangguan vestibular  serebral sistem sirkulasi perifer  pusing  tinitus  vertigo  gangguan konsentrasi  bingung  gangguan daya  gangguan irama tidur  iritabilitas  konvulsi  parestesia  ekstremitas dingin  gangguan trofik</t>
  </si>
  <si>
    <t>TR152689301</t>
  </si>
  <si>
    <t>My Baby Minyak Telon Plus Long Protection 90 ml</t>
  </si>
  <si>
    <t>MY BABY MInyak Telon Plus Longer Protection</t>
  </si>
  <si>
    <t>Rp21.600 - Rp36.800</t>
  </si>
  <si>
    <t>Oleskan 5-10 tetes pada dada, perut, pinggang dan telapak kaki. Dapat dipakai setiap saat, terutama sehabis mandi dan bila udara dingin</t>
  </si>
  <si>
    <t>Membantu meredakan perut kembung dan masuk angin, memberikan rasa hangat dan nyaman pada tubuh bayi, membantu menghindari bayi dari gigitan serangga dan nyamuk selama 12 jam</t>
  </si>
  <si>
    <t>Dus, Botol @ 90 ml</t>
  </si>
  <si>
    <t>my baby minyak telon plus longer protection</t>
  </si>
  <si>
    <t>membantu meredakan perut kembung masuk angin , hangat nyaman tubuh bayi , membantu menghindari bayi gigitan serangga nyamuk 12 jam</t>
  </si>
  <si>
    <t>my baby telon plus long protection</t>
  </si>
  <si>
    <t>my baby telon plus long protection minyak my baby minyak telon plus longer protection membantu meredakan perut kembung masuk angin  hangat nyaman tubuh bayi  membantu menghindari bayi gigitan serangga nyamuk 12 jam</t>
  </si>
  <si>
    <t>DKL0208506617A1</t>
  </si>
  <si>
    <t>Girabloc 500 mg 10 Tablet</t>
  </si>
  <si>
    <t>HARUS DENGAN RESEP DOKTER. Epilepsi, gangguan ginjal, hati dan SSP, Lanjut usia, kehamilan dan ibu menyusui</t>
  </si>
  <si>
    <t>girabloc</t>
  </si>
  <si>
    <t>girabloc tablet ciprofloxacin hydrochloride infeksi saluran kemih  infeksi saluran nafas  kulit jaringan lunak  tulang sendi  infeksi saluran cerna  osteomielitis akut  infeksi sal nafas  kulit jaringan lunak  tulang sendi  infeksi intra  abdomen komplikasi</t>
  </si>
  <si>
    <t>DKL1604526017A1</t>
  </si>
  <si>
    <t>Orvast 10 mg 10 Tablet</t>
  </si>
  <si>
    <t>Rp78.300 - Rp97.100</t>
  </si>
  <si>
    <t>PENGGUNAAN OBAT INI HARUS SESUAI DENGAN PETUNJUK DOKTER. Dosis bersifat individual. Dosis awal biasa: 10-20 mg sekali sehari. Kisaran dosis: 10-80 mg sekali sehari. Sesuaikan dosis pada 2-4 minggu setelah kadar lipid dianalisis.</t>
  </si>
  <si>
    <t>Obat ini tidak boleh diberikan kepada pasien denga kondisi: Hipersensitivitas. Penyakit hati aktif. Wanita yang berpotensi melahirkan anak dengan kontrasepsi yang tidak memadai. Peningkatan persisten serum transaminase yang tidak dapat dijelaskan. Ibu Hamil &amp; menyusui</t>
  </si>
  <si>
    <t>orvast</t>
  </si>
  <si>
    <t>orvast tablet atorvastatin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</si>
  <si>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DKL0431408209A1</t>
  </si>
  <si>
    <t>Bimaflox 500 mg 10 Kaplet</t>
  </si>
  <si>
    <t>Rp8.500 - Rp24.500</t>
  </si>
  <si>
    <t>INFORMASI OBAT INI HANYA UNTUK KALANGAN MEDIS. Infeksi saluran kemih, Infeksi saluran nafas, kulit dan jaringan lunak, tulang dan sendi, infeksi saluran cerna, osteomielitis akut, infeksi sal nafas bawah, kulit dan jaringan lunak, tulang dan sendi, infeksi intra-abdomen dengan komplikasi</t>
  </si>
  <si>
    <t>HARUS DENGAN RESEP DOKTER. - Jangan dikonsumsi bersamaan dengan antasida, zat besi, atau produk susu. - Hati hati penggunaan obat pada penderita epilepsi, gangguan ginjal, hati dan sistem saraf pusat, lanjut usia, kehamilan dan ibu menyusui.</t>
  </si>
  <si>
    <t>bimaflox</t>
  </si>
  <si>
    <t>bimaflox kaplet ciprofloxacin hydrochloride infeksi saluran kemih  infeksi saluran nafas  kulit jaringan lunak  tulang sendi  infeksi saluran cerna  osteomielitis akut  infeksi sal nafas  kulit jaringan lunak  tulang sendi  infeksi intra  abdomen komplikasi</t>
  </si>
  <si>
    <t>My Baby Minyak Telon Plus Long Protection 60 ml</t>
  </si>
  <si>
    <t>Rp19.400 - Rp35.200</t>
  </si>
  <si>
    <t>DBL8102300663A1</t>
  </si>
  <si>
    <t>Biogastron 10 Tablet</t>
  </si>
  <si>
    <t>Dikonsumsi 1 jam sebelum makan, atau 2 jam setelah makan dan sebelum tidur.</t>
  </si>
  <si>
    <t>Dewasa: 1-2 tablet, dikunyah 3-4 kali per hari. Anak-anak 6-12 tahun: 0.5-1 tablet. dikunyah 3-4 kali per hari.</t>
  </si>
  <si>
    <t>dried aluminium hydroxide gel magnesium trisilicate simethicone</t>
  </si>
  <si>
    <t>biogastron</t>
  </si>
  <si>
    <t>biogastron tablet dried aluminium hydroxide gel magnesium trisilicate simethicone obat mengurangi gejala  gejala berhubungan kelebihan asam lambung  gastritis  tukak lambung  tukak usus 12 jari  gejala  gejala mual  nyeri lambung  nyeri ulu hati</t>
  </si>
  <si>
    <t>DKL8924208236A1</t>
  </si>
  <si>
    <t>Primperan Drops 10 ml</t>
  </si>
  <si>
    <t>Rp31.300 - Rp46.000</t>
  </si>
  <si>
    <t>Sebaiknya diberikan pada saat perut kosong : Berikan jam sblm makan.</t>
  </si>
  <si>
    <t>PENGGUNAAN OBAT INI HARUS SESUAI DENGAN PETUNJUK DOKTER. Anak &lt; 5 thn 0.1 mg/kgBB/hari 3 x/hari atau 0.5 mg/kgBB/hari dalam beberapa dosis.</t>
  </si>
  <si>
    <t>Dispepsia/Gangguan saluran cerna, mabuk perjalanan, mual pagi hari, mual dan muntah akibat obat, Anoreksia, Kembung, Ulkus/tukak Peptik, Stenosis pylorus (ringan), Epigastralgia/Nyeri uluhati, Gastroduodenitis, Dispepsia paska Gastrektomi dan intubasi.</t>
  </si>
  <si>
    <t>GI haemorrhage, obstruksi mekanik atau perforasi GI, pheochromocytoma, penyakit Parkinson,</t>
  </si>
  <si>
    <t>HARUS DENGAN RESEP DOKTER. Pasien dengan kondisi neurologis yang mendasari, gangguan konduksi jantung, ketidakseimbangan elektrolit yang tidak terkoreksi, bradikardia. Gangguan ginjal dan hati. Lansia, anak. Kehamilan dan menyusui.</t>
  </si>
  <si>
    <t>dispepsia gangguan saluran cerna , mabuk perjalanan , mual pagi , mual muntah akibat obat , anoreksia , kembung , ulkus tukak peptik , stenosis pylorus ringan , epigastralgia nyeri uluhati , gastroduodenitis , dispepsia paska gastrektomi intubasi</t>
  </si>
  <si>
    <t>primperan tetes metoclopramide hydrochloride dispepsia gangguan saluran cerna  mabuk perjala  mual pagi  mual muntah akibat obat  anoreksia  kembung  ulkus tukak peptik  stenosis pylorus ringan  epigastralgia nyeri uluhati  gastroduodenitis  dispepsia paska gastrektomi intubasi</t>
  </si>
  <si>
    <t>X2 Bio Multi-Purpose Contact Lens Solution 100 ml</t>
  </si>
  <si>
    <t>Rp23.900 - Rp43.400</t>
  </si>
  <si>
    <t>X2 BIO MPS diindikasikan untuk penggunaan lensa kontak dalam perawatan harian, menghilangkan protein dan deposit lainnya, pembilasan, desinfeksi kimia (bukan panas) dan sebagai cairan solution untuk penyimpanan lensa kontak lunak.</t>
  </si>
  <si>
    <t>x2 bio mps diindikasikan penggunaan lensa kontak perawatan harian , menghilangkan protein deposit , pembilasan , desinfeksi kimia panas cairan solution penyimpanan lensa kontak lunak</t>
  </si>
  <si>
    <t>x bio multipurpose contact lens solution</t>
  </si>
  <si>
    <t>x bio multipurpose contact lens solution tablet kombinasivalsartan blend 32 x2 bio mps diindikasikan penggunaan lensa kontak perawatan harian  menghilangkan protein deposit  pembilasan  desinfeksi kimia panas cairan solution penyimpa lensa kontak lunak</t>
  </si>
  <si>
    <t>DBL8718203333A1</t>
  </si>
  <si>
    <t>Gastrucid Sirup 60 ml</t>
  </si>
  <si>
    <t>Rp9.000 - Rp13.900</t>
  </si>
  <si>
    <t>Dewasa: 3-4 kali sehari 1-2 sendok takar (5-10 ml) Anak-anak 6-12 tahun: 3-4 kali sehari 1/2-1 sendok takar (2.5-5 ml)</t>
  </si>
  <si>
    <t>Untuk mengurangi gejala-gejala yang berhubungan dengan kelebihan asam lambung, gastritis, tukak lambung, tukak usus dua belas jari, dengan gejala-gejala seperti mual, nyeri lambung, nyeri ulu hati, kembung, dan perasaan penuh pada lambung.</t>
  </si>
  <si>
    <t>Dus, Botol plastik @ 60 ml</t>
  </si>
  <si>
    <t>untuk mengurangi gejala - gejala berhubungan kelebihan asam lambung , gastritis , tukak lambung , tukak usus belas jari , gejala - gejala mual , nyeri lambung , nyeri ulu hati , kembung , perasaan penuh lambung</t>
  </si>
  <si>
    <t>gastrucid suspensi aluminium hydroxide gel untuk mengurangi gejala  gejala berhubungan kelebihan asam lambung  gastritis  tukak lambung  tukak usus belas jari  gejala  gejala mual  nyeri lambung  nyeri ulu hati  kembung  perasaan penuh lambung</t>
  </si>
  <si>
    <t>DKL1302505209A1</t>
  </si>
  <si>
    <t>Avesco 10 mg 10 Kaplet</t>
  </si>
  <si>
    <t>Rp24.000 - Rp59.800</t>
  </si>
  <si>
    <t>avesco</t>
  </si>
  <si>
    <t>avesco kaplet atorvastatin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</si>
  <si>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Tresnojoyo Madu TJ Jahe Merah Mint 250 g</t>
  </si>
  <si>
    <t>Rp32.900 - Rp45.200</t>
  </si>
  <si>
    <t>DKL1604526017C1</t>
  </si>
  <si>
    <t>Orvast 40 mg 10 Tablet</t>
  </si>
  <si>
    <t>Rp89.900 - Rp119.400</t>
  </si>
  <si>
    <t>dapat dikonsumsi sebelum atau sesudah makan</t>
  </si>
  <si>
    <t>DKL9317608209A1</t>
  </si>
  <si>
    <t>Interflox 500 mg 4 Kapsul</t>
  </si>
  <si>
    <t>Rp100.100 - Rp102.900</t>
  </si>
  <si>
    <t>Dus, 3 Strip @ 4 Kaplet Salut Selaput</t>
  </si>
  <si>
    <t>hipersensitif, hamil dan menyusui, pasien riwayat tendon pecah</t>
  </si>
  <si>
    <t>interflox</t>
  </si>
  <si>
    <t>interflox kaplet ciprofloxacin hydrochloride infeksi saluran kemih  infeksi saluran nafas  kulit jaringan lunak  tulang sendi  infeksi saluran cerna  osteomielitis akut  infeksi sal nafas  kulit jaringan lunak  tulang sendi  infeksi intra  abdomen komplikasi</t>
  </si>
  <si>
    <t>Sensitif Vivo Classic Thin 3 Pieces</t>
  </si>
  <si>
    <t>Rp8.600 - Rp15.500</t>
  </si>
  <si>
    <t>Digunakan pada organ vital pria sebelum melakukan hubungan</t>
  </si>
  <si>
    <t>Kondom dengan pelumas.Mampu mencegah terhadap Virus HIV, Virus HPV, Virus HSV dan Virus hepatitis-B, Mencegah penyebaran penyakit dan infeksi menular seksual, Memperpanjang waktu dan menambah kenikmatan dalam hubungan seksual.</t>
  </si>
  <si>
    <t>kondom pelumas  mampu mencegah virus hiv , virus hpv , virus hsv virus hepatitis - b , mencegah penyebaran penyakit infeksi menular seksual , memperpanjang menambah kenikmatan hubungan seksual</t>
  </si>
  <si>
    <t>sensitif vivo classic thin pieces</t>
  </si>
  <si>
    <t>sensitif vivo classic thin pieces tablet sildenafil citrate kondom pelumas  mampu mencegah virus hiv  virus hpv  virus hsv virus hepatitis  b  mencegah penyebaran penyakit infeksi menular seksual  memperpanjang menambah kenikmatan hubungan seksual</t>
  </si>
  <si>
    <t>QD123610821</t>
  </si>
  <si>
    <t>Freshcare Roll On Minyak Angin Sport 10 ml</t>
  </si>
  <si>
    <t>Rp13.900 - Rp16.200</t>
  </si>
  <si>
    <t>Inhaler (0.8ml) digunakan untuk melegakan hidung tersumbat Roll on (5ml) digunakan untuk sakit kepala, perut kembung, masuk angin, mabuk perjalanan, gejala flu, pegal pegal, gatal akibat gigitan serangga</t>
  </si>
  <si>
    <t>Dus, Botol kaca roll on @ 10 ml</t>
  </si>
  <si>
    <t>inhaler 0  8ml melegakan hidung tersumbat roll on 5ml sakit kepala , perut kembung , masuk angin , mabuk perjalanan , gejala flu , pegal pegal , gatal akibat gigitan serangga</t>
  </si>
  <si>
    <t>freshcare roll on angin sport</t>
  </si>
  <si>
    <t>freshcare roll on angin sport roll camphor inhaler 0  8ml melegakan hidung tersumbat roll on 5ml sakit kepala  perut kembung  masuk angin  mabuk perjala  gejala flu  pegal pegal  gatal akibat gigitan serangga</t>
  </si>
  <si>
    <t>Sensitif Vivo Classic Thin 12 Pieces</t>
  </si>
  <si>
    <t>Rp43.200 - Rp43.900</t>
  </si>
  <si>
    <t>DKI1668601317A1</t>
  </si>
  <si>
    <t>Coralan 5 mg 14 Tablet</t>
  </si>
  <si>
    <t>Rp184.700 - Rp197.100</t>
  </si>
  <si>
    <t>PENGGUNAAN OBAT INI HARUS SESUAI DENGAN PETUNJUK DOKTER. Dosis awal : 5 mg 2 kali/hari, dapat ditingkatkan menjadi 7.5 mg 2 kali/hari sesudah 1 bulan terapi, tergantung dari respon terapeutik pasien</t>
  </si>
  <si>
    <t>Angina stabil khronik pada Penyakit Arteri Koroner dewasa dengan irama sinus normal tidak toleran teerhadap B-blockers, atau terapi kombinasi pada pasien2 yang terkontrol baik dengan B-blockers dengan kecepatan denyut jantung &gt; 60 bpm. Kombinasi dengan te</t>
  </si>
  <si>
    <t>Dus, 4 Blister @ 14 tablet salut selaput</t>
  </si>
  <si>
    <t>Kecepatan denyut jantung pada saat istirahat &lt; 60 kali/menit sebelum terapi, syok kardiogenik, infark miokard akut, hipotensi berat, blok SA</t>
  </si>
  <si>
    <t>HARUS DENGAN RESEP DOKTER. Pasien dengan bersihan kreatinin &lt; 15 mL/menit, blok AV derajat 2, aritmia jantung, atau stroke.</t>
  </si>
  <si>
    <t>angina stabil khronik penyakit arteri koroner dewasa irama sinus normal tidak toleran teerhadap b - blocker , terapi kombinasi pasien2 terkontrol b - blocker kecepatan denyut jantung 60 bpm  kombinasi te</t>
  </si>
  <si>
    <t>coralan tablet ivabradine hydrochloride angina stabil khronik penyakit arteri koroner dewasa irama sinus normal tidak toleran teerhadap b  blocker  terapi kombinasi pasien2 terkontrol b  blocker kecepatan denyut jantung 60 bpm  kombinasi te</t>
  </si>
  <si>
    <t>DKL9105009617B1</t>
  </si>
  <si>
    <t>Quidex 500 mg 6 Tablet</t>
  </si>
  <si>
    <t>Rp82.200 - Rp105.600</t>
  </si>
  <si>
    <t>Tablet 500 Mg X 5 X 6</t>
  </si>
  <si>
    <t>Hipersensitif. Kehamilan dan laktasi, anak</t>
  </si>
  <si>
    <t>quidex</t>
  </si>
  <si>
    <t>quidex tablet ciprofloxacin hydrochloride infeksi saluran kemih  infeksi saluran nafas  kulit jaringan lunak  tulang sendi  infeksi saluran cerna  osteomielitis akut  infeksi sal nafas  kulit jaringan lunak  tulang sendi  infeksi intra  abdomen komplikasi</t>
  </si>
  <si>
    <t>ferric hydroxide polymaltose complex folic acid</t>
  </si>
  <si>
    <t>maltofer fol chewable tablet ferric hydroxide polymaltose complex folic acid untuk pengobatan defisiensi zat besi laten anemia defisiensi zat besi gejala defisiensi zat besi  pencegahan defisiensi zat besi asam folat   kehamilan menyusui</t>
  </si>
  <si>
    <t>DKL9221613009A1</t>
  </si>
  <si>
    <t>Quinobiotic 500 mg 10 Kaplet</t>
  </si>
  <si>
    <t>Hipersensitifterhadap siprofloksasin dan derivat kuinolon lain. Hamil dna laktasi. Remaja dan anak sebelum akhir masa pertumbuhan</t>
  </si>
  <si>
    <t>quinobiotic</t>
  </si>
  <si>
    <t>quinobiotic kaplet ciprofloxacin hydrochloride infeksi saluran kemih  infeksi saluran nafas  kulit jaringan lunak  tulang sendi  infeksi saluran cerna  osteomielitis akut  infeksi sal nafas  kulit jaringan lunak  tulang sendi  infeksi intra  abdomen komplikasi</t>
  </si>
  <si>
    <t>physiomer normal jet nasal tetes ofloxacin physiomer nasal spray  membersihkan menghilangkan sekresi mukus rongga hidung   membantu membersihkan saluran hidung debu  alergen  polutan patogen   melembabkan mukosa rongga hidung   secara efektif melindungi pilek flu</t>
  </si>
  <si>
    <t>TR112325441</t>
  </si>
  <si>
    <t>Sido Muncul Sari Daun Sirsak 50 Kapsul</t>
  </si>
  <si>
    <t>SARI DAUN SIRSAK</t>
  </si>
  <si>
    <t>Rp60.500 - Rp91.000</t>
  </si>
  <si>
    <t>sari daun sirsak</t>
  </si>
  <si>
    <t>sido muncul sari daun sirsak</t>
  </si>
  <si>
    <t>sido muncul sari daun sirsak kapsul sari daun sirsak untuk membantu melawan radikal bebas menghambat pertumbuhan sel kanker  meningkatkan sistem kekebalan tubuh meningkatkan stamen tubuh tidak lemah  mengatasi teka darah  bronkitis  rematik</t>
  </si>
  <si>
    <t>DKI1664603943A1</t>
  </si>
  <si>
    <t>Victoza 6 mg/ml Pen 3 ml</t>
  </si>
  <si>
    <t>Rp1.146.600 - Rp1.193.300</t>
  </si>
  <si>
    <t>PENGGUNAAN OBAT INI HARUS SESUAI DENGAN PETUNJUK DOKTER. Awal 0.6 mg 1 x/hr, tingkatkan dosis hingga 1.2 mg ssdh 1 minggu. Dosis dpt ditingkatkan menjadi 1.8 mg untuk memperbaiki kontrol glikemik lebih lanjut ssdh sekurang-kurangnya 1 minggu. Maks: 1.8 mg/hr.</t>
  </si>
  <si>
    <t>INFORMASI OBAT INI HANYA UNTUK KALANGAN MEDIS. Pengobatan Diabetes Melitus Tipe 2 di mana diet dan olahraga sendiri tidak cukup untuk mengendalikan kadar gula darah. Terapi kombinasi dengan obat diabetes lainnya seperti metformin atau sulfonilurea (misalnya glimepirid atau glibenklamid), metformin &amp; sulfonilurea (misalnya glimepirid atau glibenklamid), metformin &amp; glitazon (misalnya rosiglitazon atau pioglitazon).</t>
  </si>
  <si>
    <t>Dus, 2 Prefilled pen @ 3 ml</t>
  </si>
  <si>
    <t>HARUS DENGAN RESEP DOKTER. Tidak boleh digunakan untuk DM tipe 1 atau ketoasidosis diabetik. Tdk untuk digunakan sebagai pengganti insulin. Pasien dg gagal jantung kongestif NYHA kelas I-IV</t>
  </si>
  <si>
    <t>TR072669521</t>
  </si>
  <si>
    <t>Antangin Junior Honey Mint 5 Sachet</t>
  </si>
  <si>
    <t>ANTANGIN JUNIOR</t>
  </si>
  <si>
    <t>Rp12.000 - Rp13.200</t>
  </si>
  <si>
    <t>Langsung diminum atau dicampur dengan 1/2 gelas air hangat</t>
  </si>
  <si>
    <t>Anak 1 tahun: 3 x sehari 1/2 sachet. Anak 2-12 tahun: 3 x sehari 1 sachet.</t>
  </si>
  <si>
    <t>Membantu meredakan masuk angin, perut kembung, mual dan muntah, membantu melegakan tenggorokan, membantu mencegah mabuk perjalanan, membantu meningkatkan daya tahan tubuh dan membantu memelihara kesehatan dan menghangatkan tubuh.</t>
  </si>
  <si>
    <t>Dus, 5 Sachet @ 10 g</t>
  </si>
  <si>
    <t>antangin junior</t>
  </si>
  <si>
    <t>membantu meredakan masuk angin , perut kembung , mual muntah , membantu melegakan tenggorokan , membantu mencegah mabuk perjalanan , membantu meningkatkan daya tahan tubuh membantu memelihara kesehatan menghangatkan tubuh</t>
  </si>
  <si>
    <t>antangin junior honey mint</t>
  </si>
  <si>
    <t>antangin junior honey mint sachet antangin junior membantu meredakan masuk angin  perut kembung  mual muntah  membantu melegakan tenggorokan  membantu mencegah mabuk perjala  membantu meningkatkan daya tahan tubuh membantu memelihara kesehatan menghangatkan tubuh</t>
  </si>
  <si>
    <t>DKL9413317909A1</t>
  </si>
  <si>
    <t>Lapiflox 500 mg 6 Kaplet</t>
  </si>
  <si>
    <t>Rp103.700 - Rp124.900</t>
  </si>
  <si>
    <t>lapiflox</t>
  </si>
  <si>
    <t>lapiflox kaplet ciprofloxacin hydrochloride infeksi saluran kemih  infeksi saluran nafas  kulit jaringan lunak  tulang sendi  infeksi saluran cerna  osteomielitis akut  infeksi sal nafas  kulit jaringan lunak  tulang sendi  infeksi intra  abdomen komplikasi</t>
  </si>
  <si>
    <t>DKL1934615146A1</t>
  </si>
  <si>
    <t>Lacoma 50 mcg/ml Eye Drop 2.5 ml</t>
  </si>
  <si>
    <t>PENGGUNAAN OBAT INI HARUS SESUAI DENGAN PETUNJUK DOKTER. 1 tetes pada mata yang sakit, sekali sehari pada malam hari.</t>
  </si>
  <si>
    <t>INFORMASI OBAT INI HANYA UNTUK KALANGAN MEDIS. Untuk mengurangi kenaikan tekanan intraokular pada pasien dengan glaukoma sudut-terbuka dan hipertensi pada mata yang tidak merespons terhadap obat penurun tekanan intraokular lain atau gagal mencapai target yang telah ditentukan setelah beberapa kali pengukuran terhadap obat penurun tekanan intraokular lainnya.</t>
  </si>
  <si>
    <t>Hipersensitif terhadap latanoprost, benzalkonium chloride atau bahan lain pada produk ini</t>
  </si>
  <si>
    <t>HARUS DENGAN RESEP DOKTER. Inflamasi, neovaskular, glaukoma sudut tertutup atau kongenital, glaukoma sudut terbuka pada pasien pseudofakia, glaukoma pigmentari, serangan akut dr glaukoma sudut tertutup, hamil &amp; laktasi, penggunaan lensa kontak, kerusakan hati atau ginjal.</t>
  </si>
  <si>
    <t>untuk mengurangi kenaikan tekanan intraokular pasien glaukoma sudut - terbuka hipertensi mata tidak merespons obat penurun tekanan intraokular gagal mencapai target ditentukan kali pengukuran obat penurun tekanan intraokular</t>
  </si>
  <si>
    <t>lacoma eye drop</t>
  </si>
  <si>
    <t>lacoma eye drop tetes latanoprost untuk mengurangi kenaikan teka intraokular pasien glaukoma sudut  terbuka hipertensi mata tidak merespons obat penurun teka intraokular gagal mencapai target ditentukan kali pengukuran obat penurun teka intraokular</t>
  </si>
  <si>
    <t>DKL9231503709A1</t>
  </si>
  <si>
    <t>Renator 500 mg 10 Tablet</t>
  </si>
  <si>
    <t>Rp92.900 - Rp94.000</t>
  </si>
  <si>
    <t>Tablet 500 mg x 5 x 6</t>
  </si>
  <si>
    <t>Hipersensitif, anak, remaja, hamil dan menyusui</t>
  </si>
  <si>
    <t>renator</t>
  </si>
  <si>
    <t>renator kaplet ciprofloxacin hydrochloride infeksi saluran kemih  infeksi saluran nafas  kulit jaringan lunak  tulang sendi  infeksi saluran cerna  osteomielitis akut  infeksi sal nafas  kulit jaringan lunak  tulang sendi  infeksi intra  abdomen komplikasi</t>
  </si>
  <si>
    <t>DKL1411643317C1</t>
  </si>
  <si>
    <t>Truvaz 40 mg 10 Tablet</t>
  </si>
  <si>
    <t>Rp188.500 - Rp296.000</t>
  </si>
  <si>
    <t>atorvastatin calcium</t>
  </si>
  <si>
    <t>truvaz</t>
  </si>
  <si>
    <t>truvaz tablet atorvastatin calcium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</si>
  <si>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DKL1411643317A1</t>
  </si>
  <si>
    <t>Truvaz 10 mg 10 Tablet</t>
  </si>
  <si>
    <t>Rp206.800 - Rp250.600</t>
  </si>
  <si>
    <t>DKL1421644517C1</t>
  </si>
  <si>
    <t>Stavinor 40 mg 10 Tablet</t>
  </si>
  <si>
    <t>Rp68.000 - Rp168.100</t>
  </si>
  <si>
    <t>stavinor</t>
  </si>
  <si>
    <t>stavinor tablet atorvastatin calcium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</si>
  <si>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lipitor tablet atorvastatin calcium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</si>
  <si>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DKL8324202010A1</t>
  </si>
  <si>
    <t>Primperan 5 mg 10 Tablet</t>
  </si>
  <si>
    <t>PENGGUNAAN OBAT INI HARUS SESUAI DENGAN PETUNJUK DOKTER. Tablet : Dewasa : 10 mg 3 kali/hari . Sirup : Dewasa : 1-2 sendok takar 3 kali/hari. Anak 5-15 tahun : 0.5 mg/kg berat badan/hari dalam dosis terbagi. Drops Anak &lt; 5 tahun : 0.1 mg/kg berat badan 3 kali/hari atau 0.5 mg/kg berat badan/hari dalam beberapa dosis. Ampul : Dewasa : 1 ampul 3 kali/hari.</t>
  </si>
  <si>
    <t>INFORMASI OBAT INI HANYA UNTUK KALANGAN MEDIS. Dispepsia/Gangguan saluran cerna, mabuk perjalanan, mual pagi hari, mual dan muntah akibat obat, Anoreksia, Kembung, Ulkus/tukak Peptik, Stenosis pylorus (ringan), Epigastralgia/Nyeri uluhati, Gastroduodenitis, Dispepsia paska Gastrektomi dan intubasi</t>
  </si>
  <si>
    <t>Merangsang motilitas GI seperti obstruksi intestinal, epilepsi, feokromositoma</t>
  </si>
  <si>
    <t>Obat Wajib Apotek, Obat ini dapat dibeli dan diserahkan apoteker tanpa resep dengan maksimum 2 Strip. Pembelian melebihi batas ini WAJIB RESEP DOKTER. Hamil, laktasi, anak, diabetes, depresi, reaksi ekstrapiramidal. Kategori Kehamilan : B</t>
  </si>
  <si>
    <t>primperan tablet metoclopramide hydrochloride monohydrate dispepsia gangguan saluran cerna  mabuk perjala  mual pagi  mual muntah akibat obat  anoreksia  kembung  ulkus tukak peptik  stenosis pylorus ringan  epigastralgia nyeri uluhati  gastroduodenitis  dispepsia paska gastrektomi intubasi</t>
  </si>
  <si>
    <t>TR142382901</t>
  </si>
  <si>
    <t>Konilife Chlorofit 30 Kapsul</t>
  </si>
  <si>
    <t>KONILIFE CHLOROFIT</t>
  </si>
  <si>
    <t>Rp106.100 - Rp145.600</t>
  </si>
  <si>
    <t>1 kapsul, 2x sehari</t>
  </si>
  <si>
    <t>Konilife Chlorofit mengandung Spirulina yang kaya akan vitamin, mineral, protein dan asam lemak essensial yang berfungsi membantu memelihara kesehatan tubuh, anti oksidan, pengikat racun, meningkatkan daya tahan tubuh, metabolisme lemak dan menurunkan kolesterol dan mengatasi anemia.</t>
  </si>
  <si>
    <t>konilife chlorofit</t>
  </si>
  <si>
    <t>konilife chlorofit mengandung spirulina kaya vitamin , mineral , protein asam lemak essensial berfungsi membantu memelihara kesehatan tubuh , anti oksidan , pengikat racun , meningkatkan daya tahan tubuh , metabolisme lemak menurunkan kolesterol mengatasi anemia</t>
  </si>
  <si>
    <t>konilife chlorofit kapsul konilife chlorofit mengandung spirulina kaya vitamin  mineral  protein asam lemak essensial berfungsi membantu memelihara kesehatan tubuh  anti oksidan  pengikat racun  meningkatkan daya tahan tubuh  metabolisme lemak menurunkan kolesterol mengatasi anemia</t>
  </si>
  <si>
    <t>Polar Bear Minyak Angin 27 ml</t>
  </si>
  <si>
    <t>Rp35.300 - Rp38.800</t>
  </si>
  <si>
    <t>Meredakan sakit kepala, mual, mabuk perjalanan, Meredakan sakit pinggang, Untuk gigitan nyamuk, serangga dan luka bakar ringan, Melegakan hidung tersumbat dan sesak nafas, Meredakan gejala Flu, masuk angin, sakit perut.</t>
  </si>
  <si>
    <t>Botol 27 ml</t>
  </si>
  <si>
    <t>Tidak boleh diberikan pada anak dibawah 2 tahun.</t>
  </si>
  <si>
    <t>meredakan sakit kepala , mual , mabuk perjalanan , meredakan sakit pinggang , untuk gigitan nyamuk , serangga luka bakar ringan , melegakan hidung tersumbat sesak nafas , meredakan gejala flu , masuk angin , sakit perut</t>
  </si>
  <si>
    <t>polar bear angin minyak camphora meredakan sakit kepala  mual  mabuk perjala  meredakan sakit pinggang  untuk gigitan nyamuk  serangga luka bakar ringan  melegakan hidung tersumbat sesak nafas  meredakan gejala flu  masuk angin  sakit perut</t>
  </si>
  <si>
    <t>DKL8831500314A1</t>
  </si>
  <si>
    <t>Farmalat ER 10 Tablet</t>
  </si>
  <si>
    <t>Rp7.600 - Rp12.100</t>
  </si>
  <si>
    <t>Dapat diberikan bersama atau tanpa makanan : Hindari jus grapefruit.</t>
  </si>
  <si>
    <t>PENGGUNAAN OBAT INI HARUS SESUAI DENGAN PETUNJUK DOKTER. Untuk PJK : 5-10 mg 3 kali/hari. Jika perlu dosis dapat ditingkatkan bertahap sampai 60 mg/hari. Untuk spasme koroner (angina pektoris tidak stabil-angina Prinzmetal, angina pada waktu istirahat) : 80-120 mg/hari. Untuk hipertensi : 10 mg 3 kali/hari.</t>
  </si>
  <si>
    <t>INFORMASI OBAT INI HANYA UNTUK KALANGAN MEDIS. Pengobatan hipertensi. Pengobatan PJK, angina pektoris kronik dan stabil, angina pektoris tidak stabil termasuk angina pektoris vasospastik, angina Prinzmetal, angina varian ( tidak untuk nifedipine 5 mg), angina pektoris pasca infark (kecuali 8 hari pertama).</t>
  </si>
  <si>
    <t>HARUS DENGAN RESEP DOKTER. Hipotensi, stenosis aorta berat, gagal jantung, diabetes, laktasi.</t>
  </si>
  <si>
    <t>pengobatan hipertensi  pengobatan pjk , angina pektoris kronik stabil , angina pektoris tidak stabil angina pektoris vasospastik , angina prinzmetal , angina varian tidak nifedipine 5 mg , angina pektoris pasca infark kecuali 8</t>
  </si>
  <si>
    <t>farmalat er</t>
  </si>
  <si>
    <t>farmalat er tablet nifedipine pengobatan hipertensi  pengobatan pjk  angina pektoris kronik stabil  angina pektoris tidak stabil angina pektoris vasospastik  angina prinzmetal  angina varian tidak nifedipine 5 mg  angina pektoris pasca infark kecuali 8</t>
  </si>
  <si>
    <t>Farmalat 10 mg 10 Tablet</t>
  </si>
  <si>
    <t>Rp4.000 - Rp12.100</t>
  </si>
  <si>
    <t>PENGGUNAAN OBAT INI HARUS SESUAI DENGAN PETUNJUK DOKTER. Untuk PJK : 5-10 mg 3 kali/hari. Jika perlu dosis dapat ditingkatkan bertahap sampai 60 mg/hari. Untuk spasme koroner (angina pektoris tidak stabil-angina Prinzmetal, angina pada waktu istirahat) : 80-120 mg/hari. Untuk hipertensi : 10 mg 3 kali/</t>
  </si>
  <si>
    <t>INFORMASI OBAT INI HANYA UNTUK KALANGAN MEDIS. Pengobatan hipertensi. Pengobatan PJK, angina pektoris kronik dan stabil, angina pektoris tidak stabil termasuk angina pektoris vasospastik, angina Prinzmetal, angina varian ( tidak untuk nifedipine 5 mg), angina pektoris pasca infark (kecuali 8 hari pert</t>
  </si>
  <si>
    <t>pengobatan hipertensi  pengobatan pjk , angina pektoris kronik stabil , angina pektoris tidak stabil angina pektoris vasospastik , angina prinzmetal , angina varian tidak nifedipine 5 mg , angina pektoris pasca infark kecuali 8 pert</t>
  </si>
  <si>
    <t>farmalat</t>
  </si>
  <si>
    <t>farmalat tablet nifedipine pengobatan hipertensi  pengobatan pjk  angina pektoris kronik stabil  angina pektoris tidak stabil angina pektoris vasospastik  angina prinzmetal  angina varian tidak nifedipine 5 mg  angina pektoris pasca infark kecuali 8 pert</t>
  </si>
  <si>
    <t>DKL1421644517B1</t>
  </si>
  <si>
    <t>Stavinor 20 mg 10 Tablet</t>
  </si>
  <si>
    <t>Rp67.400 - Rp168.100</t>
  </si>
  <si>
    <t>DKL1421644517A1</t>
  </si>
  <si>
    <t>Stavinor 10 mg 10 Tablet</t>
  </si>
  <si>
    <t>Rp130.300 - Rp168.100</t>
  </si>
  <si>
    <t>bimaflox kaplet ciprofloxacin hydrochloride monohydrate infeksi saluran kemih  infeksi saluran nafas  kulit jaringan lunak  tulang sendi  infeksi saluran cerna  osteomielitis akut  infeksi sal nafas  kulit jaringan lunak  tulang sendi  infeksi intra  abdomen komplikasi</t>
  </si>
  <si>
    <t>DKL9522216903A1</t>
  </si>
  <si>
    <t>Pumpitor 20 mg 10 Kapsul</t>
  </si>
  <si>
    <t>- OMEPRAZOLE ENTERIC COATED PELLET 8.5</t>
  </si>
  <si>
    <t>Rp197.700 - Rp217.500</t>
  </si>
  <si>
    <t>hufamag plus suspensi simethicone dried aluminium hydroxide gel magnesium hydroxide mengurangi gejala berhubungan hipersekresi asam lambung  tukak lambung  gastritis  tukak duodenum disertai gejala  gejala mual  nyeri ulu hati  nyeri lambung  kembung  penuh lambung</t>
  </si>
  <si>
    <t>Omron Blood Pressure Monitor HEM-8712</t>
  </si>
  <si>
    <t>Rp444.700 - Rp912.600</t>
  </si>
  <si>
    <t>Alat pengukur tekanan darah otomatis yang dapat mengukur tekanan darah dan detak jantung pada lengan atas. Tensimeter dilengkapi dengan teknologi Intellisense memberikan jaminan pengukuran tekanan darah yang cepat, nyaman, dengan hasil yang akurat dan dapat diandalkan.</t>
  </si>
  <si>
    <t>alat pengukur tekanan darah otomatis mengukur tekanan darah detak jantung lengan  tensimeter dilengkapi teknologi intellisense jaminan pengukuran tekanan darah cepat , nyaman , hasil akurat diandalkan</t>
  </si>
  <si>
    <t>omron blood pressure monitor hem tablet kombinasivalsartan blend 32 alat pengukur teka darah otomatis mengukur teka darah detak jantung lengan  tensimeter dilengkapi teknologi intellisense jami pengukuran teka darah cepat  nyaman  hasil akurat diandalkan</t>
  </si>
  <si>
    <t>Omron Blood Pressure Monitor HEM-7320</t>
  </si>
  <si>
    <t>Rp921.000 - Rp2.307.200</t>
  </si>
  <si>
    <t>Omron Blood Pressure Monitor HEM-7156A</t>
  </si>
  <si>
    <t>Rp579.100 - Rp1.113.100</t>
  </si>
  <si>
    <t>omron blood pressure monitor hema</t>
  </si>
  <si>
    <t>omron blood pressure monitor hema tablet kombinasivalsartan blend 32 alat pengukur teka darah otomatis mengukur teka darah detak jantung lengan  tensimeter dilengkapi teknologi intellisense jami pengukuran teka darah cepat  nyaman  hasil akurat diandalkan</t>
  </si>
  <si>
    <t>TR112626331</t>
  </si>
  <si>
    <t>Sirup Batuk Apricot Piparlu 7 ml Sachet</t>
  </si>
  <si>
    <t>SIRUP BATUK APRICOT PIPARLU</t>
  </si>
  <si>
    <t>Rp1.100 - Rp1.400</t>
  </si>
  <si>
    <t>Membantu meredakan batuk, mengeluarkan dahak/lendir yang berlebih, melembabkan tenggorokan, mengurangi rangsangan batuk, melegakan pernapasan, meredakan demam, meringankan gejala infeksi saluran pernapasan, dan meningkatkan daya tahan tubuh.</t>
  </si>
  <si>
    <t>Dus, Sachet @ 7 ml</t>
  </si>
  <si>
    <t>sirup batuk apricot piparlu</t>
  </si>
  <si>
    <t>membantu meredakan batuk , mengeluarkan dahak lendir berlebih , melembabkan tenggorokan , mengurangi rangsangan batuk , melegakan pernapasan , meredakan demam , meringankan gejala infeksi saluran pernapasan , meningkatkan daya tahan tubuh</t>
  </si>
  <si>
    <t>batuk apricot piparlu</t>
  </si>
  <si>
    <t>batuk apricot piparlu sirup sirup batuk apricot piparlu membantu meredakan batuk  mengeluarkan dahak lendir berlebih  melembabkan tenggorokan  mengurangi rangsangan batuk  melegakan pernapasan  meredakan demam  meringankan gejala infeksi saluran pernapasan  meningkatkan daya tahan tubuh</t>
  </si>
  <si>
    <t>DBL1904529110A1</t>
  </si>
  <si>
    <t>Gastran 10 Tablet</t>
  </si>
  <si>
    <t>Rp7.300 - Rp8.600</t>
  </si>
  <si>
    <t>DKL1411643317B1</t>
  </si>
  <si>
    <t>Truvaz 20 mg 10 Tablet</t>
  </si>
  <si>
    <t>Rp209.600 - Rp252.500</t>
  </si>
  <si>
    <t>DKL1428207209B1</t>
  </si>
  <si>
    <t>Simtor 20 mg 10 Kaplet</t>
  </si>
  <si>
    <t>Rp131.700 - Rp167.900</t>
  </si>
  <si>
    <t>simtor</t>
  </si>
  <si>
    <t>simtor kaplet atorvastatin calcium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</si>
  <si>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DBL8509201863A1</t>
  </si>
  <si>
    <t>Trianta 10 Tablet</t>
  </si>
  <si>
    <t>Rp2.900 - Rp5.800</t>
  </si>
  <si>
    <t>Anak 6-12 tahun : 1/2-1 tablet, 3-4 kali sehari. Dewasa : 1-2 tablet, 3-4 kali sehari</t>
  </si>
  <si>
    <t>Mengurangi gejala kelebihan asam lambung, gastritis, tukak lambung, tukak duodenum/usus 12 jari dengan gejala seperti mual, nyeri lambung, nyeri ulu hati, kembung dan perasaan penuh pada lambung</t>
  </si>
  <si>
    <t>Gangguan ginjal dan diet rendah fospat, tidak dianjurkan untuk pengobatan kolik bayi, tidak digunakan terus-menerus sampai lebih dari 2 minggu, karena dikhawatirkan dapat terjadi ketergantungan fungsi lambung.</t>
  </si>
  <si>
    <t>mengurangi gejala kelebihan asam lambung , gastritis , tukak lambung , tukak duodenum usus 12 jari gejala mual , nyeri lambung , nyeri ulu hati , kembung perasaan penuh lambung</t>
  </si>
  <si>
    <t>trianta tablet dried aluminium hydroxide gel magnesium hydroxide simethicone mengurangi gejala kelebihan asam lambung  gastritis  tukak lambung  tukak duodenum usus 12 jari gejala mual  nyeri lambung  nyeri ulu hati  kembung perasaan penuh lambung</t>
  </si>
  <si>
    <t>DKI1959203043B1</t>
  </si>
  <si>
    <t>Soliqua 100/50 Pen</t>
  </si>
  <si>
    <t>Rp315.000 - Rp607.900</t>
  </si>
  <si>
    <t>Selalu gunakan obat ini sesuai petunjuk dokter. Dokter mungkin akan meminta untuk menggunakan SOLIQUA dengan dosis yang berbeda denagn dosis insulin yang Anda gunakan sebelumnya. Tanyakan kepada dokter, apoteker atau perawat Anda jika Anda tidak yakin.</t>
  </si>
  <si>
    <t>PENGGUNAAN OBAT INI HARUS SESUAI DENGAN PETUNJUK DOKTER. - Sebelum menginisiasi SOLIQUA, terapi dengan basal insulin atau OAD produk selain metformin harus dihentikan terlebih dahulu - Starting dosis dari SOLIQUA berdasarkan dari terapi sebelumnya, dan agar tidak melebihi rekomendasi starting dosis dari Lixesenatide - Maksimal dosis harian adalah 60 unit insulin glargine dan 20 mcg Lixisenatide atau setara 60 dosis step - SOLIQUA harus disuntikkan sekali sehari dalam 1 jam sebelum makan - Lebih baik, injeksi prandial diberikan sebelum makan yang sama tiap harinya, dipilih pada saat makan yang paling nyaman - Dosis SOLIQUA diberikan sesuai dengan kebutuhan insulin dari individu pasien - Dose adjustment untuk mengoptimalkan control gula darah berdasarkan kadar gula darah puasa.</t>
  </si>
  <si>
    <t>INFORMASI OBAT INI HANYA UNTUK KALANGAN MEDIS. SOLIQUA diindikasikan untuk kombinasi dengan metformin sebagai terapi pada pasien DMT2 dewasa untuk memperbaiki control gula darah pada saat tidak mencukupi dengan metformin saja atau kombinasi metformin dengan obat OAD lain (SU, DPP-4 inh, dan SGLT2 inh) atau dengan basal insulin.</t>
  </si>
  <si>
    <t>Dus, 3 Prefilled Pen @ 3ml</t>
  </si>
  <si>
    <t>HARUS DENGAN RESEP DOKTER. Beritahu dokter, apoteker, atau perawat Anda sebelum menggunakan SOLIQUA, jika: - Menderita diabetes tipe1, karena SOLIQUA digunakan untuk diabetes tipe2 sehingga obat ini tidak tepat untuk Anda. - Menderita ketoasidosis diabetes (suatu komplikasi penyakit diabetes yang terjadi ketika tubh tidak dapat menggunakan glukosa karena tidak ada insulin yang cukup), obat ini tidak tepat untuk Anda. - Memiliki gangguan yang berat pada lambung atau usus seperti penyakit pada otot lambung yang disebut ""gastroparesis"" yang mengakibatkan penundaan pengosongan lambung. Karena SOLIQUA dapat menyebabkan efek samping pada lambung. - Memiliki ginjal yang berat atau Anda melakukan dialisis, karen apenggunaan ini tidak direkomendasikan pada kondisi tersebut. Penggunaan insulin kemungkinan dapat mempengaruhi kemampuan mengemudi atau mengoperasikan mesin. Peningkatan kerentanan terjadinya hipoglikemia jika terjadi perubahan pada area penyuntikkan, peningkatan sensitivitas insulin, aktivitas fisik yang tidak biasa, asupan makanan yang tidak memadai, melewatkan makan, mengkonsumsi alkohol, gangguan endoktrin tertentu, pengobatan bersamaan dengan obat-obat tertentu. Sebelum menggunakan produk, lakukan pemerikasaan produk secara visual. JIka terdapat kekeruhan atau perubahan warna pada produk, jangan digunakan. Sebelum menyuntikan insulin, bersihkan kulit (tempat penyuntikan) dengan alkohol. Jangan menyuntikan obat di tempat yang sama secara terus menerus untuk mencegah risiko timbulnya masalah atau kerusakan kulit. Insulin glulisine dapat disuntikan di daerah perut, paha, atau belakang lengan atas. Jangan menyuntikan ke kulit yang mengalami kemerahan, bengkak, gatal, atau luka. Pastikan insulin tidak dalam keadaan dingin saat disuntikan untuk mencegah timbulnya rasa sakit saat penyuntikkan. Jangan suntikkan insulin pada pembuluh darah atau otot untuk menghindari risiko timbulkan hipoglikemia. Jangan membagkan perangkat pen Anda dengan orang lain untuk menghindari risiko penularan infeksi.</t>
  </si>
  <si>
    <t>insulin glargine lixisenatide</t>
  </si>
  <si>
    <t>soliqua diindikasikan kombinasi metformin terapi pasien dmt2 dewasa memperbaiki control gula darah tidak mencukupi metformin kombinasi metformin obat oad su , dpp - 4 inh , sglt2 inh basal insulin</t>
  </si>
  <si>
    <t>soliqua pen</t>
  </si>
  <si>
    <t>soliqua pen injeksi insulin glargine lixisenatide soliqua diindikasikan kombinasi metformin terapi pasien dmt2 dewasa memperbaiki control gula darah tidak mencukupi metformin kombinasi metformin obat oad su  dpp  4 inh  sglt2 inh basal insulin</t>
  </si>
  <si>
    <t>DKL9222212809A1</t>
  </si>
  <si>
    <t>Baquinor Forte 500 mg 10 Kaplet</t>
  </si>
  <si>
    <t>Rp193.100 - Rp212.500</t>
  </si>
  <si>
    <t>Penderita yang hipersensitif terhadap Siprofloksasin atau antibiotik derivat kuinolon lainnya. Wanita hamil dan menyusui. Anak-anak di bawah usia 12 tahun.</t>
  </si>
  <si>
    <t>baquinor forte</t>
  </si>
  <si>
    <t>baquinor forte kaplet ciprofloxacin hydrochloride infeksi saluran kemih  infeksi saluran nafas  kulit jaringan lunak  tulang sendi  infeksi saluran cerna  osteomielitis akut  infeksi sal nafas  kulit jaringan lunak  tulang sendi  infeksi intra  abdomen komplikasi</t>
  </si>
  <si>
    <t>DKL9830906329A1</t>
  </si>
  <si>
    <t>Fexazol 20 mg/g Cream 5 g</t>
  </si>
  <si>
    <t>Rp5.800 - Rp10.000</t>
  </si>
  <si>
    <t>Dioleskan pada area kulit yang terinfeksi jamur</t>
  </si>
  <si>
    <t>PENGGUNAAN OBAT INI HARUS SESUAI DENGAN PETUNJUK DOKTER. Oleskan 1-2 x sehari. Lama terapi : Tinea versicolor 2-3 minggu, Tinea korporis 3-4 minggu, Tinea pedis 4-6 minggu.</t>
  </si>
  <si>
    <t>Pengobatan topikal infeksi dermatolofit di kulit, seperti : Tinea korporis, krusis, tinea manus &amp; Pedis yang disebabkan Tricophyton rubrum, Trichophyton mentagropytes, Microsporum canis dan Epidermophyton Floccosum. Tinea Versicolor yang disebabkan oleh malsserzia furfur. Kandidasis kutan, termasuk penggunaan luar pada vulvitas.</t>
  </si>
  <si>
    <t>Obat Wajib Apotek, Obat ini dapat dibeli dan diserahkan apoteker tanpa resep dengan maksimum 1 Tube. Pembelian melebihi batas ini WAJIB RESEP DOKTER. Tidak untuk digunakan pada mata. Sensitivitas atau iritasi (hentikan penggunaan). Hamil, laktasi. Anak</t>
  </si>
  <si>
    <t>pengobatan topikal infeksi dermatolofit kulit , tinea korporis , krusis , tinea manus pedis disebabkan tricophyton rubrum , trichophyton mentagropytes , microsporum canis epidermophyton floccosum  tinea versicolor disebabkan malsserzia furfur  kandidasis kutan , penggunaan vulvitas</t>
  </si>
  <si>
    <t>fexazol cream</t>
  </si>
  <si>
    <t>fexazol cream krim ketoconazole pengobatan topikal infeksi dermatolofit kulit  tinea korporis  krusis  tinea manus pedis disebabkan tricophyton rubrum  trichophyton mentagropytes  microsporum canis epidermophyton floccosum  tinea versicolor disebabkan malsserzia furfur  kandidasis kutan  penggunaan vulvitas</t>
  </si>
  <si>
    <t>Painkila Cream 30 g</t>
  </si>
  <si>
    <t>Rp19.000 - Rp30.400</t>
  </si>
  <si>
    <t>Oleskan PAINKILA krim pada bagian tubuh yang sakit kemudian gosok sampai merata dan meresap ke bawah jaringan kulit</t>
  </si>
  <si>
    <t>Nyeri akibat terkilir,Nyeri serta pegal-pegal pada daerah leher, bahu dan punggung,Nyeri kepala akibat dari kekakuan otot,Nyeri akibat terbentur atau terpukul,Ketegangan otot-otot pada kaki, pinggang,Pegal-pegal sehabis bekerja keras atau berolahraga</t>
  </si>
  <si>
    <t>nyeri akibat terkilir , nyeri pegal - pegal daerah leher , bahu punggung , nyeri kepala akibat kekakuan otot , nyeri akibat terbentur terpukul , ketegangan otot - otot kaki , pinggang , pegal - pegal sehabis kera berolahraga</t>
  </si>
  <si>
    <t>painkila cream krim  menthol nyeri akibat terkilir  nyeri pegal  pegal daerah leher  bahu punggung  nyeri kepala akibat kekakuan otot  nyeri akibat terbentur terpukul  ketegangan otot  otot kaki  pinggang  pegal  pegal sehabis kera berolahraga</t>
  </si>
  <si>
    <t>Omega All In One Multi Purpose Solution 500 ml</t>
  </si>
  <si>
    <t>Rp50.400 - Rp88.000</t>
  </si>
  <si>
    <t>omega all in one multi purpose solution</t>
  </si>
  <si>
    <t>omega all in one multi purpose solution tablet kombinasivalsartan blend 32 cairan pembersih contact lens manfaat cleans membersihkan  lubricates melembabkan  desinfects mematikan kuman  protein removes membersihkan protein pengotor  stores mempertahankan kualitas softlens penyimpa</t>
  </si>
  <si>
    <t>Spex Symbol Solution Sol-8 60 ml</t>
  </si>
  <si>
    <t>Rp8.900 - Rp10.400</t>
  </si>
  <si>
    <t>Larutan serbaguna untuk lensa kontak lunak yang digunakan untuk membersihkan, melepaskan dan menghancurkan timbunan lemak, protein, kotoran lain dan debu pada lensa kontak lunak, membunuh bakteri pada permukaan lensa, membilas dan merendam lensa kontak lunak.</t>
  </si>
  <si>
    <t>larutan serbaguna lensa kontak lunak membersihkan , melepaskan menghancurkan timbunan lemak , protein , kotoran debu lensa kontak lunak , membunuh bakteri permukaan lensa , membilas merendam lensa kontak lunak</t>
  </si>
  <si>
    <t>spex symbol solution sol</t>
  </si>
  <si>
    <t>spex symbol solution sol tablet kombinasivalsartan blend 32 larutan serbaguna lensa kontak lunak membersihkan  melepaskan menghancurkan timbu lemak  protein  kotoran debu lensa kontak lunak  membunuh bakteri permukaan lensa  membilas merendam lensa kontak lunak</t>
  </si>
  <si>
    <t>DTL2106320433A1</t>
  </si>
  <si>
    <t>Repass Suspensi 200 mg/5 ml 60 ml</t>
  </si>
  <si>
    <t>Rp7.200 - Rp8.000</t>
  </si>
  <si>
    <t>Menurunkan demam pada anak-anak dan meringankan nyeri ringan sampai sedang antara lain nyeri pada dismenore primer (nyeri haid), nyeri pada penyakit gigi atau pencabutan gigi, nyeri setelah operasi, sakit kepala, gejala nyeri ringan sampai sedang pada penyakit reumatik tulang sendi dan sendi terkilir.</t>
  </si>
  <si>
    <t>menurunkan demam anak - anak meringankan nyeri ringan nyeri dismenore primer nyeri haid , nyeri penyakit gigi pencabutan gigi , nyeri operasi , sakit kepala , gejala nyeri ringan penyakit reumatik tulang sendi sendi terkilir</t>
  </si>
  <si>
    <t>repass suspensi ibuprofen menurunkan demam anak  anak meringankan nyeri ringan nyeri dismenore primer nyeri haid  nyeri penyakit gigi pencabutan gigi  nyeri operasi  sakit kepala  gejala nyeri ringan penyakit reumatik tulang sendi sendi terkilir</t>
  </si>
  <si>
    <t>GKL1408517817A1</t>
  </si>
  <si>
    <t>Atorvastatin 10 mg 10 Tablet</t>
  </si>
  <si>
    <t>Rp5.400 - Rp51.300</t>
  </si>
  <si>
    <t>atorvastatin tablet atorvastatin calcium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</si>
  <si>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Ilook Multi Purpose Solution 60 ml</t>
  </si>
  <si>
    <t>Rp11.000 - Rp16.500</t>
  </si>
  <si>
    <t>ilook multi purpose solution</t>
  </si>
  <si>
    <t>ilook multi purpose solution tablet kombinasivalsartan blend 32 larutan serbaguna lensa kontak lunak membersihkan  melepaskan menghancurkan timbu lemak  protein  kotoran debu lensa kontak lunak  membunuh bakteri permukaan lensa  membilas merendam lensa kontak lunak</t>
  </si>
  <si>
    <t>GKL1408517817B1</t>
  </si>
  <si>
    <t>Atorvastatin 20 mg 10 Tablet</t>
  </si>
  <si>
    <t>Rp6.000 - Rp62.100</t>
  </si>
  <si>
    <t>DKL8727904438B1</t>
  </si>
  <si>
    <t>Zemoxil Dry Sirup 60 ml</t>
  </si>
  <si>
    <t>Rp6.400 - Rp13.000</t>
  </si>
  <si>
    <t>PENGGUNAAN OBAT INI HARUS SESUAI DENGAN PETUNJUK DOKTER. Disesuaikan dengan jenis dan beratnya infeksi - Anak-anak dibawah 7 tahun : 20-40 mg/kg berat badan sehari dibagi dalam 8 jam interval.</t>
  </si>
  <si>
    <t>Infeksi yang disebabkan oleh kuman-kuman gram positip dan gram negatip yang peka terhadap Amoxicillin, seperti infeksi pada saluran pernapasan bagian atas, otitis media, bronchitis akut dan kronik, pneumonia cystitis, urethris, pyelonephritis, gonorhea yang tidak terkomplikasi, infeksi kulit dan jaringan lunak.</t>
  </si>
  <si>
    <t>Penderita yang hipersensitif terhadap Penicillin dan turunannya. Bayi baru lahir dimana ibunya hipersensitif terhadap Penicillin atau turunannya.</t>
  </si>
  <si>
    <t>infeksi disebabkan kuman - kuman gram positip gram negatip peka amoxicillin , infeksi saluran pernapasan , otitis medium , bronchitis akut kronik , pneumonia cystitis , urethris , pyelonephritis , gonorhea tidak terkomplikasi , infeksi kulit jaringan lunak</t>
  </si>
  <si>
    <t>zemoxil sirup amoxicillin trihydrate infeksi disebabkan kuman  kuman gram positip gram negatip peka amoxicillin  infeksi saluran pernapasan  otitis medium  bronchitis akut kronik  pneumonia cystitis  urethris  pyelonephritis  gonorhea tidak terkomplikasi  infeksi kulit jaringan lunak</t>
  </si>
  <si>
    <t>diphenhydramine hydrochloride undecylenic acid sulfur</t>
  </si>
  <si>
    <t>new astar cream krim diphenhydramine hydrochloride undecylenic acid sulfur mengatasi eksem  panu  kadas  gatal akibat keringat  gatal akibat zat kimia  gatal disekitar alat kelamin  infeksi akibat jamur  athlete s foot  barber s itch</t>
  </si>
  <si>
    <t>Fresh Eye No Rub Multi-Purpose Solution 160 ml</t>
  </si>
  <si>
    <t>Rp40.000 - Rp60.000</t>
  </si>
  <si>
    <t>Sebelum membuka botol, cuci tangan dengan sabun sampai bersih. Tuangkan beberapa tetes Multi Purpose Solution di permukaan lensa kontak. Usap lensa dengan hati-hati selama 20 detik di setiap permukaan. Bilas lensa kontak tersebut dengan menambahkan MPS untuk melepaskan lapisan kotoran. Letakan lensa kontak pada tempat lensa dan diisi dengan Multi Purpose Solution selama kurang lebih dari 5 menit. Jika tanpa penggosokan, rendam minimal 4 jam. Lensa dapat disimpan maksimal 30 hari</t>
  </si>
  <si>
    <t>Larutan serbaguna untuk lensa kontak lunak yang digunakan untuk membersihkan protein, kotoran lain dan debu pada lensa kontak lunak, membunuh bakteri pada permukaan lensa, membilas dan merendam lensa kontak tanpa harus menggosok lensa kontak</t>
  </si>
  <si>
    <t>Dus, Botol @ 160 ml</t>
  </si>
  <si>
    <t>larutan serbaguna lensa kontak lunak membersihkan protein , kotoran debu lensa kontak lunak , membunuh bakteri permukaan lensa , membilas merendam lensa kontak menggosok lensa kontak</t>
  </si>
  <si>
    <t>fresh eye no rub multipurpose solution</t>
  </si>
  <si>
    <t>fresh eye no rub multipurpose solution tablet kombinasivalsartan blend 32 larutan serbaguna lensa kontak lunak membersihkan protein  kotoran debu lensa kontak lunak  membunuh bakteri permukaan lensa  membilas merendam lensa kontak menggosok lensa kontak</t>
  </si>
  <si>
    <t>lapiflox kaplet ciprofloxacin hcl monohydrate infeksi saluran kemih  infeksi saluran nafas  kulit jaringan lunak  tulang sendi  infeksi saluran cerna  osteomielitis akut  infeksi sal nafas  kulit jaringan lunak  tulang sendi  infeksi intra  abdomen komplikasi</t>
  </si>
  <si>
    <t>DBL8502308016A2</t>
  </si>
  <si>
    <t>Beneuron 10 Tablet</t>
  </si>
  <si>
    <t>Rp6.600 - Rp10.000</t>
  </si>
  <si>
    <t>Kelainan saraf Anemia Kekurangan vitamin b12 Gangguan neurologis Masalah jantung Defisiensi tiamin Komplikasi kehamilan Kejang Kelainan saraf Masalah mental Anemia Kejang Homocystinuria Kekurangan vitamin b12 Anemia pernisiosa</t>
  </si>
  <si>
    <t>1 box 100 tab</t>
  </si>
  <si>
    <t>thiamine nitrate pyridoxine hydrochloride kombinasi-cyanocobalamin</t>
  </si>
  <si>
    <t>kelainan saraf anemia kekurangan vitamin b12 gangguan neurologis masalah jantung defisiensi tiamin komplikasi kehamilan kejang kelainan saraf masalah mental anemia kejang homocystinuria kekurangan vitamin b12 anemia pernisiosa</t>
  </si>
  <si>
    <t>beneuron</t>
  </si>
  <si>
    <t>beneuron tablet thiamine nitrate pyridoxine hydrochloride kombinasicyanocobalamin kelai saraf anemia kekurangan vitamin b12 gangguan neurologis masalah jantung defisiensi tiamin komplikasi kehamilan kejang kelai saraf masalah mental anemia kejang homocystinuria kekurangan vitamin b12 anemia pernisiosa</t>
  </si>
  <si>
    <t>DKL1031529817A1</t>
  </si>
  <si>
    <t>Atofar 10 mg 10 Tablet</t>
  </si>
  <si>
    <t>Rp134.800 - Rp184.800</t>
  </si>
  <si>
    <t>atofar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</si>
  <si>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Omron Automatic Blood Pressure Monitor HEM-7130</t>
  </si>
  <si>
    <t>Rp418.000 - Rp1.111.500</t>
  </si>
  <si>
    <t>omron automatic blood pressure monitor hem</t>
  </si>
  <si>
    <t>omron automatic blood pressure monitor hem tablet kombinasivalsartan blend 32 alat pengukur teka darah otomatis mengukur teka darah detak jantung lengan  tensimeter dilengkapi teknologi intellisense jami pengukuran teka darah cepat  nyaman  hasil akurat diandalkan</t>
  </si>
  <si>
    <t>GKL1634604217A1</t>
  </si>
  <si>
    <t>Atorvastatin 40 mg 6 Tablet</t>
  </si>
  <si>
    <t>Rp1.400 - Rp37.200</t>
  </si>
  <si>
    <t>atorvastatin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</si>
  <si>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DKL1302505209B1</t>
  </si>
  <si>
    <t>Avesco 20 mg 10 Kaplet</t>
  </si>
  <si>
    <t>Rp20.800 - Rp91.200</t>
  </si>
  <si>
    <t>avesco kaplet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</si>
  <si>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DKL9431113709A1</t>
  </si>
  <si>
    <t>Floxigra 500 mg 10 Kaplet</t>
  </si>
  <si>
    <t>Rp10.800 - Rp14.200</t>
  </si>
  <si>
    <t>INFORMASI OBAT INI HANYA UNTUK KALANGAN MEDIS. Untuk mengobati Infeksi yang disebabkan oleh kuman patogen yang peka terhadap ciprofloxacin, seperti: Infeksi saluran kemih, Infeksi saluran nafas, infeksi kulit dan jaringan lunak, infeksi tulang dan sendi, infeksi saluran cerna, osteomielitis akut, infeksi intra-abdomen dengan komplikasi.</t>
  </si>
  <si>
    <t>Hipersensitif terhadap siprofloksasin atau kuinolon lain. Anak &lt; 18 tahun. Hamil dan laktasi</t>
  </si>
  <si>
    <t>untuk mengobati infeksi disebabkan kuman patogen peka ciprofloxacin , infeksi saluran kemih , infeksi saluran nafas , infeksi kulit jaringan lunak , infeksi tulang sendi , infeksi saluran cerna , osteomielitis akut , infeksi intra - abdomen komplikasi</t>
  </si>
  <si>
    <t>floxigra</t>
  </si>
  <si>
    <t>floxigra kaplet ciprofloxacin hydrochloride untuk mengobati infeksi disebabkan kuman patogen peka ciprofloxacin  infeksi saluran kemih  infeksi saluran nafas  infeksi kulit jaringan lunak  infeksi tulang sendi  infeksi saluran cerna  osteomielitis akut  infeksi intra  abdomen komplikasi</t>
  </si>
  <si>
    <t>DKL2031545417B1</t>
  </si>
  <si>
    <t>Ruvastin 20 mg 10 Tablet</t>
  </si>
  <si>
    <t>Rp150.000 - Rp184.800</t>
  </si>
  <si>
    <t>PENGGUNAAN OBAT INI HARUS SESUAI DENGAN PETUNJUK DOKTER. Dosis individual. Dosis awal biasa: 10 mg 1x sehari. Penyesuaian dosis hingga 20 mg dpt dilakukan setelah 4 minggu, jika perlu. Hiperkolesterolemia berat (termasuk hiperkolesterolemia familial) : 40 mg pada pasien yg tidak mencapai tujuan pengobatan dengan 20 mg. Gangguan ginjal berat (CrCl &lt;30 mL/menit) : tidak melebihi 10 mg 1x sehari. Gangguan hati berat : tidak melebihi 20 mg 1x sehari</t>
  </si>
  <si>
    <t>INFORMASI OBAT INI HANYA UNTUK KALANGAN MEDIS. Pasien dengan hiperkolesterolemia primer (tipe IIa termasuk hiperkolesterolemia familial heterozigot) atau dislipidemia campuran (tipe IIb), sebagai tambahan terhadap diet bila respons terhadap diet &amp; olahraga tidak adekuat. Mengurangi peningkatan kolesterol LDL, kolesterol total, trigliserida &amp; ApoB, &amp; meningkatkan kolesterol HDL.</t>
  </si>
  <si>
    <t>HARUS DENGAN RESEP DOKTER. Pasien harus menjalani diet penurun kolesterol standar yg harus dilanjutkan selama pengobatan sebelum memulai pengobatan dengan rosuvastatin. Tdk direkomendasikan untuk digunakan pada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tenaga medis apabila sedang menyusui.</t>
  </si>
  <si>
    <t>pasien hiperkolesterolemia primer tipe iia hiperkolesterolemia familial heterozigot dislipidemia campuran tipe iib , tambahan diet respons diet olahraga tidak adekuat  mengurangi peningkatan kolesterol ldl , kolesterol total , trigliserida apob , meningkatkan kolesterol hdl</t>
  </si>
  <si>
    <t>ruvastin</t>
  </si>
  <si>
    <t>ruvastin tablet rosuvastatin calcium pasien hiperkolesterolemia primer tipe iia hiperkolesterolemia familial heterozigot dislipidemia campuran tipe iib  tambahan diet respons diet olahraga tidak adekuat  mengurangi peningkatan kolesterol ldl  kolesterol total  trigliserida apob  meningkatkan kolesterol hdl</t>
  </si>
  <si>
    <t>DKL0433510309A1</t>
  </si>
  <si>
    <t>Prorenal 10 Tablet</t>
  </si>
  <si>
    <t>Rp68.200 - Rp99.000</t>
  </si>
  <si>
    <t>Sebaiknya diberikan bersama makanan : Berikan pd saat makan. Telan utuh.</t>
  </si>
  <si>
    <t>PENGGUNAAN OBAT INI HARUS SESUAI DENGAN PETUNJUK DOKTER. Dws dg BB 70 kg Insufisiensi ginjal kronik 4-8 tabh 3 x/hr. Retensi yg terkompensasi 4-6 tab 3 x/hr dg nutrisi tinggi kalori rendah protein. Retensi yg tak terkompensasi 4-8 tab 3 x/hr dg nutrisi tinggi kalori rendah protein.</t>
  </si>
  <si>
    <t>INFORMASI OBAT INI HANYA UNTUK KALANGAN MEDIS. Insufisiensi ginjal kronik dlm hubungan dg diet tinggi kalori rendah protein pd retensi yg terkompensasi atau tak terkompensasi</t>
  </si>
  <si>
    <t>Hiperkalsemia, ggn metabolisme asam amino. Hamil, anak.</t>
  </si>
  <si>
    <t>HARUS DENGAN RESEP DOKTER. Pastikan kecukupan asupan kalori. Kurangi penggunaan Al hidroksida seiring dg adanya perbaikan gejala uremia. Monitor kadar Ca serum scr berkala.</t>
  </si>
  <si>
    <t>alpha-keto-isoleucin calcium alpha-keto-leucine calcium alpha-keto-phenylalanine calcium alpha-keto-valine calcium tryptophan alpha-hydroxy methionine calcium histidine tyrosine lysine acetate threonine</t>
  </si>
  <si>
    <t>insufisiensi ginjal kronik dlm hubungan dg diet kalori rendah protein pd retensi yg terkompensasi terkompensasi</t>
  </si>
  <si>
    <t>prorenal</t>
  </si>
  <si>
    <t>prorenal kaplet alphaketoisoleucin calcium alphaketoleucine calcium alphaketophenylalanine calcium alphaketovaline calcium tryptophan alphahydroxy methionine calcium histidine tyrosine lysine acetate threonine insufisiensi ginjal kronik dlm hubungan dg diet kalori rendah protein pd retensi yg terkompensasi terkompensasi</t>
  </si>
  <si>
    <t>DKL2031545417A1</t>
  </si>
  <si>
    <t>Ruvastin 10 mg 10 Tablet</t>
  </si>
  <si>
    <t>DKL9615609317A1</t>
  </si>
  <si>
    <t>Ancla 500 mg 6 Kaplet</t>
  </si>
  <si>
    <t>Rp93.600 - Rp98.200</t>
  </si>
  <si>
    <t>Infeksi saluran pernafasan bagian atas &amp; bawah, kulit &amp; jaringan lunak, infeksi saluran kemih &amp; kelamin, dan infeksi lainnya (osteomielitis/radang sumsum tulang, septikemia/keracunan darah oleh bakteri patogenik dan atau zat-zat yang dihasilkan oleh bakteri tersebut, peritonitis/radang selaput perut, infeksi sesudah operasi).</t>
  </si>
  <si>
    <t>Hipersensitif terhadap Penisilin. Bayi yang lahir dari ibu yang hipersensitif terhadap Penisilin.</t>
  </si>
  <si>
    <t>HARUS DENGAN RESEP DOKTER. Hipersensitif terhadap penisilin, gangguan fungsi hati</t>
  </si>
  <si>
    <t>infeksi saluran pernafasan , kulit jaringan lunak , infeksi saluran kemih kelamin , infeksi osteomielitis radang sumsum tulang , septikemia keracunan darah bakteri patogenik zat - zat dihasilkan bakteri , peritonitis radang selaput perut , infeksi operasi</t>
  </si>
  <si>
    <t>ancla</t>
  </si>
  <si>
    <t>ancla tablet amoxicillin trihydrate infeksi saluran pernafasan  kulit jaringan lunak  infeksi saluran kemih kelamin  infeksi osteomielitis radang sumsum tulang  septikemia keracu darah bakteri patogenik zat  zat dihasilkan bakteri  peritonitis radang selaput perut  infeksi operasi</t>
  </si>
  <si>
    <t>DKL1413318809B1</t>
  </si>
  <si>
    <t>Fastor 20 mg 10 Tablet</t>
  </si>
  <si>
    <t>fastor</t>
  </si>
  <si>
    <t>fastor kaplet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</si>
  <si>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DKL1605055017A1</t>
  </si>
  <si>
    <t>Stator 10 mg 10 Tablet</t>
  </si>
  <si>
    <t>Rp163.100 - Rp213.400</t>
  </si>
  <si>
    <t>Dus, 3 Blister @ 10 Tablet Salut</t>
  </si>
  <si>
    <t>stator</t>
  </si>
  <si>
    <t>stator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</si>
  <si>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DKL9121611941A1</t>
  </si>
  <si>
    <t>Oxoferin Solution 30 ml</t>
  </si>
  <si>
    <t>Rp90.600 - Rp109.600</t>
  </si>
  <si>
    <t>Diteteskan pada area luka/infeksi. Sebelum pemakaian, daerah sekitar luka dibersihkan terlebih dahulu dari obat-obatan yg digunakan.</t>
  </si>
  <si>
    <t>PENGGUNAAN OBAT INI HARUS SESUAI DENGAN PETUNJUK DOKTER. 2 x per hari pada luka, 5-10 ml atau sesuai dengan petunjuk dokter.</t>
  </si>
  <si>
    <t>INFORMASI OBAT INI HANYA UNTUK KALANGAN MEDIS. Luka terinfeksi, penyembuhan luka yang lambat sesudah traumatik atau sesudah operasi, ulkus dekubitus, ulkus kaki kronis pada insufisiensi vena, ulkus &amp; luka akibat aliran darah arteri, mikroangiopati akibat diabetes atau akibat kelainan, ulkus dibetik, ganggren, luka bakar</t>
  </si>
  <si>
    <t>Belum diketahui kontraindikasi mengenai obat ini.</t>
  </si>
  <si>
    <t>HARUS DENGAN RESEP DOKTER. Tidak dianjurkan pemakaian lebih dari 6 minggu. Gunakan kain kasa untuk kompres, dan jangan gunakan multi kompres dan bahan selulosa ataupun kompres berlapis lainnya.</t>
  </si>
  <si>
    <t>tetrachlorodecaoxygen</t>
  </si>
  <si>
    <t>luka terinfeksi , penyembuhan luka lambat traumatik operasi , ulkus dekubitus , ulkus kaki kronis insufisiensi vena , ulkus luka akibat aliran darah arteri , mikroangiopati akibat diabetes akibat kelainan , ulkus dibetik , ganggren , luka bakar</t>
  </si>
  <si>
    <t>oxoferin solution</t>
  </si>
  <si>
    <t>oxoferin solution larutan tetrachlorodecaoxygen luka terinfeksi  penyembuhan luka lambat traumatik operasi  ulkus dekubitus  ulkus kaki kronis insufisiensi vena  ulkus luka akibat aliran darah arteri  mikroangiopati akibat diabetes akibat kelai  ulkus dibetik  ganggren  luka bakar</t>
  </si>
  <si>
    <t>Rp89.400 - Rp109.600</t>
  </si>
  <si>
    <t>QD151713331</t>
  </si>
  <si>
    <t>Alfabio Balsem Aroma Terapi 20 g</t>
  </si>
  <si>
    <t>Rp17.300 - Rp30.400</t>
  </si>
  <si>
    <t>Oleskan Balsem Alfabio secukupnya pada bagian tubuh yang membutuhkan. Apabila perlu dapat diulang, sesudah 2 - 3 jam, letakkan handuk panas secara berkala pada bagian yang telah dioleskan.</t>
  </si>
  <si>
    <t>Meredakan nyeri otot dan sendi, nyeri akibat benturan/memar, keseleo dan pegal-pegal. Dapat membantu meredakan hidung tersumbat dan gatal - gatal karena gigitan serangga. Balsem Alfabio juga dapat digunakan sebagai terapi pijat untuk merelaksasi tubuh.</t>
  </si>
  <si>
    <t>Pot 20 g x 1</t>
  </si>
  <si>
    <t>Tidak digunakan untuk anak dibawah 2 tahun &amp; jangan digunakan langsung dibawah lubang hidung.</t>
  </si>
  <si>
    <t>black seed oil</t>
  </si>
  <si>
    <t>meredakan nyeri otot sendi , nyeri akibat benturan memar , keseleo pegal - pegal  dapat membantu meredakan hidung tersumbat gatal - gatal gigitan serangga  balsem alfabio terapi pijat merelaksasi tubuh</t>
  </si>
  <si>
    <t>alfabio balsem aroma terapi</t>
  </si>
  <si>
    <t>alfabio balsem aroma terapi balsam black seed oil meredakan nyeri otot sendi  nyeri akibat benturan memar  keseleo pegal  pegal  dapat membantu meredakan hidung tersumbat gatal  gatal gigitan serangga  balsem alfabio terapi pijat merelaksasi tubuh</t>
  </si>
  <si>
    <t>DKL0033202437A1</t>
  </si>
  <si>
    <t>Nausile 5 mg/5 ml Sirup 60 ml</t>
  </si>
  <si>
    <t>Rp14.400 - Rp17.100</t>
  </si>
  <si>
    <t>PENGGUNAAN OBAT INI HARUS SESUAI DENGAN PETUNJUK DOKTER. Dewasa : 3 kali sehari 1-2 sendok teh Anak berusia 5-15 tahun : 0,5 mg/kg berat badan/hari dalam dosis terbagi</t>
  </si>
  <si>
    <t>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t>
  </si>
  <si>
    <t>gangguan lambung - usus , mabuk perjalanan , mual pagi , mual muntah obat , anoreksia kehilangan nafsu makan , kembung , ulkus peptikum , stenosis pilorik bersifat ringan , dispepsia , nyeri ulu hati , gastroduodenitis , dispepsia gastrektomi , endoskopi , intubasi</t>
  </si>
  <si>
    <t>nausile sirup metoclopramide hydrochloride gangguan lambung  usus  mabuk perjala  mual pagi  mual muntah obat  anoreksia kehilangan nafsu makan  kembung  ulkus peptikum  stenosis pilorik bersifat ringan  dispepsia  nyeri ulu hati  gastroduodenitis  dispepsia gastrektomi  endoskopi  intubasi</t>
  </si>
  <si>
    <t>gastrinal hd suspensi hydrotalcite magnesium hydroxide simethicone untuk meringankan gejala  gejala berhubungan kelebihan asam lambung  gastritis  tukak lambung  tukak usus 12 jari gejala  gejala mual  nyeri lambung  nyeri ulu hati  kembung  perasaan penuh lambung</t>
  </si>
  <si>
    <t>DKL1905055017C1</t>
  </si>
  <si>
    <t>Stator 40 mg 10 Tablet</t>
  </si>
  <si>
    <t>Rp222.600 - Rp241.600</t>
  </si>
  <si>
    <t>DKL0623409137A1</t>
  </si>
  <si>
    <t>Primpen Sirup 60 ml</t>
  </si>
  <si>
    <t>primpen</t>
  </si>
  <si>
    <t>primpen sirup metoclopramide hydrochloride gangguan lambung  usus  mabuk perjala  mual pagi  mual muntah obat  anoreksia kehilangan nafsu makan  kembung  ulkus peptikum  stenosis pilorik bersifat ringan  dispepsia  nyeri ulu hati  gastroduodenitis  dispepsia gastrektomi  endoskopi  intubasi</t>
  </si>
  <si>
    <t>DKL1031529817C1</t>
  </si>
  <si>
    <t>Atofar 40 mg 10 Tablet</t>
  </si>
  <si>
    <t>Rp130.700 - Rp184.800</t>
  </si>
  <si>
    <t>DKL1605055017B1</t>
  </si>
  <si>
    <t>Stator 20 mg 10 Tablet</t>
  </si>
  <si>
    <t>Rp216.700 - Rp223.100</t>
  </si>
  <si>
    <t>DKL9702323610B1</t>
  </si>
  <si>
    <t>Sinral 10 mg 10 Tablet</t>
  </si>
  <si>
    <t>Rp82.200 - Rp85.400</t>
  </si>
  <si>
    <t>PENGGUNAAN OBAT INI HARUS SESUAI DENGAN PETUNJUK DOKTER. Dewasa &lt; 65 tahun : awal 10 mg pada malam hari. Usia &gt; 65 tahun : awal 5 mg. Pemeliharaan : diberikan 5 hari/minggu. Lama pengobatan : 6 bulan. Hentikan setelah 1 bulan (untuk vertigo) atau 2 bulan jika tidak ada respon.</t>
  </si>
  <si>
    <t>Mencegah migren. Pengobatan dan pencegahan pusing, tinitus, vertigo, gangguan konsentrasi, bingung, gangguan ritme tidur, parestesia, ekstremitas dingin, gangguan tropik, gangguan vestibuler, pengobatan gangguan vaskuler sentral dan perifer, mudah marah, kram ketika berjalan atau berbaring.</t>
  </si>
  <si>
    <t>Tablet 10 Mg X 5 X 6</t>
  </si>
  <si>
    <t>Pasien yang mendapat terapi dengan penyekat-Î². Pasien dengan riwayat depresi atau gejala penyakit parkinson atau gangguan ekstrapiramidal lain.</t>
  </si>
  <si>
    <t>HARUS DENGAN RESEP DOKTER. Anak, hamil, laktasi, pasien dengan hipotensi, memperberat kelesuan, hati-hati jika mengemudi atau menjalankan mesin.</t>
  </si>
  <si>
    <t>mencegah migren  pengobatan pencegahan pusing , tinitus , vertigo , gangguan konsentrasi , bingung , gangguan ritme tidur , parestesia , ekstremitas dingin , gangguan tropik , gangguan vestibuler , pengobatan gangguan vaskuler sentral perifer , mudah marah , kram berjalan berbaring</t>
  </si>
  <si>
    <t>sinral tablet flunarizine hydrochloride mencegah migren  pengobatan pencegahan pusing  tinitus  vertigo  gangguan konsentrasi  bingung  gangguan ritme tidur  parestesia  ekstremitas dingin  gangguan tropik  gangguan vestibuler  pengobatan gangguan vaskuler sentral perifer  mudah marah  kram berjalan berbaring</t>
  </si>
  <si>
    <t>DBL2144402033A1</t>
  </si>
  <si>
    <t>Magasida Suspensi 60 ml</t>
  </si>
  <si>
    <t>- SIMETHICONE EMULSION 30. KOMBINASI-ALUMINIUM HYDROXIDE WITH MAGNESIUM HYDROXIDE</t>
  </si>
  <si>
    <t>Rp14.200 - Rp35.000</t>
  </si>
  <si>
    <t>Obat diminum pada saat perut kosong, yaitu diantara waktu makan dan sebelum tidur.</t>
  </si>
  <si>
    <t>Dewasa : 1 -2 sendok takar.</t>
  </si>
  <si>
    <t>Perhatian perlu dilakukan terhadap penderita gangguan ginjal dan diet rendah fospat. Penggunaan bersamaan dengan obat seperti cimetidine atau tetracycline, sebaiknya diberikan jarak antara 1-2 jam.</t>
  </si>
  <si>
    <t>simethicone emulsion 30 kombinasi-aluminium hydroxide with magnesium hydroxide</t>
  </si>
  <si>
    <t>magasida</t>
  </si>
  <si>
    <t>magasida suspensi simethicone emulsion 30 kombinasialuminium hydroxide with magnesium hydroxide mengurangi gejala  gejala berhubungan kelebihan asam lambung  gastristis  tukak lambung  tukak usus belas jari mual  nyeri lambung  nyeri ulu hati  kembung perasaan penuh lambung</t>
  </si>
  <si>
    <t>lipitor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</si>
  <si>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DKL1302505209C1</t>
  </si>
  <si>
    <t>Avesco 40 mg 10 Kaplet</t>
  </si>
  <si>
    <t>Rp32.600 - Rp145.900</t>
  </si>
  <si>
    <t>Obat ini tidak boleh diberikan kepada pasien dengan kondisi: Hipersensitif terhadap komponen- komponen dalam obat ini. Penyakit hati aktif atau peningkatan serum transaminase yang menetap melebihi 3 kali lipat dari batas atas normal. Ibu hamil, menyusui atau usia produktif yang tidak menggunakan alat kontrasepsi yang adekuat. Atorvastatin harus diberikan pada wanita usia subur hanya jika sangat tidak mungkin hamil dan telah diinformasikan potensi bahayanya terhadap janin.</t>
  </si>
  <si>
    <t>DKL1132717517A1</t>
  </si>
  <si>
    <t>Rinclo 75 mg 10 Tablet</t>
  </si>
  <si>
    <t>Rp103.400 - Rp123.900</t>
  </si>
  <si>
    <t>Menurunkan kejadian aterotrombotik pada infark miokard, stroke iskemik atau penyakit arteri perifer yang telah diketahui. Pasien yang mengalami sindrom koroner akut dengan peningkatan non segmen ST (angina tak stabil atau infark miokard non gelombang Q) dalam kombinasi dengan asam asetil salisilat.</t>
  </si>
  <si>
    <t>menurunkan kejadian aterotrombotik infark miokard , stroke iskemik penyakit arteri perifer  pasien mengalami sindrom koroner akut peningkatan non segmen st angina stabil infark miokard non gelombang q kombinasi asam asetil salisilat</t>
  </si>
  <si>
    <t>rinclo</t>
  </si>
  <si>
    <t>rinclo tablet clopidogrel bisulfate menurunkan kejadian aterotrombotik infark miokard  stroke iskemik penyakit arteri perifer  pasien mengalami sindrom koroner akut peningkatan non segmen st angina stabil infark miokard non gelombang q kombinasi asam asetil salisilat</t>
  </si>
  <si>
    <t>Miconazole 2% Cream 10 g</t>
  </si>
  <si>
    <t>Dioleskan dengan keadaan bersih pada area kulit yang sakit atau terinfeksi.</t>
  </si>
  <si>
    <t>Oleskan 2 kali per hari selama 2 sampai 4 minggu.</t>
  </si>
  <si>
    <t>Krim ini digunakan secara topikal atau pada membran mukosa untuk mengatasi infeksi yang disebabkan oleh fungi, atau digunakan pada terapi Tinea Pedis (kaki atlet), Tinea Kruris &amp; Tinea Korporis yang disebabkan oleh Trikhofiton Rubrum, Trikhofiton Mentagrofits &amp; Epidermofiton Flokosum, kandidiasis Kutaneus (Moniliasis) &amp; Tinea Versikolor.</t>
  </si>
  <si>
    <t>Hanya untuk bagian luar badan. 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</si>
  <si>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krim topikal membran mukosa mengatasi infeksi disebabkan fungi , terapi tinea pedis kaki atlet , tinea kruris tinea korporis disebabkan trikhofiton rubrum , trikhofiton mentagrofits epidermofiton flokosum , kandidiasis kutaneus moniliasis tinea versikolor</t>
  </si>
  <si>
    <t>miconazole cream</t>
  </si>
  <si>
    <t>miconazole cream krim miconazole nitrate krim topikal membran mukosa mengatasi infeksi disebabkan fungi  terapi tinea pedis kaki atlet  tinea kruris tinea korporis disebabkan trikhofiton rubrum  trikhofiton mentagrofits epidermofiton flokosum  kandidiasis kutaneus moniliasis tinea versikolor</t>
  </si>
  <si>
    <t>GKL1433532017B1</t>
  </si>
  <si>
    <t>Atorvastatin 40 mg 10 Tablet</t>
  </si>
  <si>
    <t>Rp37.300 - Rp103.500</t>
  </si>
  <si>
    <t>DKL9317608409A1</t>
  </si>
  <si>
    <t>Clabat 500 mg 4 Tablet</t>
  </si>
  <si>
    <t>Rp84.500 - Rp107.500</t>
  </si>
  <si>
    <t>PENGGUNAAN OBAT INI HARUS SESUAI DENGAN PETUNJUK DOKTER. Dewasa dan anak diatas 12 tahun: sehari 3x1 kaplet 250 mg</t>
  </si>
  <si>
    <t>- ALUMINIUM HYDROXIDE GEL. MAGNESIUM HYDROXIDE PASTE. SIMETHICONE EMULSION 30</t>
  </si>
  <si>
    <t>aluminium hydroxide gel magnesium hydroxide paste simethicone emulsion 30</t>
  </si>
  <si>
    <t>mylanta suspensi aluminium hydroxide gel magnesium hydroxide paste simethicone emulsion 30 obat mengurangi gejala  gejala berhubungan kelebihan asam lambung  gastritis  tukak lambung  tukak usus 12 jari  gejala  gejala mual  nyeri lambung  nyeri ulu hati</t>
  </si>
  <si>
    <t>DKL9111615209B1</t>
  </si>
  <si>
    <t>Clavamox 500 mg 10 Tablet</t>
  </si>
  <si>
    <t>orvast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</si>
  <si>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DKL1604526017B1</t>
  </si>
  <si>
    <t>Orvast 20 mg 10 Tablet</t>
  </si>
  <si>
    <t>Rp96.400 - Rp109.600</t>
  </si>
  <si>
    <t>magtral forte suspensi magnesium hydroxide simethicone dried aluminium hydroxide gel untuk mengobati gangguan saluran pencernaan gastritis  perut kembung  maag  dispepsia  hiatus hernia  tukak lambung usus duabelas jari  kepenuhan  ketidaknyama akibat kelebihan gas saluran pencernaan</t>
  </si>
  <si>
    <t>Dermatix Ultra Gel 9 g</t>
  </si>
  <si>
    <t>Gel ini memberi manfaat untuk membantu meratakan, menghaluskan dan memudarkan bekas luka menonjol, dapat digunakan untuk bekas luka yang disebabkan oleh operasi, terbakar ringan seperti kena catokan, terkena knalpot, terpercik minyak goreng, tergores, digigit serangga, dan bekerja maksimal pada bekas luka di bawah 2 tahun.</t>
  </si>
  <si>
    <t>Dus, Tube @ 9 G</t>
  </si>
  <si>
    <t>gel manfaat membantu meratakan , menghaluskan memudarkan bekas luka menonjol , bekas luka disebabkan operasi , terbakar ringan kena catokan , terkena knalpot , terpercik minyak goreng , tergores , digigit serangga , maksimal bekas luka 2</t>
  </si>
  <si>
    <t>dermatix ultra krim sulfadiazine silver gel manfaat membantu meratakan  menghaluskan memudarkan bekas luka menonjol  bekas luka disebabkan operasi  terbakar ringan kena catokan  terkena knalpot  terpercik minyak goreng  tergores  digigit serangga  maksimal bekas luka 2</t>
  </si>
  <si>
    <t>DKL0704129810A1</t>
  </si>
  <si>
    <t>Tizacom 2 mg 10 Tablet</t>
  </si>
  <si>
    <t>Rp38.300 - Rp49.700</t>
  </si>
  <si>
    <t>Kekejangan otot yang menyakitkan dihubungkan dengan kekacauan fungsional dan statis tulang belakang( lumbar cervical syndrom )</t>
  </si>
  <si>
    <t>TR163694681</t>
  </si>
  <si>
    <t>Madu Hitam Pahit Premium 500 g</t>
  </si>
  <si>
    <t>MADU HITAM PAHIT</t>
  </si>
  <si>
    <t>Rp71.700 - Rp112.000</t>
  </si>
  <si>
    <t>Diminum sebelum makan</t>
  </si>
  <si>
    <t>Obat dalam : 1-2 sendok makan 3 kali sehari. Obat luar : oleskan secukupnya 3 kali sehari</t>
  </si>
  <si>
    <t>Menormalkan gula darah, mengatasi lemah syahwat, mengobati reumatik, asam urat, asma, polip, sinusitis, radang tenggorokan, luka bakar, penyakit kulit (panu, kurap, eksim), meningkatkan stamina dan kekebalan tubuh</t>
  </si>
  <si>
    <t>Botol @ 50 g</t>
  </si>
  <si>
    <t>Tidak untuk digunakan pada ibu hamil dan menyusui</t>
  </si>
  <si>
    <t>madu hitam pahit</t>
  </si>
  <si>
    <t>menormalkan gula darah , mengatasi lemah syahwat , mengobati reumatik , asam urat , asma , polip , sinusitis , radang tenggorokan , luka bakar , penyakit kulit panu , kurap , eksim , meningkatkan stamen kekebalan tubuh</t>
  </si>
  <si>
    <t>madu hitam pahit premium</t>
  </si>
  <si>
    <t>madu hitam pahit premium madu madu hitam pahit menormalkan gula darah  mengatasi lemah syahwat  mengobati reumatik  asam urat  asma  polip  sinusitis  radang tenggorokan  luka bakar  penyakit kulit panu  kurap  eksim  meningkatkan stamen kekebalan tubuh</t>
  </si>
  <si>
    <t>DKL1333530017A1</t>
  </si>
  <si>
    <t>Removchol 20 mg 10 Tablet</t>
  </si>
  <si>
    <t>Rp112.300 - Rp152.800</t>
  </si>
  <si>
    <t>Sebaiknya diberikan pada jam yang sama setiap hari pada saat sebelum atau sesudah makan.</t>
  </si>
  <si>
    <t>removchol</t>
  </si>
  <si>
    <t>removchol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</si>
  <si>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chloramphenicol dexamethasone sodium phosphate</t>
  </si>
  <si>
    <t>erlamycetin plus eye tetes chloramphenicol dexamethasone sodium phosphate keratitis akut kronik konjungtivitis akibat infeksi disertai pembengkakan hebat  inflamasi uvea anterior iritis  iriocyclitis  scleritis  episcleritis  sympathetic ophtalmia miositis  pengelolaan radang pasca operasi katarak  glaukoma strabismus</t>
  </si>
  <si>
    <t xml:space="preserve">microlax family tube enema sorbitol macrogol 400 sodium citrate dihydrate sodium laurilsulfate konstipasi rektal sigmoid  konstipasi kehamilan  konstipasi habitual transitorik anak  tinja fes mengeras menggumpal usus fekaloma skibala  persiapan operasi partus  ginekologi  pembedahan anus </t>
  </si>
  <si>
    <t>DKL1600204417B1</t>
  </si>
  <si>
    <t>Debostin 20 mg 10 Tablet</t>
  </si>
  <si>
    <t>Rp163.400 - Rp196.200</t>
  </si>
  <si>
    <t>debostin</t>
  </si>
  <si>
    <t>debostin tablet atorvastatin calcium trihydrate sebagai terapi tambahan samping diet  menurunkan kolesterol total  kolesterol ldl  apolipoprotein  b  kadar trigliserida pasien hiperkolesterolemia primer  hiperlipidemia kombinasi campuran  hiperkolesterolemia familial heterozigot homozigot  diet penatalaksanaan non  farmakologik berhasil</t>
  </si>
  <si>
    <t>Lifree Popok Dewasa Celana M 5 Pieces</t>
  </si>
  <si>
    <t>Rp38.900 - Rp73.500</t>
  </si>
  <si>
    <t>Digunakan seperti menggunakan celana</t>
  </si>
  <si>
    <t>Popok celana yang mudah dipakai karena elastis. Cocok bagi orang tua yang bisa berdiri dan berjalan dengan dibantu, karena memiliki daya serap yang ekstra dan bisa dipakai lebih lama, sehingga tidak perlu khawatir saat tidak sempat mencapai toilet. Nyaman beraktivitas tanpa khawatir bocor.</t>
  </si>
  <si>
    <t>pack isi 5</t>
  </si>
  <si>
    <t>popok celana mudah dipakai elastis  cocok orang tua berdiri berjalan dibantu , memiliki daya serap ekstra dipakai , tidak khawatir tidak mencapai toilet  nyaman beraktivitas khawatir bocor</t>
  </si>
  <si>
    <t>lifree popok dewasa celana m pieces</t>
  </si>
  <si>
    <t>lifree popok dewasa celana m pieces tablet tizanidine hydrochloride popok celana mudah dipakai elastis  cocok orang tua berdiri berjalan dibantu  memiliki daya serap ekstra dipakai  tidak khawatir tidak mencapai toilet  nyaman beraktivitas khawatir bocor</t>
  </si>
  <si>
    <t xml:space="preserve">microlax family tube enema sodium lauryl sulfoacetate sodium citrate dihydrate macrogol 400 sorbitol konstipasi rektal sigmoid  konstipasi kehamilan  konstipasi habitual transitorik anak  tinja fes mengeras menggumpal usus fekaloma skibala  persiapan operasi partus  ginekologi  pembedahan anus </t>
  </si>
  <si>
    <t>DKL2038209038A1</t>
  </si>
  <si>
    <t>Simflamfas 50 mg 10 Sachet</t>
  </si>
  <si>
    <t>Rp75.000 - Rp83.300</t>
  </si>
  <si>
    <t>Larutkan isi sachet dalam segelas air minum</t>
  </si>
  <si>
    <t>Dewasa: Dosis harian awal yang direkomendasikan adalah 100-150 mg. Dalam kasus ringan, 50-100 mg sehari biasanya cukup. Dosis harian umumnya harus dibagi dalam 3 dosis. Dosis tidak boleh melebihi 150 mg/hari (untuk penatalaksanaan nyeri dan osteoarthritis), 225 mg/hari (untuk rheumatoid arthritis) dan 125 mg/hari (untuk ankylosing spondylitis). Pada migrain, dosis awal diberikan 50 mg. Jika pereda nyeri dalam 2 jam setelah dosis pertama tidak mencukupi, dosis dapat ditingkatkan 50 mg lagi. Jika diperlukan, penambahan dosis 50 mg dapat ditingkatkan pada interval 4-6 jam, tidak melebihi dosis total 200 mg/hari.</t>
  </si>
  <si>
    <t>Meredakan nyeri ringan hingga sedang dan inflamasi seperti : â€¢ Rheumatoid arthritis, osteoartritis, ankylosing spondilitis akut dan kronis. â€¢ Meredakan nyeri dan dismenore primer. â€¢ Pengobatan jangka pendek pada serangan migrain akut. â€¢ Pengobatan jangka pendek pada nyeri pasca operasi dan peradangan pada operasi gigi dan orthopedi.</t>
  </si>
  <si>
    <t>Box, 10 Sachet @ 1,25 g</t>
  </si>
  <si>
    <t>HARUS DENGAN RESEP DOKTER, Jauhkan dari jangkauan anak-anak. Simpan di tempat kering dan terhindar dari sinar matahari langsung.</t>
  </si>
  <si>
    <t>meredakan nyeri ringan inflamasi rheumatoid arthritis , osteoartritis , ankylosing spondilitis akut kronis  meredakan nyeri dismenore primer  pengobatan jangka pendek serangan migrain akut  pengobatan jangka pendek nyeri pasca operasi peradangan operasi gigi orthopedi</t>
  </si>
  <si>
    <t>simflamfas</t>
  </si>
  <si>
    <t>simflamfas sirup diclofenac potassium meredakan nyeri ringan inflamasi rheumatoid arthritis  osteoartritis  ankylosing spondilitis akut kronis  meredakan nyeri dismenore primer  pengobatan jangka pendek serangan migrain akut  pengobatan jangka pendek nyeri pasca operasi peradangan operasi gigi orthopedi</t>
  </si>
  <si>
    <t>DTL1526204228A1</t>
  </si>
  <si>
    <t>Hot In DCL 120 g</t>
  </si>
  <si>
    <t>Rp28.700 - Rp42.500</t>
  </si>
  <si>
    <t>Oleskan sesuai kebutuhan pada kulit yang sakit dan gosokkan secara perlahan.</t>
  </si>
  <si>
    <t>3 atau 4 kali sehari.</t>
  </si>
  <si>
    <t>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t>
  </si>
  <si>
    <t>Pasien penderita biduran (urtikaria). Pasien penderita hidung berair (rhinitis). Penderita dengan serangan asma. Wanita hamil terutama trimester ketiga kehamilan.</t>
  </si>
  <si>
    <t>Hanya untuk pemakaian luar. Jauhkan dari jangkauan anak-anak. Anak-anak tidak dianjurkan. Jangka waktu pengobatan tergantung dari indikasi dan respon yang diperoleh. Dianjurkan untuk menilai ulang pengobatan setelah 2 minggu. Simpan pada suhu tidak lebih dari 30 derajat celcius.</t>
  </si>
  <si>
    <t>peradangan akibat trauma tendon , ligament , otot sendi , disebabkan terkilir , keseleo memar  bentuk - bentuk rematik jaringan lunak tendovaginitis , bursitis , sindrom bahu - tagan periartropati  penyakit - penyakit rematik lokal osteoartritis kolumna vertebralis</t>
  </si>
  <si>
    <t>hot in dcl</t>
  </si>
  <si>
    <t>hot in dcl gel diclofenac diethylamine peradangan akibat trauma tendon  ligament  otot sendi  disebabkan terkilir  keseleo memar  bentuk  bentuk rematik jaringan lunak tendovaginitis  bursitis  sindrom bahu  tagan periartropati  penyakit  penyakit rematik lokal osteoartritis kolumna vertebralis</t>
  </si>
  <si>
    <t>DKI1808900417A1</t>
  </si>
  <si>
    <t>Lixiana 15 mg 14 Tablet</t>
  </si>
  <si>
    <t>Rp392.100 - Rp497.300</t>
  </si>
  <si>
    <t>Obat ini dapat dikonsumsi dengan atau tanpa makanan</t>
  </si>
  <si>
    <t>PENGGUNAAN OBAT INI HARUS SESUAI DENGAN PETUNJUK DOKTER. 60 mg sekali sehari.</t>
  </si>
  <si>
    <t>INFORMASI OBAT INI HANYA UNTUK KALANGAN MEDIS. Mengurangi resiko stroke pada pasien dengan atrial fibrilasi nonvalvuler/nonvalvular atrial fibrillation (NVAF) dan pengobatan trombosis vena dalam/deep vein thrombosis (DVT) dan emboli paru/pulmonary embolism (PE) pada pasien dewasa setelah terapi inisial 5-10 hari dengan antikoagulan parenteral.</t>
  </si>
  <si>
    <t>Dus, 7 Blister @ 14 Tablet Salut Selaput</t>
  </si>
  <si>
    <t>edoxaben tosylate</t>
  </si>
  <si>
    <t>mengurangi resiko stroke pasien atrial fibrilasi nonvalvuler nonvalvular atrial fibrillation nvaf pengobatan trombosis vena deep vein thrombosis dvt embolus paru pulmonary embolism pe pasien dewasa terapi inisial 5 - 10 antikoagulan parenteral</t>
  </si>
  <si>
    <t>lixiana</t>
  </si>
  <si>
    <t>lixiana tablet edoxaben tosylate mengurangi resiko stroke pasien atrial fibrilasi nonvalvuler nonvalvular atrial fibrillation nvaf pengobatan trombosis vena deep vein thrombosis dvt embolus paru pulmonary embolism pe pasien dewasa terapi inisial 5  10 antikoagulan parenteral</t>
  </si>
  <si>
    <t>edoxaban tosylate</t>
  </si>
  <si>
    <t>lixiana tablet edoxaban tosylate mengurangi resiko stroke pasien atrial fibrilasi nonvalvuler nonvalvular atrial fibrillation nvaf pengobatan trombosis vena deep vein thrombosis dvt embolus paru pulmonary embolism pe pasien dewasa terapi inisial 5  10 antikoagulan parenteral</t>
  </si>
  <si>
    <t>DKL9519916909A1</t>
  </si>
  <si>
    <t>Phaproxin Tablet 500 mg</t>
  </si>
  <si>
    <t>Infeksi saluran Gl, sal kemih, saluran nafas, tulang dan sendi, kulit dan jar lunak</t>
  </si>
  <si>
    <t xml:space="preserve">microlax family tube enema sorbitol macrogol 400 sodium citrate dihydrate sodium lauryl sulfoacetate konstipasi rektal sigmoid  konstipasi kehamilan  konstipasi habitual transitorik anak  tinja fes mengeras menggumpal usus fekaloma skibala  persiapan operasi partus  ginekologi  pembedahan anus </t>
  </si>
  <si>
    <t>DBL7822254033A1</t>
  </si>
  <si>
    <t>Sanmag Suspensi 120 ml</t>
  </si>
  <si>
    <t>Rp35.400 - Rp43.200</t>
  </si>
  <si>
    <t>Sebaiknya diberikan pada saat perut kosong :1-2 jam setelah makan &amp; sebelum tidur.</t>
  </si>
  <si>
    <t>Minum 1-2 sendok takar (5-10 ml), sebanyak 3-4 kali sehari.</t>
  </si>
  <si>
    <t>Obat ini digunakan untuk pengobatan hiperasiditas lambung atau saluran cerna, seperti mual, nyeri Lambung &amp; ulu hati, perut kembung, rasa penuh di lambung</t>
  </si>
  <si>
    <t>DKL0513022610A1</t>
  </si>
  <si>
    <t>Matrovir 400 mg 10 Tablet</t>
  </si>
  <si>
    <t>Rp22.200 - Rp27.800</t>
  </si>
  <si>
    <t>PENGGUNAAN OBAT INI HARUS SESUAI DENGAN PETUNJUK DOKTER. 5 kali sehari 1 tablet</t>
  </si>
  <si>
    <t>INFORMASI OBAT INI HANYA UNTUK KALANGAN MEDIS. Infeksi virus herpes simpleks pada kulit &amp; selaput mukosa, termasuk herpes genital awal dan rekuren, herpes zoster (herpes zoster) dan varicella (cacar air). Penekanan infeksi herpes simpleks (pencegahan kekambuhan) pada pasien yang immune-competent. Profilaksis infeksi herpes simpleks pada pasien immunocompromised.</t>
  </si>
  <si>
    <t>Penderita yang mengalami reaksi hipersensitivitas terhadap acyclovir dan valasiclovir.</t>
  </si>
  <si>
    <t>HARUS DENGAN RESEP DOKTER. Sebaiknya tidak mengemudi, menjalankan mesin atau menjalankan, ibu menyusui, pasien yang menggunakan obat ini harus mendapat asupan cairan yang cukup untuk mencegah terjadinya kristaluria/toksisitas ginjal.</t>
  </si>
  <si>
    <t>infeksi virus herpes simpleks kulit selaput mukosa , herpes genital rekuren , herpes zoster herpes zoster varicella cacar air  penekanan infeksi herpes simpleks pencegahan kekambuhan pasien immune - competent  profilaksis infeksi herpes simpleks pasien immunocompromised</t>
  </si>
  <si>
    <t>matrovir</t>
  </si>
  <si>
    <t>matrovir tablet aciclovir infeksi virus herpes simpleks kulit selaput mukosa  herpes genital rekuren  herpes zoster herpes zoster varicella cacar air  peneka infeksi herpes simpleks pencegahan kekambuhan pasien immune  competent  profilaksis infeksi herpes simpleks pasien immunocompromised</t>
  </si>
  <si>
    <t>Hot In Dcl 30 g</t>
  </si>
  <si>
    <t>Rp11.200 - Rp16.200</t>
  </si>
  <si>
    <t>polysilane suspensi simethicone aluminium hydroxide gel magnesium hydroxide paste obat mengurangi gejala berhubungan kelebihan asam lambung  gastritis  tukak lambung  tukak usus 12 jari  gejala  gejala mual  nyeri lambung  nyeri ulu hati  kembung perasaan penuh lambung</t>
  </si>
  <si>
    <t>DKL0609215609A1</t>
  </si>
  <si>
    <t>Glikos 500 mg 10 Kaplet</t>
  </si>
  <si>
    <t>Rp3.000 - Rp6.100</t>
  </si>
  <si>
    <t>Bersamaan dengan makan</t>
  </si>
  <si>
    <t>PENGGUNAAN OBAT INI HARUS SESUAI DENGAN PETUNJUK DOKTER. 2-3 x sehari 1 tablet, maximum 6 tablet perhari</t>
  </si>
  <si>
    <t>Sebagai obat tunggal atau kombinasi dengan sulfonilurea untuk terapi pasien dengan NIDDM (Non Insulin Dependent Diabetes Mellitus) dan kelebihan berat badan dimana kadar gula darah tidak dapat dikendalikan dengan diet saja.Terapi tambahan pada Insulin Dependent Diabetes Mellitus yang sulit terkontrol.</t>
  </si>
  <si>
    <t>sebagai obat tunggal kombinasi sulfonilurea terapi pasien niddm non insulin dependent diabetes mellitus kelebihan berat badan dimana kadar gula darah tidak dikendalikan diet  terapi tambahan insulin dependent diabetes mellitus sulit terkontrol</t>
  </si>
  <si>
    <t>glikos</t>
  </si>
  <si>
    <t>glikos kaplet metformin hydrochloride sebagai obat tunggal kombinasi sulfonilurea terapi pasien niddm non insulin dependent diabetes mellitus kelebihan berat badan dimana kadar gula darah tidak dikendalikan diet  terapi tambahan insulin dependent diabetes mellitus sulit terkontrol</t>
  </si>
  <si>
    <t>DKL9505015909B1</t>
  </si>
  <si>
    <t>Dexyclav Forte 6 Kaplet</t>
  </si>
  <si>
    <t>Rp101.000 - Rp108.300</t>
  </si>
  <si>
    <t>cyanocobalamin calcium pantothenate folic acid ferrous fumarate copper sulfate thiamine mononitrate riboflavin pyridoxine hydrochloride nicotinamide potassium iodide sodium fluoride sodium ascorbate calcium lactate retinol acetate cholecalci</t>
  </si>
  <si>
    <t>obiminaf kaplet cyanocobalamin calcium pantothenate folic acid ferrous fumarate copper sulfate thiamine mononitrate riboflavin pyridoxine hydrochloride nicotinamide potassium iodide sodium fluoride sodium ascorbate calcium lactate retinol acetate cholecalci suplemen nutrisi melahirkan mengatasi gangguan timbul kehamilan</t>
  </si>
  <si>
    <t>hemaviton neuro forte kaplet pyridoxine hydrochloride thiamine mononitrate cyanocobalamin pengobatan neuropatik kerusakan sel saraf gejala kesemutan kebas kekurangan vitamin neurotropik b1  b6  b12 kekurangan asupan  gangguan penyerapan  meningkatnya kehilangan ginjal  meningkatnya kebutuhan penderita diabetes usia</t>
  </si>
  <si>
    <t>hemaviton neuro forte kaplet thiamine mononitrate pyridoxine hydrochloride cyanocobalamin pengobatan neuropatik kerusakan sel saraf gejala kesemutan kebas kekurangan vitamin neurotropik b1  b6  b12 kekurangan asupan  gangguan penyerapan  meningkatnya kehilangan ginjal  meningkatnya kebutuhan penderita diabetes usia</t>
  </si>
  <si>
    <t>- SACUBITRIL VALSARTAN SODIUM HYDRATE ~ SACUBITRIL 48. 6 MG DAN VALSARTAN 51. 4 MG</t>
  </si>
  <si>
    <t>sacubitril valsartan sodium hydrate ~ sacubitril 48 6 mg dan valsartan 51 4 mg</t>
  </si>
  <si>
    <t>uperio tablet sacubitril valsartan sodium hydrate  sacubitril 48 6 mg dan valsartan 51 4 mg pengobatan chf nyha kelas ii  iv orang dewasa pengurangan fraksi injeksi mengurangi resiko kematian perawatan rumah sakit akibat gagal jantung</t>
  </si>
  <si>
    <t>Ice All-In-1 Multi-Purpose Contact Lens Solution 120 ml</t>
  </si>
  <si>
    <t>Rp21.700 - Rp35.400</t>
  </si>
  <si>
    <t>ice allin multipurpose contact lens solution</t>
  </si>
  <si>
    <t>ice allin multipurpose contact lens solution tablet kombinasivalsartan blend 32 larutan serbaguna lensa kontak lunak membersihkan  melepaskan menghancurkan timbu lemak  protein  kotoran debu lensa kontak lunak  membunuh bakteri permukaan lensa  membilas merendam lensa kontak lunak</t>
  </si>
  <si>
    <t>DBL2118908233A1</t>
  </si>
  <si>
    <t>Pimag 7 ml 6 Sachet</t>
  </si>
  <si>
    <t>Rp2.500 - Rp12.300</t>
  </si>
  <si>
    <t>- Dewasa: 1-2 sachet 3-4 kali sehari - Anak ï¿½ anak (6-12 tahun): 1 sachet, 3-4 kali sehari Dianjurkan untuk dikonsumsi 1 jam sebelum makan atau 2 jam setelah makan dan menjelang tidur</t>
  </si>
  <si>
    <t>Untuk mengurangi gejala yang berhubungan dengan kelebihan asam lambung, gastritis, tukak lambung, dan tukak usus 12 jari dengan gejala mual, kembung, nyeri lambung, nyeri ulu hati, dan rasa penuh pada lambung.</t>
  </si>
  <si>
    <t>Penderita gangguan ginjal dan diet rendah fospat</t>
  </si>
  <si>
    <t>pimag</t>
  </si>
  <si>
    <t>pimag suspensi dried aluminium hydroxide gel magnesium hydroxide simethicone emulsion 30 untuk mengurangi gejala berhubungan kelebihan asam lambung  gastritis  tukak lambung  tukak usus 12 jari gejala mual  kembung  nyeri lambung  nyeri ulu hati  penuh lambung</t>
  </si>
  <si>
    <t>DKL9606309746A1</t>
  </si>
  <si>
    <t>Alletrol Compositum Eye Drop 5 ml</t>
  </si>
  <si>
    <t>PENGGUNAAN OBAT INI HARUS SESUAI DENGAN PETUNJUK DOKTER. 1 atau 2 tetes setiap jam</t>
  </si>
  <si>
    <t>INFORMASI OBAT INI HANYA UNTUK KALANGAN MEDIS. Peradangan pada mata yang disertai dengan infeksi bakteri - chronic anterior uveitis dan luka pada kornea yang disebabkan oleh bahan kimia, radiasi, iritasi termis dan penetrasi benda-benda asing - inflamasi okuler dari palpebrat dan bulbar conjunctiva, kornea dan anterior segment</t>
  </si>
  <si>
    <t>HARUS DENGAN RESEP DOKTER. - Penggunaan jangka panjang - dapat menyebabkan masking effect Kategori Kehamilan : C</t>
  </si>
  <si>
    <t>dexamethasone phosphate</t>
  </si>
  <si>
    <t>peradangan mata disertai infeksi bakteri - chronic anterior uveitis luka kornea disebabkan bahan kimia , radiasi , iritasi termis penetrasi benda - benda asing - inflamasi okuler palpebrat bulbar conjunctiva , kornea anterior segment</t>
  </si>
  <si>
    <t>alletrol compositum eye drop</t>
  </si>
  <si>
    <t>alletrol compositum eye drop tetes dexamethasone phosphate peradangan mata disertai infeksi bakteri  chronic anterior uveitis luka kornea disebabkan bahan kimia  radiasi  iritasi termis penetrasi benda  benda asing  inflamasi okuler palpebrat bulbar conjunctiva  kornea anterior segment</t>
  </si>
  <si>
    <t>DKL1806318331A1</t>
  </si>
  <si>
    <t>Alletrol Compositum Salep Mata 3.5 g</t>
  </si>
  <si>
    <t>PENGGUNAAN OBAT INI HARUS SESUAI DENGAN PETUNJUK DOKTER. 3-4 kali sehari</t>
  </si>
  <si>
    <t>Peradangan pada mata yang disertai dengan infeksi bakteri - chronic anterior uveitis dan luka pada kornea yang disebabkan oleh bahan kimia, radiasi, iritasi termis dan penetrasi benda-benda asing - inflamasi okuler dari palpebrat dan bulbar conjunctiva, kornea dan anterior segment</t>
  </si>
  <si>
    <t>alletrol compositum mata</t>
  </si>
  <si>
    <t>alletrol compositum mata salep dexamethasone sodium phosphate peradangan mata disertai infeksi bakteri  chronic anterior uveitis luka kornea disebabkan bahan kimia  radiasi  iritasi termis penetrasi benda  benda asing  inflamasi okuler palpebrat bulbar conjunctiva  kornea anterior segment</t>
  </si>
  <si>
    <t>DKL0932402938A1</t>
  </si>
  <si>
    <t>Capsinat Dry Sirup 60 ml</t>
  </si>
  <si>
    <t>Rp55.700 - Rp74.600</t>
  </si>
  <si>
    <t>PENGGUNAAN OBAT INI HARUS SESUAI DENGAN PETUNJUK DOKTER. Anak usia &lt; 1 tahun (7.5 kg) : 3 kali sehari 2,5 ml. Anak usia 1 - 6 tahun (10 - 18 kg) : 3 kali sehari 5 ml.</t>
  </si>
  <si>
    <t>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t>
  </si>
  <si>
    <t>Hipersensitif terdapa penisilin, neonatus yang lahir dari ibu dengan hipersensitif penisilin atau derivatnya, riwayat cholestatic jaundice (gangguan fungsi hati)</t>
  </si>
  <si>
    <t>HARUS DENGAN RESEP DOKTER. Gangguan hati berat, gangguan ginjal sedang atau berat. Hindari pemakaian jangka panjang. Superinfeksi. Hamil dan laktasi</t>
  </si>
  <si>
    <t>pengobatan jangka pendek infeksi saluran nafas , infeksi saluran kemih kelamin , infeksi kulit jaringan lunak , osteomielitis radang sumsum tulang , septikemia keracunan darah bakteri patogenik zat - zat dihasilkan bakteri , peritonitis radang selaput perut</t>
  </si>
  <si>
    <t>capsinat</t>
  </si>
  <si>
    <t>capsinat sirup amoxicillin trihydrate pengobatan jangka pendek infeksi saluran nafas  infeksi saluran kemih kelamin  infeksi kulit jaringan lunak  osteomielitis radang sumsum tulang  septikemia keracu darah bakteri patogenik zat  zat dihasilkan bakteri  peritonitis radang selaput perut</t>
  </si>
  <si>
    <t>DBL2302009917A1</t>
  </si>
  <si>
    <t>Elevit 6 Kaplet</t>
  </si>
  <si>
    <t>Rp28.800 - Rp45.600</t>
  </si>
  <si>
    <t>Sehari 1 x 1 tablet</t>
  </si>
  <si>
    <t>Membantu memenuhi kebutuhan vitamin dan mineral saat kehamilan dan menyusui</t>
  </si>
  <si>
    <t>Tidak boleh dikonsumsi oleh penderita hipervitaminosis A dan atau D, penurunan fungsi ginjal</t>
  </si>
  <si>
    <t>floxigra kaplet ciprofloxacin hydrochloride monohydrate untuk mengobati infeksi disebabkan kuman patogen peka ciprofloxacin  infeksi saluran kemih  infeksi saluran nafas  infeksi kulit jaringan lunak  infeksi tulang sendi  infeksi saluran cerna  osteomielitis akut  infeksi intra  abdomen komplikasi</t>
  </si>
  <si>
    <t>Elevit 30 Kaplet</t>
  </si>
  <si>
    <t>Rp128.700 - Rp189.100</t>
  </si>
  <si>
    <t>thiamine mononitrate riboflavin nicotinamide calcium pantothenate biotin folic acid levomefolate calcium cyanocobalamin ascorbic acid cholecalciferol dl-alfa tocoferol calcium hydrogen phospate copper sulfate potassium iodide ferrous bisglyc</t>
  </si>
  <si>
    <t>membantu memenuhi kebutuhan vitamin mineral kehamilan menyusui</t>
  </si>
  <si>
    <t>elevit</t>
  </si>
  <si>
    <t>elevit tablet thiamine mononitrate riboflavin nicotinamide calcium pantothenate biotin folic acid levomefolate calcium cyanocobalamin ascorbic acid cholecalciferol dlalfa tocoferol calcium hydrogen phospate copper sulfate potassium iodide ferrous bisglyc membantu memenuhi kebutuhan vitamin mineral kehamilan menyusui</t>
  </si>
  <si>
    <t>Hot In Dcl 60 g</t>
  </si>
  <si>
    <t>Rp18.200 - Rp25.700</t>
  </si>
  <si>
    <t>Dus, tube @ 60 g</t>
  </si>
  <si>
    <t>DKL8821600341A1</t>
  </si>
  <si>
    <t>Albothyl Konsentrate 10 ml</t>
  </si>
  <si>
    <t>Rp48.000 - Rp60.400</t>
  </si>
  <si>
    <t>Untuk pemakaian luar.</t>
  </si>
  <si>
    <t>PENGGUNAAN OBAT INI HARUS SESUAI DENGAN PETUNJUK DOKTER. Hemostasis lokal : Gunakan secara langsung. Luka bakar: Larutan dengan konsentrasi 1 : 3 sampai dengan 1 : 8. Luka bakar yg luas: Gunakan hanya larutan konsentrat saja atau lapisi daerah yang sakit dengan Albothyl gel atau lapisan kasa.</t>
  </si>
  <si>
    <t>INFORMASI OBAT INI HANYA UNTUK KALANGAN MEDIS. Hemostatik lokal. Pembersihan dan regenerasi jaringan pada luka bakar, luka, proses inflamasi kronik, lesi dekubitus, ulkus kruris, kondiloma akuminata, stomatitis aftosa. Vaginosis bakterial, kandidiasis vaginal trikomoniasis. Iritasi atau inflamasi lokal dan kerusakan jaringan vagina atau serviks.</t>
  </si>
  <si>
    <t>HARUS DENGAN RESEP DOKTER. - Hanya untuk pemakaian luar. - Hindari penggunaan sabun yang mengiritasi selama perawatan.</t>
  </si>
  <si>
    <t>hemostatik lokal  pembersihan regenerasi jaringan luka bakar , luka , prose inflamasi kronik , lesi dekubitus , ulkus kruris , kondiloma akuminata , stomatitis aftosa  vaginosis bakterial , kandidiasis vaginal trikomoniasis  iritasi inflamasi lokal kerusakan jaringan vagina serviks</t>
  </si>
  <si>
    <t>albothyl konsentrate</t>
  </si>
  <si>
    <t>albothyl konsentrate larutan policresulen hemostatik lokal  pembersihan regenerasi jaringan luka bakar  luka  prose inflamasi kronik  lesi dekubitus  ulkus kruris  kondiloma akuminata  stomatitis aftosa  vaginosis bakterial  kandidiasis vaginal trikomoniasis  iritasi inflamasi lokal kerusakan jaringan vagina serviks</t>
  </si>
  <si>
    <t>DKL9805025715A1</t>
  </si>
  <si>
    <t>Pronalges 50 mg 10 Tablet</t>
  </si>
  <si>
    <t>Rp29.500 - Rp35.600</t>
  </si>
  <si>
    <t>PENGGUNAAN OBAT INI HARUS SESUAI DENGAN PETUNJUK DOKTER. Dewasa : AR &amp; OA 75 mg 3 x sehari atau 50 mg 4 x sehari. Asam urat (gout) akut 100 mg. Pereda nyeri 25 - 50 mg setiap 6-8 jam. Demam 12,5 mg setiap 4-6 jam. Dismenore 25-50 mg setiap 6-8 jam sesuai kebutuhan.</t>
  </si>
  <si>
    <t>Untuk mengobati nyeri ringan sampai sedang pada sakit gigi dan setelah cabut gigi, sakit kepala, sakit telinga, nyeri dan radang pada penyakit reumatik yang ringan dan gangguan otot skelet lainnya, nyeri sendi, demam, nyeri setelah operasi terutama pembedahan ortopedik, gout akut dan nyeri haid (dismenorea).</t>
  </si>
  <si>
    <t>HARUS DENGAN RESEP DOKTER. Anak, laktasi, hamil. Gangguan fungsi hati, ginjal, jantung. Retensi cairan, hipertensi.</t>
  </si>
  <si>
    <t>untuk mengobati nyeri ringan sakit gigi cabut gigi , sakit kepala , sakit telinga , nyeri radang penyakit reumatik ringan gangguan otot skelet , nyeri sendi , demam , nyeri operasi pembedahan ortopedik , gout akut nyeri haid dismenorea</t>
  </si>
  <si>
    <t>pronalges tablet ketoprofen untuk mengobati nyeri ringan sakit gigi cabut gigi  sakit kepala  sakit telinga  nyeri radang penyakit reumatik ringan gangguan otot skelet  nyeri sendi  demam  nyeri operasi pembedahan ortopedik  gout akut nyeri haid dismenorea</t>
  </si>
  <si>
    <t>GKL1408518009A1</t>
  </si>
  <si>
    <t>Levofloxacin 500 mg 10 Tablet</t>
  </si>
  <si>
    <t>Rp17.900 - Rp20.500</t>
  </si>
  <si>
    <t>PENGGUNAAN OBAT INI HARUS SESUAI DENGAN PETUNJUK DOKTER. Sinusitis bakterial akut Dewasa : 500 mg sekali sehari selama 10-14 hari Eksaserbasi bakterial akut pada bronkitis kronis Dewasa : 500 mg sekali sehari selama 7-10 hari Pneumonia Dewasa: 500 mg sekali sehari selama 7-14 hari Prostatitis bakteri kronis Dewasa : 500 mg sekali sehari selama 28 hari Infeksi saluran kemih Dewasa : 500 mg sehari sekali selama 7-14 hari Pengobatan dan profilaksis pasca pajanan antraks inhalasi Dewasa: 500 mg sekali sehari selama 8 minggu. Anak 6 bulan dengan berat &lt;50 kg: 8 mg/kg hingga maksimal 250 mg setiap 12 jam, Anak 6 bulan dengan berat 50 kg: 500 mg 24 jam. Semua dosis harus diberikan selama 60 hari.</t>
  </si>
  <si>
    <t>INFORMASI OBAT INI HANYA UNTUK KALANGAN MEDIS.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t>
  </si>
  <si>
    <t>Hipersensitif terhadap levofloxacin atau kuinolon lainnya, epilepsi, riwayat gangguan tendon yang berhubungan dengan penggunaan fluoroquinolone sebelumnya.</t>
  </si>
  <si>
    <t>HARUS DENGAN RESEP DOKTER. Hati-hati penggunaan pada pasien dengan riwayat interval QT yang memanjang, gangguan elektrolit yang tidak dikoreksi (misalnya hipokalemia), faktor risiko yang menjadi predisposisi kejang atau menurunkan ambang kejang, aneurisma dan/atau diseksi aorta yang sudah ada sebelumnya, defek laten atau aktual pada G6PD, diabetes mellitus, riwayat atau faktor risiko gangguan psikiatri, riwayat atau faktor risiko gangguan tendon, penyakit dasar yang parah (misalnya sepsis), hemoptisis (penghirupan), gangguan ginjal, anak-anak, lansia, ibu hamil dan menyusui. Tidak direkomendasikan sebagai pilihan pengobatan untuk infeksi MRSA dan E. coli yang diketahui atau dicurigai karena peningkatan risiko resistensi di beberapa negara.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</si>
  <si>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infeksi sinusitis maksilaris akut , eksaserbasi bakterial akut bronkitis kronik , pneumonia komunitas community - acquired pneumonia , uncomplicated skin skin structure infection , infeksi saluran kemih kompleks complicated urinary tract infection , pielonefritis akut mikroorganisme sensitif</t>
  </si>
  <si>
    <t>levofloxacin kaplet levofloxacin hemihydrate infeksi sinusitis maksilaris akut  eksaserbasi bakterial akut bronkitis kronik  pneumonia komunitas community  acquired pneumonia  uncomplicated skin skin structure infection  infeksi saluran kemih kompleks complicated urinary tract infection  pielonefritis akut mikroorganisme sensitif</t>
  </si>
  <si>
    <t>DKI1808900417C1</t>
  </si>
  <si>
    <t>Lixiana 60 mg 14 Tablet</t>
  </si>
  <si>
    <t>Rp462.000 - Rp487.400</t>
  </si>
  <si>
    <t>PENGGUNAAN OBAT INI HARUS SESUAI DENGAN PETUNJUK DOKTER. NVAF &amp; VTE : Dosis yang dianjurkan 60 mg seklai sehari dan 30 mg sekali sehari pada pasien gangguan ginjal sedang atau berat (klirens kreatinin (CrCl) 15-50 ml/menit), berat badan rendah 60 kg dan/atau penggunaan bersama inhibitor P-glikoprotein (P-gp). DVT &amp; PE: Dosis yang dianjurkan 60 mg perhari, sesudah terapi awal dengan antikoagulan parental selama 5-10 hari. Pencegahan stroke pada fibrilasi atrium 30 atau 60 mg sekali sehari.</t>
  </si>
  <si>
    <t>Hipersensitivitas. Perdarahan aktif yang signifikan, risiko perdarahan besar, hipertensi berat yang tidak terkontrol. Penggunaan bersamaan dengan/antikoagulan lainnya. Kehamilan &amp; laktasi.</t>
  </si>
  <si>
    <t>HARUS DENGAN RESEP DOKTER. Peningkatan risiko perdarahan. Hentikan setidaknya 24 jam sebelum operasi. Gangguan ginjal &amp; hati. Lansia.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</si>
  <si>
    <t>DKL0935803530A1</t>
  </si>
  <si>
    <t>Fusipar Ointment 2% 10 g</t>
  </si>
  <si>
    <t>Rp63.300 - Rp64.100</t>
  </si>
  <si>
    <t>PENGGUNAAN OBAT INI HARUS SESUAI DENGAN PETUNJUK DOKTER. Gunakan 2-3 kali sehari, umumnya selama 7 hari.</t>
  </si>
  <si>
    <t>Pengobatan infeksi kulit yang disebabkan Staphylococcus, Streptococcus atau organisme lain yang peka terhadap Fusidin seperti impetigo, bisul, karbunkel/bisul batu, paronikia (radang jaringan sekitar kuku), luka yang terinfeksi, folikulitis, sikosis barbae (penyakit kulit di tempat janggut karena jamur), eritrasma hidradenitis, jerawat.</t>
  </si>
  <si>
    <t>Krim 2 % X 10 Gr X 1'S</t>
  </si>
  <si>
    <t>pengobatan infeksi kulit disebabkan staphylococcus , streptococcus organisme peka fusidin impetigo , bisul , karbunkel bisul batu , paronikia radang jaringan kuku , luka terinfeksi , folikulitis , sikosis barbae penyakit kulit janggut jamur , eritrasma hidradenitis , jerawat</t>
  </si>
  <si>
    <t>fusipar ointment</t>
  </si>
  <si>
    <t>fusipar ointment salep sodium fusidate pengobatan infeksi kulit disebabkan staphylococcus  streptococcus organisme peka fusidin impetigo  bisul  karbunkel bisul batu  paronikia radang jaringan kuku  luka terinfeksi  folikulitis  sikosis barbae penyakit kulit janggut jamur  eritrasma hidradenitis  jerawat</t>
  </si>
  <si>
    <t>Omron Automatic Blood Pressure Monitor JPN-600</t>
  </si>
  <si>
    <t>Rp453.000 - Rp1.150.800</t>
  </si>
  <si>
    <t>Alat untuk mengukur tekanan darah produksi Japan yang mampu mendeteksi tekanan darah secara cepat dan akurat. Untuk memudahkan interpretasi pembacaan tekanan darah, simbol detak jantung akan berkedip saat sistolik/diastolik berada di luar kisaran standar.</t>
  </si>
  <si>
    <t>alat mengukur tekanan darah produksi japan mendeteksi tekanan darah cepat akurat  untuk memudahkan interpretasi pembacaan tekanan darah , simbol detak jantung berkedip sistolik diastolik kisaran standar</t>
  </si>
  <si>
    <t>omron automatic blood pressure monitor jpn</t>
  </si>
  <si>
    <t>omron automatic blood pressure monitor jpn tablet kombinasivalsartan blend 32 alat mengukur teka darah produksi japan mendeteksi teka darah cepat akurat  untuk memudahkan interpretasi pembacaan teka darah  simbol detak jantung berkedip sistolik diastolik kisaran standar</t>
  </si>
  <si>
    <t>TR093301381</t>
  </si>
  <si>
    <t>Lady Fem 30 Kapsul</t>
  </si>
  <si>
    <t>LADYFEM</t>
  </si>
  <si>
    <t>Rp239.900 - Rp290.200</t>
  </si>
  <si>
    <t>Ladyfem Adalah Obat Herbal Khusus Wanita Yang Direkomendasikan Oleh Boyke Dian Nugraha Untuk Meningkatkan Gairah Wanita (Obat Perangsang Wanita) Menambah Kenikmatan Bersenggama, Untuk Gurah Pagina, Menyuburkan Kandungan, Mengatasi Servix Dan Miom.</t>
  </si>
  <si>
    <t>Box @ 30 Kapsul</t>
  </si>
  <si>
    <t>ladyfem</t>
  </si>
  <si>
    <t>ladyfem adalah obat herbal khusus wanita yang direkomendasikan oleh boyke dian nugraha untuk meningkatkan gairah wanita obat perangsang wanita menambah kenikmatan bersenggama , untuk gurah pagina , menyuburkan kandungan , mengatasi servix dan miom</t>
  </si>
  <si>
    <t>lady fem</t>
  </si>
  <si>
    <t>lady fem kapsul ladyfem ladyfem adalah obat herbal khusus wanita yang direkomendasikan oleh boyke dian nugraha untuk meningkatkan gairah wanita obat perangsang wanita menambah kenikmatan bersenggama  untuk gurah pagina  menyuburkan kandungan  mengatasi servix dan miom</t>
  </si>
  <si>
    <t>- SACUBITRIL VALSARTAN SODIUM HYDRATE ~ SACUBITRIL 97. 2 MG DAN VALSARTAN 102. 8 MG</t>
  </si>
  <si>
    <t>sacubitril valsartan sodium hydrate ~ sacubitril 97 2 mg dan valsartan 102 8 mg</t>
  </si>
  <si>
    <t>uperio tablet sacubitril valsartan sodium hydrate  sacubitril 97 2 mg dan valsartan 102 8 mg pengobatan chf nyha kelas ii  iv orang dewasa pengurangan fraksi injeksi mengurangi resiko kematian perawatan rumah sakit akibat gagal jantung</t>
  </si>
  <si>
    <t>DKI1352503017A1</t>
  </si>
  <si>
    <t>Trajenta Duo 2.5 mg/500 mg 10 Tablet</t>
  </si>
  <si>
    <t>Rp136.300 - Rp155.100</t>
  </si>
  <si>
    <t>Dapat digunakan dengan atau tanpa makanan</t>
  </si>
  <si>
    <t>PENGGUNAAN OBAT INI HARUS SESUAI DENGAN PETUNJUK DOKTER. Dosis bersifat individual. Dosis anjuran: 1 tab 2 x/hr. Dosis harian maks: LInagliptin 5 mg, metformin 2000 mg.</t>
  </si>
  <si>
    <t>INFORMASI OBAT INI HANYA UNTUK KALANGAN MEDIS. Tambahan terhadap diet &amp; olahraga utk memperbaiki kontrol glikemik pd pasien dws dg DM tipe 2 yg cocok terhadap terapi dg linagliptin &amp; metformin</t>
  </si>
  <si>
    <t>DKL9615609710A1</t>
  </si>
  <si>
    <t>Tudiab 500 mg 10 Tablet</t>
  </si>
  <si>
    <t>Rp10.800 - Rp17.100</t>
  </si>
  <si>
    <t>PENGGUNAAN OBAT INI HARUS SESUAI DENGAN PETUNJUK DOKTER. 3 kali sehari 1 tablet.</t>
  </si>
  <si>
    <t>INFORMASI OBAT INI HANYA UNTUK KALANGAN MEDIS. Terapi awal untuk diabetes dewasa dengan keadaan kelebihan berat badan serta kadar gula darah yang tidak dapat dikendalikan hanya dengan diet saja. Terapi kombinasi untuk kegagalan terapi Sulfonilurea primer atau sekunder. Terapi tambahan pada insulin-dependent diabetes mellitus (IDDM) atau diabetes tipe 1 untuk mengurangi dosis insulin.</t>
  </si>
  <si>
    <t>Koma diabetikum, ketoasidosis, kerusakan ginjal, penyakit hati kronis, gagal jantung, infarksi miokardial, dehidrasi, alkoholisme akut &amp; kronis, riwayat asidosis laktat, insufisiensi pulmoner, syok, hipoksemia (keadaan kadar oksigen darah yang menurun).</t>
  </si>
  <si>
    <t>HARUS DENGAN RESEP DOKTER. Obat ini dapat mengganggu absorpsi Vitamin B12. Dianjurkan pemeriksaan berkala kadar B12 pada penggunaan jangka panjang. Tidak dianjurkan penggunaan pada kondisi di mana menyebabkan dehidrasi atau pada penderita yang baru sembuh dari infeksi serius atau trauma. Hati-hati penggunaan obat ini pada pasien dengan gangguan hati dan ginjal, konsumsi alkohol yang berlebihan, pasien lanjut usia, pasien dalam kondisi lemah dan malnutrisi, pasien anak, serta wanita hamil atau menyusui. Kategori Kehamilan : Kategori B: Mungkin dapat digunakan oleh wanita hamil. Penelitian pada hewan uji tidak memperlihatkan ada nya risiko terhadap janin, namun belum ada bukti penelitian langsung terhadap wanita hamil.</t>
  </si>
  <si>
    <t>terapi diabetes dewasa kelebihan berat badan kadar gula darah tidak dikendalikan diet  terapi kombinasi kegagalan terapi sulfonilurea primer sekunder  terapi tambahan insulin - dependent diabetes mellitus iddm diabetes tipe 1 mengurangi dosis insulin</t>
  </si>
  <si>
    <t>tudiab</t>
  </si>
  <si>
    <t>tudiab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</si>
  <si>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DTL8106402229A1</t>
  </si>
  <si>
    <t>Erphamazol 1% Krim 5 g</t>
  </si>
  <si>
    <t>Rp5.500 - Rp7.700</t>
  </si>
  <si>
    <t>Oleskan secukupnya pada tempat yang terinfeksi. Perkembangan positif dengan berkurangnya rasa gatal biasanya terjadi pada minggu pertama pemakaian. Jika pasien tidak memperlihatkan perkembangan positif dalam 4 minggu, perlu dilakukan diagnosis ulang.</t>
  </si>
  <si>
    <t>Oleskan secukupnya pada tempat yang terinfeksi 2 x sehari, pagi dan malam.</t>
  </si>
  <si>
    <t>Erphamazol (clotrimazole) digunakan untuk mengobati infeksi jamur terutama kandidiasis dan trikomoniasis. Sediaan topikal seperti cream lebih banyak digunakan untuk infeksi jamur pada kulit seperti jamur pada sela-sela jari kaki (athlete's foot), jamur pada kuku (onkomikosis), jamur pada lipatan kulit, lipatan paha, kulit kepala, serta jamur pada tubuh (panu dan kadas).</t>
  </si>
  <si>
    <t>Pemakaian harus dihentikan jika muncul ruam kulit atau tanda lain yang menunjukkan reaksi alergi. Keamanan dan efektivitas pada anak-anak di bawah usia 3 tahun belum ditetapkan. Oleh karena itu, penggunaannya tidak dianjurkan.</t>
  </si>
  <si>
    <t>erphamazol clotrimazole mengobati infeksi jamur kandidiasis trikomoniasis  sediaan topikal cream infeksi jamur kulit jamur - jari kaki athlete s foot , jamur kuku onkomikosis , jamur lipatan kulit , lipatan paha , kulit kepala , jamur tubuh panu kadas</t>
  </si>
  <si>
    <t>erphamazol</t>
  </si>
  <si>
    <t>erphamazol krim clotrimazole erphamazol clotrimazole mengobati infeksi jamur kandidiasis trikomoniasis  sediaan topikal cream infeksi jamur kulit jamur  jari kaki athlete s foot  jamur kuku onkomikosis  jamur lipatan kulit  lipatan paha  kulit kepala  jamur tubuh panu kadas</t>
  </si>
  <si>
    <t>GKL9805023701B1</t>
  </si>
  <si>
    <t>Clindamycin 300 mg 10 Kapsul</t>
  </si>
  <si>
    <t>Rp15.800 - Rp22.700</t>
  </si>
  <si>
    <t>PENGGUNAAN OBAT INI HARUS SESUAI DENGAN PETUNJUK DOKTER. Dewasa : Infeksi berat : 150 - 300 mg tiap 6 jam. Infeksi sangat berat : 300 - 450 mg tiap 6 jam. Anak : infeksi berat : 3 - 6 mg/kg BB tiap 6 jam tergantung pada tingkat keparahan infeksi. Durasi terapi setidaknya 10 hari berturut-turut.</t>
  </si>
  <si>
    <t>INFORMASI OBAT INI HANYA UNTUK KALANGAN MEDIS.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t>
  </si>
  <si>
    <t>HARUS DENGAN RESEP DOKTER. Hati-hati penggunaan pada pasien dengan riwayat penyakit gastrointestinal (misalnya kolitis),individu atopik. Tidak dimaksudkan untuk pengobatan meningitis. Kerusakan hati yang parah. Pasien yang lemah. Anak-anak. Kehamilan dan menyusui. Kategori kehamilan : Kategori B: Mungkin dapat digunakan oleh wanita hamil. Penelitian pada hewan uji tidak memperlihatkan ada nya risiko terhadap janin, namun belum ada bukti penelitian langsung terhadap wanita hamil.</t>
  </si>
  <si>
    <t>antibiotik infeksi disebabkan organisme rentan strep , penumococci staph disaluran pernapasan emfisema , pneumonitis anaerob abs paru , kulit jaringan lunak , septikemia , infeksi intraabdominal , infeksi ginekologi endometritis , selulitis pelvis , infeksi pasca operasi , infeksi tulang sendi</t>
  </si>
  <si>
    <t>clindamycin kapsul clindamycin hydrochloride antibiotik infeksi disebabkan organisme rentan strep  penumococci staph disaluran pernapasan emfisema  pneumonitis anaerob abs paru  kulit jaringan lunak  septikemia  infeksi intraabdominal  infeksi ginekologi endometritis  selulitis pelvis  infeksi pasca operasi  infeksi tulang sendi</t>
  </si>
  <si>
    <t>DKL2011646209A1</t>
  </si>
  <si>
    <t>Nocid 10 Kaplet</t>
  </si>
  <si>
    <t>Rp68.500 - Rp98.200</t>
  </si>
  <si>
    <t>3 x sehari 4-8 kaplet</t>
  </si>
  <si>
    <t>Suplemen untuk membantu memenuhi kebutuhan asam amino pada kondisi dimana dibutuhkan pembatasan asupan protein hingga 40gr/hari, seperti pada penderita penyakit ginjal kronik</t>
  </si>
  <si>
    <t>Hiperkalsemia, ggn metabolisme asam amino, fenilketonuria herediter.</t>
  </si>
  <si>
    <t>Jangan digunakan pada wanita hamil dan menyusui</t>
  </si>
  <si>
    <t>lysine acetate threonine histidine tyrosine tryptophan alpha-keto-isoleucin calcium alpha-keto-leucine calcium alpha-keto-phenylalanine calcium alpha-keto-valine calcium alpha-hydroxy methionine calcium</t>
  </si>
  <si>
    <t>suplemen membantu memenuhi kebutuhan asam amino kondisi dimana dibutuhkan pembatasan asupan protein 40gr , penderita penyakit ginjal kronik</t>
  </si>
  <si>
    <t>nocid</t>
  </si>
  <si>
    <t>nocid kaplet lysine acetate threonine histidine tyrosine tryptophan alphaketoisoleucin calcium alphaketoleucine calcium alphaketophenylalanine calcium alphaketovaline calcium alphahydroxy methionine calcium suplemen membantu memenuhi kebutuhan asam amino kondisi dimana dibutuhkan pembatasan asupan protein 40gr  penderita penyakit ginjal kronik</t>
  </si>
  <si>
    <t>DKI1352503017C1</t>
  </si>
  <si>
    <t>Trajenta Duo 2.5 mg/1000 mg 10 Tablet</t>
  </si>
  <si>
    <t>Rp102.800 - Rp143.800</t>
  </si>
  <si>
    <t>Tambahan thd diet &amp; olahraga utk memperbaiki kontrol glikemik pd pasien dws dg DM tipe 2 yg cocok terhadap terapi dg linagliptin &amp; metformin</t>
  </si>
  <si>
    <t>DKL9002314615B1</t>
  </si>
  <si>
    <t>Fenaren 50 mg 10 Tablet</t>
  </si>
  <si>
    <t>Rp3.000 - Rp14.000</t>
  </si>
  <si>
    <t>mengurangi nyeri, gangguan inflamasi, dismenore (nyeri haid), nyeri ringan sampai sedang pasca operasi khususnya ketika pasien juga mengalami peradangan, dapat juga di gunakan untuk mengurangi rasa sakit pada penderita arthritis, rheumatoid arthritis, osteoarthritis, untuk sakit gigi, migrain akut, asam urat dan nyeri karena batu ginjal dan batu empedu</t>
  </si>
  <si>
    <t>riwayat alergi, hamil di trisemester ke tiga</t>
  </si>
  <si>
    <t>HARUS DENGAN RESEP DOKTER. - sebaiknya di minum sesudah makan - jangan di gunakan untuk pasien yang memiliki riwayat maag - memiliki fungsi hati dan ginjal yang buruk - gagal ginjal Kategori Kehamilan : C</t>
  </si>
  <si>
    <t>mengurangi nyeri , gangguan inflamasi , dismenore nyeri haid , nyeri ringan pasca operasi pasien mengalami peradangan , mengurangi sakit penderita arthritis , rheumatoid arthritis , osteoarthritis , sakit gigi , migrain akut , asam urat nyeri batu ginjal batu empedu</t>
  </si>
  <si>
    <t>fenaren</t>
  </si>
  <si>
    <t>fenaren tablet diclofenac sodium mengurangi nyeri  gangguan inflamasi  dismenore nyeri haid  nyeri ringan pasca operasi pasien mengalami peradangan  mengurangi sakit penderita arthritis  rheumatoid arthritis  osteoarthritis  sakit gigi  migrain akut  asam urat nyeri batu ginjal batu empedu</t>
  </si>
  <si>
    <t>DKI1163500117C1</t>
  </si>
  <si>
    <t>Janumet 50 mg/1000 mg 7 Tablet</t>
  </si>
  <si>
    <t>Rp77.600 - Rp93.900</t>
  </si>
  <si>
    <t>PENGGUNAAN OBAT INI HARUS SESUAI DENGAN PETUNJUK DOKTER. Dosis bersifat individual, tdk boleh melebihi dosis maks sitagliptin 100 mg &amp; metformin 2 g. Umumnya diberikan 2 x/hr. Pasien dg glukosa darah tdk dpt dikendalikan secara adekuat dg metformin saja Dosis awal lazim: Sitagliptin 50 mg 2 x/hr, plus dosis metformin yg telah digunakan. Pasien dg glukosa darah tdk dpt dikendalikan secara adekuat dg sitagliptin saja Dosis awal lazim: Sitagliptin 50 mg/metformin HCl 500 mg 2 x/hr. Dosis dpt dititrasi hingga dosis sitagliptin 50 mg/metformin HCl 1000 mg 2 x/hr. Penggantian dari pemberian Sitagliptin &amp; Metformin secara bersama Dpt dimulai dg dosis sitagliptin &amp; metformin yg sdh digunakan sebelumnya.</t>
  </si>
  <si>
    <t>INFORMASI OBAT INI HANYA UNTUK KALANGAN MEDIS. Sebagai terapi tambahan thd diet &amp; olahraga utk memperbaiki kontrol glukosa darah pd pasien DM tipe 2 yg tidk dpt dikendalikan secara adekuat dg metformin atau sitagliptin saja, atau pasien yg telah mendapat terapi kombinasi sitagliptin &amp; metformin</t>
  </si>
  <si>
    <t>Peny ginjal atau ggn fungsi ginjal (kadar kreatinin serum ?1.5 g/dL utk pria &amp; ?1.4 mg/dL utk wanita atau bersihan kreatinin abnormal) yd juga diakibatkan oleh kondisi spt kolaps KV (syok)</t>
  </si>
  <si>
    <t>DKL0422217617B1</t>
  </si>
  <si>
    <t>Forbetes 500 mg 10 Tablet</t>
  </si>
  <si>
    <t>Rp12.200 - Rp15.000</t>
  </si>
  <si>
    <t>Sebaiknya diminum bersama makanan, untuk dosis 1 x sehari diberikan bersama makan malam. Telan utuh, jangan dipotong, dikunyah, atau dihancurkan.</t>
  </si>
  <si>
    <t>PENGGUNAAN OBAT INI HARUS SESUAI DENGAN PETUNJUK DOKTER. Dosis awal: Sehari 2 x 500 mg atau 2 x 850 mg. Dosis dapat ditingkatkan sesuai dengan respon pasien. Dosis maksimal 3000 mg/hari dalam 3 dosis terbagi. Dosis pemeliharaan: Sehari 2 x 850 mg.</t>
  </si>
  <si>
    <t>Obat ini tidak boleh diberikan kepada pasien dengan kondisi: Penyakit ginjal dengan kadar kreatinin serum lebih dari 1.5 mg/dL (pria) dan lebih dari 1.4 mg/dL (wanita). Infark miokard akut, septikemia, gagal jantung kongestif. Penyakit hati kronik, alkoholik, hipoksia. Asidosis metabolik akut atau kronik atau memiliki riwayat asidosis laktat, termasuk ketoasidosis dibetes dengan atau tanpa disertai koma. Wanta hamil dan/atau menyusui.</t>
  </si>
  <si>
    <t>HARUS DENGAN RESEP DOKTER. Obat ini dapat mengganggu absorpsi Vitamin B12. Hati-hati penggunaan obat ini pada pasien dengan gangguan hati dan ginjal, konsumsi alkohol yang berlebihan, pasien lanjut usia, pasien dalam kondisi lemah dan malnutrisi, serta wanita hamil atau menyusui. Kategori Kehamilan : Kategori B: Mungkin dapat digunakan oleh wanita hamil. Penelitian pada hewan uji tidak memperlihatkan ada nya risiko terhadap janin, namun belum ada bukti penelitian langsung terhadap wanita hamil.</t>
  </si>
  <si>
    <t>forbetes</t>
  </si>
  <si>
    <t>forbetes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</si>
  <si>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DKL0609215609B1</t>
  </si>
  <si>
    <t>Glikos 850 mg 10 Kaplet</t>
  </si>
  <si>
    <t>Rp3.400 - Rp12.600</t>
  </si>
  <si>
    <t>PENGGUNAAN OBAT INI HARUS SESUAI DENGAN PETUNJUK DOKTER. Awal 2 kali sehari 1 kaplet 850 mg atau 3 kali sehari 1 kaplet 500 mg.Dosis dapat ditingkatkan sampai dengan maksimal 3 gram perhari.,</t>
  </si>
  <si>
    <t>glikos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</si>
  <si>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DKL9705022217A1</t>
  </si>
  <si>
    <t>Glumin 500 mg 10 Tablet</t>
  </si>
  <si>
    <t>Rp7.500 - Rp14.600</t>
  </si>
  <si>
    <t>Koma diabetik, ketoasidosis, kerusakan ginjal, penyakit hati kronik, gagal jantung, infark miokardium, alkoholik, hipoksemia, riwayat asidosis laktat, hipersensitif, syok, insufisiensi pulmonal.</t>
  </si>
  <si>
    <t>glumin</t>
  </si>
  <si>
    <t>glumin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</si>
  <si>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DKL1006312617A1</t>
  </si>
  <si>
    <t>Gasela 150 mg 10 Tablet</t>
  </si>
  <si>
    <t>Rp5.900 - Rp20.900</t>
  </si>
  <si>
    <t>pengobatan jangka pendek pada tukak usus dua belas jari aktif, tukak lambung aktif dan mengurangi gejala refluks esofagitis, terapi pemeliharaan setelah penyembuhan tukak usus dua belas jari dan tukak lambung serta pengobatan pada keadaan hipersekresi patologis seperti sindrom Zollinger Ellison dan mastositosis sistemik</t>
  </si>
  <si>
    <t>Dus, 10 strip @ 10 Tablet sal sel</t>
  </si>
  <si>
    <t>pengobatan jangka pendek tukak usus belas jari aktif , tukak lambung aktif mengurangi gejala refluks esofagitis , terapi pemeliharaan penyembuhan tukak usus belas jari tukak lambung pengobatan hipersekresi patologis sindrom zollinger ellison mastositosis sistemik</t>
  </si>
  <si>
    <t>gasela</t>
  </si>
  <si>
    <t>gasela tablet ranitidine hydrochloride pengobatan jangka pendek tukak usus belas jari aktif  tukak lambung aktif mengurangi gejala refluks esofagitis  terapi pemeliharaan penyembuhan tukak usus belas jari tukak lambung pengobatan hipersekresi patologis sindrom zollinger ellison mastositosis sistemik</t>
  </si>
  <si>
    <t>DKL0808514917A1</t>
  </si>
  <si>
    <t>Diabit 500 mg 10 Tablet</t>
  </si>
  <si>
    <t>Rp2.800 - Rp5.900</t>
  </si>
  <si>
    <t>Bersamaan dengan makan atau sesudah makan dalam dosis terbagi</t>
  </si>
  <si>
    <t>diabit</t>
  </si>
  <si>
    <t>diabit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</si>
  <si>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DKL9621010309A1</t>
  </si>
  <si>
    <t>Glufor 500 mg 10 Tablet</t>
  </si>
  <si>
    <t>Rp13.400 - Rp21.500</t>
  </si>
  <si>
    <t>PENGGUNAAN OBAT INI HARUS SESUAI DENGAN PETUNJUK DOKTER. 2-3 x sehari 1 tablet. Maximum 6 tablet perhari</t>
  </si>
  <si>
    <t>Koma diabetikum, ketoasidosis, gangguan ginjal, penyakit hati kronik, gagal jantung dan riwayat infark baru, alkoholisme, hipoksemia, syok, hamil.</t>
  </si>
  <si>
    <t>glufor</t>
  </si>
  <si>
    <t>glufor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</si>
  <si>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DKL9631512617A1</t>
  </si>
  <si>
    <t>Gludepatic 500 mg 10 Tablet</t>
  </si>
  <si>
    <t>Rp3.000 - Rp7.000</t>
  </si>
  <si>
    <t>gludepatic</t>
  </si>
  <si>
    <t>gludepatic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</si>
  <si>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DKL9808010409A1</t>
  </si>
  <si>
    <t>Eraphage 500 mg 10 Kaplet</t>
  </si>
  <si>
    <t>Rp13.200 - Rp21.500</t>
  </si>
  <si>
    <t>Diminum bersama dengan makanan atau sesudah makan.</t>
  </si>
  <si>
    <t>HARUS DENGAN RESEP DOKTER. Obat ini dapat mengganggu absorpsi Vitamin B12. Dianjurkan pemeriksaan berkala kadar B12 pada penggunaan jangka panjang. Tidak dianjurkan penggunaan pada kondisi di mana menyebabkan dehidrasi atau pada penderita yang baru sembuh dari infeksi serius atau trauma. Hati-hati penggunaan obat ini pada pasien dengan gangguan hati dan ginjal, konsumsi alkohol yang berlebihan, pasien lanjut usia, pasien dalam kondisi lemah dan malnutrisi, serta wanita hamil atau menyusui. Kategori Kehamilan : Kategori B: Mungkin dapat digunakan oleh wanita hamil. Penelitian pada hewan uji tidak memperlihatkan ada nya risiko terhadap janin, namun belum ada bukti penelitian langsung terhadap wanita hamil.</t>
  </si>
  <si>
    <t>eraphage</t>
  </si>
  <si>
    <t>eraphage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</si>
  <si>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GKL0608513110A1</t>
  </si>
  <si>
    <t>Metformin 500 mg 10 Tablet</t>
  </si>
  <si>
    <t>Rp2.500 - Rp4.200</t>
  </si>
  <si>
    <t>metformin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</si>
  <si>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DKL9409308217A1</t>
  </si>
  <si>
    <t>Glucotika 500 mg 10 Tablet</t>
  </si>
  <si>
    <t>PENGGUNAAN OBAT INI HARUS SESUAI DENGAN PETUNJUK DOKTER. Diawali 2 x sehari 1 tablet. Pemeliharaan : 3 x sehari 1 tablet, maximum 3 x sehari 2 tablet.</t>
  </si>
  <si>
    <t>Koma diabetikum dan ketoasidosis. Kerusakan fungsi ginjal yang parah. Penyakit hati kronis, gagal jantung, infark miokard, alkoholisme, penyakit akut/kronik yang berhubungan dengan hipoksia jaringa. Penyakit yang berkaitan dengan asidosis laktat seperti s</t>
  </si>
  <si>
    <t>glucotika</t>
  </si>
  <si>
    <t>glucotika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</si>
  <si>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DKL9815807217B1</t>
  </si>
  <si>
    <t>Glucophage 850 mg 8 Tablet</t>
  </si>
  <si>
    <t>Dus, 15 Blister @ 8 Tablet Salut Selaput</t>
  </si>
  <si>
    <t>glucophage</t>
  </si>
  <si>
    <t>glucophage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</si>
  <si>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DKL9815807217A1</t>
  </si>
  <si>
    <t>Glucophage 500 mg 10 Tablet</t>
  </si>
  <si>
    <t>Rp19.300 - Rp29.400</t>
  </si>
  <si>
    <t>Bersamaan dengan makan atau sesudah makan</t>
  </si>
  <si>
    <t>Obat ini tidak boleh diberikan kepada pasien dengan kondisi: Penyakit gangguan ginjal, Infark miokard akut, septikemia, gagal jantung kongestif. Penyakit hati kronik, alkoholik, hipoksia. Asidosis metabolik akut atau kronik atau memiliki riwayat asidosis laktat, termasuk ketoasidosis dibetes dengan atau tanpa disertai koma.</t>
  </si>
  <si>
    <t>HARUS DENGAN RESEP DOKTER. Obat ini dapat mengganggu absorpsi Vitamin B12, lakukan evaluasi kadar vit B12 dlm serum pd pasien yg mendapat terapi metformin jangka lama. Monitor kadar gula darah pd terapi kombinasi dwngan sulfonilurea atau insulin. Hati-hati penggunaan obat ini pada pasien dengan gangguan hati dan ginjal, konsumsi alkohol yang berlebihan, pasien lanjut usia, pasien dalam kondisi lemah dan malnutrisi, serta wanita hamil atau menyusui. Kategori Kehamilan : Kategori B: Mungkin dapat digunakan oleh wanita hamil. Penelitian pada hewan uji tidak memperlihatkan ada nya risiko terhadap janin, namun belum ada bukti penelitian langsung terhadap wanita hamil.</t>
  </si>
  <si>
    <t>DKL0932402938B1</t>
  </si>
  <si>
    <t>Capsinat Forte Dry Sirup 60 ml</t>
  </si>
  <si>
    <t>Rp77.900 - Rp103.100</t>
  </si>
  <si>
    <t>PENGGUNAAN OBAT INI HARUS SESUAI DENGAN PETUNJUK DOKTER. Anak usia &gt; 6 tahun (18 - 40 kg) : 3 kali sehari 5 ml.</t>
  </si>
  <si>
    <t>capsinat forte</t>
  </si>
  <si>
    <t>capsinat forte sirup amoxicillin trihydrate pengobatan jangka pendek infeksi saluran nafas  infeksi saluran kemih kelamin  infeksi kulit jaringan lunak  osteomielitis radang sumsum tulang  septikemia keracu darah bakteri patogenik zat  zat dihasilkan bakteri  peritonitis radang selaput perut</t>
  </si>
  <si>
    <t>DKI1827900117A1</t>
  </si>
  <si>
    <t>Kombiglyze XR 5 mg/500 mg 7 Tablet</t>
  </si>
  <si>
    <t>Rp144.700 - Rp158.600</t>
  </si>
  <si>
    <t>PENGGUNAAN OBAT INI HARUS SESUAI DENGAN PETUNJUK DOKTER. 1 tablet, 1 kali sehari</t>
  </si>
  <si>
    <t>INFORMASI OBAT INI HANYA UNTUK KALANGAN MEDIS. Sebagai tambahan terhadap diet dan olahraga untuk memperbaiki pengendalian kadar glukosa darah (kontrol glikemik) pada orang dewasa dengan Diabetes Melitus Tipe 2 yang tidak dapat dikendalikan dengan dosis metformin maksimal yang dapat ditoleransi tubuh, atau pada pasien yang sudah diterapi dengan kombinasi saxagliptin dan metformin dalam tablet yang terpisah.</t>
  </si>
  <si>
    <t>DKL9804215010A1</t>
  </si>
  <si>
    <t>Gradiab 500 mg 10 Tablet</t>
  </si>
  <si>
    <t>Rp9.600 - Rp14.300</t>
  </si>
  <si>
    <t>PENGGUNAAN OBAT INI HARUS SESUAI DENGAN PETUNJUK DOKTER. Awal 500 mg 2 x/hari atau 850 mg 1 x/hari</t>
  </si>
  <si>
    <t>GKL0802340704A1</t>
  </si>
  <si>
    <t>Metformin 850 mg 10 Tablet</t>
  </si>
  <si>
    <t>metformin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</si>
  <si>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DKL9522217617A1</t>
  </si>
  <si>
    <t>Forbetes 850 mg 10 Tablet</t>
  </si>
  <si>
    <t>Rp9.800 - Rp15.700</t>
  </si>
  <si>
    <t>PENGGUNAAN OBAT INI HARUS SESUAI DENGAN PETUNJUK DOKTER. Diawali 2 x sehari 1 tablet</t>
  </si>
  <si>
    <t>Gangguan fungsi ginjal dengan serum kreatinin &lt;12 mg/L</t>
  </si>
  <si>
    <t>DKL1821647404A1</t>
  </si>
  <si>
    <t>Adecco 850 mg 10 Kaplet</t>
  </si>
  <si>
    <t>adecco</t>
  </si>
  <si>
    <t>adecco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</si>
  <si>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Hansaplast Roll Kain 1.25 cm x 5 m</t>
  </si>
  <si>
    <t>Rp11.000 - Rp19.500</t>
  </si>
  <si>
    <t>Produk ini digunakan untuk: Fiksasi Kasa Steril dan plester langsung pada kulit Fiksasi perban Kasa Rol Elastis dan kasa steril tidak langsung pada kulit Fiksasi cepat untuk luka kecil pada kulit Pengamanan tabung, kateter, probe, dan kanula Mendukung dan menstabilkan sendI</t>
  </si>
  <si>
    <t>Dus @ 10 Roll @ 1.25 cm x 5 m</t>
  </si>
  <si>
    <t>Kebanyakan luka bisa dirawat dengan baik di rumah, tetapi penting untuk berkonsultasi dengan dokter dan ikuti saran medis jika terjadi beberapa situasi seperti: Jika luka dalam dan tidak kunjung berhenti mengeluarkan darah, Jika luka menunjukkan tanda infeksi seperti kemerahan, hangat, sakit, dan bengkak, Jika ada benda asing yang tertinggal dalam luka Jika terjadi gigitan hewan atau manusia, Atau jika Anda memiliki pertanyaan atau keraguan</t>
  </si>
  <si>
    <t>produk fiksasi kasa steril plester langsung kulit fiksasi perban kasa rol elastis kasa steril tidak langsung kulit fiksasi cepat luka kulit pengamanan tabung , kateter , probe , kanula mendukung menstabilkan sendi</t>
  </si>
  <si>
    <t>hansaplast roll kain x m larutan povidoneiodine produk fiksasi kasa steril plester langsung kulit fiksasi perban kasa rol elastis kasa steril tidak langsung kulit fiksasi cepat luka kulit pengama tabung  kateter  probe  kanula mendukung menstabilkan sendi</t>
  </si>
  <si>
    <t>ancla tablet amoxicillin trihydrate potassium clavulanate infeksi saluran pernafasan  kulit jaringan lunak  infeksi saluran kemih kelamin  infeksi osteomielitis radang sumsum tulang  septikemia keracu darah bakteri patogenik zat  zat dihasilkan bakteri  peritonitis radang selaput perut  infeksi operasi</t>
  </si>
  <si>
    <t>DKL1840401306B1</t>
  </si>
  <si>
    <t>Glicolock XR 500 mg 10 Kaplet</t>
  </si>
  <si>
    <t>Rp21.600 - Rp24.500</t>
  </si>
  <si>
    <t>PENGGUNAAN OBAT INI HARUS SESUAI DENGAN PETUNJUK DOKTER. Dosis awal: Sehari 1 x 500 mg. Dosis dapat ditingkatkan sebesar 500 mg tiap minggu. Dosis maksimal 2000 mg XR sekali sehari. Jika terapi dengan 2.000 mg sekali sehari belum mencapai hasil yang optimal, dapat dipertimbangkan pemberian 2 x 1000 mg XR per hari.</t>
  </si>
  <si>
    <t>Dus, 10 Blister @ 10 Kaplet Lepas Lambat</t>
  </si>
  <si>
    <t>glicolock xr</t>
  </si>
  <si>
    <t>glicolock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</si>
  <si>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DKL9627802629A1</t>
  </si>
  <si>
    <t>Topsy Cream 5 g</t>
  </si>
  <si>
    <t>Rp58.800 - Rp64.700</t>
  </si>
  <si>
    <t>PENGGUNAAN OBAT INI HARUS SESUAI DENGAN PETUNJUK DOKTER. Gunakan dengan lapisan tebal (2,5-5 gram atau 1/2-1 tube) untuk setiap pemakaian. Area/lebar kulit maksimal pada pemakaian sebanyak 1 gram : 10 cm persegi</t>
  </si>
  <si>
    <t>Anestesi topikal untuk bedah kulit superfisial, kebocoran vena pada anak-anak, mengikis moluskum kontagiosum (penyakit kulit karena virus yang menimbulkan bintil keputihan dengan cekungan di tengahnya, berisi sesuatu yang menyerupai butir nasi) pada anak-anak, kauteri kondiloma akuminata, biopsi vulva/pukas</t>
  </si>
  <si>
    <t>HARUS DENGAN RESEP DOKTER. - Hindari kontak dengan mata dan membran mukosa - Bayi &lt; 6 bulan</t>
  </si>
  <si>
    <t>anestesi topikal bedah kulit superfisial , kebocoran vena anak - anak , mengikis moluskum kontagiosum penyakit kulit virus menimbulkan bintil keputihan cekungan tengahnya , berisi menyerupai butir nasi anak - anak , kauteri kondiloma akuminata , biopsi vulva puka</t>
  </si>
  <si>
    <t>topsy cream</t>
  </si>
  <si>
    <t>topsy cream krim lidocaine hydrochloride anestesi topikal bedah kulit superfisial  kebocoran vena anak  anak  mengikis moluskum kontagiosum penyakit kulit virus menimbulkan bintil keputihan cekungan tengahnya  berisi menyerupai butir nasi anak  anak  kauteri kondiloma akuminata  biopsi vulva puka</t>
  </si>
  <si>
    <t>DKI1401600214B1</t>
  </si>
  <si>
    <t>Glucophage XR 750 mg 15 Tablet</t>
  </si>
  <si>
    <t>Rp50.100 - Rp62.700</t>
  </si>
  <si>
    <t>PENGGUNAAN OBAT INI HARUS SESUAI DENGAN PETUNJUK DOKTER. - Dosis awal: Sehari 1 x 500 mg. Dosis dapat ditingkatkan sebesar 500 mg tiap minggu. - Dosis maksimal 2000 mg XR sekali sehari. Jika terapi dengan 2.000 mg sekali sehari belum mencapai hasil yang optimal, dapat dipertimbangkan pemberian 2 x 1000 mg XR per hari. - Pasien dengan gangguan ginjal dengan nilai bersihan kreatinin (CrCl) atau laju filtrasi glomerulus (GFR) 45-59 ml/menit: Dosis awal: 500 mg XR atau 750 mg XR, diberikan sekali sehari. Dosis maksimum: 1000 mg XR per hari. Harus dilakukan monitoring fungsi ginjal setiap 3-6 bulan. - Pasien dengan gangguan ginjal dengan nilai bersihan kreatinin (CrCl) atau laju filtrasi glomerulus (GFR) 30-44 ml/menit: Tidak dianjurkan untuk memulai pengobatan dengan Metformin, tetapi jika sudah melakukan terapi dengan Metformin, maka dosim maksimumnya adalah 1000 mg XR per hari. Harus dilakukan monitoring fungsi ginjal setiap 3 bulan.</t>
  </si>
  <si>
    <t>Dus, 8 Blister @ 15 Tablet Pelepasan Lambat</t>
  </si>
  <si>
    <t>HARUS DENGAN RESEP DOKTER. Obat ini dapat mengganggu absorpsi Vitamin B12. Hati-hati penggunaan obat ini pada pasien dengan gangguan hati dan ginjal, konsumsi alkohol yang berlebihan, pasien lanjut usia, pasien dalam kondisi lemah dan malnutrisi, serta wanita hamil. Kategori Kehamilan : Kategori B: Mungkin dapat digunakan oleh wanita hamil. Penelitian pada hewan uji tidak memperlihatkan ada nya risiko terhadap janin, namun belum ada bukti penelitian langsung terhadap wanita hamil.</t>
  </si>
  <si>
    <t>glucophage xr</t>
  </si>
  <si>
    <t>glucophage xr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</si>
  <si>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DKL1421643906A1</t>
  </si>
  <si>
    <t>Adecco XR 500 mg 10 Tablet</t>
  </si>
  <si>
    <t>Rp11.600 - Rp15.700</t>
  </si>
  <si>
    <t>adecco xr</t>
  </si>
  <si>
    <t>adecco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</si>
  <si>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topsy cream krim lidocaine prilocaine anestesi topikal bedah kulit superfisial  kebocoran vena anak  anak  mengikis moluskum kontagiosum penyakit kulit virus menimbulkan bintil keputihan cekungan tengahnya  berisi menyerupai butir nasi anak  anak  kauteri kondiloma akuminata  biopsi vulva puka</t>
  </si>
  <si>
    <t>Minyak Oles Bokashi 12 ml</t>
  </si>
  <si>
    <t>Rp23.200 - Rp39.400</t>
  </si>
  <si>
    <t>Dioleskan ke tempat yang sakit sesuai kebutuhan</t>
  </si>
  <si>
    <t>Untuk mengobati penyakit kulit, untuk mengobati salah urat dan sakit tulang, untuk mengurangi dan menghilangkan bau kaki, pusar, lubang anting-anting dan ketiak, untuk mandi rempah, untuk melancarkan peredaran darah, untuk beberapa gangguan penyakit dalam seperti batuk, sakit perut, mencret, sesak nafas</t>
  </si>
  <si>
    <t>Botol 12ml X 1</t>
  </si>
  <si>
    <t>untuk mengobati penyakit kulit , mengobati salah urat sakit tulang , mengurangi menghilangkan bau kaki , pusar , lubang anting - anting ketiak , mandi rempah , melancarkan peredaran darah , gangguan penyakit batuk , sakit perut , mencret , sesak nafas</t>
  </si>
  <si>
    <t>oles bokashi</t>
  </si>
  <si>
    <t>oles bokashi minyak minyak oles bokashi untuk mengobati penyakit kulit  mengobati salah urat sakit tulang  mengurangi menghilangkan bau kaki  pusar  lubang anting  anting ketiak  mandi rempah  melancarkan peredaran darah  gangguan penyakit batuk  sakit perut  mencret  sesak nafas</t>
  </si>
  <si>
    <t>DKL1822254506A1</t>
  </si>
  <si>
    <t>Forbetes 500 XR 10 Kaplet</t>
  </si>
  <si>
    <t>Rp19.900 - Rp26.400</t>
  </si>
  <si>
    <t>forbetes xr</t>
  </si>
  <si>
    <t>forbetes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</si>
  <si>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DKL9526002104A1</t>
  </si>
  <si>
    <t>Zultrop 10 Kaplet</t>
  </si>
  <si>
    <t>Rp5.400 - Rp7.700</t>
  </si>
  <si>
    <t>PENGGUNAAN OBAT INI HARUS SESUAI DENGAN PETUNJUK DOKTER. Dewasa dan anak berusia lebih dari 12 tahun : 2 kali sehari 2 kaplet. Anak-anak : 8 mg Trimetoprim dan 40 mg Sulfametoksazol/kg berat badan/hari dalam 2 dosis terbagi. Lama pengobatan 14 hari, pada Sigellosis pengobatan selama 5 hari. Infeksi berat : tingkatkan dosis harian 1,5 kali, diberikan dalam 3 dosis terbagi.</t>
  </si>
  <si>
    <t>Infeksi saluran kemih yang disebabkan oleh E. coli, Klebsiella, Enterobacter dan Proteus myrabilis. Infeksi saluran pencernaan yang disebabkan oleh Salmonella dan Shigella seperti tifus, paratifus, dan disentri. Infeksi saluran nafas dan THT yang disebabkan oleh H. influenzae atau S. pneumoniae. Infeksi lain yang disebabkan oleh bakteri yang sensitif terhadap Sulfametoksazol dan Trimetoprim.</t>
  </si>
  <si>
    <t>Dus, Kaplet 10 X 10</t>
  </si>
  <si>
    <t>Hamil dan laktasi. Bayi dibawah umur 2 bulan. Hipersensitivitas terhadap sulfonilurea.</t>
  </si>
  <si>
    <t>HARUS DENGAN RESEP DOKTER. Pasien dengan defisiensi asam folat, defisiensi G6PD, status kurang gizi, pasien lansia dengan penurunan fungsi ginjal</t>
  </si>
  <si>
    <t>infeksi saluran kemih disebabkan e  coli , klebsiella , enterobacter proteus myrabilis  infeksi saluran pencernaan disebabkan salmonella shigella tifus , paratifus , disentri  infeksi saluran nafas tht disebabkan h  influenzae s  pneumoniae  infeksi disebabkan bakteri sensitif sulfametoksazol trimetoprim</t>
  </si>
  <si>
    <t>zultrop kaplet sulfamethoxazole infeksi saluran kemih disebabkan e  coli  klebsiella  enterobacter proteus myrabilis  infeksi saluran pencernaan disebabkan salmonella shigella tifus  paratifus  disentri  infeksi saluran nafas tht disebabkan h  influenzae s  pneumoniae  infeksi disebabkan bakteri sensitif sulfametoksazol trimetoprim</t>
  </si>
  <si>
    <t>DKI1501600214C1</t>
  </si>
  <si>
    <t>Glucophage XR 1000 mg 10 Tablet</t>
  </si>
  <si>
    <t>Rp57.100 - Rp68.900</t>
  </si>
  <si>
    <t>Dus, 12 Blister @ 10 Tablet Pelepasan Lambat</t>
  </si>
  <si>
    <t>Minyak Oles Bokashi 35 ml</t>
  </si>
  <si>
    <t>Rp35.900 - Rp61.400</t>
  </si>
  <si>
    <t>Botol 35ml X 1</t>
  </si>
  <si>
    <t>DKL1633535914A1</t>
  </si>
  <si>
    <t>Metphar XR 500 mg 10 Tablet</t>
  </si>
  <si>
    <t>Rp13.700 - Rp22.000</t>
  </si>
  <si>
    <t>metphar xr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</si>
  <si>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DKL1632406214A1</t>
  </si>
  <si>
    <t>Fordica XR 500 mg 10 Tablet</t>
  </si>
  <si>
    <t>Rp22.000 - Rp26.700</t>
  </si>
  <si>
    <t>fordica xr</t>
  </si>
  <si>
    <t>fordica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</si>
  <si>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DKL1418827406A1</t>
  </si>
  <si>
    <t>Diaformin XR 500 mg 10 Kaplet</t>
  </si>
  <si>
    <t>Rp19.000 - Rp31.300</t>
  </si>
  <si>
    <t>Dus, 10 strip @ 10 Kaplet Lepas Lambat</t>
  </si>
  <si>
    <t>diaformin xr</t>
  </si>
  <si>
    <t>diaformin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</si>
  <si>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 SACUBITRIL VALSARTAN SODIUM HYDRATE 113.103 MG ~ SACUBITRIL 48. 6 MG DAN VALSARTAN 51. 4 MG</t>
  </si>
  <si>
    <t>sacubitril valsartan sodium hydrate 113103 mg ~ sacubitril 48 6 mg dan valsartan 51 4 mg</t>
  </si>
  <si>
    <t>uperio tablet sacubitril valsartan sodium hydrate 113103 mg  sacubitril 48 6 mg dan valsartan 51 4 mg pengobatan chf nyha kelas ii  iv orang dewasa pengurangan fraksi injeksi mengurangi resiko kematian perawatan rumah sakit akibat gagal jantung</t>
  </si>
  <si>
    <t>Madu Syamil Lengkap 125 ml</t>
  </si>
  <si>
    <t>Rp24.800 - Rp33.100</t>
  </si>
  <si>
    <t>Meningkatkan stamina dan daya tahan tubuh. Meredakan demam, batuk, pilek, sakit kepala, panas dalam, sariawan, bibir pecah-pecah, radang tenggorokan, amandel, menjaga kesehatan kulit, Nutrisi bergizi bagi ibu hamil dan menyusui.</t>
  </si>
  <si>
    <t>meningkatkan stamen daya tahan tubuh  meredakan demam , batuk , pilek , sakit kepala , panas , sariawan , bibir pecah - pecah , radang tenggorokan , amandel , menjaga kesehatan kulit , nutrisi bergizi hamil menyusui</t>
  </si>
  <si>
    <t>madu syamil lengkap</t>
  </si>
  <si>
    <t>madu syamil lengkap madu syamil dates honey madu si buah hati meningkatkan stamen daya tahan tubuh  meredakan demam  batuk  pilek  sakit kepala  panas  sariawan  bibir pecah  pecah  radang tenggorokan  amandel  menjaga kesehatan kulit  nutrisi bergizi hamil menyusui</t>
  </si>
  <si>
    <t>DKL0711637914A1</t>
  </si>
  <si>
    <t>Nevox XR 500 mg 10 Tablet</t>
  </si>
  <si>
    <t>Rp34.900 - Rp41.500</t>
  </si>
  <si>
    <t>nevox xr</t>
  </si>
  <si>
    <t>nevox xr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</si>
  <si>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DKL1105045706A1</t>
  </si>
  <si>
    <t>Glumin XR 750 mg 15 Kaplet</t>
  </si>
  <si>
    <t>Rp31.200 - Rp49.500</t>
  </si>
  <si>
    <t>Jika obat diberikan 1 x/hari, berikan bersama makan malam. Telan utuh, jangan dikunyah/dihancurkan.</t>
  </si>
  <si>
    <t>PENGGUNAAN OBAT INI HARUS SESUAI DENGAN PETUNJUK DOKTER. Tablet 500 mg, sehari 3 x 1 tablet . Tablet 850 mg. Awal : sehari 1 x</t>
  </si>
  <si>
    <t>DKL0405037914A2</t>
  </si>
  <si>
    <t>Glumin XR 500 mg 15 Kaplet</t>
  </si>
  <si>
    <t>Dus, 2 Blister @ 15 Kaplet Pelepasan Lambat</t>
  </si>
  <si>
    <t>Obat ini tidak boleh diberikan kepada pasien dengan kondisi: Penyakit ginjal dengan kadar kreatinin serum lebih dari 1.5 mg/dL (pria) dan lebih dari 1.4 mg/dL (wanita). Infark miokard akut, septikemia, gagal jantung kongestif. Penyakit hati kronik, alkoholik, hipoksia. Asidosis metabolik akut atau kronik atau memiliki riwayat asidosis laktat, termasuk ketoasidosis dibetes dengan atau tanpa disertai koma.Wanta hamil dan/atau menyusui.</t>
  </si>
  <si>
    <t>glumin xr</t>
  </si>
  <si>
    <t>glumin xr tablet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</si>
  <si>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DKL1705037906C1</t>
  </si>
  <si>
    <t>Glumin XR 1000 mg 15 Kaplet</t>
  </si>
  <si>
    <t>PENGGUNAAN OBAT INI HARUS SESUAI DENGAN PETUNJUK DOKTER. Dosis Awal : 1 kali per hari. Dosis dapat disesuaikan setelah penggunaan selama 2 minggu. Dosis maksimal : 2000 mg per hari.</t>
  </si>
  <si>
    <t>Dus, 4 Blister @ 15 Kaplet</t>
  </si>
  <si>
    <t>Koma diabetikum, ketoasidosis, kerusakan ginjal, penyakit hati kronik, gagal jantung, infark miokard, alkoholik, hipoksemia, riwayat asidosis laktat, hipersensitif, syok, insufisiensi pulmonal</t>
  </si>
  <si>
    <t>glumin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</si>
  <si>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DKL1819620306A1</t>
  </si>
  <si>
    <t>Reglus XR 500 mg 10 Tablet</t>
  </si>
  <si>
    <t>Rp24.000 - Rp28.500</t>
  </si>
  <si>
    <t>Sebaiknya diminum bersama makanan, untuk dosis 1 x sehari diberikan bersama makan malam.</t>
  </si>
  <si>
    <t>reglus xr</t>
  </si>
  <si>
    <t>reglus xr kaplet metformin hydrochloride terapi diabetes dewasa kelebihan berat badan kadar gula darah tidak dikendalikan diet  terapi kombinasi kegagalan terapi sulfonilurea primer sekunder  terapi tambahan insulin  dependent diabetes mellitus iddm diabetes tipe 1 mengurangi dosis insulin</t>
  </si>
  <si>
    <t>- SACUBITRIL VALSARTAN SODIUM HYDRATE 226.206 MG ~ SACUBITRIL 97. 2 MG DAN VALSARTAN 102. 8 MG</t>
  </si>
  <si>
    <t>sacubitril valsartan sodium hydrate 226206 mg ~ sacubitril 97 2 mg dan valsartan 102 8 mg</t>
  </si>
  <si>
    <t>uperio tablet sacubitril valsartan sodium hydrate 226206 mg  sacubitril 97 2 mg dan valsartan 102 8 mg pengobatan chf nyha kelas ii  iv orang dewasa pengurangan fraksi injeksi mengurangi resiko kematian perawatan rumah sakit akibat gagal jantung</t>
  </si>
  <si>
    <t>DKI2160500117C1</t>
  </si>
  <si>
    <t>Trajenta Duo 2.5 mg/1000 mg 60 Tablet</t>
  </si>
  <si>
    <t>Rp630.000 - Rp862.400</t>
  </si>
  <si>
    <t>DKI2160500117A1</t>
  </si>
  <si>
    <t>Trajenta Duo 2.5 mg/500 mg 60 Tablet</t>
  </si>
  <si>
    <t>Rp697.100 - Rp936.600</t>
  </si>
  <si>
    <t>DKI2160500117B1</t>
  </si>
  <si>
    <t>Trajenta Duo 2.5 mg/850 mg 60 Tablet</t>
  </si>
  <si>
    <t>Rp660.100 - Rp862.400</t>
  </si>
  <si>
    <t>DKL0515618510A1</t>
  </si>
  <si>
    <t>Myores 2 mg 10 Tablet</t>
  </si>
  <si>
    <t>Rp58.000 - Rp70.600</t>
  </si>
  <si>
    <t>Diminum bersama makanan untuk mengurangi rasa tidak nyaman pada saluran cerna</t>
  </si>
  <si>
    <t>PENGGUNAAN OBAT INI HARUS SESUAI DENGAN PETUNJUK DOKTER. Spasme otot yang sangat nyeri: 3 kali sehari 2-4mg. dosis ekstra 2-4mg dapat diberikan pada malam hari. terapi penunjang spastisitas akibat gangguan neurologi: awal tidak lebih dari &gt;6mg/hari dalam 3 dosis terbagi. dosis dapat ditingkatkan bertahap 2-4mg dengan interval 1-2kali/minggu. maks. 36mg/hari.</t>
  </si>
  <si>
    <t>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cerbral palsy.</t>
  </si>
  <si>
    <t>gangguan fungsi hati</t>
  </si>
  <si>
    <t>HARUS DENGAN RESEP DOKTER. Insufisiensi ginjal &amp; hati. dapat mengganggu kemampuan mengemudi dan menjalankan mesin. hipertensi ortostatik. anak &lt;18th, ibu hamil dan menyusui, lansia. fungsi hati harus dimonitor selama terapi. Kategori kehamilan : C</t>
  </si>
  <si>
    <t>spasme otot menyertai gangguan statik fungsional spina sindrom servikal lumbar , pasca operasi herniasi diskus intervertebra osteoatritis panggul , terapi penunjang spasme otot akibat gangguan neurologi sklerosis multipel , mielopati kronik , penyakit degeneratif korda spinalis cerbral palsy</t>
  </si>
  <si>
    <t>myores</t>
  </si>
  <si>
    <t>myores tablet tizanidine hydrochloride spasme otot menyertai gangguan statik fungsional spina sindrom servikal lumbar  pasca operasi herniasi diskus intervertebra osteoatritis panggul  terapi penunjang spasme otot akibat gangguan neurologi sklerosis multipel  mielopati kronik  penyakit degeneratif korda spinalis cerbral palsy</t>
  </si>
  <si>
    <t>DKL9904124416B1</t>
  </si>
  <si>
    <t>X-Flam 50 mg 10 Tablet</t>
  </si>
  <si>
    <t>Rp25.500 - Rp30.200</t>
  </si>
  <si>
    <t>INFORMASI OBAT INI HANYA UNTUK KALANGAN MEDIS. Pengobatan jangka pendek pada kondisi akut sebagai berikut : - Nyeri, inflamasi (peradangan) dan pembengkakan pasca trauma, seperti keseleo. - Nyeri, inflamasi (peradangan) dan pembengkakan pasca bedah, seperti pasca pembedahan gigi atau tulang. - Sebagai adjuvan pada nyeri inflamasi (peradangan) berat dari infeksi telinga, hidung atau tenggorokan, seperti faringotonsilitis, otitis.</t>
  </si>
  <si>
    <t>Dus, 3 strip @ 10 Tablet Salut Gula</t>
  </si>
  <si>
    <t>Infeksi bakteri atau jamur pada mulut dan tenggorokan. Lesi herpetik karena virus atau lesi intraoral. Kehamilan trimester 3.</t>
  </si>
  <si>
    <t>HARUS DENGAN RESEP DOKTER. Pasien dengan pendarahan gastrointestinal atau peptic ulceration, risiko penyakit cardiovascular, asma, rhinitis, Paru Obstruktif Kronik (PPOK), infeksi saluran pernafasan. NSAID dapat menyebabkan fetal cardiovascularsystem (closure of ductus arteriosus) sehingga penggunaan pada usia kehamilan akhir sebaiknya dihindari.</t>
  </si>
  <si>
    <t>pengobatan jangka pendek kondisi akut - nyeri , inflamasi peradangan pembengkakan pasca trauma , keseleo  - nyeri , inflamasi peradangan pembengkakan pasca bedah , pasca pembedahan gigi tulang  - sebagai adjuvan nyeri inflamasi peradangan berat infeksi telinga , hidung tenggorokan , faringotonsilitis , otitis</t>
  </si>
  <si>
    <t>xflam</t>
  </si>
  <si>
    <t>xflam tablet diclofenac potassium pengobatan jangka pendek kondisi akut  nyeri  inflamasi peradangan pembengkakan pasca trauma  keseleo   nyeri  inflamasi peradangan pembengkakan pasca bedah  pasca pembedahan gigi tulang   sebagai adjuvan nyeri inflamasi peradangan berat infeksi telinga  hidung tenggorokan  faringotonsilitis  otitis</t>
  </si>
  <si>
    <t>zultrop kaplet sulfamethoxazole trimethoprim infeksi saluran kemih disebabkan e  coli  klebsiella  enterobacter proteus myrabilis  infeksi saluran pencernaan disebabkan salmonella shigella tifus  paratifus  disentri  infeksi saluran nafas tht disebabkan h  influenzae s  pneumoniae  infeksi disebabkan bakteri sensitif sulfametoksazol trimetoprim</t>
  </si>
  <si>
    <t>DKL9519804017A1</t>
  </si>
  <si>
    <t>Zithromax 500 mg 3 Kapsul</t>
  </si>
  <si>
    <t>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t>
  </si>
  <si>
    <t>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</si>
  <si>
    <t>Hipersensitivitas terhadap antibiotik makrolida. Riwayat disfungsi hati/ikterus kolestatik setelah penggunaan antibiotik sebelumnya.</t>
  </si>
  <si>
    <t>HARUS DENGAN RESEP DOKTER. Pasien dengan miastenia gravis, gangguan elektrolit terutama hipokalemia dan hipomagnesemia</t>
  </si>
  <si>
    <t>Allevyn Non Adhesive 10 cm x 10 cm</t>
  </si>
  <si>
    <t>Tempelkan permukaan warna kuning Allevyn pada luka. Dapat diganti hingga dengan 3 hari atau jika Allevyn terlihat telah penuh dengan eksudat</t>
  </si>
  <si>
    <t>Dressing untuk luka akut dan luka kronik, partial thickness, full thickness, luka bergranulasi, luka eksudat sedang hingga berat seperti ulkus diabetik, luka bedah, ulkus dekubitus, ulkus tungkai, luka infeksi, luka kanker, luka bakar derajat 1 dan derajat 2</t>
  </si>
  <si>
    <t>Pack @ 1 Lembar @ 10CM X 10CM</t>
  </si>
  <si>
    <t>Luka harus diobservasi secara teratur. Hindari penggunaan bersama dengan bahan oksidasi seperti larutan hypochlorite atau hydrogen peroxide.</t>
  </si>
  <si>
    <t>dressing luka akut luka kronik , partial thickness , full thickness , luka bergranulasi , luka eksudat berat ulkus diabetik , luka bedah , ulkus dekubitus , ulkus tungkai , luka infeksi , luka kanker , luka bakar derajat 1 derajat 2</t>
  </si>
  <si>
    <t>allevyn non adhesive x</t>
  </si>
  <si>
    <t>allevyn non adhesive x larutan povidoneiodine dressing luka akut luka kronik  partial thickness  full thickness  luka bergranulasi  luka eksudat berat ulkus diabetik  luka bedah  ulkus dekubitus  ulkus tungkai  luka infeksi  luka kanker  luka bakar derajat 1 derajat 2</t>
  </si>
  <si>
    <t>DKL9630904217A1</t>
  </si>
  <si>
    <t>Lexmodine 20 mg 6 Tablet</t>
  </si>
  <si>
    <t>PENGGUNAAN OBAT INI HARUS SESUAI DENGAN PETUNJUK DOKTER. Untuk tukak usus 12 jari terapi akut : 40 mg/hari sebelum tidur atau 20 mg 2 kali/hari Untuk sindroma Zollinger-Ellison, adenoma endoktrin multipel : 20 mg tiap 6 jam Untuk tukak lambung jinak : 40 mg/hari sebelum tidur</t>
  </si>
  <si>
    <t>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t>
  </si>
  <si>
    <t>Tablet 20 Mg X 5 X 6</t>
  </si>
  <si>
    <t>Pasien dengan riwayat hipersensitif pada famotidine atau obat golongan antagonis reseptor H2 lainnya.</t>
  </si>
  <si>
    <t>Obat Wajib Apotek, Obat ini dapat dibeli dan diserahkan apoteker tanpa resep dengan maksimum 1 Strip. Pembelian melebihi batas ini WAJIB RESEP DOKTER. Singkirkan adanya keganasan pada lambung sebelum terapi. Anak, hamil dan laktasi. Disfungsi ginjal berat</t>
  </si>
  <si>
    <t>pengobatan jangka pendek tukak usus 12 jari aktif tukak lambung aktif jinak  terapi pemeliharaan penderita tukak usus 12 jari sembuh tukak aktif  pengobatan jangka pendek refluks gastroesofagus  pengobatan hipersekresi patologi sindrom zollingerellison , adenoma endokrin multiple</t>
  </si>
  <si>
    <t>lexmodine</t>
  </si>
  <si>
    <t>lexmodine tablet famotidine pengobatan jangka pendek tukak usus 12 jari aktif tukak lambung aktif jinak  terapi pemeliharaan penderita tukak usus 12 jari sembuh tukak aktif  pengobatan jangka pendek refluks gastroesofagus  pengobatan hipersekresi patologi sindrom zollingerellison  adenoma endokrin multiple</t>
  </si>
  <si>
    <t>Tizanidine 2 mg 10 Tablet</t>
  </si>
  <si>
    <t>Rp29.400 - Rp34.600</t>
  </si>
  <si>
    <t>Dikonsumsi bersama makanan untuk mengurangi rasa tidak nyaman pada GI.</t>
  </si>
  <si>
    <t>PENGGUNAAN OBAT INI HARUS SESUAI DENGAN PETUNJUK DOKTER. - Spasme otot yang sangat nyeri : 2-4 mg, diminum 3 kali per hari. Dosis ekstra 2-4 mg, dapat diberikan pada malam hari. - Terapi penunjang untuk spastisitas akibat gangguan neurologi : Dosis awal tidak boleh lebih dari 6 mg per hari dalam 3 dosis terbagi. Dosis dapat ditingkatkan secara bertahap sebesar 2-4 mg dengan interval 1-2 kali per minggu. Maksimal : 36 mg per hari.</t>
  </si>
  <si>
    <t>INFORMASI OBAT INI HANYA UNTUK KALANGAN MEDIS.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cerebral palsy.</t>
  </si>
  <si>
    <t>Hipersensitivitas, gangguan fungsi hati.</t>
  </si>
  <si>
    <t>HARUS DENGAN RESEP DOKTER. Pasien dengan gangguan psikiatri, gangguan KV, penyakit arteri koroner. Gangguan ginjal. Kehamilan dan menyusui. Hindari pengurangan dan penarikan dosis secara tiba-tiba.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</si>
  <si>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spasme otot menyertai gangguan statik fungsional spina sindrom servikal lumbar , pasca operasi herniasi diskus intervertebra osteoatritis panggul , terapi penunjang spasme otot akibat gangguan neurologi sklerosis multipel , mielopati kronik , penyakit degeneratif korda spinalis cerebral palsy</t>
  </si>
  <si>
    <t>tizanidine</t>
  </si>
  <si>
    <t>tizanidine tablet tizanidine hydrochloride spasme otot menyertai gangguan statik fungsional spina sindrom servikal lumbar  pasca operasi herniasi diskus intervertebra osteoatritis panggul  terapi penunjang spasme otot akibat gangguan neurologi sklerosis multipel  mielopati kronik  penyakit degeneratif korda spinalis cerebral palsy</t>
  </si>
  <si>
    <t>DKL7603811546A1</t>
  </si>
  <si>
    <t>Cendo Cetapred Eye Drops 5 ml</t>
  </si>
  <si>
    <t>Rp18.500 - Rp20.400</t>
  </si>
  <si>
    <t>PENGGUNAAN OBAT INI HARUS SESUAI DENGAN PETUNJUK DOKTER. 2-4 kali sehari 2 tetes.</t>
  </si>
  <si>
    <t>Kontrol topikal untuk alergi &amp; penyakit radang mata terutama yang membutuhkan efek antibakterial. Blefaritis alergi (radang kelopak mata akibat alergi), konjungtivitis alergi (radang selaput ikat mata akibat alergi), benda asing, abrasi (lecet/terkikisnya selaput bening) &amp; laserasi/robek.</t>
  </si>
  <si>
    <t>prednisolone</t>
  </si>
  <si>
    <t>kontrol topikal alergi penyakit radang mata membutuhkan efek antibakterial  blefaritis alergi radang kelopak mata akibat alergi , konjungtivitis alergi radang selaput ikat mata akibat alergi , benda asing , abrasi lecet terkikisnya selaput bening laserasi robek</t>
  </si>
  <si>
    <t>cendo cetapred eye</t>
  </si>
  <si>
    <t>cendo cetapred eye tetes prednisolone kontrol topikal alergi penyakit radang mata membutuhkan efek antibakterial  blefaritis alergi radang kelopak mata akibat alergi  konjungtivitis alergi radang selaput ikat mata akibat alergi  benda asing  abrasi lecet terkikisnya selaput bening laserasi robek</t>
  </si>
  <si>
    <t>DKL1022248137A1</t>
  </si>
  <si>
    <t>Nolipo 250 mg/5 ml Sirup 60 ml</t>
  </si>
  <si>
    <t>Rp37.800 - Rp72.900</t>
  </si>
  <si>
    <t>PENGGUNAAN OBAT INI HARUS SESUAI DENGAN PETUNJUK DOKTER. Dws Infeksi serius 500 mg 3 x/hari tiap 8 jam. Infeksi lebih berat 500 mg 4 x/hari, diberikan tiap 6 jam. Anak &gt;1 bulan Infeksi serius 30 mg/kg BB/hari dalam 3 atau 4 dosis terbagi. Infeksi lebih berat 60 mg/kg BB/hari dalam 3 atau 4 dosis terbagi.</t>
  </si>
  <si>
    <t>Infeksi sal napas atas: Tonsilitis, faringitis, otitis media, sinusitis, demam scarlet</t>
  </si>
  <si>
    <t>Vikaneb Mesh Nebulizer</t>
  </si>
  <si>
    <t>Nebulizer adalah alat yang digunakan untuk mengubah obat cair menjadi uap agar bisa dihirup masuk ke dalam paru-paru. Alat ini berfungsi untuk membantu terapi pada gangguan pernapasan, seperti asma, penyakit paru obstuktif kronis (PPOK), dan pneumonia. Vinkaneb Mesh Nebulizer merupakan nebulizer dalam bentuk kompak dan mini sehingga mudah dibawa dan dapat digunakan dimana saja.</t>
  </si>
  <si>
    <t>nebulizer alat mengubah obat cair uap dihirup masuk paru - paru  alat berfungsi membantu terapi gangguan pernapasan , asma , penyakit paru obstuktif kronis ppok , pneumonia  vinkaneb mesh nebulizer nebulizer bentuk kompak mini mudah dibawa dimana</t>
  </si>
  <si>
    <t>vikaneb mesh nebulizer</t>
  </si>
  <si>
    <t>vikaneb mesh nebulizer larutan povidoneiodine nebulizer alat mengubah obat cair uap dihirup masuk paru  paru  alat berfungsi membantu terapi gangguan pernapasan  asma  penyakit paru obstuktif kronis ppok  pneumonia  vinkaneb mesh nebulizer nebulizer bentuk kompak mini mudah dibawa dimana</t>
  </si>
  <si>
    <t>DKL9508003709B1</t>
  </si>
  <si>
    <t>Zibramax 500 mg 3 Tablet</t>
  </si>
  <si>
    <t>Rp146.000 - Rp186.400</t>
  </si>
  <si>
    <t>Dus, 2 Strip @ 3 Kaplet Salut Selaput</t>
  </si>
  <si>
    <t>GKL1505050638A1</t>
  </si>
  <si>
    <t>Azithromycin 200 mg/5 ml Dry Syrup 15 ml</t>
  </si>
  <si>
    <t>Rp52.900 - Rp67.900</t>
  </si>
  <si>
    <t>Dapat diberkan bersama makanan untuk mengurangi rasa tidak nyaman pada GI</t>
  </si>
  <si>
    <t>*Jumlah Stock untuk Produk ini terbatas. Jika tidak tersedia (not available), dapat diorder kembali tanpa dikombinasikan dengan produk lain. HARUS DENGAN RESEP DOKTER. Pasien dengan miastenia gravis, gangguan elektrolit terutama hipokalemia dan hipomagnesemia</t>
  </si>
  <si>
    <t>Gold-G Bio Sea Cucumber Jelly 250 ml</t>
  </si>
  <si>
    <t>Rp86.200 - Rp162.100</t>
  </si>
  <si>
    <t>2 kali sehari (pagi dan sore) 3 sendok makan</t>
  </si>
  <si>
    <t>Membantu mengatasi masalah persendian (arthritis), membantu penyembuhan luka, membantu menormalkan kadar gula darah, membantu menjaga kadar kolesterol, membantu mengatasi masalah pencernaan dan pernafasan, meningkatkan sel darah merah dan mengatasi anemia, serta berkhasiat sebagai antinyeri alami.</t>
  </si>
  <si>
    <t>membantu mengatasi persendian arthritis , membantu penyembuhan luka , membantu menormalkan kadar gula darah , membantu menjaga kadar kolesterol , membantu mengatasi pencernaan pernafasan , meningkatkan sel darah merah mengatasi anemia , berkhasiat antinyeri alami</t>
  </si>
  <si>
    <t>goldg bio sea cucumber jelly</t>
  </si>
  <si>
    <t>goldg bio sea cucumber jelly  goldg bio sea cucumber membantu mengatasi persendian arthritis  membantu penyembuhan luka  membantu menormalkan kadar gula darah  membantu menjaga kadar kolesterol  membantu mengatasi pencernaan pernafasan  meningkatkan sel darah merah mengatasi anemia  berkhasiat antinyeri alami</t>
  </si>
  <si>
    <t>DKL9526002104B1</t>
  </si>
  <si>
    <t>Zultrop Forte 10 Kaplet</t>
  </si>
  <si>
    <t>Dus, Isi 10 strip@ 10 kaplet</t>
  </si>
  <si>
    <t>HARUS DENGAN RESEP DOKTER. Pasien dengan defisiensi asam folat, defisiensi G6PD, status kurang gizi, pasien lansia dengan penurunan fungsi ginjal Kategori Kehamilan : C</t>
  </si>
  <si>
    <t>zultrop forte</t>
  </si>
  <si>
    <t>zultrop forte kaplet sulfamethoxazole trimethoprim infeksi saluran kemih disebabkan e  coli  klebsiella  enterobacter proteus myrabilis  infeksi saluran pencernaan disebabkan salmonella shigella tifus  paratifus  disentri  infeksi saluran nafas tht disebabkan h  influenzae s  pneumoniae  infeksi disebabkan bakteri sensitif sulfametoksazol trimetoprim</t>
  </si>
  <si>
    <t>DKL7203816231A1</t>
  </si>
  <si>
    <t>Cendo Corthon Eye Drops 5 ml</t>
  </si>
  <si>
    <t>Rp25.000 - Rp38.400</t>
  </si>
  <si>
    <t>PENGGUNAAN OBAT INI HARUS SESUAI DENGAN PETUNJUK DOKTER. 2-4 kali sehari 1-2 tetes.</t>
  </si>
  <si>
    <t>Meringankan dan menangani peradangan non-infeksius &amp; alergi pada kelopak mata, selaput ikat mata, kornea, sklera/selaput mata keras, saluran uvea (lapisan dalam mata yang terdiri atas selaput pelangi, badan siliar, dan koroid) anterior, luka bakar akibat bahan kimia &amp; suhu panas.</t>
  </si>
  <si>
    <t>meringankan menangani peradangan non - infeksius alergi kelopak mata , selaput ikat mata , kornea , sklera selaput mata kera , saluran uvea lapisan mata selaput pelangi , badan siliar , koroid anterior , luka bakar akibat bahan kimia suhu panas</t>
  </si>
  <si>
    <t>cendo corthon eye</t>
  </si>
  <si>
    <t>cendo corthon eye salep hydrocortisone acetate meringankan megani peradangan non  infeksius alergi kelopak mata  selaput ikat mata  kornea  sklera selaput mata kera  saluran uvea lapisan mata selaput pelangi  badan siliar  koroid anterior  luka bakar akibat bahan kimia suhu panas</t>
  </si>
  <si>
    <t>TR153383831</t>
  </si>
  <si>
    <t>Raja Papua 450 mg 30 Kapsul</t>
  </si>
  <si>
    <t>RED OIL PAPUA</t>
  </si>
  <si>
    <t>Rp99.000 - Rp120.175</t>
  </si>
  <si>
    <t>Membantu mengobati Lupus, Menghilangkan benjolan-benjolan pada payudara, Gangguan ginjal dan prostat, TBC &amp; masalah paru-paru, Ambien (Wasir) baru maupun lama, Sakit kepala sebelah, Migrain, Reumatik, Melancarkan peredaran darah, pegal linu, dan nyeri otot, Meningkatkan vitalitas, memperbaiki dan meningkatkan stamina tubuh.</t>
  </si>
  <si>
    <t>red oil papua</t>
  </si>
  <si>
    <t>membantu mengobati lupus , menghilangkan benjolan - benjolan payudara , gangguan ginjal prostat , tbc paru - paru , ambien wasir , sakit kepala sebelah , migrain , reumatik , melancarkan peredaran darah , pegal linu , nyeri otot , meningkatkan vitalitas , memperbaiki meningkatkan stamen tubuh</t>
  </si>
  <si>
    <t>raja papua</t>
  </si>
  <si>
    <t>raja papua kapsul red oil papua membantu mengobati lupus  menghilangkan benjolan  benjolan payudara  gangguan ginjal prostat  tbc paru  paru  ambien wasir  sakit kepala sebelah  migrain  reumatik  melancarkan peredaran darah  pegal linu  nyeri otot  meningkatkan vitalitas  memperbaiki meningkatkan stamen tubuh</t>
  </si>
  <si>
    <t>DKL1706716109A1</t>
  </si>
  <si>
    <t>Aminoral 10 Kaplet</t>
  </si>
  <si>
    <t>Rp47.800 - Rp94.000</t>
  </si>
  <si>
    <t>Bersamaan dengan makanan. Telan utuh, jangan dikunyah/dihancurkan</t>
  </si>
  <si>
    <t>PENGGUNAAN OBAT INI HARUS SESUAI DENGAN PETUNJUK DOKTER. Insufisiensi ginjal kronik &amp; Retensi terdekompensasi : 3 x sehari 4-8 kaplet. Retensi terkompensasi : 3 x sehari 4-6 kaplet</t>
  </si>
  <si>
    <t>Insufisiensi ginjal khronik dengan diet tinggi kalori rendah protein &lt;= 40 g/hari, retensi yang terkompensasi ataupun terdekompensasi, GFR/kecepatan filtrasi glomerulus 5-50 mL/menit</t>
  </si>
  <si>
    <t>Box Isi 10 Strip @ 10 Kaplet Salut</t>
  </si>
  <si>
    <t>Hiperkalsemia, gangguan metabolisme asam amino</t>
  </si>
  <si>
    <t>HARUS DENGAN RESEP DOKTER. Hati-hati jika diberikan bersamaan dengan obat yang mengandung kalsium. Tidak dianjurkan diberikan bersama tetrasiklin. Hamil, anak. Monitor kadar kalsium secara teratur</t>
  </si>
  <si>
    <t>lysine acetate histidine alpha-keto-isoleucin calcium alpha-keto-phenylalanine calcium alpha-keto-valine calcium alpha-hydroxy methionine calcium tryptophan threonine tyrosine alpha-keto-leucine calcium</t>
  </si>
  <si>
    <t>insufisiensi ginjal khronik diet kalori rendah protein 40 g , retensi terkompensasi terdekompensasi , gfr kecepatan filtrasi glomerulus 5 - 50 ml menit</t>
  </si>
  <si>
    <t>aminoral</t>
  </si>
  <si>
    <t>aminoral kaplet lysine acetate histidine alphaketoisoleucin calcium alphaketophenylalanine calcium alphaketovaline calcium alphahydroxy methionine calcium tryptophan threonine tyrosine alphaketoleucine calcium insufisiensi ginjal khronik diet kalori rendah protein 40 g  retensi terkompensasi terdekompensasi  gfr kecepatan filtrasi glomerulus 5  50 ml menit</t>
  </si>
  <si>
    <t>DBL7205512817A1</t>
  </si>
  <si>
    <t>Biomex 10 Tablet</t>
  </si>
  <si>
    <t>Rp7.000 - Rp11.400</t>
  </si>
  <si>
    <t>Pengobatan: 3 kali sehari 1-2 tablet. pencegahan: 1 tablet per hari.</t>
  </si>
  <si>
    <t>anemia pernisiosa, megaloblastik dan hiperkromik, pasca operasi lambung, astenia, neuritis, polineuritis, beri-beri, paralisis, pasca infeksi dan pasca poliomielitis, skiatika, lubago, neuritis optika, neuralgia, neuropati diabetika, neuritis pada kehamilan, parestesia, pusing, emesis gravidarum, neuritis pada reumatik, keracunan alkohol, depresi psikis, delirium tremens.</t>
  </si>
  <si>
    <t>hentikan pemakaian jika reaksi alergi muncul</t>
  </si>
  <si>
    <t>anemia pernisiosa , megaloblastik hiperkromik , pasca operasi lambung , astenia , neuritis , polineuritis , - , paralisis , pasca infeksi pasca poliomielitis , skiatika , lubago , neuritis optika , neuralgia , neuropati diabetika , neuritis kehamilan , parestesia , pusing , emesis gravidarum , neuritis reumatik , keracunan alkohol , depresi psikis , delirium tremens</t>
  </si>
  <si>
    <t>biomex</t>
  </si>
  <si>
    <t>biomex tablet cyanocobalamin anemia pernisiosa  megaloblastik hiperkromik  pasca operasi lambung  astenia  neuritis  polineuritis    paralisis  pasca infeksi pasca poliomielitis  skiatika  lubago  neuritis optika  neuralgia  neuropati diabetika  neuritis kehamilan  parestesia  pusing  emesis gravidarum  neuritis reumatik  keracu alkohol  depresi psikis  delirium tremens</t>
  </si>
  <si>
    <t>DKI1196500411B1</t>
  </si>
  <si>
    <t>Siran Forte 10 Tablet</t>
  </si>
  <si>
    <t>Rp107.000 - Rp170.500</t>
  </si>
  <si>
    <t>Sesudah makan. Larutkan tablet dalam segelas air sebelum diminum.</t>
  </si>
  <si>
    <t>PENGGUNAAN OBAT INI HARUS SESUAI DENGAN PETUNJUK DOKTER. Terapi akut : Siran Forte 1 tablet sehari, selama 5-10 hari. Terapi kronis : Siran Forte 1 tablet, selama 1-2 bulan.</t>
  </si>
  <si>
    <t>INFORMASI OBAT INI HANYA UNTUK KALANGAN MEDIS. Terapi tambahan pada keadaan klinis tertentu yang ditandai dengan adanya lendir yang kental dan lengket atau sekresi mukopurulen. Keadaan klinis tersebut misalnya pada penyakit bronkopulmoner kronik (PPOK, emfisema dengan bronkitis, bronkitis kronis, bronkiektasi), penyakit bronkopulmoner akut (asam dengan lendir yang menyumbat bronkus, bronkopneumonia, trakeabronkitis, bronkiolitis, komplikasi pada paru yang berhubungan dengan tindakan bedah)</t>
  </si>
  <si>
    <t>Dus, 1 Tube @ 10 Tablet Effervescent</t>
  </si>
  <si>
    <t>Obat Wajib Apotek, Obat ini dapat dibeli dan diserahkan apoteker tanpa resep dengan maksimum 2 Tube. Pembelian melebihi batas ini WAJIB RESEP DOKTER. Hati-hati penggunaanya pada pasien dengan riwayat asma dan pada pasien dengan riwayat ulkus peptikum. Kategori Kehamilan : Kategori B: Mungkin dapat digunakan oleh wanita hamil. Penelitian pada hewan uji tidak memperlihatkan ada nya risiko terhadap janin, namun belum ada bukti penelitian langsung terhadap wanita hamil.</t>
  </si>
  <si>
    <t>terapi tambahan klinis ditandai lendir kental lengket sekresi mukopurulen  keadaan klinis penyakit bronkopulmoner kronik ppok , emfisema bronkitis , bronkitis kronis , bronkiektasi , penyakit bronkopulmoner akut asam lendir menyumbat bronkus , bronkopneumonia , trakeabronkitis , bronkiolitis , komplikasi paru berhubungan tindakan bedah</t>
  </si>
  <si>
    <t>siran forte</t>
  </si>
  <si>
    <t>siran forte tablet acetylcysteine terapi tambahan klinis ditandai lendir kental lengket sekresi mukopurulen  keadaan klinis penyakit bronkopulmoner kronik ppok  emfisema bronkitis  bronkitis kronis  bronkiektasi  penyakit bronkopulmoner akut asam lendir menyumbat bronkus  bronkopneumonia  trakeabronkitis  bronkiolitis  komplikasi paru berhubungan tindakan bedah</t>
  </si>
  <si>
    <t>Freshcare Mix Citrus Inhaler + Roll On</t>
  </si>
  <si>
    <t>Roll on: Gosokkan secukupnya pada kening, dada, hidung atau pada bagian yang sakit lainnya. Inhaler: Gunakan hanya dalam posisi tegak. Hirup dalam-dalam melalui tiap lubang hidung</t>
  </si>
  <si>
    <t>Inhaler: Sebagai inhaler aromateraphy yang menyegarkan, untuk melegakan hidung tersumbat. Roll On: Untuk meringankan pusing-pusing, sakit kepala, perut kembung, masuk angin, mabuk perjalanan, gejala flu, pegal-pegal, dan gatal akibat gigitan seranggga.</t>
  </si>
  <si>
    <t>Dus, Botol plastik @ 5 ml + Tabung inhaler @ 0.8 g</t>
  </si>
  <si>
    <t>Obat luar.</t>
  </si>
  <si>
    <t>inhaler sebagai inhaler aromateraphy menyegarkan , melegakan hidung tersumbat  roll on untuk meringankan pusing - pusing , sakit kepala , perut kembung , masuk angin , mabuk perjalanan , gejala flu , pegal - pegal , gatal akibat gigitan serangga</t>
  </si>
  <si>
    <t>freshcare mix citrus inhaler roll on</t>
  </si>
  <si>
    <t>freshcare mix citrus inhaler roll on roll lemon oil inhaler sebagai inhaler aromateraphy menyegarkan  melegakan hidung tersumbat  roll on untuk meringankan pusing  pusing  sakit kepala  perut kembung  masuk angin  mabuk perjala  gejala flu  pegal  pegal  gatal akibat gigitan serangga</t>
  </si>
  <si>
    <t>TR063359041</t>
  </si>
  <si>
    <t>Allium 50 Kapsul</t>
  </si>
  <si>
    <t>ALLIUM</t>
  </si>
  <si>
    <t>Rp47.700 - Rp58.900</t>
  </si>
  <si>
    <t>Membantu menjaga kesehatan sirkulasi darah, mengurangi kadar lemak darah dan gejala hipertensi, melumpuhkan radikal bebas, menghambat pertumbuhan sel kanker, penawar racun (detoxifier) yang melindungi tubuh dari berbagai macam penyakit, menambah daya ingat, meredakan stress, kecemasan, dan depres, meringankan tukak lambung, membantu menghambat proses penuaan.</t>
  </si>
  <si>
    <t>allium</t>
  </si>
  <si>
    <t>membantu menjaga kesehatan sirkulasi darah , mengurangi kadar lemak darah gejala hipertensi , melumpuhkan radikal bebas , menghambat pertumbuhan sel kanker , penawar racun detoxifier melindungi tubuh penyakit , menambah daya , meredakan stress , kecemasan , depres , meringankan tukak lambung , membantu menghambat prose penuaan</t>
  </si>
  <si>
    <t>allium kapsul membantu menjaga kesehatan sirkulasi darah  mengurangi kadar lemak darah gejala hipertensi  melumpuhkan radikal bebas  menghambat pertumbuhan sel kanker  penawar racun detoxifier melindungi tubuh penyakit  menambah daya  meredakan stress  kecemasan  depres  meringankan tukak lambung  membantu menghambat prose penuaan</t>
  </si>
  <si>
    <t>Microlife Tensimeter BP A2 Classic</t>
  </si>
  <si>
    <t>Rp472.500 - Rp600.600</t>
  </si>
  <si>
    <t>Alat pengukur tekanan darah (tensimeter) digital dengan teknologi terbaru Gentle+ memastikan pengukuran nyaman dan akurat serta telah teruji secara klinis oleh BHS (British Hypertension Society), dilengkapi dengan teknologi PAD (Pulse Arrhythmia Detection) untuk mendeteksi kelainan detak jantung yang tidak berarturan.</t>
  </si>
  <si>
    <t>alat pengukur tekanan darah tensimeter digital teknologi terbaru gentle pengukuran nyaman akurat teruji klinis bhs british hypertension society , dilengkapi teknologi pad pulse arrhythmia detection mendeteksi kelainan detak jantung tidak berarturan</t>
  </si>
  <si>
    <t>microlife tensimeter bp a classic</t>
  </si>
  <si>
    <t>microlife tensimeter bp a classic tablet kombinasivalsartan blend 32 alat pengukur teka darah tensimeter digital teknologi terbaru gentle pengukuran nyaman akurat teruji klinis bhs british hypertension society  dilengkapi teknologi pad pulse arrhythmia detection mendeteksi kelai detak jantung tidak berarturan</t>
  </si>
  <si>
    <t>Microlife Tensimeter BP B2 Basic</t>
  </si>
  <si>
    <t>Rp620.400 - Rp660.000</t>
  </si>
  <si>
    <t>microlife tensimeter bp b basic</t>
  </si>
  <si>
    <t>microlife tensimeter bp b basic tablet kombinasivalsartan blend 32 alat pengukur teka darah tensimeter digital teknologi terbaru gentle pengukuran nyaman akurat teruji klinis bhs british hypertension society  dilengkapi teknologi pad pulse arrhythmia detection mendeteksi kelai detak jantung tidak berarturan</t>
  </si>
  <si>
    <t>DBL2014711616A1</t>
  </si>
  <si>
    <t>New Enzyplex 4 Tablet</t>
  </si>
  <si>
    <t>Rp9.400 - Rp11.600</t>
  </si>
  <si>
    <t>Pada waktu makan, sesudah makan atau sesuai anjuran petunjuk dokter</t>
  </si>
  <si>
    <t>Membantu proses pencernaan bermanfaat mencegah dan mengatasi gangguan pada pencernaan seperti rasa kembung, rasa penuh, pada lambung dan keadaan-keadaan di mana di butuhkan peningkatan enzim pencernaan seperti makan terlalu banyak, intoleransi terhadap makanan salah cerna dan lain-lain gangguan pencernaan fungsional.</t>
  </si>
  <si>
    <t>Dus, 25 strip @ 4 tablet</t>
  </si>
  <si>
    <t>Hipersensitifitas terhadap salah satu komponen obat. Kontraindikasi untuk pasien yang sedang mengalami pankreatitis akut atau eksaserbasi pankreatitis kronis akut. Kontraindikasi untuk pasien yang menggunakan antikoagulan.</t>
  </si>
  <si>
    <t>Enzim pankreas dapat menyebabkan fibrosing colonopathy jika diberikan dalam dosis tinggi kepada pasien dengan fibrosis kistik. Tidak jelas apakah komplikasi ini disebabkan oleh dosis tinggi enzim pankreas atau karena penyakit yang mendasari. penggunaan calcium panthothenate harus dengan hati-hati pada orang yang menggunakan antikoagulan atau obat lain yang mampu memperpanjang waktu pendarahan.</t>
  </si>
  <si>
    <t>thiamine nitrate riboflavin pyridoxine hydrochloride cyanocobalamin kombinasi-nutripanzyme forte deoxycholic acid dimeticone calcium pantothenate nicotinamide</t>
  </si>
  <si>
    <t>membantu prose pencernaan bermanfaat mencegah mengatasi gangguan pencernaan kembung , penuh , lambung - butuhkan peningkatan enzim pencernaan makan , intoleransi makanan salah cerna - gangguan pencernaan fungsional</t>
  </si>
  <si>
    <t>new enzyplex</t>
  </si>
  <si>
    <t>new enzyplex tablet thiamine nitrate riboflavin pyridoxine hydrochloride cyanocobalamin kombinasinutripanzyme forte deoxycholic acid dimeticone calcium pantothenate nicotinamide membantu prose pencernaan bermanfaat mencegah mengatasi gangguan pencernaan kembung  penuh  lambung  butuhkan peningkatan enzim pencernaan makan  intoleransi maka salah cerna  gangguan pencernaan fungsional</t>
  </si>
  <si>
    <t>siran forte tablet acetyl cysteine terapi tambahan klinis ditandai lendir kental lengket sekresi mukopurulen  keadaan klinis penyakit bronkopulmoner kronik ppok  emfisema bronkitis  bronkitis kronis  bronkiektasi  penyakit bronkopulmoner akut asam lendir menyumbat bronkus  bronkopneumonia  trakeabronkitis  bronkiolitis  komplikasi paru berhubungan tindakan bedah</t>
  </si>
  <si>
    <t>amoxicillin trihydrate kombinasi-potassium clavulanate with silicon dioxide</t>
  </si>
  <si>
    <t>capsinat sirup amoxicillin trihydrate kombinasipotassium clavulanate with silicon dioxide pengobatan jangka pendek infeksi saluran nafas  infeksi saluran kemih kelamin  infeksi kulit jaringan lunak  osteomielitis radang sumsum tulang  septikemia keracu darah bakteri patogenik zat  zat dihasilkan bakteri  peritonitis radang selaput perut</t>
  </si>
  <si>
    <t>DKL7817608801A1</t>
  </si>
  <si>
    <t>Interdoxin 50 mg 4 Kapsul</t>
  </si>
  <si>
    <t>Rp54.100 - Rp54.200</t>
  </si>
  <si>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</si>
  <si>
    <t>DKL0535801401A1</t>
  </si>
  <si>
    <t>Doxicor 50 mg 10 Kapsul</t>
  </si>
  <si>
    <t>Rp52.000 - Rp56.400</t>
  </si>
  <si>
    <t>cyanocobalamin nicotinamide kombinasi-nutripanzyme forte calcium pantothenate thiamine mononitrate riboflavin pyridoxine hydrochloride deoxycholic acid dimeticone</t>
  </si>
  <si>
    <t>new enzyplex tablet cyanocobalamin nicotinamide kombinasinutripanzyme forte calcium pantothenate thiamine mononitrate riboflavin pyridoxine hydrochloride deoxycholic acid dimeticone membantu prose pencernaan bermanfaat mencegah mengatasi gangguan pencernaan kembung  penuh  lambung  butuhkan peningkatan enzim pencernaan makan  intoleransi maka salah cerna  gangguan pencernaan fungsional</t>
  </si>
  <si>
    <t>DTL0217617529A1</t>
  </si>
  <si>
    <t>Interbi 1% Cream 5 g</t>
  </si>
  <si>
    <t>Rp39.900 - Rp48.000</t>
  </si>
  <si>
    <t>PENGGUNAAN OBAT INI HARUS SESUAI DENGAN PETUNJUK DOKTER. Dioleskan 1-2 kali sehari pada kulit yang terinfeksi dan daerah sekitarnya secara tipis dengan gosokan lembut, sebelumnya daerah yang terinfeksi dicuci dan dikeringkan dengan hati-hati. Lama pengobatan : Tinea corporis/cruris: 1-2 minggu, tinea pedis : 1-2 minggu, kandidiasis dan pitiriasis versicolor : 2 minggu.</t>
  </si>
  <si>
    <t>INFORMASI OBAT INI HANYA UNTUK KALANGAN MEDIS. Infeksi jamur pada kulit dan kuku disebabkan oleh dermatofita seperti trichophyton ( T.rubrum,T menthagrophytes , T.verrucosum,T.violaceum ) Microsporum canis, dan Epidermophyton floccosum. Untuk pengobatan kurap (tinea corporis, tinea kruris, tinea pedis). Onychomycosis ( infeksi jamur pada kuku ) yang disebabkan jamur dermatofita.</t>
  </si>
  <si>
    <t>hipersensitif, hati kronis, ibu menyusui</t>
  </si>
  <si>
    <t>HARUS DENGAN RESEP DOKTER. Pasien dengan penyakit autoimun, gangguan ginjal, anak-anak &amp; ibu hamil. Kategori Kehamilan : B</t>
  </si>
  <si>
    <t>infeksi jamur kulit kuku disebabkan dermatofita trichophyton t  rubrum , t menthagrophytes , t  verrucosum , t  violaceum microsporum canis , epidermophyton floccosum  untuk pengobatan kurap tinea corporis , tinea kruris , tinea pedis  onychomycosis infeksi jamur kuku disebabkan jamur dermatofita</t>
  </si>
  <si>
    <t>interbi cream</t>
  </si>
  <si>
    <t>interbi cream krim terbinafine hydrochloride infeksi jamur kulit kuku disebabkan dermatofita trichophyton t  rubrum  t menthagrophytes  t  verrucosum  t  violaceum microsporum canis  epidermophyton floccosum  untuk pengobatan kurap tinea corporis  tinea kruris  tinea pedis  onychomycosis infeksi jamur kuku disebabkan jamur dermatofita</t>
  </si>
  <si>
    <t>DKL9709207601A1</t>
  </si>
  <si>
    <t>Dohixat 100 mg 10 Kapsul</t>
  </si>
  <si>
    <t>Rp10.000 - Rp15.300</t>
  </si>
  <si>
    <t>DKL0535801401B1</t>
  </si>
  <si>
    <t>Doxicor 100 mg 10 Kapsul</t>
  </si>
  <si>
    <t>Rp68.400 - Rp79.800</t>
  </si>
  <si>
    <t>DKL7817608801B1</t>
  </si>
  <si>
    <t>Interdoxin 100 mg 4 Kapsul</t>
  </si>
  <si>
    <t>Rp42.900 - Rp51.900</t>
  </si>
  <si>
    <t>DKL8322203301A1</t>
  </si>
  <si>
    <t>Siclidon 100 mg 10 Kapsul</t>
  </si>
  <si>
    <t>Rp77.900 - Rp82.200</t>
  </si>
  <si>
    <t>Sensitif Vivo Passionate Dots 3 Pieces</t>
  </si>
  <si>
    <t>Rp10.100 - Rp18.100</t>
  </si>
  <si>
    <t>Kondom dengan 576 tekstur bintik-bintik (dots) yang akan memberikan stimulasi dan kejutan yang berbeda kepada pasangan. Mampu mencegah terhadap Virus HIV, Virus HPV, Virus HSV dan Virus hepatitis-B. Mencegah penyebaran penyakit dan infeksi menular seksual. Memperpanjang waktu dan menambah kenikmatan dalam hubungan seksual.</t>
  </si>
  <si>
    <t>kondom 576 tekstur bintik - bintik dot stimulasi kejutan berbeda pasangan  mampu mencegah virus hiv , virus hpv , virus hsv virus hepatitis - b  mencegah penyebaran penyakit infeksi menular seksual  memperpanjang menambah kenikmatan hubungan seksual</t>
  </si>
  <si>
    <t>sensitif vivo passionate dots pieces</t>
  </si>
  <si>
    <t>sensitif vivo passionate dots pieces tablet sildenafil citrate kondom 576 tekstur bintik  bintik dot stimulasi kejutan berbeda pasangan  mampu mencegah virus hiv  virus hpv  virus hsv virus hepatitis  b  mencegah penyebaran penyakit infeksi menular seksual  memperpanjang menambah kenikmatan hubungan seksual</t>
  </si>
  <si>
    <t>Omron Wrist Blood Pressure Monitor HEM-6131</t>
  </si>
  <si>
    <t>Rp601.100 - Rp691.400</t>
  </si>
  <si>
    <t>1. Lilitkan manset pada pergelangan tangan dengan layar monitor berada pada bagian dalam lengan dan menghadap pada Anda. 2. Manset berada pada tingkat tinggi yang sama dengan posisi jantung Anda. 3. Jangan menekuk pergelangan tangan Anda ke dalam, mengepalkan tangan atau menekuk pergelangan tangan anda ke arah luar. 4. Pengukuran siap dimulai dengan menekan tombol Start. 5. Hasil pengukuran akan muncul di layar monitor.</t>
  </si>
  <si>
    <t>Alat pengukur tekanan darah di pergelangan tangan yang sangat akurat dan mudah dalam pengunaan. Alat ini mengunakan Intellisense Technology yang memberikan pembacaan secara cepat dan akurat hingga tekanan kurang lebih 3mmHg dan Pulse kurang lebih 5ri pembacaan display dan mengunakan Cuff Wraping Guide yang tidak mengunakan selang pompa.</t>
  </si>
  <si>
    <t>alat pengukur tekanan darah pergelangan tangan akurat mudah pengunaan  alat mengunakan intellisense technology pembacaan cepat akurat tekanan 3mmhg pulse 5ri pembacaan display mengunakan cuff wraping guide tidak mengunakan selang pompa</t>
  </si>
  <si>
    <t>omron wrist blood pressure monitor hem tablet kombinasivalsartan blend 32 alat pengukur teka darah pergelangan tangan akurat mudah pengunaan  alat mengunakan intellisense technology pembacaan cepat akurat teka 3mmhg pulse 5ri pembacaan display mengunakan cuff wraping guide tidak mengunakan selang pompa</t>
  </si>
  <si>
    <t>DKL8521000501A1</t>
  </si>
  <si>
    <t>Viadoxin Kapsul 100 mg</t>
  </si>
  <si>
    <t>Rp7.100 - Rp8.800</t>
  </si>
  <si>
    <t>DKI1251602517B1</t>
  </si>
  <si>
    <t>Xarelto 15 mg 14 Tablet</t>
  </si>
  <si>
    <t>Rp632.600 - Rp647.400</t>
  </si>
  <si>
    <t>Sebaiknya diberikan bersama dengan makanan</t>
  </si>
  <si>
    <t>PENGGUNAAN OBAT INI HARUS SESUAI DENGAN PETUNJUK DOKTER. SPAF, dosis yang dianjurkan : 1 x sehari 20mg. Trombosis vena dalam (DVT), dosis yang dianjurkan : 2 x sehari 15mg selama 3 minggu pertama, dilanjutkan dengan 1 x sehari 20mg, maksimal 30mg per hari. Hari ke 22 dan seterusnya : 1 x sehari 20mg (maks). Pencegahan VTE pada orang dewasa yang menjalani operasi penggantian panggul atau lutut 10 mg sekali sehari. Durasi pengobatan: Operasi penggantian pinggul 5 minggu. Operasi penggantian lutut 2 minggu.</t>
  </si>
  <si>
    <t>INFORMASI OBAT INI HANYA UNTUK KALANGAN MEDIS. Mengurangi resiko stroke dan emboli sistemik pada pasien dengan fibrilasi atrium non valvular (SPAF) dengan riwayat stroke atau TIA, dengan skor CHADS2 lebih besar atu sama dengan 2. Untuk pengobatan trombosis vena dalam (DVT). Xarelto juga digunakan untuk membantu mencegah pembekuan darah karena denyut jantung tidak teratur (fibrilasi atrium) atau setelah operasi pinggul atau lutut pengganti.</t>
  </si>
  <si>
    <t>Tablet 15 Mg X 2 X 14</t>
  </si>
  <si>
    <t>Hipersensitivitas, pendarahan, penyakit hati yang terkait koagulopati dan risiko pendarahan yang relevan, kehamilan dan menyusui, pemberian bersamaan dengan antijamur azol.</t>
  </si>
  <si>
    <t>HARUS DENGAN RESEP DOKTER. Resiko pendarahan mukosa dan anemia, hati-hati penggunaan pada pesian dengan gangguan ginjal. Tidak dianjurkan untuk pasien yang menggunakan pengobatan sistemik bersama dengan obat anti jamur golongan azol. Hati-hati penggunaan pada emboli paru akut, sebelum dan sesudah prosedur invasif dan intervensi bedah. Kategori kehamilan: Belum terdapat data keamanan terkait penggunaan obat ini pada wanita hamil dan/atau menyusui. Konsultasikan kepada dokter apabila Anda sedang hamil dan/atau menyusui.</t>
  </si>
  <si>
    <t>rivaroxaban</t>
  </si>
  <si>
    <t>mengurangi resiko stroke embolus sistemik pasien fibrilasi atrium non valvular spaf riwayat stroke tia , skor chads2 atu 2  untuk pengobatan trombosis vena dvt  xarelto membantu mencegah pembekuan darah denyut jantung tidak teratur fibrilasi atrium operasi pinggul lutut pengganti</t>
  </si>
  <si>
    <t>xarelto</t>
  </si>
  <si>
    <t>xarelto tablet rivaroxaban mengurangi resiko stroke embolus sistemik pasien fibrilasi atrium non valvular spaf riwayat stroke tia  skor chads2 atu 2  untuk pengobatan trombosis vena dvt  xarelto membantu mencegah pembekuan darah denyut jantung tidak teratur fibrilasi atrium operasi pinggul lutut pengganti</t>
  </si>
  <si>
    <t>capsinat forte sirup amoxicillin trihydrate kombinasipotassium clavulanate with silicon dioxide pengobatan jangka pendek infeksi saluran nafas  infeksi saluran kemih kelamin  infeksi kulit jaringan lunak  osteomielitis radang sumsum tulang  septikemia keracu darah bakteri patogenik zat  zat dihasilkan bakteri  peritonitis radang selaput perut</t>
  </si>
  <si>
    <t>DKL0306502538A1</t>
  </si>
  <si>
    <t>Etamox 125 mg Sirup 60 ml</t>
  </si>
  <si>
    <t>Rp3.900 - Rp9.200</t>
  </si>
  <si>
    <t>PENGGUNAAN OBAT INI HARUS SESUAI DENGAN PETUNJUK DOKTER. Setelah makan</t>
  </si>
  <si>
    <t>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t>
  </si>
  <si>
    <t>infeksi kulit jaringan lunak staphylococcus penghasil penisilase , streptococcus , e  coli  infeksi saluran pernafasan h  influenzae , streptococcus , s  pneumoniae , staphylococcus penghasil penisilase , e  coli  infeksi saluran genitourinary e  coli , p  mirabilis streptococcus faecalis  gonore n  gonorrhoae penghasil penisilinase</t>
  </si>
  <si>
    <t>etamox sirup amoxicillin trihydrate infeksi kulit jaringan lunak staphylococcus penghasil penisilase  streptococcus  e  coli  infeksi saluran pernafasan h  influenzae  streptococcus  s  pneumoniae  staphylococcus penghasil penisilase  e  coli  infeksi saluran genitourinary e  coli  p  mirabilis streptococcus faecalis  gonore n  gonorrhoae penghasil penisilinase</t>
  </si>
  <si>
    <t>DKL2142801529A1</t>
  </si>
  <si>
    <t>Econazine Krim 10 g</t>
  </si>
  <si>
    <t>Rp29.600 - Rp42.000</t>
  </si>
  <si>
    <t>Dioleskan tipis ke daerah yang terinfeksi dan kulit disekitarnya tergantung pada kondisi keparahan. Jika tidak ada perbaikan setelah empat minggu, pengobatan harus ditinjau kembali.</t>
  </si>
  <si>
    <t>PENGGUNAAN OBAT INI HARUS SESUAI DENGAN PETUNJUK DOKTER. Obat dapat dioleskan 1-2 kali sehari</t>
  </si>
  <si>
    <t>INFORMASI OBAT INI HANYA UNTUK KALANGAN MEDIS. Pengobatan luar (dioles ke kulit) jangka pendek dari infeksi jamur tinea pedis, tinea cruris, tinea corporis yang disebabkan oleh Trichophytes rubrum, Trichophyton mentagrophytes, Epidermophyton floccosum, dan Microspoporum canis, tinea versicolor, disebabkan oleh Malassezia furfur, dan untuk kandiasis di organ genital yang disebabkan oleh Candida albicans yang disertai dengan radang.</t>
  </si>
  <si>
    <t>Dus, 1 tube@ 10 mg</t>
  </si>
  <si>
    <t>Pasien yang memiliki riwayat hipersensitivitas terhadap econazole nitrate, triamcinolone acetonide, kortikosteroid lain, atau golongan imidazole atau komponen lainnya.</t>
  </si>
  <si>
    <t>HARUS DENGAN RESEP DOKTER. Jika iritasi atau sensitivitas terjadi, pengobatan harus dihentikan. Jangan gunakan pada anak di bawah usia 2 tahun kecuali atas saran dan pengawasan dokter. Hindari kontak dengan mata dan membran mukosa (untuk pemakaian luar).</t>
  </si>
  <si>
    <t>triamcinolone acetonide econazole nitrate</t>
  </si>
  <si>
    <t>pengobatan dioles kulit jangka pendek infeksi jamur tinea pedis , tinea cruris , tinea corporis disebabkan trichophytes rubrum , trichophyton mentagrophytes , epidermophyton floccosum , microspoporum canis , tinea versicolor , disebabkan malassezia furfur , kandiasis organ genital disebabkan candida albicans disertai radang</t>
  </si>
  <si>
    <t>econazine</t>
  </si>
  <si>
    <t>econazine krim triamcinolone acetonide econazole nitrate pengobatan dioles kulit jangka pendek infeksi jamur tinea pedis  tinea cruris  tinea corporis disebabkan trichophytes rubrum  trichophyton mentagrophytes  epidermophyton floccosum  microspoporum canis  tinea versicolor  disebabkan malassezia furfur  kandiasis organ genital disebabkan candida albicans disertai radang</t>
  </si>
  <si>
    <t>TR205601521</t>
  </si>
  <si>
    <t>Tanqa Essential Cajuput Oil 100 ml</t>
  </si>
  <si>
    <t>CAJUPUT OIL</t>
  </si>
  <si>
    <t>Rp28.900 - Rp37.800</t>
  </si>
  <si>
    <t>Gosoklah pada tempat yang sakit secara merata sampai terasa hangat dan nyaman, atau campurkan beberapa tetes Minyak Ekaliptus Kayu Putih ini dengan air panas dan hiruplah uapnya.</t>
  </si>
  <si>
    <t>Mengobati laryngitis dan sakit tenggorokan. Merupakan pilihan yang tepat dalam kondisi dingin, flu, asma dan pengobatan rematik. Minyak ini tidak hanya efektif untuk mencegah flu, tapi juga untuk mengatasi kondisi sakit, seperti cedera olahraga, kekakuan otot, arthisis, rematik, asam urat, neurologi, kholik dan kram akibat mensturasi dan masalah usu</t>
  </si>
  <si>
    <t>mengobati laryngitis sakit tenggorokan  merupakan pilihan kondisi dingin , flu , asma pengobatan rematik  minyak tidak efektif mencegah flu , mengatasi kondisi sakit , cedera olahraga , kekakuan otot , arthisis , rematik , asam urat , neurologi , kholik kram akibat mensturasi usu</t>
  </si>
  <si>
    <t>tanqa essential cajuput oil</t>
  </si>
  <si>
    <t>tanqa essential cajuput oil minyak cajuput oil mengobati laryngitis sakit tenggorokan  merupakan pilihan kondisi dingin  flu  asma pengobatan rematik  minyak tidak efektif mencegah flu  mengatasi kondisi sakit  cedera olahraga  kekakuan otot  arthisis  rematik  asam urat  neurologi  kholik kram akibat mensturasi usu</t>
  </si>
  <si>
    <t>alletrol compositum eye drop tetes dexamethasone sodium phosphate neomycin sulfate polymyxin b sulfate peradangan mata disertai infeksi bakteri  chronic anterior uveitis luka kornea disebabkan bahan kimia  radiasi  iritasi termis penetrasi benda  benda asing  inflamasi okuler palpebrat bulbar conjunctiva  kornea anterior segment</t>
  </si>
  <si>
    <t>DKL1901709438A1</t>
  </si>
  <si>
    <t>Betamox 125 mg/5 ml Dry Syrup 60 ml</t>
  </si>
  <si>
    <t>PENGGUNAAN OBAT INI HARUS SESUAI DENGAN PETUNJUK DOKTER. Dewasa : 250-500 mg tiap 8 jam, Anak : 20 mg/kg BB/hari terbagi tiap 8 jam, Infeksi berat : dosis ganda, GO akut : 2-3 dosis tunggal</t>
  </si>
  <si>
    <t>betamox</t>
  </si>
  <si>
    <t>betamox sirup amoxicillin trihydrate infeksi kulit jaringan lunak staphylococcus penghasil penisilase  streptococcus  e  coli  infeksi saluran pernafasan h  influenzae  streptococcus  s  pneumoniae  staphylococcus penghasil penisilase  e  coli  infeksi saluran genitourinary e  coli  p  mirabilis streptococcus faecalis  gonore n  gonorrhoae penghasil penisilinase</t>
  </si>
  <si>
    <t>Kasa Husada Kapas Bola Isi 100</t>
  </si>
  <si>
    <t>Rp12.000 - Rp20.500</t>
  </si>
  <si>
    <t>Kapas berbentuk bola/bulat ini sangat praktis digunakan untuk perawatan kecantikan, perawatan bayi, serta aplikasi medis. Terbuat dari katun 100% yang berserat panjang dan berdaya serap tinggi. Produk ini aman digunakan karena tidak mengandung bahan pemutih sintetis (bahan pemutih sintetis mengandung merkuri yang dapat menyebabkan kanker dan berpendar di bawah sinar ultra violet).</t>
  </si>
  <si>
    <t>100 pcs</t>
  </si>
  <si>
    <t>kapas berbentuk bola bulat praktis perawatan kecantikan , perawatan bayi , aplikasi medis  terbuat katun 100 berserat berdaya serap  produk aman tidak mengandung bahan pemutih sintetis bahan pemutih sintetis mengandung merkuri menyebabkan kanker berpendar sinar ultra violet</t>
  </si>
  <si>
    <t>husada kapas bola isi</t>
  </si>
  <si>
    <t>husada kapas bola isi larutan povidoneiodine kapas berbentuk bola bulat praktis perawatan kecantikan  perawatan bayi  aplikasi medis  terbuat katun 100 berserat berdaya serap  produk aman tidak mengandung bahan pemutih sintetis bahan pemutih sintetis mengandung merkuri menyebabkan kanker berpendar sinar ultra violet</t>
  </si>
  <si>
    <t>DKI0951602517A1</t>
  </si>
  <si>
    <t>Xarelto 10 mg 10 Tablet</t>
  </si>
  <si>
    <t>Rp401.000 - Rp495.500</t>
  </si>
  <si>
    <t>rivaroxaban (micronized)</t>
  </si>
  <si>
    <t>xarelto tablet rivaroxaban micronized mengurangi resiko stroke embolus sistemik pasien fibrilasi atrium non valvular spaf riwayat stroke tia  skor chads2 atu 2  untuk pengobatan trombosis vena dvt  xarelto membantu mencegah pembekuan darah denyut jantung tidak teratur fibrilasi atrium operasi pinggul lutut pengganti</t>
  </si>
  <si>
    <t>sulfacetamide sodium prednisolone sodium phosphate</t>
  </si>
  <si>
    <t>cendo cetapred eye tetes sulfacetamide sodium prednisolone sodium phosphate kontrol topikal alergi penyakit radang mata membutuhkan efek antibakterial  blefaritis alergi radang kelopak mata akibat alergi  konjungtivitis alergi radang selaput ikat mata akibat alergi  benda asing  abrasi lecet terkikisnya selaput bening laserasi robek</t>
  </si>
  <si>
    <t>Cendo Augentonic Minidose 0.6 ml</t>
  </si>
  <si>
    <t>Teteskan pada setiap mata</t>
  </si>
  <si>
    <t>Teteskan 1-2 tetes pada setiap mata, 3-4 kali per hari.</t>
  </si>
  <si>
    <t>Obat tetes mata yang digunakan untuk mengobati mata merah atau peradangan akibat iritasi minor mata seperti yang disebabkan oleh cuaca dingin, angin, sinar matahari, aktifitas berenang, debu, asap, polusi udara, atau akibat pemakaian lensa kontak, menguatkan pandangan, mengurangi simptom mata letih setelah membaca atau menonton televisi.</t>
  </si>
  <si>
    <t>Ophthalmic (larutan 10%): Closed Angle Glaucoma. Anak-anak dan orang tua.</t>
  </si>
  <si>
    <t>Awas obat keras ! Hanya untuk bagian luar dari badan. Narrow-angle glaucoma. Anak-anak. Lanjut usia. Ibu hamil dan menyusui.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</si>
  <si>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obat tetes mata mengobati mata merah peradangan akibat iritasi minor mata disebabkan cuaca dingin , angin , sinar matahari , aktifitas berenang , debu , asap , polusi udara , akibat pemakaian lensa kontak , menguatkan pandangan , mengurangi simptom mata letih membaca menonton televisi</t>
  </si>
  <si>
    <t>cendo augentonic minidose</t>
  </si>
  <si>
    <t>cendo augentonic minidose tetes phenylephrine hydrochloride obat tetes mata mengobati mata merah peradangan akibat iritasi minor mata disebabkan cuaca dingin  angin  sinar matahari  aktifitas bereg  debu  asap  polusi udara  akibat pemakaian lensa kontak  menguatkan pandangan  mengurangi simptom mata letih membaca menonton televisi</t>
  </si>
  <si>
    <t>DKI1808900417B1</t>
  </si>
  <si>
    <t>Lixiana 30 mg 14 Tablet</t>
  </si>
  <si>
    <t>Rp424.500 - Rp445.800</t>
  </si>
  <si>
    <t>Dapat sebelum dan sesudah makan.</t>
  </si>
  <si>
    <t>PENGGUNAAN OBAT INI HARUS SESUAI DENGAN PETUNJUK DOKTER. Untuk mengurangi risiko stroke dan emboli sistemik pada pasien dewasa dengan atrial fibrilasi nonvalvuler/nonvalvular atrial fibrillation (NVAF) dengan skor CHADS2 setidaknya 2 : Dosis yang direkomendasikan adalah 60 mg sekali sehari. Pengobatan trombosis vena dalam / deep vein thrombosis (DVT) dan emboli paru / pulmonary embolism (PE) pada pasien dewasa : Dosis yang direkomendasikan adalah 60 mg sekali sehari setelah penggunaan awal antikoagulan parenteral selama 5-10 hari.</t>
  </si>
  <si>
    <t>INFORMASI OBAT INI HANYA UNTUK KALANGAN MEDIS. Untuk mengurangi risiko stroke dan emboli sistemik pada pasien dewasa dengan atrial fibrilasi nonvalvuler/nonvalvular atrial fibrillation (NVAF) dengan skor CHADS2 setidaknya 2. Pengobatan trombosis vena dalam/deep vein thrombosis (DVT) dan emboli paru/pulmonary embolism (PE) pada pasien dewasa setelah terapi inisial 5 - 10 hari dengan antikoagulan parenteral.</t>
  </si>
  <si>
    <t>Hipersensitif terhadap zat aktif atau ke salah satu eksipien. Perdarahan aktif yang bermakna secara klinis. Penyakit hati terkait dengan koagulopati dan risiko perdarahan klinis yang relevan. Adanya lesi atau kondisi yang dianggap sebagai risiko yang bermakna untuk perdarahan mayor. Hipertensi berat yang tidak terkontrol. Pengobatan bersamaan dengan antikoagulan lain. Kehamilan dan menyusui.</t>
  </si>
  <si>
    <t>HARUS DENGAN RESEP DOKTER. Tidak direkomendasikan penggunaannya pada pasien dengan penyakit ginjal tahap akhir, dialisis, atau pada pasien dengan gangguan fungsi hati berat. Penggunaan tidak direkomendasikan pada pasien katup jantung prostetik dan stenosis mitral sedang hingga berat. Digunakan dengan hati-hati pada pasien dengan gangguan fungsi hati ringan atau sedang.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</si>
  <si>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untuk mengurangi risiko stroke embolus sistemik pasien dewasa atrial fibrilasi nonvalvuler nonvalvular atrial fibrillation nvaf skor chads2 2  pengobatan trombosis vena deep vein thrombosis dvt embolus paru pulmonary embolism pe pasien dewasa terapi inisial 5 - 10 antikoagulan parenteral</t>
  </si>
  <si>
    <t>lixiana tablet edoxaban tosylate untuk mengurangi risiko stroke embolus sistemik pasien dewasa atrial fibrilasi nonvalvuler nonvalvular atrial fibrillation nvaf skor chads2 2  pengobatan trombosis vena deep vein thrombosis dvt embolus paru pulmonary embolism pe pasien dewasa terapi inisial 5  10 antikoagulan parenteral</t>
  </si>
  <si>
    <t>DKI1251602517C1</t>
  </si>
  <si>
    <t>Xarelto 20 mg 14 Tablet</t>
  </si>
  <si>
    <t>Rp581.400 - Rp639.500</t>
  </si>
  <si>
    <t>1 Dos Isi 2 Strip X 14 Tablet</t>
  </si>
  <si>
    <t>lixiana tablet edoxaben tosylate untuk mengurangi risiko stroke embolus sistemik pasien dewasa atrial fibrilasi nonvalvuler nonvalvular atrial fibrillation nvaf skor chads2 2  pengobatan trombosis vena deep vein thrombosis dvt embolus paru pulmonary embolism pe pasien dewasa terapi inisial 5  10 antikoagulan parenteral</t>
  </si>
  <si>
    <t>DBL8831501717A1</t>
  </si>
  <si>
    <t>Farbion 10 Tablet</t>
  </si>
  <si>
    <t>Rp9.800 - Rp16.900</t>
  </si>
  <si>
    <t>2-3 tablet sehari.</t>
  </si>
  <si>
    <t>Polineuritis (degenerasi sarasaraf tepi secara serentak dan simetris), neuralgia (nyeri pada saraf), kelumpuhan otot-otot wajah (karena gangguan faal saraf wajah), gangguan sirkulasi darah pada pembuluh darah tepi, sakit pinggang, herpes zoster, sindroma leher, rematisme kronis, hiperemesis gravidarum (muntah-muntah selama 3 bulan pertama kehamilan), polineuropati diabetik dan anemia.</t>
  </si>
  <si>
    <t>polineuritis degenerasi sarasaraf tepi serentak simetris , neuralgia nyeri saraf , kelumpuhan otot - otot wajah gangguan faal saraf wajah , gangguan sirkulasi darah pembuluh darah tepi , sakit pinggang , herpes zoster , sindroma leher , rematisme kronis , hiperemesis gravidarum muntah - muntah 3 kehamilan , polineuropati diabetik anemia</t>
  </si>
  <si>
    <t>farbion</t>
  </si>
  <si>
    <t>farbion tablet cyanocobalamin polineuritis degenerasi sarasaraf tepi serentak simetris  neuralgia nyeri saraf  kelumpuhan otot  otot wajah gangguan faal saraf wajah  gangguan sirkulasi darah pembuluh darah tepi  sakit pinggang  herpes zoster  sindroma leher  rematisme kronis  hiperemesis gravidarum muntah  muntah 3 kehamilan  polineuropati diabetik anemia</t>
  </si>
  <si>
    <t>thiamine mononitrate cyanocobalamin pyridoxine hydrochloride</t>
  </si>
  <si>
    <t>biomex tablet thiamine mononitrate cyanocobalamin pyridoxine hydrochloride anemia pernisiosa  megaloblastik hiperkromik  pasca operasi lambung  astenia  neuritis  polineuritis    paralisis  pasca infeksi pasca poliomielitis  skiatika  lubago  neuritis optika  neuralgia  neuropati diabetika  neuritis kehamilan  parestesia  pusing  emesis gravidarum  neuritis reumatik  keracu alkohol  depresi psikis  delirium tremens</t>
  </si>
  <si>
    <t>GKL2005063917A2</t>
  </si>
  <si>
    <t>Ticagrelor 90 mg 10 Tablet</t>
  </si>
  <si>
    <t>Rp109.700 - Rp113.700</t>
  </si>
  <si>
    <t>PENGGUNAAN OBAT INI HARUS SESUAI DENGAN PETUNJUK DOKTER. Dosis awal : 180 mg diberikan dalam dosis tunggal, dilanjutkan dengan 90 mg, 2x sehari dengan dosis pemeliharaan ASA 75-100 mg setiap hari</t>
  </si>
  <si>
    <t>INFORMASI OBAT INI HANYA UNTUK KALANGAN MEDIS. Pemberian bersama dengan asam asetilsalisilat untuk pencegahan kejadian trombosis (kematian akibat gangguan Kardio Vaskular, infark miokard, &amp; stroke) pada pasien dengan sindrom koroner akut (angina tak stabil, infark miokard tanpa peningkatan segmen ST/NSTEMI &amp; infark miokad dengan peningkatan segmen ST/STEMI)</t>
  </si>
  <si>
    <t>DKL1325103517A1</t>
  </si>
  <si>
    <t>Actosmet 15/850 mg 7 Tablet</t>
  </si>
  <si>
    <t>Rp57.800 - Rp103.000</t>
  </si>
  <si>
    <t>PENGGUNAAN OBAT INI HARUS SESUAI DENGAN PETUNJUK DOKTER. 1 tablet 1 atau 2 x/hari.</t>
  </si>
  <si>
    <t>INFORMASI OBAT INI HANYA UNTUK KALANGAN MEDIS. Terapi penunjang tambahan pada pengaturan makanan dan latihan fisik untuk memperbaiki kontrol glukosa pada pasien diabetes mellitus tipe 2 yang kadar gula darahnya tidak terkontrol dengan adekuat dengan metformin HCl monoterapi atau pioglitazone monoterapi. Dapat juga digunakan bagi pasien diabetes mellitus tipe 2 yang telah mendapatkan terapi kombinasi pioglitazone dan metformin HCl, dalam tablet terpisah.</t>
  </si>
  <si>
    <t>Dus, 2 blister @ 7 Tablet salut selaput</t>
  </si>
  <si>
    <t>Hipersensitivitas. Gagal jantung atau ada riwayat gagal jantung, kegagalan pernapasan, infark miokard yang baru terjadi, syok</t>
  </si>
  <si>
    <t>DKL1818830801A1</t>
  </si>
  <si>
    <t>Biolincom 500 mg 10 Kapsul</t>
  </si>
  <si>
    <t>Diberikan ketika perut kosong 1 jam sebelum atau 2 jam setelah makan</t>
  </si>
  <si>
    <t>PENGGUNAAN OBAT INI HARUS SESUAI DENGAN PETUNJUK DOKTER. Dewasa: diminum 3 - 4 kali sehari sebanyak 1 kapsul. Anak usia &gt; 1 bulan: 30 - 60 mg per kilogram per berat badan perhari dengan dosis terbagi dalam 3 sampai 4 dosis. Jika terjadi diare selama pengobatan, hentikan pemberian obat ini.</t>
  </si>
  <si>
    <t>INFORMASI OBAT INI HANYA UNTUK KALANGAN MEDIS. Membantu mengobati infeksi serius yang disebabkan Streptococcus, Pneumococcus, dan Staphylococcus. Lincomycin digunakan untuk infeksi sebagai berikut: - Saluran nafas akut: tonsilitis, faringitis,otitis media,sinusitis,scarlet fever - Saluran nafas bawah: bronkitis akut dan kronis dan penumonia - Kulit dan jaringan lunak: jerawat dan luka, impetigo, furunkel,selulitis - Tulang dan sendi: osteomielitis dan arthritis septik.</t>
  </si>
  <si>
    <t>HARUS DENGAN RESEP DOKTER. Diare,kolitis, riwayat asma atau alergi,wanita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</si>
  <si>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membantu mengobati infeksi serius disebabkan streptococcus , pneumococcus , staphylococcus  lincomycin infeksi - saluran nafas akut tonsilitis , faringitis , otitis medium , sinusitis , scarlet fever - saluran nafas bronkitis akut kronis penumonia - kulit jaringan lunak jerawat luka , impetigo , furunkel , selulitis - tulang sendi osteomielitis arthritis septik</t>
  </si>
  <si>
    <t>biolincom kapsul lincomycin hydrochloride membantu mengobati infeksi serius disebabkan streptococcus  pneumococcus  staphylococcus  lincomycin infeksi  saluran nafas akut tonsilitis  faringitis  otitis medium  sinusitis  scarlet fever  saluran nafas bronkitis akut kronis penumonia  kulit jaringan lunak jerawat luka  impetigo  furunkel  selulitis  tulang sendi osteomielitis arthritis septik</t>
  </si>
  <si>
    <t>DKL1122721438A1</t>
  </si>
  <si>
    <t>Trozin Dry Sirup 15 ml</t>
  </si>
  <si>
    <t>Rp111.000 - Rp119.600</t>
  </si>
  <si>
    <t>Durasi pemberian adalah 2-5 hari. Sebelum makan</t>
  </si>
  <si>
    <t>PENGGUNAAN OBAT INI HARUS SESUAI DENGAN PETUNJUK DOKTER. Orang dewasa untuk pemberian oral adalah 0,25-1 g 1 waktu / hari</t>
  </si>
  <si>
    <t>DKI1635301117A1</t>
  </si>
  <si>
    <t>Brilinta 90 mg 14 Tablet</t>
  </si>
  <si>
    <t>Rp282.500 - Rp353.700</t>
  </si>
  <si>
    <t>DKL2005063817A1</t>
  </si>
  <si>
    <t>Briclot 90 mg 10 Tablet</t>
  </si>
  <si>
    <t>Rp116.600 - Rp140.800</t>
  </si>
  <si>
    <t>Dapat dikonsumsi dengan makanan ataupun tanpa makanan</t>
  </si>
  <si>
    <t>Pemberian bersama dengan asam asetilsalisilat untuk pencegahan kejadian trombosis (kematian akibat gangguan Kardio Vaskular, infark miokard, &amp; stroke) pada pasien dengan sindrom koroner akut (angina tak stabil, infark miokard tanpa peningkatan segmen ST/NSTEMI &amp; infark miokad dengan peningkatan segmen ST/STEMI)</t>
  </si>
  <si>
    <t>DKL2031546617A1</t>
  </si>
  <si>
    <t>Clotaire 90 mg 10 Tablet</t>
  </si>
  <si>
    <t>Dapat dikonsumsi dengan makanan ataupun tanpa makanan.</t>
  </si>
  <si>
    <t>PENGGUNAAN OBAT INI HARUS SESUAI DENGAN PETUNJUK DOKTER. Dosis awal 180 mg oral setelah kejadian ACS. Lanjutkan dengan 90 mg dua kali sehari selama tahun pertama setelah kejadian ACS. Setelah 1 tahun, berikan 60 mg dua kali sehari.</t>
  </si>
  <si>
    <t>Nexcare Acne Cover Thin Patch</t>
  </si>
  <si>
    <t>Rp35.900 - Rp48.600</t>
  </si>
  <si>
    <t>Bersihkan dan keringkan area jerawat pakai Acne Cover selama 8 jam lepas pada saat cairan jerawat terserap oleh Acne Cover Acne Cover berubah menjadi putih</t>
  </si>
  <si>
    <t>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t>
  </si>
  <si>
    <t>Dus @ 7 Pads</t>
  </si>
  <si>
    <t>hilangkan jerawat seketika 8 jam nonchemical hydrocolloid dressing memiliki lapisan berbahan dasar air bebas bahan kimia aman jenis kulit kulit sensitif efektif menyerap mengeluarkan isi jerawat 8 jam steril memiliki lapisan kedap air melindungi jerawat infeksi</t>
  </si>
  <si>
    <t>nexcare acne cover thin patch</t>
  </si>
  <si>
    <t>nexcare acne cover thin patch tablet tizanidine hydrochloride hilangkan jerawat seketika 8 jam nonchemical hydrocolloid dressing memiliki lapisan berbahan dasar air bebas bahan kimia aman jenis kulit kulit sensitif efektif menyerap mengeluarkan isi jerawat 8 jam steril memiliki lapisan kedap air melindungi jerawat infeksi</t>
  </si>
  <si>
    <t>DKL1033523423A1</t>
  </si>
  <si>
    <t>Sequest Powder</t>
  </si>
  <si>
    <t>Rp19.100 - Rp27.400</t>
  </si>
  <si>
    <t>diberikan bersama makanan : Berikan sblm atau sesudah makan</t>
  </si>
  <si>
    <t>PENGGUNAAN OBAT INI HARUS SESUAI DENGAN PETUNJUK DOKTER. Dewasa : Awal 4 g 2 x/hr, ssdh 2-4 minggu dosis dpt ditingkatkan mjd 8 g 2 x/hr (pagi &amp; sore). Maks: 24 g/hr</t>
  </si>
  <si>
    <t>tambahan untuk menurunkan kadar kolesterol serum pada pasien dengan hiperkolesterolemia primer yang tidak menunjukkan respon terhadap kontrol makanan, menurunkan kadar kolesterol pada pasien dengan hiperkolesterolemia &amp; hipertrigliseridemia, mengurangi pruritus pada obstruksi parsial pada saluran empedu, terapi tambahan dengan terapi rehidrasi pada diare krn malabsorpsi asam empedu, re5eksi urus, penyakit Chron, vagotomi, &amp; neuropati vagal diabetikum</t>
  </si>
  <si>
    <t>Dus, 20 Sachet @ 5 gram</t>
  </si>
  <si>
    <t>Pasien dengan gangguan saluran empedu total.</t>
  </si>
  <si>
    <t>HARUS DENGAN RESEP DOKTER. Dapat menghambat absorpsi lemak &amp; vitamin larut lemak (A, D, E, K). Kategori Kehamilan : C</t>
  </si>
  <si>
    <t>colestyramine</t>
  </si>
  <si>
    <t>tambahan menurunkan kadar kolesterol serum pasien hiperkolesterolemia primer tidak respon kontrol makanan , menurunkan kadar kolesterol pasien hiperkolesterolemia hipertrigliseridemia , mengurangi pruritus obstruksi parsial saluran empedu , terapi tambahan terapi rehidrasi diare krn malabsorpsi asam empedu , re5eksi urus , penyakit chron , vagotomi , neuropati vagal diabetikum</t>
  </si>
  <si>
    <t>sequest</t>
  </si>
  <si>
    <t>sequest powder colestyramine tambahan menurunkan kadar kolesterol serum pasien hiperkolesterolemia primer tidak respon kontrol maka  menurunkan kadar kolesterol pasien hiperkolesterolemia hipertrigliseridemia  mengurangi pruritus obstruksi parsial saluran empedu  terapi tambahan terapi rehidrasi diare krn malabsorpsi asam empedu  re5eksi urus  penyakit chron  vagotomi  neuropati vagal diabetikum</t>
  </si>
  <si>
    <t>DKL0406502704A1</t>
  </si>
  <si>
    <t>Etabiotic Forte 500 mg 10 Kaplet</t>
  </si>
  <si>
    <t>Rp8.900 - Rp9.800</t>
  </si>
  <si>
    <t>PENGGUNAAN OBAT INI HARUS SESUAI DENGAN PETUNJUK DOKTER. Dewasa dan anak-anak dengan BB &gt;20 kg : 3-4 kali sehari 250-500 mg. Anak-anak dengan BB &lt;20 kg : 50-100 mg/kg BB dibagi dalam 4 dosis setiap 6 jam. Dosis tinggi diberikan untuk infeksi yang lebih berat. Infeksi gonore yang terkomplikasi : 3,5 g Ampisilin+1 g probenesid sebagai dosis tunggal. Diminum 1 jam sebelum makan</t>
  </si>
  <si>
    <t>Infeksi yang disebabkan oleh bakteri Gram negatif yang peka terhadap ampisilin infeksi saluran pernafasan bronkopneumonia, otitis media, infeksi saluran kemih seperti pielonefritis akut, kronik, sistitis, gonore yang tidak terkomplikasi, infeksi alat kelamin wanita, seperti aborsiseptis, adniksitis. Endometritis, parametritis, pelviperitonitis, demam pueperal. Infeksi saluran pencernaan seperti shigellosis, salmonelosis</t>
  </si>
  <si>
    <t>infeksi disebabkan bakteri gram negatif peka ampisilin infeksi saluran pernafasan bronkopneumonia , otitis medium , infeksi saluran kemih pielonefritis akut , kronik , sistitis , gonore tidak terkomplikasi , infeksi alat kelamin wanita , aborsiseptis , adniksitis  endometritis , parametritis , pelviperitonitis , demam pueperal  infeksi saluran pencernaan shigellosis , salmonelosis</t>
  </si>
  <si>
    <t>etabiotic forte</t>
  </si>
  <si>
    <t>etabiotic forte kaplet ampicillin trihydrate infeksi disebabkan bakteri gram negatif peka ampisilin infeksi saluran pernafasan bronkopneumonia  otitis medium  infeksi saluran kemih pielonefritis akut  kronik  sistitis  gonore tidak terkomplikasi  infeksi alat kelamin wanita  aborsiseptis  adniksitis  endometritis  parametritis  pelviperitonitis  demam pueperal  infeksi saluran pencernaan shigellosis  salmonelosis</t>
  </si>
  <si>
    <t>DKL2131546617B1</t>
  </si>
  <si>
    <t>Clotaire 60 mg 10 Tablet</t>
  </si>
  <si>
    <t>Rp115.400 - Rp142.100</t>
  </si>
  <si>
    <t>DKL0904426709A1</t>
  </si>
  <si>
    <t>Pionix M 500 mg 10 Tablet</t>
  </si>
  <si>
    <t>Rp81.300 - Rp130.300</t>
  </si>
  <si>
    <t>PENGGUNAAN OBAT INI HARUS SESUAI DENGAN PETUNJUK DOKTER. Dosis awal: 1-2 kali per hari 1 tablet 15 mg/850 mg.</t>
  </si>
  <si>
    <t>Gagal jantung atau riwayat gagal jantung (NYHA stadium I-IV)</t>
  </si>
  <si>
    <t>GKL9805024110A1</t>
  </si>
  <si>
    <t>Ketoconazole 200 mg 10 Tablet</t>
  </si>
  <si>
    <t>Rp6.000 - Rp7.200</t>
  </si>
  <si>
    <t>PENGGUNAAN OBAT INI HARUS SESUAI DENGAN PETUNJUK DOKTER. Infeksi jamur sistemik: Dewasa : 200 mg 1 x sehari. Jika respon tidak ada, dapat ditingkatkan menjadi 400 mg. Anak &gt; 2 tahun : 3,3-6,6 mg/kg 1 x sehari. Sindrom Crushing: Dewasa dan anak &gt; 12 tahun: Dosis awal 400-600 mg, dapat ditingkatkan 200 mg per hari. Dosis pemeliharaan: 600-800 mg per hari (Max. 1200 mg per hari). Semua dosis diberikan dalam 2 atau 3 dosis terbagi.</t>
  </si>
  <si>
    <t>INFORMASI OBAT INI HANYA UNTUK KALANGAN MEDIS. Mukosa sistemik, kandidiasis mukokutan resisten yang kronis, mukosa saluran cerna resisten serius, kandidiasis vaginal resisten yang kronis, infeksi dermatofita pada kulit atau kuku tangan (tidak pada kuku kaki), profilaksis mikosa pada pasien imunosupresan, kandidiasis mukokutan kronis yang tidak responsif terhadap nistatin dan obat-obat lain, infeksi mikosis sistemik (kandidiasis, paraksidioidomikasis, cocci dioidomycosis, hiptoplasmosis).</t>
  </si>
  <si>
    <t>HARUS DENGAN RESEP DOKTER. Hati-hati penggunaan pada pasien dengan aklorhidria, kanker prostat, infeksi SSP, insufisiensi adrenal, di bawah stres berkepanjangan (misalnya operasi besar, perawatan intensif), Anak-anak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</si>
  <si>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mukosa sistemik , kandidiasis mukokutan resisten kronis , mukosa saluran cerna resisten serius , kandidiasis vaginal resisten kronis , infeksi dermatofita kulit kuku tangan tidak kuku kaki , profilaksis mikosa pasien imunosupresan , kandidiasis mukokutan kronis tidak responsif nistatin obat - obat , infeksi mikosis sistemik kandidiasis , paraksidioidomikasis , cocci dioidomycosis , hiptoplasmosis</t>
  </si>
  <si>
    <t>ketoconazole tablet mukosa sistemik  kandidiasis mukokutan resisten kronis  mukosa saluran cerna resisten serius  kandidiasis vaginal resisten kronis  infeksi dermatofita kulit kuku tangan tidak kuku kaki  profilaksis mikosa pasien imunosupresan  kandidiasis mukokutan kronis tidak responsif nistatin obat  obat  infeksi mikosis sistemik kandidiasis  paraksidioidomikasis  cocci dioidomycosis  hiptoplasmosis</t>
  </si>
  <si>
    <t>Bigroot Nose Hygiene Ultra Gentle Baby 50 ml</t>
  </si>
  <si>
    <t>1. Buka tutupnya, pastikan nozzle bersih dan steril sebelum digunakan. 2. Posisikan nozzle di lubang hidung dan semprotkan secara perlahan selama 2-3 detik. 3. Diamkan sejenak, lalu hembuskan napas dari hidung agar kotoran dapat keluar.</t>
  </si>
  <si>
    <t>Pencuci hidung ini direkomendasikan untuk bayi usia 0-3 tahun, dengan frekuensi penggunaan 2-6 kali sehari.</t>
  </si>
  <si>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</si>
  <si>
    <t>mencegah sinus alergi , mencegah gangguan tht , mencegah gangguan pernapasan , membersihkan hidung kotoran infeksi , melembabkan hidung , memperbaiki jalan pernapasan  dilengkapi nozzle khusus menyemprotkan larutan butiran halus aman nyaman sehari -  berisi volume 50 ml , pemakaian 180 kali semprotan normal</t>
  </si>
  <si>
    <t>bigroot nose hygiene ultra gentle baby</t>
  </si>
  <si>
    <t>bigroot nose hygiene ultra gentle baby tablet guaifenesin mencegah sinus alergi  mencegah gangguan tht  mencegah gangguan pernapasan  membersihkan hidung kotoran infeksi  melembabkan hidung  memperbaiki jalan pernapasan  dilengkapi nozzle khusus menyemprotkan larutan butiran halus aman nyaman sehari   berisi volume 50 ml  pemakaian 180 kali semprotan normal</t>
  </si>
  <si>
    <t>cendo augentonic minidose tetes phenylephrine hydrochloride zinc sulfate heptahydrate obat tetes mata mengobati mata merah peradangan akibat iritasi minor mata disebabkan cuaca dingin  angin  sinar matahari  aktifitas bereg  debu  asap  polusi udara  akibat pemakaian lensa kontak  menguatkan pandangan  mengurangi simptom mata letih membaca menonton televisi</t>
  </si>
  <si>
    <t>bigroot nose hygiene ultra gentle baby  lemon oil mencegah sinus alergi  mencegah gangguan tht  mencegah gangguan pernapasan  membersihkan hidung kotoran infeksi  melembabkan hidung  memperbaiki jalan pernapasan  dilengkapi nozzle khusus menyemprotkan larutan butiran halus aman nyaman sehari   berisi volume 50 ml  pemakaian 180 kali semprotan normal</t>
  </si>
  <si>
    <t>bigroot nose hygiene ultra gentle baby tetes ofloxacin mencegah sinus alergi  mencegah gangguan tht  mencegah gangguan pernapasan  membersihkan hidung kotoran infeksi  melembabkan hidung  memperbaiki jalan pernapasan  dilengkapi nozzle khusus menyemprotkan larutan butiran halus aman nyaman sehari   berisi volume 50 ml  pemakaian 180 kali semprotan normal</t>
  </si>
  <si>
    <t>TI104342051</t>
  </si>
  <si>
    <t>Wellness E.P.O 60 Kapsul</t>
  </si>
  <si>
    <t>WELLNESS EPO (EVENING PRIMROSE OIL)</t>
  </si>
  <si>
    <t>Rp232.000 - Rp349.200</t>
  </si>
  <si>
    <t>1 softgel perhari</t>
  </si>
  <si>
    <t>Membantu menurunkan kadar kolesterol dan trigliserida tinggi dalam darah, serta menurunkan tekanan darah tinggi, Mencegah aterosklerosis (penyempitan pembuluh darah), baik untuk kesehatan organ-organ tubuh kulit, rambut, jantung, paru-paru, ginjal, dll), Membantu mengatasi masalah yang muncul pada persendian (rematik, dll), Membantu mengurangi gejala PMS dan menopause, memproduksi prostaglandin</t>
  </si>
  <si>
    <t>Hentikan pemakaian 2 pekan sebelum operasi karena meningkatkan risiko perdarahan.</t>
  </si>
  <si>
    <t>wellness epo (evening primrose oil)</t>
  </si>
  <si>
    <t>membantu menurunkan kadar kolesterol trigliserida darah , menurunkan tekanan darah , mencegah aterosklerosis penyempitan pembuluh darah , kesehatan organ - organ tubuh kulit , rambut , jantung , paru - paru , ginjal , dll , membantu mengatasi muncul persendian rematik , dll , membantu mengurangi gejala pms menopause , memproduksi prostaglandin</t>
  </si>
  <si>
    <t>wellness epo</t>
  </si>
  <si>
    <t>wellness epo kapsul wellness epo evening primrose oil membantu menurunkan kadar kolesterol trigliserida darah  menurunkan teka darah  mencegah aterosklerosis penyempitan pembuluh darah  kesehatan organ  organ tubuh kulit  rambut  jantung  paru  paru  ginjal  dll  membantu mengatasi muncul persendian rematik  dll  membantu mengurangi gejala pms menopause  memproduksi prostaglandin</t>
  </si>
  <si>
    <t>Thermedic 3 In 1 Pro-Wrap Heating Pad Light Combo Pw-140Lc</t>
  </si>
  <si>
    <t>Rp892.500 - Rp955.500</t>
  </si>
  <si>
    <t>Alat terapi panas multifungsi yang memiliki gelombang infrared yang bermanfaat untuk membantu melancarkan peredaran darah, meningkatkan metabolisme, mengurangi otot, mengurangi kekakuan pada sendi, mengurangi rasa nyeri dan mempercepat recovery. Alat ini dilengkapi dengan 3 level temperatur indikator dan memiliki fitur auto shut-off selama 30 menit.</t>
  </si>
  <si>
    <t>alat terapi panas multifungsi memiliki gelombang infrared bermanfaat membantu melancarkan peredaran darah , meningkatkan metabolisme , mengurangi otot , mengurangi kekakuan sendi , mengurangi nyeri mempercepat recovery  alat dilengkapi 3 level temperatur indikator memiliki fitur auto shut - off 30 menit</t>
  </si>
  <si>
    <t>thermedic in prowrap heating pad light combo pwlc</t>
  </si>
  <si>
    <t>thermedic in prowrap heating pad light combo pwlc larutan povidoneiodine alat terapi panas multifungsi memiliki gelombang infrared bermanfaat membantu melancarkan peredaran darah  meningkatkan metabolisme  mengurangi otot  mengurangi kekakuan sendi  mengurangi nyeri mempercepat recovery  alat dilengkapi 3 level temperatur indikator memiliki fitur auto shut  off 30 menit</t>
  </si>
  <si>
    <t>Betadine Plester 1 Strip</t>
  </si>
  <si>
    <t>Tempelkan pada luka setelah luka dibersihkan</t>
  </si>
  <si>
    <t>Betadine plester antiseptik dengan bahan kain yang elastis cocok dipakai untuk semua luka pada permukaan kulit, persendian &amp; bagian yang aktif bergerak. Dengan perekat berpori &amp; daya rekat yang kuat, melekat erat pada permukaan kulit yang kering &amp; bersih serta kulit dapat bernafas dengan leluasa. Mengandung Povidone Iodine ointment 10% setara dengan iodine 1% untuk mencegah timbulnya infeksi pada luka.</t>
  </si>
  <si>
    <t>Betadine Plester Antiseptik Strip X 100'S</t>
  </si>
  <si>
    <t>betadine plester antiseptik bahan kain elastis cocok dipakai luka permukaan kulit , persendian aktif bergerak  dengan perekat berpori daya rekat kuat , melekat erat permukaan kulit kering bersih kulit bernafas leluasa  mengandung povidone iodine ointment 10 setara iodine 1 mencegah timbulnya infeksi luka</t>
  </si>
  <si>
    <t>betadine plester strip</t>
  </si>
  <si>
    <t>betadine plester strip larutan povidoneiodine betadine plester antiseptik bahan kain elastis cocok dipakai luka permukaan kulit  persendian aktif bergerak  dengan perekat berpori daya rekat kuat  melekat erat permukaan kulit kering bersih kulit bernafas leluasa  mengandung povidone iodine ointment 10 setara iodine 1 mencegah timbulnya infeksi luka</t>
  </si>
  <si>
    <t>DKL9909210110A1</t>
  </si>
  <si>
    <t>Solinfec 200 mg 10 Tablet</t>
  </si>
  <si>
    <t>Rp13.400 - Rp26.900</t>
  </si>
  <si>
    <t>solinfec</t>
  </si>
  <si>
    <t>solinfec tablet ketoconazole mukosa sistemik  kandidiasis mukokutan resisten kronis  mukosa saluran cerna resisten serius  kandidiasis vaginal resisten kronis  infeksi dermatofita kulit kuku tangan tidak kuku kaki  profilaksis mikosa pasien imunosupresan  kandidiasis mukokutan kronis tidak responsif nistatin obat  obat  infeksi mikosis sistemik kandidiasis  paraksidioidomikasis  cocci dioidomycosis  hiptoplasmosis</t>
  </si>
  <si>
    <t>Bigroot Nose Hygiene Stuff Relief 50 ml</t>
  </si>
  <si>
    <t>1. Buka tutupnya, pastikan nozzle dalam keadaan bersih dan steril sebelum digunakan. 2. Posisikan nozzle di lubang hidung dan semprotkan secara perlahan selama 2-3 detik. 3. Diamkan sejen</t>
  </si>
  <si>
    <t>Pencuci hidung ini direkomendasikan untuk dewasa dan anak-anak di atas usia 3 tahun, dengan frekuensi penggunaan 2-6 kali sehari.</t>
  </si>
  <si>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</si>
  <si>
    <t>mencegah sinus alergi , mencegah gangguan tht , mencegah gangguan pernapasan , membersihkan hidung kotoran infeksi , melembabkan hidung , memperbaiki jalan pernapasan  dilengkapi nozzle spray menyemprotkan larutan butiran halus tekanan sesuai aman nyaman mencuci hidung  tidak mengandung bahan preservative , steroid bahan - bahan berbahaya</t>
  </si>
  <si>
    <t>bigroot nose hygiene stuff relief</t>
  </si>
  <si>
    <t>bigroot nose hygiene stuff relief  lemon oil mencegah sinus alergi  mencegah gangguan tht  mencegah gangguan pernapasan  membersihkan hidung kotoran infeksi  melembabkan hidung  memperbaiki jalan pernapasan  dilengkapi nozzle spray menyemprotkan larutan butiran halus teka sesuai aman nyaman mencuci hidung  tidak mengandung bahan preservative  steroid bahan  bahan berbahaya</t>
  </si>
  <si>
    <t>bigroot nose hygiene stuff relief tablet guaifenesin mencegah sinus alergi  mencegah gangguan tht  mencegah gangguan pernapasan  membersihkan hidung kotoran infeksi  melembabkan hidung  memperbaiki jalan pernapasan  dilengkapi nozzle spray menyemprotkan larutan butiran halus teka sesuai aman nyaman mencuci hidung  tidak mengandung bahan preservative  steroid bahan  bahan berbahaya</t>
  </si>
  <si>
    <t>bigroot nose hygiene stuff relief tetes ofloxacin mencegah sinus alergi  mencegah gangguan tht  mencegah gangguan pernapasan  membersihkan hidung kotoran infeksi  melembabkan hidung  memperbaiki jalan pernapasan  dilengkapi nozzle spray menyemprotkan larutan butiran halus teka sesuai aman nyaman mencuci hidung  tidak mengandung bahan preservative  steroid bahan  bahan berbahaya</t>
  </si>
  <si>
    <t>Gold-G Bio Sea Cucumber 500 ml</t>
  </si>
  <si>
    <t>Rp186.500 - Rp281.100</t>
  </si>
  <si>
    <t>2 sendok makan perhari, untuk penyembuhan luka : dapat dioleskan pada luka</t>
  </si>
  <si>
    <t>Meningkatkan daya tahan tubuh, meredakan gangguan sakit lambung, mempercepat penyembuhan luka pada penyakit diabetes serta menghilangkan bau pada luka gangren, meringankan sakit pada persendian, menghentikan pendarahan pada wasir, mempercepat penyembuhan pasca operasi maupun bersalin, menurunkan kadar kolesterol dan trigliserida, meringankan penyakit asma, memperbaiki tekstur kulit</t>
  </si>
  <si>
    <t>Botol 500 ml</t>
  </si>
  <si>
    <t>meningkatkan daya tahan tubuh , meredakan gangguan sakit lambung , mempercepat penyembuhan luka penyakit diabetes menghilangkan bau luka gangren , meringankan sakit persendian , menghentikan pendarahan wasir , mempercepat penyembuhan pasca operasi bersalin , menurunkan kadar kolesterol trigliserida , meringankan penyakit asma , memperbaiki tekstur kulit</t>
  </si>
  <si>
    <t>goldg bio sea cucumber  goldg bio sea cucumber meningkatkan daya tahan tubuh  meredakan gangguan sakit lambung  mempercepat penyembuhan luka penyakit diabetes menghilangkan bau luka gangren  meringankan sakit persendian  menghentikan pendarahan wasir  mempercepat penyembuhan pasca operasi bersalin  menurunkan kadar kolesterol trigliserida  meringankan penyakit asma  memperbaiki tekstur kulit</t>
  </si>
  <si>
    <t>DKL8711605817A1</t>
  </si>
  <si>
    <t>Mycoral 200 mg 10 Tablet</t>
  </si>
  <si>
    <t>Rp48.300 - Rp68.400</t>
  </si>
  <si>
    <t>mycoral</t>
  </si>
  <si>
    <t>mycoral tablet ketoconazole mukosa sistemik  kandidiasis mukokutan resisten kronis  mukosa saluran cerna resisten serius  kandidiasis vaginal resisten kronis  infeksi dermatofita kulit kuku tangan tidak kuku kaki  profilaksis mikosa pasien imunosupresan  kandidiasis mukokutan kronis tidak responsif nistatin obat  obat  infeksi mikosis sistemik kandidiasis  paraksidioidomikasis  cocci dioidomycosis  hiptoplasmosis</t>
  </si>
  <si>
    <t>Gold-G Bio Sea Cucumber 320 ml</t>
  </si>
  <si>
    <t>Rp122.400 - Rp176.800</t>
  </si>
  <si>
    <t>farbion tablet thiamine disulfide pyridoxine hydrochloride cyanocobalamin polineuritis degenerasi sarasaraf tepi serentak simetris  neuralgia nyeri saraf  kelumpuhan otot  otot wajah gangguan faal saraf wajah  gangguan sirkulasi darah pembuluh darah tepi  sakit pinggang  herpes zoster  sindroma leher  rematisme kronis  hiperemesis gravidarum muntah  muntah 3 kehamilan  polineuropati diabetik anemia</t>
  </si>
  <si>
    <t>DKL1122248931A1</t>
  </si>
  <si>
    <t>Sagestam Eyeoint 3.5 g</t>
  </si>
  <si>
    <t>PENGGUNAAN OBAT INI HARUS SESUAI DENGAN PETUNJUK DOKTER. Oleskan secukupnya pada mata 2-4 x sehari.</t>
  </si>
  <si>
    <t>Konjungtivitis (radang selaput ikat mata), Blefaritis (radang kelopak mata), Blefarokonjungtivitis (radang kelopak mata dan selaput ikat mata), Keratitis (radang kornea mata), Keratokonjungtivitis (radang kornea dan selaput ikat mata), Episkleritis (radang sklera mata), Dakrosistisis (radang kantung air mata), Ulkus kornea mata dan infeksi pada rongga atau lekuk mata</t>
  </si>
  <si>
    <t>Tube 3.5 gram x 1</t>
  </si>
  <si>
    <t>Hipersensitif, bayi prematur ataupun bayi baru lahir.</t>
  </si>
  <si>
    <t>Obat Wajib Apotek, Obat ini dapat dibeli dan diserahkan apoteker tanpa resep dengan maksimum 1 Tube. Pembelian melebihi batas ini WAJIB RESEP DOKTER. Tdk utk diberikan secara inj</t>
  </si>
  <si>
    <t>Tensocrepe 7.5 cm X 4.5 m</t>
  </si>
  <si>
    <t>Rp83.600 - Rp113.700</t>
  </si>
  <si>
    <t>Tahan pergelangan kaki atau bagian tubuh lain yang diinginkan dengan kemiringan 90 derajat Mulai pasang perban dan ulangi hingga dua kali Lingkarkan ke sekitar area tubuh kemudian silangkan ke arah berlawanan Pasang dengan pola seperti angka ï¿½8ï¿½ Pastikan perban terpasang dengan kencang, namun tidak terlalu rapat</t>
  </si>
  <si>
    <t>Pembalut elastis berkualitas tinggi (BP). Untuk fiksasi/perawatan pada kasus keseleo (sprains), letih otot (strains), dan pelebaran pembuluh darah balik (varicose veins). Selain itu perban elastis ini dapat digunakan pada kasus cidera kecelakaan atau olahraga. Cidera olahraga seperti patah tulang, salah urat atau terkilir. Dengan tensocrepe otot-otot cidera yang sedang kita alami dapat berkurang rasa sakitnya karena kita tidak diperkenankan untuk bergerak dengan bebas pada saat cidera.</t>
  </si>
  <si>
    <t>Roll Ukuran 7,5 X 4,5 Cm X 1'S</t>
  </si>
  <si>
    <t>pembalut elastis berkualitas bp  untuk fiksasi perawatan keseleo sprain , letih otot strain , pelebaran pembuluh darah varicose vein  selain perban elastis cidera kecelakaan olahraga  cidera olahraga patah tulang , salah urat terkilir  dengan tensocrepe otot - otot cidera alami berkurang sakitnya tidak diperkenankan bergerak bebas cidera</t>
  </si>
  <si>
    <t>tensocrepe x m larutan povidoneiodine pembalut elastis berkualitas bp  untuk fiksasi perawatan keseleo sprain  letih otot strain  pelebaran pembuluh darah varicose vein  selain perban elastis cidera kecelakaan olahraga  cidera olahraga patah tulang  salah urat terkilir  dengan tensocrepe otot  otot cidera alami berkurang sakitnya tidak diperkekan bergerak bebas cidera</t>
  </si>
  <si>
    <t>DKL0121204010B1</t>
  </si>
  <si>
    <t>Triatec 2.5 mg 10 Tablet</t>
  </si>
  <si>
    <t xml:space="preserve">PENGGUNAAN OBAT INI HARUS SESUAI DENGAN PETUNJUK DOKTER. Untuk hipertensi : awal 2.5 mg 1 kali/hari. Pemeliharaan : 2.5-5 mg/hari. Maksimal 10 mg/hari. Untuk pasien yang diterapi dengan diuretik </t>
  </si>
  <si>
    <t>DKI2070701417A1</t>
  </si>
  <si>
    <t>Vocinti 20 mg 10 Tablet</t>
  </si>
  <si>
    <t>Rp300.000 - Rp312.600</t>
  </si>
  <si>
    <t>VOCINTI dapat diminum tanpa atau bersamaan dengan makanan</t>
  </si>
  <si>
    <t>Dosis tergantung pada kondisi pasien Dosis umum VOCINTI untuk dewasa sebagai berikut: - Pengobatan luka lambung: 1 tablet 20mg setiap hari maksimum 8 minggu - Pengobatan luka duodenum (usus 12 jari): 1 tablet 20mg setiap hari maksimum 6 minggu - Pengobatan refluks esophagitis: 1 tablet 20mg setiap hari maksimum 4 minggu, namun jika gejala terus berlanjut obat dapat diminum maksimal 8 minggu - Pencegahan kambuh luka lambung dan luka duodenal pada pasien yang sedang menjalani pengobatan Aspirin dosis rendah: 1 tablet 10mg setiap hari - Pencegahan kambuh luka lambung dan luka duodenal pada pasien yang sedang menjalani pengobatan AINS / Anti inflamatori Non Steroid )digunakan untuk nyeri atau inflamasi): 1 tablet 10mg setiap hari - Pengobatan infeksi yang disebabkan oleh bakteri Helicobacter pylori yang diberikan dalam kombinasi dengan antibiotic: 1 tablet 20mg dalam kombinasi dengan 2 antibiotik yang berbeda dua kali sehari pada waktu yang sama selama 7 hari Rekomendasi kombinasi antibiotic adalah: - 20 mg Vocinti bersama dengan Amoxicillin dan clarithromycin - 20 mg Vocinti bersama dengan Amoxicillin dan metronidazole (jika kombinasi diatas gagal)</t>
  </si>
  <si>
    <t>Pengobatan luka lambung dan luka usus duodenal Pengobatan refluks esophagitis Pencegahan kambuh luka lambung dan luka duodenal pada pasien yang sedang menjalani pengobatan Aspirin dosis rendah Pencegahan kambuh luka lambung dan luka duodenal pada pasien yang sedang menjalani pengobatan AINS / Anti inflamatori Non Steroid )digunakan untuk nyeri atau inflamasi) Pengobatan infeksi yang disebabkan oleh bakteri Helicobacter pylori yang diberikan dalam kombinasi dengan antibiotik</t>
  </si>
  <si>
    <t>Penyakit hati atau ginjal. Dokter akan melakukan penyesuaian dosis</t>
  </si>
  <si>
    <t>vonoprazan fumarate</t>
  </si>
  <si>
    <t>pengobatan luka lambung luka usus duodenal pengobatan refluks esophagitis pencegahan kambuh luka lambung luka duodenal pasien menjalani pengobatan aspirin dosis rendah pencegahan kambuh luka lambung luka duodenal pasien menjalani pengobatan ains anti inflamatori non steroid nyeri inflamasi pengobatan infeksi disebabkan bakteri helicobacter pylorus kombinasi antibiotik</t>
  </si>
  <si>
    <t>vocinti</t>
  </si>
  <si>
    <t>vocinti tablet vonoprazan fumarate pengobatan luka lambung luka usus duodenal pengobatan refluks esophagitis pencegahan kambuh luka lambung luka duodenal pasien menjalani pengobatan aspirin dosis rendah pencegahan kambuh luka lambung luka duodenal pasien menjalani pengobatan ains anti inflamatori non steroid nyeri inflamasi pengobatan infeksi disebabkan bakteri helicobacter pylorus kombinasi antibiotik</t>
  </si>
  <si>
    <t>Minyak Tawon GS 330 ml</t>
  </si>
  <si>
    <t>Rp727.700 - Rp891.900</t>
  </si>
  <si>
    <t>Oleskan secukupnya ke bagian yang diperlukan</t>
  </si>
  <si>
    <t>Mengobati kulit yang terkena luka bakar, kulit yang terluka/lecet atau kulit yang terkena pisau. Mempercepat penyembuhan lebam akibat benturan. Meredakan nyeri, sakit kepala, batuk, gatal akibat gigitan serangga, sakit urat &amp; tulang, bisul, pusing, kudis, panu, muntah-muntah, pegal-pegal, rematik, masuk angin, sakit perut, sesak napas, dll.</t>
  </si>
  <si>
    <t>Botol 330mL x 1</t>
  </si>
  <si>
    <t>mengobati kulit terkena luka bakar , kulit terluka lecet kulit terkena pisau  mempercepat penyembuhan lebam akibat benturan  meredakan nyeri , sakit kepala , batuk , gatal akibat gigitan serangga , sakit urat tulang , bisul , pusing , kudis , panu , muntah - muntah , pegal - pegal , rematik , masuk angin , sakit perut , sesak napa , dll</t>
  </si>
  <si>
    <t>tawon gs</t>
  </si>
  <si>
    <t>tawon gs minyak achyrantes bidentata radix mengobati kulit terkena luka bakar  kulit terluka lecet kulit terkena pisau  mempercepat penyembuhan lebam akibat benturan  meredakan nyeri  sakit kepala  batuk  gatal akibat gigitan serangga  sakit urat tulang  bisul  pusing  kudis  panu  muntah  muntah  pegal  pegal  rematik  masuk angin  sakit perut  sesak napa  dll</t>
  </si>
  <si>
    <t>TI134347811</t>
  </si>
  <si>
    <t>Nature's Health Echinacea 250 mg 30 Kapsul</t>
  </si>
  <si>
    <t>Natures Health Echinaceae</t>
  </si>
  <si>
    <t>Rp130.500 - Rp221.200</t>
  </si>
  <si>
    <t>1-2 kapsul/hari atau sesuai anjuran dokter</t>
  </si>
  <si>
    <t>Membantu memperbaiki daya tahan tubuh, membantu meningkatkan daya tahan tubuh terhadap bakteri &amp; virus sangat baik dikonsumsi untuk mengatasi pilek, flu, sakit tenggorokan, berbagai infeksi dan membantu mempercepat penyembuhan luka, dapat meningkatkan &amp; menstabilkan jumlah Candida albicans &amp; menekan pertumbuhan Trichomonas vaginalis penyebab keputihan, manfaat lainnya sebagai anti kanker, antibiotik alami dan membantu mengatasi peradangan (termasuk radang di mulut).</t>
  </si>
  <si>
    <t>natures health echinaceae</t>
  </si>
  <si>
    <t>membantu memperbaiki daya tahan tubuh , membantu meningkatkan daya tahan tubuh bakteri virus dikonsumsi mengatasi pilek , flu , sakit tenggorokan , infeksi membantu mempercepat penyembuhan luka , meningkatkan menstabilkan candida albicans menekan pertumbuhan trichomonas vaginalis penyebab keputihan , manfaat anti kanker , antibiotik alami membantu mengatasi peradangan radang mulut</t>
  </si>
  <si>
    <t>natures health echinacea</t>
  </si>
  <si>
    <t>natures health echinacea kapsul natures health echinaceae membantu memperbaiki daya tahan tubuh  membantu meningkatkan daya tahan tubuh bakteri virus dikonsumsi mengatasi pilek  flu  sakit tenggorokan  infeksi membantu mempercepat penyembuhan luka  meningkatkan menstabilkan candida albicans menekan pertumbuhan trichomonas vaginalis penyebab keputihan  manfaat anti kanker  antibiotik alami membantu mengatasi peradangan radang mulut</t>
  </si>
  <si>
    <t>DKI1258501317D1</t>
  </si>
  <si>
    <t>Caduet 10 mg/20 mg Tablet</t>
  </si>
  <si>
    <t>INFORMASI OBAT INI HANYA UNTUK KALANGAN MEDIS. Amlodipine besylate : hipertensi, iskemia miokard karena obstruksi (angina stabil), dan vasospasme/vasokonstriksi (angina prinzmetal atau angina varian), atau vaskulatur koroner. Atorvastatin Ca : sebagai terapi tambahan diet menurunkan kadare kolesterol total, LDL, apo B, trigliserida yang meningkat pada pasien dengan hiperkolesterolemia primer, hiperlipidemia campur, hiperkolesterolemia heterozigot dan homozigot familial yang tidak memberikan respon adekust terhadap diet dan terapi non farmakologi.</t>
  </si>
  <si>
    <t>amlodipine besylate hipertensi , iskemia miokard obstruksi angina stabil , vasospasme vasokonstriksi angina prinzmetal angina varian , vaskulatur koroner  atorvastatin ca terapi tambahan diet menurunkan kadare kolesterol total , ldl , apo b , trigliserida meningkat pasien hiperkolesterolemia primer , hiperlipidemia campur , hiperkolesterolemia heterozigot homozigot familial tidak respon adekust diet terapi non farmakologi</t>
  </si>
  <si>
    <t>caduet tablet amlodipine besilate amlodipine besylate hipertensi  iskemia miokard obstruksi angina stabil  vasospasme vasokonstriksi angina prinzmetal angina varian  vaskulatur koroner  atorvastatin ca terapi tambahan diet menurunkan kadare kolesterol total  ldl  apo b  trigliserida meningkat pasien hiperkolesterolemia primer  hiperlipidemia campur  hiperkolesterolemia heterozigot homozigot familial tidak respon adekust diet terapi non farmakologi</t>
  </si>
  <si>
    <t>Minyak Tawon GG 330 ml</t>
  </si>
  <si>
    <t>Rp253.700 - Rp266.300</t>
  </si>
  <si>
    <t>tawon gg</t>
  </si>
  <si>
    <t>tawon gg minyak achyrantes bidentata radix mengobati kulit terkena luka bakar  kulit terluka lecet kulit terkena pisau  mempercepat penyembuhan lebam akibat benturan  meredakan nyeri  sakit kepala  batuk  gatal akibat gigitan serangga  sakit urat tulang  bisul  pusing  kudis  panu  muntah  muntah  pegal  pegal  rematik  masuk angin  sakit perut  sesak napa  dll</t>
  </si>
  <si>
    <t>DKL9607807438A1</t>
  </si>
  <si>
    <t>Hufanoxil Dry Syrup 60 ml</t>
  </si>
  <si>
    <t>Rp5.600 - Rp8.900</t>
  </si>
  <si>
    <t>Dapat diberikan bersama makanan agar diabsorpsi lebik baik dan untuk mengurangi rasa tidak nyaman pada GI atau sesudah makan.</t>
  </si>
  <si>
    <t>PENGGUNAAN OBAT INI HARUS SESUAI DENGAN PETUNJUK DOKTER. Dewasa : 3 x sehari 250 mg, jika berat 500 mg Anak-anak usia &lt;10 tahun 3 x sehari 125 mg jika berat 250 mg Anak berat &lt; 20 kg : 20-40 mg per kg bb sehari Khusus gonorrhoea untuk dewasa 3 g dalam dosis tunggal sering ditambahkan probenecid 1 g.</t>
  </si>
  <si>
    <t>INFORMASI OBAT INI HANYA UNTUK KALANGAN MEDIS.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ano-genital dan urethral yang disebabkan oleh N gonorrhoea</t>
  </si>
  <si>
    <t>HARUS DENGAN RESEP DOKTER. Hipersensitif terhadap penicillin.</t>
  </si>
  <si>
    <t>infeksi saluran pernafasan disebabkan streptococci , pneumococci , staphylococci non penicilinase h influenzae , infeksi traktus genitourinary disebabkan e coli , proteus mirabilis , streptococcus faecalis , infeksi telinga , hidung tenggorokan disebabkan streptococci , pneumococci , staphylococci , non penicilinase h influenzae , septicaemia , bakteri endocarditis gonorrhoea acute tidak terkomplikasi , infeksi ano - genital urethral disebabkan n gonorrhoea</t>
  </si>
  <si>
    <t>hufanoxil</t>
  </si>
  <si>
    <t>hufanoxil sirup amoxicillin trihydrate infeksi saluran pernafasan disebabkan streptococci  pneumococci  staphylococci non penicilinase h influenzae  infeksi traktus genitourinary disebabkan e coli  proteus mirabilis  streptococcus faecalis  infeksi telinga  hidung tenggorokan disebabkan streptococci  pneumococci  staphylococci  non penicilinase h influenzae  septicaemia  bakteri endocarditis gonorrhoea acute tidak terkomplikasi  infeksi ano  genital urethral disebabkan n gonorrhoea</t>
  </si>
  <si>
    <t>DKL9707807804B1</t>
  </si>
  <si>
    <t>Hufanoxil 500 mg 10 Kaplet</t>
  </si>
  <si>
    <t>PENGGUNAAN OBAT INI HARUS SESUAI DENGAN PETUNJUK DOKTER. Dewasa : 3 x sehari 250 mg, jika berat 500 mg,Anak-anak usia &lt;10 tahun 3 x sehari 125 mg jika berat 250 mg, Anak berat &lt; 20 kg : 20-40 mg per kg bb sehari, Khusus gonorrhoea untuk dewasa 3 g dalam dosis tunggal sering ditambahkan probenecid 1 g</t>
  </si>
  <si>
    <t>Infeksi saluran pernafasan bagian bawah yang disebabkan oleh Streptococci, Pneumococci, Staphylococci non penicilinase dan H Influenzae,Infeksi pada traktus Genitourinary yang disebabkan oleh E coli, Proteus mirabilis, dan Streptococcus faecalis,Infeksi pada telinga, hidung dan tenggorokan yang disebabkan oleh Streptococci, Pneumococci, Staphylococci, non penicilinase dan H Influenzae, Septicaemia, bakteri endocarditis dan gonorrhoea acute tidak terkomplikasi, Infeksi ano-genital dan urethral yang disebabkan oleh N gonorrhoea.</t>
  </si>
  <si>
    <t>hipersensitivitas, bayi baru lahir</t>
  </si>
  <si>
    <t>HARUS DENGAN RESEP DOKTER. Hipersensitif terhadap penicillin Kategori Kehamilan : B</t>
  </si>
  <si>
    <t>hufanoxil kaplet amoxicillin trihydrate infeksi saluran pernafasan disebabkan streptococci  pneumococci  staphylococci non penicilinase h influenzae  infeksi traktus genitourinary disebabkan e coli  proteus mirabilis  streptococcus faecalis  infeksi telinga  hidung tenggorokan disebabkan streptococci  pneumococci  staphylococci  non penicilinase h influenzae  septicaemia  bakteri endocarditis gonorrhoea acute tidak terkomplikasi  infeksi ano  genital urethral disebabkan n gonorrhoea</t>
  </si>
  <si>
    <t>caduet tablet atorvastatin calcium amlodipine besilate amlodipine besylate hipertensi  iskemia miokard obstruksi angina stabil  vasospasme vasokonstriksi angina prinzmetal angina varian  vaskulatur koroner  atorvastatin ca terapi tambahan diet menurunkan kadare kolesterol total  ldl  apo b  trigliserida meningkat pasien hiperkolesterolemia primer  hiperlipidemia campur  hiperkolesterolemia heterozigot homozigot familial tidak respon adekust diet terapi non farmakologi</t>
  </si>
  <si>
    <t>DKI1742200217A1</t>
  </si>
  <si>
    <t>Atevir 0.5 mg 10 Tablet</t>
  </si>
  <si>
    <t>Rp365.000 - Rp526.300</t>
  </si>
  <si>
    <t>Berikan pada saat perut kosong sekurang kurangnya 2 jam sesudah makan dan 2 jam sebelum waktu makan berikutnya Untuk pengguinaan pada terapi Hepatitis B: dapat dikonsumsi dengan atau tanpa makanan.</t>
  </si>
  <si>
    <t>Dewasa dan remaja &gt; 16 tahun yang belum pernah mendapatkan terapi nukleosid : 1 x sehari 0.5mg. Refrakter terhadap Lamivudin : 1 x sehari 1 mg. Pasien dengan riwayat viremia hepatitis B dan resisten lamivudin : 1x sehari 1 mg</t>
  </si>
  <si>
    <t>ATEVIR 0.5 MG merupakan obat yang memgandung zat aktif Entecavir. Entecavir merupakan analog nukleosida yang selektif terhadap virus hepatitis B dan menghambat sintesa dan replikasi DNA virus hepatitis B. Obat ini digunakan untuk terapi infeksi virus hepatitis B kronik pada dewasa. Dalam penggunaan obat ini harus SESUAI DENGAN PETUNJUK DOKTER. Terapi infeksi hepatitis B kronik pada pasien dewasa yang terbukti mengalami replikasi virus aktif</t>
  </si>
  <si>
    <t>entecavir</t>
  </si>
  <si>
    <t>atevir 0  5 mg obat memgandung zat aktif entecavir  entecavir analog nukleosida selektif virus hepatitis b menghambat sintesa replikasi dna virus hepatitis b  obat terapi infeksi virus hepatitis b kronik dewasa  dalam penggunaan obat sesuai dengan petunjuk dokter  terapi infeksi hepatitis b kronik pasien dewasa terbukti mengalami replikasi virus aktif</t>
  </si>
  <si>
    <t>atevir</t>
  </si>
  <si>
    <t>atevir tablet entecavir atevir 0  5 mg obat memgandung zat aktif entecavir  entecavir analog nukleosida selektif virus hepatitis b menghambat sintesa replikasi dna virus hepatitis b  obat terapi infeksi virus hepatitis b kronik dewasa  dalam penggunaan obat sesuai dengan petunjuk dokter  terapi infeksi hepatitis b kronik pasien dewasa terbukti mengalami replikasi virus aktif</t>
  </si>
  <si>
    <t>DKL8304116904A1</t>
  </si>
  <si>
    <t>Bactoprim Combi Forte 10 Kaplet</t>
  </si>
  <si>
    <t>Rp6.300 - Rp10.700</t>
  </si>
  <si>
    <t>Infeksi saluran kemih seperti pielonefritis dan pielitis oleh kuman yang sensitif (seperti: E. coli, Klebsiela enterobacter dan Proteus mirabilis) Infeksi saluran pencernaan, terutama oleh kuman salmonella dan shigella seperti tifoid, paratifoid, dan disentri basiler Infeksi saluran pernapasan seperti bronkitis akut dan kronik oleh kuman H. influenzae atau S. pneumoniae Infeksi Telinga Hidung Tenggorokan seperti otitis media akut dan sinusitis akut oleh kuman H. influenzae atau S. pneumoniae</t>
  </si>
  <si>
    <t>infeksi saluran kemih pielonefritis pielitis kuman sensitif e  coli , klebsiela enterobacter proteus mirabilis infeksi saluran pencernaan , kuman salmonella shigella tifoid , paratifoid , disentri basiler infeksi saluran pernapasan bronkitis akut kronik kuman h  influenzae s  pneumoniae infeksi telinga hidung tenggorokan otitis medium akut sinusitis akut kuman h  influenzae s  pneumoniae</t>
  </si>
  <si>
    <t>bactoprim combi forte</t>
  </si>
  <si>
    <t>bactoprim combi forte kaplet trimethoprim sulfamethoxazole infeksi saluran kemih pielonefritis pielitis kuman sensitif e  coli  klebsiela enterobacter proteus mirabilis infeksi saluran pencernaan  kuman salmonella shigella tifoid  paratifoid  disentri basiler infeksi saluran pernapasan bronkitis akut kronik kuman h  influenzae s  pneumoniae infeksi telinga hidung tenggorokan otitis medium akut sinusitis akut kuman h  influenzae s  pneumoniae</t>
  </si>
  <si>
    <t>Daktarin Cream 5 g</t>
  </si>
  <si>
    <t>Rp3.200 - Rp33.300</t>
  </si>
  <si>
    <t>Infeksi kulit: Oleskan 2 kali sehari pada bagian kulit yang terinfeksi selama 2-6 minggu. Penggunaan krim harus dilanjutkan setidaknya 7 hari setelah hilangnya semua tanda-tanda infeksi hilang dengan tujuan untuk mencegah infeksi kembali kambuh.</t>
  </si>
  <si>
    <t>Krim yang digunakan untuk mengobati infeksi kulit yang disebabkan oleh dermatofit atau ragi, dan jamur lainnya, seperti: - Panu - Tinea capitis di kulit keala - Tinea corporis di leher atau badan - Tinea manuum di telapak tangan - Tinea barbae di dagu - Tinea cruris di selangkangan - Tinea pedis di telapak kaki atau athletes's foot Selain itu, miconazole memiliki aktivitas terhadap bakteri gram positif, sehingga dapat digunakan unruk mengatasi mikosis dengan infeksi sekunder bakteri (misalnya dermatitis popok).</t>
  </si>
  <si>
    <t>Pengunaan krim ini tidak dianjurkan untuk individu dengan hipersensitif atau alergi terhadap mikonazol atau mikonazol nitrat, atau turunan imidazol lain.</t>
  </si>
  <si>
    <t>krim mengobati infeksi kulit disebabkan dermatofit ragi , jamur , - panu - tinea capitis kulit keala - tinea corporis leher badan - tinea manuum telapak tangan - tinea barbae dagu - tinea cruris selangkangan - tinea pedis telapak kaki athlete s foot selain , miconazole memiliki aktivitas bakteri gram positif , unruk mengatasi mikosis infeksi sekunder bakteri dermatitis popok</t>
  </si>
  <si>
    <t>daktarin cream krim miconazole nitrate krim mengobati infeksi kulit disebabkan dermatofit ragi  jamur   panu  tinea capitis kulit keala  tinea corporis leher badan  tinea manuum telapak tangan  tinea barbae dagu  tinea cruris selangkangan  tinea pedis telapak kaki athlete s foot selain  miconazole memiliki aktivitas bakteri gram positif  unruk mengatasi mikosis infeksi sekunder bakteri dermatitis popok</t>
  </si>
  <si>
    <t>She Gemini Brown 2 Color Softlens Plano/No Minus</t>
  </si>
  <si>
    <t>Bersihkan tangan sebelum menggunakan softlens. Buka Softlense dari wadah. Ambil Softlense menggunakan jari telunjuk, lalu bilas Softlense dengan cairan bilas khusus Softlens. Setelah dibersihkan, ambil softlens dengan telunjuk lalu pasang ke mata Anda.</t>
  </si>
  <si>
    <t>Softlens SHE GEMINI untuk penggunaan 6 Bulan. Spesifikasi Produk: Base Curve: 8.6 mm Diameter: 15 mm Kadar Air/Water Content: 55% Masa Pakai/Recommended Usage: 6 Bulan/Monthly Warna/Color: Brown Ukuran/Power Range: Plano/No Minus Isi/Content: 2 buah (1 pasang).</t>
  </si>
  <si>
    <t>Box @ 2 Soft Contact Lense.</t>
  </si>
  <si>
    <t>Produk ini merupakan Softlens Plano atau No Minus yang ditujukan untuk digunakan pada mata normal. Penggunaan softlens, sebaiknya tidak lebih dari 8 Jam/Hari.</t>
  </si>
  <si>
    <t>softlens she gemini penggunaan 6 bulan  spesifikasi produk base curve 8  6 mm diameter 15 mm kadar air water content 55 masa pakai recommended usage 6 bulan monthly warna color brown ukuran power range plano no minus isi content 2 buah 1 pasang</t>
  </si>
  <si>
    <t>she gemini brown color softlens planono minus</t>
  </si>
  <si>
    <t>she gemini brown color softlens planono minus tablet kombinasivalsartan blend 32 softlens she gemini penggunaan 6 bulan  spesifikasi produk base curve 8  6 mm diameter 15 mm kadar air water content 55 masa pakai recommended usage 6 bulan monthly warna color brown ukuran power range plano no minus isi content 2 buah 1 pasang</t>
  </si>
  <si>
    <t>atevir tablet entecavir monohydrate atevir 0  5 mg obat memgandung zat aktif entecavir  entecavir analog nukleosida selektif virus hepatitis b menghambat sintesa replikasi dna virus hepatitis b  obat terapi infeksi virus hepatitis b kronik dewasa  dalam penggunaan obat sesuai dengan petunjuk dokter  terapi infeksi hepatitis b kronik pasien dewasa terbukti mengalami replikasi virus aktif</t>
  </si>
  <si>
    <t>She Identity Blue 2 Color Softlens Plano/No Minus</t>
  </si>
  <si>
    <t>Softlens SHE IDENTITY untuk penggunaan 6 Bulan. Spesifikasi Produk: Base Curve: 8.6 mm Diameter: 14.5 mm Kadar Air/Water Content: 55% Masa Pakai/Recommended Usage: 6 Bulan/Monthly Warna/Color: Blue Ukuran/Power Range: Plano/No Minus Isi/Content: 2 buah (1 pasang).</t>
  </si>
  <si>
    <t>softlens she identity penggunaan 6 bulan  spesifikasi produk base curve 8  6 mm diameter 14  5 mm kadar air water content 55 masa pakai recommended usage 6 bulan monthly warna color blue ukuran power range plano no minus isi content 2 buah 1 pasang</t>
  </si>
  <si>
    <t>she identity blue color softlens planono minus</t>
  </si>
  <si>
    <t>she identity blue color softlens planono minus tablet kombinasivalsartan blend 32 softlens she identity penggunaan 6 bulan  spesifikasi produk base curve 8  6 mm diameter 14  5 mm kadar air water content 55 masa pakai recommended usage 6 bulan monthly warna color blue ukuran power range plano no minus isi content 2 buah 1 pasang</t>
  </si>
  <si>
    <t>Adeeva Crystal Grey 2 Color Softlens Plano/No Minus</t>
  </si>
  <si>
    <t>Softlens Adeeva untuk penggunaan 6 Bulan. Spesifikasi Produk: Base Curve: 8.6 mm Diameter: 15.0 mm Kadar Air/Water Content: 57 % Masa Pakai/Recommended Usage: 6 Bulan/Monthly Warna/Color: Crystal Grey Ukuran/Power Range: Plano/No Minus Isi/Content: 2 buah (1 pasang).</t>
  </si>
  <si>
    <t>Box @ 2 Soft Contact Lenses.</t>
  </si>
  <si>
    <t>softlens adeeva penggunaan 6 bulan  spesifikasi produk base curve 8  6 mm diameter 15  0 mm kadar air water content 57 masa pakai recommended usage 6 bulan monthly warna color crystal grey ukuran power range plano no minus isi content 2 buah 1 pasang</t>
  </si>
  <si>
    <t>adeeva crystal grey color softlens planono minus</t>
  </si>
  <si>
    <t>adeeva crystal grey color softlens planono minus tablet kombinasivalsartan blend 32 softlens adeeva penggunaan 6 bulan  spesifikasi produk base curve 8  6 mm diameter 15  0 mm kadar air water content 57 masa pakai recommended usage 6 bulan monthly warna color crystal grey ukuran power range plano no minus isi content 2 buah 1 pasang</t>
  </si>
  <si>
    <t>QI094801791</t>
  </si>
  <si>
    <t>Tiger Balm Plaster Cool 2 Lembar</t>
  </si>
  <si>
    <t>Tiger Balm Plaster (Cool) adalah persiapan unik yang memberikan penghilang rasa sakit otot yang tahan lama. Ini memberikan kenyamanan dan membantu meringankan keseleo, strain, memar, leher kaku &amp; bahu dan meredakan nyeri otot. Menggunakan teknologi hidrogel pada bahan yang tidak berventilasi, Tiger Balm Plaster (Cool) nyaman digunakan dengan aplikasi mudah diaplikasikan yang tidak meninggalkan residu pada kulit, dan memberikan bantuan nyeri otot yang cepat dan efektif selama berjam-jam.</t>
  </si>
  <si>
    <t>Sachet Isi 2 Patch</t>
  </si>
  <si>
    <t>tiger balm plaster cool persiapan unik penghilang sakit otot tahan  ini kenyamanan membantu meringankan keseleo , strain , memar , leher kaku bahu meredakan nyeri otot  menggunakan teknologi hidrogel bahan tidak berventilasi , tiger balm plaster cool nyaman aplikasi mudah diaplikasikan tidak meninggalkan residu kulit , bantuan nyeri otot cepat efektif berjam - jam</t>
  </si>
  <si>
    <t>tiger balm plaster cool lembar</t>
  </si>
  <si>
    <t>tiger balm plaster cool lembar balsam camphor tiger balm plaster cool persiapan unik penghilang sakit otot tahan  ini kenyama membantu meringankan keseleo  strain  memar  leher kaku bahu meredakan nyeri otot  menggunakan teknologi hidrogel bahan tidak berventilasi  tiger balm plaster cool nyaman aplikasi mudah diaplikasikan tidak meninggalkan residu kulit  bantuan nyeri otot cepat efektif berjam  jam</t>
  </si>
  <si>
    <t>Miacare Confidence Monthly Flash Blue Minus</t>
  </si>
  <si>
    <t>Softlens MIACARE CONFIDENCE MONTHLY SOFTLENS untuk penggunaan 1 Bulan. Spesifikasi Produk: Base Curve: 8.7 mm Diameter: 14.3 mm Kadar Air/Water Content: 45% Masa Pakai/Recommended Usage: 1 Bulan/MonthlyWarna/Color: Flash BlueUkuran/Power Range: -0.1 s/d -10.00Isi/Content: 1 buah</t>
  </si>
  <si>
    <t>Box @ 1 Soft Contact Lense.</t>
  </si>
  <si>
    <t>Produk ini merupakan Softlens Minus yang ditujukan untuk penggunaan pada mata minus. Dalam pembelian produk ini, mohon dicantumkan Ukuran Power Softlens yang ingin dipesan dengan mengupload foto Catatan Power (-minus) pada bagian Upload Prescription atau pada kolom Catatan. Penggunaan softlens, sebaiknya tidak lebih dari 8 Jam/Hari.</t>
  </si>
  <si>
    <t>softlens miacare confidence monthly softlens penggunaan 1 bulan  spesifikasi produk base curve 8  7 mm diameter 14  3 mm kadar air water content 45 masa pakai recommended usage 1 bulan monthlywarna color flash blueukuran power range - 0  1 s d - 10  00isi content 1 buah</t>
  </si>
  <si>
    <t>miacare confidence monthly flash blue minus</t>
  </si>
  <si>
    <t>miacare confidence monthly flash blue minus tablet kombinasivalsartan blend 32 softlens miacare confidence monthly softlens penggunaan 1 bulan  spesifikasi produk base curve 8  7 mm diameter 14  3 mm kadar air water content 45 masa pakai recommended usage 1 bulan monthlywarna color flash blueukuran power range  0  1 s d  10  00isi content 1 buah</t>
  </si>
  <si>
    <t>Vanilla Choco 2 Color Softlens Minus</t>
  </si>
  <si>
    <t>Rp33.600 - Rp95.200</t>
  </si>
  <si>
    <t>Softlens Minus Vanilla untuk penggunaan 6 Bulan. Spesifikasi Produk: Base Curve: 8.60 Diameter: 14.5 mm Kadar Air/Water Content: 55% Masa Pakai/Recommended Usage: 6 Bulan/Monthly Warna/Color: Choco Ukuran/Power Range: -0.50 s/d -8.00 Isi/Content: 2 buah (1 pasang)</t>
  </si>
  <si>
    <t>Produk ini merupakan Softlens Minus yang ditujukan untuk penggunaan pada mata minus. Dalam pembelian produk ini, mohon dicantumkan Ukuran Power Softlens yang ingin dipesan pada kolom Catatan. Penggunaan softlens, sebaiknya tidak lebih dari 8 Jam/Hari.</t>
  </si>
  <si>
    <t>softlens minus vanilla penggunaan 6 bulan  spesifikasi produk base curve 8  60 diameter 14  5 mm kadar air water content 55 masa pakai recommended usage 6 bulan monthly warna color choco ukuran power range - 0  50 s d - 8  00 isi content 2 buah 1 pasang</t>
  </si>
  <si>
    <t>vanilla choco color softlens minus</t>
  </si>
  <si>
    <t>vanilla choco color softlens minus tablet kombinasivalsartan blend 32 softlens minus vanilla penggunaan 6 bulan  spesifikasi produk base curve 8  60 diameter 14  5 mm kadar air water content 55 masa pakai recommended usage 6 bulan monthly warna color choco ukuran power range  0  50 s d  8  00 isi content 2 buah 1 pasang</t>
  </si>
  <si>
    <t>Dueba Belle Black 2 Color Softlens Plano/No Minus</t>
  </si>
  <si>
    <t>Softlens DUEBA BELLE untuk penggunaan 6 Bulan. Spesifikasi Produk: Base Curve: 8.8 mm Diameter: 14.3 mm Kadar Air/Water Content: 38% Masa Pakai/Recommended Usage: 6 Bulan/Monthly Warna/Color: Warna Black Ukuran/Power Range: Plano/No Minus Isi/Content: 2 buah (1 pasang)</t>
  </si>
  <si>
    <t>softlens dueba belle penggunaan 6 bulan  spesifikasi produk base curve 8  8 mm diameter 14  3 mm kadar air water content 38 masa pakai recommended usage 6 bulan monthly warna color warna black ukuran power range plano no minus isi content 2 buah 1 pasang</t>
  </si>
  <si>
    <t>dueba belle black color softlens planono minus</t>
  </si>
  <si>
    <t>dueba belle black color softlens planono minus tablet kombinasivalsartan blend 32 softlens dueba belle penggunaan 6 bulan  spesifikasi produk base curve 8  8 mm diameter 14  3 mm kadar air water content 38 masa pakai recommended usage 6 bulan monthly warna color warna black ukuran power range plano no minus isi content 2 buah 1 pasang</t>
  </si>
  <si>
    <t>Dueba Plus Black 2 Color Softlens Plano/No Minus</t>
  </si>
  <si>
    <t>Softlens DUEBA PLUS untuk penggunaan 6 Bulan. Spesifikasi Produk: Base Curve: 8.8 mm Diameter: 14.3 mm Kadar Air/Water Content: 38% Masa Pakai/Recommended Usage: 6 Bulan/Monthly Warna/Color: Warna Black Ukuran/Power Range: Plano/No Minus Isi/Content: 2 buah (1 pasang)</t>
  </si>
  <si>
    <t>softlens dueba plus penggunaan 6 bulan  spesifikasi produk base curve 8  8 mm diameter 14  3 mm kadar air water content 38 masa pakai recommended usage 6 bulan monthly warna color warna black ukuran power range plano no minus isi content 2 buah 1 pasang</t>
  </si>
  <si>
    <t>dueba plus black color softlens planono minus</t>
  </si>
  <si>
    <t>dueba plus black color softlens planono minus tablet kombinasivalsartan blend 32 softlens dueba plus penggunaan 6 bulan  spesifikasi produk base curve 8  8 mm diameter 14  3 mm kadar air water content 38 masa pakai recommended usage 6 bulan monthly warna color warna black ukuran power range plano no minus isi content 2 buah 1 pasang</t>
  </si>
  <si>
    <t>Rise 2 Tone Blue 2 Color Softlens Plano/No Minus</t>
  </si>
  <si>
    <t>Rp66.000 - Rp67.200</t>
  </si>
  <si>
    <t>Softlens No Minus/Plano RISE 2 TONE untuk penggunaan 3 Bulan. Spesifikasi Produk: Base Curve: 8.60 Diameter: 14.4 mm Kadar Air/Water Content: 48% Masa Pakai/Recommended Usage: 3 Bulan/Monthly Warna/Color: Blue Ukuran/Power Range: Plano Isi/Content: 2 buah (1 pasang)</t>
  </si>
  <si>
    <t>softlens no minus plano rise 2 tone penggunaan 3 bulan  spesifikasi produk base curve 8  60 diameter 14  4 mm kadar air water content 48 masa pakai recommended usage 3 bulan monthly warna color blue ukuran power range plano isi content 2 buah 1 pasang</t>
  </si>
  <si>
    <t>rise tone blue color softlens planono minus</t>
  </si>
  <si>
    <t>rise tone blue color softlens planono minus tablet kombinasivalsartan blend 32 softlens no minus plano rise 2 tone penggunaan 3 bulan  spesifikasi produk base curve 8  60 diameter 14  4 mm kadar air water content 48 masa pakai recommended usage 3 bulan monthly warna color blue ukuran power range plano isi content 2 buah 1 pasang</t>
  </si>
  <si>
    <t>DKI1436200317A1</t>
  </si>
  <si>
    <t>Femaplex 2.5 mg 10 Tablet</t>
  </si>
  <si>
    <t>PENGGUNAAN OBAT INI HARUS SESUAI DENGAN PETUNJUK DOKTER. 2.5 mg, 1 kali sehari.</t>
  </si>
  <si>
    <t>INFORMASI OBAT INI HANYA UNTUK KALANGAN MEDIS. - Terapi lini pertama kanker payudara stadium lokal lanjut/metastasis dengan status reseptor hormon positif atau tidak diketahui pada wanita pasca-menopause. - Terapi adjuvan kanker payudara stadium dini dengan status reseptor hormon positif pada wanita pasca-menopause. - Terapi adjuvan lanjutan pada wanita pasca-menopause dengan kanker payudara stadium dini yang telah mendapat terapi tamoxifen adjuvan selama 5 tahun. - Terapi kanker payudara stadium lanjut pada wanita dengan status pasca-menopause, baik alami maupun yang diinduksi, dan pernah mendapat terapi anti-estrogen.</t>
  </si>
  <si>
    <t>Hipersensitif, kehamilan, menyusui, dan wanita pra-menopause.</t>
  </si>
  <si>
    <t>HARUS DENGAN RESEP DOKTER. - Tidak diberikan pada pasien pra-menopause - Perlu penyesuaian dosis pada pasien gangguan fungsi hati berat - Perlu pemantauan densitas mineral tulang - Hati-hati dalam mengemudi atau menjalankan mesin setelah mengkonsumsi letrozole - Tidak boleh diberikan bersama tamoxifen. Kategori Kehamilan : Kategori X: Kontraindikasi (tidak boleh digunakan). Terdapat hasil penelitian terhadap hewan uji dan manusia yang memperlihatkan abnormalitas terhadap janin. Obat ini dikontraindikasikan untuk wanita hamil dan yang berkemungkinan untuk hamil.</t>
  </si>
  <si>
    <t>letrozole</t>
  </si>
  <si>
    <t xml:space="preserve">- terapi lini kanker payudara stadium lokal metastasis status reseptor hormon positif tidak wanita pasca - menopause  - terapi adjuvan kanker payudara stadium status reseptor hormon positif wanita pasca - menopause  - terapi adjuvan lanjutan wanita pasca </t>
  </si>
  <si>
    <t>femaplex</t>
  </si>
  <si>
    <t>femaplex tablet letrozole  terapi lini kanker payudara stadium lokal metastasis status reseptor hormon positif tidak wanita pasca  menopause   terapi adjuvan kanker payudara stadium status reseptor hormon positif wanita pasca  menopause   terapi adjuvan lanjutan wanita pasca  menopause kanker payudara stadium terapi tamoxifen adjuvan 5   terapi kanker payudara stadium wanita status pasca  menopause  alami diinduksi  terapi anti  estrogen</t>
  </si>
  <si>
    <t>She Asian Genuine Black 2 Color Softlens Plano/No Minus</t>
  </si>
  <si>
    <t>Softlens SHE ASIAN untuk penggunaan 6 Bulan. Spesifikasi Produk: Base Curve: 8.6 mm Diameter: 14.5 mm Kadar Air/Water Content: 55% Masa Pakai/Recommended Usage: 6 Bulan/Monthly Warna/Color: Black Ukuran/Power Range: Plano/No Minus Isi/Content: 2 buah (1 pasang).</t>
  </si>
  <si>
    <t>softlens she asian penggunaan 6 bulan  spesifikasi produk base curve 8  6 mm diameter 14  5 mm kadar air water content 55 masa pakai recommended usage 6 bulan monthly warna color black ukuran power range plano no minus isi content 2 buah 1 pasang</t>
  </si>
  <si>
    <t>she asian genuine black color softlens planono minus</t>
  </si>
  <si>
    <t>she asian genuine black color softlens planono minus tablet kombinasivalsartan blend 32 softlens she asian penggunaan 6 bulan  spesifikasi produk base curve 8  6 mm diameter 14  5 mm kadar air water content 55 masa pakai recommended usage 6 bulan monthly warna color black ukuran power range plano no minus isi content 2 buah 1 pasang</t>
  </si>
  <si>
    <t>DKL2015632509A1</t>
  </si>
  <si>
    <t>Azomep 500 mg 6 Tablet</t>
  </si>
  <si>
    <t>Dapat diberikan dengan makanan untuk mengurangi rasa tidak nyaman pada pencernaan.</t>
  </si>
  <si>
    <t>INFORMASI OBAT INI HANYA UNTUK KALANGAN MEDIS. Infeksi saluran pernapasan atas (alternatif untuk terapi lini pertama faringitis/tonsilitis akut akibat S. pyogenes untuk individu yang tidak dapat menggunakan terapi lini pertama) dan infeksi saluran pernapasan bawah (penyakit paru obstruktif kronis eksaserbasi akut yang disebabkan H. influenzae, M. catarrhalis, atau S. pneumoniae). Pneumonia komunitas yang disebabkan S. pneumoniae atau H. influenzae pada pasien rawat jalan, infeksi kulit dan struktur kulit, uretritis non-gonococcal dan servisitis yang disebabkan Chlamydia trachomatis.</t>
  </si>
  <si>
    <t>Dus, Strip @ 6 Tablet</t>
  </si>
  <si>
    <t>Hipersensitivitas terhadap azithromycin, erythromycin, atau antibiotik makrolid atau ketolid lainnya.</t>
  </si>
  <si>
    <t>Hentikan pemakaian jika reaksi alergi dan hepatitis terjadi. Pertumbuhan berlebihan C. difficile. Pasien dgn QT interval memanjang, baik kongenital maupun tercatat, gangguan elektrolit, bradikaria yg relevan secara klinis, aritmia jantung atau insufisiensi. Gangguan fungsi ginjal dan liver berat. Kehamilan dan fase menyusui. Lansia.</t>
  </si>
  <si>
    <t>infeksi saluran pernapasan alternatif terapi lini faringitis tonsilitis akut akibat s  pyogenes individu tidak terapi lini infeksi saluran pernapasan penyakit paru obstruktif kronis eksaserbasi akut disebabkan h  influenzae , m  catarrhalis , s  pneumoniae  pneumonia komunitas disebabkan s  pneumoniae h  influenzae pasien rawat jalan , infeksi kulit struktur kulit , uretritis non - gonococcal servisitis disebabkan chlamydia trachomatis</t>
  </si>
  <si>
    <t>azomep</t>
  </si>
  <si>
    <t>azomep kaplet azithromycin dihydrate infeksi saluran pernapasan alternatif terapi lini faringitis tonsilitis akut akibat s  pyogenes individu tidak terapi lini infeksi saluran pernapasan penyakit paru obstruktif kronis eksaserbasi akut disebabkan h  influenzae  m  catarrhalis  s  pneumoniae  pneumonia komunitas disebabkan s  pneumoniae h  influenzae pasien rawat jalan  infeksi kulit struktur kulit  uretritis non  gonococcal servisitis disebabkan chlamydia trachomatis</t>
  </si>
  <si>
    <t>Juliette Caesar Grey 2 Color Softlens Plano/No Minus</t>
  </si>
  <si>
    <t>Softlens JULIETTE untuk penggunaan maksimal 6 Bulan. Spesifikasi Produk: Base Curve: 8.6 mm Diameter: 14.4 mm Kadar Air/Water Content: 43 % Masa Pakai/Recommended Usage: 6 Bulan/6 Months Warna/Color: Caesar Grey Ukuran/Power Range: Plano/No Minus Isi/Content: 2 buah (1 pasang).</t>
  </si>
  <si>
    <t>softlens juliette penggunaan maksimal 6 bulan  spesifikasi produk base curve 8  6 mm diameter 14  4 mm kadar air water content 43 masa pakai recommended usage 6 bulan 6 months warna color caesar grey ukuran power range plano no minus isi content 2 buah 1 pasang</t>
  </si>
  <si>
    <t>juliette caesar grey color softlens planono minus</t>
  </si>
  <si>
    <t>juliette caesar grey color softlens planono minus tablet kombinasivalsartan blend 32 softlens juliette penggunaan maksimal 6 bulan  spesifikasi produk base curve 8  6 mm diameter 14  4 mm kadar air water content 43 masa pakai recommended usage 6 bulan 6 months warna color caesar grey ukuran power range plano no minus isi content 2 buah 1 pasang</t>
  </si>
  <si>
    <t>Eyesight EOS Luna Gray Softlens Minus</t>
  </si>
  <si>
    <t>Eyesight EOS Luna Gray Softlens Minus untuk penggunaan maksimal selama 6 Bulan. Spesifikasi Produk: Base Curve: 8.8 mm Diameter: 14.5 mm Kadar Air/Water Content: 38 % Masa Pakai/Recommended Usage: 6 Bulan/Monthly Varian: Gray Ukuran/Power Range: Plano/No Minus Isi/Content: 2 buah (1 pasang)</t>
  </si>
  <si>
    <t>Produk ini merupakan Softlens Minus yang ditujukan untuk penggunaan pada mata minus. Dalam pembelian produk ini, mohon dicantumkan Ukuran Power Softlens yang ingin dipesan pada kolom catatan Penggunaan softlens, sebaiknya tidak lebih dari 8 Jam/Hari.</t>
  </si>
  <si>
    <t>eyesight eos luna gray softlens minus penggunaan maksimal 6 bulan  spesifikasi produk base curve 8  8 mm diameter 14  5 mm kadar air water content 38 masa pakai recommended usage 6 bulan monthly varian gray ukuran power range plano no minus isi content 2 buah 1 pasang</t>
  </si>
  <si>
    <t>eyesight eos luna gray softlens minus</t>
  </si>
  <si>
    <t>eyesight eos luna gray softlens minus tablet kombinasivalsartan blend 32 eyesight eos luna gray softlens minus penggunaan maksimal 6 bulan  spesifikasi produk base curve 8  8 mm diameter 14  5 mm kadar air water content 38 masa pakai recommended usage 6 bulan monthly varian gray ukuran power range plano no minus isi content 2 buah 1 pasang</t>
  </si>
  <si>
    <t>HT133300311</t>
  </si>
  <si>
    <t>Chang Sheuw Tian Ran Ling Yao 30 Kapsul</t>
  </si>
  <si>
    <t>KUAT SEGAR (CHANG SHEUW TIAN RAN LING YAO)</t>
  </si>
  <si>
    <t>Rp241.800 - Rp306.400</t>
  </si>
  <si>
    <t>Untuk terapi pengobatan 3 x 3 per hari sampai 3 x 10 kapsul per hari Untuk preventif 2 sampai 4 kapsul per hari</t>
  </si>
  <si>
    <t>Membantu memelihara kondisi kesehatan pada penderita kanker Membantu mengurangi atau meminimalisir efek samping akibat kemoterapi dan radiasi Membantu mengatasi permasalahan yang disebabkan oleh adanya pertumbuhan sel abnormal (tumor jinak), misalnya pada miom, kista, pembengkakan prostat, kelenjar tirod dan pada gangguan hormonal yang lain. Membantu memperbaiki metabolisme tubuh dan memelihara kesehatan jangka panjang (terutapa ex penderita kanker)</t>
  </si>
  <si>
    <t>Strip 3x 10</t>
  </si>
  <si>
    <t>kuat segar (chang sheuw tian ran ling yao)</t>
  </si>
  <si>
    <t>membantu memelihara kondisi kesehatan penderita kanker membantu mengurangi meminimalisir efek samping akibat kemoterapi radiasi membantu mengatasi permasalahan disebabkan pertumbuhan sel abnormal tumor jinak , miom , kista , pembengkakan prostat , kelenjar tirod gangguan hormonal  membantu memperbaiki metabolisme tubuh memelihara kesehatan jangka terutapa ex penderita kanker</t>
  </si>
  <si>
    <t>chang sheuw tian ran ling yao</t>
  </si>
  <si>
    <t>chang sheuw tian ran ling yao kapsul kuat segar chang sheuw tian ran ling yao membantu memelihara kondisi kesehatan penderita kanker membantu mengurangi meminimalisir efek samping akibat kemoterapi radiasi membantu mengatasi permasalahan disebabkan pertumbuhan sel abnormal tumor jinak  miom  kista  pembengkakan prostat  kelenjar tirod gangguan hormonal  membantu memperbaiki metabolisme tubuh memelihara kesehatan jangka terutapa ex penderita kanker</t>
  </si>
  <si>
    <t>Living Color Della Brown 2 Color Softlens Plano/No Minus</t>
  </si>
  <si>
    <t>Softlens LIVING COLOR DELLA untuk penggunaan 3 Bulan. Spesifikasi Produk: Base Curve: 8.60 mm Diameter: 16 mm Kadar Air/Water Content: 48% Masa Pakai/Recommended Usage: 3 Bulan/Monthly Warna/Color: Warna Brown Ukuran/Power Range: Plano/No Minus Isi/Content: 2 buah (1 pasang)</t>
  </si>
  <si>
    <t>softlens living color della penggunaan 3 bulan  spesifikasi produk base curve 8  60 mm diameter 16 mm kadar air water content 48 masa pakai recommended usage 3 bulan monthly warna color warna brown ukuran power range plano no minus isi content 2 buah 1 pasang</t>
  </si>
  <si>
    <t>living color della brown color softlens planono minus</t>
  </si>
  <si>
    <t>living color della brown color softlens planono minus tablet kombinasivalsartan blend 32 softlens living color della penggunaan 3 bulan  spesifikasi produk base curve 8  60 mm diameter 16 mm kadar air water content 48 masa pakai recommended usage 3 bulan monthly warna color warna brown ukuran power range plano no minus isi content 2 buah 1 pasang</t>
  </si>
  <si>
    <t>Adelle Choco Brown 2 Color Softlens Plano/No Minus</t>
  </si>
  <si>
    <t>Rp28.000 - Rp52.900</t>
  </si>
  <si>
    <t>Softlens ADELLE BY IRISLAB untuk penggunaan 3 Bulan. Spesifikasi Produk: Base Curve: 8.60 mm Diameter: 16 mm Kadar Air/Water Content: 48% Masa Pakai/Recommended Usage: 3 Bulan/Monthly Warna/Color: Warna Choco Brown Ukuran/Power Range: Plano / No Minus Isi/Content: 2 buah (1 pasang)</t>
  </si>
  <si>
    <t>softlens adelle by irislab penggunaan 3 bulan  spesifikasi produk base curve 8  60 mm diameter 16 mm kadar air water content 48 masa pakai recommended usage 3 bulan monthly warna color warna choco brown ukuran power range plano no minus isi content 2 buah 1 pasang</t>
  </si>
  <si>
    <t>adelle choco brown color softlens planono minus</t>
  </si>
  <si>
    <t>adelle choco brown color softlens planono minus tablet kombinasivalsartan blend 32 softlens adelle by irislab penggunaan 3 bulan  spesifikasi produk base curve 8  60 mm diameter 16 mm kadar air water content 48 masa pakai recommended usage 3 bulan monthly warna color warna choco brown ukuran power range plano no minus isi content 2 buah 1 pasang</t>
  </si>
  <si>
    <t>Urara Story Blue 2 Color Softlens Plano/No Minus</t>
  </si>
  <si>
    <t>Softlens URARA STORY untuk penggunaan maksimal 1 Bulan. Spesifikasi Produk: Base Curve: 8.6 mm Diameter: 14.2 mm Kadar Air/Water Content: 55 % Masa Pakai/Recommended Usage: 1 Bulan/1 Month Warna/Color: Blue Ukuran/Power Range: Plano/No Minus Isi/Content: 2 buah (1 pasang).</t>
  </si>
  <si>
    <t>softlens urara story penggunaan maksimal 1 bulan  spesifikasi produk base curve 8  6 mm diameter 14  2 mm kadar air water content 55 masa pakai recommended usage 1 bulan 1 month warna color blue ukuran power range plano no minus isi content 2 buah 1 pasang</t>
  </si>
  <si>
    <t>urara story blue color softlens planono minus</t>
  </si>
  <si>
    <t>urara story blue color softlens planono minus tablet kombinasivalsartan blend 32 softlens urara story penggunaan maksimal 1 bulan  spesifikasi produk base curve 8  6 mm diameter 14  2 mm kadar air water content 55 masa pakai recommended usage 1 bulan 1 month warna color blue ukuran power range plano no minus isi content 2 buah 1 pasang</t>
  </si>
  <si>
    <t>Zuhra Black 2 Color Softlens Minus</t>
  </si>
  <si>
    <t>Rp41.500 - Rp100.800</t>
  </si>
  <si>
    <t>Softlens Minus Zuhra untuk penggunaan 6 Bulan. Spesifikasi Produk: Base Curve: 8.6 Diameter: 14.50 mm Kadar Air/Water Content: 55% Masa Pakai/Recommended Usage: 6-Bulan Warna/Color: Black Ukuran/Power Range: -0.5 s/d -6.00 (Step 0.25) Isi/Content: 2 buah (1 pasang)</t>
  </si>
  <si>
    <t>softlens minus zuhra penggunaan 6 bulan  spesifikasi produk base curve 8  6 diameter 14  50 mm kadar air water content 55 masa pakai recommended usage 6 - bulan warna color black ukuran power range - 0  5 s d - 6  00 step 0  25 isi content 2 buah 1 pasang</t>
  </si>
  <si>
    <t>zuhra black color softlens minus</t>
  </si>
  <si>
    <t>zuhra black color softlens minus tablet kombinasivalsartan blend 32 softlens minus zuhra penggunaan 6 bulan  spesifikasi produk base curve 8  6 diameter 14  50 mm kadar air water content 55 masa pakai recommended usage 6  bulan warna color black ukuran power range  0  5 s d  6  00 step 0  25 isi content 2 buah 1 pasang</t>
  </si>
  <si>
    <t>Evar Suzie Brown Softlens Minus</t>
  </si>
  <si>
    <t>EVAR SUZIE BROWN SOFTLENSE Minus untuk penggunaan 6 Bulan. Spesifikasi Produk: Base Curve: 8.6 mm Diameter: 14.2 mm Kadar Air/Water Content: 40 % Masa Pakai/Recommended Usage: 6 Bulan/Monthly Warna/Color: Brown Ukuran/Power Range: -0.5 s/d -6.00 Isi/Content: 2 buah (1 pasang).</t>
  </si>
  <si>
    <t>Produk ini merupakan Softlens Minus yang ditujukan untuk penggunaan pada mata minus. Dalam pembelian produk ini, mohon dicantumkan Ukuran Power Softlens yang ingin dipesan dengan mengupload foto Catatan Power (-minus) pada bagian Upload Prescription. Penggunaan softlens, sebaiknya tidak lebih dari 8 Jam/Hari.</t>
  </si>
  <si>
    <t>evar suzie brown softlense minus penggunaan 6 bulan  spesifikasi produk base curve 8  6 mm diameter 14  2 mm kadar air water content 40 masa pakai recommended usage 6 bulan monthly warna color brown ukuran power range - 0  5 s d - 6  00 isi content 2 buah 1 pasang</t>
  </si>
  <si>
    <t>evar suzie brown softlens minus</t>
  </si>
  <si>
    <t>evar suzie brown softlens minus tablet kombinasivalsartan blend 32 evar suzie brown softlense minus penggunaan 6 bulan  spesifikasi produk base curve 8  6 mm diameter 14  2 mm kadar air water content 40 masa pakai recommended usage 6 bulan monthly warna color brown ukuran power range  0  5 s d  6  00 isi content 2 buah 1 pasang</t>
  </si>
  <si>
    <t>DC1 Softlens Sonic Brown Minus</t>
  </si>
  <si>
    <t>DC1 Softlens Sonic Brown Minus untuk penggunaan 1 Bulan. Spesifikasi Produk: Base Curve: 8.6 mm Diameter: 14.5 mm Kadar Air/Water Content: 40 % Masa Pakai/Recommended Usage: 1 Bulan/Monthly Warna/Color: Brown Ukuran/Power Range: -0.5 s/d -5.00 Isi/Content: 2 buah (1 pasang).</t>
  </si>
  <si>
    <t>Dalam pembelian produk ini, mohon dicantumkan Ukuran Power Softlens yang ingin dipesan dengan mengupload foto Catatan Power (-minus) pada bagian Upload Prescription. Penggunaan softlens, sebaiknya tidak lebih dari 8 Jam/Hari.</t>
  </si>
  <si>
    <t>dc1 softlens sonic brown minus penggunaan 1 bulan  spesifikasi produk base curve 8  6 mm diameter 14  5 mm kadar air water content 40 masa pakai recommended usage 1 bulan monthly warna color brown ukuran power range - 0  5 s d - 5  00 isi content 2 buah 1 pasang</t>
  </si>
  <si>
    <t>dc softlens sonic brown minus</t>
  </si>
  <si>
    <t>dc softlens sonic brown minus tablet kombinasivalsartan blend 32 dc1 softlens sonic brown minus penggunaan 1 bulan  spesifikasi produk base curve 8  6 mm diameter 14  5 mm kadar air water content 40 masa pakai recommended usage 1 bulan monthly warna color brown ukuran power range  0  5 s d  5  00 isi content 2 buah 1 pasang</t>
  </si>
  <si>
    <t>DC1 Softlens Soul Choco Minus</t>
  </si>
  <si>
    <t>DC1 Softlens Soul Choco Minus untuk penggunaan 1 Bulan. Spesifikasi Produk: Base Curve: 8.6 mm Diameter: 14.5 mm Kadar Air/Water Content: 40 % Masa Pakai/Recommended Usage: 1 Bulan/Monthly Warna/Color: Choco Ukuran/Power Range: -0.5 s/d -5.00 Isi/Content: 2 buah (1 pasang).</t>
  </si>
  <si>
    <t>dc1 softlens soul choco minus penggunaan 1 bulan  spesifikasi produk base curve 8  6 mm diameter 14  5 mm kadar air water content 40 masa pakai recommended usage 1 bulan monthly warna color choco ukuran power range - 0  5 s d - 5  00 isi content 2 buah 1 pasang</t>
  </si>
  <si>
    <t>dc softlens soul choco minus</t>
  </si>
  <si>
    <t>dc softlens soul choco minus tablet kombinasivalsartan blend 32 dc1 softlens soul choco minus penggunaan 1 bulan  spesifikasi produk base curve 8  6 mm diameter 14  5 mm kadar air water content 40 masa pakai recommended usage 1 bulan monthly warna color choco ukuran power range  0  5 s d  5  00 isi content 2 buah 1 pasang</t>
  </si>
  <si>
    <t>DC1 Softlens Teresa Brown Minus</t>
  </si>
  <si>
    <t>Rp51.900 - Rp101.000</t>
  </si>
  <si>
    <t>DC1 Softlens Teresa Brown Minus untuk penggunaan 1 Bulan. Spesifikasi Produk: Base Curve: 8.6 mm Diameter: 14.5 mm Kadar Air/Water Content: 40 % Masa Pakai/Recommended Usage: 1 Bulan/Monthly Warna/Color: Brown Ukuran/Power Range: -0.5 s/d -5.00 Isi/Content: 2 buah (1 pasang).</t>
  </si>
  <si>
    <t>dc1 softlens teresa brown minus penggunaan 1 bulan  spesifikasi produk base curve 8  6 mm diameter 14  5 mm kadar air water content 40 masa pakai recommended usage 1 bulan monthly warna color brown ukuran power range - 0  5 s d - 5  00 isi content 2 buah 1 pasang</t>
  </si>
  <si>
    <t>dc softlens teresa brown minus</t>
  </si>
  <si>
    <t>dc softlens teresa brown minus tablet kombinasivalsartan blend 32 dc1 softlens teresa brown minus penggunaan 1 bulan  spesifikasi produk base curve 8  6 mm diameter 14  5 mm kadar air water content 40 masa pakai recommended usage 1 bulan monthly warna color brown ukuran power range  0  5 s d  5  00 isi content 2 buah 1 pasang</t>
  </si>
  <si>
    <t>DC1 Softlens Veronica Brown Minus</t>
  </si>
  <si>
    <t>DC1 Softlens Veronica Brown Minus untuk penggunaan 1 Bulan. Spesifikasi Produk: Base Curve: 8.6 mm Diameter: 14.5 mm Kadar Air/Water Content: 40 % Masa Pakai/Recommended Usage: 1 Bulan/Monthly Warna/Color: Brown Ukuran/Power Range: -0.5 s/d -5.00 Isi/Content: 2 buah (1 pasang).</t>
  </si>
  <si>
    <t>dc1 softlens veronica brown minus penggunaan 1 bulan  spesifikasi produk base curve 8  6 mm diameter 14  5 mm kadar air water content 40 masa pakai recommended usage 1 bulan monthly warna color brown ukuran power range - 0  5 s d - 5  00 isi content 2 buah 1 pasang</t>
  </si>
  <si>
    <t>dc softlens veronica brown minus</t>
  </si>
  <si>
    <t>dc softlens veronica brown minus tablet kombinasivalsartan blend 32 dc1 softlens veronica brown minus penggunaan 1 bulan  spesifikasi produk base curve 8  6 mm diameter 14  5 mm kadar air water content 40 masa pakai recommended usage 1 bulan monthly warna color brown ukuran power range  0  5 s d  5  00 isi content 2 buah 1 pasang</t>
  </si>
  <si>
    <t>Evar Hiroko Grey Softlens Minus</t>
  </si>
  <si>
    <t>EVAR HIROKO GREY SOFTLENSE Minus untuk penggunaan 6 Bulan. Spesifikasi Produk: Base Curve: 8.6 mm Diameter: 14.0 mm Kadar Air/Water Content: 40 % Masa Pakai/Recommended Usage: 6 Bulan/Monthly Warna/Color: Grey Ukuran/Power Range: -0.5 s/d -6.00 Isi/Content: 2 buah (1 pasang).</t>
  </si>
  <si>
    <t>evar hiroko grey softlense minus penggunaan 6 bulan  spesifikasi produk base curve 8  6 mm diameter 14  0 mm kadar air water content 40 masa pakai recommended usage 6 bulan monthly warna color grey ukuran power range - 0  5 s d - 6  00 isi content 2 buah 1 pasang</t>
  </si>
  <si>
    <t>evar hiroko grey softlens minus</t>
  </si>
  <si>
    <t>evar hiroko grey softlens minus tablet kombinasivalsartan blend 32 evar hiroko grey softlense minus penggunaan 6 bulan  spesifikasi produk base curve 8  6 mm diameter 14  0 mm kadar air water content 40 masa pakai recommended usage 6 bulan monthly warna color grey ukuran power range  0  5 s d  6  00 isi content 2 buah 1 pasang</t>
  </si>
  <si>
    <t>Evar Hydrocore Brown Softlens Minus</t>
  </si>
  <si>
    <t>EVAR HYDROCORE BROWN SOFTLENSE Minus untuk penggunaan 6 Bulan. Spesifikasi Produk: Base Curve: 8.6 mm Diameter: 14.2 mm Kadar Air/Water Content: 40 % Masa Pakai/Recommended Usage: 6 Bulan/Monthly Warna/Color: Brown Ukuran/Power Range: -0.5 s/d -10.00 Isi/Content: 2 buah (1 pasang).</t>
  </si>
  <si>
    <t>evar hydrocore brown softlense minus penggunaan 6 bulan  spesifikasi produk base curve 8  6 mm diameter 14  2 mm kadar air water content 40 masa pakai recommended usage 6 bulan monthly warna color brown ukuran power range - 0  5 s d - 10  00 isi content 2 buah 1 pasang</t>
  </si>
  <si>
    <t>evar hydrocore brown softlens minus</t>
  </si>
  <si>
    <t>evar hydrocore brown softlens minus tablet kombinasivalsartan blend 32 evar hydrocore brown softlense minus penggunaan 6 bulan  spesifikasi produk base curve 8  6 mm diameter 14  2 mm kadar air water content 40 masa pakai recommended usage 6 bulan monthly warna color brown ukuran power range  0  5 s d  10  00 isi content 2 buah 1 pasang</t>
  </si>
  <si>
    <t>Evar Iris Brown Softlens Minus</t>
  </si>
  <si>
    <t>EVAR IRIS BROWN SOFTLENSE Minus untuk penggunaan 6 Bulan. Spesifikasi Produk: Base Curve: 8.6 mm Diameter: 14.2 mm Kadar Air/Water Content: 40 % Masa Pakai/Recommended Usage: 6 Bulan/Monthly Warna/Color: Brown Ukuran/Power Range: -0.5 s/d -10.00 Isi/Content: 2 buah (1 pasang).</t>
  </si>
  <si>
    <t>evar iris brown softlense minus penggunaan 6 bulan  spesifikasi produk base curve 8  6 mm diameter 14  2 mm kadar air water content 40 masa pakai recommended usage 6 bulan monthly warna color brown ukuran power range - 0  5 s d - 10  00 isi content 2 buah 1 pasang</t>
  </si>
  <si>
    <t>evar iris brown softlens minus</t>
  </si>
  <si>
    <t>evar iris brown softlens minus tablet kombinasivalsartan blend 32 evar iris brown softlense minus penggunaan 6 bulan  spesifikasi produk base curve 8  6 mm diameter 14  2 mm kadar air water content 40 masa pakai recommended usage 6 bulan monthly warna color brown ukuran power range  0  5 s d  10  00 isi content 2 buah 1 pasang</t>
  </si>
  <si>
    <t>Evar Maru Grey Softlens Minus</t>
  </si>
  <si>
    <t>EVAR MARU GREY SOFTLENSE Minus untuk penggunaan 6 Bulan. Spesifikasi Produk: Base Curve: 8.6 mm Diameter: 14.2 mm Kadar Air/Water Content: 40 % Masa Pakai/Recommended Usage: 6 Bulan/Monthly Warna/Color: Grey Ukuran/Power Range: -0.5 s/d -6.00 Isi/Content: 2 buah (1 pasang).</t>
  </si>
  <si>
    <t>evar maru grey softlense minus penggunaan 6 bulan  spesifikasi produk base curve 8  6 mm diameter 14  2 mm kadar air water content 40 masa pakai recommended usage 6 bulan monthly warna color grey ukuran power range - 0  5 s d - 6  00 isi content 2 buah 1 pasang</t>
  </si>
  <si>
    <t>evar maru grey softlens minus</t>
  </si>
  <si>
    <t>evar maru grey softlens minus tablet kombinasivalsartan blend 32 evar maru grey softlense minus penggunaan 6 bulan  spesifikasi produk base curve 8  6 mm diameter 14  2 mm kadar air water content 40 masa pakai recommended usage 6 bulan monthly warna color grey ukuran power range  0  5 s d  6  00 isi content 2 buah 1 pasang</t>
  </si>
  <si>
    <t>DC1 Softlens Rock Black Minus</t>
  </si>
  <si>
    <t>Rp51.900 - Rp101.900</t>
  </si>
  <si>
    <t>DC1 Softlens Rock Black Minus untuk penggunaan 1 Bulan. Spesifikasi Produk: Base Curve: 8.6 mm Diameter: 14.5 mm Kadar Air/Water Content: 40 % Masa Pakai/Recommended Usage: 1 Bulan/Monthly Warna/Color: Black Ukuran/Power Range: -0.5 s/d -4.00 Isi/Content: 2 buah (1 pasang).</t>
  </si>
  <si>
    <t>dc1 softlens rock black minus penggunaan 1 bulan  spesifikasi produk base curve 8  6 mm diameter 14  5 mm kadar air water content 40 masa pakai recommended usage 1 bulan monthly warna color black ukuran power range - 0  5 s d - 4  00 isi content 2 buah 1 pasang</t>
  </si>
  <si>
    <t>dc softlens rock black minus</t>
  </si>
  <si>
    <t>dc softlens rock black minus tablet kombinasivalsartan blend 32 dc1 softlens rock black minus penggunaan 1 bulan  spesifikasi produk base curve 8  6 mm diameter 14  5 mm kadar air water content 40 masa pakai recommended usage 1 bulan monthly warna color black ukuran power range  0  5 s d  4  00 isi content 2 buah 1 pasang</t>
  </si>
  <si>
    <t>Freshkon 58 6 Clear Softlens Minus</t>
  </si>
  <si>
    <t>Rp110.900 - Rp168.000</t>
  </si>
  <si>
    <t>Softlens FRESHKON 58 untuk penggunaan 1 Bulan. Spesifikasi Produk: Base Curve: 8.5 mm Diameter: 14.2 mm Kadar Air/Water Content: 58% Masa Pakai/Recommended Usage: 1 Bulan/Monthly Warna/Color: Clear/Bening Ukuran/Power Range: -0.50 to -6.00 (steps 0.25) Isi/Content: 6 buah (3 pasang).</t>
  </si>
  <si>
    <t>Box @ 6 Soft Contact Lense.</t>
  </si>
  <si>
    <t>softlens freshkon 58 penggunaan 1 bulan  spesifikasi produk base curve 8  5 mm diameter 14  2 mm kadar air water content 58 masa pakai recommended usage 1 bulan monthly warna color clear bening ukuran power range - 0  50 to - 6  00 step 0  25 isi content 6 buah 3 pasang</t>
  </si>
  <si>
    <t>freshkon clear softlens minus</t>
  </si>
  <si>
    <t>freshkon clear softlens minus tablet kombinasivalsartan blend 32 softlens freshkon 58 penggunaan 1 bulan  spesifikasi produk base curve 8  5 mm diameter 14  2 mm kadar air water content 58 masa pakai recommended usage 1 bulan monthly warna color clear bening ukuran power range  0  50 to  6  00 step 0  25 isi content 6 buah 3 pasang</t>
  </si>
  <si>
    <t>Evar Enrose Grey Softlens Minus</t>
  </si>
  <si>
    <t>EVAR ENROSE GREY SOFTLENSE Minus untuk penggunaan 6 Bulan. Spesifikasi Produk: Base Curve: 8.6 mm Diameter: 14.2 mm Kadar Air/Water Content: 40 % Masa Pakai/Recommended Usage: 6 Bulan/Monthly Warna/Color: Grey Ukuran/Power Range: -0.5 s/d -6.00 Isi/Content: 2 buah (1 pasang).</t>
  </si>
  <si>
    <t>evar enrose grey softlense minus penggunaan 6 bulan  spesifikasi produk base curve 8  6 mm diameter 14  2 mm kadar air water content 40 masa pakai recommended usage 6 bulan monthly warna color grey ukuran power range - 0  5 s d - 6  00 isi content 2 buah 1 pasang</t>
  </si>
  <si>
    <t>evar enrose grey softlens minus</t>
  </si>
  <si>
    <t>evar enrose grey softlens minus tablet kombinasivalsartan blend 32 evar enrose grey softlense minus penggunaan 6 bulan  spesifikasi produk base curve 8  6 mm diameter 14  2 mm kadar air water content 40 masa pakai recommended usage 6 bulan monthly warna color grey ukuran power range  0  5 s d  6  00 isi content 2 buah 1 pasang</t>
  </si>
  <si>
    <t>DC1 Softlens Pear Brown Minus</t>
  </si>
  <si>
    <t>DC1 Softlens Pear Brown Minus untuk penggunaan 1 Bulan. Spesifikasi Produk: Base Curve: 8.6 mm Diameter: 14.5 mm Kadar Air/Water Content: 40 % Masa Pakai/Recommended Usage: 1 Bulan/Monthly Warna/Color: Brown Ukuran/Power Range: -0.5 s/d -5.00 Isi/Content: 2 buah (1 pasang).</t>
  </si>
  <si>
    <t>dc1 softlens pear brown minus penggunaan 1 bulan  spesifikasi produk base curve 8  6 mm diameter 14  5 mm kadar air water content 40 masa pakai recommended usage 1 bulan monthly warna color brown ukuran power range - 0  5 s d - 5  00 isi content 2 buah 1 pasang</t>
  </si>
  <si>
    <t>dc softlens pear brown minus</t>
  </si>
  <si>
    <t>dc softlens pear brown minus tablet kombinasivalsartan blend 32 dc1 softlens pear brown minus penggunaan 1 bulan  spesifikasi produk base curve 8  6 mm diameter 14  5 mm kadar air water content 40 masa pakai recommended usage 1 bulan monthly warna color brown ukuran power range  0  5 s d  5  00 isi content 2 buah 1 pasang</t>
  </si>
  <si>
    <t>Nasonex Nasal Spray 140 Dosis</t>
  </si>
  <si>
    <t>Rp389.400 - Rp428.300</t>
  </si>
  <si>
    <t>Disemprotkan kedalam lubang hidung</t>
  </si>
  <si>
    <t>Pengobatan gejala rinitis musiman atau tahunan pada dewasa, remaja &amp; anak 2-11 thn. Pengobatan profilaksis pada pasien dengan riwayat gejala rinitis alergi musiman sedang hingga berat. Pengobatan gejala rinosinusitis akut pada pasien 12 tahun tanpa tanda atau gejala infeksi bakteri berat. Polip hidung &amp; gejala terkait termasuk kongesti &amp; kehilangan penciuman pada pasien 18 thn. Terapi tambahan dengan antibiotik untuk episode akut sinusitis pada dewasa &amp; remaja 12 thn.</t>
  </si>
  <si>
    <t>Dus, Botol @ 140 dosis</t>
  </si>
  <si>
    <t>HARUS DENGAN RESEP DOKTER. Infeksi TB aktif atau diam pada saluran pernapasan, atau pada infeksi jamur, bakteri, virus sistemik atau herpes simpleks okular yang tidak diobati. Hentikan penggunaan jika terjadi infeksi jamur lokal pada hidung &amp; faring. Transfer dari pemberian kortikosteroid aktif sistemik jangka panjang ke semprotan hidung Nasonex. Tidak boleh digunakan pada operasi hidung atau trauma baru-baru ini. Tanda-tanda infeksi bakteri (demam, nyeri wajah/gigi unilateral yang persisten, pembengkakan wajah orbital atau periorbital atau gejala yang memburuk setelah perbaikan awal). Kehamilan &amp; laktasi. Anak &amp; remaja &lt;18 thn.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</si>
  <si>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pengobatan gejala rinitis musiman tahunan dewasa , remaja anak 2 - 11 thn  pengobatan profilaksis pasien riwayat gejala rinitis alergi musiman berat  pengobatan gejala rinosinusitis akut pasien 12 tanda gejala infeksi bakteri berat  polip hidung gejala terkait kongesti kehilangan penciuman pasien 18 thn  terapi tambahan antibiotik episode akut sinusitis dewasa remaja 12 thn</t>
  </si>
  <si>
    <t>nasonex nasal dosis spray mometasone furoate monohydrate pengobatan gejala rinitis musiman tahu dewasa  remaja anak 2  11 thn  pengobatan profilaksis pasien riwayat gejala rinitis alergi musiman berat  pengobatan gejala rinosinusitis akut pasien 12 tanda gejala infeksi bakteri berat  polip hidung gejala terkait kongesti kehilangan penciuman pasien 18 thn  terapi tambahan antibiotik episode akut sinusitis dewasa remaja 12 thn</t>
  </si>
  <si>
    <t>DC1 Softlens Moonwalk Brown Minus</t>
  </si>
  <si>
    <t>DC1 Softlens Moonwalk Brown Minus untuk penggunaan 1 Bulan. Spesifikasi Produk: Base Curve: 8.6 mm Diameter: 14.5 mm Kadar Air/Water Content: 40 % Masa Pakai/Recommended Usage: 1 Bulan/Monthly Warna/Color: Brown Ukuran/Power Range: -0.5 s/d -5.00 Isi/Content: 2 buah (1 pasang).</t>
  </si>
  <si>
    <t>dc1 softlens moonwalk brown minus penggunaan 1 bulan  spesifikasi produk base curve 8  6 mm diameter 14  5 mm kadar air water content 40 masa pakai recommended usage 1 bulan monthly warna color brown ukuran power range - 0  5 s d - 5  00 isi content 2 buah 1 pasang</t>
  </si>
  <si>
    <t>dc softlens moonwalk brown minus</t>
  </si>
  <si>
    <t>dc softlens moonwalk brown minus tablet kombinasivalsartan blend 32 dc1 softlens moonwalk brown minus penggunaan 1 bulan  spesifikasi produk base curve 8  6 mm diameter 14  5 mm kadar air water content 40 masa pakai recommended usage 1 bulan monthly warna color brown ukuran power range  0  5 s d  5  00 isi content 2 buah 1 pasang</t>
  </si>
  <si>
    <t>Quita Ivy Grey Softlens Minus</t>
  </si>
  <si>
    <t>QUITA IVY GREY SOFTLENSE Minus untuk penggunaan 6 Bulan. Spesifikasi Produk: Base Curve: 8.6 mm Diameter: 14.2 mm Kadar Air/Water Content: 55 % Masa Pakai/Recommended Usage: 6 Bulan/Monthly Warna/Color: Grey Ukuran/Power Range: -0.5 s/d -8.00 Isi/Content: 2 buah (1 pasang).</t>
  </si>
  <si>
    <t>quita ivy grey softlense minus penggunaan 6 bulan  spesifikasi produk base curve 8  6 mm diameter 14  2 mm kadar air water content 55 masa pakai recommended usage 6 bulan monthly warna color grey ukuran power range - 0  5 s d - 8  00 isi content 2 buah 1 pasang</t>
  </si>
  <si>
    <t>quita ivy grey softlens minus</t>
  </si>
  <si>
    <t>quita ivy grey softlens minus tablet kombinasivalsartan blend 32 quita ivy grey softlense minus penggunaan 6 bulan  spesifikasi produk base curve 8  6 mm diameter 14  2 mm kadar air water content 55 masa pakai recommended usage 6 bulan monthly warna color grey ukuran power range  0  5 s d  8  00 isi content 2 buah 1 pasang</t>
  </si>
  <si>
    <t>TI084326971</t>
  </si>
  <si>
    <t>Wellness Hawaiian Noni Extract 500mg 35 Kapsul</t>
  </si>
  <si>
    <t>WELLNESS HAWAIIAN NONI EXTRACT</t>
  </si>
  <si>
    <t>Rp216.000 - Rp318.800</t>
  </si>
  <si>
    <t>1-2 kapsul/hari</t>
  </si>
  <si>
    <t>Menstimulasi sistem kekebalan tubuh. Memperbaiki gangguan struktur protein &amp; regenerasi sel-sel jaringan tubuh yang rusak. Menjaga kesehatan serta mengatasi masalah pencernaan dan pernafasan. Membantu pengobatan bagi penderita diabetes,hipertensi, alergi, gangguan tidur. Menurunnya daya konsentasi. Meningkatkan energi, stamina, dan ketahanan tubuh, sebagai analgesik untuk menghilangkan rasa sakit/nyeri. Menjaga kesehatan alat reproduksi pria&amp;wanita. Membantu mengatasi impotensi dan ganggguan yang timbul saat menstruasi serta membantu kesuburan.</t>
  </si>
  <si>
    <t>Botol @ 35 Kapsul</t>
  </si>
  <si>
    <t>wellness hawaiian noni extract</t>
  </si>
  <si>
    <t>menstimulasi sistem kekebalan tubuh  memperbaiki gangguan struktur protein regenerasi sel - sel jaringan tubuh rusak  menjaga kesehatan mengatasi pencernaan pernafasan  membantu pengobatan penderita diabetes , hipertensi , alergi , gangguan tidur  menurunnya daya konsentasi  meningkatkan energi , stamen , ketahanan tubuh , analgesik menghilangkan sakit nyeri  menjaga kesehatan alat reproduksi pria wanita  membantu mengatasi impotensi gangguan timbul menstruasi membantu kesuburan</t>
  </si>
  <si>
    <t>wellness hawaiian noni extract kapsul menstimulasi sistem kekebalan tubuh  memperbaiki gangguan struktur protein regenerasi sel  sel jaringan tubuh rusak  menjaga kesehatan mengatasi pencernaan pernafasan  membantu pengobatan penderita diabetes  hipertensi  alergi  gangguan tidur  menurunnya daya konsentasi  meningkatkan energi  stamen  ketaha tubuh  analgesik menghilangkan sakit nyeri  menjaga kesehatan alat reproduksi pria wanita  membantu mengatasi impotensi gangguan timbul menstruasi membantu kesuburan</t>
  </si>
  <si>
    <t>She Saeg Creamy Beige 2 Color Softlens Plano/No Minus</t>
  </si>
  <si>
    <t>Softlens SHE SAEG untuk penggunaan 6 Bulan. Spesifikasi Produk: Base Curve: 8.6 mm Diameter: 14.5 mm Kadar Air/Water Content: 55% Masa Pakai/Recommended Usage: 6 Bulan/Monthly Warna/Color: Warna Creamy Beige Ukuran/Power Range: Plano/No Minus Isi/Content: 2 buah (1 pasang).</t>
  </si>
  <si>
    <t>softlens she saeg penggunaan 6 bulan  spesifikasi produk base curve 8  6 mm diameter 14  5 mm kadar air water content 55 masa pakai recommended usage 6 bulan monthly warna color warna creamy beige ukuran power range plano no minus isi content 2 buah 1 pasang</t>
  </si>
  <si>
    <t>she saeg creamy beige color softlens planono minus</t>
  </si>
  <si>
    <t>she saeg creamy beige color softlens planono minus tablet kombinasivalsartan blend 32 softlens she saeg penggunaan 6 bulan  spesifikasi produk base curve 8  6 mm diameter 14  5 mm kadar air water content 55 masa pakai recommended usage 6 bulan monthly warna color warna creamy beige ukuran power range plano no minus isi content 2 buah 1 pasang</t>
  </si>
  <si>
    <t>X2 Extreme Helraiser 2 Color Softlens Minus</t>
  </si>
  <si>
    <t>Rp95.200 - Rp145.600</t>
  </si>
  <si>
    <t>Softlens X2 EXTREME untuk penggunaan 6 Bulan. Spesifikasi Produk: Base Curve: 8.60 mm Diameter: 14.5 mm Kadar Air/Water Content: 42% Masa Pakai/Recommended Usage: 6 Bulan/Monthly Warna/Color: Warna Helraiser Ukuran/Power Range: -0,25 s/d -6.00 Isi/Content: 2 buah (1 pasang)</t>
  </si>
  <si>
    <t>Box @ 2 Soft Contact Lenses</t>
  </si>
  <si>
    <t>softlens x2 extreme penggunaan 6 bulan  spesifikasi produk base curve 8  60 mm diameter 14  5 mm kadar air water content 42 masa pakai recommended usage 6 bulan monthly warna color warna helraiser ukuran power range - 0 , 25 s d - 6  00 isi content 2 buah 1 pasang</t>
  </si>
  <si>
    <t>x extreme helraiser color softlens minus</t>
  </si>
  <si>
    <t>x extreme helraiser color softlens minus tablet kombinasivalsartan blend 32 softlens x2 extreme penggunaan 6 bulan  spesifikasi produk base curve 8  60 mm diameter 14  5 mm kadar air water content 42 masa pakai recommended usage 6 bulan monthly warna color warna helraiser ukuran power range  0  25 s d  6  00 isi content 2 buah 1 pasang</t>
  </si>
  <si>
    <t>X2 Extreme Vampire 2 Color Softlens Minus</t>
  </si>
  <si>
    <t>Softlens X2 EXTREME untuk penggunaan 6 Bulan. Spesifikasi Produk: Base Curve: 8.60 mm Diameter: 14.5 mm Kadar Air/Water Content: 42% Masa Pakai/Recommended Usage: 6 Bulan/Monthly Warna/Color: Warna Vampire Ukuran/Power Range: -0,25 s/d -6.00 Isi/Content: 2 buah (1 pasang)</t>
  </si>
  <si>
    <t>softlens x2 extreme penggunaan 6 bulan  spesifikasi produk base curve 8  60 mm diameter 14  5 mm kadar air water content 42 masa pakai recommended usage 6 bulan monthly warna color warna vampire ukuran power range - 0 , 25 s d - 6  00 isi content 2 buah 1 pasang</t>
  </si>
  <si>
    <t>x extreme vampire color softlens minus</t>
  </si>
  <si>
    <t>x extreme vampire color softlens minus tablet kombinasivalsartan blend 32 softlens x2 extreme penggunaan 6 bulan  spesifikasi produk base curve 8  60 mm diameter 14  5 mm kadar air water content 42 masa pakai recommended usage 6 bulan monthly warna color warna vampire ukuran power range  0  25 s d  6  00 isi content 2 buah 1 pasang</t>
  </si>
  <si>
    <t>X2 Extreme Avatar 2 Color Softlens Minus</t>
  </si>
  <si>
    <t>Softlens X2 EXTREME untuk penggunaan 6 Bulan. Spesifikasi Produk: Base Curve: 8.60 mm Diameter: 14.5 mm Kadar Air/Water Content: 42% Masa Pakai/Recommended Usage: 6 Bulan/Monthly Warna/Color: Warna Avatar Ukuran/Power Range: -0,25 s/d -6.00 Isi/Content: 2 buah (1 pasang)</t>
  </si>
  <si>
    <t>softlens x2 extreme penggunaan 6 bulan  spesifikasi produk base curve 8  60 mm diameter 14  5 mm kadar air water content 42 masa pakai recommended usage 6 bulan monthly warna color warna avatar ukuran power range - 0 , 25 s d - 6  00 isi content 2 buah 1 pasang</t>
  </si>
  <si>
    <t>x extreme avatar color softlens minus</t>
  </si>
  <si>
    <t>x extreme avatar color softlens minus tablet kombinasivalsartan blend 32 softlens x2 extreme penggunaan 6 bulan  spesifikasi produk base curve 8  60 mm diameter 14  5 mm kadar air water content 42 masa pakai recommended usage 6 bulan monthly warna color warna avatar ukuran power range  0  25 s d  6  00 isi content 2 buah 1 pasang</t>
  </si>
  <si>
    <t>DC1 Softlens Nobluk Brown Minus</t>
  </si>
  <si>
    <t>DC1 Softlens Nobluk Brown Minus untuk penggunaan 1 Bulan. Spesifikasi Produk: Base Curve: 8.6 mm Diameter: 14.5 mm Kadar Air/Water Content: 40 % Masa Pakai/Recommended Usage: 1 Bulan/Monthly Warna/Color: Brown Ukuran/Power Range: -0.5 s/d -5.00 Isi/Content: 2 buah (1 pasang).</t>
  </si>
  <si>
    <t>dc1 softlens nobluk brown minus penggunaan 1 bulan  spesifikasi produk base curve 8  6 mm diameter 14  5 mm kadar air water content 40 masa pakai recommended usage 1 bulan monthly warna color brown ukuran power range - 0  5 s d - 5  00 isi content 2 buah 1 pasang</t>
  </si>
  <si>
    <t>dc softlens nobluk brown minus</t>
  </si>
  <si>
    <t>dc softlens nobluk brown minus tablet kombinasivalsartan blend 32 dc1 softlens nobluk brown minus penggunaan 1 bulan  spesifikasi produk base curve 8  6 mm diameter 14  5 mm kadar air water content 40 masa pakai recommended usage 1 bulan monthly warna color brown ukuran power range  0  5 s d  5  00 isi content 2 buah 1 pasang</t>
  </si>
  <si>
    <t>DC1 Softlens Moonlight Brown Minus</t>
  </si>
  <si>
    <t>DC1 Softlens Moonlight Brown Minus untuk penggunaan 1 Bulan. Spesifikasi Produk: Base Curve: 8.6 mm Diameter: 14.5 mm Kadar Air/Water Content: 40 % Masa Pakai/Recommended Usage: 1 Bulan/Monthly Warna/Color: Brown Ukuran/Power Range: -0.5 s/d -4.00 Isi/Content: 2 buah (1 pasang).</t>
  </si>
  <si>
    <t>dc1 softlens moonlight brown minus penggunaan 1 bulan  spesifikasi produk base curve 8  6 mm diameter 14  5 mm kadar air water content 40 masa pakai recommended usage 1 bulan monthly warna color brown ukuran power range - 0  5 s d - 4  00 isi content 2 buah 1 pasang</t>
  </si>
  <si>
    <t>dc softlens moonlight brown minus</t>
  </si>
  <si>
    <t>dc softlens moonlight brown minus tablet kombinasivalsartan blend 32 dc1 softlens moonlight brown minus penggunaan 1 bulan  spesifikasi produk base curve 8  6 mm diameter 14  5 mm kadar air water content 40 masa pakai recommended usage 1 bulan monthly warna color brown ukuran power range  0  5 s d  4  00 isi content 2 buah 1 pasang</t>
  </si>
  <si>
    <t>DC1 Softlens Matake Brown Minus</t>
  </si>
  <si>
    <t>DC1 Softlens Matake Brown Minus untuk penggunaan 1 Bulan. Spesifikasi Produk: Base Curve: 8.6 mm Diameter: 14.5 mm Kadar Air/Water Content: 40 % Masa Pakai/Recommended Usage: 1 Bulan/Monthly Warna/Color: Brown Ukuran/Power Range: -0.5 s/d -5.00 Isi/Content: 2 buah (1 pasang).</t>
  </si>
  <si>
    <t>dc1 softlens matake brown minus penggunaan 1 bulan  spesifikasi produk base curve 8  6 mm diameter 14  5 mm kadar air water content 40 masa pakai recommended usage 1 bulan monthly warna color brown ukuran power range - 0  5 s d - 5  00 isi content 2 buah 1 pasang</t>
  </si>
  <si>
    <t>dc softlens matake brown minus</t>
  </si>
  <si>
    <t>dc softlens matake brown minus tablet kombinasivalsartan blend 32 dc1 softlens matake brown minus penggunaan 1 bulan  spesifikasi produk base curve 8  6 mm diameter 14  5 mm kadar air water content 40 masa pakai recommended usage 1 bulan monthly warna color brown ukuran power range  0  5 s d  5  00 isi content 2 buah 1 pasang</t>
  </si>
  <si>
    <t>DC1 Softlens Maki Brown Minus</t>
  </si>
  <si>
    <t>DC1 Softlens Maki Brown Minus untuk penggunaan 1 Bulan. Spesifikasi Produk: Base Curve: 8.6 mm Diameter: 14.5 mm Kadar Air/Water Content: 40 % Masa Pakai/Recommended Usage: 1 Bulan/Monthly Warna/Color: Brown Ukuran/Power Range: -0.5 s/d -4.25 Isi/Content: 2 buah (1 pasang).</t>
  </si>
  <si>
    <t>dc1 softlens maki brown minus penggunaan 1 bulan  spesifikasi produk base curve 8  6 mm diameter 14  5 mm kadar air water content 40 masa pakai recommended usage 1 bulan monthly warna color brown ukuran power range - 0  5 s d - 4  25 isi content 2 buah 1 pasang</t>
  </si>
  <si>
    <t>dc softlens maki brown minus</t>
  </si>
  <si>
    <t>dc softlens maki brown minus tablet kombinasivalsartan blend 32 dc1 softlens maki brown minus penggunaan 1 bulan  spesifikasi produk base curve 8  6 mm diameter 14  5 mm kadar air water content 40 masa pakai recommended usage 1 bulan monthly warna color brown ukuran power range  0  5 s d  4  25 isi content 2 buah 1 pasang</t>
  </si>
  <si>
    <t>DC1 Softlens Jennie Brown Minus</t>
  </si>
  <si>
    <t>DC1 Softlens Jennie Brown Minus untuk penggunaan 1 Bulan. Spesifikasi Produk: Base Curve: 8.6 mm Diameter: 14.5 mm Kadar Air/Water Content: 40 % Masa Pakai/Recommended Usage: 1 Bulan/Monthly Warna/Color: Brown Ukuran/Power Range: -0.5 s/d -3.25 Isi/Content: 2 buah (1 pasang).</t>
  </si>
  <si>
    <t>dc1 softlens jennie brown minus penggunaan 1 bulan  spesifikasi produk base curve 8  6 mm diameter 14  5 mm kadar air water content 40 masa pakai recommended usage 1 bulan monthly warna color brown ukuran power range - 0  5 s d - 3  25 isi content 2 buah 1 pasang</t>
  </si>
  <si>
    <t>dc softlens jennie brown minus</t>
  </si>
  <si>
    <t>dc softlens jennie brown minus tablet kombinasivalsartan blend 32 dc1 softlens jennie brown minus penggunaan 1 bulan  spesifikasi produk base curve 8  6 mm diameter 14  5 mm kadar air water content 40 masa pakai recommended usage 1 bulan monthly warna color brown ukuran power range  0  5 s d  3  25 isi content 2 buah 1 pasang</t>
  </si>
  <si>
    <t>Alcon Air Optix Aqua 6 Clear Softlens Minus</t>
  </si>
  <si>
    <t>Rp436.800 - Rp448.000</t>
  </si>
  <si>
    <t>Softlens Minus Acuvue Define 1 day untuk penggunaan Harian. Spesifikasi Produk:Base Curve: 8.5Diameter: 14.20 mmKadar Air/Water Content: 33%Masa Pakai/Recommended Usage: HarianWarna/Color: Warna Radiant SweetUkuran/Power Range: -0.5 s/d -9.00 (Step 0.25)Isi/Content: 6 buah (3 pasang)</t>
  </si>
  <si>
    <t>softlens minus acuvue define 1 day penggunaan harian  spesifikasi produk base curve 8  5diameter 14  20 mmkadar air water content 33 masa pakai recommended usage harianwarna color warna radiant sweetukuran power range - 0  5 s d - 9  00 step 0  25 isi content 6 buah 3 pasang</t>
  </si>
  <si>
    <t>alcon air optix aqua clear softlens minus</t>
  </si>
  <si>
    <t>alcon air optix aqua clear softlens minus tablet kombinasivalsartan blend 32 softlens minus acuvue define 1 day penggunaan harian  spesifikasi produk base curve 8  5diameter 14  20 mmkadar air water content 33 masa pakai recommended usage harianwarna color warna radiant sweetukuran power range  0  5 s d  9  00 step 0  25 isi content 6 buah 3 pasang</t>
  </si>
  <si>
    <t>Eyesight EOS Vonvon Brown Softlens Plano/No Minus</t>
  </si>
  <si>
    <t>Eyesight EOS Vonvon Brown Softlens Plano/No Minus untuk penggunaan maksimal selama 6 Bulan. Spesifikasi Produk: Base Curve: 8.6 mm Diameter: 14 mm Kadar Air/Water Content: 38 % Masa Pakai/Recommended Usage: 6 Bulan/Monthly Varian: Brown Ukuran/Power Range: Plano/No Minus Isi/Content: 2 buah (1 pasang)</t>
  </si>
  <si>
    <t>eyesight eos vonvon brown softlens plano no minus penggunaan maksimal 6 bulan  spesifikasi produk base curve 8  6 mm diameter 14 mm kadar air water content 38 masa pakai recommended usage 6 bulan monthly varian brown ukuran power range plano no minus isi content 2 buah 1 pasang</t>
  </si>
  <si>
    <t>eyesight eos vonvon brown softlens planono minus</t>
  </si>
  <si>
    <t>eyesight eos vonvon brown softlens planono minus tablet kombinasivalsartan blend 32 eyesight eos vonvon brown softlens plano no minus penggunaan maksimal 6 bulan  spesifikasi produk base curve 8  6 mm diameter 14 mm kadar air water content 38 masa pakai recommended usage 6 bulan monthly varian brown ukuran power range plano no minus isi content 2 buah 1 pasang</t>
  </si>
  <si>
    <t>DKL0406503033A1</t>
  </si>
  <si>
    <t>Etamoxul Suspensi 60 ml</t>
  </si>
  <si>
    <t>Rp4.200 - Rp7.800</t>
  </si>
  <si>
    <t>PENGGUNAAN OBAT INI HARUS SESUAI DENGAN PETUNJUK DOKTER. 2 xsehari 4 sendok teh</t>
  </si>
  <si>
    <t>Infeksi saluran kemih seperti pielonefritis pielitis dan protates akutdan kronis yang disebabkan oleh kuman yang sensitif seperti E.Coli, Klebsiella, Entorobacter dan Proteus mirabilisInfeksi saluran pencernaan, terutama disebabakan oleh kuman Salmonella dan Shigella seperti demam tifoid, paratifoid dan disentri basiler.Infeksi saluran pernafasan, seperti bronkhitis akut/kronik dan sinusitis akut yang disebabkan oleh kuman H. influenzae atau S. pneumoniae.Infeksi THT, seperti otitis media akut dan sinusitis akut yang disebabkan oleh kuman H. influenzae dan S. pneumoniae,</t>
  </si>
  <si>
    <t>infeksi saluran kemih pielonefritis pielitis protates akutdan kronis disebabkan kuman sensitif e  coli , klebsiella , entorobacter proteus mirabilisinfeksi saluran pencernaan , disebabakan kuman salmonella shigella demam tifoid , paratifoid disentri basiler  infeksi saluran pernafasan , bronkhitis akut kronik sinusitis akut disebabkan kuman h  influenzae s  pneumoniae  infeksi tht , otitis medium akut sinusitis akut disebabkan kuman h  influenzae s  pneumoniae ,</t>
  </si>
  <si>
    <t>etamoxul</t>
  </si>
  <si>
    <t xml:space="preserve">etamoxul suspensi sulfamethoxazole trimethoprim infeksi saluran kemih pielonefritis pielitis protates akutdan kronis disebabkan kuman sensitif e  coli  klebsiella  entorobacter proteus mirabilisinfeksi saluran pencernaan  disebabakan kuman salmonella shigella demam tifoid  paratifoid disentri basiler  infeksi saluran pernafasan  bronkhitis akut kronik sinusitis akut disebabkan kuman h  influenzae s  pneumoniae  infeksi tht  otitis medium akut sinusitis akut disebabkan kuman h  influenzae s  pneumoniae </t>
  </si>
  <si>
    <t>New Bluk Black 2 Color Softlens Minus</t>
  </si>
  <si>
    <t>Softlens NEWBLUK untuk penggunaan 6 Bulan. Spesifikasi Produk: Base Curve: 8.80 mm Diameter: 15 mm Kadar Air/Water Content: 45% Masa Pakai/Recommended Usage: 6 Bulan/Monthly Warna/Color: Warna Black Ukuran/Power Range: -0.5 s/d -6.00 (Step 0.25) Isi/Content: 2 buah (1 pasang)</t>
  </si>
  <si>
    <t>softlens newbluk penggunaan 6 bulan  spesifikasi produk base curve 8  80 mm diameter 15 mm kadar air water content 45 masa pakai recommended usage 6 bulan monthly warna color warna black ukuran power range - 0  5 s d - 6  00 step 0  25 isi content 2 buah 1 pasang</t>
  </si>
  <si>
    <t>new bluk black color softlens minus</t>
  </si>
  <si>
    <t>new bluk black color softlens minus tablet kombinasivalsartan blend 32 softlens newbluk penggunaan 6 bulan  spesifikasi produk base curve 8  80 mm diameter 15 mm kadar air water content 45 masa pakai recommended usage 6 bulan monthly warna color warna black ukuran power range  0  5 s d  6  00 step 0  25 isi content 2 buah 1 pasang</t>
  </si>
  <si>
    <t>Eyesight EOS Vonvon Gray Softlens Plano/No Minus</t>
  </si>
  <si>
    <t>Eyesight EOS Vonvon Gray Softlens Plano/No Minus untuk penggunaan maksimal selama 6 Bulan. Spesifikasi Produk: Base Curve: 8.6 mm Diameter: 14 mm Kadar Air/Water Content: 38 % Masa Pakai/Recommended Usage: 6 Bulan/Monthly Varian: Gray Ukuran/Power Range: Plano/No Minus Isi/Content: 2 buah (1 pasang)</t>
  </si>
  <si>
    <t>eyesight eos vonvon gray softlens plano no minus penggunaan maksimal 6 bulan  spesifikasi produk base curve 8  6 mm diameter 14 mm kadar air water content 38 masa pakai recommended usage 6 bulan monthly varian gray ukuran power range plano no minus isi content 2 buah 1 pasang</t>
  </si>
  <si>
    <t>eyesight eos vonvon gray softlens planono minus</t>
  </si>
  <si>
    <t>eyesight eos vonvon gray softlens planono minus tablet kombinasivalsartan blend 32 eyesight eos vonvon gray softlens plano no minus penggunaan maksimal 6 bulan  spesifikasi produk base curve 8  6 mm diameter 14 mm kadar air water content 38 masa pakai recommended usage 6 bulan monthly varian gray ukuran power range plano no minus isi content 2 buah 1 pasang</t>
  </si>
  <si>
    <t>Eyesight EOS Baby Black Softlens Plano/No Minus</t>
  </si>
  <si>
    <t>Eyesight EOS Baby Black Softlens Plano/No Minus untuk penggunaan maksimal selama 6 Bulan. Spesifikasi Produk: Base Curve: 9.2 mm Diameter: 15 mm Kadar Air/Water Content: 38 % Masa Pakai/Recommended Usage: 6 Bulan/Monthly Varian: Black Ukuran/Power Range: Plano/No Minus Isi/Content: 2 buah (1 pasang)</t>
  </si>
  <si>
    <t>eyesight eos baby black softlens plano no minus penggunaan maksimal 6 bulan  spesifikasi produk base curve 9  2 mm diameter 15 mm kadar air water content 38 masa pakai recommended usage 6 bulan monthly varian black ukuran power range plano no minus isi content 2 buah 1 pasang</t>
  </si>
  <si>
    <t>eyesight eos baby black softlens planono minus</t>
  </si>
  <si>
    <t>eyesight eos baby black softlens planono minus tablet kombinasivalsartan blend 32 eyesight eos baby black softlens plano no minus penggunaan maksimal 6 bulan  spesifikasi produk base curve 9  2 mm diameter 15 mm kadar air water content 38 masa pakai recommended usage 6 bulan monthly varian black ukuran power range plano no minus isi content 2 buah 1 pasang</t>
  </si>
  <si>
    <t>Onemed Hearing Aid Alat Bantu Dengar HA-125</t>
  </si>
  <si>
    <t>Rp156.700 - Rp215.800</t>
  </si>
  <si>
    <t>Alat bantu dengar Behind The Ear (BTE) yang ringkas dan nyaman serta dapat di-setting sendiri tanpa perlu bantuan audiolog. Specifications: Sound Output: 128 +/- 5 db Sound Gain: 40 dB Harmonic Distortion: &lt;= 5% Frequency Range: 100-600 Hz Current &lt;= 5.0 mA Including: 1 Hearing Aid 2 LR75A Batteries 3 Ear Tips 1 Wallet Box 1 Instruction Manual</t>
  </si>
  <si>
    <t>alat bantu dengar behind the ear bte ringkas nyaman - setting bantuan audiolog  specifications sound output 128 - 5 db sound gain 40 db harmonic distortion 5 frequency range 100 - 600 hz current 5  0 ma including 1 hearing aid 2 lr75a batteries 3 ear tips 1 wallet box 1 instruction manual</t>
  </si>
  <si>
    <t>onemed hearing aid alat bantu dengar ha</t>
  </si>
  <si>
    <t>onemed hearing aid alat bantu dengar ha larutan povidoneiodine alat bantu dengar behind the ear bte ringkas nyaman  setting bantuan audiolog  specifications sound output 128  5 db sound gain 40 db harmonic distortion 5 frequency range 100  600 hz current 5  0 ma including 1 hearing aid 2 lr75a batteries 3 ear tips 1 wallet box 1 instruction manual</t>
  </si>
  <si>
    <t>VX Kiwi Green 2 Color Softlens Minus</t>
  </si>
  <si>
    <t>Rp56.000 - Rp110.000</t>
  </si>
  <si>
    <t>Softlens VX KIWI untuk penggunaan maksimal 6 Bulan. Spesifikasi Produk: Base Curve: 8.6 mm Diameter: 14.5 mm Kadar Air/Water Content: 60 % Masa Pakai/Recommended Usage: 6 Bulan/6 Months Warna/Color: Green Ukuran/Power Range: -0.50 s/d -4.00 Isi/Content: 2 buah (1 pasang).</t>
  </si>
  <si>
    <t>softlens vx kiwi penggunaan maksimal 6 bulan  spesifikasi produk base curve 8  6 mm diameter 14  5 mm kadar air water content 60 masa pakai recommended usage 6 bulan 6 months warna color green ukuran power range - 0  50 s d - 4  00 isi content 2 buah 1 pasang</t>
  </si>
  <si>
    <t>vx kiwi green color softlens minus</t>
  </si>
  <si>
    <t>vx kiwi green color softlens minus tablet kombinasivalsartan blend 32 softlens vx kiwi penggunaan maksimal 6 bulan  spesifikasi produk base curve 8  6 mm diameter 14  5 mm kadar air water content 60 masa pakai recommended usage 6 bulan 6 months warna color green ukuran power range  0  50 s d  4  00 isi content 2 buah 1 pasang</t>
  </si>
  <si>
    <t>Evar Mini Mia Brown Softlens Minus</t>
  </si>
  <si>
    <t>EVAR MINI MIA BROWN SOFTLENSE Minus untuk penggunaan 6 Bulan. Spesifikasi Produk: Base Curve: 8.6 mm Diameter: 14.5 mm Kadar Air/Water Content: 40 % Masa Pakai/Recommended Usage: 6 Bulan/Monthly Warna/Color: Brown Ukuran/Power Range: -0.5 s/d -6.00 Isi/Content: 2 buah (1 pasang).</t>
  </si>
  <si>
    <t>evar mini mia brown softlense minus penggunaan 6 bulan  spesifikasi produk base curve 8  6 mm diameter 14  5 mm kadar air water content 40 masa pakai recommended usage 6 bulan monthly warna color brown ukuran power range - 0  5 s d - 6  00 isi content 2 buah 1 pasang</t>
  </si>
  <si>
    <t>evar mini mia brown softlens minus</t>
  </si>
  <si>
    <t>evar mini mia brown softlens minus tablet kombinasivalsartan blend 32 evar mini mia brown softlense minus penggunaan 6 bulan  spesifikasi produk base curve 8  6 mm diameter 14  5 mm kadar air water content 40 masa pakai recommended usage 6 bulan monthly warna color brown ukuran power range  0  5 s d  6  00 isi content 2 buah 1 pasang</t>
  </si>
  <si>
    <t>DC1 Softlens Jisoo Brown Minus</t>
  </si>
  <si>
    <t>DC1 Softlens Jisoo Brown Plano/No Minus untuk penggunaan 1 Bulan. Spesifikasi Produk: Base Curve: 8.6 mm Diameter: 14.5 mm Kadar Air/Water Content: 40 % Masa Pakai/Recommended Usage: 1 Bulan/Monthly Warna/Color: Brown Ukuran/Power Range: -0.5 s/d -4.00 Isi/Content: 2 buah (1 pasang).</t>
  </si>
  <si>
    <t>dc1 softlens jisoo brown plano no minus penggunaan 1 bulan  spesifikasi produk base curve 8  6 mm diameter 14  5 mm kadar air water content 40 masa pakai recommended usage 1 bulan monthly warna color brown ukuran power range - 0  5 s d - 4  00 isi content 2 buah 1 pasang</t>
  </si>
  <si>
    <t>dc softlens jisoo brown minus</t>
  </si>
  <si>
    <t>dc softlens jisoo brown minus tablet kombinasivalsartan blend 32 dc1 softlens jisoo brown plano no minus penggunaan 1 bulan  spesifikasi produk base curve 8  6 mm diameter 14  5 mm kadar air water content 40 masa pakai recommended usage 1 bulan monthly warna color brown ukuran power range  0  5 s d  4  00 isi content 2 buah 1 pasang</t>
  </si>
  <si>
    <t>Eyesight Bloominc Bluebell Black Softlens Minus</t>
  </si>
  <si>
    <t>Eyesight Bloominc Bluebell Black Softlens Minus untuk penggunaan maksimal selama 6 Bulan. Spesifikasi Produk: Base Curve: 8.6 mm Diameter: 14.0 mm Kadar Air/Water Content: 48 % Masa Pakai/Recommended Usage: 6 Bulan/Monthly Varian: Bluebell Black Ukuran/Power Range: -0.50 sd -8.00 Isi/Content: 2 buah (1 pasang)</t>
  </si>
  <si>
    <t>Produk ini merupakan Softlens Minus yang ditujukan untuk penggunaan pada mata minus. Penggunaan softlens, sebaiknya tidak lebih dari 8 Jam/Hari.</t>
  </si>
  <si>
    <t>eyesight bloominc bluebell black softlens minus penggunaan maksimal 6 bulan  spesifikasi produk base curve 8  6 mm diameter 14  0 mm kadar air water content 48 masa pakai recommended usage 6 bulan monthly varian bluebell black ukuran power range - 0  50 sd - 8  00 isi content 2 buah 1 pasang</t>
  </si>
  <si>
    <t>eyesight bloominc bluebell black softlens minus</t>
  </si>
  <si>
    <t>eyesight bloominc bluebell black softlens minus tablet kombinasivalsartan blend 32 eyesight bloominc bluebell black softlens minus penggunaan maksimal 6 bulan  spesifikasi produk base curve 8  6 mm diameter 14  0 mm kadar air water content 48 masa pakai recommended usage 6 bulan monthly varian bluebell black ukuran power range  0  50 sd  8  00 isi content 2 buah 1 pasang</t>
  </si>
  <si>
    <t>DC1 Softlens Mini Delight Brown Minus</t>
  </si>
  <si>
    <t>DC1 Softlens Mini Delight Brown Minus untuk penggunaan 1 Bulan. Spesifikasi Produk: Base Curve: 8.6 mm Diameter: 14.0 mm Kadar Air/Water Content: 40 % Masa Pakai/Recommended Usage: 1 Bulan/Monthly Warna/Color: Brown Ukuran/Power Range: -0.5 s/d -4.00 Isi/Content: 2 buah (1 pasang).</t>
  </si>
  <si>
    <t>dc1 softlens mini delight brown minus penggunaan 1 bulan  spesifikasi produk base curve 8  6 mm diameter 14  0 mm kadar air water content 40 masa pakai recommended usage 1 bulan monthly warna color brown ukuran power range - 0  5 s d - 4  00 isi content 2 buah 1 pasang</t>
  </si>
  <si>
    <t>dc softlens mini delight brown minus</t>
  </si>
  <si>
    <t>dc softlens mini delight brown minus tablet kombinasivalsartan blend 32 dc1 softlens mini delight brown minus penggunaan 1 bulan  spesifikasi produk base curve 8  6 mm diameter 14  0 mm kadar air water content 40 masa pakai recommended usage 1 bulan monthly warna color brown ukuran power range  0  5 s d  4  00 isi content 2 buah 1 pasang</t>
  </si>
  <si>
    <t>Evar Big Grang Chocolate Softlens Minus</t>
  </si>
  <si>
    <t>EVAR BIG GRANG CHOCOLATE SOFTLENSE Minus untuk penggunaan 6 Bulan. Spesifikasi Produk: Base Curve: 8.6 mm Diameter: 14.5 mm Kadar Air/Water Content: 40 % Masa Pakai/Recommended Usage: 6 Bulan/Monthly Warna/Color: Chocolate Ukuran/Power Range: -0.5 s/d -6.00 Isi/Content: 2 buah (1 pasang).</t>
  </si>
  <si>
    <t>evar big grang chocolate softlense minus penggunaan 6 bulan  spesifikasi produk base curve 8  6 mm diameter 14  5 mm kadar air water content 40 masa pakai recommended usage 6 bulan monthly warna color chocolate ukuran power range - 0  5 s d - 6  00 isi content 2 buah 1 pasang</t>
  </si>
  <si>
    <t>evar big grang chocolate softlens minus</t>
  </si>
  <si>
    <t>evar big grang chocolate softlens minus tablet kombinasivalsartan blend 32 evar big grang chocolate softlense minus penggunaan 6 bulan  spesifikasi produk base curve 8  6 mm diameter 14  5 mm kadar air water content 40 masa pakai recommended usage 6 bulan monthly warna color chocolate ukuran power range  0  5 s d  6  00 isi content 2 buah 1 pasang</t>
  </si>
  <si>
    <t>DC1 Softlens Mini Devilish Brown Minus</t>
  </si>
  <si>
    <t>DC1 Softlens Mini Devilish Brown Minus untuk penggunaan 1 Bulan. Spesifikasi Produk: Base Curve: 8.6 mm Diameter: 14.0 mm Kadar Air/Water Content: 40 % Masa Pakai/Recommended Usage: 1 Bulan/Monthly Warna/Color: Brown Ukuran/Power Range: -0.5 s/d -4.00 Isi/Content: 2 buah (1 pasang).</t>
  </si>
  <si>
    <t>dc1 softlens mini devilish brown minus penggunaan 1 bulan  spesifikasi produk base curve 8  6 mm diameter 14  0 mm kadar air water content 40 masa pakai recommended usage 1 bulan monthly warna color brown ukuran power range - 0  5 s d - 4  00 isi content 2 buah 1 pasang</t>
  </si>
  <si>
    <t>dc softlens mini devilish brown minus</t>
  </si>
  <si>
    <t>dc softlens mini devilish brown minus tablet kombinasivalsartan blend 32 dc1 softlens mini devilish brown minus penggunaan 1 bulan  spesifikasi produk base curve 8  6 mm diameter 14  0 mm kadar air water content 40 masa pakai recommended usage 1 bulan monthly warna color brown ukuran power range  0  5 s d  4  00 isi content 2 buah 1 pasang</t>
  </si>
  <si>
    <t>DC1 Softlens Mini Emma Brown Minus</t>
  </si>
  <si>
    <t>DC1 Softlens Mini Emma Brown Minus untuk penggunaan 1 Bulan. Spesifikasi Produk: Base Curve: 8.6 mm Diameter: 14.0 mm Kadar Air/Water Content: 40 % Masa Pakai/Recommended Usage: 1 Bulan/Monthly Warna/Color: Brown Ukuran/Power Range: -0.5 s/d -4.00 Isi/Content: 2 buah (1 pasang).</t>
  </si>
  <si>
    <t>dc1 softlens mini emma brown minus penggunaan 1 bulan  spesifikasi produk base curve 8  6 mm diameter 14  0 mm kadar air water content 40 masa pakai recommended usage 1 bulan monthly warna color brown ukuran power range - 0  5 s d - 4  00 isi content 2 buah 1 pasang</t>
  </si>
  <si>
    <t>dc softlens mini emma brown minus</t>
  </si>
  <si>
    <t>dc softlens mini emma brown minus tablet kombinasivalsartan blend 32 dc1 softlens mini emma brown minus penggunaan 1 bulan  spesifikasi produk base curve 8  6 mm diameter 14  0 mm kadar air water content 40 masa pakai recommended usage 1 bulan monthly warna color brown ukuran power range  0  5 s d  4  00 isi content 2 buah 1 pasang</t>
  </si>
  <si>
    <t>Eyesight Bloominc Bluebell Brown Softlens Minus</t>
  </si>
  <si>
    <t>Eyesight Bloominc Bluebell Brown Softlens Minus untuk penggunaan maksimal selama 6 Bulan. Spesifikasi Produk: Base Curve: 8.6 mm Diameter: 14.2 mm Kadar Air/Water Content: 48 % Masa Pakai/Recommended Usage: 6 Bulan/Monthly Varian: Bluebell Brown Ukuran/Power Range: -0.50 sd -8.00 Isi/Content: 2 buah (1 pasang)</t>
  </si>
  <si>
    <t>eyesight bloominc bluebell brown softlens minus penggunaan maksimal 6 bulan  spesifikasi produk base curve 8  6 mm diameter 14  2 mm kadar air water content 48 masa pakai recommended usage 6 bulan monthly varian bluebell brown ukuran power range - 0  50 sd - 8  00 isi content 2 buah 1 pasang</t>
  </si>
  <si>
    <t>eyesight bloominc bluebell brown softlens minus</t>
  </si>
  <si>
    <t>eyesight bloominc bluebell brown softlens minus tablet kombinasivalsartan blend 32 eyesight bloominc bluebell brown softlens minus penggunaan maksimal 6 bulan  spesifikasi produk base curve 8  6 mm diameter 14  2 mm kadar air water content 48 masa pakai recommended usage 6 bulan monthly varian bluebell brown ukuran power range  0  50 sd  8  00 isi content 2 buah 1 pasang</t>
  </si>
  <si>
    <t>Eyesight Bloominc Bluebell Gray Softlens Minus</t>
  </si>
  <si>
    <t>Eyesight Bloominc Bluebell Gray Softlens Minus untuk penggunaan maksimal selama 6 Bulan. Spesifikasi Produk: Base Curve: 8.6 mm Diameter: 14.2 mm Kadar Air/Water Content: 48 % Masa Pakai/Recommended Usage: 6 Bulan/Monthly Varian: Bluebell Gray Ukuran/Power Range: -0.50 sd -8.00 Isi/Content: 2 buah (1 pasang)</t>
  </si>
  <si>
    <t>eyesight bloominc bluebell gray softlens minus penggunaan maksimal 6 bulan  spesifikasi produk base curve 8  6 mm diameter 14  2 mm kadar air water content 48 masa pakai recommended usage 6 bulan monthly varian bluebell gray ukuran power range - 0  50 sd - 8  00 isi content 2 buah 1 pasang</t>
  </si>
  <si>
    <t>eyesight bloominc bluebell gray softlens minus</t>
  </si>
  <si>
    <t>eyesight bloominc bluebell gray softlens minus tablet kombinasivalsartan blend 32 eyesight bloominc bluebell gray softlens minus penggunaan maksimal 6 bulan  spesifikasi produk base curve 8  6 mm diameter 14  2 mm kadar air water content 48 masa pakai recommended usage 6 bulan monthly varian bluebell gray ukuran power range  0  50 sd  8  00 isi content 2 buah 1 pasang</t>
  </si>
  <si>
    <t>Eyesight Bloominc Daisy Gray Softlens Minus</t>
  </si>
  <si>
    <t>Eyesight Bloominc Daisy Gray Softlens Minus untuk penggunaan maksimal selama 6 Bulan. Spesifikasi Produk: Base Curve: 8.6 mm Diameter: 14.2 mm Kadar Air/Water Content: 48 % Masa Pakai/Recommended Usage: 6 Bulan/Monthly Varian: Daisy Dray Ukuran/Power Range: -0.50 sd -6.50 Isi/Content: 2 buah (1 pasang)</t>
  </si>
  <si>
    <t>eyesight bloominc daisy gray softlens minus penggunaan maksimal 6 bulan  spesifikasi produk base curve 8  6 mm diameter 14  2 mm kadar air water content 48 masa pakai recommended usage 6 bulan monthly varian daisy dray ukuran power range - 0  50 sd - 6  50 isi content 2 buah 1 pasang</t>
  </si>
  <si>
    <t>eyesight bloominc daisy gray softlens minus</t>
  </si>
  <si>
    <t>eyesight bloominc daisy gray softlens minus tablet kombinasivalsartan blend 32 eyesight bloominc daisy gray softlens minus penggunaan maksimal 6 bulan  spesifikasi produk base curve 8  6 mm diameter 14  2 mm kadar air water content 48 masa pakai recommended usage 6 bulan monthly varian daisy dray ukuran power range  0  50 sd  6  50 isi content 2 buah 1 pasang</t>
  </si>
  <si>
    <t>Eyesight Bloominc Daisy Brown Softlens Minus</t>
  </si>
  <si>
    <t>Eyesight Bloominc Daisy Brown Softlens Minus untuk penggunaan maksimal selama 6 Bulan. Spesifikasi Produk: Base Curve: 8.6 mm Diameter: 14.2 mm Kadar Air/Water Content: 48 % Masa Pakai/Recommended Usage: 6 Bulan/Monthly Varian: Daisy Brown Ukuran/Power Range: -0.50 sd -6.50 Isi/Content: 2 buah (1 pasang)</t>
  </si>
  <si>
    <t>eyesight bloominc daisy brown softlens minus penggunaan maksimal 6 bulan  spesifikasi produk base curve 8  6 mm diameter 14  2 mm kadar air water content 48 masa pakai recommended usage 6 bulan monthly varian daisy brown ukuran power range - 0  50 sd - 6  50 isi content 2 buah 1 pasang</t>
  </si>
  <si>
    <t>eyesight bloominc daisy brown softlens minus</t>
  </si>
  <si>
    <t>eyesight bloominc daisy brown softlens minus tablet kombinasivalsartan blend 32 eyesight bloominc daisy brown softlens minus penggunaan maksimal 6 bulan  spesifikasi produk base curve 8  6 mm diameter 14  2 mm kadar air water content 48 masa pakai recommended usage 6 bulan monthly varian daisy brown ukuran power range  0  50 sd  6  50 isi content 2 buah 1 pasang</t>
  </si>
  <si>
    <t>Top Gel Luna Natural Aqua 2 Color Softlens Plano/No Minus</t>
  </si>
  <si>
    <t>Softlens TOP GEL LUNA NATURAL untuk penggunaan 6 Bulan. Spesifikasi Produk: Base Curve: 8.80 mm Diameter: 14.5 mm Kadar Air/Water Content: 38% Masa Pakai/Recommended Usage: 6 Bulan/Monthly Warna/Color: Warna Natural Aqua Ukuran/Power Range: Plano / No Minus Isi/Content: 2 buah (1 pasang)</t>
  </si>
  <si>
    <t>softlens top gel luna natural penggunaan 6 bulan  spesifikasi produk base curve 8  80 mm diameter 14  5 mm kadar air water content 38 masa pakai recommended usage 6 bulan monthly warna color warna natural aqua ukuran power range plano no minus isi content 2 buah 1 pasang</t>
  </si>
  <si>
    <t>top luna natural aqua color softlens planono minus</t>
  </si>
  <si>
    <t>top luna natural aqua color softlens planono minus tablet kombinasivalsartan blend 32 softlens top gel luna natural penggunaan 6 bulan  spesifikasi produk base curve 8  80 mm diameter 14  5 mm kadar air water content 38 masa pakai recommended usage 6 bulan monthly warna color warna natural aqua ukuran power range plano no minus isi content 2 buah 1 pasang</t>
  </si>
  <si>
    <t>Eyesight EOS Milky Gray Softlens Plano/No Minus</t>
  </si>
  <si>
    <t>Eyesight EOS Milky Gray Softlens Plano/No Minus untuk penggunaan maksimal selama 6 Bulan. Spesifikasi Produk: Base Curve: 8.7 mm Diameter: 14.2 mm Kadar Air/Water Content: 38 % Masa Pakai/Recommended Usage: 6 Bulan/Monthly Varian: Gray Ukuran/Power Range: Plano/No Minus Isi/Content: 2 buah (1 pasang)</t>
  </si>
  <si>
    <t>eyesight eos milky gray softlens plano no minus penggunaan maksimal 6 bulan  spesifikasi produk base curve 8  7 mm diameter 14  2 mm kadar air water content 38 masa pakai recommended usage 6 bulan monthly varian gray ukuran power range plano no minus isi content 2 buah 1 pasang</t>
  </si>
  <si>
    <t>eyesight eos milky gray softlens planono minus</t>
  </si>
  <si>
    <t>eyesight eos milky gray softlens planono minus tablet kombinasivalsartan blend 32 eyesight eos milky gray softlens plano no minus penggunaan maksimal 6 bulan  spesifikasi produk base curve 8  7 mm diameter 14  2 mm kadar air water content 38 masa pakai recommended usage 6 bulan monthly varian gray ukuran power range plano no minus isi content 2 buah 1 pasang</t>
  </si>
  <si>
    <t>Freshkon Colorfusion Monthly Baby Aqua 2 Color Softlens Plano/No Minus</t>
  </si>
  <si>
    <t>Softlens FRESHKON COLOR FUSION MONTHLY untuk penggunaan 1 Bulan. Spesifikasi Produk: Base Curve: 8.6 mm Diameter: 14.2 mm Kadar Air/Water Content: 55% Masa Pakai/Recommended Usage: 1 Bulan/Monthly Warna/Color: Baby Aqua Ukuran/Power Range: Plano/No Minus Isi/Content: 2 buah (1 pasang).</t>
  </si>
  <si>
    <t>softlens freshkon color fusion monthly penggunaan 1 bulan  spesifikasi produk base curve 8  6 mm diameter 14  2 mm kadar air water content 55 masa pakai recommended usage 1 bulan monthly warna color baby aqua ukuran power range plano no minus isi content 2 buah 1 pasang</t>
  </si>
  <si>
    <t>freshkon colorfusion monthly baby aqua color softlens planono minus</t>
  </si>
  <si>
    <t>freshkon colorfusion monthly baby aqua color softlens planono minus tablet kombinasivalsartan blend 32 softlens freshkon color fusion monthly penggunaan 1 bulan  spesifikasi produk base curve 8  6 mm diameter 14  2 mm kadar air water content 55 masa pakai recommended usage 1 bulan monthly warna color baby aqua ukuran power range plano no minus isi content 2 buah 1 pasang</t>
  </si>
  <si>
    <t>X2 Chic Blue 2 Color Softlens Minus</t>
  </si>
  <si>
    <t>Rp50.400 - Rp165.000</t>
  </si>
  <si>
    <t>Softlens X2 CHIC untuk penggunaan 6 Bulan. Spesifikasi Produk: Base Curve: 8.60 mm Diameter: 15 mm Kadar Air/Water Content: 45% Masa Pakai/Recommended Usage: 6 Bulan/Monthly Warna/Color: Warna Blue Ukuran/Power Range: -0.5 s/d -6.00 (Step 0.25) Isi/Content: 2 buah (1 pasang)</t>
  </si>
  <si>
    <t>softlens x2 chic penggunaan 6 bulan  spesifikasi produk base curve 8  60 mm diameter 15 mm kadar air water content 45 masa pakai recommended usage 6 bulan monthly warna color warna blue ukuran power range - 0  5 s d - 6  00 step 0  25 isi content 2 buah 1 pasang</t>
  </si>
  <si>
    <t>x chic blue color softlens minus</t>
  </si>
  <si>
    <t>x chic blue color softlens minus tablet kombinasivalsartan blend 32 softlens x2 chic penggunaan 6 bulan  spesifikasi produk base curve 8  60 mm diameter 15 mm kadar air water content 45 masa pakai recommended usage 6 bulan monthly warna color warna blue ukuran power range  0  5 s d  6  00 step 0  25 isi content 2 buah 1 pasang</t>
  </si>
  <si>
    <t>Eyesight EOS Luna Natural Aqua Softlens Plano/Minus</t>
  </si>
  <si>
    <t>Eyesight EOS Luna Natural Aqua Softlens Plano/Minus untuk penggunaan maksimal selama 6 Bulan. Spesifikasi Produk: Base Curve: 8.8 mm Diameter: 14.5 mm Kadar Air/Water Content: 38 % Masa Pakai/Recommended Usage: 6 Bulan/Monthly Varian: Aqua Ukuran/Power Range: Plano/No Minus Isi/Content: 2 buah (1 pasang)</t>
  </si>
  <si>
    <t>eyesight eos luna natural aqua softlens plano minus penggunaan maksimal 6 bulan  spesifikasi produk base curve 8  8 mm diameter 14  5 mm kadar air water content 38 masa pakai recommended usage 6 bulan monthly varian aqua ukuran power range plano no minus isi content 2 buah 1 pasang</t>
  </si>
  <si>
    <t>eyesight eos luna natural aqua softlens planominus</t>
  </si>
  <si>
    <t>eyesight eos luna natural aqua softlens planominus tablet kombinasivalsartan blend 32 eyesight eos luna natural aqua softlens plano minus penggunaan maksimal 6 bulan  spesifikasi produk base curve 8  8 mm diameter 14  5 mm kadar air water content 38 masa pakai recommended usage 6 bulan monthly varian aqua ukuran power range plano no minus isi content 2 buah 1 pasang</t>
  </si>
  <si>
    <t>Eyesight EOS Luna Gray Softlens Plano/No Minus</t>
  </si>
  <si>
    <t>Eyesight EOS Luna Gray Softlens Plano/No Minus untuk penggunaan maksimal selama 6 Bulan. Spesifikasi Produk: Base Curve: 8.8 mm Diameter: 14.5 mm Kadar Air/Water Content: 38 % Masa Pakai/Recommended Usage: 6 Bulan/Monthly Varian: Gray Ukuran/Power Range: Plano/No Minus Isi/Content: 2 buah (1 pasang)</t>
  </si>
  <si>
    <t>eyesight eos luna gray softlens plano no minus penggunaan maksimal 6 bulan  spesifikasi produk base curve 8  8 mm diameter 14  5 mm kadar air water content 38 masa pakai recommended usage 6 bulan monthly varian gray ukuran power range plano no minus isi content 2 buah 1 pasang</t>
  </si>
  <si>
    <t>eyesight eos luna gray softlens planono minus</t>
  </si>
  <si>
    <t>eyesight eos luna gray softlens planono minus tablet kombinasivalsartan blend 32 eyesight eos luna gray softlens plano no minus penggunaan maksimal 6 bulan  spesifikasi produk base curve 8  8 mm diameter 14  5 mm kadar air water content 38 masa pakai recommended usage 6 bulan monthly varian gray ukuran power range plano no minus isi content 2 buah 1 pasang</t>
  </si>
  <si>
    <t>DC1 Softlens Mini Lapis Brown Plano/No Minus</t>
  </si>
  <si>
    <t>DC1 Softlens Mini Lapis Brown Plano/No Minus untuk penggunaan 1 Bulan. Spesifikasi Produk: Base Curve: 8.6 mm Diameter: 14.0 mm Kadar Air/Water Content: 40 % Masa Pakai/Recommended Usage: 1 Bulan/Monthly Warna/Color: Brown Ukuran/Power Range: Plano/ No Minus Isi/Content: 2 buah (1 pasang).</t>
  </si>
  <si>
    <t>dc1 softlens mini lapis brown plano no minus penggunaan 1 bulan  spesifikasi produk base curve 8  6 mm diameter 14  0 mm kadar air water content 40 masa pakai recommended usage 1 bulan monthly warna color brown ukuran power range plano no minus isi content 2 buah 1 pasang</t>
  </si>
  <si>
    <t>dc softlens mini lapis brown planono minus</t>
  </si>
  <si>
    <t>dc softlens mini lapis brown planono minus tablet kombinasivalsartan blend 32 dc1 softlens mini lapis brown plano no minus penggunaan 1 bulan  spesifikasi produk base curve 8  6 mm diameter 14  0 mm kadar air water content 40 masa pakai recommended usage 1 bulan monthly warna color brown ukuran power range plano no minus isi content 2 buah 1 pasang</t>
  </si>
  <si>
    <t>Eyesight EOS Coco Gray Softlens Plano/No Minus</t>
  </si>
  <si>
    <t>Eyesight EOS Coco Gray Softlens Plano/No Minus untuk penggunaan maksimal selama 6 Bulan. Spesifikasi Produk: Base Curve: 8.7 mm Diameter: 14.2 mm Kadar Air/Water Content: 38 % Masa Pakai/Recommended Usage: 6 Bulan/Monthly Varian: Gray Ukuran/Power Range: Plano/No Minus Isi/Content: 2 buah (1 pasang)</t>
  </si>
  <si>
    <t>eyesight eos coco gray softlens plano no minus penggunaan maksimal 6 bulan  spesifikasi produk base curve 8  7 mm diameter 14  2 mm kadar air water content 38 masa pakai recommended usage 6 bulan monthly varian gray ukuran power range plano no minus isi content 2 buah 1 pasang</t>
  </si>
  <si>
    <t>eyesight eos coco gray softlens planono minus</t>
  </si>
  <si>
    <t>eyesight eos coco gray softlens planono minus tablet kombinasivalsartan blend 32 eyesight eos coco gray softlens plano no minus penggunaan maksimal 6 bulan  spesifikasi produk base curve 8  7 mm diameter 14  2 mm kadar air water content 38 masa pakai recommended usage 6 bulan monthly varian gray ukuran power range plano no minus isi content 2 buah 1 pasang</t>
  </si>
  <si>
    <t>DKL9930906610A1</t>
  </si>
  <si>
    <t>Infatrim 10 Tablet</t>
  </si>
  <si>
    <t>Rp4.600 - Rp6.900</t>
  </si>
  <si>
    <t>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t>
  </si>
  <si>
    <t>Tablet 10 X 10 Biji.</t>
  </si>
  <si>
    <t>infeksi traktus urinarius pielonefritis , pielitis prostatitis akut kronis kuman sensitif e  coli , klebsiella , enterobacter proteus , infeksi traktus gastrointestinal , kuman salmonella shigella demam tifoid , paratifoid disentri basiler , infeksi traktus respiratorius bronkhitis akut sinusitis akut kuman h  influenzae s  pneumoniae , infeksi tht otitis medium akut sinusitis akut kuman h  influenzae s  pneumoniae , infeksi toxoplasmosis infeksi dimana obat terpilih tidak</t>
  </si>
  <si>
    <t>infatrim</t>
  </si>
  <si>
    <t>infatrim tablet sulfamethoxazole infeksi traktus urinarius pielonefritis  pielitis prostatitis akut kronis kuman sensitif e  coli  klebsiella  enterobacter proteus  infeksi traktus gastrointestinal  kuman salmonella shigella demam tifoid  paratifoid disentri basiler  infeksi traktus respiratorius bronkhitis akut sinusitis akut kuman h  influenzae s  pneumoniae  infeksi tht otitis medium akut sinusitis akut kuman h  influenzae s  pneumoniae  infeksi toxoplasmosis infeksi dimana obat terpilih tidak</t>
  </si>
  <si>
    <t>Eyesight EOS Milky Choco Softlens Plano/No Minus</t>
  </si>
  <si>
    <t>Eyesight EOS Milky Choco Softlens Plano/No Minus untuk penggunaan maksimal selama 6 Bulan. Spesifikasi Produk: Base Curve: 8.7 mm Diameter: 14.2 mm Kadar Air/Water Content: 38 % Masa Pakai/Recommended Usage: 6 Bulan/Monthly Varian: Choco Ukuran/Power Range: Plano/No Minus Isi/Content: 2 buah (1 pasang)</t>
  </si>
  <si>
    <t>eyesight eos milky choco softlens plano no minus penggunaan maksimal 6 bulan  spesifikasi produk base curve 8  7 mm diameter 14  2 mm kadar air water content 38 masa pakai recommended usage 6 bulan monthly varian choco ukuran power range plano no minus isi content 2 buah 1 pasang</t>
  </si>
  <si>
    <t>eyesight eos milky choco softlens planono minus</t>
  </si>
  <si>
    <t>eyesight eos milky choco softlens planono minus tablet kombinasivalsartan blend 32 eyesight eos milky choco softlens plano no minus penggunaan maksimal 6 bulan  spesifikasi produk base curve 8  7 mm diameter 14  2 mm kadar air water content 38 masa pakai recommended usage 6 bulan monthly varian choco ukuran power range plano no minus isi content 2 buah 1 pasang</t>
  </si>
  <si>
    <t>Eyesight EOS Charming Brown Softlens Plano/No Minus</t>
  </si>
  <si>
    <t>Eyesight EOS Charming Brown Softlens Plano/No Minus untuk penggunaan maksimal selama 6 Bulan. Spesifikasi Produk: Base Curve: 8.7 mm Diameter: 14.2 mm Kadar Air/Water Content: 38 % Masa Pakai/Recommended Usage: 6 Bulan/Monthly Varian: Brown Ukuran/Power Range: Plano/No Minus Isi/Content: 2 buah (1 pasang)</t>
  </si>
  <si>
    <t>eyesight eos charming brown softlens plano no minus penggunaan maksimal 6 bulan  spesifikasi produk base curve 8  7 mm diameter 14  2 mm kadar air water content 38 masa pakai recommended usage 6 bulan monthly varian brown ukuran power range plano no minus isi content 2 buah 1 pasang</t>
  </si>
  <si>
    <t>eyesight eos charming brown softlens planono minus</t>
  </si>
  <si>
    <t>eyesight eos charming brown softlens planono minus tablet kombinasivalsartan blend 32 eyesight eos charming brown softlens plano no minus penggunaan maksimal 6 bulan  spesifikasi produk base curve 8  7 mm diameter 14  2 mm kadar air water content 38 masa pakai recommended usage 6 bulan monthly varian brown ukuran power range plano no minus isi content 2 buah 1 pasang</t>
  </si>
  <si>
    <t>Ice No8 Black 2 Color Softlens Minus</t>
  </si>
  <si>
    <t>Rp37.000 - Rp100.800</t>
  </si>
  <si>
    <t>Softlens ICE NO8 untuk penggunaan 6 Bulan. Spesifikasi Produk: Base Curve: 9.00 mm Diameter: 16 mm Kadar Air/Water Content: 42% Masa Pakai/Recommended Usage: 6 Bulan/Monthly Warna/Color: Warna Black Ukuran/Power Range: -0.5 s/d -6.00 (Step 0.25) Isi/Content: 2 buah (1 pasang)</t>
  </si>
  <si>
    <t>softlens ice no8 penggunaan 6 bulan  spesifikasi produk base curve 9  00 mm diameter 16 mm kadar air water content 42 masa pakai recommended usage 6 bulan monthly warna color warna black ukuran power range - 0  5 s d - 6  00 step 0  25 isi content 2 buah 1 pasang</t>
  </si>
  <si>
    <t>ice no black color softlens minus</t>
  </si>
  <si>
    <t>ice no black color softlens minus tablet kombinasivalsartan blend 32 softlens ice no8 penggunaan 6 bulan  spesifikasi produk base curve 9  00 mm diameter 16 mm kadar air water content 42 masa pakai recommended usage 6 bulan monthly warna color warna black ukuran power range  0  5 s d  6  00 step 0  25 isi content 2 buah 1 pasang</t>
  </si>
  <si>
    <t>Savannah Fosil Grey 2 Color Softlens Minus</t>
  </si>
  <si>
    <t>Softlens Savannah untuk penggunaan 6 Bulan. Spesifikasi Produk: Base Curve: 8.6 mm Diameter: 15,0 mm Kadar Air/Water Content: 57 % Masa Pakai/Recommended Usage: 6 Bulan/Monthly Warna/Color: Fosil Grey Ukuran/Power Range: -0.50 s/d -4.00 (steps 0.25) Isi/Content: 2 buah (1 pasang).</t>
  </si>
  <si>
    <t>softlens savannah penggunaan 6 bulan  spesifikasi produk base curve 8  6 mm diameter 15 , 0 mm kadar air water content 57 masa pakai recommended usage 6 bulan monthly warna color fosil grey ukuran power range - 0  50 s d - 4  00 step 0  25 isi content 2 buah 1 pasang</t>
  </si>
  <si>
    <t>savannah fosil grey color softlens minus</t>
  </si>
  <si>
    <t>savannah fosil grey color softlens minus tablet kombinasivalsartan blend 32 softlens savannah penggunaan 6 bulan  spesifikasi produk base curve 8  6 mm diameter 15  0 mm kadar air water content 57 masa pakai recommended usage 6 bulan monthly warna color fosil grey ukuran power range  0  50 s d  4  00 step 0  25 isi content 2 buah 1 pasang</t>
  </si>
  <si>
    <t>Eyesight EOS Coco Brown Softlens Plano/No Minus</t>
  </si>
  <si>
    <t>Eyesight EOS Coco Brown Softlens Plano/No Minus untuk penggunaan maksimal selama 6 Bulan. Spesifikasi Produk: Base Curve: 8.7 mm Diameter: 14.2 mm Kadar Air/Water Content: 38 % Masa Pakai/Recommended Usage: 6 Bulan/Monthly Varian: Brown Ukuran/Power Range: Plano/No Minus Isi/Content: 2 buah (1 pasang)</t>
  </si>
  <si>
    <t>eyesight eos coco brown softlens plano no minus penggunaan maksimal 6 bulan  spesifikasi produk base curve 8  7 mm diameter 14  2 mm kadar air water content 38 masa pakai recommended usage 6 bulan monthly varian brown ukuran power range plano no minus isi content 2 buah 1 pasang</t>
  </si>
  <si>
    <t>eyesight eos coco brown softlens planono minus</t>
  </si>
  <si>
    <t>eyesight eos coco brown softlens planono minus tablet kombinasivalsartan blend 32 eyesight eos coco brown softlens plano no minus penggunaan maksimal 6 bulan  spesifikasi produk base curve 8  7 mm diameter 14  2 mm kadar air water content 38 masa pakai recommended usage 6 bulan monthly varian brown ukuran power range plano no minus isi content 2 buah 1 pasang</t>
  </si>
  <si>
    <t>Kawai Gankyu Voxie Lily Gray Softlens Minus</t>
  </si>
  <si>
    <t>Kawai Gankyu Voxie Lily Gray Softlens Minus untuk penggunaan 6 Bulan. Spesifikasi Produk: Base Curve: 8.6 mm Diameter: 14 mm Kadar Air/Water Content: 38 % Masa Pakai/Recommended Usage: 6 Bulan/Monthly Warna/Color: Gray Ukuran/Power Range: -0.5 s/d -8.00 Isi/Content: 2 buah (1 pasang).</t>
  </si>
  <si>
    <t>kawai gankyu voxie lily gray softlens minus penggunaan 6 bulan  spesifikasi produk base curve 8  6 mm diameter 14 mm kadar air water content 38 masa pakai recommended usage 6 bulan monthly warna color gray ukuran power range - 0  5 s d - 8  00 isi content 2 buah 1 pasang</t>
  </si>
  <si>
    <t>kawai gankyu voxie lily gray softlens minus</t>
  </si>
  <si>
    <t>kawai gankyu voxie lily gray softlens minus tablet kombinasivalsartan blend 32 kawai gankyu voxie lily gray softlens minus penggunaan 6 bulan  spesifikasi produk base curve 8  6 mm diameter 14 mm kadar air water content 38 masa pakai recommended usage 6 bulan monthly warna color gray ukuran power range  0  5 s d  8  00 isi content 2 buah 1 pasang</t>
  </si>
  <si>
    <t>Kawai Gankyu Voxie Lunar Gray Softlens Minus</t>
  </si>
  <si>
    <t>Kawai Gankyu Voxie Lunar Gray Softlens Minus untuk penggunaan 6 Bulan. Spesifikasi Produk: Base Curve: 8.6 mm Diameter: 14 mm Kadar Air/Water Content: 38 % Masa Pakai/Recommended Usage: 6 Bulan/Monthly Warna/Color: Gray Ukuran/Power Range: -0.5 s/d -7.00 Isi/Content: 2 buah (1 pasang).</t>
  </si>
  <si>
    <t>kawai gankyu voxie lunar gray softlens minus penggunaan 6 bulan  spesifikasi produk base curve 8  6 mm diameter 14 mm kadar air water content 38 masa pakai recommended usage 6 bulan monthly warna color gray ukuran power range - 0  5 s d - 7  00 isi content 2 buah 1 pasang</t>
  </si>
  <si>
    <t>kawai gankyu voxie lunar gray softlens minus</t>
  </si>
  <si>
    <t>kawai gankyu voxie lunar gray softlens minus tablet kombinasivalsartan blend 32 kawai gankyu voxie lunar gray softlens minus penggunaan 6 bulan  spesifikasi produk base curve 8  6 mm diameter 14 mm kadar air water content 38 masa pakai recommended usage 6 bulan monthly warna color gray ukuran power range  0  5 s d  7  00 isi content 2 buah 1 pasang</t>
  </si>
  <si>
    <t>Kawai Gankyu Voxie Sunset Brown Softlens Plano/No Minus</t>
  </si>
  <si>
    <t>Kawai Gankyu Voxie Sunset Brown Softlens Plano/No Minus untuk penggunaan 6 Bulan. Spesifikasi Produk: Base Curve: 8.6 mm Diameter: 14 mm Kadar Air/Water Content: 38 % Masa Pakai/Recommended Usage: 6 Bulan/Monthly Warna/Color: Brown Ukuran/Power Range: Plano/ No Minus Isi/Content: 2 buah (1 pasang).</t>
  </si>
  <si>
    <t>kawai gankyu voxie sunset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</si>
  <si>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sunset brown softlens planono minus</t>
  </si>
  <si>
    <t>kawai gankyu voxie sunset brown softlens planono minus tablet kombinasivalsartan blend 32 kawai gankyu voxie sunset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</si>
  <si>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Mulan Gray Softlens Plano/No Minus</t>
  </si>
  <si>
    <t>Kawai Gankyu Voxie Mulan Gray Softlens Plano/No Minus untuk penggunaan 6 Bulan. Spesifikasi Produk: Base Curve: 8.6 mm Diameter: 14 mm Kadar Air/Water Content: 38 % Masa Pakai/Recommended Usage: 6 Bulan/Monthly Warna/Color: Gray Ukuran/Power Range: Plano/ No Minus Isi/Content: 2 buah (1 pasang).</t>
  </si>
  <si>
    <t>kawai gankyu voxie mulan gray softlens plano no minus penggunaan 6 bulan  spesifikasi produk base curve 8  6 mm diameter 14 mm kadar air water content 38 masa pakai recommended usage 6 bulan monthly warna color gray ukuran power range plano no minus isi content 2 buah 1 pasang</t>
  </si>
  <si>
    <t>kawai gankyu voxie mulan gray softlens planono minus</t>
  </si>
  <si>
    <t>kawai gankyu voxie mulan gray softlens planono minus tablet kombinasivalsartan blend 32 kawai gankyu voxie mulan gray softlens plano no minus penggunaan 6 bulan  spesifikasi produk base curve 8  6 mm diameter 14 mm kadar air water content 38 masa pakai recommended usage 6 bulan monthly warna color gray ukuran power range plano no minus isi content 2 buah 1 pasang</t>
  </si>
  <si>
    <t>Ice No1 Blue 2 Color Softlens Minus</t>
  </si>
  <si>
    <t>Rp37.000 - Rp89.600</t>
  </si>
  <si>
    <t>Softlens ICE NO1 untuk penggunaan 6 Bulan. Spesifikasi Produk: Base Curve: 9.00 mm Diameter: 14.5 mm Kadar Air/Water Content: 42% Masa Pakai/Recommended Usage: 6 Bulan/Monthly Warna/Color: Warna Blue Ukuran/Power Range: -0.5 s/d -6.00 (Step 0.25) Isi/Content: 2 buah (1 pasang)</t>
  </si>
  <si>
    <t>softlens ice no1 penggunaan 6 bulan  spesifikasi produk base curve 9  00 mm diameter 14  5 mm kadar air water content 42 masa pakai recommended usage 6 bulan monthly warna color warna blue ukuran power range - 0  5 s d - 6  00 step 0  25 isi content 2 buah 1 pasang</t>
  </si>
  <si>
    <t>ice no blue color softlens minus</t>
  </si>
  <si>
    <t>ice no blue color softlens minus tablet kombinasivalsartan blend 32 softlens ice no1 penggunaan 6 bulan  spesifikasi produk base curve 9  00 mm diameter 14  5 mm kadar air water content 42 masa pakai recommended usage 6 bulan monthly warna color warna blue ukuran power range  0  5 s d  6  00 step 0  25 isi content 2 buah 1 pasang</t>
  </si>
  <si>
    <t>Dueba Virigin Choco 2 Color Softlens Minus</t>
  </si>
  <si>
    <t>Softlens DUEBA VIRIGIN untuk penggunaan 6 Bulan. Spesifikasi Produk: Base Curve: 8.8 mm Diameter: 14.3 mm Kadar Air/Water Content: 38% Masa Pakai/Recommended Usage: 6 Bulan/Monthly Warna/Color: Warna Black Ukuran/Power Range: -0.5 s/d -6.00 (Step 0.25) Isi/Content: 2 buah (1 pasang)</t>
  </si>
  <si>
    <t>softlens dueba virigin penggunaan 6 bulan  spesifikasi produk base curve 8  8 mm diameter 14  3 mm kadar air water content 38 masa pakai recommended usage 6 bulan monthly warna color warna black ukuran power range - 0  5 s d - 6  00 step 0  25 isi content 2 buah 1 pasang</t>
  </si>
  <si>
    <t>dueba virigin choco color softlens minus</t>
  </si>
  <si>
    <t>dueba virigin choco color softlens minus tablet kombinasivalsartan blend 32 softlens dueba virigin penggunaan 6 bulan  spesifikasi produk base curve 8  8 mm diameter 14  3 mm kadar air water content 38 masa pakai recommended usage 6 bulan monthly warna color warna black ukuran power range  0  5 s d  6  00 step 0  25 isi content 2 buah 1 pasang</t>
  </si>
  <si>
    <t>Dueba Stylish Black 2 Color Softlens Minus</t>
  </si>
  <si>
    <t>Softlens DUEBA STYLISH untuk penggunaan 6 Bulan. Spesifikasi Produk: Base Curve: 8.8 mm Diameter: 14.3 mm Kadar Air/Water Content: 38% Masa Pakai/Recommended Usage: 6 Bulan/Monthly Warna/Color: Warna Black Ukuran/Power Range: -0.5 s/d -6.00 (Step 0.25) Isi/Content: 2 buah (1 pasang)</t>
  </si>
  <si>
    <t>softlens dueba stylish penggunaan 6 bulan  spesifikasi produk base curve 8  8 mm diameter 14  3 mm kadar air water content 38 masa pakai recommended usage 6 bulan monthly warna color warna black ukuran power range - 0  5 s d - 6  00 step 0  25 isi content 2 buah 1 pasang</t>
  </si>
  <si>
    <t>dueba stylish black color softlens minus</t>
  </si>
  <si>
    <t>dueba stylish black color softlens minus tablet kombinasivalsartan blend 32 softlens dueba stylish penggunaan 6 bulan  spesifikasi produk base curve 8  8 mm diameter 14  3 mm kadar air water content 38 masa pakai recommended usage 6 bulan monthly warna color warna black ukuran power range  0  5 s d  6  00 step 0  25 isi content 2 buah 1 pasang</t>
  </si>
  <si>
    <t>Dueba Borjuis Black 2 Color Softlens Minus</t>
  </si>
  <si>
    <t>Softlens DUEBA Borjuis untuk penggunaan 6 Bulan. Spesifikasi Produk: Base Curve: 8.8 mm Diameter: 14.3 mm Kadar Air/Water Content: 38% Masa Pakai/Recommended Usage: 6 Bulan/Monthly Warna/Color: Warna Black Ukuran/Power Range: -0.5 s/d -6.00 (Step 0.25) Isi/Content: 2 buah (1 pasang)</t>
  </si>
  <si>
    <t>softlens dueba borjuis penggunaan 6 bulan  spesifikasi produk base curve 8  8 mm diameter 14  3 mm kadar air water content 38 masa pakai recommended usage 6 bulan monthly warna color warna black ukuran power range - 0  5 s d - 6  00 step 0  25 isi content 2 buah 1 pasang</t>
  </si>
  <si>
    <t>dueba borjuis black color softlens minus</t>
  </si>
  <si>
    <t>dueba borjuis black color softlens minus tablet kombinasivalsartan blend 32 softlens dueba borjuis penggunaan 6 bulan  spesifikasi produk base curve 8  8 mm diameter 14  3 mm kadar air water content 38 masa pakai recommended usage 6 bulan monthly warna color warna black ukuran power range  0  5 s d  6  00 step 0  25 isi content 2 buah 1 pasang</t>
  </si>
  <si>
    <t>Eyesight Bloominc Bluebell Black Softlens Plano/No Minus</t>
  </si>
  <si>
    <t>Eyesight Bloominc Bluebell Black Softlens Plano/No Minus untuk penggunaan maksimal selama 6 Bulan. Spesifikasi Produk: Base Curve: 8.6 mm Diameter: 14.0 mm Kadar Air/Water Content: 48 % Masa Pakai/Recommended Usage: 6 Bulan/Monthly Varian: Bluebell Black Ukuran/Power Range: Plano/No Minus Isi/Content: 2 buah (1 pasang)</t>
  </si>
  <si>
    <t>eyesight bloominc bluebell black softlens plano no minus penggunaan maksimal 6 bulan  spesifikasi produk base curve 8  6 mm diameter 14  0 mm kadar air water content 48 masa pakai recommended usage 6 bulan monthly varian bluebell black ukuran power range plano no minus isi content 2 buah 1 pasang</t>
  </si>
  <si>
    <t>eyesight bloominc bluebell black softlens planono minus</t>
  </si>
  <si>
    <t>eyesight bloominc bluebell black softlens planono minus tablet kombinasivalsartan blend 32 eyesight bloominc bluebell black softlens plano no minus penggunaan maksimal 6 bulan  spesifikasi produk base curve 8  6 mm diameter 14  0 mm kadar air water content 48 masa pakai recommended usage 6 bulan monthly varian bluebell black ukuran power range plano no minus isi content 2 buah 1 pasang</t>
  </si>
  <si>
    <t>Kawai Gankyu Voxie Lunar Brown Softlens Minus</t>
  </si>
  <si>
    <t>Kawai Gankyu Voxie Lunar Brown Softlens Minus untuk penggunaan 6 Bulan. Spesifikasi Produk: Base Curve: 8.6 mm Diameter: 14 mm Kadar Air/Water Content: 38 % Masa Pakai/Recommended Usage: 6 Bulan/Monthly Warna/Color: Brown Ukuran/Power Range: -0.5 s/d -7.00 Isi/Content: 2 buah (1 pasang).</t>
  </si>
  <si>
    <t>kawai gankyu voxie lunar brown softlens minus penggunaan 6 bulan  spesifikasi produk base curve 8  6 mm diameter 14 mm kadar air water content 38 masa pakai recommended usage 6 bulan monthly warna color brown ukuran power range - 0  5 s d - 7  00 isi content 2 buah 1 pasang</t>
  </si>
  <si>
    <t>kawai gankyu voxie lunar brown softlens minus</t>
  </si>
  <si>
    <t>kawai gankyu voxie lunar brown softlens minus tablet kombinasivalsartan blend 32 kawai gankyu voxie lunar brown softlens minus penggunaan 6 bulan  spesifikasi produk base curve 8  6 mm diameter 14 mm kadar air water content 38 masa pakai recommended usage 6 bulan monthly warna color brown ukuran power range  0  5 s d  7  00 isi content 2 buah 1 pasang</t>
  </si>
  <si>
    <t>Kawai Gankyu Voxie Sunset Brown Softlens Minus</t>
  </si>
  <si>
    <t>Kawai Gankyu Voxie Sunset Brown Softlens Minus untuk penggunaan 6 Bulan. Spesifikasi Produk: Base Curve: 8.6 mm Diameter: 14 mm Kadar Air/Water Content: 38 % Masa Pakai/Recommended Usage: 6 Bulan/Monthly Warna/Color: Brown Ukuran/Power Range: -0.5 s/d -8.00 Isi/Content: 2 buah (1 pasang).</t>
  </si>
  <si>
    <t>kawai gankyu voxie sunset brown softlens minus penggunaan 6 bulan  spesifikasi produk base curve 8  6 mm diameter 14 mm kadar air water content 38 masa pakai recommended usage 6 bulan monthly warna color brown ukuran power range - 0  5 s d - 8  00 isi content 2 buah 1 pasang</t>
  </si>
  <si>
    <t>kawai gankyu voxie sunset brown softlens minus</t>
  </si>
  <si>
    <t>kawai gankyu voxie sunset brown softlens minus tablet kombinasivalsartan blend 32 kawai gankyu voxie sunset brown softlens minus penggunaan 6 bulan  spesifikasi produk base curve 8  6 mm diameter 14 mm kadar air water content 38 masa pakai recommended usage 6 bulan monthly warna color brown ukuran power range  0  5 s d  8  00 isi content 2 buah 1 pasang</t>
  </si>
  <si>
    <t>Kawai Gankyu Voxie Mulan Brown Softlens Minus</t>
  </si>
  <si>
    <t>Kawai Gankyu Voxie Mulan Brown Softlens Minus untuk penggunaan 6 Bulan. Spesifikasi Produk: Base Curve: 8.6 mm Diameter: 14 mm Kadar Air/Water Content: 38 % Masa Pakai/Recommended Usage: 6 Bulan/Monthly Warna/Color: Brown Ukuran/Power Range: -0.5 s/d -10.00 Isi/Content: 2 buah (1 pasang).</t>
  </si>
  <si>
    <t>kawai gankyu voxie mulan brown softlens minus penggunaan 6 bulan  spesifikasi produk base curve 8  6 mm diameter 14 mm kadar air water content 38 masa pakai recommended usage 6 bulan monthly warna color brown ukuran power range - 0  5 s d - 10  00 isi content 2 buah 1 pasang</t>
  </si>
  <si>
    <t>kawai gankyu voxie mulan brown softlens minus</t>
  </si>
  <si>
    <t>kawai gankyu voxie mulan brown softlens minus tablet kombinasivalsartan blend 32 kawai gankyu voxie mulan brown softlens minus penggunaan 6 bulan  spesifikasi produk base curve 8  6 mm diameter 14 mm kadar air water content 38 masa pakai recommended usage 6 bulan monthly warna color brown ukuran power range  0  5 s d  10  00 isi content 2 buah 1 pasang</t>
  </si>
  <si>
    <t>Lily Black 2 Color Softlens Minus</t>
  </si>
  <si>
    <t>Rp28.000 - Rp34.800</t>
  </si>
  <si>
    <t>Softlens LILY BY IRISLAB untuk penggunaan 3 Bulan. Spesifikasi Produk: Base Curve: 8.60 mm Diameter: 16.0 mm Kadar Air/Water Content: 48% Masa Pakai/Recommended Usage: 3 Bulan/Monthly Warna/Color: Warna Black Ukuran/Power Range: -0.5 s/d -6.00 (Step 0.25) Isi/Content: 2 buah (1 pasang)</t>
  </si>
  <si>
    <t>softlens lily by irislab penggunaan 3 bulan  spesifikasi produk base curve 8  60 mm diameter 16  0 mm kadar air water content 48 masa pakai recommended usage 3 bulan monthly warna color warna black ukuran power range - 0  5 s d - 6  00 step 0  25 isi content 2 buah 1 pasang</t>
  </si>
  <si>
    <t>lily black color softlens minus</t>
  </si>
  <si>
    <t>lily black color softlens minus tablet kombinasivalsartan blend 32 softlens lily by irislab penggunaan 3 bulan  spesifikasi produk base curve 8  60 mm diameter 16  0 mm kadar air water content 48 masa pakai recommended usage 3 bulan monthly warna color warna black ukuran power range  0  5 s d  6  00 step 0  25 isi content 2 buah 1 pasang</t>
  </si>
  <si>
    <t>Kawai Gankyu Voxie Mulan Brown Softlens Plano/No Minus</t>
  </si>
  <si>
    <t>Kawai Gankyu Voxie Mulan Brown Softlens Plano/No Minus untuk penggunaan 6 Bulan. Spesifikasi Produk: Base Curve: 8.6 mm Diameter: 14 mm Kadar Air/Water Content: 38 % Masa Pakai/Recommended Usage: 6 Bulan/Monthly Warna/Color: Brown Ukuran/Power Range: Plano/ No Minus Isi/Content: 2 buah (1 pasang).</t>
  </si>
  <si>
    <t>kawai gankyu voxie mulan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</si>
  <si>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mulan brown softlens planono minus</t>
  </si>
  <si>
    <t>kawai gankyu voxie mulan brown softlens planono minus tablet kombinasivalsartan blend 32 kawai gankyu voxie mulan brown softlens plano no minus penggunaan 6 bulan  spesifikasi produk base curve 8  6 mm diameter 14 mm kadar air water content 38 masa pakai recommended usage 6 bulan monthly warna color brown ukuran power range plano no minus isi content 2 buah 1 pasang</t>
  </si>
  <si>
    <t>DKL0006501604B1</t>
  </si>
  <si>
    <t>Etamoxul 10 Kaplet</t>
  </si>
  <si>
    <t>Rp2.900 - Rp4.900</t>
  </si>
  <si>
    <t>PENGGUNAAN OBAT INI HARUS SESUAI DENGAN PETUNJUK DOKTER. 2 x sehari 2 kaplet</t>
  </si>
  <si>
    <t>Infeksi saluran kemih seperti pielonefritis pielitis dan protates akutdan kronis yang disebabkan oleh kuman yang sensitif seperti E.Coli, Klebsiella, Entorobacter dan Proteus mirabilisInfeksi saluran pencernaan, terutama disebabakan oleh kuman Salmonella dan Shigella seperti demam tifoid, paratifoid dan disentri basiler.Infeksi saluran pernafasan, seperti bronkhitis akut/kronik dan sinusitis akut yang disebabkan oleh kuman H. influenzae atau S. pneumoniae.Infeksi THT, seperti otitis media akut dan sinusitis akut yang disebabkan oleh kuman H. influenzae dan S. pneumoniae, serta infeksi lain seperti toksoplasmosis.</t>
  </si>
  <si>
    <t>infeksi saluran kemih pielonefritis pielitis protates akutdan kronis disebabkan kuman sensitif e  coli , klebsiella , entorobacter proteus mirabilisinfeksi saluran pencernaan , disebabakan kuman salmonella shigella demam tifoid , paratifoid disentri basiler  infeksi saluran pernafasan , bronkhitis akut kronik sinusitis akut disebabkan kuman h  influenzae s  pneumoniae  infeksi tht , otitis medium akut sinusitis akut disebabkan kuman h  influenzae s  pneumoniae , infeksi toksoplasmosis</t>
  </si>
  <si>
    <t>etamoxul kaplet sulfamethoxazole trimethoprim infeksi saluran kemih pielonefritis pielitis protates akutdan kronis disebabkan kuman sensitif e  coli  klebsiella  entorobacter proteus mirabilisinfeksi saluran pencernaan  disebabakan kuman salmonella shigella demam tifoid  paratifoid disentri basiler  infeksi saluran pernafasan  bronkhitis akut kronik sinusitis akut disebabkan kuman h  influenzae s  pneumoniae  infeksi tht  otitis medium akut sinusitis akut disebabkan kuman h  influenzae s  pneumoniae  infeksi toksoplasmosis</t>
  </si>
  <si>
    <t>Miss Celebrity Black 2 Color Softlens Minus</t>
  </si>
  <si>
    <t>Rp100.800 - Rp112.000</t>
  </si>
  <si>
    <t>Softlens MISS CELEBRITY untuk penggunaan 6 Bulan. Spesifikasi Produk: Base Curve: 8.6 mm Diameter: 14.2 mm Kadar Air/Water Content: 60% Masa Pakai/Recommended Usage: 6 Bulan/Monthly Warna/Color: Warna Black Ukuran/Power Range: -0.5 s/d -6.00 (Step 0.25) Isi/Content: 2 buah (1 pasang)</t>
  </si>
  <si>
    <t>softlens miss celebrity penggunaan 6 bulan  spesifikasi produk base curve 8  6 mm diameter 14  2 mm kadar air water content 60 masa pakai recommended usage 6 bulan monthly warna color warna black ukuran power range - 0  5 s d - 6  00 step 0  25 isi content 2 buah 1 pasang</t>
  </si>
  <si>
    <t>miss celebrity black color softlens minus</t>
  </si>
  <si>
    <t>miss celebrity black color softlens minus tablet kombinasivalsartan blend 32 softlens miss celebrity penggunaan 6 bulan  spesifikasi produk base curve 8  6 mm diameter 14  2 mm kadar air water content 60 masa pakai recommended usage 6 bulan monthly warna color warna black ukuran power range  0  5 s d  6  00 step 0  25 isi content 2 buah 1 pasang</t>
  </si>
  <si>
    <t>Alcon O2 Optix 6 Clear Softlens Minus</t>
  </si>
  <si>
    <t>Rp224.000 - Rp341.000</t>
  </si>
  <si>
    <t>Softlens ALCON O2 OPTIX untuk penggunaan 1 Bulan. Spesifikasi Produk: Base Curve: 8.6 mm Diameter: 14.2 mm Kadar Air/Water Content: 33% Masa Pakai/Recommended Usage: 1 Bulan/Monthly Warna/Color: Clear/Bening Ukuran/Power Range: -0.50 to -6.00 (steps 0.25) Isi/Content: 2 buah (1 pasang).</t>
  </si>
  <si>
    <t>softlens alcon o2 optix penggunaan 1 bulan  spesifikasi produk base curve 8  6 mm diameter 14  2 mm kadar air water content 33 masa pakai recommended usage 1 bulan monthly warna color clear bening ukuran power range - 0  50 to - 6  00 step 0  25 isi content 2 buah 1 pasang</t>
  </si>
  <si>
    <t>alcon o optix clear softlens minus</t>
  </si>
  <si>
    <t>alcon o optix clear softlens minus tablet kombinasivalsartan blend 32 softlens alcon o2 optix penggunaan 1 bulan  spesifikasi produk base curve 8  6 mm diameter 14  2 mm kadar air water content 33 masa pakai recommended usage 1 bulan monthly warna color clear bening ukuran power range  0  50 to  6  00 step 0  25 isi content 2 buah 1 pasang</t>
  </si>
  <si>
    <t>Living Color Lovely 1 Tone Black 2 Color Softlens Plano/No Minus</t>
  </si>
  <si>
    <t>Rp28.000 - Rp77.000</t>
  </si>
  <si>
    <t>Softlens LIVING COLOR LOVELY 1 TONE untuk penggunaan 3 Bulan. Spesifikasi Produk: Base Curve: 8.60 mm Diameter: 14.4 mm Kadar Air/Water Content: 48% Masa Pakai/Recommended Usage: 3 Bulan/Monthly Warna/Color: Warna Black Ukuran/Power Range: Plano / No Minus Isi/Content: 2 buah (1 pasang)</t>
  </si>
  <si>
    <t>softlens living color lovely 1 tone penggunaan 3 bulan  spesifikasi produk base curve 8  60 mm diameter 14  4 mm kadar air water content 48 masa pakai recommended usage 3 bulan monthly warna color warna black ukuran power range plano no minus isi content 2 buah 1 pasang</t>
  </si>
  <si>
    <t>living color lovely tone black color softlens planono minus</t>
  </si>
  <si>
    <t>living color lovely tone black color softlens planono minus tablet kombinasivalsartan blend 32 softlens living color lovely 1 tone penggunaan 3 bulan  spesifikasi produk base curve 8  60 mm diameter 14  4 mm kadar air water content 48 masa pakai recommended usage 3 bulan monthly warna color warna black ukuran power range plano no minus isi content 2 buah 1 pasang</t>
  </si>
  <si>
    <t>Eyesight Bloominc Daisy Gray Softlens Plano/No Minus</t>
  </si>
  <si>
    <t>Eyesight Bloominc Daisy Gray Softlens Plano/No Minus untuk penggunaan maksimal selama 6 Bulan. Spesifikasi Produk: Base Curve: 8.6 mm Diameter: 14.2 mm Kadar Air/Water Content: 48 % Masa Pakai/Recommended Usage: 6 Bulan/Monthly Varian: Daisy Dray Ukuran/Power Range: Plano/No Minus Isi/Content: 2 buah (1 pasang)</t>
  </si>
  <si>
    <t>eyesight bloominc daisy gray softlens plano no minus penggunaan maksimal 6 bulan  spesifikasi produk base curve 8  6 mm diameter 14  2 mm kadar air water content 48 masa pakai recommended usage 6 bulan monthly varian daisy dray ukuran power range plano no minus isi content 2 buah 1 pasang</t>
  </si>
  <si>
    <t>eyesight bloominc daisy gray softlens planono minus</t>
  </si>
  <si>
    <t>eyesight bloominc daisy gray softlens planono minus tablet kombinasivalsartan blend 32 eyesight bloominc daisy gray softlens plano no minus penggunaan maksimal 6 bulan  spesifikasi produk base curve 8  6 mm diameter 14  2 mm kadar air water content 48 masa pakai recommended usage 6 bulan monthly varian daisy dray ukuran power range plano no minus isi content 2 buah 1 pasang</t>
  </si>
  <si>
    <t>Eyesight Bloominc Daisy Brown Softlens Plano/No Minus</t>
  </si>
  <si>
    <t>Eyesight Bloominc Daisy Brown Softlens Plano/No Minus untuk penggunaan maksimal selama 6 Bulan. Spesifikasi Produk: Base Curve: 8.6 mm Diameter: 14.2 mm Kadar Air/Water Content: 48 % Masa Pakai/Recommended Usage: 6 Bulan/Monthly Varian: Daisy Brown Ukuran/Power Range: Plano/No Minus Isi/Content: 2 buah (1 pasang)</t>
  </si>
  <si>
    <t>eyesight bloominc daisy brown softlens plano no minus penggunaan maksimal 6 bulan  spesifikasi produk base curve 8  6 mm diameter 14  2 mm kadar air water content 48 masa pakai recommended usage 6 bulan monthly varian daisy brown ukuran power range plano no minus isi content 2 buah 1 pasang</t>
  </si>
  <si>
    <t>eyesight bloominc daisy brown softlens planono minus</t>
  </si>
  <si>
    <t>eyesight bloominc daisy brown softlens planono minus tablet kombinasivalsartan blend 32 eyesight bloominc daisy brown softlens plano no minus penggunaan maksimal 6 bulan  spesifikasi produk base curve 8  6 mm diameter 14  2 mm kadar air water content 48 masa pakai recommended usage 6 bulan monthly varian daisy brown ukuran power range plano no minus isi content 2 buah 1 pasang</t>
  </si>
  <si>
    <t>Eyesight Bloominc Bluebell Brown Softlens Plano/No Minus</t>
  </si>
  <si>
    <t>Eyesight Bloominc Bluebell Brown Softlens Plano/No Minus untuk penggunaan maksimal selama 6 Bulan. Spesifikasi Produk: Base Curve: 8.6 mm Diameter: 14.2 mm Kadar Air/Water Content: 48 % Masa Pakai/Recommended Usage: 6 Bulan/Monthly Varian: Bluebell Brown Ukuran/Power Range: Plano/No Minus Isi/Content: 2 buah (1 pasang)</t>
  </si>
  <si>
    <t>eyesight bloominc bluebell brown softlens plano no minus penggunaan maksimal 6 bulan  spesifikasi produk base curve 8  6 mm diameter 14  2 mm kadar air water content 48 masa pakai recommended usage 6 bulan monthly varian bluebell brown ukuran power range plano no minus isi content 2 buah 1 pasang</t>
  </si>
  <si>
    <t>eyesight bloominc bluebell brown softlens planono minus</t>
  </si>
  <si>
    <t>eyesight bloominc bluebell brown softlens planono minus tablet kombinasivalsartan blend 32 eyesight bloominc bluebell brown softlens plano no minus penggunaan maksimal 6 bulan  spesifikasi produk base curve 8  6 mm diameter 14  2 mm kadar air water content 48 masa pakai recommended usage 6 bulan monthly varian bluebell brown ukuran power range plano no minus isi content 2 buah 1 pasang</t>
  </si>
  <si>
    <t>Eyesight Bloominc Bluebell Gray Softlens Plano/No Minus</t>
  </si>
  <si>
    <t>Eyesight Bloominc Bluebell Gray Softlens Plano/No Minus untuk penggunaan maksimal selama 6 Bulan. Spesifikasi Produk: Base Curve: 8.6 mm Diameter: 14.2 mm Kadar Air/Water Content: 48 % Masa Pakai/Recommended Usage: 6 Bulan/Monthly Varian: Bluebell Gray Ukuran/Power Range: Plano/No Minus Isi/Content: 2 buah (1 pasang)</t>
  </si>
  <si>
    <t>eyesight bloominc bluebell gray softlens plano no minus penggunaan maksimal 6 bulan  spesifikasi produk base curve 8  6 mm diameter 14  2 mm kadar air water content 48 masa pakai recommended usage 6 bulan monthly varian bluebell gray ukuran power range plano no minus isi content 2 buah 1 pasang</t>
  </si>
  <si>
    <t>eyesight bloominc bluebell gray softlens planono minus</t>
  </si>
  <si>
    <t>eyesight bloominc bluebell gray softlens planono minus tablet kombinasivalsartan blend 32 eyesight bloominc bluebell gray softlens plano no minus penggunaan maksimal 6 bulan  spesifikasi produk base curve 8  6 mm diameter 14  2 mm kadar air water content 48 masa pakai recommended usage 6 bulan monthly varian bluebell gray ukuran power range plano no minus isi content 2 buah 1 pasang</t>
  </si>
  <si>
    <t>Kawai Gankyu Voxie Miranda Brown Softlens Minus</t>
  </si>
  <si>
    <t>Kawai Gankyu Voxie Miranda Brown Softlens Minus untuk penggunaan 6 Bulan. Spesifikasi Produk: Base Curve: 8.6 mm Diameter: 14 mm Kadar Air/Water Content: 38 % Masa Pakai/Recommended Usage: 6 Bulan/Monthly Warna/Color: Brown Ukuran/Power Range: -0.5 s/d -8.00 Isi/Content: 2 buah (1 pasang).</t>
  </si>
  <si>
    <t>kawai gankyu voxie miranda brown softlens minus penggunaan 6 bulan  spesifikasi produk base curve 8  6 mm diameter 14 mm kadar air water content 38 masa pakai recommended usage 6 bulan monthly warna color brown ukuran power range - 0  5 s d - 8  00 isi content 2 buah 1 pasang</t>
  </si>
  <si>
    <t>kawai gankyu voxie miranda brown softlens minus</t>
  </si>
  <si>
    <t>kawai gankyu voxie miranda brown softlens minus tablet kombinasivalsartan blend 32 kawai gankyu voxie miranda brown softlens minus penggunaan 6 bulan  spesifikasi produk base curve 8  6 mm diameter 14 mm kadar air water content 38 masa pakai recommended usage 6 bulan monthly warna color brown ukuran power range  0  5 s d  8  00 isi content 2 buah 1 pasang</t>
  </si>
  <si>
    <t>Kawai Gankyu Voxie Miranda Gray Softlens Plano/No Minus</t>
  </si>
  <si>
    <t>Kawai Gankyu Voxie Miranda Gray Softlens Plano/No Minus untuk penggunaan 6 Bulan. Spesifikasi Produk: Base Curve: 8.6 mm Diameter: 14 mm Kadar Air/Water Content: 38 % Masa Pakai/Recommended Usage: 6 Bulan/Monthly Warna/Color: Gray Ukuran/Power Range: Plano/ No Minus Isi/Content: 2 buah (1 pasang).</t>
  </si>
  <si>
    <t>kawai gankyu voxie miranda gray softlens plano no minus penggunaan 6 bulan  spesifikasi produk base curve 8  6 mm diameter 14 mm kadar air water content 38 masa pakai recommended usage 6 bulan monthly warna color gray ukuran power range plano no minus isi content 2 buah 1 pasang</t>
  </si>
  <si>
    <t>kawai gankyu voxie miranda gray softlens planono minus</t>
  </si>
  <si>
    <t>kawai gankyu voxie miranda gray softlens planono minus tablet kombinasivalsartan blend 32 kawai gankyu voxie miranda gray softlens plano no minus penggunaan 6 bulan  spesifikasi produk base curve 8  6 mm diameter 14 mm kadar air water content 38 masa pakai recommended usage 6 bulan monthly warna color gray ukuran power range plano no minus isi content 2 buah 1 pasang</t>
  </si>
  <si>
    <t>Kawai Gankyu Voxie Lily Brown Softlens Minus</t>
  </si>
  <si>
    <t>Kawai Gankyu Voxie Lily Brown Softlens Minus untuk penggunaan 6 Bulan. Spesifikasi Produk: Base Curve: 8.6 mm Diameter: 14 mm Kadar Air/Water Content: 38 % Masa Pakai/Recommended Usage: 6 Bulan/Monthly Warna/Color: Brown Ukuran/Power Range: -0.5 s/d -8.00 Isi/Content: 2 buah (1 pasang).</t>
  </si>
  <si>
    <t>kawai gankyu voxie lily brown softlens minus penggunaan 6 bulan  spesifikasi produk base curve 8  6 mm diameter 14 mm kadar air water content 38 masa pakai recommended usage 6 bulan monthly warna color brown ukuran power range - 0  5 s d - 8  00 isi content 2 buah 1 pasang</t>
  </si>
  <si>
    <t>kawai gankyu voxie lily brown softlens minus</t>
  </si>
  <si>
    <t>kawai gankyu voxie lily brown softlens minus tablet kombinasivalsartan blend 32 kawai gankyu voxie lily brown softlens minus penggunaan 6 bulan  spesifikasi produk base curve 8  6 mm diameter 14 mm kadar air water content 38 masa pakai recommended usage 6 bulan monthly warna color brown ukuran power range  0  5 s d  8  00 isi content 2 buah 1 pasang</t>
  </si>
  <si>
    <t>DKL9604120641A1</t>
  </si>
  <si>
    <t>Dermacoid Scalp Lotion 20 ml</t>
  </si>
  <si>
    <t>Rp147.000 - Rp177.900</t>
  </si>
  <si>
    <t>Oleskan tipis-tipis pada bagian yang sakit.</t>
  </si>
  <si>
    <t>PENGGUNAAN OBAT INI HARUS SESUAI DENGAN PETUNJUK DOKTER. Oleskan 1-2 kali sehari.</t>
  </si>
  <si>
    <t>INFORMASI OBAT INI HANYA UNTUK KALANGAN MEDIS. Dermacoid diindikasikan untuk pengobatan topikal kelainan-kelainan kulit akibat proses-proses eksema, inflamasi atau alergi, seperti pada: eksema atopik, kronik, alergik, numuler, dan eksema kontak, eczema infantumm, seborrheic eczema (lichenifikasi) dan eksema konstitusionil tetapi juga pada kelainan-kelainan seperti psoriasis, occupational eczema, dermatitis kontak, lichen ruber planus et verrucosus, neurodermatitis, dan bermacam-macam kelainan kulit lainnya, termasuk intertrigo, dermatitis solaris, dermatitis radiasi, diaper rash dan pruritus skrotal, vulval dan anal tidak spesifik.</t>
  </si>
  <si>
    <t>Dus, Botol Plastik @ 20 ml</t>
  </si>
  <si>
    <t>Infeksi virus / jamur, lesi tuberkular atau sifilis, infeksi bakteri</t>
  </si>
  <si>
    <t>Obat Wajib Apotek, Obat ini dapat dibeli dan diserahkan apoteker tanpa resep dengan maksimum 1 Botol. Pembelian melebihi batas ini WAJIB RESEP DOKTER. - Hindari kontak dengan mata. - Kehamilan dan menyusui.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</si>
  <si>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dermacoid diindikasikan pengobatan topikal kelainan - kelainan kulit akibat prose - prose eksema , inflamasi alergi , eksema atopik , kronik , alergik , numuler , eksema kontak , eczema infantumm , seborrheic eczema lichenifikasi eksema konstitusionil kelainan - kelainan psoriasis , occupational eczema , dermatitis kontak , lichen ruber planus et verrucosus , neurodermatitis , - kelainan kulit , intertrigo , dermatitis solaris , dermatitis radiasi , diaper rash pruritus skrotal , vulval anal tidak spesifik</t>
  </si>
  <si>
    <t>dermacoid scalp lotion</t>
  </si>
  <si>
    <t>dermacoid scalp lotion krim hydrocortisone butyrate dermacoid diindikasikan pengobatan topikal kelai  kelai kulit akibat prose  prose eksema  inflamasi alergi  eksema atopik  kronik  alergik  numuler  eksema kontak  eczema infantumm  seborrheic eczema lichenifikasi eksema konstitusionil kelai  kelai psoriasis  occupational eczema  dermatitis kontak  lichen ruber planus et verrucosus  neurodermatitis   kelai kulit  intertrigo  dermatitis solaris  dermatitis radiasi  diaper rash pruritus skrotal  vulval anal tidak spesifik</t>
  </si>
  <si>
    <t>X2 Stardust Aquila 2 Color Softlens Minus</t>
  </si>
  <si>
    <t>Rp50.400 - Rp101.000</t>
  </si>
  <si>
    <t>Softlens Minus X2 Stardust untuk penggunaan 6 Bulan. Spesifikasi Produk: Base Curve: 8.60 Diameter: 14.50 mm Kadar Air/Water Content: 55% Masa Pakai/Recommended Usage: 6 Bulan/Monthly Warna/Color: Warna Aquila Ukuran/Power Range: -0.5 s/d -6.00 (Step 0.25) Isi/Content: 2 buah (1 pasang)</t>
  </si>
  <si>
    <t>softlens minus x2 stardust penggunaan 6 bulan  spesifikasi produk base curve 8  60 diameter 14  50 mm kadar air water content 55 masa pakai recommended usage 6 bulan monthly warna color warna aquila ukuran power range - 0  5 s d - 6  00 step 0  25 isi content 2 buah 1 pasang</t>
  </si>
  <si>
    <t>x stardust aquila color softlens minus</t>
  </si>
  <si>
    <t>x stardust aquila color softlens minus tablet kombinasivalsartan blend 32 softlens minus x2 stardust penggunaan 6 bulan  spesifikasi produk base curve 8  60 diameter 14  50 mm kadar air water content 55 masa pakai recommended usage 6 bulan monthly warna color warna aquila ukuran power range  0  5 s d  6  00 step 0  25 isi content 2 buah 1 pasang</t>
  </si>
  <si>
    <t>Eyesight Kitty Kawaii Mini Clean Brown Softlens Minus</t>
  </si>
  <si>
    <t>Eyesight Kitty Kawaii Mini Clean Brown Softlens Minus untuk penggunaan maksimal selama 6 Bulan. Spesifikasi Produk: Base Curve: 8.6 mm Diameter: 14.2 mm Kadar Air/Water Content: 55 % Masa Pakai/Recommended Usage: 6 Bulan/Monthly Varian: Brown Ukuran/Power Range: Plano/No Minus Isi/Content: 2 buah (1 pasang)</t>
  </si>
  <si>
    <t>eyesight kitty kawaii mini clean brown softlens minus penggunaan maksimal 6 bulan  spesifikasi produk base curve 8  6 mm diameter 14  2 mm kadar air water content 55 masa pakai recommended usage 6 bulan monthly varian brown ukuran power range plano no minus isi content 2 buah 1 pasang</t>
  </si>
  <si>
    <t>eyesight kitty kawaii mini clean brown softlens minus</t>
  </si>
  <si>
    <t>eyesight kitty kawaii mini clean brown softlens minus tablet kombinasivalsartan blend 32 eyesight kitty kawaii mini clean brown softlens minus penggunaan maksimal 6 bulan  spesifikasi produk base curve 8  6 mm diameter 14  2 mm kadar air water content 55 masa pakai recommended usage 6 bulan monthly varian brown ukuran power range plano no minus isi content 2 buah 1 pasang</t>
  </si>
  <si>
    <t>Eyesight Kitty Kawaii Mini Clean Black Softlens Minus</t>
  </si>
  <si>
    <t>Eyesight Kitty Kawaii Mini Clean Black Softlens Minus untuk penggunaan maksimal selama 6 Bulan. Spesifikasi Produk: Base Curve: 8.6 mm Diameter: 14.2 mm Kadar Air/Water Content: 55 % Masa Pakai/Recommended Usage: 6 Bulan/Monthly Varian: Black Ukuran/Power Range: Plano/No Minus Isi/Content: 2 buah (1 pasang)</t>
  </si>
  <si>
    <t>eyesight kitty kawaii mini clean black softlens minus penggunaan maksimal 6 bulan  spesifikasi produk base curve 8  6 mm diameter 14  2 mm kadar air water content 55 masa pakai recommended usage 6 bulan monthly varian black ukuran power range plano no minus isi content 2 buah 1 pasang</t>
  </si>
  <si>
    <t>eyesight kitty kawaii mini clean black softlens minus</t>
  </si>
  <si>
    <t>eyesight kitty kawaii mini clean black softlens minus tablet kombinasivalsartan blend 32 eyesight kitty kawaii mini clean black softlens minus penggunaan maksimal 6 bulan  spesifikasi produk base curve 8  6 mm diameter 14  2 mm kadar air water content 55 masa pakai recommended usage 6 bulan monthly varian black ukuran power range plano no minus isi content 2 buah 1 pasang</t>
  </si>
  <si>
    <t>X2 Seduction Claudy 2 Color Softlens Minus</t>
  </si>
  <si>
    <t>Softlens X2 SEDUCTION untuk penggunaan 6 Bulan. Spesifikasi Produk: Base Curve: 8.60 mm Diameter: 14.5 mm Kadar Air/Water Content: 42% Masa Pakai/Recommended Usage: 6 Bulan/Monthly Warna/Color: Warna Cloudy Ukuran/Power Range: -0.5 s/d -6.00 (Step 0.25) Isi/Content: 2 buah (1 pasang)</t>
  </si>
  <si>
    <t>softlens x2 seduction penggunaan 6 bulan  spesifikasi produk base curve 8  60 mm diameter 14  5 mm kadar air water content 42 masa pakai recommended usage 6 bulan monthly warna color warna cloudy ukuran power range - 0  5 s d - 6  00 step 0  25 isi content 2 buah 1 pasang</t>
  </si>
  <si>
    <t>x seduction claudy color softlens minus</t>
  </si>
  <si>
    <t>x seduction claudy color softlens minus tablet kombinasivalsartan blend 32 softlens x2 seduction penggunaan 6 bulan  spesifikasi produk base curve 8  60 mm diameter 14  5 mm kadar air water content 42 masa pakai recommended usage 6 bulan monthly warna color warna cloudy ukuran power range  0  5 s d  6  00 step 0  25 isi content 2 buah 1 pasang</t>
  </si>
  <si>
    <t>X2 Sanso Cappucino 2 Color Softlens Minus</t>
  </si>
  <si>
    <t>Rp72.800 - Rp134.400</t>
  </si>
  <si>
    <t>Softlens Minus X2 Sanso untuk penggunaan 6 Bulan. Spesifikasi Produk: Base Curve: 8.60 Diameter: 14.50 mm Kadar Air/Water Content: 55% Masa Pakai/Recommended Usage: 6 Bulan/Monthly Warna/Color: Warna Cappucino Ukuran/Power Range: -0.5 s/d -6.00 (Step 0.25) Isi/Content: 2 buah (1 pasang)</t>
  </si>
  <si>
    <t>softlens minus x2 sanso penggunaan 6 bulan  spesifikasi produk base curve 8  60 diameter 14  50 mm kadar air water content 55 masa pakai recommended usage 6 bulan monthly warna color warna cappucino ukuran power range - 0  5 s d - 6  00 step 0  25 isi content 2 buah 1 pasang</t>
  </si>
  <si>
    <t>x sanso cappucino color softlens minus</t>
  </si>
  <si>
    <t>x sanso cappucino color softlens minus tablet kombinasivalsartan blend 32 softlens minus x2 sanso penggunaan 6 bulan  spesifikasi produk base curve 8  60 diameter 14  50 mm kadar air water content 55 masa pakai recommended usage 6 bulan monthly warna color warna cappucino ukuran power range  0  5 s d  6  00 step 0  25 isi content 2 buah 1 pasang</t>
  </si>
  <si>
    <t>X2 New Diva Blue 2 Color Softlens Minus</t>
  </si>
  <si>
    <t>Rp50.400 - Rp110.000</t>
  </si>
  <si>
    <t>Softlens X2 NEW DIVA untuk penggunaan 6 Bulan. Spesifikasi Produk: Base Curve: 9 mm Diameter: 15 mm Kadar Air/Water Content: 42% Masa Pakai/Recommended Usage: 6 Bulan/Monthly Warna/Color: Warna BLUE Ukuran/Power Range: -0.5 s/d -6.00 (Step 0.25) Isi/Content: 2 buah (1 pasang)</t>
  </si>
  <si>
    <t>softlens x2 new diva penggunaan 6 bulan  spesifikasi produk base curve 9 mm diameter 15 mm kadar air water content 42 masa pakai recommended usage 6 bulan monthly warna color warna blue ukuran power range - 0  5 s d - 6  00 step 0  25 isi content 2 buah 1 pasang</t>
  </si>
  <si>
    <t>x new diva blue color softlens minus</t>
  </si>
  <si>
    <t>x new diva blue color softlens minus tablet kombinasivalsartan blend 32 softlens x2 new diva penggunaan 6 bulan  spesifikasi produk base curve 9 mm diameter 15 mm kadar air water content 42 masa pakai recommended usage 6 bulan monthly warna color warna blue ukuran power range  0  5 s d  6  00 step 0  25 isi content 2 buah 1 pasang</t>
  </si>
  <si>
    <t>Eyesight Kitty Kawaii Mini Someday Brown Softlens Minus</t>
  </si>
  <si>
    <t>Eyesight Kitty Kawaii Mini Someday Brown Softlens Minus untuk penggunaan maksimal selama 6 Bulan. Spesifikasi Produk: Base Curve: 8.6 mm Diameter: 14.2 mm Kadar Air/Water Content: 55 % Masa Pakai/Recommended Usage: 6 Bulan/Monthly Varian: Brown Ukuran/Power Range: Plano/No Minus Isi/Content: 2 buah (1 pasang)</t>
  </si>
  <si>
    <t>eyesight kitty kawaii mini someday brown softlens minus penggunaan maksimal 6 bulan  spesifikasi produk base curve 8  6 mm diameter 14  2 mm kadar air water content 55 masa pakai recommended usage 6 bulan monthly varian brown ukuran power range plano no minus isi content 2 buah 1 pasang</t>
  </si>
  <si>
    <t>eyesight kitty kawaii mini someday brown softlens minus</t>
  </si>
  <si>
    <t>eyesight kitty kawaii mini someday brown softlens minus tablet kombinasivalsartan blend 32 eyesight kitty kawaii mini someday brown softlens minus penggunaan maksimal 6 bulan  spesifikasi produk base curve 8  6 mm diameter 14  2 mm kadar air water content 55 masa pakai recommended usage 6 bulan monthly varian brown ukuran power range plano no minus isi content 2 buah 1 pasang</t>
  </si>
  <si>
    <t>X2 Glam Aquamarine 2 Color Softlens Minus</t>
  </si>
  <si>
    <t>Rp50.400 - Rp116.000</t>
  </si>
  <si>
    <t>Softlens Minus X2 Glam untuk penggunaan 6 Bulan. Spesifikasi Produk: Base Curve: 8.60 Diameter: 14.50 mm Kadar Air/Water Content: 55% Masa Pakai/Recommended Usage: 6 Bulan/Monthly Warna/Color: Warna Aquamarine Ukuran/Power Range: -0.5 s/d -6.00 (Step 0.25) Isi/Content: 2 buah (1 pasang)</t>
  </si>
  <si>
    <t>softlens minus x2 glam penggunaan 6 bulan  spesifikasi produk base curve 8  60 diameter 14  50 mm kadar air water content 55 masa pakai recommended usage 6 bulan monthly warna color warna aquamarine ukuran power range - 0  5 s d - 6  00 step 0  25 isi content 2 buah 1 pasang</t>
  </si>
  <si>
    <t>x glam aquamarine color softlens minus</t>
  </si>
  <si>
    <t>x glam aquamarine color softlens minus tablet kombinasivalsartan blend 32 softlens minus x2 glam penggunaan 6 bulan  spesifikasi produk base curve 8  60 diameter 14  50 mm kadar air water content 55 masa pakai recommended usage 6 bulan monthly warna color warna aquamarine ukuran power range  0  5 s d  6  00 step 0  25 isi content 2 buah 1 pasang</t>
  </si>
  <si>
    <t>Eyesight Kitty Kawaii Mini Ava Gray Softlens Minus</t>
  </si>
  <si>
    <t>Eyesight Kitty Kawaii Mini Ava Gray Softlens Minus untuk penggunaan maksimal selama 6 Bulan. Spesifikasi Produk: Base Curve: 8.6 mm Diameter: 14.2 mm Kadar Air/Water Content: 55 % Masa Pakai/Recommended Usage: 6 Bulan/Monthly Varian: Gray Ukuran/Power Range: Plano/No Minus Isi/Content: 2 buah (1 pasang)</t>
  </si>
  <si>
    <t>eyesight kitty kawaii mini ava gray softlens minus penggunaan maksimal 6 bulan  spesifikasi produk base curve 8  6 mm diameter 14  2 mm kadar air water content 55 masa pakai recommended usage 6 bulan monthly varian gray ukuran power range plano no minus isi content 2 buah 1 pasang</t>
  </si>
  <si>
    <t>eyesight kitty kawaii mini ava gray softlens minus</t>
  </si>
  <si>
    <t>eyesight kitty kawaii mini ava gray softlens minus tablet kombinasivalsartan blend 32 eyesight kitty kawaii mini ava gray softlens minus penggunaan maksimal 6 bulan  spesifikasi produk base curve 8  6 mm diameter 14  2 mm kadar air water content 55 masa pakai recommended usage 6 bulan monthly varian gray ukuran power range plano no minus isi content 2 buah 1 pasang</t>
  </si>
  <si>
    <t>infatrim tablet sulfamethoxazole trimethoprim infeksi traktus urinarius pielonefritis  pielitis prostatitis akut kronis kuman sensitif e  coli  klebsiella  enterobacter proteus  infeksi traktus gastrointestinal  kuman salmonella shigella demam tifoid  paratifoid disentri basiler  infeksi traktus respiratorius bronkhitis akut sinusitis akut kuman h  influenzae s  pneumoniae  infeksi tht otitis medium akut sinusitis akut kuman h  influenzae s  pneumoniae  infeksi toxoplasmosis infeksi dimana obat terpilih tidak</t>
  </si>
  <si>
    <t>Eyesight Kitty Kawaii Mini Kelly Gray Softlens Minus</t>
  </si>
  <si>
    <t>Eyesight Kitty Kawaii Mini Kelly Gray Softlens Minus untuk penggunaan maksimal selama 6 Bulan. Spesifikasi Produk: Base Curve: 8.6 mm Diameter: 14.2 mm Kadar Air/Water Content: 55 % Masa Pakai/Recommended Usage: 6 Bulan/Monthly Varian: Gray Ukuran/Power Range: Plano/No Minus Isi/Content: 2 buah (1 pasang)</t>
  </si>
  <si>
    <t>eyesight kitty kawaii mini kelly gray softlens minus penggunaan maksimal 6 bulan  spesifikasi produk base curve 8  6 mm diameter 14  2 mm kadar air water content 55 masa pakai recommended usage 6 bulan monthly varian gray ukuran power range plano no minus isi content 2 buah 1 pasang</t>
  </si>
  <si>
    <t>eyesight kitty kawaii mini kelly gray softlens minus</t>
  </si>
  <si>
    <t>eyesight kitty kawaii mini kelly gray softlens minus tablet kombinasivalsartan blend 32 eyesight kitty kawaii mini kelly gray softlens minus penggunaan maksimal 6 bulan  spesifikasi produk base curve 8  6 mm diameter 14  2 mm kadar air water content 55 masa pakai recommended usage 6 bulan monthly varian gray ukuran power range plano no minus isi content 2 buah 1 pasang</t>
  </si>
  <si>
    <t>Eyesight Kitty Kawaii Mini Sunset Brown Softlens Minus</t>
  </si>
  <si>
    <t>Eyesight Kitty Kawaii Mini Sunset Brown Softlens Minus untuk penggunaan maksimal selama 6 Bulan. Spesifikasi Produk: Base Curve: 8.6 mm Diameter: 14.2 mm Kadar Air/Water Content: 55 % Masa Pakai/Recommended Usage: 6 Bulan/Monthly Varian: Brown Ukuran/Power Range: Plano/No Minus Isi/Content: 2 buah (1 pasang)</t>
  </si>
  <si>
    <t>eyesight kitty kawaii mini sunset brown softlens minus penggunaan maksimal 6 bulan  spesifikasi produk base curve 8  6 mm diameter 14  2 mm kadar air water content 55 masa pakai recommended usage 6 bulan monthly varian brown ukuran power range plano no minus isi content 2 buah 1 pasang</t>
  </si>
  <si>
    <t>eyesight kitty kawaii mini sunset brown softlens minus</t>
  </si>
  <si>
    <t>eyesight kitty kawaii mini sunset brown softlens minus tablet kombinasivalsartan blend 32 eyesight kitty kawaii mini sunset brown softlens minus penggunaan maksimal 6 bulan  spesifikasi produk base curve 8  6 mm diameter 14  2 mm kadar air water content 55 masa pakai recommended usage 6 bulan monthly varian brown ukuran power range plano no minus isi content 2 buah 1 pasang</t>
  </si>
  <si>
    <t>TI104341321</t>
  </si>
  <si>
    <t>Nature's Plus Propol Plus 60 Kapsul</t>
  </si>
  <si>
    <t>NATURE`S PLUS PROPOLPLUS</t>
  </si>
  <si>
    <t>Rp308.700 - Rp556.100</t>
  </si>
  <si>
    <t>1 softgel 1 x sehari</t>
  </si>
  <si>
    <t>Kandungan flavonoidnya sebagai antibiotik alami, anti peradangan dan anti virus. Membantu meningkatkan daya tahan tubuh terhadap serangan penyakit. Menjaga kesehatan kulit, membantu mencegah jerawat, gatal-gatal, eksim, dan lain-lain. Membantu memperbaiki jaringan dan fungsi tubuh, serta melancarkan aliran darah. Membantu penyembuhan sakit maag, infeksi saluran pencernaan dan saluran kemih. Membantu penyembuhan radang tenggorokan, sinusitis, dan influenza. Tambahan Bee Pollen bermanfaat untuk meningkatkan energi.</t>
  </si>
  <si>
    <t>Botol @ 60 kapsul lunak</t>
  </si>
  <si>
    <t>nature`s plus propolplus</t>
  </si>
  <si>
    <t>kandungan flavonoidnya antibiotik alami , anti peradangan anti virus  membantu meningkatkan daya tahan tubuh serangan penyakit  menjaga kesehatan kulit , membantu mencegah jerawat , gatal - gatal , eksim , -  membantu memperbaiki jaringan fungsi tubuh , melancarkan aliran darah  membantu penyembuhan sakit maag , infeksi saluran pencernaan saluran kemih  membantu penyembuhan radang tenggorokan , sinusitis , influenza  tambahan bee pollen bermanfaat meningkatkan energi</t>
  </si>
  <si>
    <t>natures plus propol plus</t>
  </si>
  <si>
    <t>natures plus propol plus kapsul natures plus propolplus kandungan flavonoidnya antibiotik alami  anti peradangan anti virus  membantu meningkatkan daya tahan tubuh serangan penyakit  menjaga kesehatan kulit  membantu mencegah jerawat  gatal  gatal  eksim    membantu memperbaiki jaringan fungsi tubuh  melancarkan aliran darah  membantu penyembuhan sakit maag  infeksi saluran pencernaan saluran kemih  membantu penyembuhan radang tenggorokan  sinusitis  influenza  tambahan bee pollen bermanfaat meningkatkan energi</t>
  </si>
  <si>
    <t>Kawai Gankyu Voxie Miranda Brown Softlens Plano/No Minus</t>
  </si>
  <si>
    <t>Kawai Gankyu Voxie Miranda Brown Softlens Plano/No Minus untuk penggunaan 6 Bulan. Spesifikasi Produk: Base Curve: 8.6 mm Diameter: 14 mm Kadar Air/Water Content: 38 % Masa Pakai/Recommended Usage: 6 Bulan/Monthly Warna/Color: Brown Ukuran/Power Range: Plano/ No Minus Isi/Content: 2 buah (1 pasang).</t>
  </si>
  <si>
    <t>kawai gankyu voxie miranda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</si>
  <si>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miranda brown softlens planono minus</t>
  </si>
  <si>
    <t>kawai gankyu voxie miranda brown softlens planono minus tablet kombinasivalsartan blend 32 kawai gankyu voxie miranda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</si>
  <si>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Lily Gray Softlens Plano/No Minus</t>
  </si>
  <si>
    <t>Kawai Gankyu Voxie Lily Gray Softlens Plano/No Minus untuk penggunaan 6 Bulan. Spesifikasi Produk: Base Curve: 8.6 mm Diameter: 14 mm Kadar Air/Water Content: 38 % Masa Pakai/Recommended Usage: 6 Bulan/Monthly Warna/Color: Gray Ukuran/Power Range: Plano/ No Minus Isi/Content: 2 buah (1 pasang).</t>
  </si>
  <si>
    <t>kawai gankyu voxie lily gray softlens plano no minus penggunaan 6 bulan  spesifikasi produk base curve 8  6 mm diameter 14 mm kadar air water content 38 masa pakai recommended usage 6 bulan monthly warna color gray ukuran power range plano no minus isi content 2 buah 1 pasang</t>
  </si>
  <si>
    <t>kawai gankyu voxie lily gray softlens planono minus</t>
  </si>
  <si>
    <t>kawai gankyu voxie lily gray softlens planono minus tablet kombinasivalsartan blend 32 kawai gankyu voxie lily gray softlens plano no minus penggunaan 6 bulan  spesifikasi produk base curve 8  6 mm diameter 14 mm kadar air water content 38 masa pakai recommended usage 6 bulan monthly warna color gray ukuran power range plano no minus isi content 2 buah 1 pasang</t>
  </si>
  <si>
    <t>Kawai Gankyu Voxie Lily Brown Softlens Plano/No Minus</t>
  </si>
  <si>
    <t>Kawai Gankyu Voxie Lily Brown Softlens Plano/No Minus untuk penggunaan 6 Bulan. Spesifikasi Produk: Base Curve: 8.6 mm Diameter: 14 mm Kadar Air/Water Content: 38 % Masa Pakai/Recommended Usage: 6 Bulan/Monthly Warna/Color: Brown Ukuran/Power Range: Plano/ No Minus Isi/Content: 2 buah (1 pasang).</t>
  </si>
  <si>
    <t>kawai gankyu voxie lily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</si>
  <si>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lily brown softlens planono minus</t>
  </si>
  <si>
    <t>kawai gankyu voxie lily brown softlens planono minus tablet kombinasivalsartan blend 32 kawai gankyu voxie lily brown softlens plano no minus penggunaan 6 bulan  spesifikasi produk base curve 8  6 mm diameter 14 mm kadar air water content 38 masa pakai recommended usage 6 bulan monthly warna color brown ukuran power range plano no minus isi content 2 buah 1 pasang</t>
  </si>
  <si>
    <t>dermacoid scalp lotion larutan hydrocortisone butyrate dermacoid diindikasikan pengobatan topikal kelai  kelai kulit akibat prose  prose eksema  inflamasi alergi  eksema atopik  kronik  alergik  numuler  eksema kontak  eczema infantumm  seborrheic eczema lichenifikasi eksema konstitusionil kelai  kelai psoriasis  occupational eczema  dermatitis kontak  lichen ruber planus et verrucosus  neurodermatitis   kelai kulit  intertrigo  dermatitis solaris  dermatitis radiasi  diaper rash pruritus skrotal  vulval anal tidak spesifik</t>
  </si>
  <si>
    <t>Freshlook Colorblends Blue 2 Color Softlens Minus</t>
  </si>
  <si>
    <t>Rp224.000 - Rp253.000</t>
  </si>
  <si>
    <t>Softlens Minus Acuvue Define 1 day untuk penggunaan Harian. Spesifikasi Produk: Base Curve: 8.5 Diameter: 14.20 mm Kadar Air/Water Content: 58% Masa Pakai/Recommended Usage: Harian Warna/Color: Warna Radiant Sweet Ukuran/Power Range: -0.5 s/d -9.00 (Step 0.25) Isi/Content: 30 buah (15 pasang)</t>
  </si>
  <si>
    <t>softlens minus acuvue define 1 day penggunaan harian  spesifikasi produk base curve 8  5 diameter 14  20 mm kadar air water content 58 masa pakai recommended usage harian warna color warna radiant sweet ukuran power range - 0  5 s d - 9  00 step 0  25 isi content 30 buah 15 pasang</t>
  </si>
  <si>
    <t>freshlook colorblends blue color softlens minus</t>
  </si>
  <si>
    <t>freshlook colorblends blue color softlens minus tablet kombinasivalsartan blend 32 softlens minus acuvue define 1 day penggunaan harian  spesifikasi produk base curve 8  5 diameter 14  20 mm kadar air water content 58 masa pakai recommended usage harian warna color warna radiant sweet ukuran power range  0  5 s d  9  00 step 0  25 isi content 30 buah 15 pasang</t>
  </si>
  <si>
    <t>Freshkon Moondust Brown 2 Color Softlens Minus</t>
  </si>
  <si>
    <t>Rp109.800 - Rp145.600</t>
  </si>
  <si>
    <t>Softlens FRESHKON COLORFUSION MOONDUST untuk penggunaan 1 Bulan. Spesifikasi Produk: Base Curve: 8.6 mm Diameter: 14.2 mm Kadar Air/Water Content: 55% Masa Pakai/Recommended Usage: 1 Bulan/Monthly Warna/Color: Moondust Brown Ukuran/Power Range: -1.00D to -6.00D (0.25 steps) Isi/Content: 2 buah (1 pasang).</t>
  </si>
  <si>
    <t>softlens freshkon colorfusion moondust penggunaan 1 bulan  spesifikasi produk base curve 8  6 mm diameter 14  2 mm kadar air water content 55 masa pakai recommended usage 1 bulan monthly warna color moondust brown ukuran power range - 1  00d to - 6  00d 0  25 step isi content 2 buah 1 pasang</t>
  </si>
  <si>
    <t>freshkon moondust brown color softlens minus</t>
  </si>
  <si>
    <t>freshkon moondust brown color softlens minus tablet kombinasivalsartan blend 32 softlens freshkon colorfusion moondust penggunaan 1 bulan  spesifikasi produk base curve 8  6 mm diameter 14  2 mm kadar air water content 55 masa pakai recommended usage 1 bulan monthly warna color moondust brown ukuran power range  1  00d to  6  00d 0  25 step isi content 2 buah 1 pasang</t>
  </si>
  <si>
    <t>Kawai Gankyu Voxie Lunar Brown Softlens Plano/No Minus</t>
  </si>
  <si>
    <t>Kawai Gankyu Voxie Lunar Brown Softlens Plano/No Minus untuk penggunaan 6 Bulan. Spesifikasi Produk: Base Curve: 8.6 mm Diameter: 14 mm Kadar Air/Water Content: 38 % Masa Pakai/Recommended Usage: 6 Bulan/Monthly Warna/Color: Brown Ukuran/Power Range: Plano/ No Minus Isi/Content: 2 buah (1 pasang).</t>
  </si>
  <si>
    <t>kawai gankyu voxie lunar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</si>
  <si>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lunar brown softlens planono minus</t>
  </si>
  <si>
    <t>kawai gankyu voxie lunar brown softlens planono minus tablet kombinasivalsartan blend 32 kawai gankyu voxie lunar brown softlens plano no minus penggunaan 6 bulan  spesifikasi produk base curve 8  6 mm diameter 14 mm kadar air water content 38 masa pakai recommended usage 6 bulan monthly warna color brown ukuran power range plano no minus isi content 2 buah 1 pasang</t>
  </si>
  <si>
    <t>Kawai Gankyu Voxie Lunar Gray Softlens Plano/No Minus</t>
  </si>
  <si>
    <t>Kawai Gankyu Voxie Lunar Gray Softlens Plano/No Minus untuk penggunaan 6 Bulan. Spesifikasi Produk: Base Curve: 8.6 mm Diameter: 14 mm Kadar Air/Water Content: 38 % Masa Pakai/Recommended Usage: 6 Bulan/Monthly Warna/Color: Gray Ukuran/Power Range: Plano/ No Minus Isi/Content: 2 buah (1 pasang).</t>
  </si>
  <si>
    <t>kawai gankyu voxie lunar gray softlens plano no minus penggunaan 6 bulan  spesifikasi produk base curve 8  6 mm diameter 14 mm kadar air water content 38 masa pakai recommended usage 6 bulan monthly warna color gray ukuran power range plano no minus isi content 2 buah 1 pasang</t>
  </si>
  <si>
    <t>kawai gankyu voxie lunar gray softlens planono minus</t>
  </si>
  <si>
    <t>kawai gankyu voxie lunar gray softlens planono minus tablet kombinasivalsartan blend 32 kawai gankyu voxie lunar gray softlens plano no minus penggunaan 6 bulan  spesifikasi produk base curve 8  6 mm diameter 14 mm kadar air water content 38 masa pakai recommended usage 6 bulan monthly warna color gray ukuran power range plano no minus isi content 2 buah 1 pasang</t>
  </si>
  <si>
    <t>Ruby Honey Brown 2 Color Softlens Minus</t>
  </si>
  <si>
    <t>Rp53.800 - Rp95.200</t>
  </si>
  <si>
    <t>Softlens RUBY untuk penggunaan 6 Bulan. Spesifikasi Produk: Base Curve: 8.6 mm Diameter: 14.2 mm Kadar Air/Water Content: 55% Masa Pakai/Recommended Usage: 6 Bulan/Monthly Warna/Color: Warna Honey Brown Ukuran/Power Range: -0.5 s/d -6.00 (Step 0.25) Isi/Content: 2 buah (1 pasang)</t>
  </si>
  <si>
    <t>softlens ruby penggunaan 6 bulan  spesifikasi produk base curve 8  6 mm diameter 14  2 mm kadar air water content 55 masa pakai recommended usage 6 bulan monthly warna color warna honey brown ukuran power range - 0  5 s d - 6  00 step 0  25 isi content 2 buah 1 pasang</t>
  </si>
  <si>
    <t>ruby honey brown color softlens minus</t>
  </si>
  <si>
    <t>ruby honey brown color softlens minus tablet kombinasivalsartan blend 32 softlens ruby penggunaan 6 bulan  spesifikasi produk base curve 8  6 mm diameter 14  2 mm kadar air water content 55 masa pakai recommended usage 6 bulan monthly warna color warna honey brown ukuran power range  0  5 s d  6  00 step 0  25 isi content 2 buah 1 pasang</t>
  </si>
  <si>
    <t>Kawai Gankyu Voxie Phoenix Gray Softlens Minus</t>
  </si>
  <si>
    <t>Kawai Gankyu Voxie Phoenix Gray Softlens Minus untuk penggunaan 6 Bulan. Spesifikasi Produk: Base Curve: 8.6 mm Diameter: 14.5 mm Kadar Air/Water Content: 38 % Masa Pakai/Recommended Usage: 6 Bulan/Monthly Warna/Color: Gray Ukuran/Power Range: -0.5 s/d -8.00 Isi/Content: 2 buah (1 pasang).</t>
  </si>
  <si>
    <t>kawai gankyu voxie phoenix gray softlens minus penggunaan 6 bulan  spesifikasi produk base curve 8  6 mm diameter 14  5 mm kadar air water content 38 masa pakai recommended usage 6 bulan monthly warna color gray ukuran power range - 0  5 s d - 8  00 isi content 2 buah 1 pasang</t>
  </si>
  <si>
    <t>kawai gankyu voxie phoenix gray softlens minus</t>
  </si>
  <si>
    <t>kawai gankyu voxie phoenix gray softlens minus tablet kombinasivalsartan blend 32 kawai gankyu voxie phoenix gray softlens minus penggunaan 6 bulan  spesifikasi produk base curve 8  6 mm diameter 14  5 mm kadar air water content 38 masa pakai recommended usage 6 bulan monthly warna color gray ukuran power range  0  5 s d  8  00 isi content 2 buah 1 pasang</t>
  </si>
  <si>
    <t>I Scream Love Hugs 2 Color Softlens Minus</t>
  </si>
  <si>
    <t>Rp30.300 - Rp84.000</t>
  </si>
  <si>
    <t>Softlens I SCREAM LOVE untuk penggunaan 3 Bulan. Spesifikasi Produk: Base Curve: 8.6 mm Diameter: 15.5 mm Kadar Air/Water Content: 42% Masa Pakai/Recommended Usage: 3 Bulan/3 Month Warna/Color: Hugs Ukuran/Power Range: -0.50 to -6.00 (0.25 steps) Isi/Content: 2 buah (1 pasang).</t>
  </si>
  <si>
    <t>softlens i scream love penggunaan 3 bulan  spesifikasi produk base curve 8  6 mm diameter 15  5 mm kadar air water content 42 masa pakai recommended usage 3 bulan 3 month warna color hugs ukuran power range - 0  50 to - 6  00 0  25 step isi content 2 buah 1 pasang</t>
  </si>
  <si>
    <t>i scream love hugs color softlens minus</t>
  </si>
  <si>
    <t>i scream love hugs color softlens minus tablet kombinasivalsartan blend 32 softlens i scream love penggunaan 3 bulan  spesifikasi produk base curve 8  6 mm diameter 15  5 mm kadar air water content 42 masa pakai recommended usage 3 bulan 3 month warna color hugs ukuran power range  0  50 to  6  00 0  25 step isi content 2 buah 1 pasang</t>
  </si>
  <si>
    <t>Kawai Gankyu Voxie Ocean Brown Softlens Plano/No Minus</t>
  </si>
  <si>
    <t>Kawai Gankyu Voxie Ocean Brown Softlens Plano/No Minus untuk penggunaan 6 Bulan. Spesifikasi Produk: Base Curve: 8.6 mm Diameter: 14.2 mm Kadar Air/Water Content: 38 % Masa Pakai/Recommended Usage: 6 Bulan/Monthly Warna/Color: Brown Ukuran/Power Range: Plano/ No Minus Isi/Content: 2 buah (1 pasang).</t>
  </si>
  <si>
    <t>kawai gankyu voxie ocean brown softlens plano no minus penggunaan 6 bulan  spesifikasi produk base curve 8  6 mm diameter 14  2 mm kadar air water content 38 masa pakai recommended usage 6 bulan monthly warna color brown ukuran power range plano no minus isi content 2 buah 1 pasang</t>
  </si>
  <si>
    <t>kawai gankyu voxie ocean brown softlens planono minus</t>
  </si>
  <si>
    <t>kawai gankyu voxie ocean brown softlens planono minus tablet kombinasivalsartan blend 32 kawai gankyu voxie ocean brown softlens plano no minus penggunaan 6 bulan  spesifikasi produk base curve 8  6 mm diameter 14  2 mm kadar air water content 38 masa pakai recommended usage 6 bulan monthly warna color brown ukuran power range plano no minus isi content 2 buah 1 pasang</t>
  </si>
  <si>
    <t>Kawai Gankyu Voxie Phoenix Gray Softlens Plano/No Minus</t>
  </si>
  <si>
    <t>Kawai Gankyu Voxie Phoenix Gray Softlens Plano/No Minus untuk penggunaan 6 Bulan. Spesifikasi Produk: Base Curve: 8.6 mm Diameter: 14.5 mm Kadar Air/Water Content: 38 % Masa Pakai/Recommended Usage: 6 Bulan/Monthly Warna/Color: Gray Ukuran/Power Range: Plano/ No Minus Isi/Content: 2 buah (1 pasang).</t>
  </si>
  <si>
    <t>kawai gankyu voxie phoenix gray softlens plano no minus penggunaan 6 bulan  spesifikasi produk base curve 8  6 mm diameter 14  5 mm kadar air water content 38 masa pakai recommended usage 6 bulan monthly warna color gray ukuran power range plano no minus isi content 2 buah 1 pasang</t>
  </si>
  <si>
    <t>kawai gankyu voxie phoenix gray softlens planono minus</t>
  </si>
  <si>
    <t>kawai gankyu voxie phoenix gray softlens planono minus tablet kombinasivalsartan blend 32 kawai gankyu voxie phoenix gray softlens plano no minus penggunaan 6 bulan  spesifikasi produk base curve 8  6 mm diameter 14  5 mm kadar air water content 38 masa pakai recommended usage 6 bulan monthly warna color gray ukuran power range plano no minus isi content 2 buah 1 pasang</t>
  </si>
  <si>
    <t>Innocent By Exoticon Black 2 Color Softlens Minus</t>
  </si>
  <si>
    <t>Softlens INNOCENT by EXOTICON untuk penggunaan 6 Bulan. Spesifikasi Produk: Base Curve: 9.0 mm Diameter: 16 mm Kadar Air/Water Content: 42% Masa Pakai/Recommended Usage: 6 Bulan/Monthly Warna/Color: Warna Black Ukuran/Power Range: -0.5 s/d -6.00 (Step 0.25) Isi/Content: 2 buah (1 pasang)</t>
  </si>
  <si>
    <t>softlens innocent by exoticon penggunaan 6 bulan  spesifikasi produk base curve 9  0 mm diameter 16 mm kadar air water content 42 masa pakai recommended usage 6 bulan monthly warna color warna black ukuran power range - 0  5 s d - 6  00 step 0  25 isi content 2 buah 1 pasang</t>
  </si>
  <si>
    <t>innocent by exoticon black color softlens minus</t>
  </si>
  <si>
    <t>innocent by exoticon black color softlens minus tablet kombinasivalsartan blend 32 softlens innocent by exoticon penggunaan 6 bulan  spesifikasi produk base curve 9  0 mm diameter 16 mm kadar air water content 42 masa pakai recommended usage 6 bulan monthly warna color warna black ukuran power range  0  5 s d  6  00 step 0  25 isi content 2 buah 1 pasang</t>
  </si>
  <si>
    <t>DKL9930906704A1</t>
  </si>
  <si>
    <t>Infatrim Forte 10 Kaplet</t>
  </si>
  <si>
    <t>Rp5.800 - Rp7.100</t>
  </si>
  <si>
    <t>PENGGUNAAN OBAT INI HARUS SESUAI DENGAN PETUNJUK DOKTER. Dewasa : 1 kaplet 2 kali sehari selama 10 - 14 hari. Infeksi berat : 3 tablet atau 1.5 kaplet selama 2 hari atau 2 kaplet forte 2 kali sehari. Shigellosis lama terapi : 5 hari</t>
  </si>
  <si>
    <t>Darling by Exoticon Brown 2 Color Softlens Minus</t>
  </si>
  <si>
    <t>Softlens DARLING by EXOTICON untuk penggunaan 6 Bulan. Spesifikasi Produk: Base Curve: 9.0 mm Diameter: 16 mm Kadar Air/Water Content: 42% Masa Pakai/Recommended Usage: 6 Bulan/Monthly Warna/Color: Warna Brown Ukuran/Power Range: -0.5 s/d -6.00 (Step 0.25) Isi/Content: 2 buah (1 pasang)</t>
  </si>
  <si>
    <t>softlens darling by exoticon penggunaan 6 bulan  spesifikasi produk base curve 9  0 mm diameter 16 mm kadar air water content 42 masa pakai recommended usage 6 bulan monthly warna color warna brown ukuran power range - 0  5 s d - 6  00 step 0  25 isi content 2 buah 1 pasang</t>
  </si>
  <si>
    <t>darling by exoticon brown color softlens minus</t>
  </si>
  <si>
    <t>darling by exoticon brown color softlens minus tablet kombinasivalsartan blend 32 softlens darling by exoticon penggunaan 6 bulan  spesifikasi produk base curve 9  0 mm diameter 16 mm kadar air water content 42 masa pakai recommended usage 6 bulan monthly warna color warna brown ukuran power range  0  5 s d  6  00 step 0  25 isi content 2 buah 1 pasang</t>
  </si>
  <si>
    <t>Kawai Gankyu Voxie Donut Brown Softlens Minus</t>
  </si>
  <si>
    <t>Kawai Gankyu Voxie Donut Brown Softlens Minus untuk penggunaan 6 Bulan. Spesifikasi Produk: Base Curve: 8.6 mm Diameter: 14.2 mm Kadar Air/Water Content: 38 % Masa Pakai/Recommended Usage: 6 Bulan/Monthly Warna/Color: Brown Ukuran/Power Range: -0.5 s/d -10.00 Isi/Content: 2 buah (1 pasang).</t>
  </si>
  <si>
    <t>kawai gankyu voxie donut brown softlens minus penggunaan 6 bulan  spesifikasi produk base curve 8  6 mm diameter 14  2 mm kadar air water content 38 masa pakai recommended usage 6 bulan monthly warna color brown ukuran power range - 0  5 s d - 10  00 isi content 2 buah 1 pasang</t>
  </si>
  <si>
    <t>kawai gankyu voxie donut brown softlens minus</t>
  </si>
  <si>
    <t>kawai gankyu voxie donut brown softlens minus tablet kombinasivalsartan blend 32 kawai gankyu voxie donut brown softlens minus penggunaan 6 bulan  spesifikasi produk base curve 8  6 mm diameter 14  2 mm kadar air water content 38 masa pakai recommended usage 6 bulan monthly warna color brown ukuran power range  0  5 s d  10  00 isi content 2 buah 1 pasang</t>
  </si>
  <si>
    <t>Kawai Gankyu Voxie Ocean Brown Softlens Minus</t>
  </si>
  <si>
    <t>Kawai Gankyu Voxie Ocean Brown Softlens Minus untuk penggunaan 6 Bulan. Spesifikasi Produk: Base Curve: 8.6 mm Diameter: 14.2 mm Kadar Air/Water Content: 38 % Masa Pakai/Recommended Usage: 6 Bulan/Monthly Warna/Color: Brown Ukuran/Power Range: -0.5 s/d -8.00 Isi/Content: 2 buah (1 pasang).</t>
  </si>
  <si>
    <t>kawai gankyu voxie ocean brown softlens minus penggunaan 6 bulan  spesifikasi produk base curve 8  6 mm diameter 14  2 mm kadar air water content 38 masa pakai recommended usage 6 bulan monthly warna color brown ukuran power range - 0  5 s d - 8  00 isi content 2 buah 1 pasang</t>
  </si>
  <si>
    <t>kawai gankyu voxie ocean brown softlens minus</t>
  </si>
  <si>
    <t>kawai gankyu voxie ocean brown softlens minus tablet kombinasivalsartan blend 32 kawai gankyu voxie ocean brown softlens minus penggunaan 6 bulan  spesifikasi produk base curve 8  6 mm diameter 14  2 mm kadar air water content 38 masa pakai recommended usage 6 bulan monthly warna color brown ukuran power range  0  5 s d  8  00 isi content 2 buah 1 pasang</t>
  </si>
  <si>
    <t>Kawai Gankyu Voxie Phoenix Brown Softlens Minus</t>
  </si>
  <si>
    <t>Kawai Gankyu Voxie Phoenix Brown Softlens Minus untuk penggunaan 6 Bulan. Spesifikasi Produk: Base Curve: 8.6 mm Diameter: 14.5 mm Kadar Air/Water Content: 38 % Masa Pakai/Recommended Usage: 6 Bulan/Monthly Warna/Color: Gray Ukuran/Power Range: -0.5 s/d -8.00 Isi/Content: 2 buah (1 pasang).</t>
  </si>
  <si>
    <t>kawai gankyu voxie phoenix brown softlens minus penggunaan 6 bulan  spesifikasi produk base curve 8  6 mm diameter 14  5 mm kadar air water content 38 masa pakai recommended usage 6 bulan monthly warna color gray ukuran power range - 0  5 s d - 8  00 isi content 2 buah 1 pasang</t>
  </si>
  <si>
    <t>kawai gankyu voxie phoenix brown softlens minus</t>
  </si>
  <si>
    <t>kawai gankyu voxie phoenix brown softlens minus tablet kombinasivalsartan blend 32 kawai gankyu voxie phoenix brown softlens minus penggunaan 6 bulan  spesifikasi produk base curve 8  6 mm diameter 14  5 mm kadar air water content 38 masa pakai recommended usage 6 bulan monthly warna color gray ukuran power range  0  5 s d  8  00 isi content 2 buah 1 pasang</t>
  </si>
  <si>
    <t>Kawai Gankyu Voxie Orion Hazel Softlens Plano/No Minus</t>
  </si>
  <si>
    <t>Kawai Gankyu Voxie Orion Hazel Softlens Plano/No Minus untuk penggunaan 6 Bulan. Spesifikasi Produk: Base Curve: 8.6 mm Diameter: 14.2 mm Kadar Air/Water Content: 38 % Masa Pakai/Recommended Usage: 6 Bulan/Monthly Warna/Color: Hazel Ukuran/Power Range: Plano/ No Minus Isi/Content: 2 buah (1 pasang).</t>
  </si>
  <si>
    <t>kawai gankyu voxie orion hazel softlens plano no minus penggunaan 6 bulan  spesifikasi produk base curve 8  6 mm diameter 14  2 mm kadar air water content 38 masa pakai recommended usage 6 bulan monthly warna color hazel ukuran power range plano no minus isi content 2 buah 1 pasang</t>
  </si>
  <si>
    <t>kawai gankyu voxie orion hazel softlens planono minus</t>
  </si>
  <si>
    <t>kawai gankyu voxie orion hazel softlens planono minus tablet kombinasivalsartan blend 32 kawai gankyu voxie orion hazel softlens plano no minus penggunaan 6 bulan  spesifikasi produk base curve 8  6 mm diameter 14  2 mm kadar air water content 38 masa pakai recommended usage 6 bulan monthly warna color hazel ukuran power range plano no minus isi content 2 buah 1 pasang</t>
  </si>
  <si>
    <t>Kawai Gankyu Voxie Ocean Gray Softlens Plano/No Minus</t>
  </si>
  <si>
    <t>Kawai Gankyu Voxie Ocean Gray Softlens Plano/No Minus untuk penggunaan 6 Bulan. Spesifikasi Produk: Base Curve: 8.6 mm Diameter: 14.2 mm Kadar Air/Water Content: 38 % Masa Pakai/Recommended Usage: 6 Bulan/Monthly Warna/Color: Gray Ukuran/Power Range: Plano/ No Minus Isi/Content: 2 buah (1 pasang).</t>
  </si>
  <si>
    <t>kawai gankyu voxie ocean gray softlens plano no minus penggunaan 6 bulan  spesifikasi produk base curve 8  6 mm diameter 14  2 mm kadar air water content 38 masa pakai recommended usage 6 bulan monthly warna color gray ukuran power range plano no minus isi content 2 buah 1 pasang</t>
  </si>
  <si>
    <t>kawai gankyu voxie ocean gray softlens planono minus</t>
  </si>
  <si>
    <t>kawai gankyu voxie ocean gray softlens planono minus tablet kombinasivalsartan blend 32 kawai gankyu voxie ocean gray softlens plano no minus penggunaan 6 bulan  spesifikasi produk base curve 8  6 mm diameter 14  2 mm kadar air water content 38 masa pakai recommended usage 6 bulan monthly warna color gray ukuran power range plano no minus isi content 2 buah 1 pasang</t>
  </si>
  <si>
    <t>Kawai Gankyu Voxie Phoenix Brown Softlens Plano/No Minus</t>
  </si>
  <si>
    <t>Kawai Gankyu Voxie Phoenix Brown Softlens Plano/No Minus untuk penggunaan 6 Bulan. Spesifikasi Produk: Base Curve: 8.6 mm Diameter: 14.5 mm Kadar Air/Water Content: 38 % Masa Pakai/Recommended Usage: 6 Bulan/Monthly Warna/Color: Brown Ukuran/Power Range: Plano/ No Minus Isi/Content: 2 buah (1 pasang).</t>
  </si>
  <si>
    <t>kawai gankyu voxie phoenix brown softlens plano no minus penggunaan 6 bulan  spesifikasi produk base curve 8  6 mm diameter 14  5 mm kadar air water content 38 masa pakai recommended usage 6 bulan monthly warna color brown ukuran power range plano no minus isi content 2 buah 1 pasang</t>
  </si>
  <si>
    <t>kawai gankyu voxie phoenix brown softlens planono minus</t>
  </si>
  <si>
    <t>kawai gankyu voxie phoenix brown softlens planono minus tablet kombinasivalsartan blend 32 kawai gankyu voxie phoenix brown softlens plano no minus penggunaan 6 bulan  spesifikasi produk base curve 8  6 mm diameter 14  5 mm kadar air water content 38 masa pakai recommended usage 6 bulan monthly warna color brown ukuran power range plano no minus isi content 2 buah 1 pasang</t>
  </si>
  <si>
    <t>Eyesight EOS Luna Natural Cacao Softlens Plano/No Minus</t>
  </si>
  <si>
    <t>Eyesight EOS Luna Natural Cacao Softlens Plano/No Minus untuk penggunaan maksimal selama 6 Bulan. Spesifikasi Produk: Base Curve: 8.8 mm Diameter: 14.5 mm Kadar Air/Water Content: 38 % Masa Pakai/Recommended Usage: 6 Bulan/Monthly Varian: Cacao Ukuran/Power Range: Plano/No Minus Isi/Content: 2 buah (1 pasang)</t>
  </si>
  <si>
    <t>eyesight eos luna natural cacao softlens plano no minus penggunaan maksimal 6 bulan  spesifikasi produk base curve 8  8 mm diameter 14  5 mm kadar air water content 38 masa pakai recommended usage 6 bulan monthly varian cacao ukuran power range plano no minus isi content 2 buah 1 pasang</t>
  </si>
  <si>
    <t>eyesight eos luna natural cacao softlens planono minus</t>
  </si>
  <si>
    <t>eyesight eos luna natural cacao softlens planono minus tablet kombinasivalsartan blend 32 eyesight eos luna natural cacao softlens plano no minus penggunaan maksimal 6 bulan  spesifikasi produk base curve 8  8 mm diameter 14  5 mm kadar air water content 38 masa pakai recommended usage 6 bulan monthly varian cacao ukuran power range plano no minus isi content 2 buah 1 pasang</t>
  </si>
  <si>
    <t>Freshkon Colorfusion Daily Brown 10 Color Softlens Minus</t>
  </si>
  <si>
    <t>Rp112.000 - Rp151.200</t>
  </si>
  <si>
    <t>Softlens FRESHKON COLOR FUSION untuk penggunaan 1 Hari. Spesifikasi Produk: Base Curve: 8.5 mm Diameter: 14.2 mm Kadar Air/Water Content: 58% Masa Pakai/Recommended Usage: 1 Hari/Daily Warna/Color: Brilian Brown Ukuran/Power Range: -0.25 to -6.00 (steps 0.25) Isi/Content: 10 buah (5 pasang).</t>
  </si>
  <si>
    <t>Box @ 10 Soft Contact Lense.</t>
  </si>
  <si>
    <t>softlens freshkon color fusion penggunaan 1 hari  spesifikasi produk base curve 8  5 mm diameter 14  2 mm kadar air water content 58 masa pakai recommended usage 1 hari daily warna color brilian brown ukuran power range - 0  25 to - 6  00 step 0  25 isi content 10 buah 5 pasang</t>
  </si>
  <si>
    <t>freshkon colorfusion daily brown color softlens minus</t>
  </si>
  <si>
    <t>freshkon colorfusion daily brown color softlens minus tablet kombinasivalsartan blend 32 softlens freshkon color fusion penggunaan 1 hari  spesifikasi produk base curve 8  5 mm diameter 14  2 mm kadar air water content 58 masa pakai recommended usage 1 hari daily warna color brilian brown ukuran power range  0  25 to  6  00 step 0  25 isi content 10 buah 5 pasang</t>
  </si>
  <si>
    <t>Kawai Gankyu Voxie Donut Brown Softlens Plano/No Minus</t>
  </si>
  <si>
    <t>Kawai Gankyu Voxie Donut Brown Softlens Plano/No Minus untuk penggunaan 6 Bulan. Spesifikasi Produk: Base Curve: 8.6 mm Diameter: 14.2 mm Kadar Air/Water Content: 38 % Masa Pakai/Recommended Usage: 6 Bulan/Monthly Warna/Color: Brown Ukuran/Power Range: Plano/ No Minus Isi/Content: 2 buah (1 pasang).</t>
  </si>
  <si>
    <t>kawai gankyu voxie donut brown softlens plano no minus penggunaan 6 bulan  spesifikasi produk base curve 8  6 mm diameter 14  2 mm kadar air water content 38 masa pakai recommended usage 6 bulan monthly warna color brown ukuran power range plano no minus isi content 2 buah 1 pasang</t>
  </si>
  <si>
    <t>kawai gankyu voxie donut brown softlens planono minus</t>
  </si>
  <si>
    <t>kawai gankyu voxie donut brown softlens planono minus tablet kombinasivalsartan blend 32 kawai gankyu voxie donut brown softlens plano no minus penggunaan 6 bulan  spesifikasi produk base curve 8  6 mm diameter 14  2 mm kadar air water content 38 masa pakai recommended usage 6 bulan monthly warna color brown ukuran power range plano no minus isi content 2 buah 1 pasang</t>
  </si>
  <si>
    <t>X2 Bio Black Shakyra 2 Color Softlens Minus</t>
  </si>
  <si>
    <t>Softlens Minus X2 Bio untuk penggunaan 6 Bulan. Spesifikasi Produk: Base Curve: 8.60 Diameter: 14.50 mm Kadar Air/Water Content: 55% Masa Pakai/Recommended Usage: 6 Bulan/Monthly Warna/Color: Warna Black Ukuran/Power Range: -0.5 s/d -6.00 (Step 0.25) Isi/Content: 2 buah (1 pasang)</t>
  </si>
  <si>
    <t>softlens minus x2 bio penggunaan 6 bulan  spesifikasi produk base curve 8  60 diameter 14  50 mm kadar air water content 55 masa pakai recommended usage 6 bulan monthly warna color warna black ukuran power range - 0  5 s d - 6  00 step 0  25 isi content 2 buah 1 pasang</t>
  </si>
  <si>
    <t>x bio black shakyra color softlens minus</t>
  </si>
  <si>
    <t>x bio black shakyra color softlens minus tablet kombinasivalsartan blend 32 softlens minus x2 bio penggunaan 6 bulan  spesifikasi produk base curve 8  60 diameter 14  50 mm kadar air water content 55 masa pakai recommended usage 6 bulan monthly warna color warna black ukuran power range  0  5 s d  6  00 step 0  25 isi content 2 buah 1 pasang</t>
  </si>
  <si>
    <t>Eyesight EOS Luna Natural Almond Softlens Plano/No Minus</t>
  </si>
  <si>
    <t>Eyesight EOS Luna Natural Almond Softlens Plano/No Minus untuk penggunaan maksimal selama 6 Bulan. Spesifikasi Produk: Base Curve: 8.8 mm Diameter: 14.5 mm Kadar Air/Water Content: 38 % Masa Pakai/Recommended Usage: 6 Bulan/Monthly Varian: Almond Ukuran/Power Range: Plano/No Minus Isi/Content: 2 buah (1 pasang)</t>
  </si>
  <si>
    <t>eyesight eos luna natural almond softlens plano no minus penggunaan maksimal 6 bulan  spesifikasi produk base curve 8  8 mm diameter 14  5 mm kadar air water content 38 masa pakai recommended usage 6 bulan monthly varian almond ukuran power range plano no minus isi content 2 buah 1 pasang</t>
  </si>
  <si>
    <t>eyesight eos luna natural almond softlens planono minus</t>
  </si>
  <si>
    <t>eyesight eos luna natural almond softlens planono minus tablet kombinasivalsartan blend 32 eyesight eos luna natural almond softlens plano no minus penggunaan maksimal 6 bulan  spesifikasi produk base curve 8  8 mm diameter 14  5 mm kadar air water content 38 masa pakai recommended usage 6 bulan monthly varian almond ukuran power range plano no minus isi content 2 buah 1 pasang</t>
  </si>
  <si>
    <t>Kawai Gankyu Voxie Orion Hazel Softlens Minus</t>
  </si>
  <si>
    <t>Kawai Gankyu Voxie Orion Hazel Softlens Minus untuk penggunaan 6 Bulan. Spesifikasi Produk: Base Curve: 8.6 mm Diameter: 14.2 mm Kadar Air/Water Content: 38 % Masa Pakai/Recommended Usage: 6 Bulan/Monthly Warna/Color: Hazel Ukuran/Power Range: -0.5 s/d -8.00 Isi/Content: 2 buah (1 pasang).</t>
  </si>
  <si>
    <t>kawai gankyu voxie orion hazel softlens minus penggunaan 6 bulan  spesifikasi produk base curve 8  6 mm diameter 14  2 mm kadar air water content 38 masa pakai recommended usage 6 bulan monthly warna color hazel ukuran power range - 0  5 s d - 8  00 isi content 2 buah 1 pasang</t>
  </si>
  <si>
    <t>kawai gankyu voxie orion hazel softlens minus</t>
  </si>
  <si>
    <t>kawai gankyu voxie orion hazel softlens minus tablet kombinasivalsartan blend 32 kawai gankyu voxie orion hazel softlens minus penggunaan 6 bulan  spesifikasi produk base curve 8  6 mm diameter 14  2 mm kadar air water content 38 masa pakai recommended usage 6 bulan monthly warna color hazel ukuran power range  0  5 s d  8  00 isi content 2 buah 1 pasang</t>
  </si>
  <si>
    <t>Eyesight EOS Coral Wood Hazel Softlens Plano/No Minus</t>
  </si>
  <si>
    <t>Eyesight EOS Coral Wood Hazel Softlens Plano/No Minus untuk penggunaan maksimal selama 6 Bulan. Spesifikasi Produk: Base Curve: 8.6 mm Diameter: 14.0 mm Kadar Air/Water Content: 38 % Masa Pakai/Recommended Usage: 6 Bulan/Monthly Varian: Hazel Ukuran/Power Range: Plano/No Minus Isi/Content: 2 buah (1 pasang)</t>
  </si>
  <si>
    <t>eyesight eos coral wood hazel softlens plano no minus penggunaan maksimal 6 bulan  spesifikasi produk base curve 8  6 mm diameter 14  0 mm kadar air water content 38 masa pakai recommended usage 6 bulan monthly varian hazel ukuran power range plano no minus isi content 2 buah 1 pasang</t>
  </si>
  <si>
    <t>eyesight eos coral wood hazel softlens planono minus</t>
  </si>
  <si>
    <t>eyesight eos coral wood hazel softlens planono minus tablet kombinasivalsartan blend 32 eyesight eos coral wood hazel softlens plano no minus penggunaan maksimal 6 bulan  spesifikasi produk base curve 8  6 mm diameter 14  0 mm kadar air water content 38 masa pakai recommended usage 6 bulan monthly varian hazel ukuran power range plano no minus isi content 2 buah 1 pasang</t>
  </si>
  <si>
    <t>Kawai Gankyu Voxie Ocean Gray Softlens Minus</t>
  </si>
  <si>
    <t>Kawai Gankyu Voxie Ocean Gray Softlens Minus untuk penggunaan 6 Bulan. Spesifikasi Produk: Base Curve: 8.6 mm Diameter: 14.2 mm Kadar Air/Water Content: 38 % Masa Pakai/Recommended Usage: 6 Bulan/Monthly Warna/Color: Gray Ukuran/Power Range: -0.5 s/d -8.00 Isi/Content: 2 buah (1 pasang).</t>
  </si>
  <si>
    <t>kawai gankyu voxie ocean gray softlens minus penggunaan 6 bulan  spesifikasi produk base curve 8  6 mm diameter 14  2 mm kadar air water content 38 masa pakai recommended usage 6 bulan monthly warna color gray ukuran power range - 0  5 s d - 8  00 isi content 2 buah 1 pasang</t>
  </si>
  <si>
    <t>kawai gankyu voxie ocean gray softlens minus</t>
  </si>
  <si>
    <t>kawai gankyu voxie ocean gray softlens minus tablet kombinasivalsartan blend 32 kawai gankyu voxie ocean gray softlens minus penggunaan 6 bulan  spesifikasi produk base curve 8  6 mm diameter 14  2 mm kadar air water content 38 masa pakai recommended usage 6 bulan monthly warna color gray ukuran power range  0  5 s d  8  00 isi content 2 buah 1 pasang</t>
  </si>
  <si>
    <t>Miacare Confidence Daily Shimmer Blue 10 Color Softlens Minus</t>
  </si>
  <si>
    <t>Softlens MIACARE CONFIDENCE DAILY SOFTLENS untuk penggunaan 1 Hari. Spesifikasi Produk: Base Curve: 8.7 mm Diameter: 14.1 mm Kadar Air/Water Content: 49% Masa Pakai/Recommended Usage: 1 Hari/Daily Warna/Color: Shimmer Blue Ukuran/Power Range: -0.1 s/d -8.00 Isi/Content: 10 buah (5 pasang).</t>
  </si>
  <si>
    <t>Box @ 10 Soft Contact Lens</t>
  </si>
  <si>
    <t>softlens miacare confidence daily softlens penggunaan 1 hari  spesifikasi produk base curve 8  7 mm diameter 14  1 mm kadar air water content 49 masa pakai recommended usage 1 hari daily warna color shimmer blue ukuran power range - 0  1 s d - 8  00 isi content 10 buah 5 pasang</t>
  </si>
  <si>
    <t>miacare confidence daily shimmer blue color softlens minus</t>
  </si>
  <si>
    <t>miacare confidence daily shimmer blue color softlens minus tablet kombinasivalsartan blend 32 softlens miacare confidence daily softlens penggunaan 1 hari  spesifikasi produk base curve 8  7 mm diameter 14  1 mm kadar air water content 49 masa pakai recommended usage 1 hari daily warna color shimmer blue ukuran power range  0  1 s d  8  00 isi content 10 buah 5 pasang</t>
  </si>
  <si>
    <t>Kitty Kawaii Mini Ella Brown Softlens Minus</t>
  </si>
  <si>
    <t>KITTY KAWAII MINI ELLA BROWN SOFTLENSE Minus untuk penggunaan 6 Bulan. Spesifikasi Produk: Base Curve: 8.6 mm Diameter: 14.2 mm Kadar Air/Water Content: 55 % Masa Pakai/Recommended Usage: 6 Bulan/Monthly Warna/Color: Brown Ukuran/Power Range: -0.5 s/d -10.00 Isi/Content: 2 buah (1 pasang).</t>
  </si>
  <si>
    <t>kitty kawaii mini ella brown softlense minus penggunaan 6 bulan  spesifikasi produk base curve 8  6 mm diameter 14  2 mm kadar air water content 55 masa pakai recommended usage 6 bulan monthly warna color brown ukuran power range - 0  5 s d - 10  00 isi content 2 buah 1 pasang</t>
  </si>
  <si>
    <t>kitty kawaii mini ella brown softlens minus</t>
  </si>
  <si>
    <t>kitty kawaii mini ella brown softlens minus tablet kombinasivalsartan blend 32 kitty kawaii mini ella brown softlense minus penggunaan 6 bulan  spesifikasi produk base curve 8  6 mm diameter 14  2 mm kadar air water content 55 masa pakai recommended usage 6 bulan monthly warna color brown ukuran power range  0  5 s d  10  00 isi content 2 buah 1 pasang</t>
  </si>
  <si>
    <t>Alcon Dailies Aqua Comfort Plus 30 Clear Softlens Minus</t>
  </si>
  <si>
    <t>Rp331.600 - Rp418.000</t>
  </si>
  <si>
    <t>Box @ 30 Soft Contact Lense.</t>
  </si>
  <si>
    <t>alcon dailies aqua comfort plus clear softlens minus</t>
  </si>
  <si>
    <t>alcon dailies aqua comfort plus clear softlens minus tablet kombinasivalsartan blend 32 softlens minus acuvue define 1 day penggunaan harian  spesifikasi produk base curve 8  5 diameter 14  20 mm kadar air water content 58 masa pakai recommended usage harian warna color warna radiant sweet ukuran power range  0  5 s d  9  00 step 0  25 isi content 30 buah 15 pasang</t>
  </si>
  <si>
    <t>Freshkon Alluring Eyes Magnetic Grey 2 Color Softlens Minus</t>
  </si>
  <si>
    <t>Softlens Minus Freshkon Alluring Eyes untuk penggunaan 1 Bulan. Spesifikasi Produk: Base Curve: 8.8 Diameter: 14.20 mm Kadar Air/Water Content: 55% Masa Pakai/Recommended Usage: 1-Bulan Warna/Color: Magnetic Grey Ukuran/Power Range: -0.5 s/d -6.00 (Step 0.25) Isi/Content: 2 buah (2 pasang)</t>
  </si>
  <si>
    <t>softlens minus freshkon alluring eyes penggunaan 1 bulan  spesifikasi produk base curve 8  8 diameter 14  20 mm kadar air water content 55 masa pakai recommended usage 1 - bulan warna color magnetic grey ukuran power range - 0  5 s d - 6  00 step 0  25 isi content 2 buah 2 pasang</t>
  </si>
  <si>
    <t>freshkon alluring eyes magnetic grey color softlens minus</t>
  </si>
  <si>
    <t>freshkon alluring eyes magnetic grey color softlens minus tablet kombinasivalsartan blend 32 softlens minus freshkon alluring eyes penggunaan 1 bulan  spesifikasi produk base curve 8  8 diameter 14  20 mm kadar air water content 55 masa pakai recommended usage 1  bulan warna color magnetic grey ukuran power range  0  5 s d  6  00 step 0  25 isi content 2 buah 2 pasang</t>
  </si>
  <si>
    <t>X2 Bio Lace Blue 2 Color Softlens Minus</t>
  </si>
  <si>
    <t>Rp93.500 - Rp95.200</t>
  </si>
  <si>
    <t>Softlens Minus X2 Bio Lace untuk penggunaan 6 Bulan. Spesifikasi Produk: Base Curve: 8.60 Diameter: 14.50 mm Kadar Air/Water Content: 45% Masa Pakai/Recommended Usage: 6 Bulan/Monthly Warna/Color: Warna Blue Ukuran/Power Range: -0.5 s/d -6.00 (Step 0.25) Isi/Content: 2 buah (1 pasang)</t>
  </si>
  <si>
    <t>softlens minus x2 bio lace penggunaan 6 bulan  spesifikasi produk base curve 8  60 diameter 14  50 mm kadar air water content 45 masa pakai recommended usage 6 bulan monthly warna color warna blue ukuran power range - 0  5 s d - 6  00 step 0  25 isi content 2 buah 1 pasang</t>
  </si>
  <si>
    <t>x bio lace blue color softlens minus</t>
  </si>
  <si>
    <t>x bio lace blue color softlens minus tablet kombinasivalsartan blend 32 softlens minus x2 bio lace penggunaan 6 bulan  spesifikasi produk base curve 8  60 diameter 14  50 mm kadar air water content 45 masa pakai recommended usage 6 bulan monthly warna color warna blue ukuran power range  0  5 s d  6  00 step 0  25 isi content 2 buah 1 pasang</t>
  </si>
  <si>
    <t>X2 Bio Color Blue 2 Color Softlens Minus</t>
  </si>
  <si>
    <t>Rp67.200 - Rp134.400</t>
  </si>
  <si>
    <t>Softlens Minus X2 Bio Color untuk penggunaan 6 Bulan. Spesifikasi Produk: Base Curve: 8.60 Diameter: 14.50 mm Kadar Air/Water Content: 55% Masa Pakai/Recommended Usage: 6 Bulan/Monthly Warna/Color: Warna Blue Ukuran/Power Range: -0.5 s/d -6.00 (Step 0.25) Isi/Content: 2 buah (1 pasang)</t>
  </si>
  <si>
    <t>softlens minus x2 bio color penggunaan 6 bulan  spesifikasi produk base curve 8  60 diameter 14  50 mm kadar air water content 55 masa pakai recommended usage 6 bulan monthly warna color warna blue ukuran power range - 0  5 s d - 6  00 step 0  25 isi content 2 buah 1 pasang</t>
  </si>
  <si>
    <t>x bio color blue color softlens minus</t>
  </si>
  <si>
    <t>x bio color blue color softlens minus tablet kombinasivalsartan blend 32 softlens minus x2 bio color penggunaan 6 bulan  spesifikasi produk base curve 8  60 diameter 14  50 mm kadar air water content 55 masa pakai recommended usage 6 bulan monthly warna color warna blue ukuran power range  0  5 s d  6  00 step 0  25 isi content 2 buah 1 pasang</t>
  </si>
  <si>
    <t>K-Pop By Exoticon Black 2 Color Softlens Minus</t>
  </si>
  <si>
    <t>Rp31.400 - Rp34.800</t>
  </si>
  <si>
    <t>Softlens K-POP by EXOTICON untuk penggunaan 6 Bulan. Spesifikasi Produk: Base Curve: 9.0 mm Diameter: 16 mm Kadar Air/Water Content: 42% Masa Pakai/Recommended Usage: 6 Bulan/Monthly Warna/Color: Warna Black Ukuran/Power Range: -0.5 s/d -6.00 (Step 0.25) Isi/Content: 2 buah (1 pasang)</t>
  </si>
  <si>
    <t>softlens k - pop by exoticon penggunaan 6 bulan  spesifikasi produk base curve 9  0 mm diameter 16 mm kadar air water content 42 masa pakai recommended usage 6 bulan monthly warna color warna black ukuran power range - 0  5 s d - 6  00 step 0  25 isi content 2 buah 1 pasang</t>
  </si>
  <si>
    <t>kpop by exoticon black color softlens minus</t>
  </si>
  <si>
    <t>kpop by exoticon black color softlens minus tablet kombinasivalsartan blend 32 softlens k  pop by exoticon penggunaan 6 bulan  spesifikasi produk base curve 9  0 mm diameter 16 mm kadar air water content 42 masa pakai recommended usage 6 bulan monthly warna color warna black ukuran power range  0  5 s d  6  00 step 0  25 isi content 2 buah 1 pasang</t>
  </si>
  <si>
    <t>Living Color Adore Blue 2 Color Softlens Minus</t>
  </si>
  <si>
    <t>Rp28.000 - Rp44.800</t>
  </si>
  <si>
    <t>Softlens LIVING COLOR ADORE untuk penggunaan 3 Bulan. Spesifikasi Produk: Base Curve: 8.60 mm Diameter: 14.4 mm Kadar Air/Water Content: 48% Masa Pakai/Recommended Usage: 3 Bulan/Monthly Warna/Color: Warna Blue Ukuran/Power Range: -0.5 s/d -6.00 (Step 0.25) Isi/Content: 2 buah (1 pasang)</t>
  </si>
  <si>
    <t>softlens living color adore penggunaan 3 bulan  spesifikasi produk base curve 8  60 mm diameter 14  4 mm kadar air water content 48 masa pakai recommended usage 3 bulan monthly warna color warna blue ukuran power range - 0  5 s d - 6  00 step 0  25 isi content 2 buah 1 pasang</t>
  </si>
  <si>
    <t>living color adore blue color softlens minus</t>
  </si>
  <si>
    <t>living color adore blue color softlens minus tablet kombinasivalsartan blend 32 softlens living color adore penggunaan 3 bulan  spesifikasi produk base curve 8  60 mm diameter 14  4 mm kadar air water content 48 masa pakai recommended usage 3 bulan monthly warna color warna blue ukuran power range  0  5 s d  6  00 step 0  25 isi content 2 buah 1 pasang</t>
  </si>
  <si>
    <t>Ice Silver Ash Grey 2 Color Softlens Minus</t>
  </si>
  <si>
    <t>Rp37.000 - Rp123.200</t>
  </si>
  <si>
    <t>Softlens ICE SILVER untuk penggunaan 6 Bulan. Spesifikasi Produk: Base Curve: 8.60 mm Diameter: 15 mm Kadar Air/Water Content: 42% Masa Pakai/Recommended Usage: 6 Bulan/Monthly Warna/Color: Warna Silver Ash Grey Ukuran/Power Range: -0.5 s/d -6.00 (Step 0.25) Isi/Content: 2 buah (1 pasang)</t>
  </si>
  <si>
    <t>softlens ice silver penggunaan 6 bulan  spesifikasi produk base curve 8  60 mm diameter 15 mm kadar air water content 42 masa pakai recommended usage 6 bulan monthly warna color warna silver ash grey ukuran power range - 0  5 s d - 6  00 step 0  25 isi content 2 buah 1 pasang</t>
  </si>
  <si>
    <t>ice silver ash grey color softlens minus</t>
  </si>
  <si>
    <t>ice silver ash grey color softlens minus tablet kombinasivalsartan blend 32 softlens ice silver penggunaan 6 bulan  spesifikasi produk base curve 8  60 mm diameter 15 mm kadar air water content 42 masa pakai recommended usage 6 bulan monthly warna color warna silver ash grey ukuran power range  0  5 s d  6  00 step 0  25 isi content 2 buah 1 pasang</t>
  </si>
  <si>
    <t>True Color Foxy Blue 2 Color Softlens Minus</t>
  </si>
  <si>
    <t>Softlens No Minus/Plano TRUE COLOR FOXY untuk penggunaan 6 Bulan. Spesifikasi Produk: Base Curve: 8.60 Diameter: 14.4 mm Kadar Air/Water Content: 48% Masa Pakai/Recommended Usage: 6 Bulan/Monthly Warna/Color: Blue Ukuran/Power Range: -00.50 s/d -06.00 dengan kelipatan 0.25 Isi/Content: 2 buah (1 pasang)</t>
  </si>
  <si>
    <t>softlens no minus plano true color foxy penggunaan 6 bulan  spesifikasi produk base curve 8  60 diameter 14  4 mm kadar air water content 48 masa pakai recommended usage 6 bulan monthly warna color blue ukuran power range - 00  50 s d - 06  00 kelipatan 0  25 isi content 2 buah 1 pasang</t>
  </si>
  <si>
    <t>true color foxy blue color softlens minus</t>
  </si>
  <si>
    <t>true color foxy blue color softlens minus tablet kombinasivalsartan blend 32 softlens no minus plano true color foxy penggunaan 6 bulan  spesifikasi produk base curve 8  60 diameter 14  4 mm kadar air water content 48 masa pakai recommended usage 6 bulan monthly warna color blue ukuran power range  00  50 s d  06  00 kelipatan 0  25 isi content 2 buah 1 pasang</t>
  </si>
  <si>
    <t>X2 Baby Eyes Bella 2 Color Softlens Minus</t>
  </si>
  <si>
    <t>Rp69.500 - Rp112.000</t>
  </si>
  <si>
    <t>Softlens X2 BABY EYES BELLA untuk penggunaan 6 Bulan. Spesifikasi Produk: Base Curve: 8.60 mm Diameter: 14.5 mm Kadar Air/Water Content: 42% Masa Pakai/Recommended Usage: 6 Bulan/Monthly Warna/Color: Warna Brown Ukuran/Power Range: -0.50 s/d -6.00D (Step 0.25D) Isi/Content: 2 buah (1 pasang)</t>
  </si>
  <si>
    <t>softlens x2 baby eyes bella penggunaan 6 bulan  spesifikasi produk base curve 8  60 mm diameter 14  5 mm kadar air water content 42 masa pakai recommended usage 6 bulan monthly warna color warna brown ukuran power range - 0  50 s d - 6  00d step 0  25d isi content 2 buah 1 pasang</t>
  </si>
  <si>
    <t>x baby eyes bella color softlens minus</t>
  </si>
  <si>
    <t>x baby eyes bella color softlens minus tablet kombinasivalsartan blend 32 softlens x2 baby eyes bella penggunaan 6 bulan  spesifikasi produk base curve 8  60 mm diameter 14  5 mm kadar air water content 42 masa pakai recommended usage 6 bulan monthly warna color warna brown ukuran power range  0  50 s d  6  00d step 0  25d isi content 2 buah 1 pasang</t>
  </si>
  <si>
    <t>X2 Diary Creamy Grey 2 Color Softlens Minus</t>
  </si>
  <si>
    <t>Rp84.000 - Rp137.000</t>
  </si>
  <si>
    <t>Softlense No Minus/Plano X2 Diary untuk penggunaan 6 Bulan. Spesifikasi Produk: Base Curve: 8.60 Diameter: 14.50 mm Kadar Air/Water Content: 38% Masa Pakai/Recommended Usage: 6 Bulan/Monthly Warna/Color: Creamy Grey Ukuran/Power Range: -0.5 s/d -6.00 (Step 0.25) Isi/Content: 2 buah (1 pasang)</t>
  </si>
  <si>
    <t>softlense no minus plano x2 diary penggunaan 6 bulan  spesifikasi produk base curve 8  60 diameter 14  50 mm kadar air water content 38 masa pakai recommended usage 6 bulan monthly warna color creamy grey ukuran power range - 0  5 s d - 6  00 step 0  25 isi content 2 buah 1 pasang</t>
  </si>
  <si>
    <t>x diary creamy grey color softlens minus</t>
  </si>
  <si>
    <t>x diary creamy grey color softlens minus tablet kombinasivalsartan blend 32 softlense no minus plano x2 diary penggunaan 6 bulan  spesifikasi produk base curve 8  60 diameter 14  50 mm kadar air water content 38 masa pakai recommended usage 6 bulan monthly warna color creamy grey ukuran power range  0  5 s d  6  00 step 0  25 isi content 2 buah 1 pasang</t>
  </si>
  <si>
    <t>Eyesight Kitty Kawaii Mini Kelly Gray Softlens Plano/No Minus</t>
  </si>
  <si>
    <t>Eyesight Kitty Kawaii Mini Kelly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</si>
  <si>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kelly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</si>
  <si>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kelly gray softlens planono minus</t>
  </si>
  <si>
    <t>eyesight kitty kawaii mini kelly gray softlens planono minus tablet kombinasivalsartan blend 32 eyesight kitty kawaii mini kelly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</si>
  <si>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Ella Gray Softlens Plano/No Minus</t>
  </si>
  <si>
    <t>Eyesight Kitty Kawaii Mini Ella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</si>
  <si>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ella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</si>
  <si>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ella gray softlens planono minus</t>
  </si>
  <si>
    <t>eyesight kitty kawaii mini ella gray softlens planono minus tablet kombinasivalsartan blend 32 eyesight kitty kawaii mini ella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</si>
  <si>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Someday Gray Softlens Plano/No Minus</t>
  </si>
  <si>
    <t>Eyesight Kitty Kawaii Mini Someday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</si>
  <si>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someday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</si>
  <si>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someday gray softlens planono minus</t>
  </si>
  <si>
    <t>eyesight kitty kawaii mini someday gray softlens planono minus tablet kombinasivalsartan blend 32 eyesight kitty kawaii mini someday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</si>
  <si>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Sunset Brown Softlens Plano/No Minus</t>
  </si>
  <si>
    <t>Eyesight Kitty Kawaii Mini Sunset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</si>
  <si>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sunset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</si>
  <si>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sunset brown softlens planono minus</t>
  </si>
  <si>
    <t>eyesight kitty kawaii mini sunset brown softlens planono minus tablet kombinasivalsartan blend 32 eyesight kitty kawaii mini sunset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</si>
  <si>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Sunset Gray Softlens Plano/No Minus</t>
  </si>
  <si>
    <t>Eyesight Kitty Kawaii Mini Sunset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</si>
  <si>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sunset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</si>
  <si>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sunset gray softlens planono minus</t>
  </si>
  <si>
    <t>eyesight kitty kawaii mini sunset gray softlens planono minus tablet kombinasivalsartan blend 32 eyesight kitty kawaii mini sunset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</si>
  <si>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Primo Brown Softlens Plano/No Minus</t>
  </si>
  <si>
    <t>Eyesight Kitty Kawaii Mini Primo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</si>
  <si>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primo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</si>
  <si>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primo brown softlens planono minus</t>
  </si>
  <si>
    <t>eyesight kitty kawaii mini primo brown softlens planono minus tablet kombinasivalsartan blend 32 eyesight kitty kawaii mini primo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</si>
  <si>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Ava Brown Softlens Plano/No Minus</t>
  </si>
  <si>
    <t>Eyesight Kitty Kawaii Mini Ava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</si>
  <si>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ava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</si>
  <si>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ava brown softlens planono minus</t>
  </si>
  <si>
    <t>eyesight kitty kawaii mini ava brown softlens planono minus tablet kombinasivalsartan blend 32 eyesight kitty kawaii mini ava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</si>
  <si>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Cemore Gray Softlens Plano/No Minus</t>
  </si>
  <si>
    <t>Eyesight Kitty Kawaii Mini Cemore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</si>
  <si>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cemore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</si>
  <si>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cemore gray softlens planono minus</t>
  </si>
  <si>
    <t>eyesight kitty kawaii mini cemore gray softlens planono minus tablet kombinasivalsartan blend 32 eyesight kitty kawaii mini cemore gray softlens plano no minus penggunaan maksimal 6 bulan  spesifikasi produk base curve 8  6 mm diameter 14  2 mm kadar air water content 55 masa pakai recommended usage 6 bulan monthly varian gray ukuran power range plano no minus isi content 2 buah 1 pasang</t>
  </si>
  <si>
    <t>Omega V3 Emma Blue 2 Color Soft Lens Minus</t>
  </si>
  <si>
    <t>Rp56.000 - Rp95.200</t>
  </si>
  <si>
    <t>Softlens Minus Omega V3 Softlens untuk penggunaan 6 Bulan. Spesifikasi Produk: Base Curve: 8.60 Diameter: 14.5 mm Kadar Air/Water Content: 60% Masa Pakai/Recommended Usage: 6 Bulan/Monthly Warna/Color: Emma Blue Ukuran/Power Range: -0.50 s/d -08.00 (step 0.25) Isi/Content: 2 buah (1 pasang)</t>
  </si>
  <si>
    <t>Penggunaan softlens, sebaiknya tidak lebih dari 8 Jam/Hari.</t>
  </si>
  <si>
    <t>softlens minus omega v3 softlens penggunaan 6 bulan  spesifikasi produk base curve 8  60 diameter 14  5 mm kadar air water content 60 masa pakai recommended usage 6 bulan monthly warna color emma blue ukuran power range - 0  50 s d - 08  00 step 0  25 isi content 2 buah 1 pasang</t>
  </si>
  <si>
    <t>omega v emma blue color soft lens minus</t>
  </si>
  <si>
    <t>omega v emma blue color soft lens minus tablet kombinasivalsartan blend 32 softlens minus omega v3 softlens penggunaan 6 bulan  spesifikasi produk base curve 8  60 diameter 14  5 mm kadar air water content 60 masa pakai recommended usage 6 bulan monthly warna color emma blue ukuran power range  0  50 s d  08  00 step 0  25 isi content 2 buah 1 pasang</t>
  </si>
  <si>
    <t>Hunny Bunny Blue 2 Color Softlens Minus</t>
  </si>
  <si>
    <t>Softlens BC BEE SEEN RAINBOW BLOOM untuk penggunaan 6 Bulan. Spesifikasi Produk: Base Curve: 8.6 mm Diameter: 14.2 mm Kadar Air/Water Content: 60% Masa Pakai/Recommended Usage: 6 Bulan/Monthly Warna/Color: Warna Blue Ukuran/Power Range: -0.5 s/d -6.00 (Step 0.25) Isi/Content: 2 buah (1 pasang)</t>
  </si>
  <si>
    <t>softlens bc bee seen rainbow bloom penggunaan 6 bulan  spesifikasi produk base curve 8  6 mm diameter 14  2 mm kadar air water content 60 masa pakai recommended usage 6 bulan monthly warna color warna blue ukuran power range - 0  5 s d - 6  00 step 0  25 isi content 2 buah 1 pasang</t>
  </si>
  <si>
    <t>hunny bunny blue color softlens minus</t>
  </si>
  <si>
    <t>hunny bunny blue color softlens minus tablet kombinasivalsartan blend 32 softlens bc bee seen rainbow bloom penggunaan 6 bulan  spesifikasi produk base curve 8  6 mm diameter 14  2 mm kadar air water content 60 masa pakai recommended usage 6 bulan monthly warna color warna blue ukuran power range  0  5 s d  6  00 step 0  25 isi content 2 buah 1 pasang</t>
  </si>
  <si>
    <t>Eyesight Kitty Kawaii Mini Someday Brown Softlens Plano/No Minus</t>
  </si>
  <si>
    <t>Eyesight Kitty Kawaii Mini Someday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</si>
  <si>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someday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</si>
  <si>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someday brown softlens planono minus</t>
  </si>
  <si>
    <t>eyesight kitty kawaii mini someday brown softlens planono minus tablet kombinasivalsartan blend 32 eyesight kitty kawaii mini someday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</si>
  <si>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Ava Gray Softlens Plano/No Minus</t>
  </si>
  <si>
    <t>Eyesight Kitty Kawaii Mini Ava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</si>
  <si>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ava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</si>
  <si>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ava gray softlens planono minus</t>
  </si>
  <si>
    <t>eyesight kitty kawaii mini ava gray softlens planono minus tablet kombinasivalsartan blend 32 eyesight kitty kawaii mini ava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</si>
  <si>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Clean Black Softlens Plano/No Minus</t>
  </si>
  <si>
    <t>Eyesight Kitty Kawaii Mini Clean Black Softlens Plano/No Minus untuk penggunaan maksimal selama 6 Bulan. Spesifikasi Produk: Base Curve: 8.6 mm Diameter: 14.2 mm Kadar Air/Water Content: 55 % Masa Pakai/Recommended Usage: 6 Bulan/Monthly Varian: Black Ukuran/Power Range: Plano/No Minus Isi/Content: 2 buah (1 pasang)</t>
  </si>
  <si>
    <t>eyesight kitty kawaii mini clean black softlens plano no minus penggunaan maksimal 6 bulan  spesifikasi produk base curve 8  6 mm diameter 14  2 mm kadar air water content 55 masa pakai recommended usage 6 bulan monthly varian black ukuran power range plano no minus isi content 2 buah 1 pasang</t>
  </si>
  <si>
    <t>eyesight kitty kawaii mini clean black softlens planono minus</t>
  </si>
  <si>
    <t>eyesight kitty kawaii mini clean black softlens planono minus tablet kombinasivalsartan blend 32 eyesight kitty kawaii mini clean black softlens plano no minus penggunaan maksimal 6 bulan  spesifikasi produk base curve 8  6 mm diameter 14  2 mm kadar air water content 55 masa pakai recommended usage 6 bulan monthly varian black ukuran power range plano no minus isi content 2 buah 1 pasang</t>
  </si>
  <si>
    <t>Eyesight Kitty Kawaii Mini Clean Brown Softlens Plano/No Minus</t>
  </si>
  <si>
    <t>Eyesight Kitty Kawaii Mini Clean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</si>
  <si>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clean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</si>
  <si>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clean brown softlens planono minus</t>
  </si>
  <si>
    <t>eyesight kitty kawaii mini clean brown softlens planono minus tablet kombinasivalsartan blend 32 eyesight kitty kawaii mini clean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</si>
  <si>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Kelly Brown Softlens Plano/No Minus</t>
  </si>
  <si>
    <t>Eyesight Kitty Kawaii Mini Kelly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</si>
  <si>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kelly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</si>
  <si>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kelly brown softlens planono minus</t>
  </si>
  <si>
    <t>eyesight kitty kawaii mini kelly brown softlens planono minus tablet kombinasivalsartan blend 32 eyesight kitty kawaii mini kelly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</si>
  <si>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Olivia Gray Softlens Plano/No Minus</t>
  </si>
  <si>
    <t>Eyesight Kitty Kawaii Mini Olivia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</si>
  <si>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olivia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</si>
  <si>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olivia gray softlens planono minus</t>
  </si>
  <si>
    <t>eyesight kitty kawaii mini olivia gray softlens planono minus tablet kombinasivalsartan blend 32 eyesight kitty kawaii mini olivia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</si>
  <si>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Olivia Brown Softlens Plano/No Minus</t>
  </si>
  <si>
    <t>Eyesight Kitty Kawaii Mini Olivia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</si>
  <si>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olivia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</si>
  <si>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olivia brown softlens planono minus</t>
  </si>
  <si>
    <t>eyesight kitty kawaii mini olivia brown softlens planono minus tablet kombinasivalsartan blend 32 eyesight kitty kawaii mini olivia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</si>
  <si>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Ella Brown Softlens Plano/No Minus</t>
  </si>
  <si>
    <t>Eyesight Kitty Kawaii Mini Ella Brown Softlens Plano/No Minus untuk penggunaan maksimal selama 6 Bulan. Spesifikasi Produk: Base Curve: 8.6 mm Diameter: 14.2 mm Kadar Air/Water Content: 55 % Masa Pakai/Recommended Usage: 6 Bulan/Monthly Varian: Brown Ukuran/Power Range: Plano/No Minus Isi/Content: 2 buah (1 pasang)</t>
  </si>
  <si>
    <t>eyesight kitty kawaii mini ella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</si>
  <si>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ella brown softlens planono minus</t>
  </si>
  <si>
    <t>eyesight kitty kawaii mini ella brown softlens planono minus tablet kombinasivalsartan blend 32 eyesight kitty kawaii mini ella brown softlens plano no minus penggunaan maksimal 6 bulan  spesifikasi produk base curve 8  6 mm diameter 14  2 mm kadar air water content 55 masa pakai recommended usage 6 bulan monthly varian brown ukuran power range plano no minus isi content 2 buah 1 pasang</t>
  </si>
  <si>
    <t>Eyesight Kitty Kawaii Mini Primo Gray Softlens Plano/No Minus</t>
  </si>
  <si>
    <t>Eyesight Kitty Kawaii Mini Primo Gray Softlens Plano/No Minus untuk penggunaan maksimal selama 6 Bulan. Spesifikasi Produk: Base Curve: 8.6 mm Diameter: 14.2 mm Kadar Air/Water Content: 55 % Masa Pakai/Recommended Usage: 6 Bulan/Monthly Varian: Gray Ukuran/Power Range: Plano/No Minus Isi/Content: 2 buah (1 pasang)</t>
  </si>
  <si>
    <t>eyesight kitty kawaii mini primo gray softlens plano no minus penggunaan maksimal 6 bulan  spesifikasi produk base curve 8  6 mm diameter 14  2 mm kadar air water content 55 masa pakai recommended usage 6 bulan monthly varian gray ukuran power range plano no minus isi content 2 buah 1 pasang</t>
  </si>
  <si>
    <t>eyesight kitty kawaii mini primo gray softlens planono minus</t>
  </si>
  <si>
    <t>eyesight kitty kawaii mini primo gray softlens planono minus tablet kombinasivalsartan blend 32 eyesight kitty kawaii mini primo gray softlens plano no minus penggunaan maksimal 6 bulan  spesifikasi produk base curve 8  6 mm diameter 14  2 mm kadar air water content 55 masa pakai recommended usage 6 bulan monthly varian gray ukuran power range plano no minus isi content 2 buah 1 pasang</t>
  </si>
  <si>
    <t>X2 Sanso Color Black Ebony 2 Color Softlens Minus</t>
  </si>
  <si>
    <t>Rp64.400 - Rp168.000</t>
  </si>
  <si>
    <t>Softlens X2 SANSO COLOR BLACK untuk penggunaan 3 Bulan. Spesifikasi Produk: Base Curve: 8.8 mm Diameter: 14.5 mm Kadar Air/Water Content: 55% Masa Pakai/Recommended Usage: 3 Bulan/Monthly Warna/Color: Warna Ebony Ukuran/Power Range: -0.5 s/d -6.00 (Step 0.25) Isi/Content: 2 buah (1 pasang)</t>
  </si>
  <si>
    <t>softlens x2 sanso color black penggunaan 3 bulan  spesifikasi produk base curve 8  8 mm diameter 14  5 mm kadar air water content 55 masa pakai recommended usage 3 bulan monthly warna color warna ebony ukuran power range - 0  5 s d - 6  00 step 0  25 isi content 2 buah 1 pasang</t>
  </si>
  <si>
    <t>x sanso color black ebony color softlens minus</t>
  </si>
  <si>
    <t>x sanso color black ebony color softlens minus tablet kombinasivalsartan blend 32 softlens x2 sanso color black penggunaan 3 bulan  spesifikasi produk base curve 8  8 mm diameter 14  5 mm kadar air water content 55 masa pakai recommended usage 3 bulan monthly warna color warna ebony ukuran power range  0  5 s d  6  00 step 0  25 isi content 2 buah 1 pasang</t>
  </si>
  <si>
    <t>X2 Bio Four Chocolate Mousse 2 Color Softlens Minus</t>
  </si>
  <si>
    <t>Rp67.200 - Rp127.700</t>
  </si>
  <si>
    <t>Softlens Minus X2 Bio Four untuk penggunaan 6 Bulan. Spesifikasi Produk: Base Curve: 8.60 Diameter: 14.50 mm Kadar Air/Water Content: 45% Masa Pakai/Recommended Usage: 6 Bulan/Monthly Warna/Color: Warna Chocolate Mousse Ukuran/Power Range: -0.5 s/d -6.00 (Step 0.25) Isi/Content: 2 buah (1 pasang)</t>
  </si>
  <si>
    <t>softlens minus x2 bio four penggunaan 6 bulan  spesifikasi produk base curve 8  60 diameter 14  50 mm kadar air water content 45 masa pakai recommended usage 6 bulan monthly warna color warna chocolate mousse ukuran power range - 0  5 s d - 6  00 step 0  25 isi content 2 buah 1 pasang</t>
  </si>
  <si>
    <t>x bio four chocolate mousse color softlens minus</t>
  </si>
  <si>
    <t>x bio four chocolate mousse color softlens minus tablet kombinasivalsartan blend 32 softlens minus x2 bio four penggunaan 6 bulan  spesifikasi produk base curve 8  60 diameter 14  50 mm kadar air water content 45 masa pakai recommended usage 6 bulan monthly warna color warna chocolate mousse ukuran power range  0  5 s d  6  00 step 0  25 isi content 2 buah 1 pasang</t>
  </si>
  <si>
    <t>X2 Bio Glaze Na Azul 2 Color Softlens Minus</t>
  </si>
  <si>
    <t>Rp67.200 - Rp123.200</t>
  </si>
  <si>
    <t>Softlens Minus X2 Bio Glaze untuk penggunaan 6 Bulan. Spesifikasi Produk: Base Curve: 8.60 Diameter: 14.50 mm Kadar Air/Water Content: 45% Masa Pakai/Recommended Usage: 6 Bulan/Monthly Warna/Color: Warna Na Azul Ukuran/Power Range: -0.5 s/d -6.00 (Step 0.25) Isi/Content: 2 buah (1 pasang)</t>
  </si>
  <si>
    <t>softlens minus x2 bio glaze penggunaan 6 bulan  spesifikasi produk base curve 8  60 diameter 14  50 mm kadar air water content 45 masa pakai recommended usage 6 bulan monthly warna color warna na azul ukuran power range - 0  5 s d - 6  00 step 0  25 isi content 2 buah 1 pasang</t>
  </si>
  <si>
    <t>x bio glaze na azul color softlens minus</t>
  </si>
  <si>
    <t>x bio glaze na azul color softlens minus tablet kombinasivalsartan blend 32 softlens minus x2 bio glaze penggunaan 6 bulan  spesifikasi produk base curve 8  60 diameter 14  50 mm kadar air water content 45 masa pakai recommended usage 6 bulan monthly warna color warna na azul ukuran power range  0  5 s d  6  00 step 0  25 isi content 2 buah 1 pasang</t>
  </si>
  <si>
    <t>Freshkon Alluring Monthly Magnetic Grey 2 Color Softlens Minus</t>
  </si>
  <si>
    <t>Rp123.200 - Rp207.200</t>
  </si>
  <si>
    <t>Softlens FRESHKON ALLURING EYES DAILY untuk penggunaan 1 Bulan. Spesifikasi Produk: Base Curve: 8.5 mm Diameter: 14.2 mm Kadar Air/Water Content: 58% Masa Pakai/Recommended Usage: 1 Bulan/Monthly Warna/Color: Magnetic Grey Ukuran/Power Range: -1.00 s/d -6.00 (steps 0.25) Isi/Content: 2 buah (1 pasang).</t>
  </si>
  <si>
    <t>softlens freshkon alluring eyes daily penggunaan 1 bulan  spesifikasi produk base curve 8  5 mm diameter 14  2 mm kadar air water content 58 masa pakai recommended usage 1 bulan monthly warna color magnetic grey ukuran power range - 1  00 s d - 6  00 step 0  25 isi content 2 buah 1 pasang</t>
  </si>
  <si>
    <t>freshkon alluring monthly magnetic grey color softlens minus</t>
  </si>
  <si>
    <t>freshkon alluring monthly magnetic grey color softlens minus tablet kombinasivalsartan blend 32 softlens freshkon alluring eyes daily penggunaan 1 bulan  spesifikasi produk base curve 8  5 mm diameter 14  2 mm kadar air water content 58 masa pakai recommended usage 1 bulan monthly warna color magnetic grey ukuran power range  1  00 s d  6  00 step 0  25 isi content 2 buah 1 pasang</t>
  </si>
  <si>
    <t>Cute Eye 2 Tone Blue 2 Color Softlens Minus</t>
  </si>
  <si>
    <t>Softlens No Minus/Plano CUTE EYE 2 TONE untuk penggunaan 6 Bulan. Spesifikasi Produk: Base Curve: 8.60 Diameter: 14.4 mm Kadar Air/Water Content: 48% Masa Pakai/Recommended Usage: 6 Bulan/Monthly Warna/Color: Blue Ukuran/Power Range: -00.50 s/d -08.00 dengan kelipatan 0.25 Isi/Content: 2 buah (1 pasang)</t>
  </si>
  <si>
    <t>softlens no minus plano cute eye 2 tone penggunaan 6 bulan  spesifikasi produk base curve 8  60 diameter 14  4 mm kadar air water content 48 masa pakai recommended usage 6 bulan monthly warna color blue ukuran power range - 00  50 s d - 08  00 kelipatan 0  25 isi content 2 buah 1 pasang</t>
  </si>
  <si>
    <t>cute eye tone blue color softlens minus</t>
  </si>
  <si>
    <t>cute eye tone blue color softlens minus tablet kombinasivalsartan blend 32 softlens no minus plano cute eye 2 tone penggunaan 6 bulan  spesifikasi produk base curve 8  60 diameter 14  4 mm kadar air water content 48 masa pakai recommended usage 6 bulan monthly warna color blue ukuran power range  00  50 s d  08  00 kelipatan 0  25 isi content 2 buah 1 pasang</t>
  </si>
  <si>
    <t>New More Dubai Aquatic Blue 2 Color Softlens Minus</t>
  </si>
  <si>
    <t>Softlens NEW MORE DUBAY untuk penggunaan 6 Bulan. Spesifikasi Produk: Base Curve: 8.60 mm Diameter: 14.5 mm Kadar Air/Water Content: 42% Masa Pakai/Recommended Usage: 6 Bulan/Monthly Warna/Color: Warna AQUATIC BLUE Ukuran/Power Range: -0.5 s/d -6.00 (Step 0.25) Isi/Content: 2 buah (1 pasang)</t>
  </si>
  <si>
    <t>softlens new more dubay penggunaan 6 bulan  spesifikasi produk base curve 8  60 mm diameter 14  5 mm kadar air water content 42 masa pakai recommended usage 6 bulan monthly warna color warna aquatic blue ukuran power range - 0  5 s d - 6  00 step 0  25 isi content 2 buah 1 pasang</t>
  </si>
  <si>
    <t>new more dubai aquatic blue color softlens minus</t>
  </si>
  <si>
    <t>new more dubai aquatic blue color softlens minus tablet kombinasivalsartan blend 32 softlens new more dubay penggunaan 6 bulan  spesifikasi produk base curve 8  60 mm diameter 14  5 mm kadar air water content 42 masa pakai recommended usage 6 bulan monthly warna color warna aquatic blue ukuran power range  0  5 s d  6  00 step 0  25 isi content 2 buah 1 pasang</t>
  </si>
  <si>
    <t>New More Dubai Pastel Blue 2 Color Softlens Minus</t>
  </si>
  <si>
    <t>Softlens NEW MORE DUBAY untuk penggunaan 6 Bulan. Spesifikasi Produk: Base Curve: 8.60 mm Diameter: 14.5 mm Kadar Air/Water Content: 42% Masa Pakai/Recommended Usage: 6 Bulan/Monthly Warna/Color: Warna Pastel Blue Ukuran/Power Range: -0.5 s/d -6.00 (Step 0.25) Isi/Content: 2 buah (1 pasang)</t>
  </si>
  <si>
    <t>softlens new more dubay penggunaan 6 bulan  spesifikasi produk base curve 8  60 mm diameter 14  5 mm kadar air water content 42 masa pakai recommended usage 6 bulan monthly warna color warna pastel blue ukuran power range - 0  5 s d - 6  00 step 0  25 isi content 2 buah 1 pasang</t>
  </si>
  <si>
    <t>new more dubai pastel blue color softlens minus</t>
  </si>
  <si>
    <t>new more dubai pastel blue color softlens minus tablet kombinasivalsartan blend 32 softlens new more dubay penggunaan 6 bulan  spesifikasi produk base curve 8  60 mm diameter 14  5 mm kadar air water content 42 masa pakai recommended usage 6 bulan monthly warna color warna pastel blue ukuran power range  0  5 s d  6  00 step 0  25 isi content 2 buah 1 pasang</t>
  </si>
  <si>
    <t>Options Colors Rusian Grey Softlens Natural Beauty Eyestyling Plano/No Minus</t>
  </si>
  <si>
    <t>Options Colors Rusian Grey Softlens Natural Beauty Eyestyling No Minus/Plano untuk penggunaan 6 Bulan. Spesifikasi Produk: Base Curve: 8.6 mm Diameter: 14.2 mm Kadar Air/Water Content: 43% Masa Pakai/Recommended Usage: 6 Bulan/Monthly Warna/Color: Warna Grey Ukuran/Power Range: Plano Isi/Content: 2 buah (1 pasang)</t>
  </si>
  <si>
    <t>options colors rusian grey softlens natural beauty eyestyling no minus plano penggunaan 6 bulan  spesifikasi produk base curve 8  6 mm diameter 14  2 mm kadar air water content 43 masa pakai recommended usage 6 bulan monthly warna color warna grey ukuran power range plano isi content 2 buah 1 pasang</t>
  </si>
  <si>
    <t>options colors rusian grey softlens natural beauty eyestyling planono minus</t>
  </si>
  <si>
    <t>options colors rusian grey softlens natural beauty eyestyling planono minus tablet kombinasivalsartan blend 32 options colors rusian grey softlens natural beauty eyestyling no minus plano penggunaan 6 bulan  spesifikasi produk base curve 8  6 mm diameter 14  2 mm kadar air water content 43 masa pakai recommended usage 6 bulan monthly warna color warna grey ukuran power range plano isi content 2 buah 1 pasang</t>
  </si>
  <si>
    <t>DKL0919927110B1</t>
  </si>
  <si>
    <t>Pehavask 10 mg 10 Tablet</t>
  </si>
  <si>
    <t>Rp53.900 - Rp89.300</t>
  </si>
  <si>
    <t>INFORMASI OBAT INI HANYA UNTUK KALANGAN MEDIS. Diindikasikan untuk pengobatan lini pertama hipertensi dan dapat digunakan sebagai agen tunggal untuk mengontrol tekanan darah pada sebagian besar pasien. Pasien yang tidak cukup terkontrol dengan obat antihipertensi tunggal (selain amlodipin) dapat memperoleh manfaat dari penambahan amlodipin, yang telah digunakan dalam kombinasi dengan diuretik thiazide, blocker, adrenoceptor blocking agent, atau ACE inhibitor. Pengobatan lini pertama iskemia miokard baik karena obstruksi tetap (angina stabil) dan atau vasospasme/vasokonstriksi (angina Prinzmetal atau varian) atau pembuluh darah koroner. Dapat digunakan jika presentasi klinis menunjukkan kemungkinan vasospastik/vasokonstriksi belum dikonfirmasi. Sebagai monoterapi atau kombinasi dengan obat antiangina lain pada pasien dengan angina yang refrakter terhadap nitrat dan atau penyekat dosis memadai.</t>
  </si>
  <si>
    <t>diindikasikan pengobatan lini hipertensi agen tunggal mengontrol tekanan darah pasien  pasien tidak terkontrol obat antihipertensi tunggal amlodipin memperoleh manfaat penambahan amlodipin , kombinasi diuretik thiazide , blocker , adrenoceptor blocking agent ,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</si>
  <si>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pehavask</t>
  </si>
  <si>
    <t>pehavask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</si>
  <si>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DKL1940404810A1</t>
  </si>
  <si>
    <t>Gensia Tablet 5 mg 10 Tablet</t>
  </si>
  <si>
    <t>gensia</t>
  </si>
  <si>
    <t>gensia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</si>
  <si>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DKL0919927110A1</t>
  </si>
  <si>
    <t>Pehavask 5 mg 10 Tablet</t>
  </si>
  <si>
    <t>Rp29.200 - Rp50.800</t>
  </si>
  <si>
    <t>Eyelovin Mite Clair Pure Moist Selene Grey Softlens Plano/No Minus</t>
  </si>
  <si>
    <t>Eyelovin Mite Clair Pure Moist Selene Grey Softlens Plano/No Minus untuk penggunaan 3 Bulan. Spesifikasi Produk: Base Curve: 8.6 mm Diameter: 14.2 mm Kadar Air/Water Content: 48 % Masa Pakai/Recommended Usage: 3 Bulan/Monthly Warna/Color: Brown Ukuran/Power Range: Plano/No Minus Isi/Content: 2 buah (1 pasang).</t>
  </si>
  <si>
    <t>eyelovin mite clair pure moist selene grey softlens plano no minus penggunaan 3 bulan  spesifikasi produk base curve 8  6 mm diameter 14  2 mm kadar air water content 48 masa pakai recommended usage 3 bulan monthly warna color brown ukuran power range plano no minus isi content 2 buah 1 pasang</t>
  </si>
  <si>
    <t>eyelovin mite clair pure moist selene grey softlens planono minus</t>
  </si>
  <si>
    <t>eyelovin mite clair pure moist selene grey softlens planono minus tablet kombinasivalsartan blend 32 eyelovin mite clair pure moist selene grey softlens plano no minus penggunaan 3 bulan  spesifikasi produk base curve 8  6 mm diameter 14  2 mm kadar air water content 48 masa pakai recommended usage 3 bulan monthly warna color brown ukuran power range plano no minus isi content 2 buah 1 pasang</t>
  </si>
  <si>
    <t>DKL0702339510B1</t>
  </si>
  <si>
    <t>Lovask 10 mg 10 Tablet</t>
  </si>
  <si>
    <t>lovask</t>
  </si>
  <si>
    <t>lovask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</si>
  <si>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DKL0717622110A1</t>
  </si>
  <si>
    <t>Intervask 5 mg 10 Tablet</t>
  </si>
  <si>
    <t>Rp98.600 - Rp125.400</t>
  </si>
  <si>
    <t>intervask</t>
  </si>
  <si>
    <t>intervask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</si>
  <si>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Eyelovin Mite Clair Pure Moist Selene Brown Softlens Plano/No Minus</t>
  </si>
  <si>
    <t>Eyelovin Mite Clair Pure Moist Selene Brown Softlens Plano/No Minus untuk penggunaan 3 Bulan. Spesifikasi Produk: Base Curve: 8.6 mm Diameter: 14.2 mm Kadar Air/Water Content: 48 % Masa Pakai/Recommended Usage: 3 Bulan/Monthly Warna/Color: Brown Ukuran/Power Range: Plano/No Minus Isi/Content: 2 buah (1 pasang).</t>
  </si>
  <si>
    <t>eyelovin mite clair pure moist selene brown softlens plano no minus penggunaan 3 bulan  spesifikasi produk base curve 8  6 mm diameter 14  2 mm kadar air water content 48 masa pakai recommended usage 3 bulan monthly warna color brown ukuran power range plano no minus isi content 2 buah 1 pasang</t>
  </si>
  <si>
    <t>eyelovin mite clair pure moist selene brown softlens planono minus</t>
  </si>
  <si>
    <t>eyelovin mite clair pure moist selene brown softlens planono minus tablet kombinasivalsartan blend 32 eyelovin mite clair pure moist selene brown softlens plano no minus penggunaan 3 bulan  spesifikasi produk base curve 8  6 mm diameter 14  2 mm kadar air water content 48 masa pakai recommended usage 3 bulan monthly warna color brown ukuran power range plano no minus isi content 2 buah 1 pasang</t>
  </si>
  <si>
    <t>DKL0717622110B1</t>
  </si>
  <si>
    <t>Intervask 10 mg 10 Tablet</t>
  </si>
  <si>
    <t>Rp200.200 - Rp204.300</t>
  </si>
  <si>
    <t>DKL0734606410A1</t>
  </si>
  <si>
    <t>Dilavask 5 mg 10 Tablet</t>
  </si>
  <si>
    <t>Rp12.000 - Rp21.500</t>
  </si>
  <si>
    <t>dilavask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</si>
  <si>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DKL0715808010A1</t>
  </si>
  <si>
    <t>Amcor 5 mg 10 Tablet</t>
  </si>
  <si>
    <t>Rp13.900 - Rp23.900</t>
  </si>
  <si>
    <t>amcor</t>
  </si>
  <si>
    <t>amcor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</si>
  <si>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DKL1940404810B1</t>
  </si>
  <si>
    <t>Gensia 10 mg 10 Tablet</t>
  </si>
  <si>
    <t>Rp73.000 - Rp130.900</t>
  </si>
  <si>
    <t>Living Color Lovely 2 Tone Blue 2 Color Softlens Minus</t>
  </si>
  <si>
    <t>Rp28.000 - Rp56.000</t>
  </si>
  <si>
    <t>Softlens LIVING COLOR LOVELY 2 TONE untuk penggunaan 3 Bulan. Spesifikasi Produk: Base Curve: 8.60 mm Diameter: 14.4 mm Kadar Air/Water Content: 48% Masa Pakai/Recommended Usage: 3 Bulan/Monthly Warna/Color: Warna Blue Ukuran/Power Range: -0.5 s/d -6.00 (Step 0.25) Isi/Content: 2 buah (1 pasang)</t>
  </si>
  <si>
    <t>softlens living color lovely 2 tone penggunaan 3 bulan  spesifikasi produk base curve 8  60 mm diameter 14  4 mm kadar air water content 48 masa pakai recommended usage 3 bulan monthly warna color warna blue ukuran power range - 0  5 s d - 6  00 step 0  25 isi content 2 buah 1 pasang</t>
  </si>
  <si>
    <t>living color lovely tone blue color softlens minus</t>
  </si>
  <si>
    <t>living color lovely tone blue color softlens minus tablet kombinasivalsartan blend 32 softlens living color lovely 2 tone penggunaan 3 bulan  spesifikasi produk base curve 8  60 mm diameter 14  4 mm kadar air water content 48 masa pakai recommended usage 3 bulan monthly warna color warna blue ukuran power range  0  5 s d  6  00 step 0  25 isi content 2 buah 1 pasang</t>
  </si>
  <si>
    <t>DKL0915808010B1</t>
  </si>
  <si>
    <t>Amcor 10 mg 10 Tablet</t>
  </si>
  <si>
    <t>Rp19.100 - Rp34.100</t>
  </si>
  <si>
    <t>DKL0704519610A1</t>
  </si>
  <si>
    <t>Theravask 5 mg 10 Tablet</t>
  </si>
  <si>
    <t>Rp34.500 - Rp56.600</t>
  </si>
  <si>
    <t>theravask</t>
  </si>
  <si>
    <t>theravask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</si>
  <si>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DKL0822244610A1</t>
  </si>
  <si>
    <t>Cardisan 5 mg 10 Tablet</t>
  </si>
  <si>
    <t>Rp67.900 - Rp86.700</t>
  </si>
  <si>
    <t>cardisan</t>
  </si>
  <si>
    <t>cardisan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</si>
  <si>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Eyelovin Mite Clair Pure Moist Selene Grey Softlens Minus</t>
  </si>
  <si>
    <t>Eyelovin Mite Clair Pure Moist Selene Grey Softlens Minus untuk penggunaan 3 Bulan. Spesifikasi Produk: Base Curve: 8.6 mm Diameter: 14.2 mm Kadar Air/Water Content: 48 % Masa Pakai/Recommended Usage: 3 Bulan/Monthly Warna/Color: Brown Ukuran/Power Range: 0.5 s/d -10.00 Isi/Content: 2 buah (1 pasang).</t>
  </si>
  <si>
    <t>eyelovin mite clair pure moist selene grey softlens minus penggunaan 3 bulan  spesifikasi produk base curve 8  6 mm diameter 14  2 mm kadar air water content 48 masa pakai recommended usage 3 bulan monthly warna color brown ukuran power range 0  5 s d - 10  00 isi content 2 buah 1 pasang</t>
  </si>
  <si>
    <t>eyelovin mite clair pure moist selene grey softlens minus</t>
  </si>
  <si>
    <t>eyelovin mite clair pure moist selene grey softlens minus tablet kombinasivalsartan blend 32 eyelovin mite clair pure moist selene grey softlens minus penggunaan 3 bulan  spesifikasi produk base curve 8  6 mm diameter 14  2 mm kadar air water content 48 masa pakai recommended usage 3 bulan monthly warna color brown ukuran power range 0  5 s d  10  00 isi content 2 buah 1 pasang</t>
  </si>
  <si>
    <t>Eyelovin Mite Clair Pure Moist Selene Brown Softlens Minus</t>
  </si>
  <si>
    <t>Eyelovin Mite Clair Pure Moist Selene Brown Softlens Minus untuk penggunaan 3 Bulan. Spesifikasi Produk: Base Curve: 8.6 mm Diameter: 14.2 mm Kadar Air/Water Content: 48 % Masa Pakai/Recommended Usage: 3 Bulan/Monthly Warna/Color: Brown Ukuran/Power Range: 0.5 s/d -10.00 Isi/Content: 2 buah (1 pasang).</t>
  </si>
  <si>
    <t>eyelovin mite clair pure moist selene brown softlens minus penggunaan 3 bulan  spesifikasi produk base curve 8  6 mm diameter 14  2 mm kadar air water content 48 masa pakai recommended usage 3 bulan monthly warna color brown ukuran power range 0  5 s d - 10  00 isi content 2 buah 1 pasang</t>
  </si>
  <si>
    <t>eyelovin mite clair pure moist selene brown softlens minus</t>
  </si>
  <si>
    <t>eyelovin mite clair pure moist selene brown softlens minus tablet kombinasivalsartan blend 32 eyelovin mite clair pure moist selene brown softlens minus penggunaan 3 bulan  spesifikasi produk base curve 8  6 mm diameter 14  2 mm kadar air water content 48 masa pakai recommended usage 3 bulan monthly warna color brown ukuran power range 0  5 s d  10  00 isi content 2 buah 1 pasang</t>
  </si>
  <si>
    <t>DKL0804130510B1</t>
  </si>
  <si>
    <t>Comdipin 10 mg 6 Tablet</t>
  </si>
  <si>
    <t>Rp37.200 - Rp62.500</t>
  </si>
  <si>
    <t>comdipin</t>
  </si>
  <si>
    <t>comdipin tablet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</si>
  <si>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DKL0804130510A1</t>
  </si>
  <si>
    <t>Comdipin 5 mg 6 Tablet</t>
  </si>
  <si>
    <t>Rp20.400 - Rp35.000</t>
  </si>
  <si>
    <t>DKL1032404610B1</t>
  </si>
  <si>
    <t>Cardicap 10 mg 10 Tablet</t>
  </si>
  <si>
    <t>Rp90.500 - Rp149.200</t>
  </si>
  <si>
    <t>cardicap</t>
  </si>
  <si>
    <t>cardicap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</si>
  <si>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DKL1640809104A1</t>
  </si>
  <si>
    <t>Fionvask 5 mg 10 Tablet</t>
  </si>
  <si>
    <t>Rp50.300 - Rp66.500</t>
  </si>
  <si>
    <t>fionvask</t>
  </si>
  <si>
    <t>fionvask kaplet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</si>
  <si>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DKL1028405010A1</t>
  </si>
  <si>
    <t>Hexavask 10 mg 10 Tablet</t>
  </si>
  <si>
    <t>Rp30.800 - Rp34.800</t>
  </si>
  <si>
    <t>hexavask</t>
  </si>
  <si>
    <t>hexavask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</si>
  <si>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DKL0731527210A1</t>
  </si>
  <si>
    <t>Calsivas 5 mg 10 Tablet</t>
  </si>
  <si>
    <t>Rp48.600 - Rp78.200</t>
  </si>
  <si>
    <t>calsivas</t>
  </si>
  <si>
    <t>calsivas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</si>
  <si>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DKL0731527210B1</t>
  </si>
  <si>
    <t>Calsivas 10 mg 10 Tablet</t>
  </si>
  <si>
    <t>Rp92.400 - Rp134.300</t>
  </si>
  <si>
    <t>Eyesight Kitty Kawaii Mini Olivia Light Brown Softlens Plano/No Minus</t>
  </si>
  <si>
    <t>Eyesight Kitty Kawaii Mini Olivia Light Brown Softlens Plano/No Minus untuk penggunaan maksimal selama 6 Bulan. Spesifikasi Produk: Base Curve: 8.6 mm Diameter: 14.2 mm Kadar Air/Water Content: 55 % Masa Pakai/Recommended Usage: 6 Bulan/Monthly Varian: Light Brown Ukuran/Power Range: Plano/No Minus Isi/Content: 2 buah (1 pasang)</t>
  </si>
  <si>
    <t>eyesight kitty kawaii mini olivia light brown softlens plano no minus penggunaan maksimal 6 bulan  spesifikasi produk base curve 8  6 mm diameter 14  2 mm kadar air water content 55 masa pakai recommended usage 6 bulan monthly varian light brown ukuran power range plano no minus isi content 2 buah 1 pasang</t>
  </si>
  <si>
    <t>eyesight kitty kawaii mini olivia light brown softlens planono minus</t>
  </si>
  <si>
    <t>eyesight kitty kawaii mini olivia light brown softlens planono minus tablet kombinasivalsartan blend 32 eyesight kitty kawaii mini olivia light brown softlens plano no minus penggunaan maksimal 6 bulan  spesifikasi produk base curve 8  6 mm diameter 14  2 mm kadar air water content 55 masa pakai recommended usage 6 bulan monthly varian light brown ukuran power range plano no minus isi content 2 buah 1 pasang</t>
  </si>
  <si>
    <t>DKL1032404610A1</t>
  </si>
  <si>
    <t>Cardicap 5 mg 10 Tablet</t>
  </si>
  <si>
    <t>Rp65.400 - Rp86.000</t>
  </si>
  <si>
    <t>DKL0831113810B1</t>
  </si>
  <si>
    <t>Gravask 10 mg 10 Tablet</t>
  </si>
  <si>
    <t>gravask</t>
  </si>
  <si>
    <t>gravask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</si>
  <si>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DKL0831113810A1</t>
  </si>
  <si>
    <t>Gravask 5 mg 10 Tablet</t>
  </si>
  <si>
    <t>Rp4.500 - Rp7.200</t>
  </si>
  <si>
    <t>DKL1640809104B1</t>
  </si>
  <si>
    <t>Fionvask 10 mg 10 Kaplet</t>
  </si>
  <si>
    <t>Rp89.800 - Rp96.300</t>
  </si>
  <si>
    <t>DKL1035306910B1</t>
  </si>
  <si>
    <t>Gracivask 10 mg 10 Tablet</t>
  </si>
  <si>
    <t>Rp104.700 - Rp142.300</t>
  </si>
  <si>
    <t>gracivask</t>
  </si>
  <si>
    <t>gracivask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</si>
  <si>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DKL1706317510A1</t>
  </si>
  <si>
    <t>Ervask 10 mg 10 Tablet</t>
  </si>
  <si>
    <t>Rp7.200 - Rp7.900</t>
  </si>
  <si>
    <t>ervask</t>
  </si>
  <si>
    <t>ervask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</si>
  <si>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Options Colors Rusian Olive Brown Softlens Natural Beauty Eyestyling Plano/No Minus</t>
  </si>
  <si>
    <t>Options Colors Rusian Grey Softlens Natural Beauty Eyestyling No Minus/Plano untuk penggunaan 6 Bulan. Spesifikasi Produk: Base Curve: 8.6 mm Diameter: 14.2 mm Kadar Air/Water Content: 43% Masa Pakai/Recommended Usage: 6 Bulan/Monthly Warna/Color: Warna Olive Brown Ukuran/Power Range: Plano Isi/Content: 2 buah (1 pasang)</t>
  </si>
  <si>
    <t>options colors rusian grey softlens natural beauty eyestyling no minus plano penggunaan 6 bulan  spesifikasi produk base curve 8  6 mm diameter 14  2 mm kadar air water content 43 masa pakai recommended usage 6 bulan monthly warna color warna olive brown ukuran power range plano isi content 2 buah 1 pasang</t>
  </si>
  <si>
    <t>options colors rusian olive brown softlens natural beauty eyestyling planono minus</t>
  </si>
  <si>
    <t>options colors rusian olive brown softlens natural beauty eyestyling planono minus tablet kombinasivalsartan blend 32 options colors rusian grey softlens natural beauty eyestyling no minus plano penggunaan 6 bulan  spesifikasi produk base curve 8  6 mm diameter 14  2 mm kadar air water content 43 masa pakai recommended usage 6 bulan monthly warna color warna olive brown ukuran power range plano isi content 2 buah 1 pasang</t>
  </si>
  <si>
    <t>DKL0711638410A1</t>
  </si>
  <si>
    <t>Divask 5 mg 10 Tablet</t>
  </si>
  <si>
    <t>Rp95.600 - Rp116.200</t>
  </si>
  <si>
    <t>divask</t>
  </si>
  <si>
    <t>divask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</si>
  <si>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DKL0711638410B1</t>
  </si>
  <si>
    <t>Divask 10 mg 10 Tablet</t>
  </si>
  <si>
    <t>Rp166.800 - Rp203.200</t>
  </si>
  <si>
    <t>dilavask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</si>
  <si>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DKL1035306910A1</t>
  </si>
  <si>
    <t>Gracivask 5 mg 10 Tablet</t>
  </si>
  <si>
    <t>Rp65.200 - Rp81.800</t>
  </si>
  <si>
    <t>cardisan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</si>
  <si>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intervask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</si>
  <si>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DKL0822244610B1</t>
  </si>
  <si>
    <t>Cardisan 10 mg 10 Tablet</t>
  </si>
  <si>
    <t>Rp104.500 - Rp153.500</t>
  </si>
  <si>
    <t>amcor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</si>
  <si>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theravask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</si>
  <si>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DKL0828403310A1</t>
  </si>
  <si>
    <t>Hexavask 5 mg 10 Tablet</t>
  </si>
  <si>
    <t>Rp10.200 - Rp16.600</t>
  </si>
  <si>
    <t>Omega Galaxy Big Eyes Black Stone 2 Color Soft Lens Minus</t>
  </si>
  <si>
    <t>Softlens Minus Omega Galaxy Big Eyes untuk penggunaan 6 Bulan. Spesifikasi Produk: Base Curve: 8.60 Diameter: 14.8 mm Kadar Air/Water Content: 65% Masa Pakai/Recommended Usage: 6 Bulan/Monthly Warna/Color: Black Stone Ukuran/Power Range: -0.50 s/d -10.00 (step 0.25) Isi/Content: 2 buah (1 pasang)</t>
  </si>
  <si>
    <t>softlens minus omega galaxy big eyes penggunaan 6 bulan  spesifikasi produk base curve 8  60 diameter 14  8 mm kadar air water content 65 masa pakai recommended usage 6 bulan monthly warna color black stone ukuran power range - 0  50 s d - 10  00 step 0  25 isi content 2 buah 1 pasang</t>
  </si>
  <si>
    <t>omega galaxy big eyes black stone color soft lens minus</t>
  </si>
  <si>
    <t>omega galaxy big eyes black stone color soft lens minus tablet kombinasivalsartan blend 32 softlens minus omega galaxy big eyes penggunaan 6 bulan  spesifikasi produk base curve 8  60 diameter 14  8 mm kadar air water content 65 masa pakai recommended usage 6 bulan monthly warna color black stone ukuran power range  0  50 s d  10  00 step 0  25 isi content 2 buah 1 pasang</t>
  </si>
  <si>
    <t>DKL9619803410B1</t>
  </si>
  <si>
    <t>Norvask 10 mg 10 Tablet</t>
  </si>
  <si>
    <t>Rp141.400 - Rp192.000</t>
  </si>
  <si>
    <t>norvask</t>
  </si>
  <si>
    <t>norvask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</si>
  <si>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DKL0833520210B1</t>
  </si>
  <si>
    <t>Amlocor 10 mg 10 Tablet</t>
  </si>
  <si>
    <t>Rp70.600 - Rp133.400</t>
  </si>
  <si>
    <t>amlocor</t>
  </si>
  <si>
    <t>amlocor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</si>
  <si>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BC Be Seen Rainbow Bloom Blue 2 Color Softlens Minus</t>
  </si>
  <si>
    <t>Softlens BC BEE SEEN RAINBOW BLOOM untuk penggunaan 6 Bulan. Spesifikasi Produk: Base Curve: 8.6 mm Diameter: 16.5 mm Kadar Air/Water Content: 60% Masa Pakai/Recommended Usage: 6 Bulan/Monthly Warna/Color: Warna Blue Ukuran/Power Range: -0.5 s/d -6.00 (Step 0.25) Isi/Content: 2 buah (1 pasang)</t>
  </si>
  <si>
    <t>softlens bc bee seen rainbow bloom penggunaan 6 bulan  spesifikasi produk base curve 8  6 mm diameter 16  5 mm kadar air water content 60 masa pakai recommended usage 6 bulan monthly warna color warna blue ukuran power range - 0  5 s d - 6  00 step 0  25 isi content 2 buah 1 pasang</t>
  </si>
  <si>
    <t>bc be seen rainbow bloom blue color softlens minus</t>
  </si>
  <si>
    <t>bc be seen rainbow bloom blue color softlens minus tablet kombinasivalsartan blend 32 softlens bc bee seen rainbow bloom penggunaan 6 bulan  spesifikasi produk base curve 8  6 mm diameter 16  5 mm kadar air water content 60 masa pakai recommended usage 6 bulan monthly warna color warna blue ukuran power range  0  5 s d  6  00 step 0  25 isi content 2 buah 1 pasang</t>
  </si>
  <si>
    <t>Chibi Brown 2 Color Softlens Minus</t>
  </si>
  <si>
    <t>Rp44.800 - Rp125.000</t>
  </si>
  <si>
    <t>Softlens Chibi untuk penggunaan 6 Bulan. Spesifikasi Produk: Base Curve: 8.6 mm Diameter: 14.5 mm Kadar Air/Water Content: 55 % Masa Pakai/Recommended Usage: 6 Bulan/Monthly Warna/Color: Brown Ukuran/Power Range: -0.50 s/d -3.00 (steps 0.25) -3.00 s/d -6.00 (steps 0.50) Isi/Content: 2 buah (1 pasang).</t>
  </si>
  <si>
    <t>softlens chibi penggunaan 6 bulan  spesifikasi produk base curve 8  6 mm diameter 14  5 mm kadar air water content 55 masa pakai recommended usage 6 bulan monthly warna color brown ukuran power range - 0  50 s d - 3  00 step 0  25 - 3  00 s d - 6  00 step 0  50 isi content 2 buah 1 pasang</t>
  </si>
  <si>
    <t>chibi brown color softlens minus</t>
  </si>
  <si>
    <t>chibi brown color softlens minus tablet kombinasivalsartan blend 32 softlens chibi penggunaan 6 bulan  spesifikasi produk base curve 8  6 mm diameter 14  5 mm kadar air water content 55 masa pakai recommended usage 6 bulan monthly warna color brown ukuran power range  0  50 s d  3  00 step 0  25  3  00 s d  6  00 step 0  50 isi content 2 buah 1 pasang</t>
  </si>
  <si>
    <t>DKL0704519610B1</t>
  </si>
  <si>
    <t>Theravask 10 mg 10 Tablet</t>
  </si>
  <si>
    <t>Rp55.400 - Rp83.300</t>
  </si>
  <si>
    <t>DKL0205014110B1</t>
  </si>
  <si>
    <t>Tensivask 10 mg 10 Tablet</t>
  </si>
  <si>
    <t>Rp125.700 - Rp161.200</t>
  </si>
  <si>
    <t>tensivask</t>
  </si>
  <si>
    <t>tensivask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</si>
  <si>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Freshkon Alluring Daily Mystical Black 10 Color Softlens Minus</t>
  </si>
  <si>
    <t>Rp139.700 - Rp162.400</t>
  </si>
  <si>
    <t>Softlens FRESHKON ALLURING EYES DAILY untuk penggunaan 1 Hari. Spesifikasi Produk: Base Curve: 8.5 mm Diameter: 14.2 mm Kadar Air/Water Content: 58% Masa Pakai/Recommended Usage: 1 Hari/Daily Warna/Color: Mystical Black Ukuran/Power Range: -0.50, -1.00 s/d -6.00 (steps 0.25) Isi/Content: 10 buah (5 pasang).</t>
  </si>
  <si>
    <t>softlens freshkon alluring eyes daily penggunaan 1 hari  spesifikasi produk base curve 8  5 mm diameter 14  2 mm kadar air water content 58 masa pakai recommended usage 1 hari daily warna color mystical black ukuran power range - 0  50 , - 1  00 s d - 6  00 step 0  25 isi content 10 buah 5 pasang</t>
  </si>
  <si>
    <t>freshkon alluring daily mystical black color softlens minus</t>
  </si>
  <si>
    <t>freshkon alluring daily mystical black color softlens minus tablet kombinasivalsartan blend 32 softlens freshkon alluring eyes daily penggunaan 1 hari  spesifikasi produk base curve 8  5 mm diameter 14  2 mm kadar air water content 58 masa pakai recommended usage 1 hari daily warna color mystical black ukuran power range  0  50   1  00 s d  6  00 step 0  25 isi content 10 buah 5 pasang</t>
  </si>
  <si>
    <t>DKL9405014110A1</t>
  </si>
  <si>
    <t>Tensivask 5 mg 10 Tablet</t>
  </si>
  <si>
    <t>Rp70.000 - Rp82.000</t>
  </si>
  <si>
    <t>DKL9219803410A1</t>
  </si>
  <si>
    <t>Norvask 5 mg 10 Tablet</t>
  </si>
  <si>
    <t>Rp78.900 - Rp121.900</t>
  </si>
  <si>
    <t>PENGGUNAAN OBAT INI HARUS SESUAI DENGAN PETUNJUK DOKTER. Dewasa: Hipertensi dan angina: Dosis awal 1 x sehari 5 mg, dapat ditingkatkan hingga dosis max.10 mg. Anak usia 6-17 tahun: Dosis awal 1 x sehari 2,5 mg , dapat ditingkatkan menjadi 5 mg sekali sehari setelah interval 4 minggu sesuai dengan respons klinis. Lansia: Dosis awal 2,5 mg sekali sehari.</t>
  </si>
  <si>
    <t>DKL1005515210B1</t>
  </si>
  <si>
    <t>Actapin 10 mg 10 Tablet</t>
  </si>
  <si>
    <t>Rp23.900 - Rp93.800</t>
  </si>
  <si>
    <t>actapin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</si>
  <si>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DKL1009220504A1</t>
  </si>
  <si>
    <t>Zevask 5 mg 10 Tablet</t>
  </si>
  <si>
    <t>Rp2.600 - Rp12.200</t>
  </si>
  <si>
    <t>zevask</t>
  </si>
  <si>
    <t>zevask kaplet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</si>
  <si>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DKL1309223204A1</t>
  </si>
  <si>
    <t>Zevask 10 mg 10 Kaplet</t>
  </si>
  <si>
    <t>Rp4.100 - Rp17.300</t>
  </si>
  <si>
    <t>DKL1021016510B1</t>
  </si>
  <si>
    <t>Lodipas 10 mg 6 Tablet</t>
  </si>
  <si>
    <t>Rp37.000 - Rp71.000</t>
  </si>
  <si>
    <t>lodipas</t>
  </si>
  <si>
    <t>lodipas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</si>
  <si>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DKL1021016510A1</t>
  </si>
  <si>
    <t>Lodipas 5 mg 6 Tablet</t>
  </si>
  <si>
    <t>Rp22.800 - Rp41.700</t>
  </si>
  <si>
    <t>DKL0708014204A1</t>
  </si>
  <si>
    <t>Lopiten 10 mg 10 Kaplet</t>
  </si>
  <si>
    <t>lopiten</t>
  </si>
  <si>
    <t>lopiten kaplet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</si>
  <si>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DKL0808014210B1</t>
  </si>
  <si>
    <t>Lopiten 5 mg 10 Kaplet</t>
  </si>
  <si>
    <t>Rp63.100 - Rp81.900</t>
  </si>
  <si>
    <t>lopiten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</si>
  <si>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DKL0702339510A1</t>
  </si>
  <si>
    <t>Lovask 5 mg 10 Tablet</t>
  </si>
  <si>
    <t>Rp53.900 - Rp78.200</t>
  </si>
  <si>
    <t>lovask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</si>
  <si>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DKL1018823710B1</t>
  </si>
  <si>
    <t>Opivask 10 mg 10 Tablet</t>
  </si>
  <si>
    <t>Rp106.700 - Rp156.500</t>
  </si>
  <si>
    <t>opivask</t>
  </si>
  <si>
    <t>opivask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</si>
  <si>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DKL1321907404A1</t>
  </si>
  <si>
    <t>Samcovask 5 mg 10 Tablet</t>
  </si>
  <si>
    <t>Rp3.600 - Rp31.100</t>
  </si>
  <si>
    <t>Dapat diminum sebelum atau setelah makan.</t>
  </si>
  <si>
    <t>samcovask kaplet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</si>
  <si>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DKL1019615410B1</t>
  </si>
  <si>
    <t>Stamotens 10 mg Tablet</t>
  </si>
  <si>
    <t>Rp6.400 - Rp13.600</t>
  </si>
  <si>
    <t>stamotens</t>
  </si>
  <si>
    <t>stamotens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</si>
  <si>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DKL1127805910A1</t>
  </si>
  <si>
    <t>Amlogal 5 mg 10 Tablet</t>
  </si>
  <si>
    <t>Rp23.600 - Rp38.000</t>
  </si>
  <si>
    <t>amlogal</t>
  </si>
  <si>
    <t>amlogal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</si>
  <si>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DKL0918216310A1</t>
  </si>
  <si>
    <t>Vasgard 5 mg 10 Tablet</t>
  </si>
  <si>
    <t>Rp57.400 - Rp64.000</t>
  </si>
  <si>
    <t>vasgard</t>
  </si>
  <si>
    <t>vasgard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</si>
  <si>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DKL1019615410A1</t>
  </si>
  <si>
    <t>Stamotens 5 mg 10 Tablet</t>
  </si>
  <si>
    <t>Rp47.800 - Rp78.300</t>
  </si>
  <si>
    <t>DKL0833520210A1</t>
  </si>
  <si>
    <t>Amlocor 5 mg 10 Tablet</t>
  </si>
  <si>
    <t>Rp49.400 - Rp76.400</t>
  </si>
  <si>
    <t>GKL0708513910A1</t>
  </si>
  <si>
    <t>Amlodipine 5 mg 10 Tablet</t>
  </si>
  <si>
    <t>Rp2.300 - Rp14.800</t>
  </si>
  <si>
    <t>INFORMASI OBAT INI HANYA UNTUK KALANGAN MEDIS. Amlodipine diindikasikan untuk pengobatan lini pertama hipertensi dan dapat digunakan sebagai agen tunggal untuk mengontrol tekanan darah pada sebagian besar pasien. Pasien yang tidak cukup terkontrol dengan obat antihipertensi tunggal (selain amlodipin) dapat memperoleh manfaat dari penambahan amlodipin, yang telah digunakan dalam kombinasi dengan diuretik thiazide, blocker, adrenoceptor blocking agent, atau ACE inhibitor. Pengobatan lini pertama iskemia miokard baik karena obstruksi tetap (angina stabil) dan atau vasospasme/vasokonstriksi (angina Prinzmetal atau varian) atau pembuluh darah koroner. Dapat digunakan jika presentasi klinis menunjukkan kemungkinan vasospastik/vasokonstriksi belum dikonfirmasi. Sebagai monoterapi atau kombinasi dengan obat antiangina lain pada pasien dengan angina yang refrakter terhadap nitrat dan atau penyekat dosis memadai.</t>
  </si>
  <si>
    <t>amlodipine diindikasikan pengobatan lini hipertensi agen tunggal mengontrol tekanan darah pasien  pasien tidak terkontrol obat antihipertensi tunggal amlodipin memperoleh manfaat penambahan amlodipin , kombinasi diuretik thiazide , blocker , adrenoceptor blocking agent ,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</si>
  <si>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amlodipine tablet amlodipine besilate amlodipine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</si>
  <si>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DKL0813313810B1</t>
  </si>
  <si>
    <t>A-B Vask 10 mg 10 Tablet</t>
  </si>
  <si>
    <t>Rp116.800 - Rp166.500</t>
  </si>
  <si>
    <t>ab vask</t>
  </si>
  <si>
    <t>ab vask tablet amlodipine besilate diindikasikan pengobatan lini hipertensi agen tunggal mengontrol teka darah pasien  pasien tidak terkontrol obat antihipertensi tunggal amlodipin memperoleh manfaat penambahan amlodipin  kombinasi diuretik thiazide  blocker  adrenoceptor blocking agent  ace inhibitor  pengobatan lini iskemia miokard obstruksi angina stabil vasospasme vasokonstriksi angina prinzmetal varian pembuluh darah koroner  dapat presentasi klinis vasospastik vasokonstriksi dikonfirmasi  sebagai monoterapi kombinasi obat antiangina pasien angina refrakter nitrat penyekat dosis memadai</t>
  </si>
  <si>
    <t>She Super Star Amber 2 Color Softlens Minus</t>
  </si>
  <si>
    <t>Rp61.600 - Rp67.200</t>
  </si>
  <si>
    <t>Softlens SHE SUPER STAR untuk penggunaan 6 Bulan. Spesifikasi Produk: Base Curve: 8.6 mm Diameter: 15 mm Kadar Air/Water Content: 55% Masa Pakai/Recommended Usage: 6 Bulan/Monthly Warna/Color: Amber Ukuran/Power Range: -0.50 to -4.00 (steps 0.25) -4.00 to -6.00 (steps 0.50) Isi/Content: 2 buah (1 pasang).</t>
  </si>
  <si>
    <t>softlens she super star penggunaan 6 bulan  spesifikasi produk base curve 8  6 mm diameter 15 mm kadar air water content 55 masa pakai recommended usage 6 bulan monthly warna color amber ukuran power range - 0  50 to - 4  00 step 0  25 - 4  00 to - 6  00 step 0  50 isi content 2 buah 1 pasang</t>
  </si>
  <si>
    <t>she super star amber color softlens minus</t>
  </si>
  <si>
    <t>she super star amber color softlens minus tablet kombinasivalsartan blend 32 softlens she super star penggunaan 6 bulan  spesifikasi produk base curve 8  6 mm diameter 15 mm kadar air water content 55 masa pakai recommended usage 6 bulan monthly warna color amber ukuran power range  0  50 to  4  00 step 0  25  4  00 to  6  00 step 0  50 isi content 2 buah 1 pasang</t>
  </si>
  <si>
    <t>DKL0813313810A1</t>
  </si>
  <si>
    <t>A-B Vask 5 mg 10 Tablet</t>
  </si>
  <si>
    <t>Rp50.900 - Rp93.700</t>
  </si>
  <si>
    <t>GKL0708513910B1</t>
  </si>
  <si>
    <t>Amlodipine 10 mg 10 Tablet</t>
  </si>
  <si>
    <t>Rp2.000 - Rp26.400</t>
  </si>
  <si>
    <t>Omega Oxi-Five 6 Clear Softlens Minus</t>
  </si>
  <si>
    <t>Rp107.600 - Rp201.600</t>
  </si>
  <si>
    <t>SoftlensOMEGA OXI-FIVE untuk penggunaan 1 Bulan. Spesifikasi Produk: Base Curve: 8.60 Diameter: 14.30 mm Kadar Air/Water Content: 55% Masa Pakai/Recommended Usage: 1 Bulan/Monthly Warna/Color: Bening/Clear Ukuran/Power Range: -0.50 s/d -6.00 (steps 0.25) -6.00 s/d -10.00 (steps 0.50) Isi/Content: 6 buah (3 pasang)</t>
  </si>
  <si>
    <t>softlensomega oxi - five penggunaan 1 bulan  spesifikasi produk base curve 8  60 diameter 14  30 mm kadar air water content 55 masa pakai recommended usage 1 bulan monthly warna color bening clear ukuran power range - 0  50 s d - 6  00 step 0  25 - 6  00 s d - 10  00 step 0  50 isi content 6 buah 3 pasang</t>
  </si>
  <si>
    <t>omega oxifive clear softlens minus</t>
  </si>
  <si>
    <t>omega oxifive clear softlens minus tablet kombinasivalsartan blend 32 softlensomega oxi  five penggunaan 1 bulan  spesifikasi produk base curve 8  60 diameter 14  30 mm kadar air water content 55 masa pakai recommended usage 1 bulan monthly warna color bening clear ukuran power range  0  50 s d  6  00 step 0  25  6  00 s d  10  00 step 0  50 isi content 6 buah 3 pasang</t>
  </si>
  <si>
    <t>TI024305351</t>
  </si>
  <si>
    <t>Nature's Health Noni 500 mg 30 Kapsul</t>
  </si>
  <si>
    <t>NATURE`S HEALTH NONI CAPSULE</t>
  </si>
  <si>
    <t>Rp158.600 - Rp279.500</t>
  </si>
  <si>
    <t>1 - 2 kapsul per hari</t>
  </si>
  <si>
    <t>Membantu mentimulasi sistim imunitas. Meningkatkan energi, stamina dan ketahanan tubuh. Sebagai analgesik membantu menghilangkan rasa sakit atau nyeri, sehingga dapat dikonsumsi oleh penderita rheumatik dengan mengurangi peradangan dan menguatkan tulang serta ligamentum. Membantu menjaga kesehatan alat reproduksi pria dan wanita, membantu bagi yang impotensi, kesuburan dan wanita yang sakit kala menstruasi. Memperbaiki gangguan struktur protein dan regenerasi sel-sel yang rusak. Menjaga kesehatan serta masalah pencernaan dan pernafasan. Sebagai antioksidan alami, membantu kerja ginjal untuk meningkatkan pengeluaran urin yang mengandung toksin dari tubuh.</t>
  </si>
  <si>
    <t>nature`s health noni capsule</t>
  </si>
  <si>
    <t>membantu mentimulasi sistim imunitas  meningkatkan energi , stamen ketahanan tubuh  sebagai analgesik membantu menghilangkan sakit nyeri , dikonsumsi penderita rheumatik mengurangi peradangan menguatkan tulang ligamentum  membantu menjaga kesehatan alat reproduksi pria wanita , membantu impotensi , kesuburan wanita sakit menstruasi  memperbaiki gangguan struktur protein regenerasi sel - sel rusak  menjaga kesehatan pencernaan pernafasan  sebagai antioksidan alami , membantu kerja ginjal meningkatkan pengeluaran urin mengandung toksin tubuh</t>
  </si>
  <si>
    <t>natures health noni</t>
  </si>
  <si>
    <t>natures health noni kapsul natures health noni capsule membantu mentimulasi sistim imunitas  meningkatkan energi  stamen ketaha tubuh  sebagai analgesik membantu menghilangkan sakit nyeri  dikonsumsi penderita rheumatik mengurangi peradangan menguatkan tulang ligamentum  membantu menjaga kesehatan alat reproduksi pria wanita  membantu impotensi  kesuburan wanita sakit menstruasi  memperbaiki gangguan struktur protein regenerasi sel  sel rusak  menjaga kesehatan pencernaan pernafasan  sebagai antioksidan alami  membantu kerja ginjal meningkatkan pengeluaran urin mengandung toksin tubuh</t>
  </si>
  <si>
    <t>Miacare Deligth Daily 20 Clear Softlens Minus</t>
  </si>
  <si>
    <t>Softlens Minus Miacare Delight Daily untuk penggunaan Harian. Spesifikasi Produk: Base Curve: 8.7 Diameter: 14.1 mm Kadar Air/Water Content: 47% Masa Pakai/Recommended Usage: Harian Warna/Color: Clear / Bening Ukuran/Power Range: -1.0 s/d -6.00 (Step 0.25) -6.50 s/d -12.00 (Step 0.50) Isi/Content: 20 buah (10 pasang)</t>
  </si>
  <si>
    <t>Box @ 20 Soft Contact Lens</t>
  </si>
  <si>
    <t>softlens minus miacare delight daily penggunaan harian  spesifikasi produk base curve 8  7 diameter 14  1 mm kadar air water content 47 masa pakai recommended usage harian warna color clear bening ukuran power range - 1  0 s d - 6  00 step 0  25 - 6  50 s d - 12  00 step 0  50 isi content 20 buah 10 pasang</t>
  </si>
  <si>
    <t>miacare deligth daily clear softlens minus</t>
  </si>
  <si>
    <t>miacare deligth daily clear softlens minus tablet kombinasivalsartan blend 32 softlens minus miacare delight daily penggunaan harian  spesifikasi produk base curve 8  7 diameter 14  1 mm kadar air water content 47 masa pakai recommended usage harian warna color clear bening ukuran power range  1  0 s d  6  00 step 0  25  6  50 s d  12  00 step 0  50 isi content 20 buah 10 pasang</t>
  </si>
  <si>
    <t>Miacare Deligth Monthly 2 Clear Softlens Minus</t>
  </si>
  <si>
    <t>Softlens Minus Miacare Delight Monthly untuk penggunaan Harian. Spesifikasi Produk: Base Curve: 8.7 Diameter: 14.0 mm Kadar Air/Water Content: 47% Masa Pakai/Recommended Usage: Bulanan Warna/Color: Clear / Bening Ukuran/Power Range: -1.0 s/d -6.00 (Step 0.25) -6.50 s/d -12.00 (Step 0.50) Isi/Content : 2 buah (1 pasang)</t>
  </si>
  <si>
    <t>softlens minus miacare delight monthly penggunaan harian  spesifikasi produk base curve 8  7 diameter 14  0 mm kadar air water content 47 masa pakai recommended usage bulanan warna color clear bening ukuran power range - 1  0 s d - 6  00 step 0  25 - 6  50 s d - 12  00 step 0  50 isi content 2 buah 1 pasang</t>
  </si>
  <si>
    <t>miacare deligth monthly clear softlens minus</t>
  </si>
  <si>
    <t>miacare deligth monthly clear softlens minus tablet kombinasivalsartan blend 32 softlens minus miacare delight monthly penggunaan harian  spesifikasi produk base curve 8  7 diameter 14  0 mm kadar air water content 47 masa pakai recommended usage bula warna color clear bening ukuran power range  1  0 s d  6  00 step 0  25  6  50 s d  12  00 step 0  50 isi content 2 buah 1 pasang</t>
  </si>
  <si>
    <t>BC Be Seen Next Generation Jazz Violet 2 Color Softlens Minus</t>
  </si>
  <si>
    <t>Rp67.200 - Rp95.200</t>
  </si>
  <si>
    <t>Softlens Minus BC Be Seen Next Generation untuk penggunaan 6 Bulan. Spesifikasi Produk: Base Curve: 8.60 Diameter: 14.5 mm Kadar Air/Water Content: 60% Masa Pakai/Recommended Usage: 6 Bulan/Monthly Warna/Color: Jazz Violet Ukuran/Power Range: -00.50 s/d -06.00 dengan kelipatan 0.25 Isi/Content: 2 buah (1 pasang)</t>
  </si>
  <si>
    <t>softlens minus bc be seen next generation penggunaan 6 bulan  spesifikasi produk base curve 8  60 diameter 14  5 mm kadar air water content 60 masa pakai recommended usage 6 bulan monthly warna color jazz violet ukuran power range - 00  50 s d - 06  00 kelipatan 0  25 isi content 2 buah 1 pasang</t>
  </si>
  <si>
    <t>bc be seen next generation jazz violet color softlens minus</t>
  </si>
  <si>
    <t>bc be seen next generation jazz violet color softlens minus tablet kombinasivalsartan blend 32 softlens minus bc be seen next generation penggunaan 6 bulan  spesifikasi produk base curve 8  60 diameter 14  5 mm kadar air water content 60 masa pakai recommended usage 6 bulan monthly warna color jazz violet ukuran power range  00  50 s d  06  00 kelipatan 0  25 isi content 2 buah 1 pasang</t>
  </si>
  <si>
    <t>Avaira Vitality 6 Clear Softlens Minus</t>
  </si>
  <si>
    <t>Rp200.000 - Rp395.000</t>
  </si>
  <si>
    <t>Softlens Minus Avaira Vitality 6 Clear untuk penggunaan Harian. Spesifikasi Produk: Base Curve: 8.4 mm Diameter: 14.20 mm Kadar Air/Water Content: 55% Masa Pakai/Recommended Usage: Harian Warna/Color: Clear Ukuran/Power Range: -0.50 s/d -6.00 (Step 0.25) -6.50 s/d -12.00 (Step 0.50) Isi/Content: 6 buah (3 pasang)</t>
  </si>
  <si>
    <t>softlens minus avaira vitality 6 clear penggunaan harian  spesifikasi produk base curve 8  4 mm diameter 14  20 mm kadar air water content 55 masa pakai recommended usage harian warna color clear ukuran power range - 0  50 s d - 6  00 step 0  25 - 6  50 s d - 12  00 step 0  50 isi content 6 buah 3 pasang</t>
  </si>
  <si>
    <t>avaira vitality clear softlens minus</t>
  </si>
  <si>
    <t>avaira vitality clear softlens minus tablet kombinasivalsartan blend 32 softlens minus avaira vitality 6 clear penggunaan harian  spesifikasi produk base curve 8  4 mm diameter 14  20 mm kadar air water content 55 masa pakai recommended usage harian warna color clear ukuran power range  0  50 s d  6  00 step 0  25  6  50 s d  12  00 step 0  50 isi content 6 buah 3 pasang</t>
  </si>
  <si>
    <t>She Super Star Lyra 2 Color Softlens Minus</t>
  </si>
  <si>
    <t>Softlens SHE SUPER STAR untuk penggunaan 6 Bulan. Spesifikasi Produk: Base Curve: 8.6 mm Diameter: 15 mm Kadar Air/Water Content: 55% Masa Pakai/Recommended Usage: 6 Bulan/Monthly Warna/Color: Lyra Ukuran/Power Range: -0.50 to -4.00 (steps 0.25) -4.00 to -6.00 (steps 0.50) Isi/Content: 2 buah (1 pasang).</t>
  </si>
  <si>
    <t>softlens she super star penggunaan 6 bulan  spesifikasi produk base curve 8  6 mm diameter 15 mm kadar air water content 55 masa pakai recommended usage 6 bulan monthly warna color lyra ukuran power range - 0  50 to - 4  00 step 0  25 - 4  00 to - 6  00 step 0  50 isi content 2 buah 1 pasang</t>
  </si>
  <si>
    <t>she super star lyra color softlens minus</t>
  </si>
  <si>
    <t>she super star lyra color softlens minus tablet kombinasivalsartan blend 32 softlens she super star penggunaan 6 bulan  spesifikasi produk base curve 8  6 mm diameter 15 mm kadar air water content 55 masa pakai recommended usage 6 bulan monthly warna color lyra ukuran power range  0  50 to  4  00 step 0  25  4  00 to  6  00 step 0  50 isi content 2 buah 1 pasang</t>
  </si>
  <si>
    <t>Freshkon Maschera Jade 2 Color Softlens Minus</t>
  </si>
  <si>
    <t>Rp123.200 - Rp140.000</t>
  </si>
  <si>
    <t>Softlens FRESHKON MASCHERA untuk penggunaan 1 Bulan. Spesifikasi Produk: Base Curve: 8.6 mm Diameter: 14.2 mm Kadar Air/Water Content: 55% Masa Pakai/Recommended Usage: 1 Bulan/Monthly Warna/Color: Maschera Jade Ukuran/Power Range: -1.00 to -5.00 (0.25 steps) -5.50 to -8.00 (0.50 steps) Isi/Content: 2 buah (1 pasang).</t>
  </si>
  <si>
    <t>softlens freshkon maschera penggunaan 1 bulan  spesifikasi produk base curve 8  6 mm diameter 14  2 mm kadar air water content 55 masa pakai recommended usage 1 bulan monthly warna color maschera jade ukuran power range - 1  00 to - 5  00 0  25 step - 5  50 to - 8  00 0  50 step isi content 2 buah 1 pasang</t>
  </si>
  <si>
    <t>freshkon maschera jade color softlens minus</t>
  </si>
  <si>
    <t>freshkon maschera jade color softlens minus tablet kombinasivalsartan blend 32 softlens freshkon maschera penggunaan 1 bulan  spesifikasi produk base curve 8  6 mm diameter 14  2 mm kadar air water content 55 masa pakai recommended usage 1 bulan monthly warna color maschera jade ukuran power range  1  00 to  5  00 0  25 step  5  50 to  8  00 0  50 step isi content 2 buah 1 pasang</t>
  </si>
  <si>
    <t>Eyelovin Mite Clair Pure Moist Juno Brown 2 Color Softlens Minus</t>
  </si>
  <si>
    <t>Eyelovin Mite Clair Pure Moist Juno Brown 2 Color Softlens Minus untuk penggunaan maksimal 3 Bulan. Spesifikasi Produk: Base Curve: 8.6 mm Diameter: 14.8 mm Kadar Air/Water Content: 48 % Masa Pakai/Recommended Usage: 3 Bulan/Monthly Varian: Gaia Gray Ukuran/Power Range: - 0.50 sd -10.00 Isi/Content: 2 buah (1 pasang)</t>
  </si>
  <si>
    <t>eyelovin mite clair pure moist juno brown 2 color softlens minus penggunaan maksimal 3 bulan  spesifikasi produk base curve 8  6 mm diameter 14  8 mm kadar air water content 48 masa pakai recommended usage 3 bulan monthly varian gaia gray ukuran power range - 0  50 sd - 10  00 isi content 2 buah 1 pasang</t>
  </si>
  <si>
    <t>eyelovin mite clair pure moist juno brown color softlens minus</t>
  </si>
  <si>
    <t>eyelovin mite clair pure moist juno brown color softlens minus tablet kombinasivalsartan blend 32 eyelovin mite clair pure moist juno brown 2 color softlens minus penggunaan maksimal 3 bulan  spesifikasi produk base curve 8  6 mm diameter 14  8 mm kadar air water content 48 masa pakai recommended usage 3 bulan monthly varian gaia gray ukuran power range  0  50 sd  10  00 isi content 2 buah 1 pasang</t>
  </si>
  <si>
    <t>Eyelovin Mite Clair Pure Moist Hera Brown 2 Color Softlens Minus</t>
  </si>
  <si>
    <t>Eyelovin Mite Clair Pure Moist Hera Brown 2 Color Softlens Minus untuk penggunaan maksimal 3 Bulan. Spesifikasi Produk: Base Curve: 8.6 mm Diameter: 14.2 mm Kadar Air/Water Content: 48 % Masa Pakai/Recommended Usage: 3 Bulan/Monthly Varian: Hera Brown Ukuran/Power Range: - 0.50 sd -10.00 Isi/Content: 2 buah (1 pasang)</t>
  </si>
  <si>
    <t>eyelovin mite clair pure moist hera brown 2 color softlens minus penggunaan maksimal 3 bulan  spesifikasi produk base curve 8  6 mm diameter 14  2 mm kadar air water content 48 masa pakai recommended usage 3 bulan monthly varian hera brown ukuran power range - 0  50 sd - 10  00 isi content 2 buah 1 pasang</t>
  </si>
  <si>
    <t>eyelovin mite clair pure moist hera brown color softlens minus</t>
  </si>
  <si>
    <t>eyelovin mite clair pure moist hera brown color softlens minus tablet kombinasivalsartan blend 32 eyelovin mite clair pure moist hera brown 2 color softlens minus penggunaan maksimal 3 bulan  spesifikasi produk base curve 8  6 mm diameter 14  2 mm kadar air water content 48 masa pakai recommended usage 3 bulan monthly varian hera brown ukuran power range  0  50 sd  10  00 isi content 2 buah 1 pasang</t>
  </si>
  <si>
    <t>TI114545221</t>
  </si>
  <si>
    <t>Nature's Health Garlite 500 mg 60 Tablet</t>
  </si>
  <si>
    <t>NATURES HEALTH ULTRA GARLITE</t>
  </si>
  <si>
    <t>Rp367.700 - Rp443.100</t>
  </si>
  <si>
    <t>Sebagai antioksidan dan menjaga kesehatan dinding pembuluh darah. Membantu menurunkan tekanan darah, mencegah penggumpalan darah dan memperbaiki sirkulasi darah sehingga mencegah penyakit jantung. Membantu menurunkan hiperkolesteroemia, LDL, dan trigliserida. Meningkatkan sistem imunitas, sebagai antibiotik alami dan banyak dipakai untuk mencegah infeksi bakteri, jamur dan virus. Menjaga kesehatan pencernaan kadar gula darah dan menghambat pertumbuhan bakteri Helicobacter pylori yang menyebabkan ulkus pada sistem pencernaan.&lt; Membantu pengobatan artherosklerosis, arthritis, asma, flu, gangguan hati, insomnia, dan sinusitis.</t>
  </si>
  <si>
    <t>Tidak dianjurkan untuk Ibu yang sedang menyusui karena dapat menyebabkan kolik pada bayi</t>
  </si>
  <si>
    <t>natures health ultra garlite</t>
  </si>
  <si>
    <t>sebagai antioksidan menjaga kesehatan dinding pembuluh darah  membantu menurunkan tekanan darah , mencegah penggumpalan darah memperbaiki sirkulasi darah mencegah penyakit jantung  membantu menurunkan hiperkolesteroemia , ldl , trigliserida  meningkatkan sistem imunitas , antibiotik alami dipakai mencegah infeksi bakteri , jamur virus  menjaga kesehatan pencernaan kadar gula darah menghambat pertumbuhan bakteri helicobacter pylorus menyebabkan ulkus sistem pencernaan  membantu pengobatan artherosklerosis , arthritis , asma , flu , gangguan hati , insomnia , sinusitis</t>
  </si>
  <si>
    <t>natures health garlite</t>
  </si>
  <si>
    <t>natures health garlite tablet natures health ultra garlite sebagai antioksidan menjaga kesehatan dinding pembuluh darah  membantu menurunkan teka darah  mencegah penggumpalan darah memperbaiki sirkulasi darah mencegah penyakit jantung  membantu menurunkan hiperkolesteroemia  ldl  trigliserida  meningkatkan sistem imunitas  antibiotik alami dipakai mencegah infeksi bakteri  jamur virus  menjaga kesehatan pencernaan kadar gula darah menghambat pertumbuhan bakteri helicobacter pylorus menyebabkan ulkus sistem pencernaan  membantu pengobatan artherosklerosis  arthritis  asma  flu  gangguan hati  insomnia  sinusitis</t>
  </si>
  <si>
    <t>Eyelovin Mite Clair Pure Moist Gaia Brown 2 Color Softlens Minus</t>
  </si>
  <si>
    <t>Eyelovin Mite Clair Pure Moist Gaia Brown 2 Color Softlens Minus untuk penggunaan maksimal 3 Bulan. Spesifikasi Produk: Base Curve: 8.6 mm Diameter: 14.2 mm Kadar Air/Water Content: 48 % Masa Pakai/Recommended Usage: 3 Bulan/Monthly Varian: Gaia Brown Ukuran/Power Range: - 0.50 sd -10.00 Isi/Content: 2 buah (1 pasang)</t>
  </si>
  <si>
    <t>eyelovin mite clair pure moist gaia brown 2 color softlens minus penggunaan maksimal 3 bulan  spesifikasi produk base curve 8  6 mm diameter 14  2 mm kadar air water content 48 masa pakai recommended usage 3 bulan monthly varian gaia brown ukuran power range - 0  50 sd - 10  00 isi content 2 buah 1 pasang</t>
  </si>
  <si>
    <t>eyelovin mite clair pure moist gaia brown color softlens minus</t>
  </si>
  <si>
    <t>eyelovin mite clair pure moist gaia brown color softlens minus tablet kombinasivalsartan blend 32 eyelovin mite clair pure moist gaia brown 2 color softlens minus penggunaan maksimal 3 bulan  spesifikasi produk base curve 8  6 mm diameter 14  2 mm kadar air water content 48 masa pakai recommended usage 3 bulan monthly varian gaia brown ukuran power range  0  50 sd  10  00 isi content 2 buah 1 pasang</t>
  </si>
  <si>
    <t>Omega My Color Black 2 Color Softlens Minus</t>
  </si>
  <si>
    <t>Rp38.100 - Rp72.800</t>
  </si>
  <si>
    <t>Softlens OMEGA MY COLOR untuk penggunaan 3 Bulan. Spesifikasi Produk: Base Curve: 8.6 mm Diameter: 15 mm Kadar Air/Water Content: 43% Masa Pakai/Recommended Usage: 3 Bulan/3 Month Warna/Color: Black Ukuran/Power Range: -0.50 to -4.00 (0.25 steps) -4.00 to -6.00 (0.50 steps) Isi/Content: 2 buah (1 pasang).</t>
  </si>
  <si>
    <t>Botol @ 1 Soft Contact Lense.</t>
  </si>
  <si>
    <t>softlens omega my color penggunaan 3 bulan  spesifikasi produk base curve 8  6 mm diameter 15 mm kadar air water content 43 masa pakai recommended usage 3 bulan 3 month warna color black ukuran power range - 0  50 to - 4  00 0  25 step - 4  00 to - 6  00 0  50 step isi content 2 buah 1 pasang</t>
  </si>
  <si>
    <t>omega my color black color softlens minus</t>
  </si>
  <si>
    <t>omega my color black color softlens minus tablet kombinasivalsartan blend 32 softlens omega my color penggunaan 3 bulan  spesifikasi produk base curve 8  6 mm diameter 15 mm kadar air water content 43 masa pakai recommended usage 3 bulan 3 month warna color black ukuran power range  0  50 to  4  00 0  25 step  4  00 to  6  00 0  50 step isi content 2 buah 1 pasang</t>
  </si>
  <si>
    <t>Acuvue Moist 1 Day 30 Clear Softlens Minus</t>
  </si>
  <si>
    <t>Rp431.200 - Rp557.000</t>
  </si>
  <si>
    <t>Softlens Minus Acuvue Define 1 day untuk penggunaan Harian. Spesifikasi Produk: Base Curve: 8.5 Diameter: 14.20 mm. Kadar Air/Water Content: 58% Masa Pakai/Recommended Usage: Harian Warna/Color: Warna Radiant Sweet. Ukuran/Power Range: -0.50 s/d -6.00 (0.25 step) -6.50 s/d -12.00 (0.50 step) Isi/Content: 30 buah (15 pasang)</t>
  </si>
  <si>
    <t>softlens minus acuvue define 1 day penggunaan harian  spesifikasi produk base curve 8  5 diameter 14  20 mm  kadar air water content 58 masa pakai recommended usage harian warna color warna radiant sweet  ukuran power range - 0  50 s d - 6  00 0  25 step - 6  50 s d - 12  00 0  50 step isi content 30 buah 15 pasang</t>
  </si>
  <si>
    <t>acuvue moist day clear softlens minus</t>
  </si>
  <si>
    <t>acuvue moist day clear softlens minus tablet kombinasivalsartan blend 32 softlens minus acuvue define 1 day penggunaan harian  spesifikasi produk base curve 8  5 diameter 14  20 mm  kadar air water content 58 masa pakai recommended usage harian warna color warna radiant sweet  ukuran power range  0  50 s d  6  00 0  25 step  6  50 s d  12  00 0  50 step isi content 30 buah 15 pasang</t>
  </si>
  <si>
    <t>Options Colors Rusian Grey Softlens Natural Beauty Eyestyling Minus</t>
  </si>
  <si>
    <t>Options Colors Rusian Grey Softlens Natural Beauty Eyestyling Minus untuk penggunaan 6 Bulan. Spesifikasi Produk: Base Curve: 8.6 mm Diameter: 14.2 mm Kadar Air/Water Content: 43% Masa Pakai/Recommended Usage: 6 Bulan/Monthly Warna/Color: Warna Grey Ukuran/Power Range: -0.5 s/d -6.00 (Step 0.25) Isi/Content: 2 buah (1 pasang)</t>
  </si>
  <si>
    <t>options colors rusian grey softlens natural beauty eyestyling minus penggunaan 6 bulan  spesifikasi produk base curve 8  6 mm diameter 14  2 mm kadar air water content 43 masa pakai recommended usage 6 bulan monthly warna color warna grey ukuran power range - 0  5 s d - 6  00 step 0  25 isi content 2 buah 1 pasang</t>
  </si>
  <si>
    <t>options colors rusian grey softlens natural beauty eyestyling minus</t>
  </si>
  <si>
    <t>options colors rusian grey softlens natural beauty eyestyling minus tablet kombinasivalsartan blend 32 options colors rusian grey softlens natural beauty eyestyling minus penggunaan 6 bulan  spesifikasi produk base curve 8  6 mm diameter 14  2 mm kadar air water content 43 masa pakai recommended usage 6 bulan monthly warna color warna grey ukuran power range  0  5 s d  6  00 step 0  25 isi content 2 buah 1 pasang</t>
  </si>
  <si>
    <t>Eyesight EOS Coco Gray Softlens Minus</t>
  </si>
  <si>
    <t>Eyesight EOS Coco Gray Softlens Minus untuk penggunaan maksimal selama 6 Bulan. Spesifikasi Produk: Base Curve: 8.7 mm Diameter: 14.2 mm Kadar Air/Water Content: 38 % Masa Pakai/Recommended Usage: 6 Bulan/Monthly Varian: Gray Ukuran/Power Range: -0.50 sd -5.00 (step -0.25) -5.50 sd -10.00 (step -0.50) Isi/Content: 2 buah (1 pasang)</t>
  </si>
  <si>
    <t>eyesight eos coco gray softlens minus penggunaan maksimal 6 bulan  spesifikasi produk base curve 8  7 mm diameter 14  2 mm kadar air water content 38 masa pakai recommended usage 6 bulan monthly varian gray ukuran power range - 0  50 sd - 5  00 step - 0  25 - 5  50 sd - 10  00 step - 0  50 isi content 2 buah 1 pasang</t>
  </si>
  <si>
    <t>eyesight eos coco gray softlens minus</t>
  </si>
  <si>
    <t>eyesight eos coco gray softlens minus tablet kombinasivalsartan blend 32 eyesight eos coco gray softlens minus penggunaan maksimal 6 bulan  spesifikasi produk base curve 8  7 mm diameter 14  2 mm kadar air water content 38 masa pakai recommended usage 6 bulan monthly varian gray ukuran power range  0  50 sd  5  00 step  0  25  5  50 sd  10  00 step  0  50 isi content 2 buah 1 pasang</t>
  </si>
  <si>
    <t>Omega O2 Comfy 2 Clear Softlens Minus</t>
  </si>
  <si>
    <t>Rp60.400 - Rp179.900</t>
  </si>
  <si>
    <t>Softlens OMEGA O2 COMFY untuk penggunaan 1 Tahun. Spesifikasi Produk: Base Curve: 8.60 Diameter: 14.20 mm Kadar Air/Water Content: 55% Masa Pakai/Recommended Usage: 1 Tahun/Yearly Warna/Color: Bening/Clear Ukuran/Power Range: -0.50 s/d -5.00 (step 0.25) -5.00 s/d -10.00 (step 0.50) Isi/Content: 2 Botol (1 pasang)</t>
  </si>
  <si>
    <t>softlens omega o2 comfy penggunaan 1 tahun  spesifikasi produk base curve 8  60 diameter 14  20 mm kadar air water content 55 masa pakai recommended usage 1 tahun yearly warna color bening clear ukuran power range - 0  50 s d - 5  00 step 0  25 - 5  00 s d - 10  00 step 0  50 isi content 2 botol 1 pasang</t>
  </si>
  <si>
    <t>omega o comfy clear softlens minus</t>
  </si>
  <si>
    <t>omega o comfy clear softlens minus tablet kombinasivalsartan blend 32 softlens omega o2 comfy penggunaan 1 tahun  spesifikasi produk base curve 8  60 diameter 14  20 mm kadar air water content 55 masa pakai recommended usage 1 tahun yearly warna color bening clear ukuran power range  0  50 s d  5  00 step 0  25  5  00 s d  10  00 step 0  50 isi content 2 botol 1 pasang</t>
  </si>
  <si>
    <t>Newlook Wonder Black 2 Color Softlens Minus</t>
  </si>
  <si>
    <t>Softlens NEWLOOK WONDER untuk penggunaan 6 Bulan. Spesifikasi Produk: Base Curve: 8.6 mm Diameter: 14.2 mm Kadar Air/Water Content: 43% Masa Pakai/Recommended Usage: 3 Bulan/Monthly Warna/Color: Warna Black Ukuran/Power Range: -0.5 s/d -4.75 (Step 0.25) -5.00 s/d -8.00 (Step 0.50) Isi/Content: 2 buah (1 pasang)</t>
  </si>
  <si>
    <t>softlens newlook wonder penggunaan 6 bulan  spesifikasi produk base curve 8  6 mm diameter 14  2 mm kadar air water content 43 masa pakai recommended usage 3 bulan monthly warna color warna black ukuran power range - 0  5 s d - 4  75 step 0  25 - 5  00 s d - 8  00 step 0  50 isi content 2 buah 1 pasang</t>
  </si>
  <si>
    <t>newlook wonder black color softlens minus</t>
  </si>
  <si>
    <t>newlook wonder black color softlens minus tablet kombinasivalsartan blend 32 softlens newlook wonder penggunaan 6 bulan  spesifikasi produk base curve 8  6 mm diameter 14  2 mm kadar air water content 43 masa pakai recommended usage 3 bulan monthly warna color warna black ukuran power range  0  5 s d  4  75 step 0  25  5  00 s d  8  00 step 0  50 isi content 2 buah 1 pasang</t>
  </si>
  <si>
    <t>Starlet Ellegant Black 2 Color Softlens Minus</t>
  </si>
  <si>
    <t>Rp125.000 - Rp165.000</t>
  </si>
  <si>
    <t>Starlet Ellegant Black untuk penggunaan 6 Bulan. Spesifikasi Produk: Base Curve: 8.60 Diameter: 14.5 mm Kadar Air/Water Content: 60 % Masa Pakai/Recommended Usage: 6 Bulan/Monthly Warna/Color: Warna Hitam/Black Ukuran/Power Range: -0.50 s/d -5.00 (Step 0.25), -5.00 s/d -6.00 (Step 0.50) Isi/Content: 2 buah (1 pasang)</t>
  </si>
  <si>
    <t>Box @ 1 Pasang Softlens</t>
  </si>
  <si>
    <t>starlet ellegant black penggunaan 6 bulan  spesifikasi produk base curve 8  60 diameter 14  5 mm kadar air water content 60 masa pakai recommended usage 6 bulan monthly warna color warna hitam black ukuran power range - 0  50 s d - 5  00 step 0  25 , - 5  00 s d - 6  00 step 0  50 isi content 2 buah 1 pasang</t>
  </si>
  <si>
    <t>starlet ellegant black color softlens minus</t>
  </si>
  <si>
    <t>starlet ellegant black color softlens minus tablet kombinasivalsartan blend 32 starlet ellegant black penggunaan 6 bulan  spesifikasi produk base curve 8  60 diameter 14  5 mm kadar air water content 60 masa pakai recommended usage 6 bulan monthly warna color warna hitam black ukuran power range  0  50 s d  5  00 step 0  25   5  00 s d  6  00 step 0  50 isi content 2 buah 1 pasang</t>
  </si>
  <si>
    <t>Eyesight EOS Coco Brown Softlens Minus</t>
  </si>
  <si>
    <t>Eyesight EOS Coco Brown Softlens Minus untuk penggunaan maksimal selama 6 Bulan. Spesifikasi Produk: Base Curve: 8.7 mm Diameter: 14.2 mm Kadar Air/Water Content: 38 % Masa Pakai/Recommended Usage: 6 Bulan/Monthly Varian: Brown Ukuran/Power Range: -0.50 sd -5.00 (step -0.25) -5.50 sd -10.00 (step -0.50) Isi/Content: 2 buah (1 pasang)</t>
  </si>
  <si>
    <t>eyesight eos coco brown softlens minus penggunaan maksimal 6 bulan  spesifikasi produk base curve 8  7 mm diameter 14  2 mm kadar air water content 38 masa pakai recommended usage 6 bulan monthly varian brown ukuran power range - 0  50 sd - 5  00 step - 0  25 - 5  50 sd - 10  00 step - 0  50 isi content 2 buah 1 pasang</t>
  </si>
  <si>
    <t>eyesight eos coco brown softlens minus</t>
  </si>
  <si>
    <t>eyesight eos coco brown softlens minus tablet kombinasivalsartan blend 32 eyesight eos coco brown softlens minus penggunaan maksimal 6 bulan  spesifikasi produk base curve 8  7 mm diameter 14  2 mm kadar air water content 38 masa pakai recommended usage 6 bulan monthly varian brown ukuran power range  0  50 sd  5  00 step  0  25  5  50 sd  10  00 step  0  50 isi content 2 buah 1 pasang</t>
  </si>
  <si>
    <t>Seed 1 Day Pure Up 32 Clear Softlens Minus</t>
  </si>
  <si>
    <t>Softlens Seed 1 Day Pure UP untuk penggunaan harian. Spesifikasi Produk: Base Curve: 8.80 Diameter: 14.2 mm Kadar Air/Water Content: 58% Masa Pakai/Recommended Usage: Harian (Daily) Warna/Color: Bening/Clear Ukuran/Power Range: - 0.50 s/d -6.00 (steps 0.25) - 6.50 s/d -16.00 (steps 0.50) Isi/Content: 32 buah (16 pasang)</t>
  </si>
  <si>
    <t>Box @ 32 Soft Lenses</t>
  </si>
  <si>
    <t>softlens seed 1 day pure up penggunaan harian  spesifikasi produk base curve 8  80 diameter 14  2 mm kadar air water content 58 masa pakai recommended usage harian daily warna color bening clear ukuran power range - 0  50 s d - 6  00 step 0  25 - 6  50 s d - 16  00 step 0  50 isi content 32 buah 16 pasang</t>
  </si>
  <si>
    <t>seed day pure up clear softlens minus</t>
  </si>
  <si>
    <t>seed day pure up clear softlens minus tablet kombinasivalsartan blend 32 softlens seed 1 day pure up penggunaan harian  spesifikasi produk base curve 8  80 diameter 14  2 mm kadar air water content 58 masa pakai recommended usage harian daily warna color bening clear ukuran power range  0  50 s d  6  00 step 0  25  6  50 s d  16  00 step 0  50 isi content 32 buah 16 pasang</t>
  </si>
  <si>
    <t>Eyesight EOS Vonvon Gray Softlens Minus</t>
  </si>
  <si>
    <t>Eyesight EOS Vonvon Gray Softlens Minus untuk penggunaan maksimal selama 6 Bulan. Spesifikasi Produk: Base Curve: 8.6 mm Diameter: 14 mm Kadar Air/Water Content: 38 % Masa Pakai/Recommended Usage: 6 Bulan/Monthly Varian: Gray Ukuran/Power Range: -0.50 up to -5.00 (step -0.25), -5.50 up to -8.00 (step -0.50) Isi/Content: 2 buah (1 pasang)</t>
  </si>
  <si>
    <t>eyesight eos vonvon gray softlens minus penggunaan maksimal 6 bulan  spesifikasi produk base curve 8  6 mm diameter 14 mm kadar air water content 38 masa pakai recommended usage 6 bulan monthly varian gray ukuran power range - 0  50 up to - 5  00 step - 0  25 , - 5  50 up to - 8  00 step - 0  50 isi content 2 buah 1 pasang</t>
  </si>
  <si>
    <t>eyesight eos vonvon gray softlens minus</t>
  </si>
  <si>
    <t>eyesight eos vonvon gray softlens minus tablet kombinasivalsartan blend 32 eyesight eos vonvon gray softlens minus penggunaan maksimal 6 bulan  spesifikasi produk base curve 8  6 mm diameter 14 mm kadar air water content 38 masa pakai recommended usage 6 bulan monthly varian gray ukuran power range  0  50 up to  5  00 step  0  25   5  50 up to  8  00 step  0  50 isi content 2 buah 1 pasang</t>
  </si>
  <si>
    <t>Eyesight EOS Clear/Transparent Softlens Minus</t>
  </si>
  <si>
    <t>Eyesight EOS Clear/Transparent Softlens Minus untuk penggunaan maksimal selama 6 Bulan. Spesifikasi Produk: Base Curve: 8.6 mm Diameter: 14.0 mm Kadar Air/Water Content: 38 % Masa Pakai/Recommended Usage: 6 Bulan/Monthly Varian: Bening Ukuran/Power Range: -normal eyes -0.50 sd -5.00 (step -0.25) -5.50 sd -10.00 (step -0.50) Isi/Content: 2 buah (1 pasang)</t>
  </si>
  <si>
    <t>eyesight eos clear transparent softlens minus penggunaan maksimal 6 bulan  spesifikasi produk base curve 8  6 mm diameter 14  0 mm kadar air water content 38 masa pakai recommended usage 6 bulan monthly varian bening ukuran power range - normal eye - 0  50 sd - 5  00 step - 0  25 - 5  50 sd - 10  00 step - 0  50 isi content 2 buah 1 pasang</t>
  </si>
  <si>
    <t>eyesight eos cleartransparent softlens minus</t>
  </si>
  <si>
    <t>eyesight eos cleartransparent softlens minus tablet kombinasivalsartan blend 32 eyesight eos clear transparent softlens minus penggunaan maksimal 6 bulan  spesifikasi produk base curve 8  6 mm diameter 14  0 mm kadar air water content 38 masa pakai recommended usage 6 bulan monthly varian bening ukuran power range  normal eye  0  50 sd  5  00 step  0  25  5  50 sd  10  00 step  0  50 isi content 2 buah 1 pasang</t>
  </si>
  <si>
    <t>Eyesight EOS Baby Black Softlens Minus</t>
  </si>
  <si>
    <t>Eyesight EOS Baby Black Softlens Minus untuk penggunaan maksimal selama 6 Bulan. Spesifikasi Produk: Base Curve: 9.2 mm Diameter: 15 mm Kadar Air/Water Content: 38 % Masa Pakai/Recommended Usage: 6 Bulan/Monthly Varian: Black Ukuran/Power Range: -0.50 up to -5.00 (step -0.25), -5.50 up to -10.00 (step -0.50) Isi/Content: 2 buah (1 pasang)</t>
  </si>
  <si>
    <t>eyesight eos baby black softlens minus penggunaan maksimal 6 bulan  spesifikasi produk base curve 9  2 mm diameter 15 mm kadar air water content 38 masa pakai recommended usage 6 bulan monthly varian black ukuran power range - 0  50 up to - 5  00 step - 0  25 , - 5  50 up to - 10  00 step - 0  50 isi content 2 buah 1 pasang</t>
  </si>
  <si>
    <t>eyesight eos baby black softlens minus</t>
  </si>
  <si>
    <t>eyesight eos baby black softlens minus tablet kombinasivalsartan blend 32 eyesight eos baby black softlens minus penggunaan maksimal 6 bulan  spesifikasi produk base curve 9  2 mm diameter 15 mm kadar air water content 38 masa pakai recommended usage 6 bulan monthly varian black ukuran power range  0  50 up to  5  00 step  0  25   5  50 up to  10  00 step  0  50 isi content 2 buah 1 pasang</t>
  </si>
  <si>
    <t>Alcon Air Optix Plus HydraGlyde 6 Clear Softlens Minus</t>
  </si>
  <si>
    <t>Softlens Minus Acuvue Define 1 day untuk penggunaan Harian. Spesifikasi Produk: Base Curve: 8.6 Diameter: 14.20 mm Kadar Air/Water Content: 33% Masa Pakai/Recommended Usage: HarianWarna/Color: Warna Radiant Sweet Ukuran/Power Range: -0.5 s/d -6.00 (Step 0.25) -6.5 s/d -10.00 (Step 0.50) Isi/Content: 6 buah (3 pasang)</t>
  </si>
  <si>
    <t>softlens minus acuvue define 1 day penggunaan harian  spesifikasi produk base curve 8  6 diameter 14  20 mm kadar air water content 33 masa pakai recommended usage harianwarna color warna radiant sweet ukuran power range - 0  5 s d - 6  00 step 0  25 - 6  5 s d - 10  00 step 0  50 isi content 6 buah 3 pasang</t>
  </si>
  <si>
    <t>alcon air optix plus hydraglyde clear softlens minus</t>
  </si>
  <si>
    <t>alcon air optix plus hydraglyde clear softlens minus tablet kombinasivalsartan blend 32 softlens minus acuvue define 1 day penggunaan harian  spesifikasi produk base curve 8  6 diameter 14  20 mm kadar air water content 33 masa pakai recommended usage harianwarna color warna radiant sweet ukuran power range  0  5 s d  6  00 step 0  25  6  5 s d  10  00 step 0  50 isi content 6 buah 3 pasang</t>
  </si>
  <si>
    <t>Eyesight EOS Milky Gray Softlens Minus</t>
  </si>
  <si>
    <t>Eyesight EOS Milky Gray Softlens Minus untuk penggunaan maksimal selama 6 Bulan. Spesifikasi Produk: Base Curve: 8.7 mm Diameter: 14.2 mm Kadar Air/Water Content: 38 % Masa Pakai/Recommended Usage: 6 Bulan/Monthly Varian: Gray Ukuran/Power Range: -0.50 up to -5.00 (step -0.25), -5.50 up to -8.00 (step -0.50) Isi/Content: 2 buah (1 pasang)</t>
  </si>
  <si>
    <t>eyesight eos milky gray softlens minus penggunaan maksimal 6 bulan  spesifikasi produk base curve 8  7 mm diameter 14  2 mm kadar air water content 38 masa pakai recommended usage 6 bulan monthly varian gray ukuran power range - 0  50 up to - 5  00 step - 0  25 , - 5  50 up to - 8  00 step - 0  50 isi content 2 buah 1 pasang</t>
  </si>
  <si>
    <t>eyesight eos milky gray softlens minus</t>
  </si>
  <si>
    <t>eyesight eos milky gray softlens minus tablet kombinasivalsartan blend 32 eyesight eos milky gray softlens minus penggunaan maksimal 6 bulan  spesifikasi produk base curve 8  7 mm diameter 14  2 mm kadar air water content 38 masa pakai recommended usage 6 bulan monthly varian gray ukuran power range  0  50 up to  5  00 step  0  25   5  50 up to  8  00 step  0  50 isi content 2 buah 1 pasang</t>
  </si>
  <si>
    <t>Eyesight Princess Moonlight Brown Softlens Minus</t>
  </si>
  <si>
    <t>Eyesight Princess Moonlight Brown Softlens Minus untuk penggunaan maksimal selama 6 Bulan. Spesifikasi Produk: Base Curve: 8.6 mm Diameter: 14.2 mm Kadar Air/Water Content: 48 % Masa Pakai/Recommended Usage: 6 Bulan/Monthly Varian: Brown Ukuran/Power Range: -0.50 up to -5.00 (step -0.25), -5.50 up to -6.00 (step -0.50) Isi/Content: 2 buah (1 pasang)</t>
  </si>
  <si>
    <t>eyesight princess moonlight brown softlens minus penggunaan maksimal 6 bulan  spesifikasi produk base curve 8  6 mm diameter 14  2 mm kadar air water content 48 masa pakai recommended usage 6 bulan monthly varian brown ukuran power range - 0  50 up to - 5  00 step - 0  25 , - 5  50 up to - 6  00 step - 0  50 isi content 2 buah 1 pasang</t>
  </si>
  <si>
    <t>eyesight princess moonlight brown softlens minus</t>
  </si>
  <si>
    <t>eyesight princess moonlight brown softlens minus tablet kombinasivalsartan blend 32 eyesight princess moonlight brown softlens minus penggunaan maksimal 6 bulan  spesifikasi produk base curve 8  6 mm diameter 14  2 mm kadar air water content 48 masa pakai recommended usage 6 bulan monthly varian brown ukuran power range  0  50 up to  5  00 step  0  25   5  50 up to  6  00 step  0  50 isi content 2 buah 1 pasang</t>
  </si>
  <si>
    <t>Eyesight Princess Moonlight Black Softlens Minus</t>
  </si>
  <si>
    <t>Eyesight Princess Moonlight Black Softlens Minus untuk penggunaan maksimal selama 6 Bulan. Spesifikasi Produk: Base Curve: 8.6 mm Diameter: 14.2 mm Kadar Air/Water Content: 48 % Masa Pakai/Recommended Usage: 6 Bulan/Monthly Varian: Black Ukuran/Power Range: -0.50 up to -5.00 (step -0.25), -5.50 up to -6.00 (step -0.50) Isi/Content: 2 buah (1 pasang)</t>
  </si>
  <si>
    <t>eyesight princess moonlight black softlens minus penggunaan maksimal 6 bulan  spesifikasi produk base curve 8  6 mm diameter 14  2 mm kadar air water content 48 masa pakai recommended usage 6 bulan monthly varian black ukuran power range - 0  50 up to - 5  00 step - 0  25 , - 5  50 up to - 6  00 step - 0  50 isi content 2 buah 1 pasang</t>
  </si>
  <si>
    <t>eyesight princess moonlight black softlens minus</t>
  </si>
  <si>
    <t>eyesight princess moonlight black softlens minus tablet kombinasivalsartan blend 32 eyesight princess moonlight black softlens minus penggunaan maksimal 6 bulan  spesifikasi produk base curve 8  6 mm diameter 14  2 mm kadar air water content 48 masa pakai recommended usage 6 bulan monthly varian black ukuran power range  0  50 up to  5  00 step  0  25   5  50 up to  6  00 step  0  50 isi content 2 buah 1 pasang</t>
  </si>
  <si>
    <t>Eyesight EOS Milky Choco Softlens Minus</t>
  </si>
  <si>
    <t>Eyesight EOS Milky Choco Softlens Minus untuk penggunaan maksimal selama 6 Bulan. Spesifikasi Produk: Base Curve: 8.7 mm Diameter: 14.2 mm Kadar Air/Water Content: 38 % Masa Pakai/Recommended Usage: 6 Bulan/Monthly Varian: Choco Ukuran/Power Range: -0.50 up to -5.00 (step -0.25), -5.50 up to -8.00 (step -0.50) Isi/Content: 2 buah (1 pasang)</t>
  </si>
  <si>
    <t>eyesight eos milky choco softlens minus penggunaan maksimal 6 bulan  spesifikasi produk base curve 8  7 mm diameter 14  2 mm kadar air water content 38 masa pakai recommended usage 6 bulan monthly varian choco ukuran power range - 0  50 up to - 5  00 step - 0  25 , - 5  50 up to - 8  00 step - 0  50 isi content 2 buah 1 pasang</t>
  </si>
  <si>
    <t>eyesight eos milky choco softlens minus</t>
  </si>
  <si>
    <t>eyesight eos milky choco softlens minus tablet kombinasivalsartan blend 32 eyesight eos milky choco softlens minus penggunaan maksimal 6 bulan  spesifikasi produk base curve 8  7 mm diameter 14  2 mm kadar air water content 38 masa pakai recommended usage 6 bulan monthly varian choco ukuran power range  0  50 up to  5  00 step  0  25   5  50 up to  8  00 step  0  50 isi content 2 buah 1 pasang</t>
  </si>
  <si>
    <t>Eyesight EOS Luna Natural Cacao Softlens Minus</t>
  </si>
  <si>
    <t>Eyesight EOS Luna Natural Cacao Softlens Minus untuk penggunaan maksimal selama 6 Bulan. Spesifikasi Produk: Base Curve: 8.8 mm Diameter: 14.5 mm Kadar Air/Water Content: 38 % Masa Pakai/Recommended Usage: 6 Bulan/Monthly Varian: Cacao Ukuran/Power Range: -0.50 sd -5.00 (step -0.25) -5.50 sd -10.00 (step -5.00) Isi/Content: 2 buah (1 pasang)</t>
  </si>
  <si>
    <t>eyesight eos luna natural cacao softlens minus penggunaan maksimal 6 bulan  spesifikasi produk base curve 8  8 mm diameter 14  5 mm kadar air water content 38 masa pakai recommended usage 6 bulan monthly varian cacao ukuran power range - 0  50 sd - 5  00 step - 0  25 - 5  50 sd - 10  00 step - 5  00 isi content 2 buah 1 pasang</t>
  </si>
  <si>
    <t>eyesight eos luna natural cacao softlens minus</t>
  </si>
  <si>
    <t>eyesight eos luna natural cacao softlens minus tablet kombinasivalsartan blend 32 eyesight eos luna natural cacao softlens minus penggunaan maksimal 6 bulan  spesifikasi produk base curve 8  8 mm diameter 14  5 mm kadar air water content 38 masa pakai recommended usage 6 bulan monthly varian cacao ukuran power range  0  50 sd  5  00 step  0  25  5  50 sd  10  00 step  5  00 isi content 2 buah 1 pasang</t>
  </si>
  <si>
    <t>Eyesight EOS Luna Natural Aqua Softlens Minus</t>
  </si>
  <si>
    <t>Eyesight EOS Luna Natural Aqua Softlens Minus untuk penggunaan maksimal selama 6 Bulan. Spesifikasi Produk: Base Curve: 8.8 mm Diameter: 14.5 mm Kadar Air/Water Content: 38 % Masa Pakai/Recommended Usage: 6 Bulan/Monthly Varian: Aqua Ukuran/Power Range: -0.50 sd -5.00 (step -0.25) -5.50 sd -6.50 (step -0.50) Isi/Content: 2 buah (1 pasang)</t>
  </si>
  <si>
    <t>eyesight eos luna natural aqua softlens minus penggunaan maksimal 6 bulan  spesifikasi produk base curve 8  8 mm diameter 14  5 mm kadar air water content 38 masa pakai recommended usage 6 bulan monthly varian aqua ukuran power range - 0  50 sd - 5  00 step - 0  25 - 5  50 sd - 6  50 step - 0  50 isi content 2 buah 1 pasang</t>
  </si>
  <si>
    <t>eyesight eos luna natural aqua softlens minus</t>
  </si>
  <si>
    <t>eyesight eos luna natural aqua softlens minus tablet kombinasivalsartan blend 32 eyesight eos luna natural aqua softlens minus penggunaan maksimal 6 bulan  spesifikasi produk base curve 8  8 mm diameter 14  5 mm kadar air water content 38 masa pakai recommended usage 6 bulan monthly varian aqua ukuran power range  0  50 sd  5  00 step  0  25  5  50 sd  6  50 step  0  50 isi content 2 buah 1 pasang</t>
  </si>
  <si>
    <t>Eyesight Princess Moonlight Gray Softlens Minus</t>
  </si>
  <si>
    <t>Eyesight Princess Moonlight Gray Softlens Minus untuk penggunaan maksimal selama 6 Bulan. Spesifikasi Produk: Base Curve: 8.6 mm Diameter: 14.2 mm Kadar Air/Water Content: 48 % Masa Pakai/Recommended Usage: 6 Bulan/Monthly Varian: Gray Ukuran/Power Range: -0.50 up to -5.00 (step -0.25), -5.50 up to -6.00 (step -0.50) Isi/Content: 2 buah (1 pasang)</t>
  </si>
  <si>
    <t>eyesight princess moonlight gray softlens minus penggunaan maksimal 6 bulan  spesifikasi produk base curve 8  6 mm diameter 14  2 mm kadar air water content 48 masa pakai recommended usage 6 bulan monthly varian gray ukuran power range - 0  50 up to - 5  00 step - 0  25 , - 5  50 up to - 6  00 step - 0  50 isi content 2 buah 1 pasang</t>
  </si>
  <si>
    <t>eyesight princess moonlight gray softlens minus</t>
  </si>
  <si>
    <t>eyesight princess moonlight gray softlens minus tablet kombinasivalsartan blend 32 eyesight princess moonlight gray softlens minus penggunaan maksimal 6 bulan  spesifikasi produk base curve 8  6 mm diameter 14  2 mm kadar air water content 48 masa pakai recommended usage 6 bulan monthly varian gray ukuran power range  0  50 up to  5  00 step  0  25   5  50 up to  6  00 step  0  50 isi content 2 buah 1 pasang</t>
  </si>
  <si>
    <t>Eyesight EOS Coral Wood Hazel Softlens Minus</t>
  </si>
  <si>
    <t>Eyesight EOS Coral Wood Hazel Softlens Minus untuk penggunaan maksimal selama 6 Bulan. Spesifikasi Produk: Base Curve: 8.6 mm Diameter: 14.0 mm Kadar Air/Water Content: 38 % Masa Pakai/Recommended Usage: 6 Bulan/Monthly Varian: Hazel Ukuran/Power Range: -0.50 sd -5.00 (step -0.25) -5.50 sd -10.00 (step -0.50) Isi/Content: 2 buah (1 pasang)</t>
  </si>
  <si>
    <t>eyesight eos coral wood hazel softlens minus penggunaan maksimal 6 bulan  spesifikasi produk base curve 8  6 mm diameter 14  0 mm kadar air water content 38 masa pakai recommended usage 6 bulan monthly varian hazel ukuran power range - 0  50 sd - 5  00 step - 0  25 - 5  50 sd - 10  00 step - 0  50 isi content 2 buah 1 pasang</t>
  </si>
  <si>
    <t>eyesight eos coral wood hazel softlens minus</t>
  </si>
  <si>
    <t>eyesight eos coral wood hazel softlens minus tablet kombinasivalsartan blend 32 eyesight eos coral wood hazel softlens minus penggunaan maksimal 6 bulan  spesifikasi produk base curve 8  6 mm diameter 14  0 mm kadar air water content 38 masa pakai recommended usage 6 bulan monthly varian hazel ukuran power range  0  50 sd  5  00 step  0  25  5  50 sd  10  00 step  0  50 isi content 2 buah 1 pasang</t>
  </si>
  <si>
    <t>Eyesight EOS Charming Brown Softlens Minus</t>
  </si>
  <si>
    <t>Eyesight EOS Charming Brown Softlens Minus untuk penggunaan maksimal selama 6 Bulan. Spesifikasi Produk: Base Curve: 8.7 mm Diameter: 14.2 mm Kadar Air/Water Content: 38 % Masa Pakai/Recommended Usage: 6 Bulan/Monthly Varian: Brown Ukuran/Power Range: -0.50 up to -5.00 (step -0.25), -5.50 up to -10.00 (step -0.50) Isi/Content: 2 buah (1 pasang)</t>
  </si>
  <si>
    <t>eyesight eos charming brown softlens minus penggunaan maksimal 6 bulan  spesifikasi produk base curve 8  7 mm diameter 14  2 mm kadar air water content 38 masa pakai recommended usage 6 bulan monthly varian brown ukuran power range - 0  50 up to - 5  00 step - 0  25 , - 5  50 up to - 10  00 step - 0  50 isi content 2 buah 1 pasang</t>
  </si>
  <si>
    <t>eyesight eos charming brown softlens minus</t>
  </si>
  <si>
    <t>eyesight eos charming brown softlens minus tablet kombinasivalsartan blend 32 eyesight eos charming brown softlens minus penggunaan maksimal 6 bulan  spesifikasi produk base curve 8  7 mm diameter 14  2 mm kadar air water content 38 masa pakai recommended usage 6 bulan monthly varian brown ukuran power range  0  50 up to  5  00 step  0  25   5  50 up to  10  00 step  0  50 isi content 2 buah 1 pasang</t>
  </si>
  <si>
    <t>Options Colors Rusian Olive Brown Softlens Natural Beauty Eyestyling Minus</t>
  </si>
  <si>
    <t>Options Colors Rusian Grey Softlens Natural Beauty Eyestyling Minus untuk penggunaan 6 Bulan. Spesifikasi Produk: Base Curve: 8.6 mm Diameter: 14.2 mm Kadar Air/Water Content: 43% Masa Pakai/Recommended Usage: 6 Bulan/Monthly Warna/Color: Warna Olive Brown Ukuran/Power Range: -0.5 s/d -6.00 (Step 0.25) Isi/Content: 2 buah (1 pasang)</t>
  </si>
  <si>
    <t>options colors rusian grey softlens natural beauty eyestyling minus penggunaan 6 bulan  spesifikasi produk base curve 8  6 mm diameter 14  2 mm kadar air water content 43 masa pakai recommended usage 6 bulan monthly warna color warna olive brown ukuran power range - 0  5 s d - 6  00 step 0  25 isi content 2 buah 1 pasang</t>
  </si>
  <si>
    <t>options colors rusian olive brown softlens natural beauty eyestyling minus</t>
  </si>
  <si>
    <t>options colors rusian olive brown softlens natural beauty eyestyling minus tablet kombinasivalsartan blend 32 options colors rusian grey softlens natural beauty eyestyling minus penggunaan 6 bulan  spesifikasi produk base curve 8  6 mm diameter 14  2 mm kadar air water content 43 masa pakai recommended usage 6 bulan monthly warna color warna olive brown ukuran power range  0  5 s d  6  00 step 0  25 isi content 2 buah 1 pasang</t>
  </si>
  <si>
    <t>Eyesight EOS Luna Natural Almond Softlens Minus</t>
  </si>
  <si>
    <t>Eyesight EOS Luna Natural Almond Softlens Minus untuk penggunaan maksimal selama 6 Bulan. Spesifikasi Produk: Base Curve: 8.8 mm Diameter: 14.5 mm Kadar Air/Water Content: 38 % Masa Pakai/Recommended Usage: 6 Bulan/Monthly Varian: Almond Ukuran/Power Range: -0.50 sd -5.00 (step -0.25) -5.50 sd -10.00 (step -0.50) Isi/Content: 2 buah (1 pasang)</t>
  </si>
  <si>
    <t>eyesight eos luna natural almond softlens minus penggunaan maksimal 6 bulan  spesifikasi produk base curve 8  8 mm diameter 14  5 mm kadar air water content 38 masa pakai recommended usage 6 bulan monthly varian almond ukuran power range - 0  50 sd - 5  00 step - 0  25 - 5  50 sd - 10  00 step - 0  50 isi content 2 buah 1 pasang</t>
  </si>
  <si>
    <t>eyesight eos luna natural almond softlens minus</t>
  </si>
  <si>
    <t>eyesight eos luna natural almond softlens minus tablet kombinasivalsartan blend 32 eyesight eos luna natural almond softlens minus penggunaan maksimal 6 bulan  spesifikasi produk base curve 8  8 mm diameter 14  5 mm kadar air water content 38 masa pakai recommended usage 6 bulan monthly varian almond ukuran power range  0  50 sd  5  00 step  0  25  5  50 sd  10  00 step  0  50 isi content 2 buah 1 pasang</t>
  </si>
  <si>
    <t>Luminous Soflens Bar Black 2 Color Softlens Minus</t>
  </si>
  <si>
    <t>Rp125.000 - Rp155.000</t>
  </si>
  <si>
    <t>Luminous Softlense Bar Black untuk penggunaan 6 Bulan. Spesifikasi Produk: Base Curve: 8.60 Diameter: 14.5 mm Kadar Air/Water Content: 42 % Masa Pakai/Recommended Usage: 6 Bulan/Monthly Warna/Color: Warna Hitam/Black Ukuran/Power Range: 1.00 s/d -5.00 (Step 0.25), -5.00 s/d -6.00 (Step 0.50) Isi/Content: 2 buah (1 pasang)</t>
  </si>
  <si>
    <t>luminous softlense bar black penggunaan 6 bulan  spesifikasi produk base curve 8  60 diameter 14  5 mm kadar air water content 42 masa pakai recommended usage 6 bulan monthly warna color warna hitam black ukuran power range 1  00 s d - 5  00 step 0  25 , - 5  00 s d - 6  00 step 0  50 isi content 2 buah 1 pasang</t>
  </si>
  <si>
    <t>luminous soflens bar black color softlens minus</t>
  </si>
  <si>
    <t>luminous soflens bar black color softlens minus tablet kombinasivalsartan blend 32 luminous softlense bar black penggunaan 6 bulan  spesifikasi produk base curve 8  60 diameter 14  5 mm kadar air water content 42 masa pakai recommended usage 6 bulan monthly warna color warna hitam black ukuran power range 1  00 s d  5  00 step 0  25   5  00 s d  6  00 step 0  50 isi content 2 buah 1 pasang</t>
  </si>
  <si>
    <t>DKL1024400710A1</t>
  </si>
  <si>
    <t>Stugeron 25 mg 10 Tablet</t>
  </si>
  <si>
    <t>Rp40.300 - Rp45.500</t>
  </si>
  <si>
    <t>PENGGUNAAN OBAT INI HARUS SESUAI DENGAN PETUNJUK DOKTER. Gangguan Peredaran Otak: Dewasa: 1 tablet 25 mg 3 kali sehari Gangguan Peredaran Darah Perifer Dewasa: 2-3 tablet 25 mg 3 kali sehari Gangguan Keseimbangan: 1 tablet 25 mg 3 kali sehari Mabuk perjalanan: Dewasa dan remaja berusia 13 tahun ke atas: 1 tablet 25 mg 1/2 jam sebelum bepergian untuk diulang setiap 6 jam. Anak-anak berusia 6 hingga 12 tahun: dianjurkan 1/2 dosis dewasa. Dosis maksimum yang disarankan tidak boleh melebihi 225 mg (9 tablet) setiap hari.</t>
  </si>
  <si>
    <t>INFORMASI OBAT INI HANYA UNTUK KALANGAN MEDIS. Gangguan peredaran darah otak: Terapi pemeliharaan untuk gejala yang berasal dari serebrovaskular, termasuk pusing, telinga berdengung (tinnitus), sakit kepala vaskular, gangguan tidak ramah dan mudah tersinggung, kehilangan ingatan dan kurang konsentrasi</t>
  </si>
  <si>
    <t>DKL9513011046A1</t>
  </si>
  <si>
    <t>Ximex Optixitrol Eye Drop 5 ml</t>
  </si>
  <si>
    <t>Rp26.300 - Rp27.400</t>
  </si>
  <si>
    <t>teteskan pada mata yang terinfeksi</t>
  </si>
  <si>
    <t>PENGGUNAAN OBAT INI HARUS SESUAI DENGAN PETUNJUK DOKTER. teteskan obat pada mata, 1-2 tetes setiap 1 jam pada siang hari dan setiap 2 jam pada waktu malam hari.</t>
  </si>
  <si>
    <t>gangguan inflamasi ocular yang diindikasikan kortikosteroid dimana terdapat infeksi bakteri atau resiko terjadinya infeksi bakteri ocular. Steroid ocular diindikasikan pada keadaan inflamasi palpebral, conjunctivitis bulbar, cornea, dan bagian anterior bola mata yang mempunyai resiko penggunaan steroid dalam infeksi conjunctiva tertentu untuk mengurangi edema (bengkak) dan inflamasi. Penggunaan kombinasi anti infeksi dalam obat ini diindikasikan jika resiko infeksi tinggi atau diduga adanya sejumlah bakteri yang berbahaya akan terdapat dalam mata. Obat anti infeksi dalam obat ini aktif terhadap bakteri patogen mata yang umum : Staphylococcus aureus, Haemophyllus influenza, dan Neisseria sp. Produk ini tidak aktif terhadap Serratia marcescens, Streptococci termasuk Streptococus pneumonia.</t>
  </si>
  <si>
    <t>Keratitis herpes simplex epithelial (dendritis keratitis), vaccinia, varicella, penyakit virus pada mata dan conjunctiva, infeksi mycobacterial pada mata, atau hipersensitivitas terhadap komponen dari obat yang diberikan</t>
  </si>
  <si>
    <t>HARUS DENGAN RESEP DOKTER. Penggunaan jangka panjang obat-obat golongan kortikosteroid dapat menyebabkan katarak subkapsular posterior, glaukoma dengan kemungkinan kerusakan pada saraf optik, dan dapat meningkatkan terjadinya infeksi okular sekunder oleh jamur atau virus.</t>
  </si>
  <si>
    <t>gangguan inflamasi ocular diindikasikan kortikosteroid dimana infeksi bakteri resiko infeksi bakteri ocular  steroid ocular diindikasikan inflamasi palpebral , conjunctivitis bulbar , cornea , anterior bola mata resiko penggunaan steroid infeksi conjunctiva mengurangi edema bengkak inflamasi  penggunaan kombinasi anti infeksi obat diindikasikan resiko infeksi diduga bakteri berbahaya mata  obat anti infeksi obat aktif bakteri patogen mata staphylococcus aureus , haemophyllus influenza , neisseria sp  produk tidak aktif serratia marcescens , streptococci streptococus pneumonia</t>
  </si>
  <si>
    <t>ximex optixitrol eye drop</t>
  </si>
  <si>
    <t>ximex optixitrol eye drop tetes dexamethasone sodium phosphate gangguan inflamasi ocular diindikasikan kortikosteroid dimana infeksi bakteri resiko infeksi bakteri ocular  steroid ocular diindikasikan inflamasi palpebral  conjunctivitis bulbar  cornea  anterior bola mata resiko penggunaan steroid infeksi conjunctiva mengurangi edema bengkak inflamasi  penggunaan kombinasi anti infeksi obat diindikasikan resiko infeksi diduga bakteri berbahaya mata  obat anti infeksi obat aktif bakteri patogen mata staphylococcus aureus  haemophyllus influenza  neisseria sp  produk tidak aktif serratia marcescens  streptococci streptococus pneumonia</t>
  </si>
  <si>
    <t>Newlook Charm Moisture Retention Blue 2 Color Softlens Minus</t>
  </si>
  <si>
    <t>Rp78.400 - Rp89.600</t>
  </si>
  <si>
    <t>Softlens NEWLOOK CHARM MOISTURE RETENTION untuk penggunaan 6 Bulan. Spesifikasi Produk: Base Curve: 8.6 mm Diameter: 14.2 mm Kadar Air/Water Content: 43% Masa Pakai/Recommended Usage: 3 Bulan/Monthly Warna/Color: Warna Blue Ukuran/Power Range: -0.5 s/d -4.75 (Step 0.25) -5.00 s/d -8.00 (Step 0.50) Isi/Content: 2 buah (1 pasang)</t>
  </si>
  <si>
    <t>softlens newlook charm moisture retention penggunaan 6 bulan  spesifikasi produk base curve 8  6 mm diameter 14  2 mm kadar air water content 43 masa pakai recommended usage 3 bulan monthly warna color warna blue ukuran power range - 0  5 s d - 4  75 step 0  25 - 5  00 s d - 8  00 step 0  50 isi content 2 buah 1 pasang</t>
  </si>
  <si>
    <t>newlook charm moisture retention blue color softlens minus</t>
  </si>
  <si>
    <t>newlook charm moisture retention blue color softlens minus tablet kombinasivalsartan blend 32 softlens newlook charm moisture retention penggunaan 6 bulan  spesifikasi produk base curve 8  6 mm diameter 14  2 mm kadar air water content 43 masa pakai recommended usage 3 bulan monthly warna color warna blue ukuran power range  0  5 s d  4  75 step 0  25  5  00 s d  8  00 step 0  50 isi content 2 buah 1 pasang</t>
  </si>
  <si>
    <t>DKI1735301317B1</t>
  </si>
  <si>
    <t>Forxiga 10 mg 14 Tablet</t>
  </si>
  <si>
    <t>Rp340.300 - Rp370.900</t>
  </si>
  <si>
    <t>PENGGUNAAN OBAT INI HARUS SESUAI DENGAN PETUNJUK DOKTER. 1. Terapi kombinasi tambahan Dosis yang dianjurkan adalah 10 mg dapagliflozin sekali sehari untuk terapi kombinasi tambahan dengan metformin</t>
  </si>
  <si>
    <t>DKI1735301317A1</t>
  </si>
  <si>
    <t>Forxiga 5 mg 14 Tablet</t>
  </si>
  <si>
    <t>Rp261.100 - Rp380.900</t>
  </si>
  <si>
    <t>Newlook Playful Moisture Retention Blue 2 Color Softlens Minus</t>
  </si>
  <si>
    <t>Rp78.400 - Rp85.000</t>
  </si>
  <si>
    <t>Softlens NEWLOOK PLAYFUL MOISTURE RETENTION untuk penggunaan 6 Bulan. Spesifikasi Produk: Base Curve: 8.6 mm Diameter: 14.2 mm Kadar Air/Water Content: 43% Masa Pakai/Recommended Usage: 3 Bulan/Monthly Warna/Color: Warna Blue Ukuran/Power Range: -0.5 s/d -4.75 (Step 0.25) -5.00 s/d -8.00 (Step 0.50) Isi/Content: 2 buah (1 pasang)</t>
  </si>
  <si>
    <t>softlens newlook playful moisture retention penggunaan 6 bulan  spesifikasi produk base curve 8  6 mm diameter 14  2 mm kadar air water content 43 masa pakai recommended usage 3 bulan monthly warna color warna blue ukuran power range - 0  5 s d - 4  75 step 0  25 - 5  00 s d - 8  00 step 0  50 isi content 2 buah 1 pasang</t>
  </si>
  <si>
    <t>newlook playful moisture retention blue color softlens minus</t>
  </si>
  <si>
    <t>newlook playful moisture retention blue color softlens minus tablet kombinasivalsartan blend 32 softlens newlook playful moisture retention penggunaan 6 bulan  spesifikasi produk base curve 8  6 mm diameter 14  2 mm kadar air water content 43 masa pakai recommended usage 3 bulan monthly warna color warna blue ukuran power range  0  5 s d  4  75 step 0  25  5  00 s d  8  00 step 0  50 isi content 2 buah 1 pasang</t>
  </si>
  <si>
    <t>Forxiga 5 mg 10 Tablet</t>
  </si>
  <si>
    <t>Rp228.600 - Rp277.600</t>
  </si>
  <si>
    <t>Forxiga 10 mg 10 Tablet</t>
  </si>
  <si>
    <t>Rp224.500 - Rp277.600</t>
  </si>
  <si>
    <t>Nature's Health Ultra Garlite 60 Tablet</t>
  </si>
  <si>
    <t>Rp316.000 - Rp482.100</t>
  </si>
  <si>
    <t>Dalam bawang putih mengandung Vitamin A, C, E dan Selenium yang berfungsi sebagai antioksidan dan menjaga kesehatan dinding pembuluh darah. Membantu menurunkan tekanan darah, mencegah penggumpalan darah dan memperbaiki sirkulasi darah sehingga mencegah penyakit jantung. Membantu menurunkan hiperkolesteroemia, LDL, dan trigliserida. Meningkatkan sistem imunitas, sebagai antibiotik alami dan banyak dipakai untuk mencegah infeksi bakteri, jamur dan virus. Menjaga kesehatan pencernaan kadar gula darah dan menghambat pertumbuhan bakteri Helicobacter pylori yang menyebabkan ulkus pada sistem pencernaan.&lt; Membantu pengobatan artherosklerosis, arthritis, asma, flu, gangguan hati, insomnia, dan sinusitis.</t>
  </si>
  <si>
    <t>Pasien yang menderita alergi terhadap bawang putih dan tukak lambung</t>
  </si>
  <si>
    <t>Simpan dalam tempat tertutup rapat, Hindari dari jangkauan anak-ana. Tidak dianjurkan untuk Ibu yang sedang menyusui karena dapat menyebabkan kolik pada bayi</t>
  </si>
  <si>
    <t>dalam bawang putih mengandung vitamin a , c , e selenium berfungsi antioksidan menjaga kesehatan dinding pembuluh darah  membantu menurunkan tekanan darah , mencegah penggumpalan darah memperbaiki sirkulasi darah mencegah penyakit jantung  membantu menurunkan hiperkolesteroemia , ldl , trigliserida  meningkatkan sistem imunitas , antibiotik alami dipakai mencegah infeksi bakteri , jamur virus  menjaga kesehatan pencernaan kadar gula darah menghambat pertumbuhan bakteri helicobacter pylorus menyebabkan ulkus sistem pencernaan  membantu pengobatan artherosklerosis , arthritis , asma , flu , gangguan hati , insomnia , sinusitis</t>
  </si>
  <si>
    <t>natures health ultra garlite tablet dalam bawang putih mengandung vitamin a  c  e selenium berfungsi antioksidan menjaga kesehatan dinding pembuluh darah  membantu menurunkan teka darah  mencegah penggumpalan darah memperbaiki sirkulasi darah mencegah penyakit jantung  membantu menurunkan hiperkolesteroemia  ldl  trigliserida  meningkatkan sistem imunitas  antibiotik alami dipakai mencegah infeksi bakteri  jamur virus  menjaga kesehatan pencernaan kadar gula darah menghambat pertumbuhan bakteri helicobacter pylorus menyebabkan ulkus sistem pencernaan  membantu pengobatan artherosklerosis  arthritis  asma  flu  gangguan hati  insomnia  sinusitis</t>
  </si>
  <si>
    <t>Eyesight Kitty Kawaii Mini Ella Gray Softlens Minus</t>
  </si>
  <si>
    <t>Eyesight Kitty Kawaii Mini Ella Gray Softlens Minus untuk penggunaan maksimal selama 6 Bulan. Spesifikasi Produk: Base Curve: 8.6 mm Diameter: 14.2 mm Kadar Air/Water Content: 55 % Masa Pakai/Recommended Usage: 6 Bulan/Monthly Varian: Gray Ukuran/Power Range: -0.50 up to -5.00 (step -0.25), -5.50 up to -8.00 (step -0.50) Isi/Content: 2 buah (1 pasang)</t>
  </si>
  <si>
    <t>eyesight kitty kawaii mini ella gray softlens minus penggunaan maksimal 6 bulan  spesifikasi produk base curve 8  6 mm diameter 14  2 mm kadar air water content 55 masa pakai recommended usage 6 bulan monthly varian gray ukuran power range - 0  50 up to - 5  00 step - 0  25 , - 5  50 up to - 8  00 step - 0  50 isi content 2 buah 1 pasang</t>
  </si>
  <si>
    <t>eyesight kitty kawaii mini ella gray softlens minus</t>
  </si>
  <si>
    <t>eyesight kitty kawaii mini ella gray softlens minus tablet kombinasivalsartan blend 32 eyesight kitty kawaii mini ella gray softlens minus penggunaan maksimal 6 bulan  spesifikasi produk base curve 8  6 mm diameter 14  2 mm kadar air water content 55 masa pakai recommended usage 6 bulan monthly varian gray ukuran power range  0  50 up to  5  00 step  0  25   5  50 up to  8  00 step  0  50 isi content 2 buah 1 pasang</t>
  </si>
  <si>
    <t>Eyesight Kitty Kawaii Mini Kelly Brown Softlens Minus</t>
  </si>
  <si>
    <t>Eyesight Kitty Kawaii Mini Kelly Brown Softlens Minus untuk penggunaan maksimal selama 6 Bulan. Spesifikasi Produk: Base Curve: 8.6 mm Diameter: 14.2 mm Kadar Air/Water Content: 55 % Masa Pakai/Recommended Usage: 6 Bulan/Monthly Varian: Brown Ukuran/Power Range: -0.50 up to -5.00 (step -0.25), -5.50 up to -10.00 (step -0.50) Isi/Content: 2 buah (1 pasang)</t>
  </si>
  <si>
    <t>eyesight kitty kawaii mini kelly brown softlens minus penggunaan maksimal 6 bulan  spesifikasi produk base curve 8  6 mm diameter 14  2 mm kadar air water content 55 masa pakai recommended usage 6 bulan monthly varian brown ukuran power range - 0  50 up to - 5  00 step - 0  25 , - 5  50 up to - 10  00 step - 0  50 isi content 2 buah 1 pasang</t>
  </si>
  <si>
    <t>eyesight kitty kawaii mini kelly brown softlens minus</t>
  </si>
  <si>
    <t>eyesight kitty kawaii mini kelly brown softlens minus tablet kombinasivalsartan blend 32 eyesight kitty kawaii mini kelly brown softlens minus penggunaan maksimal 6 bulan  spesifikasi produk base curve 8  6 mm diameter 14  2 mm kadar air water content 55 masa pakai recommended usage 6 bulan monthly varian brown ukuran power range  0  50 up to  5  00 step  0  25   5  50 up to  10  00 step  0  50 isi content 2 buah 1 pasang</t>
  </si>
  <si>
    <t>Eyesight Kitty Kawaii Mini Olivia Brown Softlens Minus</t>
  </si>
  <si>
    <t>Eyesight Kitty Kawaii Mini Olivia Brown Softlens Minus untuk penggunaan maksimal selama 6 Bulan. Spesifikasi Produk: Base Curve: 8.6 mm Diameter: 14.2 mm Kadar Air/Water Content: 55 % Masa Pakai/Recommended Usage: 6 Bulan/Monthly Varian: Brown Ukuran/Power Range: -0.50 up to -5.00 (step -0.25), -5.50 up to -8.00 (step -0.50) Isi/Content: 2 buah (1 pasang)</t>
  </si>
  <si>
    <t>eyesight kitty kawaii mini olivia brown softlens minus penggunaan maksimal 6 bulan  spesifikasi produk base curve 8  6 mm diameter 14  2 mm kadar air water content 55 masa pakai recommended usage 6 bulan monthly varian brown ukuran power range - 0  50 up to - 5  00 step - 0  25 , - 5  50 up to - 8  00 step - 0  50 isi content 2 buah 1 pasang</t>
  </si>
  <si>
    <t>eyesight kitty kawaii mini olivia brown softlens minus</t>
  </si>
  <si>
    <t>eyesight kitty kawaii mini olivia brown softlens minus tablet kombinasivalsartan blend 32 eyesight kitty kawaii mini olivia brown softlens minus penggunaan maksimal 6 bulan  spesifikasi produk base curve 8  6 mm diameter 14  2 mm kadar air water content 55 masa pakai recommended usage 6 bulan monthly varian brown ukuran power range  0  50 up to  5  00 step  0  25   5  50 up to  8  00 step  0  50 isi content 2 buah 1 pasang</t>
  </si>
  <si>
    <t>Eyesight Kitty Kawaii Mini Olivia Gray Softlens Minus</t>
  </si>
  <si>
    <t>Eyesight Kitty Kawaii Mini Olivia Gray Softlens Minus untuk penggunaan maksimal selama 6 Bulan. Spesifikasi Produk: Base Curve: 8.6 mm Diameter: 14.2 mm Kadar Air/Water Content: 55 % Masa Pakai/Recommended Usage: 6 Bulan/Monthly Varian: Brown Ukuran/Power Range: 0.50 up to -5.00 (step -0.25), -5.50 up to -8.00 (step -0.50) Isi/Content: 2 buah (1 pasang)</t>
  </si>
  <si>
    <t>eyesight kitty kawaii mini olivia gray softlens minus penggunaan maksimal 6 bulan  spesifikasi produk base curve 8  6 mm diameter 14  2 mm kadar air water content 55 masa pakai recommended usage 6 bulan monthly varian brown ukuran power range 0  50 up to - 5  00 step - 0  25 , - 5  50 up to - 8  00 step - 0  50 isi content 2 buah 1 pasang</t>
  </si>
  <si>
    <t>eyesight kitty kawaii mini olivia gray softlens minus</t>
  </si>
  <si>
    <t>eyesight kitty kawaii mini olivia gray softlens minus tablet kombinasivalsartan blend 32 eyesight kitty kawaii mini olivia gray softlens minus penggunaan maksimal 6 bulan  spesifikasi produk base curve 8  6 mm diameter 14  2 mm kadar air water content 55 masa pakai recommended usage 6 bulan monthly varian brown ukuran power range 0  50 up to  5  00 step  0  25   5  50 up to  8  00 step  0  50 isi content 2 buah 1 pasang</t>
  </si>
  <si>
    <t>Eyesight Kitty Kawaii Mini Ava Brown Softlens Minus</t>
  </si>
  <si>
    <t>Eyesight Kitty Kawaii Mini Ava Brown Softlens Minus untuk penggunaan maksimal selama 6 Bulan. Spesifikasi Produk: Base Curve: 8.6 mm Diameter: 14.2 mm Kadar Air/Water Content: 55 % Masa Pakai/Recommended Usage: 6 Bulan/Monthly Varian: Brown Ukuran/Power Range: -0.50 up to -5.00 (step -0.25), -5.50 up to -10.00 (step -0.50) Isi/Content: 2 buah (1 pasang)</t>
  </si>
  <si>
    <t>eyesight kitty kawaii mini ava brown softlens minus penggunaan maksimal 6 bulan  spesifikasi produk base curve 8  6 mm diameter 14  2 mm kadar air water content 55 masa pakai recommended usage 6 bulan monthly varian brown ukuran power range - 0  50 up to - 5  00 step - 0  25 , - 5  50 up to - 10  00 step - 0  50 isi content 2 buah 1 pasang</t>
  </si>
  <si>
    <t>eyesight kitty kawaii mini ava brown softlens minus</t>
  </si>
  <si>
    <t>eyesight kitty kawaii mini ava brown softlens minus tablet kombinasivalsartan blend 32 eyesight kitty kawaii mini ava brown softlens minus penggunaan maksimal 6 bulan  spesifikasi produk base curve 8  6 mm diameter 14  2 mm kadar air water content 55 masa pakai recommended usage 6 bulan monthly varian brown ukuran power range  0  50 up to  5  00 step  0  25   5  50 up to  10  00 step  0  50 isi content 2 buah 1 pasang</t>
  </si>
  <si>
    <t>TI014301821</t>
  </si>
  <si>
    <t>Nature's Plus Liv-R-Actin 60 Kapsul</t>
  </si>
  <si>
    <t>LIV-R-ACTIN</t>
  </si>
  <si>
    <t>Rp553.300 - Rp669.800</t>
  </si>
  <si>
    <t>2 kapsul perhari</t>
  </si>
  <si>
    <t>Silymarin- Membantu mengobati penyakt hati seperti Hepatitis Alkoholik (menghilangkan gejala mual dan memperbaiki nafsu makan), sirosis, keracunan hati dan Hepatitis Virus dengan menstimulasi protein hati untuk membentuk sel-sel hati yang baru. Meningkatkan sistim imunitas dan membantu mengatasi peradangan hati. Berperan di membran sel untuk mencegah masuknya toksin dan virus yang dapat merusak sel hati, serta mengurangi fatty liver (timbunan lemak di hati). Dandelion dan Barberry Dapat membersihkan darah dan hati dari toksik serta meningkatkan produksi empedu. Golden Seal Bermanfaat sebagai antibiotik alami. Wid Oregon Baik untuk menstimulasi fungsi hati termasuk pembungan atau detoksifikasi.</t>
  </si>
  <si>
    <t>liv-r-actin</t>
  </si>
  <si>
    <t>silymarin - membantu mengobati penyakt hati hepatitis alkoholik menghilangkan gejala mual memperbaiki nafsu makan , sirosis , keracunan hati hepatitis virus menstimulasi protein hati membentuk sel - sel hati  meningkatkan sistim imunitas membantu mengatasi peradangan hati  berperan membran sel mencegah masuknya toksin virus merusak sel hati , mengurangi fatty liver timbunan lemak hati  dandelion barberry dapat membersihkan darah hati toksik meningkatkan produksi empedu  golden seal bermanfaat antibiotik alami  wid oregon baik menstimulasi fungsi hati pembungan detoksifikasi</t>
  </si>
  <si>
    <t>natures plus livractin</t>
  </si>
  <si>
    <t>natures plus livractin kapsul livractin silymarin  membantu mengobati penyakt hati hepatitis alkoholik menghilangkan gejala mual memperbaiki nafsu makan  sirosis  keracu hati hepatitis virus menstimulasi protein hati membentuk sel  sel hati  meningkatkan sistim imunitas membantu mengatasi peradangan hati  berperan membran sel mencegah masuknya toksin virus merusak sel hati  mengurangi fatty liver timbu lemak hati  dandelion barberry dapat membersihkan darah hati toksik meningkatkan produksi empedu  golden seal bermanfaat antibiotik alami  wid oregon baik menstimulasi fungsi hati pembungan detoksifikasi</t>
  </si>
  <si>
    <t>Eyesight Kitty Kawaii Mini Primo Brown Softlens Minus</t>
  </si>
  <si>
    <t>Eyesight Kitty Kawaii Mini Primo Brown Softlens Minus untuk penggunaan maksimal selama 6 Bulan. Spesifikasi Produk: Base Curve: 8.6 mm Diameter: 14.2 mm Kadar Air/Water Content: 55 % Masa Pakai/Recommended Usage: 6 Bulan/Monthly Varian: Brown Ukuran/Power Range: -0.50 up to -5.00 (step -0.25), -5.50 up to -6.50 (step -0.50) Isi/Content: 2 buah (1 pasang)</t>
  </si>
  <si>
    <t>eyesight kitty kawaii mini primo brown softlens minus penggunaan maksimal 6 bulan  spesifikasi produk base curve 8  6 mm diameter 14  2 mm kadar air water content 55 masa pakai recommended usage 6 bulan monthly varian brown ukuran power range - 0  50 up to - 5  00 step - 0  25 , - 5  50 up to - 6  50 step - 0  50 isi content 2 buah 1 pasang</t>
  </si>
  <si>
    <t>eyesight kitty kawaii mini primo brown softlens minus</t>
  </si>
  <si>
    <t>eyesight kitty kawaii mini primo brown softlens minus tablet kombinasivalsartan blend 32 eyesight kitty kawaii mini primo brown softlens minus penggunaan maksimal 6 bulan  spesifikasi produk base curve 8  6 mm diameter 14  2 mm kadar air water content 55 masa pakai recommended usage 6 bulan monthly varian brown ukuran power range  0  50 up to  5  00 step  0  25   5  50 up to  6  50 step  0  50 isi content 2 buah 1 pasang</t>
  </si>
  <si>
    <t>Eyesight Kitty Kawaii Mini Primo Gray Softlens Minus</t>
  </si>
  <si>
    <t>Eyesight Kitty Kawaii Mini Primo Gray Softlens Minus untuk penggunaan maksimal selama 6 Bulan. Spesifikasi Produk: Base Curve: 8.6 mm Diameter: 14.2 mm Kadar Air/Water Content: 55 % Masa Pakai/Recommended Usage: 6 Bulan/Monthly Varian: Gray Ukuran/Power Range: -0.50 up to -5.00 (step -0.25), -5.50 up to -6.50 (step -0.50) Isi/Content: 2 buah (1 pasang)</t>
  </si>
  <si>
    <t>eyesight kitty kawaii mini primo gray softlens minus penggunaan maksimal 6 bulan  spesifikasi produk base curve 8  6 mm diameter 14  2 mm kadar air water content 55 masa pakai recommended usage 6 bulan monthly varian gray ukuran power range - 0  50 up to - 5  00 step - 0  25 , - 5  50 up to - 6  50 step - 0  50 isi content 2 buah 1 pasang</t>
  </si>
  <si>
    <t>eyesight kitty kawaii mini primo gray softlens minus</t>
  </si>
  <si>
    <t>eyesight kitty kawaii mini primo gray softlens minus tablet kombinasivalsartan blend 32 eyesight kitty kawaii mini primo gray softlens minus penggunaan maksimal 6 bulan  spesifikasi produk base curve 8  6 mm diameter 14  2 mm kadar air water content 55 masa pakai recommended usage 6 bulan monthly varian gray ukuran power range  0  50 up to  5  00 step  0  25   5  50 up to  6  50 step  0  50 isi content 2 buah 1 pasang</t>
  </si>
  <si>
    <t>Eyesight Kitty Kawaii Mini Someday Gray Softlens Minus</t>
  </si>
  <si>
    <t>Eyesight Kitty Kawaii Mini Someday Gray Softlens Minus untuk penggunaan maksimal selama 6 Bulan. Spesifikasi Produk: Base Curve: 8.6 mm Diameter: 14.2 mm Kadar Air/Water Content: 55 % Masa Pakai/Recommended Usage: 6 Bulan/Monthly Varian: Gray Ukuran/Power Range: -0.50 up to -5.00 (step -0.25), -5.50 up to -8.00 (step -0.50) Isi/Content: 2 buah (1 pasang)</t>
  </si>
  <si>
    <t>eyesight kitty kawaii mini someday gray softlens minus penggunaan maksimal 6 bulan  spesifikasi produk base curve 8  6 mm diameter 14  2 mm kadar air water content 55 masa pakai recommended usage 6 bulan monthly varian gray ukuran power range - 0  50 up to - 5  00 step - 0  25 , - 5  50 up to - 8  00 step - 0  50 isi content 2 buah 1 pasang</t>
  </si>
  <si>
    <t>eyesight kitty kawaii mini someday gray softlens minus</t>
  </si>
  <si>
    <t>eyesight kitty kawaii mini someday gray softlens minus tablet kombinasivalsartan blend 32 eyesight kitty kawaii mini someday gray softlens minus penggunaan maksimal 6 bulan  spesifikasi produk base curve 8  6 mm diameter 14  2 mm kadar air water content 55 masa pakai recommended usage 6 bulan monthly varian gray ukuran power range  0  50 up to  5  00 step  0  25   5  50 up to  8  00 step  0  50 isi content 2 buah 1 pasang</t>
  </si>
  <si>
    <t>Eyesight Kitty Kawaii Mini Sunset Gray Softlens Minus</t>
  </si>
  <si>
    <t>Eyesight Kitty Kawaii Mini Sunset Gray Softlens Minus untuk penggunaan maksimal selama 6 Bulan. Spesifikasi Produk: Base Curve: 8.6 mm Diameter: 14.2 mm Kadar Air/Water Content: 55 % Masa Pakai/Recommended Usage: 6 Bulan/Monthly Varian: Gray Ukuran/Power Range: -0.50 up to -5.00 (step -0.25), -5.50 up to -6.00 (step -0.50) Isi/Content: 2 buah (1 pasang)</t>
  </si>
  <si>
    <t>eyesight kitty kawaii mini sunset gray softlens minus penggunaan maksimal 6 bulan  spesifikasi produk base curve 8  6 mm diameter 14  2 mm kadar air water content 55 masa pakai recommended usage 6 bulan monthly varian gray ukuran power range - 0  50 up to - 5  00 step - 0  25 , - 5  50 up to - 6  00 step - 0  50 isi content 2 buah 1 pasang</t>
  </si>
  <si>
    <t>eyesight kitty kawaii mini sunset gray softlens minus</t>
  </si>
  <si>
    <t>eyesight kitty kawaii mini sunset gray softlens minus tablet kombinasivalsartan blend 32 eyesight kitty kawaii mini sunset gray softlens minus penggunaan maksimal 6 bulan  spesifikasi produk base curve 8  6 mm diameter 14  2 mm kadar air water content 55 masa pakai recommended usage 6 bulan monthly varian gray ukuran power range  0  50 up to  5  00 step  0  25   5  50 up to  6  00 step  0  50 isi content 2 buah 1 pasang</t>
  </si>
  <si>
    <t>Eyesight Kitty Kawaii Mini Cemore Gray Softlens Minus</t>
  </si>
  <si>
    <t>Eyesight Kitty Kawaii Mini Cemore Gray Softlens Minus untuk penggunaan maksimal selama 6 Bulan. Spesifikasi Produk: Base Curve: 8.6 mm Diameter: 14.2 mm Kadar Air/Water Content: 55 % Masa Pakai/Recommended Usage: 6 Bulan/Monthly Varian: Gray Ukuran/Power Range: -0.50 up to -5.00 (step -0.25), -5.50 up to -8.00 (step -0.50) Isi/Content: 2 buah (1 pasang)</t>
  </si>
  <si>
    <t>eyesight kitty kawaii mini cemore gray softlens minus penggunaan maksimal 6 bulan  spesifikasi produk base curve 8  6 mm diameter 14  2 mm kadar air water content 55 masa pakai recommended usage 6 bulan monthly varian gray ukuran power range - 0  50 up to - 5  00 step - 0  25 , - 5  50 up to - 8  00 step - 0  50 isi content 2 buah 1 pasang</t>
  </si>
  <si>
    <t>eyesight kitty kawaii mini cemore gray softlens minus</t>
  </si>
  <si>
    <t>eyesight kitty kawaii mini cemore gray softlens minus tablet kombinasivalsartan blend 32 eyesight kitty kawaii mini cemore gray softlens minus penggunaan maksimal 6 bulan  spesifikasi produk base curve 8  6 mm diameter 14  2 mm kadar air water content 55 masa pakai recommended usage 6 bulan monthly varian gray ukuran power range  0  50 up to  5  00 step  0  25   5  50 up to  8  00 step  0  50 isi content 2 buah 1 pasang</t>
  </si>
  <si>
    <t>Eyesight Kitty Kawaii Mini Ella Brown Softlens Minus</t>
  </si>
  <si>
    <t>Eyesight Kitty Kawaii Mini Ella Brown Softlens Minus untuk penggunaan maksimal selama 6 Bulan. Spesifikasi Produk: Base Curve: 8.6 mm Diameter: 14.2 mm Kadar Air/Water Content: 55 % Masa Pakai/Recommended Usage: 6 Bulan/Monthly Varian: Brown Ukuran/Power Range: -0.50 up to -5.00 (step -0.25), -5.50 up to -8.00 (step -0.50) Isi/Content: 2 buah (1 pasang)</t>
  </si>
  <si>
    <t>eyesight kitty kawaii mini ella brown softlens minus penggunaan maksimal 6 bulan  spesifikasi produk base curve 8  6 mm diameter 14  2 mm kadar air water content 55 masa pakai recommended usage 6 bulan monthly varian brown ukuran power range - 0  50 up to - 5  00 step - 0  25 , - 5  50 up to - 8  00 step - 0  50 isi content 2 buah 1 pasang</t>
  </si>
  <si>
    <t>eyesight kitty kawaii mini ella brown softlens minus</t>
  </si>
  <si>
    <t>eyesight kitty kawaii mini ella brown softlens minus tablet kombinasivalsartan blend 32 eyesight kitty kawaii mini ella brown softlens minus penggunaan maksimal 6 bulan  spesifikasi produk base curve 8  6 mm diameter 14  2 mm kadar air water content 55 masa pakai recommended usage 6 bulan monthly varian brown ukuran power range  0  50 up to  5  00 step  0  25   5  50 up to  8  00 step  0  50 isi content 2 buah 1 pasang</t>
  </si>
  <si>
    <t>DKL0609215401A1</t>
  </si>
  <si>
    <t>Milorin 300 mg 10 Kapsul</t>
  </si>
  <si>
    <t>Rp18.700 - Rp57.500</t>
  </si>
  <si>
    <t>PENGGUNAAN OBAT INI HARUS SESUAI DENGAN PETUNJUK DOKTER. Infeksi anaerob, Penyakit karena bakteri Gram-positif. Dewasa: Infeksi serius yang disebabkan oleh stafilokokus yang rentan (penghasil penisilinase dan non-penisilinase), streptokokus (kecuali Streptococcus faecalis), pneumokokus, dan patogen anaerobik: Sedang parah: 150-300 mg setiap 6 jam. Berat: 300-450 mg setiap 6 jam. Dalam kasus infeksi streptokokus -hemolitik: Lanjutkan selama setidaknya 10 hari untuk mencegah demam rematik atau glomerulonefritis berikutnya. Anak: &lt;12 tahun 3-6 mg/kg setiap 6 jam.</t>
  </si>
  <si>
    <t>INFORMASI OBAT INI HANYA UNTUK KALANGAN MEDIS. Infeksi serius akibat bakteri anaerob atau bakteri aerob gram positif. Infeksi serius saluran nafas (emfiema, pnemonitis anaerob, abses paru), infeksi serius jaringan lunak dan kulit, septikemia, infeksi intra-abdomen (peritonitis, abses intra-abdomen), infeksi ginekologi (endometritis, selulitis pelvis pasca operasi vagina, abses tuboovarium non-gonokokal, salpingitis, atau inflamasi pelvis ketika diberikan bersamaan dengan antibiotik untuk bakteri aerob gram negatif), servisitis karena Chlamydia trachomatis, infeksi mulut (abses periodontal, periodontitis), terapi toksoplasmik ensefalitis pada pasien dengan AIDS (kombinasi bersama pirimetamin). Klindamisin dapat menjadi pilihan untuk pasien alergi golongan penisilin.</t>
  </si>
  <si>
    <t>HARUS DENGAN RESEP DOKTER. Kwaspadaan khusus pada : Pasien dengan riwayat penyakit gastrointestinal (misalnya kolitis)</t>
  </si>
  <si>
    <t>Spex Symbol X2 Fame Cleopatra Softlens Minus</t>
  </si>
  <si>
    <t>Spex Symbol X2 Fame Cleopatra Softlens Minus untuk penggunaan maksimal 3 Bulan. Spesifikasi Produk: Base Curve: 8.8 mm Diameter: 14.5 mm Kadar Air/Water Content: 55 % Masa Pakai/Recommended Usage: 3 Bulan/Monthly Varian: Cleopatra Ukuran/Power Range: -0.5000 s/d -4.00 (step 0.25D) -4.00 s/d -10.00 (step -0.5000D) tidak ada ukuran -0.25 Isi/Content: 2 buah (1 pasang)</t>
  </si>
  <si>
    <t>spex symbol x2 fame cleopatra softlens minus penggunaan maksimal 3 bulan  spesifikasi produk base curve 8  8 mm diameter 14  5 mm kadar air water content 55 masa pakai recommended usage 3 bulan monthly varian cleopatra ukuran power range - 0  500 s d - 4  00 step 0  25d - 4  00 s d - 10  00 step - 0  500d tidak ukuran - 0  25 isi content 2 buah 1 pasang</t>
  </si>
  <si>
    <t>spex symbol x fame cleopatra softlens minus</t>
  </si>
  <si>
    <t>spex symbol x fame cleopatra softlens minus tablet kombinasivalsartan blend 32 spex symbol x2 fame cleopatra softlens minus penggunaan maksimal 3 bulan  spesifikasi produk base curve 8  8 mm diameter 14  5 mm kadar air water content 55 masa pakai recommended usage 3 bulan monthly varian cleopatra ukuran power range  0  500 s d  4  00 step 0  25d  4  00 s d  10  00 step  0  500d tidak ukuran  0  25 isi content 2 buah 1 pasang</t>
  </si>
  <si>
    <t>ximex optixitrol eye drop tetes neomycin sulfate dexamethasone sodium phosphate polymyxin b sulfate gangguan inflamasi ocular diindikasikan kortikosteroid dimana infeksi bakteri resiko infeksi bakteri ocular  steroid ocular diindikasikan inflamasi palpebral  conjunctivitis bulbar  cornea  anterior bola mata resiko penggunaan steroid infeksi conjunctiva mengurangi edema bengkak inflamasi  penggunaan kombinasi anti infeksi obat diindikasikan resiko infeksi diduga bakteri berbahaya mata  obat anti infeksi obat aktif bakteri patogen mata staphylococcus aureus  haemophyllus influenza  neisseria sp  produk tidak aktif serratia marcescens  streptococci streptococus pneumonia</t>
  </si>
  <si>
    <t>TI134347671</t>
  </si>
  <si>
    <t>Nature's Health Grape Seed Extract 60 Kapsul</t>
  </si>
  <si>
    <t>NATURES HEALTH GRAPE SEED EXTRACT</t>
  </si>
  <si>
    <t>Rp216.700 - Rp245.700</t>
  </si>
  <si>
    <t>2 kapsul/hari</t>
  </si>
  <si>
    <t>Membantu memelihara kesehatan, membantu mencegah timbulnya enzim yang merusak jaringan kolagen dan elastin yang berfungsi untuk mengencangkan kulit, jaringan, otot, dan pembuluh darah, juga membantu mengurangi resiko penyakit jantung, hipertensi, varises, retinophaty, dan katarak, sebagai antioksidan melawan radikal bebas untuk mencegah terjadinya kanker, serangan jantung, penyakit Azheimer, arthritis, dan penuaan dini, menghambat enzim hialuronidase yang timbul sewaktu peradangan &amp; mengeluarkan histamin yang menyebabkan reaksi alergi, mengurangi stress, merupakan antioksidan yang dapat masuk ke pembuluh darah otak sehingga bermanfaat melindungi sel &amp; jaringan otak yang sangat peka terhadap serangan radikal bebas. membantu proses pemulihan memar akibat kecelakaan. Menjaga kesehatan gigi &amp; gusi.</t>
  </si>
  <si>
    <t>Simpan dalam tempat tertutup rapat, Hindari dari jangkauan anak-anak</t>
  </si>
  <si>
    <t>natures health grape seed extract</t>
  </si>
  <si>
    <t>membantu memelihara kesehatan , membantu mencegah timbulnya enzim merusak jaringan kolagen elastin berfungsi mengencangkan kulit , jaringan , otot , pembuluh darah , membantu mengurangi resiko penyakit jantung , hipertensi , varises , retinophaty , katarak , antioksidan melawan radikal bebas mencegah kanker , serangan jantung , penyakit azheimer , arthritis , penuaan , menghambat enzim hialuronidase timbul peradangan mengeluarkan histamin menyebabkan reaksi alergi , mengurangi stress , antioksidan masuk pembuluh darah otak bermanfaat melindungi sel jaringan otak peka serangan radikal bebas  membantu prose pemulihan memar akibat kecelakaan  menjaga kesehatan gigi gusi</t>
  </si>
  <si>
    <t>natures health grape seed extract kapsul membantu memelihara kesehatan  membantu mencegah timbulnya enzim merusak jaringan kolagen elastin berfungsi mengencangkan kulit  jaringan  otot  pembuluh darah  membantu mengurangi resiko penyakit jantung  hipertensi  varises  retinophaty  katarak  antioksidan melawan radikal bebas mencegah kanker  serangan jantung  penyakit azheimer  arthritis  penuaan  menghambat enzim hialuronidase timbul peradangan mengeluarkan histamin menyebabkan reaksi alergi  mengurangi stress  antioksidan masuk pembuluh darah otak bermanfaat melindungi sel jaringan otak peka serangan radikal bebas  membantu prose pemulihan memar akibat kecelakaan  menjaga kesehatan gigi gusi</t>
  </si>
  <si>
    <t>Eyesight Kitty Kawaii Mini Olivia Light Brown Softlens Minus</t>
  </si>
  <si>
    <t>Eyesight Kitty Kawaii Mini Olivia Light Brown Softlens Plano/No Minus untuk penggunaan maksimal selama 6 Bulan. Spesifikasi Produk: Base Curve: 8.6 mm Diameter: 14.2 mm Kadar Air/Water Content: 55 % Masa Pakai/Recommended Usage: 6 Bulan/Monthly Varian: Light Brown Ukuran/Power Range: -0.50 up to -5.00 (step -0.25), -5.50 up to -8.00 (step -0.50) Isi/Content: 2 buah (1 pasang)</t>
  </si>
  <si>
    <t>eyesight kitty kawaii mini olivia light brown softlens plano no minus penggunaan maksimal 6 bulan  spesifikasi produk base curve 8  6 mm diameter 14  2 mm kadar air water content 55 masa pakai recommended usage 6 bulan monthly varian light brown ukuran power range - 0  50 up to - 5  00 step - 0  25 , - 5  50 up to - 8  00 step - 0  50 isi content 2 buah 1 pasang</t>
  </si>
  <si>
    <t>eyesight kitty kawaii mini olivia light brown softlens minus</t>
  </si>
  <si>
    <t>eyesight kitty kawaii mini olivia light brown softlens minus tablet kombinasivalsartan blend 32 eyesight kitty kawaii mini olivia light brown softlens plano no minus penggunaan maksimal 6 bulan  spesifikasi produk base curve 8  6 mm diameter 14  2 mm kadar air water content 55 masa pakai recommended usage 6 bulan monthly varian light brown ukuran power range  0  50 up to  5  00 step  0  25   5  50 up to  8  00 step  0  50 isi content 2 buah 1 pasang</t>
  </si>
  <si>
    <t>Nature's Health Grape Seed Extract 30 Kapsul</t>
  </si>
  <si>
    <t>Rp161.000 - Rp281.300</t>
  </si>
  <si>
    <t>Membantu mencegah timbulnya enzim yang merusak jaringan kolagen dan elastin yang berfungsi untuk mengencangkan dan mengenyalkan kulit, jaringan, otot, dan pembuluh darah, juga membantu mengurangi resiko penyakit jantung, hipertensi, varises, retinopati dan katarak. Sebagai antioksidan melawan radikal bebas untuk mencegah terjadinya kanker, serangan jantung, penyakit Alzheimer, arthritis dan penuaan dini. Menghambat enzim hialuronidase yang timbul sewaktu peradangan dan mengeluarkan histamin yang menyebabkan reaksi alergi, juga dapat mengurangi stress. Merupakan antioksidan yang dapat masuk ke pembuluh darah otak sehingga bermanfaat melindungi sel dan jaringan otak yang sangat peka terhadap serangan radikal bebas. Membantu proses pemulihan memar akibat kecelakaan. Menjaga kesehatan gigi dan gusi.</t>
  </si>
  <si>
    <t>membantu mencegah timbulnya enzim merusak jaringan kolagen elastin berfungsi mengencangkan mengenyalkan kulit , jaringan , otot , pembuluh darah , membantu mengurangi resiko penyakit jantung , hipertensi , varises , retinopati katarak  sebagai antioksidan melawan radikal bebas mencegah kanker , serangan jantung , penyakit alzheimer , arthritis penuaan  menghambat enzim hialuronidase timbul peradangan mengeluarkan histamin menyebabkan reaksi alergi , mengurangi stress  merupakan antioksidan masuk pembuluh darah otak bermanfaat melindungi sel jaringan otak peka serangan radikal bebas  membantu prose pemulihan memar akibat kecelakaan  menjaga kesehatan gigi gusi</t>
  </si>
  <si>
    <t>natures health grape seed extract kapsul membantu mencegah timbulnya enzim merusak jaringan kolagen elastin berfungsi mengencangkan mengenyalkan kulit  jaringan  otot  pembuluh darah  membantu mengurangi resiko penyakit jantung  hipertensi  varises  retinopati katarak  sebagai antioksidan melawan radikal bebas mencegah kanker  serangan jantung  penyakit alzheimer  arthritis penuaan  menghambat enzim hialuronidase timbul peradangan mengeluarkan histamin menyebabkan reaksi alergi  mengurangi stress  merupakan antioksidan masuk pembuluh darah otak bermanfaat melindungi sel jaringan otak peka serangan radikal bebas  membantu prose pemulihan memar akibat kecelakaan  menjaga kesehatan gigi gusi</t>
  </si>
  <si>
    <t>DKL9217607917A1</t>
  </si>
  <si>
    <t>Sitro 150 mg 10 Tablet</t>
  </si>
  <si>
    <t>Rp93.900 - Rp104.600</t>
  </si>
  <si>
    <t>PENGGUNAAN OBAT INI HARUS SESUAI DENGAN PETUNJUK DOKTER. Dewasa dan lansia : 1 tablet pada pagi dan malam hari</t>
  </si>
  <si>
    <t>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ragamasalah pendinginan jangka pendek dan cepat dalam berbagai macam olah raga. semprot bagian yg terkena sakit/cedera sekitar 20 cm dari kulit. Cepat meredakan nyeri cedera karena olah raga</t>
  </si>
  <si>
    <t>Tablet 150 mg x 30</t>
  </si>
  <si>
    <t>HARUS DENGAN RESEP DOKTER. Insufisiensi hati</t>
  </si>
  <si>
    <t>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ragamasalah pendinginan jangka pendek cepat olah raga  semprot yg terkena sakit cedera 20 cm kulit  cepat meredakan nyeri cedera olah raga</t>
  </si>
  <si>
    <t>sitro</t>
  </si>
  <si>
    <t>sitro tablet roxithromycin 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ragamasalah pendingi jangka pendek cepat olah raga  semprot yg terkena sakit cedera 20 cm kulit  cepat meredakan nyeri cedera olah raga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</si>
</sst>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Rp&quot;#,##0;[Red]\-&quot;Rp&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59"/>
  <sheetViews>
    <sheetView tabSelected="1" workbookViewId="0">
      <selection activeCell="H6" sqref="H6"/>
    </sheetView>
  </sheetViews>
  <sheetFormatPr defaultRowHeight="14.5" x14ac:dyDescent="0.35"/>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v>7471</v>
      </c>
      <c r="B2" t="s">
        <v>19</v>
      </c>
      <c r="C2" t="s">
        <v>20</v>
      </c>
      <c r="D2" t="s">
        <v>21</v>
      </c>
      <c r="E2" t="s">
        <v>22</v>
      </c>
      <c r="F2" t="s">
        <v>23</v>
      </c>
      <c r="J2" t="s">
        <v>24</v>
      </c>
      <c r="N2" t="s">
        <v>25</v>
      </c>
      <c r="P2" t="s">
        <v>25</v>
      </c>
      <c r="Q2" t="s">
        <v>26</v>
      </c>
      <c r="R2">
        <v>1</v>
      </c>
      <c r="S2">
        <v>16</v>
      </c>
    </row>
    <row r="3" spans="1:19" x14ac:dyDescent="0.35">
      <c r="A3">
        <v>2022</v>
      </c>
      <c r="B3" t="s">
        <v>27</v>
      </c>
      <c r="C3" t="s">
        <v>20</v>
      </c>
      <c r="D3" t="s">
        <v>28</v>
      </c>
      <c r="E3" t="s">
        <v>29</v>
      </c>
      <c r="F3" t="s">
        <v>30</v>
      </c>
      <c r="J3" t="s">
        <v>31</v>
      </c>
      <c r="N3" t="s">
        <v>32</v>
      </c>
      <c r="P3" t="s">
        <v>32</v>
      </c>
      <c r="Q3" t="s">
        <v>33</v>
      </c>
      <c r="R3">
        <v>1</v>
      </c>
      <c r="S3">
        <v>16</v>
      </c>
    </row>
    <row r="4" spans="1:19" x14ac:dyDescent="0.35">
      <c r="A4">
        <v>2021</v>
      </c>
      <c r="B4" t="s">
        <v>27</v>
      </c>
      <c r="C4" t="s">
        <v>20</v>
      </c>
      <c r="D4" t="s">
        <v>28</v>
      </c>
      <c r="E4" t="s">
        <v>29</v>
      </c>
      <c r="F4" t="s">
        <v>30</v>
      </c>
      <c r="J4" t="s">
        <v>31</v>
      </c>
      <c r="N4" t="s">
        <v>32</v>
      </c>
      <c r="P4" t="s">
        <v>32</v>
      </c>
      <c r="Q4" t="s">
        <v>33</v>
      </c>
      <c r="R4">
        <v>1</v>
      </c>
      <c r="S4">
        <v>16</v>
      </c>
    </row>
    <row r="5" spans="1:19" x14ac:dyDescent="0.35">
      <c r="A5">
        <v>448</v>
      </c>
      <c r="B5" t="s">
        <v>34</v>
      </c>
      <c r="C5" t="s">
        <v>20</v>
      </c>
      <c r="D5" t="s">
        <v>35</v>
      </c>
      <c r="E5" t="s">
        <v>36</v>
      </c>
      <c r="F5" t="s">
        <v>37</v>
      </c>
      <c r="M5" t="s">
        <v>38</v>
      </c>
      <c r="N5" t="s">
        <v>39</v>
      </c>
      <c r="P5" t="s">
        <v>39</v>
      </c>
      <c r="Q5" t="s">
        <v>40</v>
      </c>
      <c r="R5">
        <v>2</v>
      </c>
      <c r="S5">
        <v>16</v>
      </c>
    </row>
    <row r="6" spans="1:19" x14ac:dyDescent="0.35">
      <c r="A6">
        <v>2269</v>
      </c>
      <c r="B6" t="s">
        <v>41</v>
      </c>
      <c r="C6" t="s">
        <v>42</v>
      </c>
      <c r="D6" t="s">
        <v>43</v>
      </c>
      <c r="E6" t="e" cm="1">
        <f t="array" ref="E6">- ETORICOXIB</f>
        <v>#NAME?</v>
      </c>
      <c r="F6" t="s">
        <v>44</v>
      </c>
      <c r="J6" t="s">
        <v>45</v>
      </c>
      <c r="M6" t="s">
        <v>46</v>
      </c>
      <c r="N6" t="s">
        <v>47</v>
      </c>
      <c r="P6" t="s">
        <v>47</v>
      </c>
      <c r="Q6" t="s">
        <v>48</v>
      </c>
      <c r="R6">
        <v>2</v>
      </c>
      <c r="S6">
        <v>16</v>
      </c>
    </row>
    <row r="7" spans="1:19" x14ac:dyDescent="0.35">
      <c r="A7">
        <v>1388</v>
      </c>
      <c r="B7" t="s">
        <v>49</v>
      </c>
      <c r="C7" t="s">
        <v>20</v>
      </c>
      <c r="D7" t="s">
        <v>50</v>
      </c>
      <c r="E7" t="s">
        <v>51</v>
      </c>
      <c r="F7" t="s">
        <v>52</v>
      </c>
      <c r="J7" t="s">
        <v>53</v>
      </c>
      <c r="M7" t="s">
        <v>46</v>
      </c>
      <c r="N7" t="s">
        <v>54</v>
      </c>
      <c r="P7" t="s">
        <v>54</v>
      </c>
      <c r="Q7" t="s">
        <v>55</v>
      </c>
      <c r="R7">
        <v>2</v>
      </c>
      <c r="S7">
        <v>16</v>
      </c>
    </row>
    <row r="8" spans="1:19" x14ac:dyDescent="0.35">
      <c r="A8">
        <v>7882</v>
      </c>
      <c r="B8" t="s">
        <v>56</v>
      </c>
      <c r="C8" t="s">
        <v>20</v>
      </c>
      <c r="D8" t="s">
        <v>57</v>
      </c>
      <c r="E8" t="s">
        <v>58</v>
      </c>
      <c r="F8" t="s">
        <v>59</v>
      </c>
      <c r="G8" t="s">
        <v>60</v>
      </c>
      <c r="H8" t="s">
        <v>61</v>
      </c>
      <c r="J8" t="s">
        <v>62</v>
      </c>
      <c r="M8" t="s">
        <v>63</v>
      </c>
      <c r="N8" t="s">
        <v>64</v>
      </c>
      <c r="P8" t="s">
        <v>64</v>
      </c>
      <c r="Q8" t="s">
        <v>65</v>
      </c>
      <c r="R8">
        <v>2</v>
      </c>
      <c r="S8">
        <v>16</v>
      </c>
    </row>
    <row r="9" spans="1:19" x14ac:dyDescent="0.35">
      <c r="A9">
        <v>8864</v>
      </c>
      <c r="B9" t="s">
        <v>66</v>
      </c>
      <c r="C9" t="s">
        <v>20</v>
      </c>
      <c r="D9" t="s">
        <v>67</v>
      </c>
      <c r="E9" t="s">
        <v>68</v>
      </c>
      <c r="F9" t="s">
        <v>69</v>
      </c>
      <c r="J9" t="s">
        <v>70</v>
      </c>
      <c r="M9" t="s">
        <v>38</v>
      </c>
      <c r="N9" t="s">
        <v>71</v>
      </c>
      <c r="P9" t="s">
        <v>71</v>
      </c>
      <c r="Q9" t="s">
        <v>72</v>
      </c>
      <c r="R9">
        <v>2</v>
      </c>
      <c r="S9">
        <v>16</v>
      </c>
    </row>
    <row r="10" spans="1:19" x14ac:dyDescent="0.35">
      <c r="A10">
        <v>8865</v>
      </c>
      <c r="B10" t="s">
        <v>66</v>
      </c>
      <c r="C10" t="s">
        <v>20</v>
      </c>
      <c r="D10" t="s">
        <v>73</v>
      </c>
      <c r="E10" t="s">
        <v>68</v>
      </c>
      <c r="F10" t="s">
        <v>74</v>
      </c>
      <c r="J10" t="s">
        <v>75</v>
      </c>
      <c r="M10" t="s">
        <v>38</v>
      </c>
      <c r="N10" t="s">
        <v>71</v>
      </c>
      <c r="P10" t="s">
        <v>71</v>
      </c>
      <c r="Q10" t="s">
        <v>72</v>
      </c>
      <c r="R10">
        <v>2</v>
      </c>
      <c r="S10">
        <v>16</v>
      </c>
    </row>
    <row r="11" spans="1:19" x14ac:dyDescent="0.35">
      <c r="A11">
        <v>7887</v>
      </c>
      <c r="B11" t="s">
        <v>76</v>
      </c>
      <c r="C11" t="s">
        <v>20</v>
      </c>
      <c r="D11" t="s">
        <v>77</v>
      </c>
      <c r="E11" t="s">
        <v>78</v>
      </c>
      <c r="F11" t="s">
        <v>79</v>
      </c>
      <c r="M11" t="s">
        <v>46</v>
      </c>
      <c r="N11" t="s">
        <v>80</v>
      </c>
      <c r="P11" t="s">
        <v>80</v>
      </c>
      <c r="Q11" t="s">
        <v>81</v>
      </c>
      <c r="R11">
        <v>2</v>
      </c>
      <c r="S11">
        <v>16</v>
      </c>
    </row>
    <row r="12" spans="1:19" x14ac:dyDescent="0.35">
      <c r="A12">
        <v>4340</v>
      </c>
      <c r="B12" t="s">
        <v>82</v>
      </c>
      <c r="C12" t="s">
        <v>20</v>
      </c>
      <c r="D12" t="s">
        <v>83</v>
      </c>
      <c r="E12" t="s">
        <v>84</v>
      </c>
      <c r="F12" t="s">
        <v>85</v>
      </c>
      <c r="J12" t="s">
        <v>86</v>
      </c>
      <c r="M12" t="s">
        <v>87</v>
      </c>
      <c r="N12" t="s">
        <v>88</v>
      </c>
      <c r="P12" t="s">
        <v>88</v>
      </c>
      <c r="Q12" t="s">
        <v>89</v>
      </c>
      <c r="R12">
        <v>2</v>
      </c>
      <c r="S12">
        <v>16</v>
      </c>
    </row>
    <row r="13" spans="1:19" x14ac:dyDescent="0.35">
      <c r="A13">
        <v>8866</v>
      </c>
      <c r="B13" t="s">
        <v>90</v>
      </c>
      <c r="C13" t="s">
        <v>20</v>
      </c>
      <c r="D13" t="s">
        <v>91</v>
      </c>
      <c r="E13" t="s">
        <v>92</v>
      </c>
      <c r="F13" t="s">
        <v>93</v>
      </c>
      <c r="J13" t="s">
        <v>94</v>
      </c>
      <c r="M13" t="s">
        <v>63</v>
      </c>
      <c r="N13" t="s">
        <v>95</v>
      </c>
      <c r="P13" t="s">
        <v>95</v>
      </c>
      <c r="Q13" t="s">
        <v>96</v>
      </c>
      <c r="R13">
        <v>2</v>
      </c>
      <c r="S13">
        <v>16</v>
      </c>
    </row>
    <row r="14" spans="1:19" x14ac:dyDescent="0.35">
      <c r="A14">
        <v>7892</v>
      </c>
      <c r="B14" t="s">
        <v>97</v>
      </c>
      <c r="C14" t="s">
        <v>20</v>
      </c>
      <c r="D14" t="s">
        <v>98</v>
      </c>
      <c r="E14" t="s">
        <v>99</v>
      </c>
      <c r="F14" t="s">
        <v>100</v>
      </c>
      <c r="J14" t="s">
        <v>101</v>
      </c>
      <c r="M14" t="s">
        <v>38</v>
      </c>
      <c r="N14" t="s">
        <v>102</v>
      </c>
      <c r="P14" t="s">
        <v>102</v>
      </c>
      <c r="Q14" t="s">
        <v>103</v>
      </c>
      <c r="R14">
        <v>2</v>
      </c>
      <c r="S14">
        <v>16</v>
      </c>
    </row>
    <row r="15" spans="1:19" x14ac:dyDescent="0.35">
      <c r="A15">
        <v>8873</v>
      </c>
      <c r="B15" t="s">
        <v>104</v>
      </c>
      <c r="C15" t="s">
        <v>20</v>
      </c>
      <c r="D15" t="s">
        <v>105</v>
      </c>
      <c r="E15" t="s">
        <v>106</v>
      </c>
      <c r="F15" s="1">
        <v>185000</v>
      </c>
      <c r="J15" t="s">
        <v>107</v>
      </c>
      <c r="M15" t="s">
        <v>38</v>
      </c>
      <c r="N15" t="s">
        <v>108</v>
      </c>
      <c r="P15" t="s">
        <v>108</v>
      </c>
      <c r="Q15" t="s">
        <v>109</v>
      </c>
      <c r="R15">
        <v>2</v>
      </c>
      <c r="S15">
        <v>16</v>
      </c>
    </row>
    <row r="16" spans="1:19" x14ac:dyDescent="0.35">
      <c r="A16">
        <v>408</v>
      </c>
      <c r="B16" t="s">
        <v>110</v>
      </c>
      <c r="C16" t="s">
        <v>20</v>
      </c>
      <c r="D16" t="s">
        <v>111</v>
      </c>
      <c r="E16" t="s">
        <v>112</v>
      </c>
      <c r="F16" t="s">
        <v>113</v>
      </c>
      <c r="J16" t="s">
        <v>107</v>
      </c>
      <c r="M16" t="s">
        <v>38</v>
      </c>
      <c r="N16" t="s">
        <v>114</v>
      </c>
      <c r="P16" t="s">
        <v>114</v>
      </c>
      <c r="Q16" t="s">
        <v>115</v>
      </c>
      <c r="R16">
        <v>2</v>
      </c>
      <c r="S16">
        <v>16</v>
      </c>
    </row>
    <row r="17" spans="1:19" x14ac:dyDescent="0.35">
      <c r="A17">
        <v>397</v>
      </c>
      <c r="B17" t="s">
        <v>116</v>
      </c>
      <c r="C17" t="s">
        <v>20</v>
      </c>
      <c r="D17" t="s">
        <v>117</v>
      </c>
      <c r="E17" t="s">
        <v>118</v>
      </c>
      <c r="F17" t="s">
        <v>119</v>
      </c>
      <c r="J17" t="s">
        <v>120</v>
      </c>
      <c r="M17" t="s">
        <v>38</v>
      </c>
      <c r="N17" t="s">
        <v>121</v>
      </c>
      <c r="P17" t="s">
        <v>121</v>
      </c>
      <c r="Q17" t="s">
        <v>122</v>
      </c>
      <c r="R17">
        <v>2</v>
      </c>
      <c r="S17">
        <v>16</v>
      </c>
    </row>
    <row r="18" spans="1:19" x14ac:dyDescent="0.35">
      <c r="A18">
        <v>6765</v>
      </c>
      <c r="B18" t="s">
        <v>123</v>
      </c>
      <c r="C18" t="s">
        <v>20</v>
      </c>
      <c r="D18" t="s">
        <v>124</v>
      </c>
      <c r="E18" t="s">
        <v>125</v>
      </c>
      <c r="F18" t="s">
        <v>126</v>
      </c>
      <c r="J18" t="s">
        <v>127</v>
      </c>
      <c r="M18" t="s">
        <v>38</v>
      </c>
      <c r="N18" t="s">
        <v>128</v>
      </c>
      <c r="P18" t="s">
        <v>128</v>
      </c>
      <c r="Q18" t="s">
        <v>129</v>
      </c>
      <c r="R18">
        <v>2</v>
      </c>
      <c r="S18">
        <v>16</v>
      </c>
    </row>
    <row r="19" spans="1:19" x14ac:dyDescent="0.35">
      <c r="A19">
        <v>1985</v>
      </c>
      <c r="B19" t="s">
        <v>130</v>
      </c>
      <c r="C19" t="s">
        <v>20</v>
      </c>
      <c r="D19" t="s">
        <v>131</v>
      </c>
      <c r="E19" t="s">
        <v>132</v>
      </c>
      <c r="F19" t="s">
        <v>133</v>
      </c>
      <c r="M19" t="s">
        <v>38</v>
      </c>
      <c r="N19" t="s">
        <v>134</v>
      </c>
      <c r="P19" t="s">
        <v>134</v>
      </c>
      <c r="Q19" t="s">
        <v>135</v>
      </c>
      <c r="R19">
        <v>2</v>
      </c>
      <c r="S19">
        <v>16</v>
      </c>
    </row>
    <row r="20" spans="1:19" x14ac:dyDescent="0.35">
      <c r="A20">
        <v>3989</v>
      </c>
      <c r="B20" t="s">
        <v>136</v>
      </c>
      <c r="C20" t="s">
        <v>20</v>
      </c>
      <c r="D20" t="s">
        <v>137</v>
      </c>
      <c r="E20" t="s">
        <v>138</v>
      </c>
      <c r="F20" t="s">
        <v>139</v>
      </c>
      <c r="J20" t="s">
        <v>70</v>
      </c>
      <c r="M20" t="s">
        <v>38</v>
      </c>
      <c r="N20" t="s">
        <v>140</v>
      </c>
      <c r="P20" t="s">
        <v>140</v>
      </c>
      <c r="Q20" t="s">
        <v>141</v>
      </c>
      <c r="R20">
        <v>2</v>
      </c>
      <c r="S20">
        <v>16</v>
      </c>
    </row>
    <row r="21" spans="1:19" x14ac:dyDescent="0.35">
      <c r="A21">
        <v>3972</v>
      </c>
      <c r="B21" t="s">
        <v>142</v>
      </c>
      <c r="C21" t="s">
        <v>20</v>
      </c>
      <c r="D21" t="s">
        <v>143</v>
      </c>
      <c r="E21" t="s">
        <v>144</v>
      </c>
      <c r="F21" t="s">
        <v>145</v>
      </c>
      <c r="M21" t="s">
        <v>38</v>
      </c>
      <c r="N21" t="s">
        <v>146</v>
      </c>
      <c r="P21" t="s">
        <v>146</v>
      </c>
      <c r="Q21" t="s">
        <v>147</v>
      </c>
      <c r="R21">
        <v>2</v>
      </c>
      <c r="S21">
        <v>16</v>
      </c>
    </row>
    <row r="22" spans="1:19" x14ac:dyDescent="0.35">
      <c r="A22">
        <v>3962</v>
      </c>
      <c r="B22" t="s">
        <v>148</v>
      </c>
      <c r="C22" t="s">
        <v>20</v>
      </c>
      <c r="D22" t="s">
        <v>149</v>
      </c>
      <c r="E22" t="s">
        <v>150</v>
      </c>
      <c r="F22" t="s">
        <v>151</v>
      </c>
      <c r="J22" t="s">
        <v>152</v>
      </c>
      <c r="M22" t="s">
        <v>38</v>
      </c>
      <c r="N22" t="s">
        <v>153</v>
      </c>
      <c r="P22" t="s">
        <v>153</v>
      </c>
      <c r="Q22" t="s">
        <v>154</v>
      </c>
      <c r="R22">
        <v>2</v>
      </c>
      <c r="S22">
        <v>16</v>
      </c>
    </row>
    <row r="23" spans="1:19" x14ac:dyDescent="0.35">
      <c r="A23">
        <v>1986</v>
      </c>
      <c r="B23" t="s">
        <v>130</v>
      </c>
      <c r="C23" t="s">
        <v>20</v>
      </c>
      <c r="D23" t="s">
        <v>131</v>
      </c>
      <c r="E23" t="s">
        <v>132</v>
      </c>
      <c r="F23" t="s">
        <v>133</v>
      </c>
      <c r="M23" t="s">
        <v>38</v>
      </c>
      <c r="N23" t="s">
        <v>134</v>
      </c>
      <c r="P23" t="s">
        <v>134</v>
      </c>
      <c r="Q23" t="s">
        <v>135</v>
      </c>
      <c r="R23">
        <v>2</v>
      </c>
      <c r="S23">
        <v>16</v>
      </c>
    </row>
    <row r="24" spans="1:19" x14ac:dyDescent="0.35">
      <c r="A24">
        <v>9728</v>
      </c>
      <c r="B24" t="s">
        <v>155</v>
      </c>
      <c r="C24" t="s">
        <v>20</v>
      </c>
      <c r="D24" t="s">
        <v>156</v>
      </c>
      <c r="E24" t="s">
        <v>157</v>
      </c>
      <c r="F24" t="s">
        <v>158</v>
      </c>
      <c r="M24" t="s">
        <v>38</v>
      </c>
      <c r="N24" t="s">
        <v>159</v>
      </c>
      <c r="P24" t="s">
        <v>159</v>
      </c>
      <c r="Q24" t="s">
        <v>160</v>
      </c>
      <c r="R24">
        <v>2</v>
      </c>
      <c r="S24">
        <v>16</v>
      </c>
    </row>
    <row r="25" spans="1:19" x14ac:dyDescent="0.35">
      <c r="A25">
        <v>3961</v>
      </c>
      <c r="B25" t="s">
        <v>148</v>
      </c>
      <c r="C25" t="s">
        <v>20</v>
      </c>
      <c r="D25" t="s">
        <v>149</v>
      </c>
      <c r="E25" t="s">
        <v>150</v>
      </c>
      <c r="F25" t="s">
        <v>151</v>
      </c>
      <c r="J25" t="s">
        <v>152</v>
      </c>
      <c r="M25" t="s">
        <v>38</v>
      </c>
      <c r="N25" t="s">
        <v>153</v>
      </c>
      <c r="P25" t="s">
        <v>153</v>
      </c>
      <c r="Q25" t="s">
        <v>154</v>
      </c>
      <c r="R25">
        <v>2</v>
      </c>
      <c r="S25">
        <v>16</v>
      </c>
    </row>
    <row r="26" spans="1:19" x14ac:dyDescent="0.35">
      <c r="A26">
        <v>3960</v>
      </c>
      <c r="B26" t="s">
        <v>148</v>
      </c>
      <c r="C26" t="s">
        <v>20</v>
      </c>
      <c r="D26" t="s">
        <v>149</v>
      </c>
      <c r="E26" t="s">
        <v>150</v>
      </c>
      <c r="F26" t="s">
        <v>151</v>
      </c>
      <c r="J26" t="s">
        <v>152</v>
      </c>
      <c r="M26" t="s">
        <v>38</v>
      </c>
      <c r="N26" t="s">
        <v>153</v>
      </c>
      <c r="P26" t="s">
        <v>153</v>
      </c>
      <c r="Q26" t="s">
        <v>154</v>
      </c>
      <c r="R26">
        <v>2</v>
      </c>
      <c r="S26">
        <v>16</v>
      </c>
    </row>
    <row r="27" spans="1:19" x14ac:dyDescent="0.35">
      <c r="A27">
        <v>8869</v>
      </c>
      <c r="B27" t="s">
        <v>161</v>
      </c>
      <c r="C27" t="s">
        <v>20</v>
      </c>
      <c r="D27" t="s">
        <v>162</v>
      </c>
      <c r="E27" t="s">
        <v>163</v>
      </c>
      <c r="F27" s="1">
        <v>247400</v>
      </c>
      <c r="M27" t="s">
        <v>38</v>
      </c>
      <c r="N27" t="s">
        <v>164</v>
      </c>
      <c r="P27" t="s">
        <v>164</v>
      </c>
      <c r="Q27" t="s">
        <v>165</v>
      </c>
      <c r="R27">
        <v>2</v>
      </c>
      <c r="S27">
        <v>16</v>
      </c>
    </row>
    <row r="28" spans="1:19" x14ac:dyDescent="0.35">
      <c r="A28">
        <v>7899</v>
      </c>
      <c r="B28" t="s">
        <v>166</v>
      </c>
      <c r="C28" t="s">
        <v>20</v>
      </c>
      <c r="D28" t="s">
        <v>167</v>
      </c>
      <c r="E28" t="s">
        <v>168</v>
      </c>
      <c r="F28" t="s">
        <v>169</v>
      </c>
      <c r="J28" t="s">
        <v>170</v>
      </c>
      <c r="M28" t="s">
        <v>38</v>
      </c>
      <c r="N28" t="s">
        <v>171</v>
      </c>
      <c r="P28" t="s">
        <v>171</v>
      </c>
      <c r="Q28" t="s">
        <v>172</v>
      </c>
      <c r="R28">
        <v>2</v>
      </c>
      <c r="S28">
        <v>16</v>
      </c>
    </row>
    <row r="29" spans="1:19" x14ac:dyDescent="0.35">
      <c r="A29">
        <v>447</v>
      </c>
      <c r="B29" t="s">
        <v>34</v>
      </c>
      <c r="C29" t="s">
        <v>20</v>
      </c>
      <c r="D29" t="s">
        <v>35</v>
      </c>
      <c r="E29" t="s">
        <v>36</v>
      </c>
      <c r="F29" t="s">
        <v>37</v>
      </c>
      <c r="M29" t="s">
        <v>38</v>
      </c>
      <c r="N29" t="s">
        <v>39</v>
      </c>
      <c r="P29" t="s">
        <v>39</v>
      </c>
      <c r="Q29" t="s">
        <v>40</v>
      </c>
      <c r="R29">
        <v>2</v>
      </c>
      <c r="S29">
        <v>16</v>
      </c>
    </row>
    <row r="30" spans="1:19" x14ac:dyDescent="0.35">
      <c r="A30">
        <v>7640</v>
      </c>
      <c r="B30" t="s">
        <v>173</v>
      </c>
      <c r="C30" t="s">
        <v>20</v>
      </c>
      <c r="D30" t="s">
        <v>174</v>
      </c>
      <c r="E30" t="s">
        <v>175</v>
      </c>
      <c r="F30" t="s">
        <v>176</v>
      </c>
      <c r="J30" t="s">
        <v>177</v>
      </c>
      <c r="M30" t="s">
        <v>38</v>
      </c>
      <c r="N30" t="s">
        <v>178</v>
      </c>
      <c r="P30" t="s">
        <v>178</v>
      </c>
      <c r="Q30" t="s">
        <v>179</v>
      </c>
      <c r="R30">
        <v>2</v>
      </c>
      <c r="S30">
        <v>16</v>
      </c>
    </row>
    <row r="31" spans="1:19" x14ac:dyDescent="0.35">
      <c r="A31">
        <v>7472</v>
      </c>
      <c r="B31" t="s">
        <v>180</v>
      </c>
      <c r="C31" t="s">
        <v>20</v>
      </c>
      <c r="D31" t="s">
        <v>181</v>
      </c>
      <c r="E31" t="s">
        <v>182</v>
      </c>
      <c r="F31" t="s">
        <v>183</v>
      </c>
      <c r="J31" t="s">
        <v>70</v>
      </c>
      <c r="M31" t="s">
        <v>38</v>
      </c>
      <c r="N31" t="s">
        <v>184</v>
      </c>
      <c r="P31" t="s">
        <v>184</v>
      </c>
      <c r="Q31" t="s">
        <v>185</v>
      </c>
      <c r="R31">
        <v>2</v>
      </c>
      <c r="S31">
        <v>16</v>
      </c>
    </row>
    <row r="32" spans="1:19" x14ac:dyDescent="0.35">
      <c r="A32">
        <v>431</v>
      </c>
      <c r="B32" t="s">
        <v>186</v>
      </c>
      <c r="C32" t="s">
        <v>20</v>
      </c>
      <c r="D32" t="s">
        <v>187</v>
      </c>
      <c r="E32" t="s">
        <v>188</v>
      </c>
      <c r="F32" t="s">
        <v>189</v>
      </c>
      <c r="J32" t="s">
        <v>190</v>
      </c>
      <c r="M32" t="s">
        <v>38</v>
      </c>
      <c r="N32" t="s">
        <v>191</v>
      </c>
      <c r="P32" t="s">
        <v>191</v>
      </c>
      <c r="Q32" t="s">
        <v>192</v>
      </c>
      <c r="R32">
        <v>2</v>
      </c>
      <c r="S32">
        <v>16</v>
      </c>
    </row>
    <row r="33" spans="1:19" x14ac:dyDescent="0.35">
      <c r="A33">
        <v>7950</v>
      </c>
      <c r="B33" t="s">
        <v>193</v>
      </c>
      <c r="C33" t="s">
        <v>20</v>
      </c>
      <c r="D33" t="s">
        <v>194</v>
      </c>
      <c r="E33" t="s">
        <v>195</v>
      </c>
      <c r="F33" t="s">
        <v>196</v>
      </c>
      <c r="J33" t="s">
        <v>197</v>
      </c>
      <c r="M33" t="s">
        <v>38</v>
      </c>
      <c r="N33" t="s">
        <v>198</v>
      </c>
      <c r="P33" t="s">
        <v>198</v>
      </c>
      <c r="Q33" t="s">
        <v>199</v>
      </c>
      <c r="R33">
        <v>2</v>
      </c>
      <c r="S33">
        <v>16</v>
      </c>
    </row>
    <row r="34" spans="1:19" x14ac:dyDescent="0.35">
      <c r="A34">
        <v>7943</v>
      </c>
      <c r="B34" t="s">
        <v>200</v>
      </c>
      <c r="C34" t="s">
        <v>20</v>
      </c>
      <c r="D34" t="s">
        <v>201</v>
      </c>
      <c r="E34" t="s">
        <v>202</v>
      </c>
      <c r="F34" t="s">
        <v>203</v>
      </c>
      <c r="J34" t="s">
        <v>204</v>
      </c>
      <c r="M34" t="s">
        <v>38</v>
      </c>
      <c r="N34" t="s">
        <v>205</v>
      </c>
      <c r="P34" t="s">
        <v>205</v>
      </c>
      <c r="Q34" t="s">
        <v>206</v>
      </c>
      <c r="R34">
        <v>2</v>
      </c>
      <c r="S34">
        <v>16</v>
      </c>
    </row>
    <row r="35" spans="1:19" x14ac:dyDescent="0.35">
      <c r="A35">
        <v>407</v>
      </c>
      <c r="B35" t="s">
        <v>110</v>
      </c>
      <c r="C35" t="s">
        <v>20</v>
      </c>
      <c r="D35" t="s">
        <v>111</v>
      </c>
      <c r="E35" t="s">
        <v>112</v>
      </c>
      <c r="F35" t="s">
        <v>113</v>
      </c>
      <c r="J35" t="s">
        <v>107</v>
      </c>
      <c r="M35" t="s">
        <v>38</v>
      </c>
      <c r="N35" t="s">
        <v>114</v>
      </c>
      <c r="P35" t="s">
        <v>114</v>
      </c>
      <c r="Q35" t="s">
        <v>115</v>
      </c>
      <c r="R35">
        <v>2</v>
      </c>
      <c r="S35">
        <v>16</v>
      </c>
    </row>
    <row r="36" spans="1:19" x14ac:dyDescent="0.35">
      <c r="A36">
        <v>7761</v>
      </c>
      <c r="B36" t="s">
        <v>207</v>
      </c>
      <c r="C36" t="s">
        <v>20</v>
      </c>
      <c r="D36" t="s">
        <v>208</v>
      </c>
      <c r="E36" t="s">
        <v>209</v>
      </c>
      <c r="F36" s="1">
        <v>82900</v>
      </c>
      <c r="H36" t="s">
        <v>210</v>
      </c>
      <c r="J36" t="s">
        <v>70</v>
      </c>
      <c r="M36" t="s">
        <v>38</v>
      </c>
      <c r="N36" t="s">
        <v>211</v>
      </c>
      <c r="P36" t="s">
        <v>211</v>
      </c>
      <c r="Q36" t="s">
        <v>212</v>
      </c>
      <c r="R36">
        <v>2</v>
      </c>
      <c r="S36">
        <v>16</v>
      </c>
    </row>
    <row r="37" spans="1:19" x14ac:dyDescent="0.35">
      <c r="A37">
        <v>7446</v>
      </c>
      <c r="B37" t="s">
        <v>213</v>
      </c>
      <c r="C37" t="s">
        <v>20</v>
      </c>
      <c r="D37" t="s">
        <v>214</v>
      </c>
      <c r="E37" t="s">
        <v>215</v>
      </c>
      <c r="F37" s="1">
        <v>17100</v>
      </c>
      <c r="J37" t="s">
        <v>216</v>
      </c>
      <c r="M37" t="s">
        <v>38</v>
      </c>
      <c r="N37" t="s">
        <v>217</v>
      </c>
      <c r="P37" t="s">
        <v>217</v>
      </c>
      <c r="Q37" t="s">
        <v>218</v>
      </c>
      <c r="R37">
        <v>2</v>
      </c>
      <c r="S37">
        <v>16</v>
      </c>
    </row>
    <row r="38" spans="1:19" x14ac:dyDescent="0.35">
      <c r="A38">
        <v>7969</v>
      </c>
      <c r="B38" t="s">
        <v>219</v>
      </c>
      <c r="C38" t="s">
        <v>20</v>
      </c>
      <c r="D38" t="s">
        <v>220</v>
      </c>
      <c r="E38" t="s">
        <v>221</v>
      </c>
      <c r="F38" t="s">
        <v>222</v>
      </c>
      <c r="J38" t="s">
        <v>223</v>
      </c>
      <c r="M38" t="s">
        <v>38</v>
      </c>
      <c r="N38" t="s">
        <v>224</v>
      </c>
      <c r="P38" t="s">
        <v>224</v>
      </c>
      <c r="Q38" t="s">
        <v>225</v>
      </c>
      <c r="R38">
        <v>2</v>
      </c>
      <c r="S38">
        <v>16</v>
      </c>
    </row>
    <row r="39" spans="1:19" x14ac:dyDescent="0.35">
      <c r="A39">
        <v>7975</v>
      </c>
      <c r="B39" t="s">
        <v>226</v>
      </c>
      <c r="C39" t="s">
        <v>20</v>
      </c>
      <c r="D39" t="s">
        <v>227</v>
      </c>
      <c r="E39" t="s">
        <v>228</v>
      </c>
      <c r="F39" s="1">
        <v>247500</v>
      </c>
      <c r="J39" t="s">
        <v>229</v>
      </c>
      <c r="N39" t="s">
        <v>230</v>
      </c>
      <c r="P39" t="s">
        <v>230</v>
      </c>
      <c r="Q39" t="s">
        <v>231</v>
      </c>
      <c r="R39">
        <v>2</v>
      </c>
      <c r="S39">
        <v>16</v>
      </c>
    </row>
    <row r="40" spans="1:19" x14ac:dyDescent="0.35">
      <c r="A40">
        <v>7452</v>
      </c>
      <c r="B40" t="s">
        <v>232</v>
      </c>
      <c r="C40" t="s">
        <v>20</v>
      </c>
      <c r="D40" t="s">
        <v>233</v>
      </c>
      <c r="E40" t="s">
        <v>234</v>
      </c>
      <c r="F40" t="s">
        <v>235</v>
      </c>
      <c r="J40" t="s">
        <v>236</v>
      </c>
      <c r="M40" t="s">
        <v>38</v>
      </c>
      <c r="N40" t="s">
        <v>237</v>
      </c>
      <c r="P40" t="s">
        <v>237</v>
      </c>
      <c r="Q40" t="s">
        <v>238</v>
      </c>
      <c r="R40">
        <v>2</v>
      </c>
      <c r="S40">
        <v>16</v>
      </c>
    </row>
    <row r="41" spans="1:19" x14ac:dyDescent="0.35">
      <c r="A41">
        <v>7145</v>
      </c>
      <c r="B41" t="s">
        <v>239</v>
      </c>
      <c r="C41" t="s">
        <v>20</v>
      </c>
      <c r="D41" t="s">
        <v>240</v>
      </c>
      <c r="E41" t="s">
        <v>241</v>
      </c>
      <c r="F41" t="s">
        <v>242</v>
      </c>
      <c r="M41" t="s">
        <v>38</v>
      </c>
      <c r="N41" t="s">
        <v>243</v>
      </c>
      <c r="P41" t="s">
        <v>243</v>
      </c>
      <c r="Q41" t="s">
        <v>244</v>
      </c>
      <c r="R41">
        <v>2</v>
      </c>
      <c r="S41">
        <v>16</v>
      </c>
    </row>
    <row r="42" spans="1:19" x14ac:dyDescent="0.35">
      <c r="A42">
        <v>8874</v>
      </c>
      <c r="B42" t="s">
        <v>245</v>
      </c>
      <c r="C42" t="s">
        <v>20</v>
      </c>
      <c r="D42" t="s">
        <v>246</v>
      </c>
      <c r="E42" t="s">
        <v>247</v>
      </c>
      <c r="F42" t="s">
        <v>248</v>
      </c>
      <c r="M42" t="s">
        <v>38</v>
      </c>
      <c r="N42" t="s">
        <v>249</v>
      </c>
      <c r="P42" t="s">
        <v>249</v>
      </c>
      <c r="Q42" t="s">
        <v>250</v>
      </c>
      <c r="R42">
        <v>2</v>
      </c>
      <c r="S42">
        <v>16</v>
      </c>
    </row>
    <row r="43" spans="1:19" x14ac:dyDescent="0.35">
      <c r="A43">
        <v>7706</v>
      </c>
      <c r="B43" t="s">
        <v>251</v>
      </c>
      <c r="C43" t="s">
        <v>20</v>
      </c>
      <c r="D43" t="s">
        <v>252</v>
      </c>
      <c r="E43" t="s">
        <v>253</v>
      </c>
      <c r="F43" s="1">
        <v>278700</v>
      </c>
      <c r="J43" t="s">
        <v>254</v>
      </c>
      <c r="M43" t="s">
        <v>38</v>
      </c>
      <c r="N43" t="s">
        <v>255</v>
      </c>
      <c r="P43" t="s">
        <v>255</v>
      </c>
      <c r="Q43" t="s">
        <v>256</v>
      </c>
      <c r="R43">
        <v>2</v>
      </c>
      <c r="S43">
        <v>16</v>
      </c>
    </row>
    <row r="44" spans="1:19" x14ac:dyDescent="0.35">
      <c r="A44">
        <v>396</v>
      </c>
      <c r="B44" t="s">
        <v>116</v>
      </c>
      <c r="C44" t="s">
        <v>20</v>
      </c>
      <c r="D44" t="s">
        <v>117</v>
      </c>
      <c r="E44" t="s">
        <v>118</v>
      </c>
      <c r="F44" t="s">
        <v>119</v>
      </c>
      <c r="J44" t="s">
        <v>120</v>
      </c>
      <c r="M44" t="s">
        <v>38</v>
      </c>
      <c r="N44" t="s">
        <v>121</v>
      </c>
      <c r="P44" t="s">
        <v>121</v>
      </c>
      <c r="Q44" t="s">
        <v>122</v>
      </c>
      <c r="R44">
        <v>2</v>
      </c>
      <c r="S44">
        <v>16</v>
      </c>
    </row>
    <row r="45" spans="1:19" x14ac:dyDescent="0.35">
      <c r="A45">
        <v>7832</v>
      </c>
      <c r="B45" t="s">
        <v>257</v>
      </c>
      <c r="C45" t="s">
        <v>20</v>
      </c>
      <c r="D45" t="s">
        <v>258</v>
      </c>
      <c r="E45" t="s">
        <v>259</v>
      </c>
      <c r="F45" t="s">
        <v>260</v>
      </c>
      <c r="G45" t="s">
        <v>261</v>
      </c>
      <c r="H45" t="s">
        <v>262</v>
      </c>
      <c r="J45" t="s">
        <v>263</v>
      </c>
      <c r="M45" t="s">
        <v>63</v>
      </c>
      <c r="N45" t="s">
        <v>264</v>
      </c>
      <c r="P45" t="s">
        <v>264</v>
      </c>
      <c r="Q45" t="s">
        <v>265</v>
      </c>
      <c r="R45">
        <v>2</v>
      </c>
      <c r="S45">
        <v>16</v>
      </c>
    </row>
    <row r="46" spans="1:19" x14ac:dyDescent="0.35">
      <c r="A46">
        <v>6450</v>
      </c>
      <c r="B46" t="s">
        <v>266</v>
      </c>
      <c r="C46" t="s">
        <v>42</v>
      </c>
      <c r="D46" t="s">
        <v>267</v>
      </c>
      <c r="E46" t="e" cm="1">
        <f t="array" ref="E46">- THIAMPHENICOL</f>
        <v>#NAME?</v>
      </c>
      <c r="F46" t="s">
        <v>268</v>
      </c>
      <c r="H46" t="s">
        <v>269</v>
      </c>
      <c r="L46" t="s">
        <v>270</v>
      </c>
      <c r="M46" t="s">
        <v>271</v>
      </c>
      <c r="N46" t="s">
        <v>272</v>
      </c>
      <c r="P46" t="s">
        <v>272</v>
      </c>
      <c r="Q46" t="s">
        <v>273</v>
      </c>
      <c r="R46">
        <v>2</v>
      </c>
      <c r="S46">
        <v>16</v>
      </c>
    </row>
    <row r="47" spans="1:19" x14ac:dyDescent="0.35">
      <c r="A47">
        <v>4029</v>
      </c>
      <c r="B47" t="s">
        <v>274</v>
      </c>
      <c r="C47" t="s">
        <v>20</v>
      </c>
      <c r="D47" t="s">
        <v>275</v>
      </c>
      <c r="E47" t="s">
        <v>276</v>
      </c>
      <c r="F47" t="s">
        <v>277</v>
      </c>
      <c r="M47" t="s">
        <v>38</v>
      </c>
      <c r="N47" t="s">
        <v>278</v>
      </c>
      <c r="P47" t="s">
        <v>278</v>
      </c>
      <c r="Q47" t="s">
        <v>279</v>
      </c>
      <c r="R47">
        <v>2</v>
      </c>
      <c r="S47">
        <v>16</v>
      </c>
    </row>
    <row r="48" spans="1:19" x14ac:dyDescent="0.35">
      <c r="A48">
        <v>4030</v>
      </c>
      <c r="B48" t="s">
        <v>274</v>
      </c>
      <c r="C48" t="s">
        <v>20</v>
      </c>
      <c r="D48" t="s">
        <v>275</v>
      </c>
      <c r="E48" t="s">
        <v>276</v>
      </c>
      <c r="F48" t="s">
        <v>277</v>
      </c>
      <c r="M48" t="s">
        <v>38</v>
      </c>
      <c r="N48" t="s">
        <v>278</v>
      </c>
      <c r="P48" t="s">
        <v>278</v>
      </c>
      <c r="Q48" t="s">
        <v>279</v>
      </c>
      <c r="R48">
        <v>2</v>
      </c>
      <c r="S48">
        <v>16</v>
      </c>
    </row>
    <row r="49" spans="1:19" x14ac:dyDescent="0.35">
      <c r="A49">
        <v>7461</v>
      </c>
      <c r="B49" t="s">
        <v>280</v>
      </c>
      <c r="C49" t="s">
        <v>20</v>
      </c>
      <c r="D49" t="s">
        <v>281</v>
      </c>
      <c r="E49" t="s">
        <v>282</v>
      </c>
      <c r="F49" t="s">
        <v>283</v>
      </c>
      <c r="J49" t="s">
        <v>284</v>
      </c>
      <c r="M49" t="s">
        <v>46</v>
      </c>
      <c r="N49" t="s">
        <v>285</v>
      </c>
      <c r="P49" t="s">
        <v>285</v>
      </c>
      <c r="Q49" t="s">
        <v>286</v>
      </c>
      <c r="R49">
        <v>2</v>
      </c>
      <c r="S49">
        <v>16</v>
      </c>
    </row>
    <row r="50" spans="1:19" x14ac:dyDescent="0.35">
      <c r="A50">
        <v>7915</v>
      </c>
      <c r="B50" t="s">
        <v>287</v>
      </c>
      <c r="C50" t="s">
        <v>20</v>
      </c>
      <c r="D50" t="s">
        <v>288</v>
      </c>
      <c r="E50" t="s">
        <v>289</v>
      </c>
      <c r="F50" t="s">
        <v>290</v>
      </c>
      <c r="M50" t="s">
        <v>291</v>
      </c>
      <c r="N50" t="s">
        <v>292</v>
      </c>
      <c r="P50" t="s">
        <v>292</v>
      </c>
      <c r="Q50" t="s">
        <v>293</v>
      </c>
      <c r="R50">
        <v>2</v>
      </c>
      <c r="S50">
        <v>16</v>
      </c>
    </row>
    <row r="51" spans="1:19" x14ac:dyDescent="0.35">
      <c r="A51">
        <v>7831</v>
      </c>
      <c r="B51" t="s">
        <v>257</v>
      </c>
      <c r="C51" t="s">
        <v>20</v>
      </c>
      <c r="D51" t="s">
        <v>258</v>
      </c>
      <c r="E51" t="s">
        <v>259</v>
      </c>
      <c r="F51" t="s">
        <v>260</v>
      </c>
      <c r="G51" t="s">
        <v>261</v>
      </c>
      <c r="H51" t="s">
        <v>262</v>
      </c>
      <c r="J51" t="s">
        <v>263</v>
      </c>
      <c r="M51" t="s">
        <v>63</v>
      </c>
      <c r="N51" t="s">
        <v>264</v>
      </c>
      <c r="P51" t="s">
        <v>264</v>
      </c>
      <c r="Q51" t="s">
        <v>265</v>
      </c>
      <c r="R51">
        <v>2</v>
      </c>
      <c r="S51">
        <v>16</v>
      </c>
    </row>
    <row r="52" spans="1:19" x14ac:dyDescent="0.35">
      <c r="A52">
        <v>7454</v>
      </c>
      <c r="B52" t="s">
        <v>294</v>
      </c>
      <c r="C52" t="s">
        <v>20</v>
      </c>
      <c r="D52" t="s">
        <v>295</v>
      </c>
      <c r="E52" t="s">
        <v>296</v>
      </c>
      <c r="F52" t="s">
        <v>297</v>
      </c>
      <c r="J52" t="s">
        <v>107</v>
      </c>
      <c r="M52" t="s">
        <v>38</v>
      </c>
      <c r="N52" t="s">
        <v>298</v>
      </c>
      <c r="P52" t="s">
        <v>298</v>
      </c>
      <c r="Q52" t="s">
        <v>299</v>
      </c>
      <c r="R52">
        <v>2</v>
      </c>
      <c r="S52">
        <v>16</v>
      </c>
    </row>
    <row r="53" spans="1:19" x14ac:dyDescent="0.35">
      <c r="A53">
        <v>7453</v>
      </c>
      <c r="B53" t="s">
        <v>232</v>
      </c>
      <c r="C53" t="s">
        <v>20</v>
      </c>
      <c r="D53" t="s">
        <v>300</v>
      </c>
      <c r="E53" t="s">
        <v>234</v>
      </c>
      <c r="F53" t="s">
        <v>301</v>
      </c>
      <c r="J53" t="s">
        <v>302</v>
      </c>
      <c r="M53" t="s">
        <v>38</v>
      </c>
      <c r="N53" t="s">
        <v>237</v>
      </c>
      <c r="P53" t="s">
        <v>237</v>
      </c>
      <c r="Q53" t="s">
        <v>238</v>
      </c>
      <c r="R53">
        <v>2</v>
      </c>
      <c r="S53">
        <v>16</v>
      </c>
    </row>
    <row r="54" spans="1:19" x14ac:dyDescent="0.35">
      <c r="A54">
        <v>432</v>
      </c>
      <c r="B54" t="s">
        <v>186</v>
      </c>
      <c r="C54" t="s">
        <v>20</v>
      </c>
      <c r="D54" t="s">
        <v>187</v>
      </c>
      <c r="E54" t="s">
        <v>188</v>
      </c>
      <c r="F54" t="s">
        <v>189</v>
      </c>
      <c r="J54" t="s">
        <v>190</v>
      </c>
      <c r="M54" t="s">
        <v>38</v>
      </c>
      <c r="N54" t="s">
        <v>191</v>
      </c>
      <c r="P54" t="s">
        <v>191</v>
      </c>
      <c r="Q54" t="s">
        <v>192</v>
      </c>
      <c r="R54">
        <v>2</v>
      </c>
      <c r="S54">
        <v>16</v>
      </c>
    </row>
    <row r="55" spans="1:19" x14ac:dyDescent="0.35">
      <c r="A55">
        <v>7695</v>
      </c>
      <c r="B55" t="s">
        <v>303</v>
      </c>
      <c r="C55" t="s">
        <v>20</v>
      </c>
      <c r="D55" t="s">
        <v>304</v>
      </c>
      <c r="E55" t="s">
        <v>305</v>
      </c>
      <c r="F55" t="s">
        <v>306</v>
      </c>
      <c r="J55" t="s">
        <v>70</v>
      </c>
      <c r="M55" t="s">
        <v>38</v>
      </c>
      <c r="N55" t="s">
        <v>307</v>
      </c>
      <c r="P55" t="s">
        <v>307</v>
      </c>
      <c r="Q55" t="s">
        <v>308</v>
      </c>
      <c r="R55">
        <v>2</v>
      </c>
      <c r="S55">
        <v>16</v>
      </c>
    </row>
    <row r="56" spans="1:19" x14ac:dyDescent="0.35">
      <c r="A56">
        <v>7702</v>
      </c>
      <c r="B56" t="s">
        <v>309</v>
      </c>
      <c r="C56" t="s">
        <v>20</v>
      </c>
      <c r="D56" t="s">
        <v>310</v>
      </c>
      <c r="E56" t="s">
        <v>311</v>
      </c>
      <c r="F56" t="s">
        <v>312</v>
      </c>
      <c r="J56" t="s">
        <v>313</v>
      </c>
      <c r="M56" t="s">
        <v>46</v>
      </c>
      <c r="N56" t="s">
        <v>314</v>
      </c>
      <c r="P56" t="s">
        <v>314</v>
      </c>
      <c r="Q56" t="s">
        <v>315</v>
      </c>
      <c r="R56">
        <v>2</v>
      </c>
      <c r="S56">
        <v>16</v>
      </c>
    </row>
    <row r="57" spans="1:19" x14ac:dyDescent="0.35">
      <c r="A57">
        <v>6679</v>
      </c>
      <c r="B57" t="s">
        <v>316</v>
      </c>
      <c r="C57" t="s">
        <v>42</v>
      </c>
      <c r="D57" t="s">
        <v>317</v>
      </c>
      <c r="E57" t="e" cm="1">
        <f t="array" ref="E57">- METHISOPRINOL</f>
        <v>#NAME?</v>
      </c>
      <c r="F57" t="s">
        <v>318</v>
      </c>
      <c r="H57" t="s">
        <v>319</v>
      </c>
      <c r="J57" t="s">
        <v>320</v>
      </c>
      <c r="L57" t="s">
        <v>321</v>
      </c>
      <c r="M57" t="s">
        <v>271</v>
      </c>
      <c r="N57" t="s">
        <v>322</v>
      </c>
      <c r="P57" t="s">
        <v>323</v>
      </c>
      <c r="Q57" t="s">
        <v>324</v>
      </c>
      <c r="R57">
        <v>3</v>
      </c>
      <c r="S57">
        <v>16</v>
      </c>
    </row>
    <row r="58" spans="1:19" x14ac:dyDescent="0.35">
      <c r="A58">
        <v>3536</v>
      </c>
      <c r="B58" t="s">
        <v>325</v>
      </c>
      <c r="C58" t="s">
        <v>42</v>
      </c>
      <c r="D58" t="s">
        <v>326</v>
      </c>
      <c r="E58" t="e" cm="1">
        <f t="array" ref="E58">- DIMENHYDRINATE</f>
        <v>#NAME?</v>
      </c>
      <c r="F58" t="s">
        <v>327</v>
      </c>
      <c r="J58" t="s">
        <v>328</v>
      </c>
      <c r="M58" t="s">
        <v>46</v>
      </c>
      <c r="N58" t="s">
        <v>329</v>
      </c>
      <c r="P58" t="s">
        <v>330</v>
      </c>
      <c r="Q58" t="s">
        <v>331</v>
      </c>
      <c r="R58">
        <v>3</v>
      </c>
      <c r="S58">
        <v>16</v>
      </c>
    </row>
    <row r="59" spans="1:19" x14ac:dyDescent="0.35">
      <c r="A59">
        <v>3535</v>
      </c>
      <c r="B59" t="s">
        <v>325</v>
      </c>
      <c r="C59" t="s">
        <v>42</v>
      </c>
      <c r="D59" t="s">
        <v>326</v>
      </c>
      <c r="E59" t="e" cm="1">
        <f t="array" ref="E59">- DIMENHYDRINATE</f>
        <v>#NAME?</v>
      </c>
      <c r="F59" t="s">
        <v>327</v>
      </c>
      <c r="J59" t="s">
        <v>328</v>
      </c>
      <c r="M59" t="s">
        <v>46</v>
      </c>
      <c r="N59" t="s">
        <v>329</v>
      </c>
      <c r="P59" t="s">
        <v>330</v>
      </c>
      <c r="Q59" t="s">
        <v>331</v>
      </c>
      <c r="R59">
        <v>3</v>
      </c>
      <c r="S59">
        <v>16</v>
      </c>
    </row>
    <row r="60" spans="1:19" x14ac:dyDescent="0.35">
      <c r="A60">
        <v>6684</v>
      </c>
      <c r="B60" t="s">
        <v>332</v>
      </c>
      <c r="C60" t="s">
        <v>42</v>
      </c>
      <c r="D60" t="s">
        <v>333</v>
      </c>
      <c r="E60" t="e" cm="1">
        <f t="array" ref="E60">- METHISOPRINOL</f>
        <v>#NAME?</v>
      </c>
      <c r="F60" s="1">
        <v>92600</v>
      </c>
      <c r="J60" t="s">
        <v>334</v>
      </c>
      <c r="M60" t="s">
        <v>271</v>
      </c>
      <c r="N60" t="s">
        <v>322</v>
      </c>
      <c r="P60" t="s">
        <v>335</v>
      </c>
      <c r="Q60" t="s">
        <v>336</v>
      </c>
      <c r="R60">
        <v>3</v>
      </c>
      <c r="S60">
        <v>16</v>
      </c>
    </row>
    <row r="61" spans="1:19" x14ac:dyDescent="0.35">
      <c r="A61">
        <v>3513</v>
      </c>
      <c r="B61" t="s">
        <v>337</v>
      </c>
      <c r="C61" t="s">
        <v>42</v>
      </c>
      <c r="D61" t="s">
        <v>338</v>
      </c>
      <c r="E61" t="e" cm="1">
        <f t="array" ref="E61">- DOMPERIDONE</f>
        <v>#NAME?</v>
      </c>
      <c r="F61" t="s">
        <v>339</v>
      </c>
      <c r="H61" t="s">
        <v>319</v>
      </c>
      <c r="L61" t="s">
        <v>321</v>
      </c>
      <c r="M61" t="s">
        <v>340</v>
      </c>
      <c r="N61" t="s">
        <v>341</v>
      </c>
      <c r="P61" t="s">
        <v>342</v>
      </c>
      <c r="Q61" t="s">
        <v>343</v>
      </c>
      <c r="R61">
        <v>3</v>
      </c>
      <c r="S61">
        <v>16</v>
      </c>
    </row>
    <row r="62" spans="1:19" x14ac:dyDescent="0.35">
      <c r="A62">
        <v>6727</v>
      </c>
      <c r="B62" t="s">
        <v>344</v>
      </c>
      <c r="C62" t="s">
        <v>42</v>
      </c>
      <c r="D62" t="s">
        <v>345</v>
      </c>
      <c r="E62" t="e" cm="1">
        <f t="array" ref="E62">- DIACEREIN</f>
        <v>#NAME?</v>
      </c>
      <c r="F62" t="s">
        <v>346</v>
      </c>
      <c r="J62" t="s">
        <v>347</v>
      </c>
      <c r="M62" t="s">
        <v>38</v>
      </c>
      <c r="N62" t="s">
        <v>348</v>
      </c>
      <c r="P62" t="s">
        <v>349</v>
      </c>
      <c r="Q62" t="s">
        <v>350</v>
      </c>
      <c r="R62">
        <v>3</v>
      </c>
      <c r="S62">
        <v>16</v>
      </c>
    </row>
    <row r="63" spans="1:19" x14ac:dyDescent="0.35">
      <c r="A63">
        <v>6718</v>
      </c>
      <c r="B63" t="s">
        <v>351</v>
      </c>
      <c r="C63" t="s">
        <v>20</v>
      </c>
      <c r="D63" t="s">
        <v>352</v>
      </c>
      <c r="E63" t="s">
        <v>353</v>
      </c>
      <c r="F63" t="s">
        <v>354</v>
      </c>
      <c r="J63" t="s">
        <v>355</v>
      </c>
      <c r="M63" t="s">
        <v>38</v>
      </c>
      <c r="N63" t="s">
        <v>356</v>
      </c>
      <c r="P63" t="s">
        <v>356</v>
      </c>
      <c r="Q63" t="s">
        <v>357</v>
      </c>
      <c r="R63">
        <v>3</v>
      </c>
      <c r="S63">
        <v>16</v>
      </c>
    </row>
    <row r="64" spans="1:19" x14ac:dyDescent="0.35">
      <c r="A64">
        <v>1385</v>
      </c>
      <c r="B64" t="s">
        <v>358</v>
      </c>
      <c r="C64" t="s">
        <v>42</v>
      </c>
      <c r="D64" t="s">
        <v>359</v>
      </c>
      <c r="E64" t="e" cm="1">
        <f t="array" ref="E64">- GUAIFENESIN</f>
        <v>#NAME?</v>
      </c>
      <c r="F64" t="s">
        <v>360</v>
      </c>
      <c r="J64" t="s">
        <v>334</v>
      </c>
      <c r="M64" t="s">
        <v>271</v>
      </c>
      <c r="N64" t="s">
        <v>361</v>
      </c>
      <c r="P64" t="s">
        <v>362</v>
      </c>
      <c r="Q64" t="s">
        <v>363</v>
      </c>
      <c r="R64">
        <v>3</v>
      </c>
      <c r="S64">
        <v>16</v>
      </c>
    </row>
    <row r="65" spans="1:19" x14ac:dyDescent="0.35">
      <c r="A65">
        <v>341</v>
      </c>
      <c r="B65" t="s">
        <v>364</v>
      </c>
      <c r="C65" t="s">
        <v>42</v>
      </c>
      <c r="D65" t="s">
        <v>365</v>
      </c>
      <c r="E65" t="e" cm="1">
        <f t="array" ref="E65">- ALLYLESTRENOL</f>
        <v>#NAME?</v>
      </c>
      <c r="F65" t="s">
        <v>366</v>
      </c>
      <c r="J65" t="s">
        <v>367</v>
      </c>
      <c r="M65" t="s">
        <v>46</v>
      </c>
      <c r="N65" t="s">
        <v>368</v>
      </c>
      <c r="P65" t="s">
        <v>369</v>
      </c>
      <c r="Q65" t="s">
        <v>370</v>
      </c>
      <c r="R65">
        <v>3</v>
      </c>
      <c r="S65">
        <v>16</v>
      </c>
    </row>
    <row r="66" spans="1:19" x14ac:dyDescent="0.35">
      <c r="A66">
        <v>340</v>
      </c>
      <c r="B66" t="s">
        <v>364</v>
      </c>
      <c r="C66" t="s">
        <v>42</v>
      </c>
      <c r="D66" t="s">
        <v>365</v>
      </c>
      <c r="E66" t="e" cm="1">
        <f t="array" ref="E66">- ALLYLESTRENOL</f>
        <v>#NAME?</v>
      </c>
      <c r="F66" t="s">
        <v>366</v>
      </c>
      <c r="J66" t="s">
        <v>367</v>
      </c>
      <c r="M66" t="s">
        <v>46</v>
      </c>
      <c r="N66" t="s">
        <v>368</v>
      </c>
      <c r="P66" t="s">
        <v>369</v>
      </c>
      <c r="Q66" t="s">
        <v>370</v>
      </c>
      <c r="R66">
        <v>3</v>
      </c>
      <c r="S66">
        <v>16</v>
      </c>
    </row>
    <row r="67" spans="1:19" x14ac:dyDescent="0.35">
      <c r="A67">
        <v>3335</v>
      </c>
      <c r="B67" t="s">
        <v>371</v>
      </c>
      <c r="C67" t="s">
        <v>42</v>
      </c>
      <c r="D67" t="s">
        <v>372</v>
      </c>
      <c r="E67" t="e" cm="1">
        <f t="array" ref="E67">- SUCRALFATE</f>
        <v>#NAME?</v>
      </c>
      <c r="F67" t="s">
        <v>373</v>
      </c>
      <c r="J67" t="s">
        <v>374</v>
      </c>
      <c r="M67" t="s">
        <v>340</v>
      </c>
      <c r="N67" t="s">
        <v>375</v>
      </c>
      <c r="P67" t="s">
        <v>376</v>
      </c>
      <c r="Q67" t="s">
        <v>377</v>
      </c>
      <c r="R67">
        <v>3</v>
      </c>
      <c r="S67">
        <v>16</v>
      </c>
    </row>
    <row r="68" spans="1:19" x14ac:dyDescent="0.35">
      <c r="A68">
        <v>2598</v>
      </c>
      <c r="B68" t="s">
        <v>378</v>
      </c>
      <c r="C68" t="s">
        <v>42</v>
      </c>
      <c r="D68" t="s">
        <v>379</v>
      </c>
      <c r="E68" t="e" cm="1">
        <f t="array" ref="E68">- IBUPROFEN</f>
        <v>#NAME?</v>
      </c>
      <c r="F68" t="s">
        <v>380</v>
      </c>
      <c r="J68" t="s">
        <v>381</v>
      </c>
      <c r="L68" t="s">
        <v>382</v>
      </c>
      <c r="M68" t="s">
        <v>46</v>
      </c>
      <c r="N68" t="s">
        <v>383</v>
      </c>
      <c r="P68" t="s">
        <v>384</v>
      </c>
      <c r="Q68" t="s">
        <v>385</v>
      </c>
      <c r="R68">
        <v>3</v>
      </c>
      <c r="S68">
        <v>16</v>
      </c>
    </row>
    <row r="69" spans="1:19" x14ac:dyDescent="0.35">
      <c r="A69">
        <v>3336</v>
      </c>
      <c r="B69" t="s">
        <v>371</v>
      </c>
      <c r="C69" t="s">
        <v>42</v>
      </c>
      <c r="D69" t="s">
        <v>372</v>
      </c>
      <c r="E69" t="e" cm="1">
        <f t="array" ref="E69">- SUCRALFATE</f>
        <v>#NAME?</v>
      </c>
      <c r="F69" t="s">
        <v>373</v>
      </c>
      <c r="J69" t="s">
        <v>374</v>
      </c>
      <c r="M69" t="s">
        <v>340</v>
      </c>
      <c r="N69" t="s">
        <v>375</v>
      </c>
      <c r="P69" t="s">
        <v>376</v>
      </c>
      <c r="Q69" t="s">
        <v>377</v>
      </c>
      <c r="R69">
        <v>3</v>
      </c>
      <c r="S69">
        <v>16</v>
      </c>
    </row>
    <row r="70" spans="1:19" x14ac:dyDescent="0.35">
      <c r="A70">
        <v>3337</v>
      </c>
      <c r="B70" t="s">
        <v>371</v>
      </c>
      <c r="C70" t="s">
        <v>42</v>
      </c>
      <c r="D70" t="s">
        <v>372</v>
      </c>
      <c r="E70" t="e" cm="1">
        <f t="array" ref="E70">- SUCRALFATE</f>
        <v>#NAME?</v>
      </c>
      <c r="F70" t="s">
        <v>373</v>
      </c>
      <c r="J70" t="s">
        <v>374</v>
      </c>
      <c r="M70" t="s">
        <v>340</v>
      </c>
      <c r="N70" t="s">
        <v>375</v>
      </c>
      <c r="P70" t="s">
        <v>376</v>
      </c>
      <c r="Q70" t="s">
        <v>377</v>
      </c>
      <c r="R70">
        <v>3</v>
      </c>
      <c r="S70">
        <v>16</v>
      </c>
    </row>
    <row r="71" spans="1:19" x14ac:dyDescent="0.35">
      <c r="A71">
        <v>3384</v>
      </c>
      <c r="B71" t="s">
        <v>386</v>
      </c>
      <c r="C71" t="s">
        <v>42</v>
      </c>
      <c r="D71" t="s">
        <v>387</v>
      </c>
      <c r="E71" t="e" cm="1">
        <f t="array" ref="E71">- REBAMIPIDE</f>
        <v>#NAME?</v>
      </c>
      <c r="F71" t="s">
        <v>388</v>
      </c>
      <c r="H71" t="s">
        <v>389</v>
      </c>
      <c r="J71" t="s">
        <v>45</v>
      </c>
      <c r="M71" t="s">
        <v>46</v>
      </c>
      <c r="N71" t="s">
        <v>390</v>
      </c>
      <c r="P71" t="s">
        <v>391</v>
      </c>
      <c r="Q71" t="s">
        <v>392</v>
      </c>
      <c r="R71">
        <v>3</v>
      </c>
      <c r="S71">
        <v>16</v>
      </c>
    </row>
    <row r="72" spans="1:19" x14ac:dyDescent="0.35">
      <c r="A72">
        <v>3428</v>
      </c>
      <c r="B72" t="s">
        <v>393</v>
      </c>
      <c r="C72" t="s">
        <v>42</v>
      </c>
      <c r="D72" t="s">
        <v>394</v>
      </c>
      <c r="E72" t="e" cm="1">
        <f t="array" ref="E72">- CIMETIDINE</f>
        <v>#NAME?</v>
      </c>
      <c r="F72" t="s">
        <v>395</v>
      </c>
      <c r="H72" t="s">
        <v>269</v>
      </c>
      <c r="J72" t="s">
        <v>381</v>
      </c>
      <c r="L72" t="s">
        <v>270</v>
      </c>
      <c r="M72" t="s">
        <v>46</v>
      </c>
      <c r="N72" t="s">
        <v>396</v>
      </c>
      <c r="P72" t="s">
        <v>397</v>
      </c>
      <c r="Q72" t="s">
        <v>398</v>
      </c>
      <c r="R72">
        <v>3</v>
      </c>
      <c r="S72">
        <v>16</v>
      </c>
    </row>
    <row r="73" spans="1:19" x14ac:dyDescent="0.35">
      <c r="A73">
        <v>3429</v>
      </c>
      <c r="B73" t="s">
        <v>399</v>
      </c>
      <c r="C73" t="s">
        <v>42</v>
      </c>
      <c r="D73" t="s">
        <v>400</v>
      </c>
      <c r="E73" t="e" cm="1">
        <f t="array" ref="E73">- CIMETIDINE</f>
        <v>#NAME?</v>
      </c>
      <c r="F73" t="s">
        <v>401</v>
      </c>
      <c r="H73" t="s">
        <v>269</v>
      </c>
      <c r="J73" t="s">
        <v>381</v>
      </c>
      <c r="L73" t="s">
        <v>270</v>
      </c>
      <c r="M73" t="s">
        <v>46</v>
      </c>
      <c r="N73" t="s">
        <v>396</v>
      </c>
      <c r="P73" t="s">
        <v>397</v>
      </c>
      <c r="Q73" t="s">
        <v>398</v>
      </c>
      <c r="R73">
        <v>3</v>
      </c>
      <c r="S73">
        <v>16</v>
      </c>
    </row>
    <row r="74" spans="1:19" x14ac:dyDescent="0.35">
      <c r="A74">
        <v>3430</v>
      </c>
      <c r="B74" t="s">
        <v>399</v>
      </c>
      <c r="C74" t="s">
        <v>42</v>
      </c>
      <c r="D74" t="s">
        <v>400</v>
      </c>
      <c r="E74" t="e" cm="1">
        <f t="array" ref="E74">- CIMETIDINE</f>
        <v>#NAME?</v>
      </c>
      <c r="F74" t="s">
        <v>401</v>
      </c>
      <c r="H74" t="s">
        <v>269</v>
      </c>
      <c r="J74" t="s">
        <v>381</v>
      </c>
      <c r="L74" t="s">
        <v>270</v>
      </c>
      <c r="M74" t="s">
        <v>46</v>
      </c>
      <c r="N74" t="s">
        <v>396</v>
      </c>
      <c r="P74" t="s">
        <v>397</v>
      </c>
      <c r="Q74" t="s">
        <v>398</v>
      </c>
      <c r="R74">
        <v>3</v>
      </c>
      <c r="S74">
        <v>16</v>
      </c>
    </row>
    <row r="75" spans="1:19" x14ac:dyDescent="0.35">
      <c r="A75">
        <v>3441</v>
      </c>
      <c r="B75" t="s">
        <v>402</v>
      </c>
      <c r="C75" t="s">
        <v>42</v>
      </c>
      <c r="D75" t="s">
        <v>403</v>
      </c>
      <c r="E75" t="e" cm="1">
        <f t="array" ref="E75">- SUCRALFATE</f>
        <v>#NAME?</v>
      </c>
      <c r="F75" t="s">
        <v>404</v>
      </c>
      <c r="J75" t="s">
        <v>405</v>
      </c>
      <c r="M75" t="s">
        <v>340</v>
      </c>
      <c r="N75" t="s">
        <v>375</v>
      </c>
      <c r="P75" t="s">
        <v>406</v>
      </c>
      <c r="Q75" t="s">
        <v>407</v>
      </c>
      <c r="R75">
        <v>3</v>
      </c>
      <c r="S75">
        <v>16</v>
      </c>
    </row>
    <row r="76" spans="1:19" x14ac:dyDescent="0.35">
      <c r="A76">
        <v>2585</v>
      </c>
      <c r="B76" t="s">
        <v>408</v>
      </c>
      <c r="C76" t="s">
        <v>42</v>
      </c>
      <c r="D76" t="s">
        <v>409</v>
      </c>
      <c r="E76" t="e" cm="1">
        <f t="array" ref="E76">- MELOXICAM</f>
        <v>#NAME?</v>
      </c>
      <c r="F76" t="s">
        <v>410</v>
      </c>
      <c r="H76" t="s">
        <v>269</v>
      </c>
      <c r="J76" t="s">
        <v>411</v>
      </c>
      <c r="L76" t="s">
        <v>270</v>
      </c>
      <c r="M76" t="s">
        <v>46</v>
      </c>
      <c r="N76" t="s">
        <v>412</v>
      </c>
      <c r="P76" t="s">
        <v>413</v>
      </c>
      <c r="Q76" t="s">
        <v>414</v>
      </c>
      <c r="R76">
        <v>3</v>
      </c>
      <c r="S76">
        <v>16</v>
      </c>
    </row>
    <row r="77" spans="1:19" x14ac:dyDescent="0.35">
      <c r="A77">
        <v>2584</v>
      </c>
      <c r="B77" t="s">
        <v>408</v>
      </c>
      <c r="C77" t="s">
        <v>42</v>
      </c>
      <c r="D77" t="s">
        <v>409</v>
      </c>
      <c r="E77" t="e" cm="1">
        <f t="array" ref="E77">- MELOXICAM</f>
        <v>#NAME?</v>
      </c>
      <c r="F77" t="s">
        <v>410</v>
      </c>
      <c r="H77" t="s">
        <v>269</v>
      </c>
      <c r="J77" t="s">
        <v>411</v>
      </c>
      <c r="L77" t="s">
        <v>270</v>
      </c>
      <c r="M77" t="s">
        <v>46</v>
      </c>
      <c r="N77" t="s">
        <v>412</v>
      </c>
      <c r="P77" t="s">
        <v>413</v>
      </c>
      <c r="Q77" t="s">
        <v>414</v>
      </c>
      <c r="R77">
        <v>3</v>
      </c>
      <c r="S77">
        <v>16</v>
      </c>
    </row>
    <row r="78" spans="1:19" x14ac:dyDescent="0.35">
      <c r="A78">
        <v>1542</v>
      </c>
      <c r="B78" t="s">
        <v>415</v>
      </c>
      <c r="C78" t="s">
        <v>42</v>
      </c>
      <c r="D78" t="s">
        <v>416</v>
      </c>
      <c r="E78" t="e" cm="1">
        <f t="array" ref="E78">- AMBROXOL</f>
        <v>#NAME?</v>
      </c>
      <c r="F78" t="s">
        <v>417</v>
      </c>
      <c r="H78" t="s">
        <v>269</v>
      </c>
      <c r="L78" t="s">
        <v>270</v>
      </c>
      <c r="M78" t="s">
        <v>46</v>
      </c>
      <c r="N78" t="s">
        <v>418</v>
      </c>
      <c r="P78" t="s">
        <v>419</v>
      </c>
      <c r="Q78" t="s">
        <v>420</v>
      </c>
      <c r="R78">
        <v>3</v>
      </c>
      <c r="S78">
        <v>16</v>
      </c>
    </row>
    <row r="79" spans="1:19" x14ac:dyDescent="0.35">
      <c r="A79">
        <v>3442</v>
      </c>
      <c r="B79" t="s">
        <v>402</v>
      </c>
      <c r="C79" t="s">
        <v>42</v>
      </c>
      <c r="D79" t="s">
        <v>403</v>
      </c>
      <c r="E79" t="e" cm="1">
        <f t="array" ref="E79">- SUCRALFATE</f>
        <v>#NAME?</v>
      </c>
      <c r="F79" t="s">
        <v>404</v>
      </c>
      <c r="J79" t="s">
        <v>405</v>
      </c>
      <c r="M79" t="s">
        <v>340</v>
      </c>
      <c r="N79" t="s">
        <v>375</v>
      </c>
      <c r="P79" t="s">
        <v>406</v>
      </c>
      <c r="Q79" t="s">
        <v>407</v>
      </c>
      <c r="R79">
        <v>3</v>
      </c>
      <c r="S79">
        <v>16</v>
      </c>
    </row>
    <row r="80" spans="1:19" x14ac:dyDescent="0.35">
      <c r="A80">
        <v>6805</v>
      </c>
      <c r="B80" t="s">
        <v>421</v>
      </c>
      <c r="C80" t="s">
        <v>42</v>
      </c>
      <c r="D80" t="s">
        <v>422</v>
      </c>
      <c r="E80" t="e" cm="1">
        <f t="array" ref="E80">- ALLOPURINOL</f>
        <v>#NAME?</v>
      </c>
      <c r="F80" t="s">
        <v>423</v>
      </c>
      <c r="H80" t="s">
        <v>319</v>
      </c>
      <c r="L80" t="s">
        <v>321</v>
      </c>
      <c r="M80" t="s">
        <v>291</v>
      </c>
      <c r="N80" t="s">
        <v>424</v>
      </c>
      <c r="P80" t="s">
        <v>425</v>
      </c>
      <c r="Q80" t="s">
        <v>426</v>
      </c>
      <c r="R80">
        <v>3</v>
      </c>
      <c r="S80">
        <v>16</v>
      </c>
    </row>
    <row r="81" spans="1:19" x14ac:dyDescent="0.35">
      <c r="A81">
        <v>6804</v>
      </c>
      <c r="B81" t="s">
        <v>421</v>
      </c>
      <c r="C81" t="s">
        <v>42</v>
      </c>
      <c r="D81" t="s">
        <v>422</v>
      </c>
      <c r="E81" t="e" cm="1">
        <f t="array" ref="E81">- ALLOPURINOL</f>
        <v>#NAME?</v>
      </c>
      <c r="F81" t="s">
        <v>423</v>
      </c>
      <c r="H81" t="s">
        <v>319</v>
      </c>
      <c r="L81" t="s">
        <v>321</v>
      </c>
      <c r="M81" t="s">
        <v>291</v>
      </c>
      <c r="N81" t="s">
        <v>424</v>
      </c>
      <c r="P81" t="s">
        <v>425</v>
      </c>
      <c r="Q81" t="s">
        <v>426</v>
      </c>
      <c r="R81">
        <v>3</v>
      </c>
      <c r="S81">
        <v>16</v>
      </c>
    </row>
    <row r="82" spans="1:19" x14ac:dyDescent="0.35">
      <c r="A82">
        <v>1358</v>
      </c>
      <c r="B82" t="s">
        <v>427</v>
      </c>
      <c r="C82" t="s">
        <v>42</v>
      </c>
      <c r="D82" t="s">
        <v>428</v>
      </c>
      <c r="E82" t="e" cm="1">
        <f t="array" ref="E82">- GUAIFENESIN</f>
        <v>#NAME?</v>
      </c>
      <c r="F82" t="s">
        <v>429</v>
      </c>
      <c r="J82" t="s">
        <v>334</v>
      </c>
      <c r="M82" t="s">
        <v>271</v>
      </c>
      <c r="N82" t="s">
        <v>361</v>
      </c>
      <c r="P82" t="s">
        <v>430</v>
      </c>
      <c r="Q82" t="s">
        <v>431</v>
      </c>
      <c r="R82">
        <v>3</v>
      </c>
      <c r="S82">
        <v>16</v>
      </c>
    </row>
    <row r="83" spans="1:19" x14ac:dyDescent="0.35">
      <c r="A83">
        <v>317</v>
      </c>
      <c r="B83" t="s">
        <v>432</v>
      </c>
      <c r="C83" t="s">
        <v>20</v>
      </c>
      <c r="D83" t="s">
        <v>433</v>
      </c>
      <c r="E83" t="s">
        <v>434</v>
      </c>
      <c r="F83" s="1">
        <v>216000</v>
      </c>
      <c r="M83" t="s">
        <v>38</v>
      </c>
      <c r="N83" t="s">
        <v>435</v>
      </c>
      <c r="P83" t="s">
        <v>436</v>
      </c>
      <c r="Q83" t="s">
        <v>437</v>
      </c>
      <c r="R83">
        <v>3</v>
      </c>
      <c r="S83">
        <v>16</v>
      </c>
    </row>
    <row r="84" spans="1:19" x14ac:dyDescent="0.35">
      <c r="A84">
        <v>6741</v>
      </c>
      <c r="B84" t="s">
        <v>438</v>
      </c>
      <c r="C84" t="s">
        <v>42</v>
      </c>
      <c r="D84" t="s">
        <v>439</v>
      </c>
      <c r="E84" t="e" cm="1">
        <f t="array" ref="E84">- CALCITRIOL</f>
        <v>#NAME?</v>
      </c>
      <c r="F84" t="s">
        <v>440</v>
      </c>
      <c r="J84" t="s">
        <v>441</v>
      </c>
      <c r="M84" t="s">
        <v>38</v>
      </c>
      <c r="N84" t="s">
        <v>442</v>
      </c>
      <c r="P84" t="s">
        <v>443</v>
      </c>
      <c r="Q84" t="s">
        <v>444</v>
      </c>
      <c r="R84">
        <v>3</v>
      </c>
      <c r="S84">
        <v>16</v>
      </c>
    </row>
    <row r="85" spans="1:19" x14ac:dyDescent="0.35">
      <c r="A85">
        <v>6709</v>
      </c>
      <c r="B85" t="s">
        <v>445</v>
      </c>
      <c r="C85" t="s">
        <v>42</v>
      </c>
      <c r="D85" t="s">
        <v>446</v>
      </c>
      <c r="E85" t="e" cm="1">
        <f t="array" ref="E85">- DIACEREIN</f>
        <v>#NAME?</v>
      </c>
      <c r="F85" t="s">
        <v>447</v>
      </c>
      <c r="J85" t="s">
        <v>45</v>
      </c>
      <c r="M85" t="s">
        <v>38</v>
      </c>
      <c r="N85" t="s">
        <v>348</v>
      </c>
      <c r="P85" t="s">
        <v>448</v>
      </c>
      <c r="Q85" t="s">
        <v>449</v>
      </c>
      <c r="R85">
        <v>3</v>
      </c>
      <c r="S85">
        <v>16</v>
      </c>
    </row>
    <row r="86" spans="1:19" x14ac:dyDescent="0.35">
      <c r="A86">
        <v>6600</v>
      </c>
      <c r="B86" t="s">
        <v>450</v>
      </c>
      <c r="C86" t="s">
        <v>42</v>
      </c>
      <c r="D86" t="s">
        <v>451</v>
      </c>
      <c r="E86" t="e" cm="1">
        <f t="array" ref="E86">- GRISEOFULVIN</f>
        <v>#NAME?</v>
      </c>
      <c r="F86" t="s">
        <v>452</v>
      </c>
      <c r="J86" t="s">
        <v>381</v>
      </c>
      <c r="M86" t="s">
        <v>46</v>
      </c>
      <c r="N86" t="s">
        <v>453</v>
      </c>
      <c r="P86" t="s">
        <v>454</v>
      </c>
      <c r="Q86" t="s">
        <v>455</v>
      </c>
      <c r="R86">
        <v>3</v>
      </c>
      <c r="S86">
        <v>16</v>
      </c>
    </row>
    <row r="87" spans="1:19" x14ac:dyDescent="0.35">
      <c r="A87">
        <v>867</v>
      </c>
      <c r="B87" t="s">
        <v>456</v>
      </c>
      <c r="C87" t="s">
        <v>42</v>
      </c>
      <c r="D87" t="s">
        <v>457</v>
      </c>
      <c r="E87" t="e" cm="1">
        <f t="array" ref="E87">- LEVODROPROPIZINE</f>
        <v>#NAME?</v>
      </c>
      <c r="F87" t="s">
        <v>458</v>
      </c>
      <c r="J87" t="s">
        <v>374</v>
      </c>
      <c r="L87" t="s">
        <v>321</v>
      </c>
      <c r="M87" t="s">
        <v>271</v>
      </c>
      <c r="N87" t="s">
        <v>459</v>
      </c>
      <c r="P87" t="s">
        <v>460</v>
      </c>
      <c r="Q87" t="s">
        <v>461</v>
      </c>
      <c r="R87">
        <v>3</v>
      </c>
      <c r="S87">
        <v>16</v>
      </c>
    </row>
    <row r="88" spans="1:19" x14ac:dyDescent="0.35">
      <c r="A88">
        <v>3601</v>
      </c>
      <c r="B88" t="s">
        <v>462</v>
      </c>
      <c r="C88" t="s">
        <v>42</v>
      </c>
      <c r="D88" t="s">
        <v>463</v>
      </c>
      <c r="E88" t="e" cm="1">
        <f t="array" ref="E88">- DIMENHYDRINATE</f>
        <v>#NAME?</v>
      </c>
      <c r="F88" t="s">
        <v>464</v>
      </c>
      <c r="J88" t="s">
        <v>381</v>
      </c>
      <c r="M88" t="s">
        <v>46</v>
      </c>
      <c r="N88" t="s">
        <v>329</v>
      </c>
      <c r="P88" t="s">
        <v>465</v>
      </c>
      <c r="Q88" t="s">
        <v>466</v>
      </c>
      <c r="R88">
        <v>3</v>
      </c>
      <c r="S88">
        <v>16</v>
      </c>
    </row>
    <row r="89" spans="1:19" x14ac:dyDescent="0.35">
      <c r="A89">
        <v>1322</v>
      </c>
      <c r="B89" t="s">
        <v>467</v>
      </c>
      <c r="C89" t="s">
        <v>42</v>
      </c>
      <c r="D89" t="s">
        <v>468</v>
      </c>
      <c r="E89" t="e" cm="1">
        <f t="array" ref="E89">- ERDOSTEINE</f>
        <v>#NAME?</v>
      </c>
      <c r="F89" t="s">
        <v>469</v>
      </c>
      <c r="J89" t="s">
        <v>470</v>
      </c>
      <c r="M89" t="s">
        <v>38</v>
      </c>
      <c r="N89" t="s">
        <v>471</v>
      </c>
      <c r="P89" t="s">
        <v>472</v>
      </c>
      <c r="Q89" t="s">
        <v>473</v>
      </c>
      <c r="R89">
        <v>3</v>
      </c>
      <c r="S89">
        <v>16</v>
      </c>
    </row>
    <row r="90" spans="1:19" x14ac:dyDescent="0.35">
      <c r="A90">
        <v>6421</v>
      </c>
      <c r="B90" t="s">
        <v>474</v>
      </c>
      <c r="C90" t="s">
        <v>42</v>
      </c>
      <c r="D90" t="s">
        <v>475</v>
      </c>
      <c r="E90" t="e" cm="1">
        <f t="array" ref="E90">- SULFAMETHOXAZOLE</f>
        <v>#NAME?</v>
      </c>
      <c r="F90" t="s">
        <v>476</v>
      </c>
      <c r="H90" t="s">
        <v>319</v>
      </c>
      <c r="J90" t="s">
        <v>477</v>
      </c>
      <c r="L90" t="s">
        <v>321</v>
      </c>
      <c r="M90" t="s">
        <v>340</v>
      </c>
      <c r="N90" t="s">
        <v>478</v>
      </c>
      <c r="P90" t="s">
        <v>479</v>
      </c>
      <c r="Q90" t="s">
        <v>480</v>
      </c>
      <c r="R90">
        <v>3</v>
      </c>
      <c r="S90">
        <v>16</v>
      </c>
    </row>
    <row r="91" spans="1:19" x14ac:dyDescent="0.35">
      <c r="A91">
        <v>2469</v>
      </c>
      <c r="B91" t="s">
        <v>481</v>
      </c>
      <c r="C91" t="s">
        <v>42</v>
      </c>
      <c r="D91" t="s">
        <v>482</v>
      </c>
      <c r="E91" t="e" cm="1">
        <f t="array" ref="E91">- IBUPROFEN</f>
        <v>#NAME?</v>
      </c>
      <c r="F91" t="s">
        <v>483</v>
      </c>
      <c r="H91" t="s">
        <v>319</v>
      </c>
      <c r="L91" t="s">
        <v>382</v>
      </c>
      <c r="M91" t="s">
        <v>46</v>
      </c>
      <c r="N91" t="s">
        <v>383</v>
      </c>
      <c r="P91" t="s">
        <v>484</v>
      </c>
      <c r="Q91" t="s">
        <v>485</v>
      </c>
      <c r="R91">
        <v>3</v>
      </c>
      <c r="S91">
        <v>16</v>
      </c>
    </row>
    <row r="92" spans="1:19" x14ac:dyDescent="0.35">
      <c r="A92">
        <v>2468</v>
      </c>
      <c r="B92" t="s">
        <v>481</v>
      </c>
      <c r="C92" t="s">
        <v>42</v>
      </c>
      <c r="D92" t="s">
        <v>482</v>
      </c>
      <c r="E92" t="e" cm="1">
        <f t="array" ref="E92">- IBUPROFEN</f>
        <v>#NAME?</v>
      </c>
      <c r="F92" t="s">
        <v>483</v>
      </c>
      <c r="H92" t="s">
        <v>319</v>
      </c>
      <c r="L92" t="s">
        <v>382</v>
      </c>
      <c r="M92" t="s">
        <v>46</v>
      </c>
      <c r="N92" t="s">
        <v>383</v>
      </c>
      <c r="P92" t="s">
        <v>484</v>
      </c>
      <c r="Q92" t="s">
        <v>485</v>
      </c>
      <c r="R92">
        <v>3</v>
      </c>
      <c r="S92">
        <v>16</v>
      </c>
    </row>
    <row r="93" spans="1:19" x14ac:dyDescent="0.35">
      <c r="A93">
        <v>6419</v>
      </c>
      <c r="B93" t="s">
        <v>486</v>
      </c>
      <c r="C93" t="s">
        <v>42</v>
      </c>
      <c r="D93" t="s">
        <v>487</v>
      </c>
      <c r="E93" t="e" cm="1">
        <f t="array" ref="E93">- SULFADIAZINE</f>
        <v>#NAME?</v>
      </c>
      <c r="F93" t="s">
        <v>488</v>
      </c>
      <c r="H93" t="s">
        <v>269</v>
      </c>
      <c r="L93" t="s">
        <v>270</v>
      </c>
      <c r="M93" t="s">
        <v>46</v>
      </c>
      <c r="N93" t="s">
        <v>489</v>
      </c>
      <c r="P93" t="s">
        <v>490</v>
      </c>
      <c r="Q93" t="s">
        <v>491</v>
      </c>
      <c r="R93">
        <v>3</v>
      </c>
      <c r="S93">
        <v>16</v>
      </c>
    </row>
    <row r="94" spans="1:19" x14ac:dyDescent="0.35">
      <c r="A94">
        <v>2439</v>
      </c>
      <c r="B94" t="s">
        <v>492</v>
      </c>
      <c r="C94" t="s">
        <v>42</v>
      </c>
      <c r="D94" t="s">
        <v>493</v>
      </c>
      <c r="E94" t="e" cm="1">
        <f t="array" ref="E94">- IBUPROFEN</f>
        <v>#NAME?</v>
      </c>
      <c r="F94" t="s">
        <v>494</v>
      </c>
      <c r="H94" t="s">
        <v>319</v>
      </c>
      <c r="L94" t="s">
        <v>382</v>
      </c>
      <c r="M94" t="s">
        <v>46</v>
      </c>
      <c r="N94" t="s">
        <v>383</v>
      </c>
      <c r="P94" t="s">
        <v>495</v>
      </c>
      <c r="Q94" t="s">
        <v>496</v>
      </c>
      <c r="R94">
        <v>3</v>
      </c>
      <c r="S94">
        <v>16</v>
      </c>
    </row>
    <row r="95" spans="1:19" x14ac:dyDescent="0.35">
      <c r="A95">
        <v>6400</v>
      </c>
      <c r="B95" t="s">
        <v>497</v>
      </c>
      <c r="C95" t="s">
        <v>42</v>
      </c>
      <c r="D95" t="s">
        <v>498</v>
      </c>
      <c r="E95" t="e" cm="1">
        <f t="array" ref="E95">- THIAMPHENICOL</f>
        <v>#NAME?</v>
      </c>
      <c r="F95" t="s">
        <v>499</v>
      </c>
      <c r="J95" t="s">
        <v>334</v>
      </c>
      <c r="M95" t="s">
        <v>340</v>
      </c>
      <c r="N95" t="s">
        <v>272</v>
      </c>
      <c r="P95" t="s">
        <v>500</v>
      </c>
      <c r="Q95" t="s">
        <v>501</v>
      </c>
      <c r="R95">
        <v>3</v>
      </c>
      <c r="S95">
        <v>16</v>
      </c>
    </row>
    <row r="96" spans="1:19" x14ac:dyDescent="0.35">
      <c r="A96">
        <v>6382</v>
      </c>
      <c r="B96" t="s">
        <v>502</v>
      </c>
      <c r="C96" t="s">
        <v>42</v>
      </c>
      <c r="D96" t="s">
        <v>503</v>
      </c>
      <c r="E96" t="e" cm="1">
        <f t="array" ref="E96">- AMOXICILLIN</f>
        <v>#NAME?</v>
      </c>
      <c r="F96" t="s">
        <v>504</v>
      </c>
      <c r="J96" t="s">
        <v>334</v>
      </c>
      <c r="M96" t="s">
        <v>271</v>
      </c>
      <c r="N96" t="s">
        <v>505</v>
      </c>
      <c r="P96" t="s">
        <v>506</v>
      </c>
      <c r="Q96" t="s">
        <v>507</v>
      </c>
      <c r="R96">
        <v>3</v>
      </c>
      <c r="S96">
        <v>16</v>
      </c>
    </row>
    <row r="97" spans="1:19" x14ac:dyDescent="0.35">
      <c r="A97">
        <v>2419</v>
      </c>
      <c r="B97" t="s">
        <v>508</v>
      </c>
      <c r="C97" t="s">
        <v>42</v>
      </c>
      <c r="D97" t="s">
        <v>509</v>
      </c>
      <c r="E97" t="e" cm="1">
        <f t="array" ref="E97">- PIROXICAM</f>
        <v>#NAME?</v>
      </c>
      <c r="F97" t="s">
        <v>510</v>
      </c>
      <c r="H97" t="s">
        <v>511</v>
      </c>
    </row>
    <row r="98" spans="1:19" x14ac:dyDescent="0.35">
      <c r="A98">
        <v>6364</v>
      </c>
      <c r="B98" t="s">
        <v>512</v>
      </c>
      <c r="C98" t="s">
        <v>42</v>
      </c>
      <c r="D98" t="s">
        <v>513</v>
      </c>
      <c r="E98" t="e" cm="1">
        <f t="array" ref="E98">- RIFAMPICIN</f>
        <v>#NAME?</v>
      </c>
      <c r="F98" t="s">
        <v>514</v>
      </c>
      <c r="J98" t="s">
        <v>515</v>
      </c>
      <c r="M98" t="s">
        <v>291</v>
      </c>
      <c r="N98" t="s">
        <v>516</v>
      </c>
      <c r="P98" t="s">
        <v>517</v>
      </c>
      <c r="Q98" t="s">
        <v>518</v>
      </c>
      <c r="R98">
        <v>3</v>
      </c>
      <c r="S98">
        <v>16</v>
      </c>
    </row>
    <row r="99" spans="1:19" x14ac:dyDescent="0.35">
      <c r="A99">
        <v>2418</v>
      </c>
      <c r="B99" t="s">
        <v>508</v>
      </c>
      <c r="C99" t="s">
        <v>42</v>
      </c>
      <c r="D99" t="s">
        <v>509</v>
      </c>
      <c r="E99" t="e" cm="1">
        <f t="array" ref="E99">- PIROXICAM</f>
        <v>#NAME?</v>
      </c>
      <c r="F99" t="s">
        <v>510</v>
      </c>
      <c r="H99" t="s">
        <v>511</v>
      </c>
    </row>
    <row r="100" spans="1:19" x14ac:dyDescent="0.35">
      <c r="A100">
        <v>6363</v>
      </c>
      <c r="B100" t="s">
        <v>512</v>
      </c>
      <c r="C100" t="s">
        <v>42</v>
      </c>
      <c r="D100" t="s">
        <v>513</v>
      </c>
      <c r="E100" t="e" cm="1">
        <f t="array" ref="E100">- RIFAMPICIN</f>
        <v>#NAME?</v>
      </c>
      <c r="F100" t="s">
        <v>514</v>
      </c>
      <c r="J100" t="s">
        <v>515</v>
      </c>
      <c r="M100" t="s">
        <v>291</v>
      </c>
      <c r="N100" t="s">
        <v>516</v>
      </c>
      <c r="P100" t="s">
        <v>517</v>
      </c>
      <c r="Q100" t="s">
        <v>518</v>
      </c>
      <c r="R100">
        <v>3</v>
      </c>
      <c r="S100">
        <v>16</v>
      </c>
    </row>
    <row r="101" spans="1:19" x14ac:dyDescent="0.35">
      <c r="A101">
        <v>6362</v>
      </c>
      <c r="B101" t="s">
        <v>512</v>
      </c>
      <c r="C101" t="s">
        <v>42</v>
      </c>
      <c r="D101" t="s">
        <v>513</v>
      </c>
      <c r="E101" t="e" cm="1">
        <f t="array" ref="E101">- RIFAMPICIN</f>
        <v>#NAME?</v>
      </c>
      <c r="F101" t="s">
        <v>514</v>
      </c>
      <c r="J101" t="s">
        <v>515</v>
      </c>
      <c r="M101" t="s">
        <v>291</v>
      </c>
      <c r="N101" t="s">
        <v>516</v>
      </c>
      <c r="P101" t="s">
        <v>517</v>
      </c>
      <c r="Q101" t="s">
        <v>518</v>
      </c>
      <c r="R101">
        <v>3</v>
      </c>
      <c r="S101">
        <v>16</v>
      </c>
    </row>
    <row r="102" spans="1:19" x14ac:dyDescent="0.35">
      <c r="A102">
        <v>6356</v>
      </c>
      <c r="B102" t="s">
        <v>519</v>
      </c>
      <c r="C102" t="s">
        <v>42</v>
      </c>
      <c r="D102" t="s">
        <v>520</v>
      </c>
      <c r="E102" t="e" cm="1">
        <f t="array" ref="E102">- THIAMPHENICOL</f>
        <v>#NAME?</v>
      </c>
      <c r="F102" t="s">
        <v>521</v>
      </c>
      <c r="J102" t="s">
        <v>334</v>
      </c>
      <c r="M102" t="s">
        <v>271</v>
      </c>
      <c r="N102" t="s">
        <v>272</v>
      </c>
      <c r="P102" t="s">
        <v>522</v>
      </c>
      <c r="Q102" t="s">
        <v>523</v>
      </c>
      <c r="R102">
        <v>3</v>
      </c>
      <c r="S102">
        <v>16</v>
      </c>
    </row>
    <row r="103" spans="1:19" x14ac:dyDescent="0.35">
      <c r="A103">
        <v>6355</v>
      </c>
      <c r="B103" t="s">
        <v>519</v>
      </c>
      <c r="C103" t="s">
        <v>42</v>
      </c>
      <c r="D103" t="s">
        <v>520</v>
      </c>
      <c r="E103" t="e" cm="1">
        <f t="array" ref="E103">- THIAMPHENICOL</f>
        <v>#NAME?</v>
      </c>
      <c r="F103" t="s">
        <v>521</v>
      </c>
      <c r="J103" t="s">
        <v>334</v>
      </c>
      <c r="M103" t="s">
        <v>271</v>
      </c>
      <c r="N103" t="s">
        <v>272</v>
      </c>
      <c r="P103" t="s">
        <v>522</v>
      </c>
      <c r="Q103" t="s">
        <v>523</v>
      </c>
      <c r="R103">
        <v>3</v>
      </c>
      <c r="S103">
        <v>16</v>
      </c>
    </row>
    <row r="104" spans="1:19" x14ac:dyDescent="0.35">
      <c r="A104">
        <v>6354</v>
      </c>
      <c r="B104" t="s">
        <v>524</v>
      </c>
      <c r="C104" t="s">
        <v>42</v>
      </c>
      <c r="D104" t="s">
        <v>525</v>
      </c>
      <c r="E104" t="e" cm="1">
        <f t="array" ref="E104">- GRISEOFULVIN</f>
        <v>#NAME?</v>
      </c>
      <c r="F104" t="s">
        <v>526</v>
      </c>
      <c r="J104" t="s">
        <v>381</v>
      </c>
      <c r="M104" t="s">
        <v>291</v>
      </c>
      <c r="N104" t="s">
        <v>453</v>
      </c>
      <c r="P104" t="s">
        <v>527</v>
      </c>
      <c r="Q104" t="s">
        <v>528</v>
      </c>
      <c r="R104">
        <v>3</v>
      </c>
      <c r="S104">
        <v>16</v>
      </c>
    </row>
    <row r="105" spans="1:19" x14ac:dyDescent="0.35">
      <c r="A105">
        <v>6353</v>
      </c>
      <c r="B105" t="s">
        <v>524</v>
      </c>
      <c r="C105" t="s">
        <v>42</v>
      </c>
      <c r="D105" t="s">
        <v>525</v>
      </c>
      <c r="E105" t="e" cm="1">
        <f t="array" ref="E105">- GRISEOFULVIN</f>
        <v>#NAME?</v>
      </c>
      <c r="F105" t="s">
        <v>526</v>
      </c>
      <c r="J105" t="s">
        <v>381</v>
      </c>
      <c r="M105" t="s">
        <v>291</v>
      </c>
      <c r="N105" t="s">
        <v>453</v>
      </c>
      <c r="P105" t="s">
        <v>527</v>
      </c>
      <c r="Q105" t="s">
        <v>528</v>
      </c>
      <c r="R105">
        <v>3</v>
      </c>
      <c r="S105">
        <v>16</v>
      </c>
    </row>
    <row r="106" spans="1:19" x14ac:dyDescent="0.35">
      <c r="A106">
        <v>1323</v>
      </c>
      <c r="B106" t="s">
        <v>467</v>
      </c>
      <c r="C106" t="s">
        <v>42</v>
      </c>
      <c r="D106" t="s">
        <v>468</v>
      </c>
      <c r="E106" t="e" cm="1">
        <f t="array" ref="E106">- ERDOSTEINE</f>
        <v>#NAME?</v>
      </c>
      <c r="F106" t="s">
        <v>469</v>
      </c>
      <c r="J106" t="s">
        <v>470</v>
      </c>
      <c r="M106" t="s">
        <v>38</v>
      </c>
      <c r="N106" t="s">
        <v>471</v>
      </c>
      <c r="P106" t="s">
        <v>472</v>
      </c>
      <c r="Q106" t="s">
        <v>473</v>
      </c>
      <c r="R106">
        <v>3</v>
      </c>
      <c r="S106">
        <v>16</v>
      </c>
    </row>
    <row r="107" spans="1:19" x14ac:dyDescent="0.35">
      <c r="A107">
        <v>6592</v>
      </c>
      <c r="B107" t="s">
        <v>529</v>
      </c>
      <c r="C107" t="s">
        <v>42</v>
      </c>
      <c r="D107" t="s">
        <v>530</v>
      </c>
      <c r="E107" t="e" cm="1">
        <f t="array" ref="E107">- KETOCONAZOLE</f>
        <v>#NAME?</v>
      </c>
      <c r="F107" t="s">
        <v>531</v>
      </c>
      <c r="J107" t="s">
        <v>532</v>
      </c>
      <c r="M107" t="s">
        <v>46</v>
      </c>
      <c r="N107" t="s">
        <v>533</v>
      </c>
      <c r="P107" t="s">
        <v>534</v>
      </c>
      <c r="Q107" t="s">
        <v>535</v>
      </c>
      <c r="R107">
        <v>3</v>
      </c>
      <c r="S107">
        <v>16</v>
      </c>
    </row>
    <row r="108" spans="1:19" x14ac:dyDescent="0.35">
      <c r="A108">
        <v>2776</v>
      </c>
      <c r="B108" t="s">
        <v>536</v>
      </c>
      <c r="C108" t="s">
        <v>42</v>
      </c>
      <c r="D108" t="s">
        <v>537</v>
      </c>
      <c r="E108" t="e" cm="1">
        <f t="array" ref="E108">- MELOXICAM</f>
        <v>#NAME?</v>
      </c>
      <c r="F108" t="s">
        <v>538</v>
      </c>
      <c r="G108" t="s">
        <v>539</v>
      </c>
      <c r="H108" t="s">
        <v>269</v>
      </c>
      <c r="J108" t="s">
        <v>540</v>
      </c>
      <c r="L108" t="s">
        <v>270</v>
      </c>
      <c r="M108" t="s">
        <v>46</v>
      </c>
      <c r="N108" t="s">
        <v>412</v>
      </c>
      <c r="P108" t="s">
        <v>541</v>
      </c>
      <c r="Q108" t="s">
        <v>542</v>
      </c>
      <c r="R108">
        <v>3</v>
      </c>
      <c r="S108">
        <v>16</v>
      </c>
    </row>
    <row r="109" spans="1:19" x14ac:dyDescent="0.35">
      <c r="A109">
        <v>258</v>
      </c>
      <c r="B109" t="s">
        <v>543</v>
      </c>
      <c r="C109" t="s">
        <v>42</v>
      </c>
      <c r="D109" t="s">
        <v>544</v>
      </c>
      <c r="E109" t="e" cm="1">
        <f t="array" ref="E109">- TADALAFIL</f>
        <v>#NAME?</v>
      </c>
      <c r="F109" t="s">
        <v>545</v>
      </c>
      <c r="G109" t="s">
        <v>546</v>
      </c>
      <c r="H109" t="s">
        <v>547</v>
      </c>
      <c r="I109" t="s">
        <v>548</v>
      </c>
      <c r="J109" t="s">
        <v>549</v>
      </c>
      <c r="K109" t="s">
        <v>550</v>
      </c>
    </row>
    <row r="110" spans="1:19" x14ac:dyDescent="0.35">
      <c r="A110">
        <v>8326</v>
      </c>
      <c r="B110" t="s">
        <v>551</v>
      </c>
      <c r="C110" t="s">
        <v>42</v>
      </c>
      <c r="D110" t="s">
        <v>552</v>
      </c>
      <c r="E110" t="e" cm="1">
        <f t="array" ref="E110">- POVIDONE-IODINE</f>
        <v>#NAME?</v>
      </c>
      <c r="F110" t="s">
        <v>553</v>
      </c>
      <c r="M110" t="s">
        <v>554</v>
      </c>
      <c r="N110" t="s">
        <v>555</v>
      </c>
      <c r="P110" t="s">
        <v>556</v>
      </c>
      <c r="Q110" t="s">
        <v>557</v>
      </c>
      <c r="R110">
        <v>3</v>
      </c>
      <c r="S110">
        <v>16</v>
      </c>
    </row>
    <row r="111" spans="1:19" x14ac:dyDescent="0.35">
      <c r="A111">
        <v>8327</v>
      </c>
      <c r="B111" t="s">
        <v>551</v>
      </c>
      <c r="C111" t="s">
        <v>42</v>
      </c>
      <c r="D111" t="s">
        <v>552</v>
      </c>
      <c r="E111" t="e" cm="1">
        <f t="array" ref="E111">- POVIDONE-IODINE</f>
        <v>#NAME?</v>
      </c>
      <c r="F111" t="s">
        <v>553</v>
      </c>
      <c r="M111" t="s">
        <v>554</v>
      </c>
      <c r="N111" t="s">
        <v>555</v>
      </c>
      <c r="P111" t="s">
        <v>556</v>
      </c>
      <c r="Q111" t="s">
        <v>557</v>
      </c>
      <c r="R111">
        <v>3</v>
      </c>
      <c r="S111">
        <v>16</v>
      </c>
    </row>
    <row r="112" spans="1:19" x14ac:dyDescent="0.35">
      <c r="A112">
        <v>8338</v>
      </c>
      <c r="B112" t="s">
        <v>551</v>
      </c>
      <c r="C112" t="s">
        <v>42</v>
      </c>
      <c r="D112" t="s">
        <v>558</v>
      </c>
      <c r="E112" t="e" cm="1">
        <f t="array" ref="E112">- POVIDONE-IODINE</f>
        <v>#NAME?</v>
      </c>
      <c r="F112" t="s">
        <v>559</v>
      </c>
      <c r="J112" t="s">
        <v>560</v>
      </c>
      <c r="M112" t="s">
        <v>554</v>
      </c>
      <c r="N112" t="s">
        <v>555</v>
      </c>
      <c r="P112" t="s">
        <v>561</v>
      </c>
      <c r="Q112" t="s">
        <v>562</v>
      </c>
      <c r="R112">
        <v>3</v>
      </c>
      <c r="S112">
        <v>16</v>
      </c>
    </row>
    <row r="113" spans="1:19" x14ac:dyDescent="0.35">
      <c r="A113">
        <v>8339</v>
      </c>
      <c r="B113" t="s">
        <v>551</v>
      </c>
      <c r="C113" t="s">
        <v>42</v>
      </c>
      <c r="D113" t="s">
        <v>558</v>
      </c>
      <c r="E113" t="e" cm="1">
        <f t="array" ref="E113">- POVIDONE-IODINE</f>
        <v>#NAME?</v>
      </c>
      <c r="F113" t="s">
        <v>559</v>
      </c>
      <c r="J113" t="s">
        <v>560</v>
      </c>
      <c r="M113" t="s">
        <v>554</v>
      </c>
      <c r="N113" t="s">
        <v>555</v>
      </c>
      <c r="P113" t="s">
        <v>561</v>
      </c>
      <c r="Q113" t="s">
        <v>562</v>
      </c>
      <c r="R113">
        <v>3</v>
      </c>
      <c r="S113">
        <v>16</v>
      </c>
    </row>
    <row r="114" spans="1:19" x14ac:dyDescent="0.35">
      <c r="A114">
        <v>2539</v>
      </c>
      <c r="B114" t="s">
        <v>563</v>
      </c>
      <c r="C114" t="s">
        <v>42</v>
      </c>
      <c r="D114" t="s">
        <v>564</v>
      </c>
      <c r="E114" t="e" cm="1">
        <f t="array" ref="E114">- IBUPROFEN</f>
        <v>#NAME?</v>
      </c>
      <c r="F114" t="s">
        <v>565</v>
      </c>
      <c r="L114" t="s">
        <v>382</v>
      </c>
      <c r="M114" t="s">
        <v>291</v>
      </c>
      <c r="N114" t="s">
        <v>383</v>
      </c>
      <c r="P114" t="s">
        <v>566</v>
      </c>
      <c r="Q114" t="s">
        <v>567</v>
      </c>
      <c r="R114">
        <v>3</v>
      </c>
      <c r="S114">
        <v>16</v>
      </c>
    </row>
    <row r="115" spans="1:19" x14ac:dyDescent="0.35">
      <c r="A115">
        <v>2529</v>
      </c>
      <c r="B115" t="s">
        <v>568</v>
      </c>
      <c r="C115" t="s">
        <v>42</v>
      </c>
      <c r="D115" t="s">
        <v>569</v>
      </c>
      <c r="E115" t="e" cm="1">
        <f t="array" ref="E115">- DEXKETOPROFEN</f>
        <v>#NAME?</v>
      </c>
      <c r="F115" t="s">
        <v>570</v>
      </c>
      <c r="J115" t="s">
        <v>571</v>
      </c>
      <c r="M115" t="s">
        <v>46</v>
      </c>
      <c r="N115" t="s">
        <v>572</v>
      </c>
      <c r="P115" t="s">
        <v>573</v>
      </c>
      <c r="Q115" t="s">
        <v>574</v>
      </c>
      <c r="R115">
        <v>3</v>
      </c>
      <c r="S115">
        <v>16</v>
      </c>
    </row>
    <row r="116" spans="1:19" x14ac:dyDescent="0.35">
      <c r="A116">
        <v>3630</v>
      </c>
      <c r="B116" t="s">
        <v>575</v>
      </c>
      <c r="C116" t="s">
        <v>42</v>
      </c>
      <c r="D116" t="s">
        <v>576</v>
      </c>
      <c r="E116" t="e" cm="1">
        <f t="array" ref="E116">- METOCLOPRAMIDE</f>
        <v>#NAME?</v>
      </c>
      <c r="F116" s="1">
        <v>5000</v>
      </c>
      <c r="J116" t="s">
        <v>577</v>
      </c>
      <c r="M116" t="s">
        <v>271</v>
      </c>
      <c r="N116" t="s">
        <v>578</v>
      </c>
      <c r="P116" t="s">
        <v>579</v>
      </c>
      <c r="Q116" t="s">
        <v>580</v>
      </c>
      <c r="R116">
        <v>3</v>
      </c>
      <c r="S116">
        <v>16</v>
      </c>
    </row>
    <row r="117" spans="1:19" x14ac:dyDescent="0.35">
      <c r="A117">
        <v>2516</v>
      </c>
      <c r="B117" t="s">
        <v>581</v>
      </c>
      <c r="C117" t="s">
        <v>42</v>
      </c>
      <c r="D117" t="s">
        <v>582</v>
      </c>
      <c r="E117" t="e" cm="1">
        <f t="array" ref="E117">- PARACETAMOL</f>
        <v>#NAME?</v>
      </c>
      <c r="F117" t="s">
        <v>583</v>
      </c>
      <c r="M117" t="s">
        <v>291</v>
      </c>
      <c r="N117" t="s">
        <v>584</v>
      </c>
      <c r="P117" t="s">
        <v>585</v>
      </c>
      <c r="Q117" t="s">
        <v>586</v>
      </c>
      <c r="R117">
        <v>3</v>
      </c>
      <c r="S117">
        <v>16</v>
      </c>
    </row>
    <row r="118" spans="1:19" x14ac:dyDescent="0.35">
      <c r="A118">
        <v>2515</v>
      </c>
      <c r="B118" t="s">
        <v>581</v>
      </c>
      <c r="C118" t="s">
        <v>42</v>
      </c>
      <c r="D118" t="s">
        <v>582</v>
      </c>
      <c r="E118" t="e" cm="1">
        <f t="array" ref="E118">- PARACETAMOL</f>
        <v>#NAME?</v>
      </c>
      <c r="F118" t="s">
        <v>583</v>
      </c>
      <c r="M118" t="s">
        <v>291</v>
      </c>
      <c r="N118" t="s">
        <v>584</v>
      </c>
      <c r="P118" t="s">
        <v>585</v>
      </c>
      <c r="Q118" t="s">
        <v>586</v>
      </c>
      <c r="R118">
        <v>3</v>
      </c>
      <c r="S118">
        <v>16</v>
      </c>
    </row>
    <row r="119" spans="1:19" x14ac:dyDescent="0.35">
      <c r="A119">
        <v>2504</v>
      </c>
      <c r="B119" t="s">
        <v>587</v>
      </c>
      <c r="C119" t="s">
        <v>42</v>
      </c>
      <c r="D119" t="s">
        <v>588</v>
      </c>
      <c r="E119" t="e" cm="1">
        <f t="array" ref="E119">- MELOXICAM</f>
        <v>#NAME?</v>
      </c>
      <c r="F119" t="s">
        <v>589</v>
      </c>
      <c r="J119" t="s">
        <v>590</v>
      </c>
      <c r="M119" t="s">
        <v>291</v>
      </c>
      <c r="N119" t="s">
        <v>412</v>
      </c>
      <c r="P119" t="s">
        <v>591</v>
      </c>
      <c r="Q119" t="s">
        <v>592</v>
      </c>
      <c r="R119">
        <v>3</v>
      </c>
      <c r="S119">
        <v>16</v>
      </c>
    </row>
    <row r="120" spans="1:19" x14ac:dyDescent="0.35">
      <c r="A120">
        <v>2503</v>
      </c>
      <c r="B120" t="s">
        <v>587</v>
      </c>
      <c r="C120" t="s">
        <v>42</v>
      </c>
      <c r="D120" t="s">
        <v>588</v>
      </c>
      <c r="E120" t="e" cm="1">
        <f t="array" ref="E120">- MELOXICAM</f>
        <v>#NAME?</v>
      </c>
      <c r="F120" t="s">
        <v>589</v>
      </c>
      <c r="J120" t="s">
        <v>590</v>
      </c>
      <c r="M120" t="s">
        <v>291</v>
      </c>
      <c r="N120" t="s">
        <v>412</v>
      </c>
      <c r="P120" t="s">
        <v>591</v>
      </c>
      <c r="Q120" t="s">
        <v>592</v>
      </c>
      <c r="R120">
        <v>3</v>
      </c>
      <c r="S120">
        <v>16</v>
      </c>
    </row>
    <row r="121" spans="1:19" x14ac:dyDescent="0.35">
      <c r="A121">
        <v>2502</v>
      </c>
      <c r="B121" t="s">
        <v>593</v>
      </c>
      <c r="C121" t="s">
        <v>42</v>
      </c>
      <c r="D121" t="s">
        <v>594</v>
      </c>
      <c r="E121" t="e" cm="1">
        <f t="array" ref="E121">- MELOXICAM</f>
        <v>#NAME?</v>
      </c>
      <c r="F121" t="s">
        <v>595</v>
      </c>
      <c r="J121" t="s">
        <v>590</v>
      </c>
      <c r="M121" t="s">
        <v>291</v>
      </c>
      <c r="N121" t="s">
        <v>412</v>
      </c>
      <c r="P121" t="s">
        <v>591</v>
      </c>
      <c r="Q121" t="s">
        <v>592</v>
      </c>
      <c r="R121">
        <v>3</v>
      </c>
      <c r="S121">
        <v>16</v>
      </c>
    </row>
    <row r="122" spans="1:19" x14ac:dyDescent="0.35">
      <c r="A122">
        <v>2501</v>
      </c>
      <c r="B122" t="s">
        <v>593</v>
      </c>
      <c r="C122" t="s">
        <v>42</v>
      </c>
      <c r="D122" t="s">
        <v>594</v>
      </c>
      <c r="E122" t="e" cm="1">
        <f t="array" ref="E122">- MELOXICAM</f>
        <v>#NAME?</v>
      </c>
      <c r="F122" t="s">
        <v>595</v>
      </c>
      <c r="J122" t="s">
        <v>590</v>
      </c>
      <c r="M122" t="s">
        <v>291</v>
      </c>
      <c r="N122" t="s">
        <v>412</v>
      </c>
      <c r="P122" t="s">
        <v>591</v>
      </c>
      <c r="Q122" t="s">
        <v>592</v>
      </c>
      <c r="R122">
        <v>3</v>
      </c>
      <c r="S122">
        <v>16</v>
      </c>
    </row>
    <row r="123" spans="1:19" x14ac:dyDescent="0.35">
      <c r="A123">
        <v>2500</v>
      </c>
      <c r="B123" t="s">
        <v>596</v>
      </c>
      <c r="C123" t="s">
        <v>42</v>
      </c>
      <c r="D123" t="s">
        <v>597</v>
      </c>
      <c r="E123" t="e" cm="1">
        <f t="array" ref="E123">- MELOXICAM</f>
        <v>#NAME?</v>
      </c>
      <c r="F123" t="s">
        <v>598</v>
      </c>
      <c r="J123" t="s">
        <v>599</v>
      </c>
      <c r="M123" t="s">
        <v>46</v>
      </c>
      <c r="N123" t="s">
        <v>412</v>
      </c>
      <c r="P123" t="s">
        <v>600</v>
      </c>
      <c r="Q123" t="s">
        <v>601</v>
      </c>
      <c r="R123">
        <v>3</v>
      </c>
      <c r="S123">
        <v>16</v>
      </c>
    </row>
    <row r="124" spans="1:19" x14ac:dyDescent="0.35">
      <c r="A124">
        <v>2499</v>
      </c>
      <c r="B124" t="s">
        <v>596</v>
      </c>
      <c r="C124" t="s">
        <v>42</v>
      </c>
      <c r="D124" t="s">
        <v>597</v>
      </c>
      <c r="E124" t="e" cm="1">
        <f t="array" ref="E124">- MELOXICAM</f>
        <v>#NAME?</v>
      </c>
      <c r="F124" t="s">
        <v>598</v>
      </c>
      <c r="J124" t="s">
        <v>599</v>
      </c>
      <c r="M124" t="s">
        <v>46</v>
      </c>
      <c r="N124" t="s">
        <v>412</v>
      </c>
      <c r="P124" t="s">
        <v>600</v>
      </c>
      <c r="Q124" t="s">
        <v>601</v>
      </c>
      <c r="R124">
        <v>3</v>
      </c>
      <c r="S124">
        <v>16</v>
      </c>
    </row>
    <row r="125" spans="1:19" x14ac:dyDescent="0.35">
      <c r="A125">
        <v>2496</v>
      </c>
      <c r="B125" t="s">
        <v>602</v>
      </c>
      <c r="C125" t="s">
        <v>42</v>
      </c>
      <c r="D125" t="s">
        <v>603</v>
      </c>
      <c r="E125" t="e" cm="1">
        <f t="array" ref="E125">- PIROXICAM</f>
        <v>#NAME?</v>
      </c>
      <c r="F125" t="s">
        <v>604</v>
      </c>
      <c r="H125" t="s">
        <v>269</v>
      </c>
      <c r="L125" t="s">
        <v>321</v>
      </c>
      <c r="M125" t="s">
        <v>46</v>
      </c>
      <c r="N125" t="s">
        <v>605</v>
      </c>
      <c r="P125" t="s">
        <v>606</v>
      </c>
      <c r="Q125" t="s">
        <v>607</v>
      </c>
      <c r="R125">
        <v>3</v>
      </c>
      <c r="S125">
        <v>16</v>
      </c>
    </row>
    <row r="126" spans="1:19" x14ac:dyDescent="0.35">
      <c r="A126">
        <v>2495</v>
      </c>
      <c r="B126" t="s">
        <v>608</v>
      </c>
      <c r="C126" t="s">
        <v>42</v>
      </c>
      <c r="D126" t="s">
        <v>609</v>
      </c>
      <c r="E126" t="e" cm="1">
        <f t="array" ref="E126">- PIROXICAM</f>
        <v>#NAME?</v>
      </c>
      <c r="F126" t="s">
        <v>610</v>
      </c>
      <c r="J126" t="s">
        <v>381</v>
      </c>
      <c r="L126" t="s">
        <v>382</v>
      </c>
      <c r="M126" t="s">
        <v>46</v>
      </c>
      <c r="N126" t="s">
        <v>605</v>
      </c>
      <c r="P126" t="s">
        <v>606</v>
      </c>
      <c r="Q126" t="s">
        <v>607</v>
      </c>
      <c r="R126">
        <v>3</v>
      </c>
      <c r="S126">
        <v>16</v>
      </c>
    </row>
    <row r="127" spans="1:19" x14ac:dyDescent="0.35">
      <c r="A127">
        <v>257</v>
      </c>
      <c r="B127" t="s">
        <v>543</v>
      </c>
      <c r="C127" t="s">
        <v>42</v>
      </c>
      <c r="D127" t="s">
        <v>544</v>
      </c>
      <c r="E127" t="e" cm="1">
        <f t="array" ref="E127">- TADALAFIL</f>
        <v>#NAME?</v>
      </c>
      <c r="F127" t="s">
        <v>545</v>
      </c>
      <c r="G127" t="s">
        <v>546</v>
      </c>
      <c r="H127" t="s">
        <v>547</v>
      </c>
      <c r="I127" t="s">
        <v>548</v>
      </c>
      <c r="J127" t="s">
        <v>549</v>
      </c>
      <c r="K127" t="s">
        <v>550</v>
      </c>
    </row>
    <row r="128" spans="1:19" x14ac:dyDescent="0.35">
      <c r="A128">
        <v>3273</v>
      </c>
      <c r="B128" t="s">
        <v>611</v>
      </c>
      <c r="C128" t="s">
        <v>42</v>
      </c>
      <c r="D128" t="s">
        <v>612</v>
      </c>
      <c r="E128" t="e" cm="1">
        <f t="array" ref="E128">- SUCRALFATE</f>
        <v>#NAME?</v>
      </c>
      <c r="F128" t="s">
        <v>613</v>
      </c>
      <c r="J128" t="s">
        <v>614</v>
      </c>
      <c r="M128" t="s">
        <v>340</v>
      </c>
      <c r="N128" t="s">
        <v>375</v>
      </c>
      <c r="P128" t="s">
        <v>615</v>
      </c>
      <c r="Q128" t="s">
        <v>616</v>
      </c>
      <c r="R128">
        <v>3</v>
      </c>
      <c r="S128">
        <v>16</v>
      </c>
    </row>
    <row r="129" spans="1:19" x14ac:dyDescent="0.35">
      <c r="A129">
        <v>3004</v>
      </c>
      <c r="B129" t="s">
        <v>617</v>
      </c>
      <c r="C129" t="s">
        <v>42</v>
      </c>
      <c r="D129" t="s">
        <v>618</v>
      </c>
      <c r="E129" t="e" cm="1">
        <f t="array" ref="E129">- PARACETAMOL</f>
        <v>#NAME?</v>
      </c>
      <c r="F129" t="s">
        <v>619</v>
      </c>
      <c r="J129" t="s">
        <v>334</v>
      </c>
      <c r="M129" t="s">
        <v>271</v>
      </c>
      <c r="N129" t="s">
        <v>584</v>
      </c>
      <c r="P129" t="s">
        <v>620</v>
      </c>
      <c r="Q129" t="s">
        <v>621</v>
      </c>
      <c r="R129">
        <v>3</v>
      </c>
      <c r="S129">
        <v>16</v>
      </c>
    </row>
    <row r="130" spans="1:19" x14ac:dyDescent="0.35">
      <c r="A130">
        <v>347</v>
      </c>
      <c r="B130" t="s">
        <v>622</v>
      </c>
      <c r="C130" t="s">
        <v>42</v>
      </c>
      <c r="D130" t="s">
        <v>623</v>
      </c>
      <c r="E130" t="e" cm="1">
        <f t="array" ref="E130">- ALLYLESTRENOL</f>
        <v>#NAME?</v>
      </c>
      <c r="F130" t="s">
        <v>624</v>
      </c>
      <c r="J130" t="s">
        <v>532</v>
      </c>
      <c r="M130" t="s">
        <v>46</v>
      </c>
      <c r="N130" t="s">
        <v>368</v>
      </c>
      <c r="P130" t="s">
        <v>625</v>
      </c>
      <c r="Q130" t="s">
        <v>626</v>
      </c>
      <c r="R130">
        <v>3</v>
      </c>
      <c r="S130">
        <v>16</v>
      </c>
    </row>
    <row r="131" spans="1:19" x14ac:dyDescent="0.35">
      <c r="A131">
        <v>2911</v>
      </c>
      <c r="B131" t="s">
        <v>627</v>
      </c>
      <c r="C131" t="s">
        <v>42</v>
      </c>
      <c r="D131" t="s">
        <v>628</v>
      </c>
      <c r="E131" t="e" cm="1">
        <f t="array" ref="E131">- IBUPROFEN</f>
        <v>#NAME?</v>
      </c>
      <c r="F131" t="s">
        <v>629</v>
      </c>
      <c r="J131" t="s">
        <v>630</v>
      </c>
      <c r="M131" t="s">
        <v>340</v>
      </c>
      <c r="N131" t="s">
        <v>383</v>
      </c>
      <c r="P131" t="s">
        <v>484</v>
      </c>
      <c r="Q131" t="s">
        <v>631</v>
      </c>
      <c r="R131">
        <v>3</v>
      </c>
      <c r="S131">
        <v>16</v>
      </c>
    </row>
    <row r="132" spans="1:19" x14ac:dyDescent="0.35">
      <c r="A132">
        <v>2912</v>
      </c>
      <c r="B132" t="s">
        <v>627</v>
      </c>
      <c r="C132" t="s">
        <v>42</v>
      </c>
      <c r="D132" t="s">
        <v>628</v>
      </c>
      <c r="E132" t="e" cm="1">
        <f t="array" ref="E132">- IBUPROFEN</f>
        <v>#NAME?</v>
      </c>
      <c r="F132" t="s">
        <v>629</v>
      </c>
      <c r="J132" t="s">
        <v>630</v>
      </c>
      <c r="M132" t="s">
        <v>340</v>
      </c>
      <c r="N132" t="s">
        <v>383</v>
      </c>
      <c r="P132" t="s">
        <v>484</v>
      </c>
      <c r="Q132" t="s">
        <v>631</v>
      </c>
      <c r="R132">
        <v>3</v>
      </c>
      <c r="S132">
        <v>16</v>
      </c>
    </row>
    <row r="133" spans="1:19" x14ac:dyDescent="0.35">
      <c r="A133">
        <v>7873</v>
      </c>
      <c r="B133" t="s">
        <v>632</v>
      </c>
      <c r="C133" t="s">
        <v>20</v>
      </c>
      <c r="D133" t="s">
        <v>633</v>
      </c>
      <c r="E133" t="s">
        <v>634</v>
      </c>
      <c r="F133" t="s">
        <v>635</v>
      </c>
      <c r="J133" t="s">
        <v>636</v>
      </c>
      <c r="N133" t="s">
        <v>637</v>
      </c>
      <c r="P133" t="s">
        <v>637</v>
      </c>
      <c r="Q133" t="s">
        <v>638</v>
      </c>
      <c r="R133">
        <v>3</v>
      </c>
      <c r="S133">
        <v>16</v>
      </c>
    </row>
    <row r="134" spans="1:19" x14ac:dyDescent="0.35">
      <c r="A134">
        <v>7614</v>
      </c>
      <c r="B134" t="s">
        <v>639</v>
      </c>
      <c r="C134" t="s">
        <v>20</v>
      </c>
      <c r="D134" t="s">
        <v>640</v>
      </c>
      <c r="E134" t="s">
        <v>641</v>
      </c>
      <c r="F134" s="1">
        <v>94000</v>
      </c>
      <c r="M134" t="s">
        <v>38</v>
      </c>
      <c r="N134" t="s">
        <v>642</v>
      </c>
      <c r="P134" t="s">
        <v>642</v>
      </c>
      <c r="Q134" t="s">
        <v>643</v>
      </c>
      <c r="R134">
        <v>3</v>
      </c>
      <c r="S134">
        <v>16</v>
      </c>
    </row>
    <row r="135" spans="1:19" x14ac:dyDescent="0.35">
      <c r="A135">
        <v>7885</v>
      </c>
      <c r="B135" t="s">
        <v>644</v>
      </c>
      <c r="C135" t="s">
        <v>20</v>
      </c>
      <c r="D135" t="s">
        <v>645</v>
      </c>
      <c r="E135" t="s">
        <v>646</v>
      </c>
      <c r="F135" t="s">
        <v>647</v>
      </c>
      <c r="J135" t="s">
        <v>197</v>
      </c>
      <c r="M135" t="s">
        <v>38</v>
      </c>
      <c r="N135" t="s">
        <v>648</v>
      </c>
      <c r="P135" t="s">
        <v>648</v>
      </c>
      <c r="Q135" t="s">
        <v>649</v>
      </c>
      <c r="R135">
        <v>3</v>
      </c>
      <c r="S135">
        <v>16</v>
      </c>
    </row>
    <row r="136" spans="1:19" x14ac:dyDescent="0.35">
      <c r="A136">
        <v>7888</v>
      </c>
      <c r="B136" t="s">
        <v>650</v>
      </c>
      <c r="C136" t="s">
        <v>20</v>
      </c>
      <c r="D136" t="s">
        <v>651</v>
      </c>
      <c r="E136" t="s">
        <v>652</v>
      </c>
      <c r="F136" t="s">
        <v>653</v>
      </c>
      <c r="J136" t="s">
        <v>75</v>
      </c>
      <c r="M136" t="s">
        <v>38</v>
      </c>
      <c r="N136" t="s">
        <v>654</v>
      </c>
      <c r="P136" t="s">
        <v>654</v>
      </c>
      <c r="Q136" t="s">
        <v>655</v>
      </c>
      <c r="R136">
        <v>3</v>
      </c>
      <c r="S136">
        <v>16</v>
      </c>
    </row>
    <row r="137" spans="1:19" x14ac:dyDescent="0.35">
      <c r="A137">
        <v>7605</v>
      </c>
      <c r="B137" t="s">
        <v>656</v>
      </c>
      <c r="C137" t="s">
        <v>20</v>
      </c>
      <c r="D137" t="s">
        <v>657</v>
      </c>
      <c r="E137" t="s">
        <v>658</v>
      </c>
      <c r="F137" t="s">
        <v>659</v>
      </c>
      <c r="J137" t="s">
        <v>334</v>
      </c>
      <c r="M137" t="s">
        <v>271</v>
      </c>
      <c r="N137" t="s">
        <v>660</v>
      </c>
      <c r="P137" t="s">
        <v>660</v>
      </c>
      <c r="Q137" t="s">
        <v>661</v>
      </c>
      <c r="R137">
        <v>3</v>
      </c>
      <c r="S137">
        <v>16</v>
      </c>
    </row>
    <row r="138" spans="1:19" x14ac:dyDescent="0.35">
      <c r="A138">
        <v>2910</v>
      </c>
      <c r="B138" t="s">
        <v>662</v>
      </c>
      <c r="C138" t="s">
        <v>42</v>
      </c>
      <c r="D138" t="s">
        <v>663</v>
      </c>
      <c r="E138" t="e" cm="1">
        <f t="array" ref="E138">- IBUPROFEN</f>
        <v>#NAME?</v>
      </c>
      <c r="F138" t="s">
        <v>664</v>
      </c>
      <c r="M138" t="s">
        <v>340</v>
      </c>
      <c r="N138" t="s">
        <v>383</v>
      </c>
      <c r="P138" t="s">
        <v>665</v>
      </c>
      <c r="Q138" t="s">
        <v>666</v>
      </c>
      <c r="R138">
        <v>3</v>
      </c>
      <c r="S138">
        <v>16</v>
      </c>
    </row>
    <row r="139" spans="1:19" x14ac:dyDescent="0.35">
      <c r="A139">
        <v>7582</v>
      </c>
      <c r="B139" t="s">
        <v>667</v>
      </c>
      <c r="C139" t="s">
        <v>20</v>
      </c>
      <c r="D139" t="s">
        <v>668</v>
      </c>
      <c r="E139" t="s">
        <v>669</v>
      </c>
      <c r="F139" t="s">
        <v>670</v>
      </c>
      <c r="J139" t="s">
        <v>334</v>
      </c>
      <c r="M139" t="s">
        <v>271</v>
      </c>
      <c r="N139" t="s">
        <v>671</v>
      </c>
      <c r="P139" t="s">
        <v>671</v>
      </c>
      <c r="Q139" t="s">
        <v>672</v>
      </c>
      <c r="R139">
        <v>3</v>
      </c>
      <c r="S139">
        <v>16</v>
      </c>
    </row>
    <row r="140" spans="1:19" x14ac:dyDescent="0.35">
      <c r="A140">
        <v>7551</v>
      </c>
      <c r="B140" t="s">
        <v>673</v>
      </c>
      <c r="C140" t="s">
        <v>42</v>
      </c>
      <c r="D140" t="s">
        <v>674</v>
      </c>
      <c r="E140" t="e" cm="1">
        <f t="array" ref="E140">- CYANOCOBALAMIN</f>
        <v>#NAME?</v>
      </c>
      <c r="F140" t="s">
        <v>675</v>
      </c>
      <c r="H140" t="s">
        <v>319</v>
      </c>
      <c r="J140" t="s">
        <v>676</v>
      </c>
      <c r="L140" t="s">
        <v>321</v>
      </c>
      <c r="M140" t="s">
        <v>46</v>
      </c>
      <c r="N140" t="s">
        <v>677</v>
      </c>
      <c r="P140" t="s">
        <v>678</v>
      </c>
      <c r="Q140" t="s">
        <v>679</v>
      </c>
      <c r="R140">
        <v>3</v>
      </c>
      <c r="S140">
        <v>16</v>
      </c>
    </row>
    <row r="141" spans="1:19" x14ac:dyDescent="0.35">
      <c r="A141">
        <v>2922</v>
      </c>
      <c r="B141" t="s">
        <v>680</v>
      </c>
      <c r="C141" t="s">
        <v>42</v>
      </c>
      <c r="D141" t="s">
        <v>681</v>
      </c>
      <c r="E141" t="e" cm="1">
        <f t="array" ref="E141">- PARACETAMOL</f>
        <v>#NAME?</v>
      </c>
      <c r="F141" t="s">
        <v>682</v>
      </c>
      <c r="J141" t="s">
        <v>334</v>
      </c>
      <c r="M141" t="s">
        <v>271</v>
      </c>
      <c r="N141" t="s">
        <v>584</v>
      </c>
      <c r="P141" t="s">
        <v>683</v>
      </c>
      <c r="Q141" t="s">
        <v>684</v>
      </c>
      <c r="R141">
        <v>3</v>
      </c>
      <c r="S141">
        <v>16</v>
      </c>
    </row>
    <row r="142" spans="1:19" x14ac:dyDescent="0.35">
      <c r="A142">
        <v>2929</v>
      </c>
      <c r="B142" t="s">
        <v>685</v>
      </c>
      <c r="C142" t="s">
        <v>42</v>
      </c>
      <c r="D142" t="s">
        <v>686</v>
      </c>
      <c r="E142" t="e" cm="1">
        <f t="array" ref="E142">- IBUPROFEN</f>
        <v>#NAME?</v>
      </c>
      <c r="F142" t="s">
        <v>687</v>
      </c>
      <c r="J142" t="s">
        <v>334</v>
      </c>
      <c r="M142" t="s">
        <v>340</v>
      </c>
      <c r="N142" t="s">
        <v>383</v>
      </c>
      <c r="P142" t="s">
        <v>688</v>
      </c>
      <c r="Q142" t="s">
        <v>689</v>
      </c>
      <c r="R142">
        <v>3</v>
      </c>
      <c r="S142">
        <v>16</v>
      </c>
    </row>
    <row r="143" spans="1:19" x14ac:dyDescent="0.35">
      <c r="A143">
        <v>1443</v>
      </c>
      <c r="B143" t="s">
        <v>690</v>
      </c>
      <c r="C143" t="s">
        <v>42</v>
      </c>
      <c r="D143" t="s">
        <v>691</v>
      </c>
      <c r="E143" t="e" cm="1">
        <f t="array" ref="E143">- ERDOSTEINE</f>
        <v>#NAME?</v>
      </c>
      <c r="F143" t="s">
        <v>692</v>
      </c>
      <c r="H143" t="s">
        <v>319</v>
      </c>
      <c r="J143" t="s">
        <v>190</v>
      </c>
      <c r="L143" t="s">
        <v>321</v>
      </c>
      <c r="M143" t="s">
        <v>38</v>
      </c>
      <c r="N143" t="s">
        <v>471</v>
      </c>
      <c r="P143" t="s">
        <v>693</v>
      </c>
      <c r="Q143" t="s">
        <v>694</v>
      </c>
      <c r="R143">
        <v>3</v>
      </c>
      <c r="S143">
        <v>16</v>
      </c>
    </row>
    <row r="144" spans="1:19" x14ac:dyDescent="0.35">
      <c r="A144">
        <v>1442</v>
      </c>
      <c r="B144" t="s">
        <v>690</v>
      </c>
      <c r="C144" t="s">
        <v>42</v>
      </c>
      <c r="D144" t="s">
        <v>691</v>
      </c>
      <c r="E144" t="e" cm="1">
        <f t="array" ref="E144">- ERDOSTEINE</f>
        <v>#NAME?</v>
      </c>
      <c r="F144" t="s">
        <v>692</v>
      </c>
      <c r="H144" t="s">
        <v>319</v>
      </c>
      <c r="J144" t="s">
        <v>190</v>
      </c>
      <c r="L144" t="s">
        <v>321</v>
      </c>
      <c r="M144" t="s">
        <v>38</v>
      </c>
      <c r="N144" t="s">
        <v>471</v>
      </c>
      <c r="P144" t="s">
        <v>693</v>
      </c>
      <c r="Q144" t="s">
        <v>694</v>
      </c>
      <c r="R144">
        <v>3</v>
      </c>
      <c r="S144">
        <v>16</v>
      </c>
    </row>
    <row r="145" spans="1:19" x14ac:dyDescent="0.35">
      <c r="A145">
        <v>2930</v>
      </c>
      <c r="B145" t="s">
        <v>685</v>
      </c>
      <c r="C145" t="s">
        <v>42</v>
      </c>
      <c r="D145" t="s">
        <v>686</v>
      </c>
      <c r="E145" t="e" cm="1">
        <f t="array" ref="E145">- IBUPROFEN</f>
        <v>#NAME?</v>
      </c>
      <c r="F145" t="s">
        <v>687</v>
      </c>
      <c r="J145" t="s">
        <v>334</v>
      </c>
      <c r="M145" t="s">
        <v>340</v>
      </c>
      <c r="N145" t="s">
        <v>383</v>
      </c>
      <c r="P145" t="s">
        <v>688</v>
      </c>
      <c r="Q145" t="s">
        <v>689</v>
      </c>
      <c r="R145">
        <v>3</v>
      </c>
      <c r="S145">
        <v>16</v>
      </c>
    </row>
    <row r="146" spans="1:19" x14ac:dyDescent="0.35">
      <c r="A146">
        <v>2936</v>
      </c>
      <c r="B146" t="s">
        <v>695</v>
      </c>
      <c r="C146" t="s">
        <v>42</v>
      </c>
      <c r="D146" t="s">
        <v>696</v>
      </c>
      <c r="E146" t="e" cm="1">
        <f t="array" ref="E146">- PARACETAMOL</f>
        <v>#NAME?</v>
      </c>
      <c r="F146" t="s">
        <v>697</v>
      </c>
      <c r="J146" t="s">
        <v>334</v>
      </c>
      <c r="M146" t="s">
        <v>271</v>
      </c>
      <c r="N146" t="s">
        <v>584</v>
      </c>
      <c r="P146" t="s">
        <v>585</v>
      </c>
      <c r="Q146" t="s">
        <v>698</v>
      </c>
      <c r="R146">
        <v>3</v>
      </c>
      <c r="S146">
        <v>16</v>
      </c>
    </row>
    <row r="147" spans="1:19" x14ac:dyDescent="0.35">
      <c r="A147">
        <v>7552</v>
      </c>
      <c r="B147" t="s">
        <v>699</v>
      </c>
      <c r="C147" t="s">
        <v>20</v>
      </c>
      <c r="D147" t="s">
        <v>700</v>
      </c>
      <c r="E147" t="s">
        <v>701</v>
      </c>
      <c r="F147" t="s">
        <v>702</v>
      </c>
      <c r="M147" t="s">
        <v>291</v>
      </c>
      <c r="N147" t="s">
        <v>703</v>
      </c>
      <c r="P147" t="s">
        <v>703</v>
      </c>
      <c r="Q147" t="s">
        <v>704</v>
      </c>
      <c r="R147">
        <v>3</v>
      </c>
      <c r="S147">
        <v>16</v>
      </c>
    </row>
    <row r="148" spans="1:19" x14ac:dyDescent="0.35">
      <c r="A148">
        <v>7644</v>
      </c>
      <c r="B148" t="s">
        <v>705</v>
      </c>
      <c r="C148" t="s">
        <v>20</v>
      </c>
      <c r="D148" t="s">
        <v>706</v>
      </c>
      <c r="E148" t="s">
        <v>707</v>
      </c>
      <c r="F148" t="s">
        <v>708</v>
      </c>
      <c r="J148" t="s">
        <v>709</v>
      </c>
      <c r="M148" t="s">
        <v>63</v>
      </c>
      <c r="N148" t="s">
        <v>710</v>
      </c>
      <c r="P148" t="s">
        <v>710</v>
      </c>
      <c r="Q148" t="s">
        <v>711</v>
      </c>
      <c r="R148">
        <v>3</v>
      </c>
      <c r="S148">
        <v>16</v>
      </c>
    </row>
    <row r="149" spans="1:19" x14ac:dyDescent="0.35">
      <c r="A149">
        <v>2904</v>
      </c>
      <c r="B149" t="s">
        <v>712</v>
      </c>
      <c r="C149" t="s">
        <v>42</v>
      </c>
      <c r="D149" t="s">
        <v>713</v>
      </c>
      <c r="E149" t="e" cm="1">
        <f t="array" ref="E149">- PARACETAMOL</f>
        <v>#NAME?</v>
      </c>
      <c r="F149" t="s">
        <v>714</v>
      </c>
      <c r="M149" t="s">
        <v>271</v>
      </c>
      <c r="N149" t="s">
        <v>584</v>
      </c>
      <c r="P149" t="s">
        <v>715</v>
      </c>
      <c r="Q149" t="s">
        <v>716</v>
      </c>
      <c r="R149">
        <v>3</v>
      </c>
      <c r="S149">
        <v>16</v>
      </c>
    </row>
    <row r="150" spans="1:19" x14ac:dyDescent="0.35">
      <c r="A150">
        <v>2736</v>
      </c>
      <c r="B150" t="s">
        <v>717</v>
      </c>
      <c r="C150" t="s">
        <v>42</v>
      </c>
      <c r="D150" t="s">
        <v>718</v>
      </c>
      <c r="E150" t="e" cm="1">
        <f t="array" ref="E150">- KETOPROFEN</f>
        <v>#NAME?</v>
      </c>
      <c r="F150" t="s">
        <v>719</v>
      </c>
      <c r="H150" t="s">
        <v>269</v>
      </c>
      <c r="L150" t="s">
        <v>270</v>
      </c>
      <c r="M150" t="s">
        <v>720</v>
      </c>
      <c r="N150" t="s">
        <v>721</v>
      </c>
      <c r="P150" t="s">
        <v>722</v>
      </c>
      <c r="Q150" t="s">
        <v>723</v>
      </c>
      <c r="R150">
        <v>3</v>
      </c>
      <c r="S150">
        <v>16</v>
      </c>
    </row>
    <row r="151" spans="1:19" x14ac:dyDescent="0.35">
      <c r="A151">
        <v>2782</v>
      </c>
      <c r="B151" t="s">
        <v>724</v>
      </c>
      <c r="C151" t="s">
        <v>42</v>
      </c>
      <c r="D151" t="s">
        <v>725</v>
      </c>
      <c r="E151" t="e" cm="1">
        <f t="array" ref="E151">- PIROXICAM</f>
        <v>#NAME?</v>
      </c>
      <c r="F151" t="s">
        <v>726</v>
      </c>
      <c r="J151" t="s">
        <v>727</v>
      </c>
      <c r="M151" t="s">
        <v>291</v>
      </c>
      <c r="N151" t="s">
        <v>605</v>
      </c>
      <c r="P151" t="s">
        <v>728</v>
      </c>
      <c r="Q151" t="s">
        <v>729</v>
      </c>
      <c r="R151">
        <v>3</v>
      </c>
      <c r="S151">
        <v>16</v>
      </c>
    </row>
    <row r="152" spans="1:19" x14ac:dyDescent="0.35">
      <c r="A152">
        <v>2870</v>
      </c>
      <c r="B152" t="s">
        <v>730</v>
      </c>
      <c r="C152" t="s">
        <v>42</v>
      </c>
      <c r="D152" t="s">
        <v>731</v>
      </c>
      <c r="E152" t="e" cm="1">
        <f t="array" ref="E152">- IBUPROFEN</f>
        <v>#NAME?</v>
      </c>
      <c r="F152" t="s">
        <v>732</v>
      </c>
      <c r="M152" t="s">
        <v>340</v>
      </c>
      <c r="N152" t="s">
        <v>383</v>
      </c>
      <c r="P152" t="s">
        <v>733</v>
      </c>
      <c r="Q152" t="s">
        <v>734</v>
      </c>
      <c r="R152">
        <v>3</v>
      </c>
      <c r="S152">
        <v>16</v>
      </c>
    </row>
    <row r="153" spans="1:19" x14ac:dyDescent="0.35">
      <c r="A153">
        <v>506</v>
      </c>
      <c r="B153" t="s">
        <v>735</v>
      </c>
      <c r="C153" t="s">
        <v>42</v>
      </c>
      <c r="D153" t="s">
        <v>736</v>
      </c>
      <c r="E153" t="e" cm="1">
        <f t="array" ref="E153">- AMINOPHYLLINE</f>
        <v>#NAME?</v>
      </c>
      <c r="F153" s="1">
        <v>22500</v>
      </c>
      <c r="G153" t="s">
        <v>737</v>
      </c>
      <c r="H153" t="s">
        <v>738</v>
      </c>
    </row>
    <row r="154" spans="1:19" x14ac:dyDescent="0.35">
      <c r="A154">
        <v>7795</v>
      </c>
      <c r="B154" t="s">
        <v>739</v>
      </c>
      <c r="C154" t="s">
        <v>20</v>
      </c>
      <c r="D154" t="s">
        <v>740</v>
      </c>
      <c r="E154" t="s">
        <v>741</v>
      </c>
      <c r="F154" t="s">
        <v>742</v>
      </c>
      <c r="J154" t="s">
        <v>743</v>
      </c>
      <c r="N154" t="s">
        <v>744</v>
      </c>
      <c r="P154" t="s">
        <v>745</v>
      </c>
      <c r="Q154" t="s">
        <v>746</v>
      </c>
      <c r="R154">
        <v>3</v>
      </c>
      <c r="S154">
        <v>16</v>
      </c>
    </row>
    <row r="155" spans="1:19" x14ac:dyDescent="0.35">
      <c r="A155">
        <v>2761</v>
      </c>
      <c r="B155" t="s">
        <v>747</v>
      </c>
      <c r="C155" t="s">
        <v>42</v>
      </c>
      <c r="D155" t="s">
        <v>748</v>
      </c>
      <c r="E155" t="e" cm="1">
        <f t="array" ref="E155">- MELOXICAM</f>
        <v>#NAME?</v>
      </c>
      <c r="F155" t="s">
        <v>749</v>
      </c>
      <c r="J155" t="s">
        <v>411</v>
      </c>
      <c r="M155" t="s">
        <v>46</v>
      </c>
      <c r="N155" t="s">
        <v>412</v>
      </c>
      <c r="P155" t="s">
        <v>750</v>
      </c>
      <c r="Q155" t="s">
        <v>751</v>
      </c>
      <c r="R155">
        <v>3</v>
      </c>
      <c r="S155">
        <v>16</v>
      </c>
    </row>
    <row r="156" spans="1:19" x14ac:dyDescent="0.35">
      <c r="A156">
        <v>2755</v>
      </c>
      <c r="B156" t="s">
        <v>752</v>
      </c>
      <c r="C156" t="s">
        <v>42</v>
      </c>
      <c r="D156" t="s">
        <v>753</v>
      </c>
      <c r="E156" t="e" cm="1">
        <f t="array" ref="E156">- PARACETAMOL</f>
        <v>#NAME?</v>
      </c>
      <c r="F156" s="1">
        <v>5400</v>
      </c>
      <c r="J156" t="s">
        <v>754</v>
      </c>
      <c r="M156" t="s">
        <v>46</v>
      </c>
      <c r="N156" t="s">
        <v>584</v>
      </c>
      <c r="P156" t="s">
        <v>755</v>
      </c>
      <c r="Q156" t="s">
        <v>756</v>
      </c>
      <c r="R156">
        <v>3</v>
      </c>
      <c r="S156">
        <v>16</v>
      </c>
    </row>
    <row r="157" spans="1:19" x14ac:dyDescent="0.35">
      <c r="A157">
        <v>2754</v>
      </c>
      <c r="B157" t="s">
        <v>752</v>
      </c>
      <c r="C157" t="s">
        <v>42</v>
      </c>
      <c r="D157" t="s">
        <v>753</v>
      </c>
      <c r="E157" t="e" cm="1">
        <f t="array" ref="E157">- PARACETAMOL</f>
        <v>#NAME?</v>
      </c>
      <c r="F157" s="1">
        <v>5400</v>
      </c>
      <c r="J157" t="s">
        <v>754</v>
      </c>
      <c r="M157" t="s">
        <v>46</v>
      </c>
      <c r="N157" t="s">
        <v>584</v>
      </c>
      <c r="P157" t="s">
        <v>755</v>
      </c>
      <c r="Q157" t="s">
        <v>756</v>
      </c>
      <c r="R157">
        <v>3</v>
      </c>
      <c r="S157">
        <v>16</v>
      </c>
    </row>
    <row r="158" spans="1:19" x14ac:dyDescent="0.35">
      <c r="A158">
        <v>2753</v>
      </c>
      <c r="B158" t="s">
        <v>752</v>
      </c>
      <c r="C158" t="s">
        <v>42</v>
      </c>
      <c r="D158" t="s">
        <v>753</v>
      </c>
      <c r="E158" t="e" cm="1">
        <f t="array" ref="E158">- PARACETAMOL</f>
        <v>#NAME?</v>
      </c>
      <c r="F158" s="1">
        <v>5400</v>
      </c>
      <c r="J158" t="s">
        <v>754</v>
      </c>
      <c r="M158" t="s">
        <v>46</v>
      </c>
      <c r="N158" t="s">
        <v>584</v>
      </c>
      <c r="P158" t="s">
        <v>755</v>
      </c>
      <c r="Q158" t="s">
        <v>756</v>
      </c>
      <c r="R158">
        <v>3</v>
      </c>
      <c r="S158">
        <v>16</v>
      </c>
    </row>
    <row r="159" spans="1:19" x14ac:dyDescent="0.35">
      <c r="A159">
        <v>7751</v>
      </c>
      <c r="B159" t="s">
        <v>757</v>
      </c>
      <c r="C159" t="s">
        <v>42</v>
      </c>
      <c r="D159" t="s">
        <v>758</v>
      </c>
      <c r="E159" t="e" cm="1">
        <f t="array" ref="E159">- CYANOCOBALAMIN</f>
        <v>#NAME?</v>
      </c>
      <c r="F159" t="s">
        <v>759</v>
      </c>
      <c r="J159" t="s">
        <v>760</v>
      </c>
      <c r="M159" t="s">
        <v>46</v>
      </c>
      <c r="N159" t="s">
        <v>677</v>
      </c>
      <c r="P159" t="s">
        <v>761</v>
      </c>
      <c r="Q159" t="s">
        <v>762</v>
      </c>
      <c r="R159">
        <v>3</v>
      </c>
      <c r="S159">
        <v>16</v>
      </c>
    </row>
    <row r="160" spans="1:19" x14ac:dyDescent="0.35">
      <c r="A160">
        <v>2743</v>
      </c>
      <c r="B160" t="s">
        <v>763</v>
      </c>
      <c r="C160" t="s">
        <v>42</v>
      </c>
      <c r="D160" t="s">
        <v>764</v>
      </c>
      <c r="E160" t="e" cm="1">
        <f t="array" ref="E160">- IBUPROFEN</f>
        <v>#NAME?</v>
      </c>
      <c r="F160" t="s">
        <v>765</v>
      </c>
      <c r="M160" t="s">
        <v>291</v>
      </c>
      <c r="N160" t="s">
        <v>383</v>
      </c>
      <c r="P160" t="s">
        <v>766</v>
      </c>
      <c r="Q160" t="s">
        <v>767</v>
      </c>
      <c r="R160">
        <v>3</v>
      </c>
      <c r="S160">
        <v>16</v>
      </c>
    </row>
    <row r="161" spans="1:19" x14ac:dyDescent="0.35">
      <c r="A161">
        <v>2742</v>
      </c>
      <c r="B161" t="s">
        <v>768</v>
      </c>
      <c r="C161" t="s">
        <v>42</v>
      </c>
      <c r="D161" t="s">
        <v>769</v>
      </c>
      <c r="E161" t="e" cm="1">
        <f t="array" ref="E161">- IBUPROFEN</f>
        <v>#NAME?</v>
      </c>
      <c r="F161" t="s">
        <v>770</v>
      </c>
      <c r="J161" t="s">
        <v>771</v>
      </c>
      <c r="M161" t="s">
        <v>340</v>
      </c>
      <c r="N161" t="s">
        <v>383</v>
      </c>
      <c r="P161" t="s">
        <v>772</v>
      </c>
      <c r="Q161" t="s">
        <v>773</v>
      </c>
      <c r="R161">
        <v>3</v>
      </c>
      <c r="S161">
        <v>16</v>
      </c>
    </row>
    <row r="162" spans="1:19" x14ac:dyDescent="0.35">
      <c r="A162">
        <v>7747</v>
      </c>
      <c r="B162" t="s">
        <v>774</v>
      </c>
      <c r="C162" t="s">
        <v>42</v>
      </c>
      <c r="D162" t="s">
        <v>775</v>
      </c>
      <c r="E162" t="e" cm="1">
        <f t="array" ref="E162">- CYANOCOBALAMIN</f>
        <v>#NAME?</v>
      </c>
      <c r="F162" t="s">
        <v>776</v>
      </c>
      <c r="J162" t="s">
        <v>777</v>
      </c>
      <c r="M162" t="s">
        <v>46</v>
      </c>
      <c r="N162" t="s">
        <v>677</v>
      </c>
      <c r="P162" t="s">
        <v>778</v>
      </c>
      <c r="Q162" t="s">
        <v>779</v>
      </c>
      <c r="R162">
        <v>3</v>
      </c>
      <c r="S162">
        <v>16</v>
      </c>
    </row>
    <row r="163" spans="1:19" x14ac:dyDescent="0.35">
      <c r="A163">
        <v>7734</v>
      </c>
      <c r="B163" t="s">
        <v>780</v>
      </c>
      <c r="C163" t="s">
        <v>42</v>
      </c>
      <c r="D163" t="s">
        <v>781</v>
      </c>
      <c r="E163" t="e" cm="1">
        <f t="array" ref="E163">- CYANOCOBALAMIN</f>
        <v>#NAME?</v>
      </c>
      <c r="F163" s="1">
        <v>4000</v>
      </c>
      <c r="M163" t="s">
        <v>291</v>
      </c>
      <c r="N163" t="s">
        <v>677</v>
      </c>
      <c r="P163" t="s">
        <v>782</v>
      </c>
      <c r="Q163" t="s">
        <v>783</v>
      </c>
      <c r="R163">
        <v>3</v>
      </c>
      <c r="S163">
        <v>16</v>
      </c>
    </row>
    <row r="164" spans="1:19" x14ac:dyDescent="0.35">
      <c r="A164">
        <v>7843</v>
      </c>
      <c r="B164" t="s">
        <v>784</v>
      </c>
      <c r="C164" t="s">
        <v>20</v>
      </c>
      <c r="D164" t="s">
        <v>785</v>
      </c>
      <c r="E164" t="s">
        <v>786</v>
      </c>
      <c r="F164" t="s">
        <v>787</v>
      </c>
      <c r="J164" t="s">
        <v>788</v>
      </c>
      <c r="M164" t="s">
        <v>38</v>
      </c>
      <c r="N164" t="s">
        <v>789</v>
      </c>
      <c r="P164" t="s">
        <v>789</v>
      </c>
      <c r="Q164" t="s">
        <v>790</v>
      </c>
      <c r="R164">
        <v>3</v>
      </c>
      <c r="S164">
        <v>16</v>
      </c>
    </row>
    <row r="165" spans="1:19" x14ac:dyDescent="0.35">
      <c r="A165">
        <v>7846</v>
      </c>
      <c r="B165" t="s">
        <v>791</v>
      </c>
      <c r="C165" t="s">
        <v>20</v>
      </c>
      <c r="D165" t="s">
        <v>792</v>
      </c>
      <c r="E165" t="s">
        <v>793</v>
      </c>
      <c r="F165" t="s">
        <v>794</v>
      </c>
      <c r="M165" t="s">
        <v>38</v>
      </c>
      <c r="N165" t="s">
        <v>795</v>
      </c>
      <c r="P165" t="s">
        <v>795</v>
      </c>
      <c r="Q165" t="s">
        <v>796</v>
      </c>
      <c r="R165">
        <v>3</v>
      </c>
      <c r="S165">
        <v>16</v>
      </c>
    </row>
    <row r="166" spans="1:19" x14ac:dyDescent="0.35">
      <c r="A166">
        <v>2893</v>
      </c>
      <c r="B166" t="s">
        <v>797</v>
      </c>
      <c r="C166" t="s">
        <v>42</v>
      </c>
      <c r="D166" t="s">
        <v>798</v>
      </c>
      <c r="E166" t="e" cm="1">
        <f t="array" ref="E166">- PARACETAMOL</f>
        <v>#NAME?</v>
      </c>
      <c r="F166" t="s">
        <v>799</v>
      </c>
      <c r="J166" t="s">
        <v>334</v>
      </c>
      <c r="M166" t="s">
        <v>271</v>
      </c>
      <c r="N166" t="s">
        <v>584</v>
      </c>
      <c r="P166" t="s">
        <v>800</v>
      </c>
      <c r="Q166" t="s">
        <v>801</v>
      </c>
      <c r="R166">
        <v>3</v>
      </c>
      <c r="S166">
        <v>16</v>
      </c>
    </row>
    <row r="167" spans="1:19" x14ac:dyDescent="0.35">
      <c r="A167">
        <v>2894</v>
      </c>
      <c r="B167" t="s">
        <v>802</v>
      </c>
      <c r="C167" t="s">
        <v>42</v>
      </c>
      <c r="D167" t="s">
        <v>803</v>
      </c>
      <c r="E167" t="e" cm="1">
        <f t="array" ref="E167">- PARACETAMOL</f>
        <v>#NAME?</v>
      </c>
      <c r="F167" t="s">
        <v>804</v>
      </c>
      <c r="J167" t="s">
        <v>334</v>
      </c>
      <c r="M167" t="s">
        <v>271</v>
      </c>
      <c r="N167" t="s">
        <v>584</v>
      </c>
      <c r="P167" t="s">
        <v>805</v>
      </c>
      <c r="Q167" t="s">
        <v>806</v>
      </c>
      <c r="R167">
        <v>3</v>
      </c>
      <c r="S167">
        <v>16</v>
      </c>
    </row>
    <row r="168" spans="1:19" x14ac:dyDescent="0.35">
      <c r="A168">
        <v>2701</v>
      </c>
      <c r="B168" t="s">
        <v>807</v>
      </c>
      <c r="C168" t="s">
        <v>42</v>
      </c>
      <c r="D168" t="s">
        <v>808</v>
      </c>
      <c r="E168" t="e" cm="1">
        <f t="array" ref="E168">- PIROXICAM</f>
        <v>#NAME?</v>
      </c>
      <c r="F168" t="s">
        <v>809</v>
      </c>
      <c r="J168" t="s">
        <v>810</v>
      </c>
      <c r="M168" t="s">
        <v>38</v>
      </c>
      <c r="N168" t="s">
        <v>605</v>
      </c>
      <c r="P168" t="s">
        <v>811</v>
      </c>
      <c r="Q168" t="s">
        <v>812</v>
      </c>
      <c r="R168">
        <v>3</v>
      </c>
      <c r="S168">
        <v>16</v>
      </c>
    </row>
    <row r="169" spans="1:19" x14ac:dyDescent="0.35">
      <c r="A169">
        <v>2937</v>
      </c>
      <c r="B169" t="s">
        <v>695</v>
      </c>
      <c r="C169" t="s">
        <v>42</v>
      </c>
      <c r="D169" t="s">
        <v>696</v>
      </c>
      <c r="E169" t="e" cm="1">
        <f t="array" ref="E169">- PARACETAMOL</f>
        <v>#NAME?</v>
      </c>
      <c r="F169" t="s">
        <v>697</v>
      </c>
      <c r="J169" t="s">
        <v>334</v>
      </c>
      <c r="M169" t="s">
        <v>271</v>
      </c>
      <c r="N169" t="s">
        <v>584</v>
      </c>
      <c r="P169" t="s">
        <v>585</v>
      </c>
      <c r="Q169" t="s">
        <v>698</v>
      </c>
      <c r="R169">
        <v>3</v>
      </c>
      <c r="S169">
        <v>16</v>
      </c>
    </row>
    <row r="170" spans="1:19" x14ac:dyDescent="0.35">
      <c r="A170">
        <v>7926</v>
      </c>
      <c r="B170" t="s">
        <v>813</v>
      </c>
      <c r="C170" t="s">
        <v>20</v>
      </c>
      <c r="D170" t="s">
        <v>814</v>
      </c>
      <c r="E170" t="s">
        <v>815</v>
      </c>
      <c r="F170" t="s">
        <v>816</v>
      </c>
      <c r="J170" t="s">
        <v>817</v>
      </c>
      <c r="M170" t="s">
        <v>818</v>
      </c>
      <c r="N170" t="s">
        <v>819</v>
      </c>
      <c r="P170" t="s">
        <v>819</v>
      </c>
      <c r="Q170" t="s">
        <v>820</v>
      </c>
      <c r="R170">
        <v>3</v>
      </c>
      <c r="S170">
        <v>16</v>
      </c>
    </row>
    <row r="171" spans="1:19" x14ac:dyDescent="0.35">
      <c r="A171">
        <v>2943</v>
      </c>
      <c r="B171" t="s">
        <v>821</v>
      </c>
      <c r="C171" t="s">
        <v>42</v>
      </c>
      <c r="D171" t="s">
        <v>822</v>
      </c>
      <c r="E171" t="e" cm="1">
        <f t="array" ref="E171">- IBUPROFEN</f>
        <v>#NAME?</v>
      </c>
      <c r="F171" t="s">
        <v>823</v>
      </c>
      <c r="J171" t="s">
        <v>743</v>
      </c>
      <c r="M171" t="s">
        <v>824</v>
      </c>
      <c r="N171" t="s">
        <v>383</v>
      </c>
      <c r="P171" t="s">
        <v>825</v>
      </c>
      <c r="Q171" t="s">
        <v>826</v>
      </c>
      <c r="R171">
        <v>3</v>
      </c>
      <c r="S171">
        <v>16</v>
      </c>
    </row>
    <row r="172" spans="1:19" x14ac:dyDescent="0.35">
      <c r="A172">
        <v>8058</v>
      </c>
      <c r="B172" t="s">
        <v>551</v>
      </c>
      <c r="C172" t="s">
        <v>42</v>
      </c>
      <c r="D172" t="s">
        <v>827</v>
      </c>
      <c r="E172" t="e" cm="1">
        <f t="array" ref="E172">- POVIDONE-IODINE</f>
        <v>#NAME?</v>
      </c>
      <c r="F172" t="s">
        <v>828</v>
      </c>
      <c r="J172" t="s">
        <v>829</v>
      </c>
      <c r="M172" t="s">
        <v>554</v>
      </c>
      <c r="N172" t="s">
        <v>555</v>
      </c>
      <c r="P172" t="s">
        <v>830</v>
      </c>
      <c r="Q172" t="s">
        <v>831</v>
      </c>
      <c r="R172">
        <v>3</v>
      </c>
      <c r="S172">
        <v>16</v>
      </c>
    </row>
    <row r="173" spans="1:19" x14ac:dyDescent="0.35">
      <c r="A173">
        <v>8059</v>
      </c>
      <c r="B173" t="s">
        <v>551</v>
      </c>
      <c r="C173" t="s">
        <v>42</v>
      </c>
      <c r="D173" t="s">
        <v>827</v>
      </c>
      <c r="E173" t="e" cm="1">
        <f t="array" ref="E173">- POVIDONE-IODINE</f>
        <v>#NAME?</v>
      </c>
      <c r="F173" t="s">
        <v>828</v>
      </c>
      <c r="J173" t="s">
        <v>829</v>
      </c>
      <c r="M173" t="s">
        <v>554</v>
      </c>
      <c r="N173" t="s">
        <v>555</v>
      </c>
      <c r="P173" t="s">
        <v>830</v>
      </c>
      <c r="Q173" t="s">
        <v>831</v>
      </c>
      <c r="R173">
        <v>3</v>
      </c>
      <c r="S173">
        <v>16</v>
      </c>
    </row>
    <row r="174" spans="1:19" x14ac:dyDescent="0.35">
      <c r="A174">
        <v>2634</v>
      </c>
      <c r="B174" t="s">
        <v>832</v>
      </c>
      <c r="C174" t="s">
        <v>42</v>
      </c>
      <c r="D174" t="s">
        <v>833</v>
      </c>
      <c r="E174" t="e" cm="1">
        <f t="array" ref="E174">- TENOXICAM</f>
        <v>#NAME?</v>
      </c>
      <c r="F174" t="s">
        <v>834</v>
      </c>
      <c r="G174" t="s">
        <v>835</v>
      </c>
      <c r="H174" t="s">
        <v>836</v>
      </c>
      <c r="J174" t="s">
        <v>837</v>
      </c>
      <c r="K174" t="s">
        <v>838</v>
      </c>
      <c r="L174" t="s">
        <v>839</v>
      </c>
      <c r="M174" t="s">
        <v>46</v>
      </c>
      <c r="N174" t="s">
        <v>840</v>
      </c>
      <c r="P174" t="s">
        <v>841</v>
      </c>
      <c r="Q174" t="s">
        <v>842</v>
      </c>
      <c r="R174">
        <v>3</v>
      </c>
      <c r="S174">
        <v>16</v>
      </c>
    </row>
    <row r="175" spans="1:19" x14ac:dyDescent="0.35">
      <c r="A175">
        <v>7257</v>
      </c>
      <c r="B175" t="s">
        <v>843</v>
      </c>
      <c r="C175" t="s">
        <v>20</v>
      </c>
      <c r="D175" t="s">
        <v>844</v>
      </c>
      <c r="E175" t="s">
        <v>845</v>
      </c>
      <c r="F175" s="1">
        <v>200000</v>
      </c>
      <c r="J175" t="s">
        <v>846</v>
      </c>
      <c r="N175" t="s">
        <v>847</v>
      </c>
      <c r="P175" t="s">
        <v>847</v>
      </c>
      <c r="Q175" t="s">
        <v>848</v>
      </c>
      <c r="R175">
        <v>3</v>
      </c>
      <c r="S175">
        <v>16</v>
      </c>
    </row>
    <row r="176" spans="1:19" x14ac:dyDescent="0.35">
      <c r="A176">
        <v>2633</v>
      </c>
      <c r="B176" t="s">
        <v>832</v>
      </c>
      <c r="C176" t="s">
        <v>42</v>
      </c>
      <c r="D176" t="s">
        <v>833</v>
      </c>
      <c r="E176" t="e" cm="1">
        <f t="array" ref="E176">- TENOXICAM</f>
        <v>#NAME?</v>
      </c>
      <c r="F176" t="s">
        <v>834</v>
      </c>
      <c r="G176" t="s">
        <v>835</v>
      </c>
      <c r="H176" t="s">
        <v>836</v>
      </c>
      <c r="J176" t="s">
        <v>837</v>
      </c>
      <c r="K176" t="s">
        <v>838</v>
      </c>
      <c r="L176" t="s">
        <v>839</v>
      </c>
      <c r="M176" t="s">
        <v>46</v>
      </c>
      <c r="N176" t="s">
        <v>840</v>
      </c>
      <c r="P176" t="s">
        <v>841</v>
      </c>
      <c r="Q176" t="s">
        <v>842</v>
      </c>
      <c r="R176">
        <v>3</v>
      </c>
      <c r="S176">
        <v>16</v>
      </c>
    </row>
    <row r="177" spans="1:19" x14ac:dyDescent="0.35">
      <c r="A177">
        <v>7189</v>
      </c>
      <c r="B177" t="s">
        <v>849</v>
      </c>
      <c r="C177" t="s">
        <v>850</v>
      </c>
      <c r="D177" t="s">
        <v>851</v>
      </c>
      <c r="E177" t="e" cm="1">
        <f t="array" ref="E177">- Camphor</f>
        <v>#NAME?</v>
      </c>
      <c r="F177" s="1">
        <v>15900</v>
      </c>
      <c r="J177" t="s">
        <v>852</v>
      </c>
      <c r="N177" t="s">
        <v>853</v>
      </c>
      <c r="P177" t="s">
        <v>854</v>
      </c>
      <c r="Q177" t="s">
        <v>855</v>
      </c>
      <c r="R177">
        <v>3</v>
      </c>
      <c r="S177">
        <v>16</v>
      </c>
    </row>
    <row r="178" spans="1:19" x14ac:dyDescent="0.35">
      <c r="A178">
        <v>2606</v>
      </c>
      <c r="B178" t="s">
        <v>856</v>
      </c>
      <c r="C178" t="s">
        <v>42</v>
      </c>
      <c r="D178" t="s">
        <v>857</v>
      </c>
      <c r="E178" t="e" cm="1">
        <f t="array" ref="E178">- PARACETAMOL</f>
        <v>#NAME?</v>
      </c>
      <c r="F178" t="s">
        <v>858</v>
      </c>
      <c r="J178" t="s">
        <v>859</v>
      </c>
      <c r="M178" t="s">
        <v>291</v>
      </c>
      <c r="N178" t="s">
        <v>584</v>
      </c>
      <c r="P178" t="s">
        <v>860</v>
      </c>
      <c r="Q178" t="s">
        <v>861</v>
      </c>
      <c r="R178">
        <v>3</v>
      </c>
      <c r="S178">
        <v>16</v>
      </c>
    </row>
    <row r="179" spans="1:19" x14ac:dyDescent="0.35">
      <c r="A179">
        <v>2605</v>
      </c>
      <c r="B179" t="s">
        <v>856</v>
      </c>
      <c r="C179" t="s">
        <v>42</v>
      </c>
      <c r="D179" t="s">
        <v>857</v>
      </c>
      <c r="E179" t="e" cm="1">
        <f t="array" ref="E179">- PARACETAMOL</f>
        <v>#NAME?</v>
      </c>
      <c r="F179" t="s">
        <v>858</v>
      </c>
      <c r="J179" t="s">
        <v>859</v>
      </c>
      <c r="M179" t="s">
        <v>291</v>
      </c>
      <c r="N179" t="s">
        <v>584</v>
      </c>
      <c r="P179" t="s">
        <v>860</v>
      </c>
      <c r="Q179" t="s">
        <v>861</v>
      </c>
      <c r="R179">
        <v>3</v>
      </c>
      <c r="S179">
        <v>16</v>
      </c>
    </row>
    <row r="180" spans="1:19" x14ac:dyDescent="0.35">
      <c r="A180">
        <v>2604</v>
      </c>
      <c r="B180" t="s">
        <v>862</v>
      </c>
      <c r="C180" t="s">
        <v>42</v>
      </c>
      <c r="D180" t="s">
        <v>863</v>
      </c>
      <c r="E180" t="e" cm="1">
        <f t="array" ref="E180">- MELOXICAM</f>
        <v>#NAME?</v>
      </c>
      <c r="F180" t="s">
        <v>864</v>
      </c>
      <c r="H180" t="s">
        <v>319</v>
      </c>
      <c r="J180" t="s">
        <v>599</v>
      </c>
      <c r="L180" t="s">
        <v>321</v>
      </c>
      <c r="M180" t="s">
        <v>46</v>
      </c>
      <c r="N180" t="s">
        <v>412</v>
      </c>
      <c r="P180" t="s">
        <v>865</v>
      </c>
      <c r="Q180" t="s">
        <v>866</v>
      </c>
      <c r="R180">
        <v>3</v>
      </c>
      <c r="S180">
        <v>16</v>
      </c>
    </row>
    <row r="181" spans="1:19" x14ac:dyDescent="0.35">
      <c r="A181">
        <v>2603</v>
      </c>
      <c r="B181" t="s">
        <v>862</v>
      </c>
      <c r="C181" t="s">
        <v>42</v>
      </c>
      <c r="D181" t="s">
        <v>863</v>
      </c>
      <c r="E181" t="e" cm="1">
        <f t="array" ref="E181">- MELOXICAM</f>
        <v>#NAME?</v>
      </c>
      <c r="F181" t="s">
        <v>864</v>
      </c>
      <c r="H181" t="s">
        <v>319</v>
      </c>
      <c r="J181" t="s">
        <v>599</v>
      </c>
      <c r="L181" t="s">
        <v>321</v>
      </c>
      <c r="M181" t="s">
        <v>46</v>
      </c>
      <c r="N181" t="s">
        <v>412</v>
      </c>
      <c r="P181" t="s">
        <v>865</v>
      </c>
      <c r="Q181" t="s">
        <v>866</v>
      </c>
      <c r="R181">
        <v>3</v>
      </c>
      <c r="S181">
        <v>16</v>
      </c>
    </row>
    <row r="182" spans="1:19" x14ac:dyDescent="0.35">
      <c r="A182">
        <v>2602</v>
      </c>
      <c r="B182" t="s">
        <v>867</v>
      </c>
      <c r="C182" t="s">
        <v>42</v>
      </c>
      <c r="D182" t="s">
        <v>868</v>
      </c>
      <c r="E182" t="e" cm="1">
        <f t="array" ref="E182">- MELOXICAM</f>
        <v>#NAME?</v>
      </c>
      <c r="F182" t="s">
        <v>869</v>
      </c>
      <c r="J182" t="s">
        <v>599</v>
      </c>
      <c r="M182" t="s">
        <v>46</v>
      </c>
      <c r="N182" t="s">
        <v>412</v>
      </c>
      <c r="P182" t="s">
        <v>865</v>
      </c>
      <c r="Q182" t="s">
        <v>866</v>
      </c>
      <c r="R182">
        <v>3</v>
      </c>
      <c r="S182">
        <v>16</v>
      </c>
    </row>
    <row r="183" spans="1:19" x14ac:dyDescent="0.35">
      <c r="A183">
        <v>2601</v>
      </c>
      <c r="B183" t="s">
        <v>867</v>
      </c>
      <c r="C183" t="s">
        <v>42</v>
      </c>
      <c r="D183" t="s">
        <v>868</v>
      </c>
      <c r="E183" t="e" cm="1">
        <f t="array" ref="E183">- MELOXICAM</f>
        <v>#NAME?</v>
      </c>
      <c r="F183" t="s">
        <v>869</v>
      </c>
      <c r="J183" t="s">
        <v>599</v>
      </c>
      <c r="M183" t="s">
        <v>46</v>
      </c>
      <c r="N183" t="s">
        <v>412</v>
      </c>
      <c r="P183" t="s">
        <v>865</v>
      </c>
      <c r="Q183" t="s">
        <v>866</v>
      </c>
      <c r="R183">
        <v>3</v>
      </c>
      <c r="S183">
        <v>16</v>
      </c>
    </row>
    <row r="184" spans="1:19" x14ac:dyDescent="0.35">
      <c r="A184">
        <v>7101</v>
      </c>
      <c r="B184" t="s">
        <v>870</v>
      </c>
      <c r="C184" t="s">
        <v>42</v>
      </c>
      <c r="D184" t="s">
        <v>871</v>
      </c>
      <c r="E184" t="e" cm="1">
        <f t="array" ref="E184">- CYANOCOBALAMIN</f>
        <v>#NAME?</v>
      </c>
      <c r="F184" t="s">
        <v>872</v>
      </c>
      <c r="J184" t="s">
        <v>515</v>
      </c>
      <c r="M184" t="s">
        <v>291</v>
      </c>
      <c r="N184" t="s">
        <v>677</v>
      </c>
      <c r="P184" t="s">
        <v>873</v>
      </c>
      <c r="Q184" t="s">
        <v>874</v>
      </c>
      <c r="R184">
        <v>3</v>
      </c>
      <c r="S184">
        <v>16</v>
      </c>
    </row>
    <row r="185" spans="1:19" x14ac:dyDescent="0.35">
      <c r="A185">
        <v>3262</v>
      </c>
      <c r="B185" t="s">
        <v>875</v>
      </c>
      <c r="C185" t="s">
        <v>42</v>
      </c>
      <c r="D185" t="s">
        <v>876</v>
      </c>
      <c r="E185" t="e" cm="1">
        <f t="array" ref="E185">- REBAMIPIDE</f>
        <v>#NAME?</v>
      </c>
      <c r="F185" t="s">
        <v>877</v>
      </c>
      <c r="J185" t="s">
        <v>878</v>
      </c>
      <c r="M185" t="s">
        <v>46</v>
      </c>
      <c r="N185" t="s">
        <v>390</v>
      </c>
      <c r="P185" t="s">
        <v>879</v>
      </c>
      <c r="Q185" t="s">
        <v>880</v>
      </c>
      <c r="R185">
        <v>3</v>
      </c>
      <c r="S185">
        <v>16</v>
      </c>
    </row>
    <row r="186" spans="1:19" x14ac:dyDescent="0.35">
      <c r="A186">
        <v>3267</v>
      </c>
      <c r="B186" t="s">
        <v>881</v>
      </c>
      <c r="C186" t="s">
        <v>42</v>
      </c>
      <c r="D186" t="s">
        <v>882</v>
      </c>
      <c r="E186" t="e" cm="1">
        <f t="array" ref="E186">- SIMETHICONE</f>
        <v>#NAME?</v>
      </c>
      <c r="F186" t="s">
        <v>883</v>
      </c>
      <c r="H186" t="s">
        <v>884</v>
      </c>
      <c r="J186" t="s">
        <v>885</v>
      </c>
      <c r="M186" t="s">
        <v>46</v>
      </c>
      <c r="N186" t="s">
        <v>886</v>
      </c>
      <c r="P186" t="s">
        <v>887</v>
      </c>
      <c r="Q186" t="s">
        <v>888</v>
      </c>
      <c r="R186">
        <v>3</v>
      </c>
      <c r="S186">
        <v>16</v>
      </c>
    </row>
    <row r="187" spans="1:19" x14ac:dyDescent="0.35">
      <c r="A187">
        <v>349</v>
      </c>
      <c r="B187" t="s">
        <v>622</v>
      </c>
      <c r="C187" t="s">
        <v>42</v>
      </c>
      <c r="D187" t="s">
        <v>623</v>
      </c>
      <c r="E187" t="e" cm="1">
        <f t="array" ref="E187">- ALLYLESTRENOL</f>
        <v>#NAME?</v>
      </c>
      <c r="F187" t="s">
        <v>624</v>
      </c>
      <c r="J187" t="s">
        <v>532</v>
      </c>
      <c r="M187" t="s">
        <v>46</v>
      </c>
      <c r="N187" t="s">
        <v>368</v>
      </c>
      <c r="P187" t="s">
        <v>625</v>
      </c>
      <c r="Q187" t="s">
        <v>626</v>
      </c>
      <c r="R187">
        <v>3</v>
      </c>
      <c r="S187">
        <v>16</v>
      </c>
    </row>
    <row r="188" spans="1:19" x14ac:dyDescent="0.35">
      <c r="A188">
        <v>348</v>
      </c>
      <c r="B188" t="s">
        <v>622</v>
      </c>
      <c r="C188" t="s">
        <v>42</v>
      </c>
      <c r="D188" t="s">
        <v>623</v>
      </c>
      <c r="E188" t="e" cm="1">
        <f t="array" ref="E188">- ALLYLESTRENOL</f>
        <v>#NAME?</v>
      </c>
      <c r="F188" t="s">
        <v>624</v>
      </c>
      <c r="J188" t="s">
        <v>532</v>
      </c>
      <c r="M188" t="s">
        <v>46</v>
      </c>
      <c r="N188" t="s">
        <v>368</v>
      </c>
      <c r="P188" t="s">
        <v>625</v>
      </c>
      <c r="Q188" t="s">
        <v>626</v>
      </c>
      <c r="R188">
        <v>3</v>
      </c>
      <c r="S188">
        <v>16</v>
      </c>
    </row>
    <row r="189" spans="1:19" x14ac:dyDescent="0.35">
      <c r="A189">
        <v>2650</v>
      </c>
      <c r="B189" t="s">
        <v>889</v>
      </c>
      <c r="C189" t="s">
        <v>42</v>
      </c>
      <c r="D189" t="s">
        <v>890</v>
      </c>
      <c r="E189" t="e" cm="1">
        <f t="array" ref="E189">- PARACETAMOL</f>
        <v>#NAME?</v>
      </c>
      <c r="F189" t="s">
        <v>891</v>
      </c>
      <c r="M189" t="s">
        <v>46</v>
      </c>
      <c r="N189" t="s">
        <v>584</v>
      </c>
      <c r="P189" t="s">
        <v>892</v>
      </c>
      <c r="Q189" t="s">
        <v>893</v>
      </c>
      <c r="R189">
        <v>3</v>
      </c>
      <c r="S189">
        <v>16</v>
      </c>
    </row>
    <row r="190" spans="1:19" x14ac:dyDescent="0.35">
      <c r="A190">
        <v>3268</v>
      </c>
      <c r="B190" t="s">
        <v>881</v>
      </c>
      <c r="C190" t="s">
        <v>42</v>
      </c>
      <c r="D190" t="s">
        <v>882</v>
      </c>
      <c r="E190" t="e" cm="1">
        <f t="array" ref="E190">- SIMETHICONE</f>
        <v>#NAME?</v>
      </c>
      <c r="F190" t="s">
        <v>883</v>
      </c>
      <c r="H190" t="s">
        <v>884</v>
      </c>
      <c r="J190" t="s">
        <v>885</v>
      </c>
      <c r="M190" t="s">
        <v>46</v>
      </c>
      <c r="N190" t="s">
        <v>886</v>
      </c>
      <c r="P190" t="s">
        <v>887</v>
      </c>
      <c r="Q190" t="s">
        <v>888</v>
      </c>
      <c r="R190">
        <v>3</v>
      </c>
      <c r="S190">
        <v>16</v>
      </c>
    </row>
    <row r="191" spans="1:19" x14ac:dyDescent="0.35">
      <c r="A191">
        <v>8024</v>
      </c>
      <c r="B191" t="s">
        <v>894</v>
      </c>
      <c r="C191" t="s">
        <v>20</v>
      </c>
      <c r="D191" t="s">
        <v>895</v>
      </c>
      <c r="E191" t="s">
        <v>896</v>
      </c>
      <c r="F191" t="s">
        <v>897</v>
      </c>
      <c r="J191" t="s">
        <v>898</v>
      </c>
      <c r="N191" t="s">
        <v>899</v>
      </c>
      <c r="P191" t="s">
        <v>899</v>
      </c>
      <c r="Q191" t="s">
        <v>900</v>
      </c>
      <c r="R191">
        <v>3</v>
      </c>
      <c r="S191">
        <v>16</v>
      </c>
    </row>
    <row r="192" spans="1:19" x14ac:dyDescent="0.35">
      <c r="A192">
        <v>3003</v>
      </c>
      <c r="B192" t="s">
        <v>617</v>
      </c>
      <c r="C192" t="s">
        <v>42</v>
      </c>
      <c r="D192" t="s">
        <v>618</v>
      </c>
      <c r="E192" t="e" cm="1">
        <f t="array" ref="E192">- PARACETAMOL</f>
        <v>#NAME?</v>
      </c>
      <c r="F192" t="s">
        <v>619</v>
      </c>
      <c r="J192" t="s">
        <v>334</v>
      </c>
      <c r="M192" t="s">
        <v>271</v>
      </c>
      <c r="N192" t="s">
        <v>584</v>
      </c>
      <c r="P192" t="s">
        <v>620</v>
      </c>
      <c r="Q192" t="s">
        <v>621</v>
      </c>
      <c r="R192">
        <v>3</v>
      </c>
      <c r="S192">
        <v>16</v>
      </c>
    </row>
    <row r="193" spans="1:19" x14ac:dyDescent="0.35">
      <c r="A193">
        <v>424</v>
      </c>
      <c r="B193" t="s">
        <v>901</v>
      </c>
      <c r="C193" t="s">
        <v>20</v>
      </c>
      <c r="D193" t="s">
        <v>902</v>
      </c>
      <c r="E193" t="s">
        <v>903</v>
      </c>
      <c r="F193" s="1">
        <v>93800</v>
      </c>
      <c r="M193" t="s">
        <v>38</v>
      </c>
      <c r="N193" t="s">
        <v>904</v>
      </c>
      <c r="P193" t="s">
        <v>904</v>
      </c>
      <c r="Q193" t="s">
        <v>905</v>
      </c>
      <c r="R193">
        <v>3</v>
      </c>
      <c r="S193">
        <v>16</v>
      </c>
    </row>
    <row r="194" spans="1:19" x14ac:dyDescent="0.35">
      <c r="A194">
        <v>423</v>
      </c>
      <c r="B194" t="s">
        <v>901</v>
      </c>
      <c r="C194" t="s">
        <v>20</v>
      </c>
      <c r="D194" t="s">
        <v>902</v>
      </c>
      <c r="E194" t="s">
        <v>903</v>
      </c>
      <c r="F194" s="1">
        <v>93800</v>
      </c>
      <c r="M194" t="s">
        <v>38</v>
      </c>
      <c r="N194" t="s">
        <v>904</v>
      </c>
      <c r="P194" t="s">
        <v>904</v>
      </c>
      <c r="Q194" t="s">
        <v>905</v>
      </c>
      <c r="R194">
        <v>3</v>
      </c>
      <c r="S194">
        <v>16</v>
      </c>
    </row>
    <row r="195" spans="1:19" x14ac:dyDescent="0.35">
      <c r="A195">
        <v>2698</v>
      </c>
      <c r="B195" t="s">
        <v>906</v>
      </c>
      <c r="C195" t="s">
        <v>42</v>
      </c>
      <c r="D195" t="s">
        <v>907</v>
      </c>
      <c r="E195" t="e" cm="1">
        <f t="array" ref="E195">- IBUPROFEN</f>
        <v>#NAME?</v>
      </c>
      <c r="F195" s="1">
        <v>1000</v>
      </c>
      <c r="J195" t="s">
        <v>908</v>
      </c>
      <c r="M195" t="s">
        <v>291</v>
      </c>
      <c r="N195" t="s">
        <v>383</v>
      </c>
      <c r="P195" t="s">
        <v>909</v>
      </c>
      <c r="Q195" t="s">
        <v>910</v>
      </c>
      <c r="R195">
        <v>3</v>
      </c>
      <c r="S195">
        <v>16</v>
      </c>
    </row>
    <row r="196" spans="1:19" x14ac:dyDescent="0.35">
      <c r="A196">
        <v>2690</v>
      </c>
      <c r="B196" t="s">
        <v>911</v>
      </c>
      <c r="C196" t="s">
        <v>42</v>
      </c>
      <c r="D196" t="s">
        <v>912</v>
      </c>
      <c r="E196" t="e" cm="1">
        <f t="array" ref="E196">- IBUPROFEN</f>
        <v>#NAME?</v>
      </c>
      <c r="F196" t="s">
        <v>913</v>
      </c>
      <c r="J196" t="s">
        <v>515</v>
      </c>
      <c r="L196" t="s">
        <v>382</v>
      </c>
      <c r="M196" t="s">
        <v>291</v>
      </c>
      <c r="N196" t="s">
        <v>383</v>
      </c>
      <c r="P196" t="s">
        <v>914</v>
      </c>
      <c r="Q196" t="s">
        <v>915</v>
      </c>
      <c r="R196">
        <v>3</v>
      </c>
      <c r="S196">
        <v>16</v>
      </c>
    </row>
    <row r="197" spans="1:19" x14ac:dyDescent="0.35">
      <c r="A197">
        <v>2689</v>
      </c>
      <c r="B197" t="s">
        <v>911</v>
      </c>
      <c r="C197" t="s">
        <v>42</v>
      </c>
      <c r="D197" t="s">
        <v>912</v>
      </c>
      <c r="E197" t="e" cm="1">
        <f t="array" ref="E197">- IBUPROFEN</f>
        <v>#NAME?</v>
      </c>
      <c r="F197" t="s">
        <v>913</v>
      </c>
      <c r="J197" t="s">
        <v>515</v>
      </c>
      <c r="L197" t="s">
        <v>382</v>
      </c>
      <c r="M197" t="s">
        <v>291</v>
      </c>
      <c r="N197" t="s">
        <v>383</v>
      </c>
      <c r="P197" t="s">
        <v>914</v>
      </c>
      <c r="Q197" t="s">
        <v>915</v>
      </c>
      <c r="R197">
        <v>3</v>
      </c>
      <c r="S197">
        <v>16</v>
      </c>
    </row>
    <row r="198" spans="1:19" x14ac:dyDescent="0.35">
      <c r="A198">
        <v>410</v>
      </c>
      <c r="B198" t="s">
        <v>916</v>
      </c>
      <c r="C198" t="s">
        <v>20</v>
      </c>
      <c r="D198" t="s">
        <v>917</v>
      </c>
      <c r="E198" t="s">
        <v>918</v>
      </c>
      <c r="F198" t="s">
        <v>919</v>
      </c>
      <c r="M198" t="s">
        <v>38</v>
      </c>
      <c r="N198" t="s">
        <v>920</v>
      </c>
      <c r="P198" t="s">
        <v>920</v>
      </c>
      <c r="Q198" t="s">
        <v>921</v>
      </c>
      <c r="R198">
        <v>3</v>
      </c>
      <c r="S198">
        <v>16</v>
      </c>
    </row>
    <row r="199" spans="1:19" x14ac:dyDescent="0.35">
      <c r="A199">
        <v>409</v>
      </c>
      <c r="B199" t="s">
        <v>916</v>
      </c>
      <c r="C199" t="s">
        <v>20</v>
      </c>
      <c r="D199" t="s">
        <v>917</v>
      </c>
      <c r="E199" t="s">
        <v>918</v>
      </c>
      <c r="F199" t="s">
        <v>919</v>
      </c>
      <c r="M199" t="s">
        <v>38</v>
      </c>
      <c r="N199" t="s">
        <v>920</v>
      </c>
      <c r="P199" t="s">
        <v>920</v>
      </c>
      <c r="Q199" t="s">
        <v>921</v>
      </c>
      <c r="R199">
        <v>3</v>
      </c>
      <c r="S199">
        <v>16</v>
      </c>
    </row>
    <row r="200" spans="1:19" x14ac:dyDescent="0.35">
      <c r="A200">
        <v>7405</v>
      </c>
      <c r="B200" t="s">
        <v>922</v>
      </c>
      <c r="C200" t="s">
        <v>42</v>
      </c>
      <c r="D200" t="s">
        <v>923</v>
      </c>
      <c r="E200" t="e" cm="1">
        <f t="array" ref="E200">- CYANOCOBALAMIN</f>
        <v>#NAME?</v>
      </c>
      <c r="F200" t="s">
        <v>924</v>
      </c>
      <c r="M200" t="s">
        <v>46</v>
      </c>
      <c r="N200" t="s">
        <v>677</v>
      </c>
      <c r="P200" t="s">
        <v>925</v>
      </c>
      <c r="Q200" t="s">
        <v>926</v>
      </c>
      <c r="R200">
        <v>3</v>
      </c>
      <c r="S200">
        <v>16</v>
      </c>
    </row>
    <row r="201" spans="1:19" x14ac:dyDescent="0.35">
      <c r="A201">
        <v>2987</v>
      </c>
      <c r="B201" t="s">
        <v>927</v>
      </c>
      <c r="C201" t="s">
        <v>42</v>
      </c>
      <c r="D201" t="s">
        <v>928</v>
      </c>
      <c r="E201" t="e" cm="1">
        <f t="array" ref="E201">- IBUPROFEN</f>
        <v>#NAME?</v>
      </c>
      <c r="F201" t="s">
        <v>929</v>
      </c>
      <c r="J201" t="s">
        <v>334</v>
      </c>
      <c r="M201" t="s">
        <v>340</v>
      </c>
      <c r="N201" t="s">
        <v>383</v>
      </c>
      <c r="P201" t="s">
        <v>930</v>
      </c>
      <c r="Q201" t="s">
        <v>931</v>
      </c>
      <c r="R201">
        <v>3</v>
      </c>
      <c r="S201">
        <v>16</v>
      </c>
    </row>
    <row r="202" spans="1:19" x14ac:dyDescent="0.35">
      <c r="A202">
        <v>2988</v>
      </c>
      <c r="B202" t="s">
        <v>927</v>
      </c>
      <c r="C202" t="s">
        <v>42</v>
      </c>
      <c r="D202" t="s">
        <v>928</v>
      </c>
      <c r="E202" t="e" cm="1">
        <f t="array" ref="E202">- IBUPROFEN</f>
        <v>#NAME?</v>
      </c>
      <c r="F202" t="s">
        <v>929</v>
      </c>
      <c r="J202" t="s">
        <v>334</v>
      </c>
      <c r="M202" t="s">
        <v>340</v>
      </c>
      <c r="N202" t="s">
        <v>383</v>
      </c>
      <c r="P202" t="s">
        <v>930</v>
      </c>
      <c r="Q202" t="s">
        <v>931</v>
      </c>
      <c r="R202">
        <v>3</v>
      </c>
      <c r="S202">
        <v>16</v>
      </c>
    </row>
    <row r="203" spans="1:19" x14ac:dyDescent="0.35">
      <c r="A203">
        <v>2991</v>
      </c>
      <c r="B203" t="s">
        <v>932</v>
      </c>
      <c r="C203" t="s">
        <v>42</v>
      </c>
      <c r="D203" t="s">
        <v>933</v>
      </c>
      <c r="E203" t="e" cm="1">
        <f t="array" ref="E203">- PARACETAMOL</f>
        <v>#NAME?</v>
      </c>
      <c r="F203" t="s">
        <v>934</v>
      </c>
      <c r="J203" t="s">
        <v>852</v>
      </c>
      <c r="M203" t="s">
        <v>271</v>
      </c>
      <c r="N203" t="s">
        <v>584</v>
      </c>
      <c r="P203" t="s">
        <v>935</v>
      </c>
      <c r="Q203" t="s">
        <v>936</v>
      </c>
      <c r="R203">
        <v>3</v>
      </c>
      <c r="S203">
        <v>16</v>
      </c>
    </row>
    <row r="204" spans="1:19" x14ac:dyDescent="0.35">
      <c r="A204">
        <v>7979</v>
      </c>
      <c r="B204" t="s">
        <v>937</v>
      </c>
      <c r="C204" t="s">
        <v>20</v>
      </c>
      <c r="D204" t="s">
        <v>938</v>
      </c>
      <c r="E204" t="s">
        <v>939</v>
      </c>
      <c r="F204" s="1">
        <v>56400</v>
      </c>
      <c r="J204" t="s">
        <v>898</v>
      </c>
      <c r="N204" t="s">
        <v>940</v>
      </c>
      <c r="P204" t="s">
        <v>940</v>
      </c>
      <c r="Q204" t="s">
        <v>941</v>
      </c>
      <c r="R204">
        <v>3</v>
      </c>
      <c r="S204">
        <v>16</v>
      </c>
    </row>
    <row r="205" spans="1:19" x14ac:dyDescent="0.35">
      <c r="A205">
        <v>2992</v>
      </c>
      <c r="B205" t="s">
        <v>932</v>
      </c>
      <c r="C205" t="s">
        <v>42</v>
      </c>
      <c r="D205" t="s">
        <v>933</v>
      </c>
      <c r="E205" t="e" cm="1">
        <f t="array" ref="E205">- PARACETAMOL</f>
        <v>#NAME?</v>
      </c>
      <c r="F205" t="s">
        <v>934</v>
      </c>
      <c r="J205" t="s">
        <v>852</v>
      </c>
      <c r="M205" t="s">
        <v>271</v>
      </c>
      <c r="N205" t="s">
        <v>584</v>
      </c>
      <c r="P205" t="s">
        <v>935</v>
      </c>
      <c r="Q205" t="s">
        <v>936</v>
      </c>
      <c r="R205">
        <v>3</v>
      </c>
      <c r="S205">
        <v>16</v>
      </c>
    </row>
    <row r="206" spans="1:19" x14ac:dyDescent="0.35">
      <c r="A206">
        <v>2993</v>
      </c>
      <c r="B206" t="s">
        <v>932</v>
      </c>
      <c r="C206" t="s">
        <v>42</v>
      </c>
      <c r="D206" t="s">
        <v>933</v>
      </c>
      <c r="E206" t="e" cm="1">
        <f t="array" ref="E206">- PARACETAMOL</f>
        <v>#NAME?</v>
      </c>
      <c r="F206" t="s">
        <v>934</v>
      </c>
      <c r="J206" t="s">
        <v>852</v>
      </c>
      <c r="M206" t="s">
        <v>271</v>
      </c>
      <c r="N206" t="s">
        <v>584</v>
      </c>
      <c r="P206" t="s">
        <v>935</v>
      </c>
      <c r="Q206" t="s">
        <v>936</v>
      </c>
      <c r="R206">
        <v>3</v>
      </c>
      <c r="S206">
        <v>16</v>
      </c>
    </row>
    <row r="207" spans="1:19" x14ac:dyDescent="0.35">
      <c r="A207">
        <v>2994</v>
      </c>
      <c r="B207" t="s">
        <v>932</v>
      </c>
      <c r="C207" t="s">
        <v>42</v>
      </c>
      <c r="D207" t="s">
        <v>933</v>
      </c>
      <c r="E207" t="e" cm="1">
        <f t="array" ref="E207">- PARACETAMOL</f>
        <v>#NAME?</v>
      </c>
      <c r="F207" t="s">
        <v>934</v>
      </c>
      <c r="J207" t="s">
        <v>852</v>
      </c>
      <c r="M207" t="s">
        <v>271</v>
      </c>
      <c r="N207" t="s">
        <v>584</v>
      </c>
      <c r="P207" t="s">
        <v>935</v>
      </c>
      <c r="Q207" t="s">
        <v>936</v>
      </c>
      <c r="R207">
        <v>3</v>
      </c>
      <c r="S207">
        <v>16</v>
      </c>
    </row>
    <row r="208" spans="1:19" x14ac:dyDescent="0.35">
      <c r="A208">
        <v>2651</v>
      </c>
      <c r="B208" t="s">
        <v>889</v>
      </c>
      <c r="C208" t="s">
        <v>42</v>
      </c>
      <c r="D208" t="s">
        <v>890</v>
      </c>
      <c r="E208" t="e" cm="1">
        <f t="array" ref="E208">- PARACETAMOL</f>
        <v>#NAME?</v>
      </c>
      <c r="F208" t="s">
        <v>891</v>
      </c>
      <c r="M208" t="s">
        <v>46</v>
      </c>
      <c r="N208" t="s">
        <v>584</v>
      </c>
      <c r="P208" t="s">
        <v>892</v>
      </c>
      <c r="Q208" t="s">
        <v>893</v>
      </c>
      <c r="R208">
        <v>3</v>
      </c>
      <c r="S208">
        <v>16</v>
      </c>
    </row>
    <row r="209" spans="1:19" x14ac:dyDescent="0.35">
      <c r="A209">
        <v>2995</v>
      </c>
      <c r="B209" t="s">
        <v>942</v>
      </c>
      <c r="C209" t="s">
        <v>42</v>
      </c>
      <c r="D209" t="s">
        <v>943</v>
      </c>
      <c r="E209" t="e" cm="1">
        <f t="array" ref="E209">- PARACETAMOL</f>
        <v>#NAME?</v>
      </c>
      <c r="F209" t="s">
        <v>944</v>
      </c>
      <c r="J209" t="s">
        <v>945</v>
      </c>
      <c r="M209" t="s">
        <v>271</v>
      </c>
      <c r="N209" t="s">
        <v>584</v>
      </c>
      <c r="P209" t="s">
        <v>946</v>
      </c>
      <c r="Q209" t="s">
        <v>947</v>
      </c>
      <c r="R209">
        <v>3</v>
      </c>
      <c r="S209">
        <v>16</v>
      </c>
    </row>
    <row r="210" spans="1:19" x14ac:dyDescent="0.35">
      <c r="A210">
        <v>6283</v>
      </c>
      <c r="B210" t="s">
        <v>948</v>
      </c>
      <c r="C210" t="s">
        <v>42</v>
      </c>
      <c r="D210" t="s">
        <v>949</v>
      </c>
      <c r="E210" t="e" cm="1">
        <f t="array" ref="E210">- THIAMPHENICOL</f>
        <v>#NAME?</v>
      </c>
      <c r="F210" t="s">
        <v>950</v>
      </c>
      <c r="H210" t="s">
        <v>319</v>
      </c>
      <c r="L210" t="s">
        <v>321</v>
      </c>
      <c r="M210" t="s">
        <v>271</v>
      </c>
      <c r="N210" t="s">
        <v>272</v>
      </c>
      <c r="P210" t="s">
        <v>951</v>
      </c>
      <c r="Q210" t="s">
        <v>952</v>
      </c>
      <c r="R210">
        <v>3</v>
      </c>
      <c r="S210">
        <v>16</v>
      </c>
    </row>
    <row r="211" spans="1:19" x14ac:dyDescent="0.35">
      <c r="A211">
        <v>8580</v>
      </c>
      <c r="B211" t="s">
        <v>953</v>
      </c>
      <c r="C211" t="s">
        <v>42</v>
      </c>
      <c r="D211" t="s">
        <v>954</v>
      </c>
      <c r="E211" t="e" cm="1">
        <f t="array" ref="E211">- EMPAGLIFLOZIN</f>
        <v>#NAME?</v>
      </c>
      <c r="F211" t="s">
        <v>955</v>
      </c>
      <c r="H211" t="s">
        <v>319</v>
      </c>
      <c r="J211" t="s">
        <v>956</v>
      </c>
      <c r="L211" t="s">
        <v>270</v>
      </c>
      <c r="M211" t="s">
        <v>46</v>
      </c>
      <c r="N211" t="s">
        <v>957</v>
      </c>
      <c r="P211" t="s">
        <v>958</v>
      </c>
      <c r="Q211" t="s">
        <v>959</v>
      </c>
      <c r="R211">
        <v>3</v>
      </c>
      <c r="S211">
        <v>16</v>
      </c>
    </row>
    <row r="212" spans="1:19" x14ac:dyDescent="0.35">
      <c r="A212">
        <v>2779</v>
      </c>
      <c r="B212" t="s">
        <v>960</v>
      </c>
      <c r="C212" t="s">
        <v>42</v>
      </c>
      <c r="D212" t="s">
        <v>961</v>
      </c>
      <c r="E212" t="e" cm="1">
        <f t="array" ref="E212">- NAPROXEN</f>
        <v>#NAME?</v>
      </c>
      <c r="F212" t="s">
        <v>962</v>
      </c>
      <c r="H212" t="s">
        <v>319</v>
      </c>
      <c r="L212" t="s">
        <v>321</v>
      </c>
      <c r="M212" t="s">
        <v>291</v>
      </c>
      <c r="N212" t="s">
        <v>963</v>
      </c>
      <c r="P212" t="s">
        <v>964</v>
      </c>
      <c r="Q212" t="s">
        <v>965</v>
      </c>
      <c r="R212">
        <v>3</v>
      </c>
      <c r="S212">
        <v>16</v>
      </c>
    </row>
    <row r="213" spans="1:19" x14ac:dyDescent="0.35">
      <c r="A213">
        <v>8631</v>
      </c>
      <c r="B213" t="s">
        <v>966</v>
      </c>
      <c r="C213" t="s">
        <v>42</v>
      </c>
      <c r="D213" t="s">
        <v>967</v>
      </c>
      <c r="E213" t="e" cm="1">
        <f t="array" ref="E213">- ACARBOSE</f>
        <v>#NAME?</v>
      </c>
      <c r="F213" t="s">
        <v>968</v>
      </c>
      <c r="J213" t="s">
        <v>969</v>
      </c>
      <c r="M213" t="s">
        <v>46</v>
      </c>
      <c r="N213" t="s">
        <v>970</v>
      </c>
      <c r="P213" t="s">
        <v>971</v>
      </c>
      <c r="Q213" t="s">
        <v>972</v>
      </c>
      <c r="R213">
        <v>3</v>
      </c>
      <c r="S213">
        <v>16</v>
      </c>
    </row>
    <row r="214" spans="1:19" x14ac:dyDescent="0.35">
      <c r="A214">
        <v>8630</v>
      </c>
      <c r="B214" t="s">
        <v>973</v>
      </c>
      <c r="C214" t="s">
        <v>42</v>
      </c>
      <c r="D214" t="s">
        <v>974</v>
      </c>
      <c r="E214" t="e" cm="1">
        <f t="array" ref="E214">- ACARBOSE</f>
        <v>#NAME?</v>
      </c>
      <c r="F214" t="s">
        <v>975</v>
      </c>
      <c r="J214" t="s">
        <v>969</v>
      </c>
      <c r="M214" t="s">
        <v>46</v>
      </c>
      <c r="N214" t="s">
        <v>970</v>
      </c>
      <c r="P214" t="s">
        <v>971</v>
      </c>
      <c r="Q214" t="s">
        <v>972</v>
      </c>
      <c r="R214">
        <v>3</v>
      </c>
      <c r="S214">
        <v>16</v>
      </c>
    </row>
    <row r="215" spans="1:19" x14ac:dyDescent="0.35">
      <c r="A215">
        <v>5593</v>
      </c>
      <c r="B215" t="s">
        <v>976</v>
      </c>
      <c r="C215" t="s">
        <v>42</v>
      </c>
      <c r="D215" t="s">
        <v>977</v>
      </c>
      <c r="E215" t="e" cm="1">
        <f t="array" ref="E215">- HEPARIN</f>
        <v>#NAME?</v>
      </c>
      <c r="F215" t="s">
        <v>978</v>
      </c>
      <c r="J215" t="s">
        <v>979</v>
      </c>
      <c r="M215" t="s">
        <v>87</v>
      </c>
      <c r="N215" t="s">
        <v>980</v>
      </c>
      <c r="P215" t="s">
        <v>981</v>
      </c>
      <c r="Q215" t="s">
        <v>982</v>
      </c>
      <c r="R215">
        <v>3</v>
      </c>
      <c r="S215">
        <v>16</v>
      </c>
    </row>
    <row r="216" spans="1:19" x14ac:dyDescent="0.35">
      <c r="A216">
        <v>5732</v>
      </c>
      <c r="B216" t="s">
        <v>983</v>
      </c>
      <c r="C216" t="s">
        <v>42</v>
      </c>
      <c r="D216" t="s">
        <v>984</v>
      </c>
      <c r="E216" t="e" cm="1">
        <f t="array" ref="E216">- CLARITHROMYCIN</f>
        <v>#NAME?</v>
      </c>
      <c r="F216" s="1">
        <v>155200</v>
      </c>
      <c r="J216" t="s">
        <v>829</v>
      </c>
      <c r="M216" t="s">
        <v>271</v>
      </c>
      <c r="N216" t="s">
        <v>985</v>
      </c>
      <c r="P216" t="s">
        <v>986</v>
      </c>
      <c r="Q216" t="s">
        <v>987</v>
      </c>
      <c r="R216">
        <v>3</v>
      </c>
      <c r="S216">
        <v>16</v>
      </c>
    </row>
    <row r="217" spans="1:19" x14ac:dyDescent="0.35">
      <c r="A217">
        <v>5781</v>
      </c>
      <c r="B217" t="s">
        <v>988</v>
      </c>
      <c r="C217" t="s">
        <v>42</v>
      </c>
      <c r="D217" t="s">
        <v>989</v>
      </c>
      <c r="E217" t="e" cm="1">
        <f t="array" ref="E217">- ISONIAZID</f>
        <v>#NAME?</v>
      </c>
      <c r="F217" t="s">
        <v>990</v>
      </c>
      <c r="G217" t="s">
        <v>991</v>
      </c>
      <c r="H217" t="s">
        <v>992</v>
      </c>
      <c r="I217" t="s">
        <v>993</v>
      </c>
      <c r="J217" t="s">
        <v>994</v>
      </c>
      <c r="L217" t="s">
        <v>995</v>
      </c>
    </row>
    <row r="218" spans="1:19" x14ac:dyDescent="0.35">
      <c r="A218">
        <v>9181</v>
      </c>
      <c r="B218" t="s">
        <v>996</v>
      </c>
      <c r="C218" t="s">
        <v>42</v>
      </c>
      <c r="D218" t="s">
        <v>997</v>
      </c>
      <c r="E218" t="e" cm="1">
        <f t="array" ref="E218">- IRBESARTAN</f>
        <v>#NAME?</v>
      </c>
      <c r="F218" t="s">
        <v>998</v>
      </c>
      <c r="H218" t="s">
        <v>319</v>
      </c>
      <c r="L218" t="s">
        <v>321</v>
      </c>
      <c r="M218" t="s">
        <v>46</v>
      </c>
      <c r="N218" t="s">
        <v>999</v>
      </c>
      <c r="P218" t="s">
        <v>1000</v>
      </c>
      <c r="Q218" t="s">
        <v>1001</v>
      </c>
      <c r="R218">
        <v>3</v>
      </c>
      <c r="S218">
        <v>16</v>
      </c>
    </row>
    <row r="219" spans="1:19" x14ac:dyDescent="0.35">
      <c r="A219">
        <v>1301</v>
      </c>
      <c r="B219" t="s">
        <v>1002</v>
      </c>
      <c r="C219" t="s">
        <v>42</v>
      </c>
      <c r="D219" t="s">
        <v>1003</v>
      </c>
      <c r="E219" t="e" cm="1">
        <f t="array" ref="E219">- ERDOSTEINE</f>
        <v>#NAME?</v>
      </c>
      <c r="F219" s="1">
        <v>89400</v>
      </c>
      <c r="J219" t="s">
        <v>945</v>
      </c>
      <c r="M219" t="s">
        <v>271</v>
      </c>
      <c r="N219" t="s">
        <v>471</v>
      </c>
      <c r="P219" t="s">
        <v>1004</v>
      </c>
      <c r="Q219" t="s">
        <v>1005</v>
      </c>
      <c r="R219">
        <v>3</v>
      </c>
      <c r="S219">
        <v>16</v>
      </c>
    </row>
    <row r="220" spans="1:19" x14ac:dyDescent="0.35">
      <c r="A220">
        <v>1302</v>
      </c>
      <c r="B220" t="s">
        <v>1002</v>
      </c>
      <c r="C220" t="s">
        <v>42</v>
      </c>
      <c r="D220" t="s">
        <v>1003</v>
      </c>
      <c r="E220" t="e" cm="1">
        <f t="array" ref="E220">- ERDOSTEINE</f>
        <v>#NAME?</v>
      </c>
      <c r="F220" s="1">
        <v>89400</v>
      </c>
      <c r="J220" t="s">
        <v>945</v>
      </c>
      <c r="M220" t="s">
        <v>271</v>
      </c>
      <c r="N220" t="s">
        <v>471</v>
      </c>
      <c r="P220" t="s">
        <v>1004</v>
      </c>
      <c r="Q220" t="s">
        <v>1005</v>
      </c>
      <c r="R220">
        <v>3</v>
      </c>
      <c r="S220">
        <v>16</v>
      </c>
    </row>
    <row r="221" spans="1:19" x14ac:dyDescent="0.35">
      <c r="A221">
        <v>1303</v>
      </c>
      <c r="B221" t="s">
        <v>1006</v>
      </c>
      <c r="C221" t="s">
        <v>42</v>
      </c>
      <c r="D221" t="s">
        <v>1007</v>
      </c>
      <c r="E221" t="e" cm="1">
        <f t="array" ref="E221">- ERDOSTEINE</f>
        <v>#NAME?</v>
      </c>
      <c r="F221" t="s">
        <v>1008</v>
      </c>
      <c r="J221" t="s">
        <v>190</v>
      </c>
      <c r="M221" t="s">
        <v>38</v>
      </c>
      <c r="N221" t="s">
        <v>471</v>
      </c>
      <c r="P221" t="s">
        <v>1009</v>
      </c>
      <c r="Q221" t="s">
        <v>1010</v>
      </c>
      <c r="R221">
        <v>3</v>
      </c>
      <c r="S221">
        <v>16</v>
      </c>
    </row>
    <row r="222" spans="1:19" x14ac:dyDescent="0.35">
      <c r="A222">
        <v>1304</v>
      </c>
      <c r="B222" t="s">
        <v>1006</v>
      </c>
      <c r="C222" t="s">
        <v>42</v>
      </c>
      <c r="D222" t="s">
        <v>1007</v>
      </c>
      <c r="E222" t="e" cm="1">
        <f t="array" ref="E222">- ERDOSTEINE</f>
        <v>#NAME?</v>
      </c>
      <c r="F222" t="s">
        <v>1008</v>
      </c>
      <c r="J222" t="s">
        <v>190</v>
      </c>
      <c r="M222" t="s">
        <v>38</v>
      </c>
      <c r="N222" t="s">
        <v>471</v>
      </c>
      <c r="P222" t="s">
        <v>1009</v>
      </c>
      <c r="Q222" t="s">
        <v>1010</v>
      </c>
      <c r="R222">
        <v>3</v>
      </c>
      <c r="S222">
        <v>16</v>
      </c>
    </row>
    <row r="223" spans="1:19" x14ac:dyDescent="0.35">
      <c r="A223">
        <v>9093</v>
      </c>
      <c r="B223" t="s">
        <v>1011</v>
      </c>
      <c r="C223" t="s">
        <v>42</v>
      </c>
      <c r="D223" t="s">
        <v>1012</v>
      </c>
      <c r="E223" t="e" cm="1">
        <f t="array" ref="E223">- AMLODIPINE</f>
        <v>#NAME?</v>
      </c>
      <c r="F223" t="s">
        <v>1013</v>
      </c>
      <c r="J223" t="s">
        <v>969</v>
      </c>
      <c r="M223" t="s">
        <v>46</v>
      </c>
      <c r="N223" t="s">
        <v>1014</v>
      </c>
      <c r="P223" t="s">
        <v>1015</v>
      </c>
      <c r="Q223" t="s">
        <v>1016</v>
      </c>
      <c r="R223">
        <v>3</v>
      </c>
      <c r="S223">
        <v>16</v>
      </c>
    </row>
    <row r="224" spans="1:19" x14ac:dyDescent="0.35">
      <c r="A224">
        <v>5923</v>
      </c>
      <c r="B224" t="s">
        <v>1017</v>
      </c>
      <c r="C224" t="s">
        <v>42</v>
      </c>
      <c r="D224" t="s">
        <v>1018</v>
      </c>
      <c r="E224" t="e" cm="1">
        <f t="array" ref="E224">- CEFIXIME</f>
        <v>#NAME?</v>
      </c>
      <c r="F224" s="1">
        <v>0</v>
      </c>
      <c r="G224" t="s">
        <v>539</v>
      </c>
      <c r="H224" t="s">
        <v>1019</v>
      </c>
      <c r="K224" t="s">
        <v>1020</v>
      </c>
      <c r="L224" t="s">
        <v>1021</v>
      </c>
      <c r="M224" t="s">
        <v>271</v>
      </c>
      <c r="N224" t="s">
        <v>1022</v>
      </c>
      <c r="P224" t="s">
        <v>1023</v>
      </c>
      <c r="Q224" t="s">
        <v>1024</v>
      </c>
      <c r="R224">
        <v>3</v>
      </c>
      <c r="S224">
        <v>16</v>
      </c>
    </row>
    <row r="225" spans="1:19" x14ac:dyDescent="0.35">
      <c r="A225">
        <v>5559</v>
      </c>
      <c r="B225" t="s">
        <v>1025</v>
      </c>
      <c r="C225" t="s">
        <v>42</v>
      </c>
      <c r="D225" t="s">
        <v>1026</v>
      </c>
      <c r="E225" t="e" cm="1">
        <f t="array" ref="E225">- CETRIMIDE</f>
        <v>#NAME?</v>
      </c>
      <c r="F225" t="s">
        <v>1027</v>
      </c>
      <c r="J225" t="s">
        <v>1028</v>
      </c>
      <c r="M225" t="s">
        <v>1029</v>
      </c>
      <c r="N225" t="s">
        <v>1030</v>
      </c>
      <c r="P225" t="s">
        <v>1031</v>
      </c>
      <c r="Q225" t="s">
        <v>1032</v>
      </c>
      <c r="R225">
        <v>3</v>
      </c>
      <c r="S225">
        <v>16</v>
      </c>
    </row>
    <row r="226" spans="1:19" x14ac:dyDescent="0.35">
      <c r="A226">
        <v>5924</v>
      </c>
      <c r="B226" t="s">
        <v>1017</v>
      </c>
      <c r="C226" t="s">
        <v>42</v>
      </c>
      <c r="D226" t="s">
        <v>1033</v>
      </c>
      <c r="E226" t="e" cm="1">
        <f t="array" ref="E226">- CEFIXIME</f>
        <v>#NAME?</v>
      </c>
      <c r="F226" t="s">
        <v>1034</v>
      </c>
      <c r="H226" t="s">
        <v>1019</v>
      </c>
      <c r="K226" t="s">
        <v>1020</v>
      </c>
      <c r="L226" t="s">
        <v>1021</v>
      </c>
      <c r="M226" t="s">
        <v>271</v>
      </c>
      <c r="N226" t="s">
        <v>1022</v>
      </c>
      <c r="P226" t="s">
        <v>1023</v>
      </c>
      <c r="Q226" t="s">
        <v>1024</v>
      </c>
      <c r="R226">
        <v>3</v>
      </c>
      <c r="S226">
        <v>16</v>
      </c>
    </row>
    <row r="227" spans="1:19" x14ac:dyDescent="0.35">
      <c r="A227">
        <v>5967</v>
      </c>
      <c r="B227" t="s">
        <v>1035</v>
      </c>
      <c r="C227" t="s">
        <v>42</v>
      </c>
      <c r="D227" t="s">
        <v>1036</v>
      </c>
      <c r="E227" t="e" cm="1">
        <f t="array" ref="E227">- CLARITHROMYCIN</f>
        <v>#NAME?</v>
      </c>
      <c r="F227" t="s">
        <v>1037</v>
      </c>
      <c r="J227" t="s">
        <v>829</v>
      </c>
      <c r="M227" t="s">
        <v>271</v>
      </c>
      <c r="N227" t="s">
        <v>985</v>
      </c>
      <c r="P227" t="s">
        <v>1038</v>
      </c>
      <c r="Q227" t="s">
        <v>1039</v>
      </c>
      <c r="R227">
        <v>3</v>
      </c>
      <c r="S227">
        <v>16</v>
      </c>
    </row>
    <row r="228" spans="1:19" x14ac:dyDescent="0.35">
      <c r="A228">
        <v>5968</v>
      </c>
      <c r="B228" t="s">
        <v>1035</v>
      </c>
      <c r="C228" t="s">
        <v>42</v>
      </c>
      <c r="D228" t="s">
        <v>1036</v>
      </c>
      <c r="E228" t="e" cm="1">
        <f t="array" ref="E228">- CLARITHROMYCIN</f>
        <v>#NAME?</v>
      </c>
      <c r="F228" t="s">
        <v>1037</v>
      </c>
      <c r="J228" t="s">
        <v>829</v>
      </c>
      <c r="M228" t="s">
        <v>271</v>
      </c>
      <c r="N228" t="s">
        <v>985</v>
      </c>
      <c r="P228" t="s">
        <v>1038</v>
      </c>
      <c r="Q228" t="s">
        <v>1039</v>
      </c>
      <c r="R228">
        <v>3</v>
      </c>
      <c r="S228">
        <v>16</v>
      </c>
    </row>
    <row r="229" spans="1:19" x14ac:dyDescent="0.35">
      <c r="A229">
        <v>5969</v>
      </c>
      <c r="B229" t="s">
        <v>1035</v>
      </c>
      <c r="C229" t="s">
        <v>42</v>
      </c>
      <c r="D229" t="s">
        <v>1036</v>
      </c>
      <c r="E229" t="e" cm="1">
        <f t="array" ref="E229">- CLARITHROMYCIN</f>
        <v>#NAME?</v>
      </c>
      <c r="F229" t="s">
        <v>1037</v>
      </c>
      <c r="J229" t="s">
        <v>829</v>
      </c>
      <c r="M229" t="s">
        <v>271</v>
      </c>
      <c r="N229" t="s">
        <v>985</v>
      </c>
      <c r="P229" t="s">
        <v>1038</v>
      </c>
      <c r="Q229" t="s">
        <v>1039</v>
      </c>
      <c r="R229">
        <v>3</v>
      </c>
      <c r="S229">
        <v>16</v>
      </c>
    </row>
    <row r="230" spans="1:19" x14ac:dyDescent="0.35">
      <c r="A230">
        <v>5978</v>
      </c>
      <c r="B230" t="s">
        <v>1040</v>
      </c>
      <c r="C230" t="s">
        <v>42</v>
      </c>
      <c r="D230" t="s">
        <v>1041</v>
      </c>
      <c r="E230" t="e" cm="1">
        <f t="array" ref="E230">- AMOXICILLIN</f>
        <v>#NAME?</v>
      </c>
      <c r="F230" t="s">
        <v>1042</v>
      </c>
      <c r="J230" t="s">
        <v>1043</v>
      </c>
      <c r="M230" t="s">
        <v>291</v>
      </c>
      <c r="N230" t="s">
        <v>505</v>
      </c>
      <c r="P230" t="s">
        <v>1044</v>
      </c>
      <c r="Q230" t="s">
        <v>1045</v>
      </c>
      <c r="R230">
        <v>3</v>
      </c>
      <c r="S230">
        <v>16</v>
      </c>
    </row>
    <row r="231" spans="1:19" x14ac:dyDescent="0.35">
      <c r="A231">
        <v>6061</v>
      </c>
      <c r="B231" t="s">
        <v>1046</v>
      </c>
      <c r="C231" t="s">
        <v>42</v>
      </c>
      <c r="D231" t="s">
        <v>1047</v>
      </c>
      <c r="E231" t="e" cm="1">
        <f t="array" ref="E231">- METRONIDAZOLE</f>
        <v>#NAME?</v>
      </c>
      <c r="F231" t="s">
        <v>1048</v>
      </c>
      <c r="H231" t="s">
        <v>319</v>
      </c>
      <c r="L231" t="s">
        <v>321</v>
      </c>
      <c r="M231" t="s">
        <v>340</v>
      </c>
      <c r="N231" t="s">
        <v>1049</v>
      </c>
      <c r="P231" t="s">
        <v>1050</v>
      </c>
      <c r="Q231" t="s">
        <v>1051</v>
      </c>
      <c r="R231">
        <v>3</v>
      </c>
      <c r="S231">
        <v>16</v>
      </c>
    </row>
    <row r="232" spans="1:19" x14ac:dyDescent="0.35">
      <c r="A232">
        <v>6088</v>
      </c>
      <c r="B232" t="s">
        <v>1052</v>
      </c>
      <c r="C232" t="s">
        <v>42</v>
      </c>
      <c r="D232" t="s">
        <v>1053</v>
      </c>
      <c r="E232" t="e" cm="1">
        <f t="array" ref="E232">- CIPROFLOXACIN</f>
        <v>#NAME?</v>
      </c>
      <c r="F232" t="s">
        <v>1054</v>
      </c>
      <c r="H232" t="s">
        <v>1055</v>
      </c>
      <c r="J232" t="s">
        <v>727</v>
      </c>
      <c r="M232" t="s">
        <v>291</v>
      </c>
      <c r="N232" t="s">
        <v>1056</v>
      </c>
      <c r="P232" t="s">
        <v>1057</v>
      </c>
      <c r="Q232" t="s">
        <v>1058</v>
      </c>
      <c r="R232">
        <v>3</v>
      </c>
      <c r="S232">
        <v>16</v>
      </c>
    </row>
    <row r="233" spans="1:19" x14ac:dyDescent="0.35">
      <c r="A233">
        <v>6205</v>
      </c>
      <c r="B233" t="s">
        <v>1059</v>
      </c>
      <c r="C233" t="s">
        <v>42</v>
      </c>
      <c r="D233" t="s">
        <v>1060</v>
      </c>
      <c r="E233" t="e" cm="1">
        <f t="array" ref="E233">- METRONIDAZOLE</f>
        <v>#NAME?</v>
      </c>
      <c r="F233" s="1">
        <v>26300</v>
      </c>
      <c r="J233" t="s">
        <v>614</v>
      </c>
      <c r="M233" t="s">
        <v>340</v>
      </c>
      <c r="N233" t="s">
        <v>1049</v>
      </c>
      <c r="P233" t="s">
        <v>1061</v>
      </c>
      <c r="Q233" t="s">
        <v>1062</v>
      </c>
      <c r="R233">
        <v>3</v>
      </c>
      <c r="S233">
        <v>16</v>
      </c>
    </row>
    <row r="234" spans="1:19" x14ac:dyDescent="0.35">
      <c r="A234">
        <v>2365</v>
      </c>
      <c r="B234" t="s">
        <v>1063</v>
      </c>
      <c r="C234" t="s">
        <v>42</v>
      </c>
      <c r="D234" t="s">
        <v>1064</v>
      </c>
      <c r="E234" t="e" cm="1">
        <f t="array" ref="E234">- IBUPROFEN</f>
        <v>#NAME?</v>
      </c>
      <c r="F234" t="s">
        <v>1065</v>
      </c>
      <c r="J234" t="s">
        <v>334</v>
      </c>
      <c r="M234" t="s">
        <v>340</v>
      </c>
      <c r="N234" t="s">
        <v>383</v>
      </c>
      <c r="P234" t="s">
        <v>1066</v>
      </c>
      <c r="Q234" t="s">
        <v>1067</v>
      </c>
      <c r="R234">
        <v>3</v>
      </c>
      <c r="S234">
        <v>16</v>
      </c>
    </row>
    <row r="235" spans="1:19" x14ac:dyDescent="0.35">
      <c r="A235">
        <v>2366</v>
      </c>
      <c r="B235" t="s">
        <v>1068</v>
      </c>
      <c r="C235" t="s">
        <v>42</v>
      </c>
      <c r="D235" t="s">
        <v>1069</v>
      </c>
      <c r="E235" t="e" cm="1">
        <f t="array" ref="E235">- IBUPROFEN</f>
        <v>#NAME?</v>
      </c>
      <c r="F235" t="s">
        <v>1070</v>
      </c>
      <c r="J235" t="s">
        <v>727</v>
      </c>
      <c r="L235" t="s">
        <v>382</v>
      </c>
      <c r="M235" t="s">
        <v>291</v>
      </c>
      <c r="N235" t="s">
        <v>383</v>
      </c>
      <c r="P235" t="s">
        <v>1071</v>
      </c>
      <c r="Q235" t="s">
        <v>1072</v>
      </c>
      <c r="R235">
        <v>3</v>
      </c>
      <c r="S235">
        <v>16</v>
      </c>
    </row>
    <row r="236" spans="1:19" x14ac:dyDescent="0.35">
      <c r="A236">
        <v>6206</v>
      </c>
      <c r="B236" t="s">
        <v>1073</v>
      </c>
      <c r="C236" t="s">
        <v>42</v>
      </c>
      <c r="D236" t="s">
        <v>1074</v>
      </c>
      <c r="E236" t="e" cm="1">
        <f t="array" ref="E236">- METRONIDAZOLE</f>
        <v>#NAME?</v>
      </c>
      <c r="F236" t="s">
        <v>1075</v>
      </c>
      <c r="H236" t="s">
        <v>269</v>
      </c>
      <c r="J236" t="s">
        <v>1076</v>
      </c>
      <c r="L236" t="s">
        <v>270</v>
      </c>
      <c r="M236" t="s">
        <v>291</v>
      </c>
      <c r="N236" t="s">
        <v>1049</v>
      </c>
      <c r="P236" t="s">
        <v>1061</v>
      </c>
      <c r="Q236" t="s">
        <v>1077</v>
      </c>
      <c r="R236">
        <v>3</v>
      </c>
      <c r="S236">
        <v>16</v>
      </c>
    </row>
    <row r="237" spans="1:19" x14ac:dyDescent="0.35">
      <c r="A237">
        <v>6215</v>
      </c>
      <c r="B237" t="s">
        <v>1078</v>
      </c>
      <c r="C237" t="s">
        <v>42</v>
      </c>
      <c r="D237" t="s">
        <v>1079</v>
      </c>
      <c r="E237" t="e" cm="1">
        <f t="array" ref="E237">- SULFAMETHOXAZOLE</f>
        <v>#NAME?</v>
      </c>
      <c r="F237" t="s">
        <v>1080</v>
      </c>
      <c r="H237">
        <v>0</v>
      </c>
      <c r="J237" t="s">
        <v>1081</v>
      </c>
      <c r="M237" t="s">
        <v>291</v>
      </c>
      <c r="N237" t="s">
        <v>478</v>
      </c>
      <c r="P237" t="s">
        <v>1082</v>
      </c>
      <c r="Q237" t="s">
        <v>1083</v>
      </c>
      <c r="R237">
        <v>3</v>
      </c>
      <c r="S237">
        <v>16</v>
      </c>
    </row>
    <row r="238" spans="1:19" x14ac:dyDescent="0.35">
      <c r="A238">
        <v>5943</v>
      </c>
      <c r="B238" t="s">
        <v>1084</v>
      </c>
      <c r="C238" t="s">
        <v>42</v>
      </c>
      <c r="D238" t="s">
        <v>1085</v>
      </c>
      <c r="E238" t="e" cm="1">
        <f t="array" ref="E238">- CLARITHROMYCIN</f>
        <v>#NAME?</v>
      </c>
      <c r="F238" t="s">
        <v>1086</v>
      </c>
      <c r="J238" t="s">
        <v>1087</v>
      </c>
      <c r="M238" t="s">
        <v>291</v>
      </c>
      <c r="N238" t="s">
        <v>985</v>
      </c>
      <c r="P238" t="s">
        <v>1088</v>
      </c>
      <c r="Q238" t="s">
        <v>1089</v>
      </c>
      <c r="R238">
        <v>3</v>
      </c>
      <c r="S238">
        <v>16</v>
      </c>
    </row>
    <row r="239" spans="1:19" x14ac:dyDescent="0.35">
      <c r="A239">
        <v>868</v>
      </c>
      <c r="B239" t="s">
        <v>456</v>
      </c>
      <c r="C239" t="s">
        <v>42</v>
      </c>
      <c r="D239" t="s">
        <v>457</v>
      </c>
      <c r="E239" t="e" cm="1">
        <f t="array" ref="E239">- LEVODROPROPIZINE</f>
        <v>#NAME?</v>
      </c>
      <c r="F239" t="s">
        <v>458</v>
      </c>
      <c r="J239" t="s">
        <v>374</v>
      </c>
      <c r="L239" t="s">
        <v>321</v>
      </c>
      <c r="M239" t="s">
        <v>271</v>
      </c>
      <c r="N239" t="s">
        <v>459</v>
      </c>
      <c r="P239" t="s">
        <v>460</v>
      </c>
      <c r="Q239" t="s">
        <v>461</v>
      </c>
      <c r="R239">
        <v>3</v>
      </c>
      <c r="S239">
        <v>16</v>
      </c>
    </row>
    <row r="240" spans="1:19" x14ac:dyDescent="0.35">
      <c r="A240">
        <v>3801</v>
      </c>
      <c r="B240" t="s">
        <v>1090</v>
      </c>
      <c r="C240" t="s">
        <v>42</v>
      </c>
      <c r="D240" t="s">
        <v>1091</v>
      </c>
      <c r="E240" t="e" cm="1">
        <f t="array" ref="E240">- LOPERAMIDE</f>
        <v>#NAME?</v>
      </c>
      <c r="F240" t="s">
        <v>1092</v>
      </c>
      <c r="J240" t="s">
        <v>1093</v>
      </c>
      <c r="M240" t="s">
        <v>46</v>
      </c>
      <c r="N240" t="s">
        <v>1094</v>
      </c>
      <c r="P240" t="s">
        <v>1095</v>
      </c>
      <c r="Q240" t="s">
        <v>1096</v>
      </c>
      <c r="R240">
        <v>3</v>
      </c>
      <c r="S240">
        <v>16</v>
      </c>
    </row>
    <row r="241" spans="1:19" x14ac:dyDescent="0.35">
      <c r="A241">
        <v>5547</v>
      </c>
      <c r="B241" t="s">
        <v>1097</v>
      </c>
      <c r="C241" t="s">
        <v>20</v>
      </c>
      <c r="D241" t="s">
        <v>1098</v>
      </c>
      <c r="E241" t="s">
        <v>1099</v>
      </c>
      <c r="F241" t="s">
        <v>1100</v>
      </c>
      <c r="J241" t="s">
        <v>1101</v>
      </c>
      <c r="M241" t="s">
        <v>38</v>
      </c>
      <c r="N241" t="s">
        <v>1102</v>
      </c>
      <c r="P241" t="s">
        <v>1102</v>
      </c>
      <c r="Q241" t="s">
        <v>1103</v>
      </c>
      <c r="R241">
        <v>3</v>
      </c>
      <c r="S241">
        <v>16</v>
      </c>
    </row>
    <row r="242" spans="1:19" x14ac:dyDescent="0.35">
      <c r="A242">
        <v>4190</v>
      </c>
      <c r="B242" t="s">
        <v>1104</v>
      </c>
      <c r="C242" t="s">
        <v>42</v>
      </c>
      <c r="D242" t="s">
        <v>1105</v>
      </c>
      <c r="E242" t="e" cm="1">
        <f t="array" ref="E242">- DESLORATADINE</f>
        <v>#NAME?</v>
      </c>
      <c r="F242" t="s">
        <v>1106</v>
      </c>
      <c r="J242" t="s">
        <v>334</v>
      </c>
      <c r="M242" t="s">
        <v>271</v>
      </c>
      <c r="N242" t="s">
        <v>1107</v>
      </c>
      <c r="P242" t="s">
        <v>1108</v>
      </c>
      <c r="Q242" t="s">
        <v>1109</v>
      </c>
      <c r="R242">
        <v>3</v>
      </c>
      <c r="S242">
        <v>16</v>
      </c>
    </row>
    <row r="243" spans="1:19" x14ac:dyDescent="0.35">
      <c r="A243">
        <v>4202</v>
      </c>
      <c r="B243" t="s">
        <v>1110</v>
      </c>
      <c r="C243" t="s">
        <v>42</v>
      </c>
      <c r="D243" t="s">
        <v>1111</v>
      </c>
      <c r="E243" t="e" cm="1">
        <f t="array" ref="E243">- DESLORATADINE</f>
        <v>#NAME?</v>
      </c>
      <c r="F243" t="s">
        <v>1112</v>
      </c>
      <c r="J243" t="s">
        <v>945</v>
      </c>
      <c r="M243" t="s">
        <v>271</v>
      </c>
      <c r="N243" t="s">
        <v>1107</v>
      </c>
      <c r="P243" t="s">
        <v>1113</v>
      </c>
      <c r="Q243" t="s">
        <v>1114</v>
      </c>
      <c r="R243">
        <v>3</v>
      </c>
      <c r="S243">
        <v>16</v>
      </c>
    </row>
    <row r="244" spans="1:19" x14ac:dyDescent="0.35">
      <c r="A244">
        <v>4242</v>
      </c>
      <c r="B244" t="s">
        <v>1115</v>
      </c>
      <c r="C244" t="s">
        <v>42</v>
      </c>
      <c r="D244" t="s">
        <v>1116</v>
      </c>
      <c r="E244" t="e" cm="1">
        <f t="array" ref="E244">- BETAMETHASONE</f>
        <v>#NAME?</v>
      </c>
      <c r="F244" t="s">
        <v>1117</v>
      </c>
      <c r="H244" t="s">
        <v>269</v>
      </c>
      <c r="L244" t="s">
        <v>270</v>
      </c>
      <c r="M244" t="s">
        <v>271</v>
      </c>
      <c r="N244" t="s">
        <v>1118</v>
      </c>
      <c r="P244" t="s">
        <v>1119</v>
      </c>
      <c r="Q244" t="s">
        <v>1120</v>
      </c>
      <c r="R244">
        <v>3</v>
      </c>
      <c r="S244">
        <v>16</v>
      </c>
    </row>
    <row r="245" spans="1:19" x14ac:dyDescent="0.35">
      <c r="A245">
        <v>4040</v>
      </c>
      <c r="B245" t="s">
        <v>1121</v>
      </c>
      <c r="C245" t="s">
        <v>20</v>
      </c>
      <c r="D245" t="s">
        <v>1122</v>
      </c>
      <c r="E245" t="s">
        <v>1123</v>
      </c>
      <c r="F245" t="s">
        <v>1124</v>
      </c>
      <c r="J245" t="s">
        <v>515</v>
      </c>
      <c r="M245" t="s">
        <v>291</v>
      </c>
      <c r="N245" t="s">
        <v>1125</v>
      </c>
      <c r="P245" t="s">
        <v>1125</v>
      </c>
      <c r="Q245" t="s">
        <v>1126</v>
      </c>
      <c r="R245">
        <v>3</v>
      </c>
      <c r="S245">
        <v>16</v>
      </c>
    </row>
    <row r="246" spans="1:19" x14ac:dyDescent="0.35">
      <c r="A246">
        <v>4038</v>
      </c>
      <c r="B246" t="s">
        <v>1127</v>
      </c>
      <c r="C246" t="s">
        <v>42</v>
      </c>
      <c r="D246" t="s">
        <v>1128</v>
      </c>
      <c r="E246" t="e" cm="1">
        <f t="array" ref="E246">- GLYCEROL</f>
        <v>#NAME?</v>
      </c>
      <c r="F246" t="s">
        <v>1129</v>
      </c>
      <c r="M246" t="s">
        <v>720</v>
      </c>
      <c r="N246" t="s">
        <v>1130</v>
      </c>
      <c r="P246" t="s">
        <v>1131</v>
      </c>
      <c r="Q246" t="s">
        <v>1132</v>
      </c>
      <c r="R246">
        <v>3</v>
      </c>
      <c r="S246">
        <v>16</v>
      </c>
    </row>
    <row r="247" spans="1:19" x14ac:dyDescent="0.35">
      <c r="A247">
        <v>4037</v>
      </c>
      <c r="B247" t="s">
        <v>1127</v>
      </c>
      <c r="C247" t="s">
        <v>42</v>
      </c>
      <c r="D247" t="s">
        <v>1128</v>
      </c>
      <c r="E247" t="e" cm="1">
        <f t="array" ref="E247">- GLYCEROL</f>
        <v>#NAME?</v>
      </c>
      <c r="F247" t="s">
        <v>1129</v>
      </c>
      <c r="M247" t="s">
        <v>720</v>
      </c>
      <c r="N247" t="s">
        <v>1130</v>
      </c>
      <c r="P247" t="s">
        <v>1131</v>
      </c>
      <c r="Q247" t="s">
        <v>1132</v>
      </c>
      <c r="R247">
        <v>3</v>
      </c>
      <c r="S247">
        <v>16</v>
      </c>
    </row>
    <row r="248" spans="1:19" x14ac:dyDescent="0.35">
      <c r="A248">
        <v>9854</v>
      </c>
      <c r="B248" t="s">
        <v>1133</v>
      </c>
      <c r="C248" t="s">
        <v>42</v>
      </c>
      <c r="D248" t="s">
        <v>1134</v>
      </c>
      <c r="E248" t="e" cm="1">
        <f t="array" ref="E248">- FENOFIBRATE</f>
        <v>#NAME?</v>
      </c>
      <c r="F248" t="s">
        <v>1135</v>
      </c>
      <c r="J248" t="s">
        <v>1136</v>
      </c>
      <c r="M248" t="s">
        <v>46</v>
      </c>
      <c r="N248" t="s">
        <v>1137</v>
      </c>
      <c r="P248" t="s">
        <v>1138</v>
      </c>
      <c r="Q248" t="s">
        <v>1139</v>
      </c>
      <c r="R248">
        <v>3</v>
      </c>
      <c r="S248">
        <v>16</v>
      </c>
    </row>
    <row r="249" spans="1:19" x14ac:dyDescent="0.35">
      <c r="A249">
        <v>9853</v>
      </c>
      <c r="B249" t="s">
        <v>1133</v>
      </c>
      <c r="C249" t="s">
        <v>42</v>
      </c>
      <c r="D249" t="s">
        <v>1134</v>
      </c>
      <c r="E249" t="e" cm="1">
        <f t="array" ref="E249">- FENOFIBRATE</f>
        <v>#NAME?</v>
      </c>
      <c r="F249" t="s">
        <v>1135</v>
      </c>
      <c r="J249" t="s">
        <v>1136</v>
      </c>
      <c r="M249" t="s">
        <v>46</v>
      </c>
      <c r="N249" t="s">
        <v>1137</v>
      </c>
      <c r="P249" t="s">
        <v>1138</v>
      </c>
      <c r="Q249" t="s">
        <v>1139</v>
      </c>
      <c r="R249">
        <v>3</v>
      </c>
      <c r="S249">
        <v>16</v>
      </c>
    </row>
    <row r="250" spans="1:19" x14ac:dyDescent="0.35">
      <c r="A250">
        <v>9852</v>
      </c>
      <c r="B250" t="s">
        <v>1133</v>
      </c>
      <c r="C250" t="s">
        <v>42</v>
      </c>
      <c r="D250" t="s">
        <v>1140</v>
      </c>
      <c r="E250" t="e" cm="1">
        <f t="array" ref="E250">- FENOFIBRATE</f>
        <v>#NAME?</v>
      </c>
      <c r="F250" t="s">
        <v>1141</v>
      </c>
      <c r="H250">
        <v>0</v>
      </c>
      <c r="J250" t="s">
        <v>45</v>
      </c>
      <c r="M250" t="s">
        <v>46</v>
      </c>
      <c r="N250" t="s">
        <v>1137</v>
      </c>
      <c r="P250" t="s">
        <v>1138</v>
      </c>
      <c r="Q250" t="s">
        <v>1139</v>
      </c>
      <c r="R250">
        <v>3</v>
      </c>
      <c r="S250">
        <v>16</v>
      </c>
    </row>
    <row r="251" spans="1:19" x14ac:dyDescent="0.35">
      <c r="A251">
        <v>9851</v>
      </c>
      <c r="B251" t="s">
        <v>1133</v>
      </c>
      <c r="C251" t="s">
        <v>42</v>
      </c>
      <c r="D251" t="s">
        <v>1140</v>
      </c>
      <c r="E251" t="e" cm="1">
        <f t="array" ref="E251">- FENOFIBRATE</f>
        <v>#NAME?</v>
      </c>
      <c r="F251" t="s">
        <v>1141</v>
      </c>
      <c r="H251">
        <v>0</v>
      </c>
      <c r="J251" t="s">
        <v>45</v>
      </c>
      <c r="M251" t="s">
        <v>46</v>
      </c>
      <c r="N251" t="s">
        <v>1137</v>
      </c>
      <c r="P251" t="s">
        <v>1138</v>
      </c>
      <c r="Q251" t="s">
        <v>1139</v>
      </c>
      <c r="R251">
        <v>3</v>
      </c>
      <c r="S251">
        <v>16</v>
      </c>
    </row>
    <row r="252" spans="1:19" x14ac:dyDescent="0.35">
      <c r="A252">
        <v>1120</v>
      </c>
      <c r="B252" t="s">
        <v>1142</v>
      </c>
      <c r="C252" t="s">
        <v>42</v>
      </c>
      <c r="D252" t="s">
        <v>1143</v>
      </c>
      <c r="E252" t="e" cm="1">
        <f t="array" ref="E252">- LEVODROPROPIZINE</f>
        <v>#NAME?</v>
      </c>
      <c r="F252" s="1">
        <v>105500</v>
      </c>
      <c r="J252" t="s">
        <v>1144</v>
      </c>
      <c r="M252" t="s">
        <v>271</v>
      </c>
      <c r="N252" t="s">
        <v>459</v>
      </c>
      <c r="P252" t="s">
        <v>1145</v>
      </c>
      <c r="Q252" t="s">
        <v>1146</v>
      </c>
      <c r="R252">
        <v>3</v>
      </c>
      <c r="S252">
        <v>16</v>
      </c>
    </row>
    <row r="253" spans="1:19" x14ac:dyDescent="0.35">
      <c r="A253">
        <v>5548</v>
      </c>
      <c r="B253" t="s">
        <v>1097</v>
      </c>
      <c r="C253" t="s">
        <v>20</v>
      </c>
      <c r="D253" t="s">
        <v>1098</v>
      </c>
      <c r="E253" t="s">
        <v>1099</v>
      </c>
      <c r="F253" t="s">
        <v>1100</v>
      </c>
      <c r="J253" t="s">
        <v>1101</v>
      </c>
      <c r="M253" t="s">
        <v>38</v>
      </c>
      <c r="N253" t="s">
        <v>1102</v>
      </c>
      <c r="P253" t="s">
        <v>1102</v>
      </c>
      <c r="Q253" t="s">
        <v>1103</v>
      </c>
      <c r="R253">
        <v>3</v>
      </c>
      <c r="S253">
        <v>16</v>
      </c>
    </row>
    <row r="254" spans="1:19" x14ac:dyDescent="0.35">
      <c r="A254">
        <v>9776</v>
      </c>
      <c r="B254" t="s">
        <v>1147</v>
      </c>
      <c r="C254" t="s">
        <v>42</v>
      </c>
      <c r="D254" t="s">
        <v>1148</v>
      </c>
      <c r="E254" t="e" cm="1">
        <f t="array" ref="E254">- SIMVASTATIN</f>
        <v>#NAME?</v>
      </c>
      <c r="F254" t="s">
        <v>1149</v>
      </c>
      <c r="H254" t="s">
        <v>269</v>
      </c>
      <c r="L254" t="s">
        <v>270</v>
      </c>
      <c r="M254" t="s">
        <v>291</v>
      </c>
      <c r="N254" t="s">
        <v>1150</v>
      </c>
      <c r="P254" t="s">
        <v>1151</v>
      </c>
      <c r="Q254" t="s">
        <v>1152</v>
      </c>
      <c r="R254">
        <v>3</v>
      </c>
      <c r="S254">
        <v>16</v>
      </c>
    </row>
    <row r="255" spans="1:19" x14ac:dyDescent="0.35">
      <c r="A255">
        <v>4009</v>
      </c>
      <c r="B255" t="s">
        <v>1153</v>
      </c>
      <c r="C255" t="s">
        <v>42</v>
      </c>
      <c r="D255" t="s">
        <v>1154</v>
      </c>
      <c r="E255" t="e" cm="1">
        <f t="array" ref="E255">- LACTULOSE</f>
        <v>#NAME?</v>
      </c>
      <c r="F255" t="s">
        <v>1155</v>
      </c>
      <c r="J255" t="s">
        <v>1144</v>
      </c>
      <c r="M255" t="s">
        <v>271</v>
      </c>
      <c r="N255" t="s">
        <v>1156</v>
      </c>
      <c r="P255" t="s">
        <v>1157</v>
      </c>
      <c r="Q255" t="s">
        <v>1158</v>
      </c>
      <c r="R255">
        <v>3</v>
      </c>
      <c r="S255">
        <v>16</v>
      </c>
    </row>
    <row r="256" spans="1:19" x14ac:dyDescent="0.35">
      <c r="A256">
        <v>1987</v>
      </c>
      <c r="B256" t="s">
        <v>1159</v>
      </c>
      <c r="C256" t="s">
        <v>20</v>
      </c>
      <c r="D256" t="s">
        <v>1160</v>
      </c>
      <c r="E256" t="s">
        <v>1161</v>
      </c>
      <c r="F256" s="1">
        <v>162000</v>
      </c>
      <c r="J256" t="s">
        <v>1162</v>
      </c>
      <c r="N256" t="s">
        <v>1163</v>
      </c>
      <c r="P256" t="s">
        <v>1163</v>
      </c>
      <c r="Q256" t="s">
        <v>1164</v>
      </c>
      <c r="R256">
        <v>3</v>
      </c>
      <c r="S256">
        <v>16</v>
      </c>
    </row>
    <row r="257" spans="1:19" x14ac:dyDescent="0.35">
      <c r="A257">
        <v>1988</v>
      </c>
      <c r="B257" t="s">
        <v>1159</v>
      </c>
      <c r="C257" t="s">
        <v>20</v>
      </c>
      <c r="D257" t="s">
        <v>1160</v>
      </c>
      <c r="E257" t="s">
        <v>1161</v>
      </c>
      <c r="F257" s="1">
        <v>162000</v>
      </c>
      <c r="J257" t="s">
        <v>1162</v>
      </c>
      <c r="N257" t="s">
        <v>1163</v>
      </c>
      <c r="P257" t="s">
        <v>1163</v>
      </c>
      <c r="Q257" t="s">
        <v>1164</v>
      </c>
      <c r="R257">
        <v>3</v>
      </c>
      <c r="S257">
        <v>16</v>
      </c>
    </row>
    <row r="258" spans="1:19" x14ac:dyDescent="0.35">
      <c r="A258">
        <v>3897</v>
      </c>
      <c r="B258" t="s">
        <v>1165</v>
      </c>
      <c r="C258" t="s">
        <v>42</v>
      </c>
      <c r="D258" t="s">
        <v>1166</v>
      </c>
      <c r="E258" t="e" cm="1">
        <f t="array" ref="E258">- MEBENDAZOLE</f>
        <v>#NAME?</v>
      </c>
      <c r="F258" t="s">
        <v>1167</v>
      </c>
      <c r="J258" t="s">
        <v>1168</v>
      </c>
      <c r="M258" t="s">
        <v>46</v>
      </c>
      <c r="N258" t="s">
        <v>1169</v>
      </c>
      <c r="P258" t="s">
        <v>1170</v>
      </c>
      <c r="Q258" t="s">
        <v>1171</v>
      </c>
      <c r="R258">
        <v>3</v>
      </c>
      <c r="S258">
        <v>16</v>
      </c>
    </row>
    <row r="259" spans="1:19" x14ac:dyDescent="0.35">
      <c r="A259">
        <v>3896</v>
      </c>
      <c r="B259" t="s">
        <v>1165</v>
      </c>
      <c r="C259" t="s">
        <v>42</v>
      </c>
      <c r="D259" t="s">
        <v>1166</v>
      </c>
      <c r="E259" t="e" cm="1">
        <f t="array" ref="E259">- MEBENDAZOLE</f>
        <v>#NAME?</v>
      </c>
      <c r="F259" t="s">
        <v>1167</v>
      </c>
      <c r="J259" t="s">
        <v>1168</v>
      </c>
      <c r="M259" t="s">
        <v>46</v>
      </c>
      <c r="N259" t="s">
        <v>1169</v>
      </c>
      <c r="P259" t="s">
        <v>1170</v>
      </c>
      <c r="Q259" t="s">
        <v>1171</v>
      </c>
      <c r="R259">
        <v>3</v>
      </c>
      <c r="S259">
        <v>16</v>
      </c>
    </row>
    <row r="260" spans="1:19" x14ac:dyDescent="0.35">
      <c r="A260">
        <v>4893</v>
      </c>
      <c r="B260" t="s">
        <v>1172</v>
      </c>
      <c r="C260" t="s">
        <v>20</v>
      </c>
      <c r="D260" t="s">
        <v>1173</v>
      </c>
      <c r="E260" t="s">
        <v>1174</v>
      </c>
      <c r="F260" t="s">
        <v>1175</v>
      </c>
      <c r="J260" t="s">
        <v>197</v>
      </c>
      <c r="M260" t="s">
        <v>38</v>
      </c>
      <c r="N260" t="s">
        <v>1176</v>
      </c>
      <c r="P260" t="s">
        <v>1176</v>
      </c>
      <c r="Q260" t="s">
        <v>1177</v>
      </c>
      <c r="R260">
        <v>3</v>
      </c>
      <c r="S260">
        <v>16</v>
      </c>
    </row>
    <row r="261" spans="1:19" x14ac:dyDescent="0.35">
      <c r="A261">
        <v>4894</v>
      </c>
      <c r="B261" t="s">
        <v>1172</v>
      </c>
      <c r="C261" t="s">
        <v>20</v>
      </c>
      <c r="D261" t="s">
        <v>1173</v>
      </c>
      <c r="E261" t="s">
        <v>1174</v>
      </c>
      <c r="F261" t="s">
        <v>1175</v>
      </c>
      <c r="J261" t="s">
        <v>197</v>
      </c>
      <c r="M261" t="s">
        <v>38</v>
      </c>
      <c r="N261" t="s">
        <v>1176</v>
      </c>
      <c r="P261" t="s">
        <v>1176</v>
      </c>
      <c r="Q261" t="s">
        <v>1177</v>
      </c>
      <c r="R261">
        <v>3</v>
      </c>
      <c r="S261">
        <v>16</v>
      </c>
    </row>
    <row r="262" spans="1:19" x14ac:dyDescent="0.35">
      <c r="A262">
        <v>1269</v>
      </c>
      <c r="B262" t="s">
        <v>1178</v>
      </c>
      <c r="C262" t="s">
        <v>42</v>
      </c>
      <c r="D262" t="s">
        <v>1179</v>
      </c>
      <c r="E262" t="e" cm="1">
        <f t="array" ref="E262">- ERDOSTEINE</f>
        <v>#NAME?</v>
      </c>
      <c r="F262" t="s">
        <v>1180</v>
      </c>
      <c r="J262" t="s">
        <v>1181</v>
      </c>
      <c r="M262" t="s">
        <v>38</v>
      </c>
      <c r="N262" t="s">
        <v>471</v>
      </c>
      <c r="P262" t="s">
        <v>1182</v>
      </c>
      <c r="Q262" t="s">
        <v>1183</v>
      </c>
      <c r="R262">
        <v>3</v>
      </c>
      <c r="S262">
        <v>16</v>
      </c>
    </row>
    <row r="263" spans="1:19" x14ac:dyDescent="0.35">
      <c r="A263">
        <v>1270</v>
      </c>
      <c r="B263" t="s">
        <v>1178</v>
      </c>
      <c r="C263" t="s">
        <v>42</v>
      </c>
      <c r="D263" t="s">
        <v>1179</v>
      </c>
      <c r="E263" t="e" cm="1">
        <f t="array" ref="E263">- ERDOSTEINE</f>
        <v>#NAME?</v>
      </c>
      <c r="F263" t="s">
        <v>1180</v>
      </c>
      <c r="J263" t="s">
        <v>1181</v>
      </c>
      <c r="M263" t="s">
        <v>38</v>
      </c>
      <c r="N263" t="s">
        <v>471</v>
      </c>
      <c r="P263" t="s">
        <v>1182</v>
      </c>
      <c r="Q263" t="s">
        <v>1183</v>
      </c>
      <c r="R263">
        <v>3</v>
      </c>
      <c r="S263">
        <v>16</v>
      </c>
    </row>
    <row r="264" spans="1:19" x14ac:dyDescent="0.35">
      <c r="A264">
        <v>5508</v>
      </c>
      <c r="B264" t="s">
        <v>1184</v>
      </c>
      <c r="C264" t="s">
        <v>42</v>
      </c>
      <c r="D264" t="s">
        <v>1185</v>
      </c>
      <c r="E264" t="e" cm="1">
        <f t="array" ref="E264">- CHLORAMPHENICOL</f>
        <v>#NAME?</v>
      </c>
      <c r="F264" t="s">
        <v>1186</v>
      </c>
      <c r="H264" t="s">
        <v>319</v>
      </c>
      <c r="J264" t="s">
        <v>1187</v>
      </c>
      <c r="L264" t="s">
        <v>321</v>
      </c>
      <c r="M264" t="s">
        <v>1029</v>
      </c>
      <c r="N264" t="s">
        <v>1188</v>
      </c>
      <c r="P264" t="s">
        <v>1189</v>
      </c>
      <c r="Q264" t="s">
        <v>1190</v>
      </c>
      <c r="R264">
        <v>3</v>
      </c>
      <c r="S264">
        <v>16</v>
      </c>
    </row>
    <row r="265" spans="1:19" x14ac:dyDescent="0.35">
      <c r="A265">
        <v>3818</v>
      </c>
      <c r="B265" t="s">
        <v>1191</v>
      </c>
      <c r="C265" t="s">
        <v>42</v>
      </c>
      <c r="D265" t="s">
        <v>1192</v>
      </c>
      <c r="E265" t="e" cm="1">
        <f t="array" ref="E265">- KAOLIN</f>
        <v>#NAME?</v>
      </c>
      <c r="F265" t="s">
        <v>1193</v>
      </c>
      <c r="M265" t="s">
        <v>340</v>
      </c>
      <c r="N265" t="s">
        <v>1194</v>
      </c>
      <c r="P265" t="s">
        <v>1195</v>
      </c>
      <c r="Q265" t="s">
        <v>1196</v>
      </c>
      <c r="R265">
        <v>3</v>
      </c>
      <c r="S265">
        <v>16</v>
      </c>
    </row>
    <row r="266" spans="1:19" x14ac:dyDescent="0.35">
      <c r="A266">
        <v>9775</v>
      </c>
      <c r="B266" t="s">
        <v>1147</v>
      </c>
      <c r="C266" t="s">
        <v>42</v>
      </c>
      <c r="D266" t="s">
        <v>1148</v>
      </c>
      <c r="E266" t="e" cm="1">
        <f t="array" ref="E266">- SIMVASTATIN</f>
        <v>#NAME?</v>
      </c>
      <c r="F266" t="s">
        <v>1149</v>
      </c>
      <c r="H266" t="s">
        <v>269</v>
      </c>
      <c r="L266" t="s">
        <v>270</v>
      </c>
      <c r="M266" t="s">
        <v>291</v>
      </c>
      <c r="N266" t="s">
        <v>1150</v>
      </c>
      <c r="P266" t="s">
        <v>1151</v>
      </c>
      <c r="Q266" t="s">
        <v>1152</v>
      </c>
      <c r="R266">
        <v>3</v>
      </c>
      <c r="S266">
        <v>16</v>
      </c>
    </row>
    <row r="267" spans="1:19" x14ac:dyDescent="0.35">
      <c r="A267">
        <v>2367</v>
      </c>
      <c r="B267" t="s">
        <v>1068</v>
      </c>
      <c r="C267" t="s">
        <v>42</v>
      </c>
      <c r="D267" t="s">
        <v>1069</v>
      </c>
      <c r="E267" t="e" cm="1">
        <f t="array" ref="E267">- IBUPROFEN</f>
        <v>#NAME?</v>
      </c>
      <c r="F267" t="s">
        <v>1070</v>
      </c>
      <c r="J267" t="s">
        <v>727</v>
      </c>
      <c r="L267" t="s">
        <v>382</v>
      </c>
      <c r="M267" t="s">
        <v>291</v>
      </c>
      <c r="N267" t="s">
        <v>383</v>
      </c>
      <c r="P267" t="s">
        <v>1071</v>
      </c>
      <c r="Q267" t="s">
        <v>1072</v>
      </c>
      <c r="R267">
        <v>3</v>
      </c>
      <c r="S267">
        <v>16</v>
      </c>
    </row>
    <row r="268" spans="1:19" x14ac:dyDescent="0.35">
      <c r="A268">
        <v>5578</v>
      </c>
      <c r="B268" t="s">
        <v>1197</v>
      </c>
      <c r="C268" t="s">
        <v>20</v>
      </c>
      <c r="D268" t="s">
        <v>1198</v>
      </c>
      <c r="E268" t="s">
        <v>1199</v>
      </c>
      <c r="F268" t="s">
        <v>1200</v>
      </c>
      <c r="J268" t="s">
        <v>1201</v>
      </c>
      <c r="N268" t="s">
        <v>1202</v>
      </c>
      <c r="P268" t="s">
        <v>1203</v>
      </c>
      <c r="Q268" t="s">
        <v>1204</v>
      </c>
      <c r="R268">
        <v>3</v>
      </c>
      <c r="S268">
        <v>16</v>
      </c>
    </row>
    <row r="269" spans="1:19" x14ac:dyDescent="0.35">
      <c r="A269">
        <v>6233</v>
      </c>
      <c r="B269" t="s">
        <v>1205</v>
      </c>
      <c r="C269" t="s">
        <v>42</v>
      </c>
      <c r="D269" t="s">
        <v>1206</v>
      </c>
      <c r="E269" t="e" cm="1">
        <f t="array" ref="E269">- NIFUROXAZIDE</f>
        <v>#NAME?</v>
      </c>
      <c r="F269" t="s">
        <v>1207</v>
      </c>
      <c r="J269" t="s">
        <v>945</v>
      </c>
      <c r="M269" t="s">
        <v>271</v>
      </c>
      <c r="N269" t="s">
        <v>1208</v>
      </c>
      <c r="P269" t="s">
        <v>1209</v>
      </c>
      <c r="Q269" t="s">
        <v>1210</v>
      </c>
      <c r="R269">
        <v>3</v>
      </c>
      <c r="S269">
        <v>16</v>
      </c>
    </row>
    <row r="270" spans="1:19" x14ac:dyDescent="0.35">
      <c r="A270">
        <v>6232</v>
      </c>
      <c r="B270" t="s">
        <v>1205</v>
      </c>
      <c r="C270" t="s">
        <v>42</v>
      </c>
      <c r="D270" t="s">
        <v>1206</v>
      </c>
      <c r="E270" t="e" cm="1">
        <f t="array" ref="E270">- NIFUROXAZIDE</f>
        <v>#NAME?</v>
      </c>
      <c r="F270" t="s">
        <v>1207</v>
      </c>
      <c r="J270" t="s">
        <v>945</v>
      </c>
      <c r="M270" t="s">
        <v>271</v>
      </c>
      <c r="N270" t="s">
        <v>1208</v>
      </c>
      <c r="P270" t="s">
        <v>1209</v>
      </c>
      <c r="Q270" t="s">
        <v>1210</v>
      </c>
      <c r="R270">
        <v>3</v>
      </c>
      <c r="S270">
        <v>16</v>
      </c>
    </row>
    <row r="271" spans="1:19" x14ac:dyDescent="0.35">
      <c r="A271">
        <v>2398</v>
      </c>
      <c r="B271" t="s">
        <v>1211</v>
      </c>
      <c r="C271" t="s">
        <v>42</v>
      </c>
      <c r="D271" t="s">
        <v>1212</v>
      </c>
      <c r="E271" t="e" cm="1">
        <f t="array" ref="E271">- IBUPROFEN</f>
        <v>#NAME?</v>
      </c>
      <c r="F271" t="s">
        <v>1213</v>
      </c>
      <c r="G271" t="s">
        <v>1214</v>
      </c>
      <c r="H271" t="s">
        <v>1215</v>
      </c>
      <c r="J271" t="s">
        <v>1216</v>
      </c>
      <c r="M271" t="s">
        <v>46</v>
      </c>
      <c r="N271" t="s">
        <v>383</v>
      </c>
      <c r="P271" t="s">
        <v>1217</v>
      </c>
      <c r="Q271" t="s">
        <v>1218</v>
      </c>
      <c r="R271">
        <v>3</v>
      </c>
      <c r="S271">
        <v>16</v>
      </c>
    </row>
    <row r="272" spans="1:19" x14ac:dyDescent="0.35">
      <c r="A272">
        <v>2397</v>
      </c>
      <c r="B272" t="s">
        <v>1219</v>
      </c>
      <c r="C272" t="s">
        <v>42</v>
      </c>
      <c r="D272" t="s">
        <v>1220</v>
      </c>
      <c r="E272" t="e" cm="1">
        <f t="array" ref="E272">- IBUPROFEN</f>
        <v>#NAME?</v>
      </c>
      <c r="F272" t="s">
        <v>1221</v>
      </c>
      <c r="J272" t="s">
        <v>1222</v>
      </c>
      <c r="M272" t="s">
        <v>340</v>
      </c>
      <c r="N272" t="s">
        <v>383</v>
      </c>
      <c r="P272" t="s">
        <v>1223</v>
      </c>
      <c r="Q272" t="s">
        <v>1224</v>
      </c>
      <c r="R272">
        <v>3</v>
      </c>
      <c r="S272">
        <v>16</v>
      </c>
    </row>
    <row r="273" spans="1:19" x14ac:dyDescent="0.35">
      <c r="A273">
        <v>2393</v>
      </c>
      <c r="B273" t="s">
        <v>1225</v>
      </c>
      <c r="C273" t="s">
        <v>42</v>
      </c>
      <c r="D273" t="s">
        <v>1226</v>
      </c>
      <c r="E273" t="e" cm="1">
        <f t="array" ref="E273">- CYANOCOBALAMIN</f>
        <v>#NAME?</v>
      </c>
      <c r="F273" t="s">
        <v>1227</v>
      </c>
      <c r="J273" t="s">
        <v>1228</v>
      </c>
      <c r="M273" t="s">
        <v>291</v>
      </c>
      <c r="N273" t="s">
        <v>677</v>
      </c>
      <c r="P273" t="s">
        <v>1229</v>
      </c>
      <c r="Q273" t="s">
        <v>1230</v>
      </c>
      <c r="R273">
        <v>3</v>
      </c>
      <c r="S273">
        <v>16</v>
      </c>
    </row>
    <row r="274" spans="1:19" x14ac:dyDescent="0.35">
      <c r="A274">
        <v>2399</v>
      </c>
      <c r="B274" t="s">
        <v>1211</v>
      </c>
      <c r="C274" t="s">
        <v>42</v>
      </c>
      <c r="D274" t="s">
        <v>1212</v>
      </c>
      <c r="E274" t="e" cm="1">
        <f t="array" ref="E274">- IBUPROFEN</f>
        <v>#NAME?</v>
      </c>
      <c r="F274" t="s">
        <v>1213</v>
      </c>
      <c r="G274" t="s">
        <v>1214</v>
      </c>
      <c r="H274" t="s">
        <v>1215</v>
      </c>
      <c r="J274" t="s">
        <v>1216</v>
      </c>
      <c r="M274" t="s">
        <v>46</v>
      </c>
      <c r="N274" t="s">
        <v>383</v>
      </c>
      <c r="P274" t="s">
        <v>1217</v>
      </c>
      <c r="Q274" t="s">
        <v>1218</v>
      </c>
      <c r="R274">
        <v>3</v>
      </c>
      <c r="S274">
        <v>16</v>
      </c>
    </row>
    <row r="275" spans="1:19" x14ac:dyDescent="0.35">
      <c r="A275">
        <v>6256</v>
      </c>
      <c r="B275" t="s">
        <v>1231</v>
      </c>
      <c r="C275" t="s">
        <v>42</v>
      </c>
      <c r="D275" t="s">
        <v>1232</v>
      </c>
      <c r="E275" t="e" cm="1">
        <f t="array" ref="E275">- SULFAMETHOXAZOLE</f>
        <v>#NAME?</v>
      </c>
      <c r="F275" t="s">
        <v>1233</v>
      </c>
      <c r="J275" t="s">
        <v>334</v>
      </c>
      <c r="M275" t="s">
        <v>340</v>
      </c>
      <c r="N275" t="s">
        <v>478</v>
      </c>
      <c r="P275" t="s">
        <v>1234</v>
      </c>
      <c r="Q275" t="s">
        <v>1235</v>
      </c>
      <c r="R275">
        <v>3</v>
      </c>
      <c r="S275">
        <v>16</v>
      </c>
    </row>
    <row r="276" spans="1:19" x14ac:dyDescent="0.35">
      <c r="A276">
        <v>6258</v>
      </c>
      <c r="B276" t="s">
        <v>1236</v>
      </c>
      <c r="C276" t="s">
        <v>42</v>
      </c>
      <c r="D276" t="s">
        <v>1237</v>
      </c>
      <c r="E276" t="e" cm="1">
        <f t="array" ref="E276">- SULFAMETHOXAZOLE</f>
        <v>#NAME?</v>
      </c>
      <c r="F276" t="s">
        <v>1238</v>
      </c>
      <c r="J276" t="s">
        <v>381</v>
      </c>
      <c r="M276" t="s">
        <v>46</v>
      </c>
      <c r="N276" t="s">
        <v>478</v>
      </c>
      <c r="P276" t="s">
        <v>1234</v>
      </c>
      <c r="Q276" t="s">
        <v>1239</v>
      </c>
      <c r="R276">
        <v>3</v>
      </c>
      <c r="S276">
        <v>16</v>
      </c>
    </row>
    <row r="277" spans="1:19" x14ac:dyDescent="0.35">
      <c r="A277">
        <v>6271</v>
      </c>
      <c r="B277" t="s">
        <v>1240</v>
      </c>
      <c r="C277" t="s">
        <v>42</v>
      </c>
      <c r="D277" t="s">
        <v>1241</v>
      </c>
      <c r="E277" t="e" cm="1">
        <f t="array" ref="E277">- AMOXICILLIN</f>
        <v>#NAME?</v>
      </c>
      <c r="F277" t="s">
        <v>1242</v>
      </c>
      <c r="H277" t="s">
        <v>269</v>
      </c>
      <c r="L277" t="s">
        <v>270</v>
      </c>
      <c r="M277" t="s">
        <v>271</v>
      </c>
      <c r="N277" t="s">
        <v>505</v>
      </c>
      <c r="P277" t="s">
        <v>1243</v>
      </c>
      <c r="Q277" t="s">
        <v>1244</v>
      </c>
      <c r="R277">
        <v>3</v>
      </c>
      <c r="S277">
        <v>16</v>
      </c>
    </row>
    <row r="278" spans="1:19" x14ac:dyDescent="0.35">
      <c r="A278">
        <v>6247</v>
      </c>
      <c r="B278" t="s">
        <v>1245</v>
      </c>
      <c r="C278" t="s">
        <v>42</v>
      </c>
      <c r="D278" t="s">
        <v>1246</v>
      </c>
      <c r="E278" t="e" cm="1">
        <f t="array" ref="E278">- CHLORAMPHENICOL</f>
        <v>#NAME?</v>
      </c>
      <c r="F278" t="s">
        <v>1247</v>
      </c>
      <c r="H278" t="s">
        <v>269</v>
      </c>
      <c r="L278" t="s">
        <v>270</v>
      </c>
      <c r="M278" t="s">
        <v>38</v>
      </c>
      <c r="N278" t="s">
        <v>1188</v>
      </c>
      <c r="P278" t="s">
        <v>1248</v>
      </c>
      <c r="Q278" t="s">
        <v>1249</v>
      </c>
      <c r="R278">
        <v>3</v>
      </c>
      <c r="S278">
        <v>16</v>
      </c>
    </row>
    <row r="279" spans="1:19" x14ac:dyDescent="0.35">
      <c r="A279">
        <v>2380</v>
      </c>
      <c r="B279" t="s">
        <v>1250</v>
      </c>
      <c r="C279" t="s">
        <v>42</v>
      </c>
      <c r="D279" t="s">
        <v>1251</v>
      </c>
      <c r="E279" t="e" cm="1">
        <f t="array" ref="E279">- MELOXICAM</f>
        <v>#NAME?</v>
      </c>
      <c r="F279" t="s">
        <v>1252</v>
      </c>
      <c r="J279" t="s">
        <v>411</v>
      </c>
      <c r="M279" t="s">
        <v>46</v>
      </c>
      <c r="N279" t="s">
        <v>412</v>
      </c>
      <c r="P279" t="s">
        <v>1253</v>
      </c>
      <c r="Q279" t="s">
        <v>1254</v>
      </c>
      <c r="R279">
        <v>3</v>
      </c>
      <c r="S279">
        <v>16</v>
      </c>
    </row>
    <row r="280" spans="1:19" x14ac:dyDescent="0.35">
      <c r="A280">
        <v>8711</v>
      </c>
      <c r="B280" t="s">
        <v>1255</v>
      </c>
      <c r="C280" t="s">
        <v>42</v>
      </c>
      <c r="D280" t="s">
        <v>1256</v>
      </c>
      <c r="E280" t="e" cm="1">
        <f t="array" ref="E280">- GLIBENCLAMIDE</f>
        <v>#NAME?</v>
      </c>
      <c r="F280" t="s">
        <v>1257</v>
      </c>
      <c r="G280" t="s">
        <v>1258</v>
      </c>
      <c r="J280" t="s">
        <v>1259</v>
      </c>
      <c r="M280" t="s">
        <v>46</v>
      </c>
      <c r="N280" t="s">
        <v>1260</v>
      </c>
      <c r="P280" t="s">
        <v>1261</v>
      </c>
      <c r="Q280" t="s">
        <v>1262</v>
      </c>
      <c r="R280">
        <v>3</v>
      </c>
      <c r="S280">
        <v>16</v>
      </c>
    </row>
    <row r="281" spans="1:19" x14ac:dyDescent="0.35">
      <c r="A281">
        <v>2379</v>
      </c>
      <c r="B281" t="s">
        <v>1263</v>
      </c>
      <c r="C281" t="s">
        <v>42</v>
      </c>
      <c r="D281" t="s">
        <v>1264</v>
      </c>
      <c r="E281" t="e" cm="1">
        <f t="array" ref="E281">- MELOXICAM</f>
        <v>#NAME?</v>
      </c>
      <c r="F281" t="s">
        <v>1265</v>
      </c>
      <c r="J281" t="s">
        <v>411</v>
      </c>
      <c r="M281" t="s">
        <v>46</v>
      </c>
      <c r="N281" t="s">
        <v>412</v>
      </c>
      <c r="P281" t="s">
        <v>1253</v>
      </c>
      <c r="Q281" t="s">
        <v>1254</v>
      </c>
      <c r="R281">
        <v>3</v>
      </c>
      <c r="S281">
        <v>16</v>
      </c>
    </row>
    <row r="282" spans="1:19" x14ac:dyDescent="0.35">
      <c r="A282">
        <v>8673</v>
      </c>
      <c r="B282" t="s">
        <v>1266</v>
      </c>
      <c r="C282" t="s">
        <v>42</v>
      </c>
      <c r="D282" t="s">
        <v>1267</v>
      </c>
      <c r="E282" t="e" cm="1">
        <f t="array" ref="E282">- GLICLAZIDE</f>
        <v>#NAME?</v>
      </c>
      <c r="F282" s="1">
        <v>5600</v>
      </c>
      <c r="H282">
        <v>0</v>
      </c>
      <c r="J282" t="s">
        <v>754</v>
      </c>
      <c r="M282" t="s">
        <v>46</v>
      </c>
      <c r="N282" t="s">
        <v>1268</v>
      </c>
      <c r="P282" t="s">
        <v>1269</v>
      </c>
      <c r="Q282" t="s">
        <v>1270</v>
      </c>
      <c r="R282">
        <v>3</v>
      </c>
      <c r="S282">
        <v>16</v>
      </c>
    </row>
    <row r="283" spans="1:19" x14ac:dyDescent="0.35">
      <c r="A283">
        <v>2378</v>
      </c>
      <c r="B283" t="s">
        <v>1263</v>
      </c>
      <c r="C283" t="s">
        <v>42</v>
      </c>
      <c r="D283" t="s">
        <v>1264</v>
      </c>
      <c r="E283" t="e" cm="1">
        <f t="array" ref="E283">- MELOXICAM</f>
        <v>#NAME?</v>
      </c>
      <c r="F283" t="s">
        <v>1265</v>
      </c>
      <c r="J283" t="s">
        <v>411</v>
      </c>
      <c r="M283" t="s">
        <v>46</v>
      </c>
      <c r="N283" t="s">
        <v>412</v>
      </c>
      <c r="P283" t="s">
        <v>1253</v>
      </c>
      <c r="Q283" t="s">
        <v>1254</v>
      </c>
      <c r="R283">
        <v>3</v>
      </c>
      <c r="S283">
        <v>16</v>
      </c>
    </row>
    <row r="284" spans="1:19" x14ac:dyDescent="0.35">
      <c r="A284">
        <v>2381</v>
      </c>
      <c r="B284" t="s">
        <v>1250</v>
      </c>
      <c r="C284" t="s">
        <v>42</v>
      </c>
      <c r="D284" t="s">
        <v>1251</v>
      </c>
      <c r="E284" t="e" cm="1">
        <f t="array" ref="E284">- MELOXICAM</f>
        <v>#NAME?</v>
      </c>
      <c r="F284" t="s">
        <v>1252</v>
      </c>
      <c r="J284" t="s">
        <v>411</v>
      </c>
      <c r="M284" t="s">
        <v>46</v>
      </c>
      <c r="N284" t="s">
        <v>412</v>
      </c>
      <c r="P284" t="s">
        <v>1253</v>
      </c>
      <c r="Q284" t="s">
        <v>1254</v>
      </c>
      <c r="R284">
        <v>3</v>
      </c>
      <c r="S284">
        <v>16</v>
      </c>
    </row>
    <row r="285" spans="1:19" x14ac:dyDescent="0.35">
      <c r="A285">
        <v>6272</v>
      </c>
      <c r="B285" t="s">
        <v>1271</v>
      </c>
      <c r="C285" t="s">
        <v>42</v>
      </c>
      <c r="D285" t="s">
        <v>1272</v>
      </c>
      <c r="E285" t="e" cm="1">
        <f t="array" ref="E285">- METRONIDAZOLE</f>
        <v>#NAME?</v>
      </c>
      <c r="F285" t="s">
        <v>1273</v>
      </c>
      <c r="H285" t="s">
        <v>269</v>
      </c>
      <c r="L285" t="s">
        <v>270</v>
      </c>
      <c r="M285" t="s">
        <v>340</v>
      </c>
      <c r="N285" t="s">
        <v>1049</v>
      </c>
      <c r="P285" t="s">
        <v>1274</v>
      </c>
      <c r="Q285" t="s">
        <v>1275</v>
      </c>
      <c r="R285">
        <v>3</v>
      </c>
      <c r="S285">
        <v>16</v>
      </c>
    </row>
    <row r="286" spans="1:19" x14ac:dyDescent="0.35">
      <c r="A286">
        <v>610</v>
      </c>
      <c r="B286" t="s">
        <v>1276</v>
      </c>
      <c r="C286" t="s">
        <v>42</v>
      </c>
      <c r="D286" t="s">
        <v>1277</v>
      </c>
      <c r="E286" t="e" cm="1">
        <f t="array" ref="E286">- BUDESONIDE</f>
        <v>#NAME?</v>
      </c>
      <c r="F286" t="s">
        <v>1278</v>
      </c>
      <c r="J286" t="s">
        <v>1279</v>
      </c>
      <c r="M286" t="s">
        <v>1280</v>
      </c>
      <c r="N286" t="s">
        <v>1281</v>
      </c>
      <c r="P286" t="s">
        <v>1282</v>
      </c>
      <c r="Q286" t="s">
        <v>1283</v>
      </c>
      <c r="R286">
        <v>4</v>
      </c>
      <c r="S286">
        <v>16</v>
      </c>
    </row>
    <row r="287" spans="1:19" x14ac:dyDescent="0.35">
      <c r="A287">
        <v>609</v>
      </c>
      <c r="B287" t="s">
        <v>1276</v>
      </c>
      <c r="C287" t="s">
        <v>42</v>
      </c>
      <c r="D287" t="s">
        <v>1277</v>
      </c>
      <c r="E287" t="e" cm="1">
        <f t="array" ref="E287">- BUDESONIDE</f>
        <v>#NAME?</v>
      </c>
      <c r="F287" t="s">
        <v>1278</v>
      </c>
      <c r="J287" t="s">
        <v>1279</v>
      </c>
      <c r="M287" t="s">
        <v>340</v>
      </c>
      <c r="N287" t="s">
        <v>1281</v>
      </c>
      <c r="P287" t="s">
        <v>1282</v>
      </c>
      <c r="Q287" t="s">
        <v>1284</v>
      </c>
      <c r="R287">
        <v>4</v>
      </c>
      <c r="S287">
        <v>16</v>
      </c>
    </row>
    <row r="288" spans="1:19" x14ac:dyDescent="0.35">
      <c r="A288">
        <v>5134</v>
      </c>
      <c r="B288" t="s">
        <v>1285</v>
      </c>
      <c r="C288" t="s">
        <v>42</v>
      </c>
      <c r="D288" t="s">
        <v>1286</v>
      </c>
      <c r="E288" t="e" cm="1">
        <f t="array" ref="E288">- PROMETHAZINE HYDROCHLORIDE</f>
        <v>#NAME?</v>
      </c>
      <c r="F288" t="s">
        <v>1287</v>
      </c>
      <c r="J288" t="s">
        <v>1288</v>
      </c>
      <c r="M288" t="s">
        <v>1289</v>
      </c>
      <c r="N288" t="s">
        <v>1290</v>
      </c>
      <c r="P288" t="s">
        <v>1291</v>
      </c>
      <c r="Q288" t="s">
        <v>1292</v>
      </c>
      <c r="R288">
        <v>4</v>
      </c>
      <c r="S288">
        <v>16</v>
      </c>
    </row>
    <row r="289" spans="1:19" x14ac:dyDescent="0.35">
      <c r="A289">
        <v>5064</v>
      </c>
      <c r="B289" t="s">
        <v>1293</v>
      </c>
      <c r="C289" t="s">
        <v>42</v>
      </c>
      <c r="D289" t="s">
        <v>1294</v>
      </c>
      <c r="E289" t="e" cm="1">
        <f t="array" ref="E289">- DESONIDE</f>
        <v>#NAME?</v>
      </c>
      <c r="F289" t="s">
        <v>1295</v>
      </c>
      <c r="J289" t="s">
        <v>1296</v>
      </c>
      <c r="M289" t="s">
        <v>1289</v>
      </c>
      <c r="N289" t="s">
        <v>1297</v>
      </c>
      <c r="P289" t="s">
        <v>1298</v>
      </c>
      <c r="Q289" t="s">
        <v>1299</v>
      </c>
      <c r="R289">
        <v>4</v>
      </c>
      <c r="S289">
        <v>16</v>
      </c>
    </row>
    <row r="290" spans="1:19" x14ac:dyDescent="0.35">
      <c r="A290">
        <v>2946</v>
      </c>
      <c r="B290" t="s">
        <v>1300</v>
      </c>
      <c r="C290" t="s">
        <v>42</v>
      </c>
      <c r="D290" t="s">
        <v>1301</v>
      </c>
      <c r="E290" t="e" cm="1">
        <f t="array" ref="E290">- IBUPROFEN</f>
        <v>#NAME?</v>
      </c>
      <c r="F290" s="1">
        <v>0</v>
      </c>
      <c r="J290" t="s">
        <v>1302</v>
      </c>
      <c r="M290" t="s">
        <v>340</v>
      </c>
      <c r="N290" t="s">
        <v>383</v>
      </c>
      <c r="P290" t="s">
        <v>1303</v>
      </c>
      <c r="Q290" t="s">
        <v>1304</v>
      </c>
      <c r="R290">
        <v>4</v>
      </c>
      <c r="S290">
        <v>16</v>
      </c>
    </row>
    <row r="291" spans="1:19" x14ac:dyDescent="0.35">
      <c r="A291">
        <v>1258</v>
      </c>
      <c r="B291" t="s">
        <v>1305</v>
      </c>
      <c r="C291" t="s">
        <v>42</v>
      </c>
      <c r="D291" t="s">
        <v>1306</v>
      </c>
      <c r="E291" t="e" cm="1">
        <f t="array" ref="E291">- ACETYL CYSTEINE</f>
        <v>#NAME?</v>
      </c>
      <c r="F291" t="s">
        <v>1307</v>
      </c>
      <c r="L291" t="s">
        <v>1308</v>
      </c>
      <c r="M291" t="s">
        <v>38</v>
      </c>
      <c r="N291" t="s">
        <v>1309</v>
      </c>
      <c r="P291" t="s">
        <v>1310</v>
      </c>
      <c r="Q291" t="s">
        <v>1311</v>
      </c>
      <c r="R291">
        <v>4</v>
      </c>
      <c r="S291">
        <v>16</v>
      </c>
    </row>
    <row r="292" spans="1:19" x14ac:dyDescent="0.35">
      <c r="A292">
        <v>5048</v>
      </c>
      <c r="B292" t="s">
        <v>1312</v>
      </c>
      <c r="C292" t="s">
        <v>42</v>
      </c>
      <c r="D292" t="s">
        <v>1313</v>
      </c>
      <c r="E292" t="e" cm="1">
        <f t="array" ref="E292">- DESONIDE</f>
        <v>#NAME?</v>
      </c>
      <c r="F292" t="s">
        <v>1314</v>
      </c>
      <c r="H292" t="s">
        <v>319</v>
      </c>
      <c r="L292" t="s">
        <v>1315</v>
      </c>
      <c r="M292" t="s">
        <v>1289</v>
      </c>
      <c r="N292" t="s">
        <v>1297</v>
      </c>
      <c r="P292" t="s">
        <v>1316</v>
      </c>
      <c r="Q292" t="s">
        <v>1317</v>
      </c>
      <c r="R292">
        <v>4</v>
      </c>
      <c r="S292">
        <v>16</v>
      </c>
    </row>
    <row r="293" spans="1:19" x14ac:dyDescent="0.35">
      <c r="A293">
        <v>5047</v>
      </c>
      <c r="B293" t="s">
        <v>1312</v>
      </c>
      <c r="C293" t="s">
        <v>42</v>
      </c>
      <c r="D293" t="s">
        <v>1313</v>
      </c>
      <c r="E293" t="e" cm="1">
        <f t="array" ref="E293">- DESONIDE</f>
        <v>#NAME?</v>
      </c>
      <c r="F293" t="s">
        <v>1314</v>
      </c>
      <c r="H293" t="s">
        <v>319</v>
      </c>
      <c r="L293" t="s">
        <v>1315</v>
      </c>
      <c r="M293" t="s">
        <v>1289</v>
      </c>
      <c r="N293" t="s">
        <v>1297</v>
      </c>
      <c r="P293" t="s">
        <v>1316</v>
      </c>
      <c r="Q293" t="s">
        <v>1317</v>
      </c>
      <c r="R293">
        <v>4</v>
      </c>
      <c r="S293">
        <v>16</v>
      </c>
    </row>
    <row r="294" spans="1:19" x14ac:dyDescent="0.35">
      <c r="A294">
        <v>4995</v>
      </c>
      <c r="B294" t="s">
        <v>1318</v>
      </c>
      <c r="C294" t="s">
        <v>850</v>
      </c>
      <c r="D294" t="s">
        <v>1319</v>
      </c>
      <c r="E294" t="e" cm="1">
        <f t="array" ref="E294">- Ichtammolum</f>
        <v>#NAME?</v>
      </c>
      <c r="F294" t="s">
        <v>1320</v>
      </c>
      <c r="G294" t="s">
        <v>1321</v>
      </c>
      <c r="H294" t="s">
        <v>1322</v>
      </c>
      <c r="I294" t="s">
        <v>1323</v>
      </c>
      <c r="J294" t="s">
        <v>1324</v>
      </c>
      <c r="K294" t="s">
        <v>1325</v>
      </c>
      <c r="L294" t="s">
        <v>1326</v>
      </c>
      <c r="N294" t="s">
        <v>1327</v>
      </c>
      <c r="O294" t="s">
        <v>1328</v>
      </c>
      <c r="P294" t="s">
        <v>1329</v>
      </c>
      <c r="Q294" t="s">
        <v>1330</v>
      </c>
      <c r="R294">
        <v>4</v>
      </c>
      <c r="S294">
        <v>16</v>
      </c>
    </row>
    <row r="295" spans="1:19" x14ac:dyDescent="0.35">
      <c r="A295">
        <v>3884</v>
      </c>
      <c r="B295" t="s">
        <v>1331</v>
      </c>
      <c r="C295" t="s">
        <v>42</v>
      </c>
      <c r="D295" t="s">
        <v>1332</v>
      </c>
      <c r="E295" t="e" cm="1">
        <f t="array" ref="E295">- PYRANTEL PAMOATE</f>
        <v>#NAME?</v>
      </c>
      <c r="F295" t="s">
        <v>1333</v>
      </c>
      <c r="J295" t="s">
        <v>1334</v>
      </c>
      <c r="M295" t="s">
        <v>46</v>
      </c>
      <c r="N295" t="s">
        <v>1335</v>
      </c>
      <c r="P295" t="s">
        <v>1336</v>
      </c>
      <c r="Q295" t="s">
        <v>1337</v>
      </c>
      <c r="R295">
        <v>4</v>
      </c>
      <c r="S295">
        <v>16</v>
      </c>
    </row>
    <row r="296" spans="1:19" x14ac:dyDescent="0.35">
      <c r="A296">
        <v>1244</v>
      </c>
      <c r="B296" t="s">
        <v>1338</v>
      </c>
      <c r="C296" t="s">
        <v>42</v>
      </c>
      <c r="D296" t="s">
        <v>1339</v>
      </c>
      <c r="E296" t="e" cm="1">
        <f t="array" ref="E296">- BROMHEXINE HYDROCHLORIDE</f>
        <v>#NAME?</v>
      </c>
      <c r="F296" t="s">
        <v>1340</v>
      </c>
      <c r="J296" t="s">
        <v>1341</v>
      </c>
      <c r="M296" t="s">
        <v>46</v>
      </c>
      <c r="N296" t="s">
        <v>1342</v>
      </c>
      <c r="P296" t="s">
        <v>1343</v>
      </c>
      <c r="Q296" t="s">
        <v>1344</v>
      </c>
      <c r="R296">
        <v>4</v>
      </c>
      <c r="S296">
        <v>16</v>
      </c>
    </row>
    <row r="297" spans="1:19" x14ac:dyDescent="0.35">
      <c r="A297">
        <v>2873</v>
      </c>
      <c r="B297" t="s">
        <v>1345</v>
      </c>
      <c r="C297" t="s">
        <v>42</v>
      </c>
      <c r="D297" t="s">
        <v>1346</v>
      </c>
      <c r="E297" t="e" cm="1">
        <f t="array" ref="E297">- IBUPROFEN</f>
        <v>#NAME?</v>
      </c>
      <c r="F297" t="s">
        <v>1347</v>
      </c>
      <c r="J297" t="s">
        <v>1222</v>
      </c>
      <c r="M297" t="s">
        <v>340</v>
      </c>
      <c r="N297" t="s">
        <v>383</v>
      </c>
      <c r="P297" t="s">
        <v>1348</v>
      </c>
      <c r="Q297" t="s">
        <v>1349</v>
      </c>
      <c r="R297">
        <v>4</v>
      </c>
      <c r="S297">
        <v>16</v>
      </c>
    </row>
    <row r="298" spans="1:19" x14ac:dyDescent="0.35">
      <c r="A298">
        <v>1243</v>
      </c>
      <c r="B298" t="s">
        <v>1338</v>
      </c>
      <c r="C298" t="s">
        <v>42</v>
      </c>
      <c r="D298" t="s">
        <v>1339</v>
      </c>
      <c r="E298" t="e" cm="1">
        <f t="array" ref="E298">- BROMHEXINE HYDROCHLORIDE</f>
        <v>#NAME?</v>
      </c>
      <c r="F298" t="s">
        <v>1340</v>
      </c>
      <c r="J298" t="s">
        <v>1341</v>
      </c>
      <c r="M298" t="s">
        <v>46</v>
      </c>
      <c r="N298" t="s">
        <v>1342</v>
      </c>
      <c r="P298" t="s">
        <v>1343</v>
      </c>
      <c r="Q298" t="s">
        <v>1344</v>
      </c>
      <c r="R298">
        <v>4</v>
      </c>
      <c r="S298">
        <v>16</v>
      </c>
    </row>
    <row r="299" spans="1:19" x14ac:dyDescent="0.35">
      <c r="A299">
        <v>4177</v>
      </c>
      <c r="B299" t="s">
        <v>1350</v>
      </c>
      <c r="C299" t="s">
        <v>42</v>
      </c>
      <c r="D299" t="s">
        <v>1351</v>
      </c>
      <c r="E299" t="e" cm="1">
        <f t="array" ref="E299">- CHLORPHENAMINE MALEATE</f>
        <v>#NAME?</v>
      </c>
      <c r="F299" t="s">
        <v>1352</v>
      </c>
      <c r="J299" t="s">
        <v>1353</v>
      </c>
      <c r="M299" t="s">
        <v>38</v>
      </c>
      <c r="N299" t="s">
        <v>1354</v>
      </c>
      <c r="P299" t="s">
        <v>1355</v>
      </c>
      <c r="Q299" t="s">
        <v>1356</v>
      </c>
      <c r="R299">
        <v>4</v>
      </c>
      <c r="S299">
        <v>16</v>
      </c>
    </row>
    <row r="300" spans="1:19" x14ac:dyDescent="0.35">
      <c r="A300">
        <v>3889</v>
      </c>
      <c r="B300" t="s">
        <v>1357</v>
      </c>
      <c r="C300" t="s">
        <v>42</v>
      </c>
      <c r="D300" t="s">
        <v>1358</v>
      </c>
      <c r="E300" t="e" cm="1">
        <f t="array" ref="E300">- PYRANTEL PAMOATE</f>
        <v>#NAME?</v>
      </c>
      <c r="F300" t="s">
        <v>1359</v>
      </c>
      <c r="J300" t="s">
        <v>1360</v>
      </c>
      <c r="M300" t="s">
        <v>340</v>
      </c>
      <c r="N300" t="s">
        <v>1335</v>
      </c>
      <c r="P300" t="s">
        <v>1336</v>
      </c>
      <c r="Q300" t="s">
        <v>1361</v>
      </c>
      <c r="R300">
        <v>4</v>
      </c>
      <c r="S300">
        <v>16</v>
      </c>
    </row>
    <row r="301" spans="1:19" x14ac:dyDescent="0.35">
      <c r="A301">
        <v>3890</v>
      </c>
      <c r="B301" t="s">
        <v>1357</v>
      </c>
      <c r="C301" t="s">
        <v>42</v>
      </c>
      <c r="D301" t="s">
        <v>1358</v>
      </c>
      <c r="E301" t="e" cm="1">
        <f t="array" ref="E301">- PYRANTEL PAMOATE</f>
        <v>#NAME?</v>
      </c>
      <c r="F301" t="s">
        <v>1359</v>
      </c>
      <c r="J301" t="s">
        <v>1360</v>
      </c>
      <c r="M301" t="s">
        <v>340</v>
      </c>
      <c r="N301" t="s">
        <v>1335</v>
      </c>
      <c r="P301" t="s">
        <v>1336</v>
      </c>
      <c r="Q301" t="s">
        <v>1361</v>
      </c>
      <c r="R301">
        <v>4</v>
      </c>
      <c r="S301">
        <v>16</v>
      </c>
    </row>
    <row r="302" spans="1:19" x14ac:dyDescent="0.35">
      <c r="A302">
        <v>4916</v>
      </c>
      <c r="B302" t="s">
        <v>1362</v>
      </c>
      <c r="C302" t="s">
        <v>42</v>
      </c>
      <c r="D302" t="s">
        <v>1363</v>
      </c>
      <c r="E302" t="e" cm="1">
        <f t="array" ref="E302">- CLINDAMYCIN PHOSPHATE</f>
        <v>#NAME?</v>
      </c>
      <c r="F302" t="s">
        <v>1364</v>
      </c>
      <c r="G302" t="s">
        <v>1365</v>
      </c>
      <c r="H302" t="s">
        <v>1366</v>
      </c>
      <c r="J302" t="s">
        <v>1367</v>
      </c>
      <c r="K302" t="s">
        <v>1368</v>
      </c>
      <c r="L302" t="s">
        <v>1369</v>
      </c>
      <c r="M302" t="s">
        <v>87</v>
      </c>
      <c r="N302" t="s">
        <v>1370</v>
      </c>
      <c r="P302" t="s">
        <v>1371</v>
      </c>
      <c r="Q302" t="s">
        <v>1372</v>
      </c>
      <c r="R302">
        <v>4</v>
      </c>
      <c r="S302">
        <v>16</v>
      </c>
    </row>
    <row r="303" spans="1:19" x14ac:dyDescent="0.35">
      <c r="A303">
        <v>4915</v>
      </c>
      <c r="B303" t="s">
        <v>1362</v>
      </c>
      <c r="C303" t="s">
        <v>42</v>
      </c>
      <c r="D303" t="s">
        <v>1363</v>
      </c>
      <c r="E303" t="e" cm="1">
        <f t="array" ref="E303">- CLINDAMYCIN PHOSPHATE</f>
        <v>#NAME?</v>
      </c>
      <c r="F303" t="s">
        <v>1364</v>
      </c>
      <c r="G303" t="s">
        <v>1365</v>
      </c>
      <c r="H303" t="s">
        <v>1366</v>
      </c>
      <c r="J303" t="s">
        <v>1367</v>
      </c>
      <c r="K303" t="s">
        <v>1368</v>
      </c>
      <c r="L303" t="s">
        <v>1369</v>
      </c>
      <c r="M303" t="s">
        <v>87</v>
      </c>
      <c r="N303" t="s">
        <v>1370</v>
      </c>
      <c r="P303" t="s">
        <v>1371</v>
      </c>
      <c r="Q303" t="s">
        <v>1372</v>
      </c>
      <c r="R303">
        <v>4</v>
      </c>
      <c r="S303">
        <v>16</v>
      </c>
    </row>
    <row r="304" spans="1:19" x14ac:dyDescent="0.35">
      <c r="A304">
        <v>1440</v>
      </c>
      <c r="B304" t="s">
        <v>1373</v>
      </c>
      <c r="C304" t="s">
        <v>42</v>
      </c>
      <c r="D304" t="s">
        <v>1374</v>
      </c>
      <c r="E304" t="e" cm="1">
        <f t="array" ref="E304">- DEXTROMETHORPHAN HYDROBROMIDE</f>
        <v>#NAME?</v>
      </c>
      <c r="F304" t="s">
        <v>1375</v>
      </c>
      <c r="J304" t="s">
        <v>334</v>
      </c>
      <c r="M304" t="s">
        <v>271</v>
      </c>
      <c r="N304" t="s">
        <v>1376</v>
      </c>
      <c r="P304" t="s">
        <v>1377</v>
      </c>
      <c r="Q304" t="s">
        <v>1378</v>
      </c>
      <c r="R304">
        <v>4</v>
      </c>
      <c r="S304">
        <v>16</v>
      </c>
    </row>
    <row r="305" spans="1:19" x14ac:dyDescent="0.35">
      <c r="A305">
        <v>4914</v>
      </c>
      <c r="B305" t="s">
        <v>1362</v>
      </c>
      <c r="C305" t="s">
        <v>42</v>
      </c>
      <c r="D305" t="s">
        <v>1363</v>
      </c>
      <c r="E305" t="e" cm="1">
        <f t="array" ref="E305">- CLINDAMYCIN PHOSPHATE</f>
        <v>#NAME?</v>
      </c>
      <c r="F305" t="s">
        <v>1364</v>
      </c>
      <c r="G305" t="s">
        <v>1365</v>
      </c>
      <c r="H305" t="s">
        <v>1366</v>
      </c>
      <c r="J305" t="s">
        <v>1367</v>
      </c>
      <c r="K305" t="s">
        <v>1368</v>
      </c>
      <c r="L305" t="s">
        <v>1369</v>
      </c>
      <c r="M305" t="s">
        <v>87</v>
      </c>
      <c r="N305" t="s">
        <v>1370</v>
      </c>
      <c r="P305" t="s">
        <v>1371</v>
      </c>
      <c r="Q305" t="s">
        <v>1372</v>
      </c>
      <c r="R305">
        <v>4</v>
      </c>
      <c r="S305">
        <v>16</v>
      </c>
    </row>
    <row r="306" spans="1:19" x14ac:dyDescent="0.35">
      <c r="A306">
        <v>4913</v>
      </c>
      <c r="B306" t="s">
        <v>1362</v>
      </c>
      <c r="C306" t="s">
        <v>42</v>
      </c>
      <c r="D306" t="s">
        <v>1363</v>
      </c>
      <c r="E306" t="e" cm="1">
        <f t="array" ref="E306">- CLINDAMYCIN PHOSPHATE</f>
        <v>#NAME?</v>
      </c>
      <c r="F306" t="s">
        <v>1364</v>
      </c>
      <c r="G306" t="s">
        <v>1365</v>
      </c>
      <c r="H306" t="s">
        <v>1366</v>
      </c>
      <c r="J306" t="s">
        <v>1367</v>
      </c>
      <c r="K306" t="s">
        <v>1368</v>
      </c>
      <c r="L306" t="s">
        <v>1369</v>
      </c>
      <c r="M306" t="s">
        <v>87</v>
      </c>
      <c r="N306" t="s">
        <v>1370</v>
      </c>
      <c r="P306" t="s">
        <v>1371</v>
      </c>
      <c r="Q306" t="s">
        <v>1372</v>
      </c>
      <c r="R306">
        <v>4</v>
      </c>
      <c r="S306">
        <v>16</v>
      </c>
    </row>
    <row r="307" spans="1:19" x14ac:dyDescent="0.35">
      <c r="A307">
        <v>6255</v>
      </c>
      <c r="B307" t="s">
        <v>1231</v>
      </c>
      <c r="C307" t="s">
        <v>42</v>
      </c>
      <c r="D307" t="s">
        <v>1232</v>
      </c>
      <c r="E307" t="e" cm="1">
        <f t="array" ref="E307">- SULFAMETHOXAZOLE. TRIMETHOPRIM</f>
        <v>#NAME?</v>
      </c>
      <c r="F307" t="s">
        <v>1233</v>
      </c>
      <c r="J307" t="s">
        <v>334</v>
      </c>
      <c r="M307" t="s">
        <v>340</v>
      </c>
      <c r="N307" t="s">
        <v>1379</v>
      </c>
      <c r="P307" t="s">
        <v>1234</v>
      </c>
      <c r="Q307" t="s">
        <v>1380</v>
      </c>
      <c r="R307">
        <v>4</v>
      </c>
      <c r="S307">
        <v>16</v>
      </c>
    </row>
    <row r="308" spans="1:19" x14ac:dyDescent="0.35">
      <c r="A308">
        <v>2878</v>
      </c>
      <c r="B308" t="s">
        <v>1381</v>
      </c>
      <c r="C308" t="s">
        <v>42</v>
      </c>
      <c r="D308" t="s">
        <v>1382</v>
      </c>
      <c r="E308" t="e" cm="1">
        <f t="array" ref="E308">- PARACETAMOL</f>
        <v>#NAME?</v>
      </c>
      <c r="F308" t="s">
        <v>1383</v>
      </c>
      <c r="J308" t="s">
        <v>743</v>
      </c>
      <c r="M308" t="s">
        <v>824</v>
      </c>
      <c r="N308" t="s">
        <v>584</v>
      </c>
      <c r="P308" t="s">
        <v>1384</v>
      </c>
      <c r="Q308" t="s">
        <v>1385</v>
      </c>
      <c r="R308">
        <v>4</v>
      </c>
      <c r="S308">
        <v>16</v>
      </c>
    </row>
    <row r="309" spans="1:19" x14ac:dyDescent="0.35">
      <c r="A309">
        <v>4173</v>
      </c>
      <c r="B309" t="s">
        <v>1386</v>
      </c>
      <c r="C309" t="s">
        <v>42</v>
      </c>
      <c r="D309" t="s">
        <v>1387</v>
      </c>
      <c r="E309" t="e" cm="1">
        <f t="array" ref="E309">- CETIRIZINE HYDROCHLORIDE</f>
        <v>#NAME?</v>
      </c>
      <c r="F309" t="s">
        <v>1388</v>
      </c>
      <c r="J309" t="s">
        <v>1389</v>
      </c>
      <c r="M309" t="s">
        <v>824</v>
      </c>
      <c r="N309" t="s">
        <v>1390</v>
      </c>
      <c r="P309" t="s">
        <v>1391</v>
      </c>
      <c r="Q309" t="s">
        <v>1392</v>
      </c>
      <c r="R309">
        <v>4</v>
      </c>
      <c r="S309">
        <v>16</v>
      </c>
    </row>
    <row r="310" spans="1:19" x14ac:dyDescent="0.35">
      <c r="A310">
        <v>3885</v>
      </c>
      <c r="B310" t="s">
        <v>1331</v>
      </c>
      <c r="C310" t="s">
        <v>42</v>
      </c>
      <c r="D310" t="s">
        <v>1332</v>
      </c>
      <c r="E310" t="e" cm="1">
        <f t="array" ref="E310">- PYRANTEL PAMOATE</f>
        <v>#NAME?</v>
      </c>
      <c r="F310" t="s">
        <v>1333</v>
      </c>
      <c r="J310" t="s">
        <v>1334</v>
      </c>
      <c r="M310" t="s">
        <v>46</v>
      </c>
      <c r="N310" t="s">
        <v>1335</v>
      </c>
      <c r="P310" t="s">
        <v>1336</v>
      </c>
      <c r="Q310" t="s">
        <v>1337</v>
      </c>
      <c r="R310">
        <v>4</v>
      </c>
      <c r="S310">
        <v>16</v>
      </c>
    </row>
    <row r="311" spans="1:19" x14ac:dyDescent="0.35">
      <c r="A311">
        <v>2879</v>
      </c>
      <c r="B311" t="s">
        <v>1381</v>
      </c>
      <c r="C311" t="s">
        <v>42</v>
      </c>
      <c r="D311" t="s">
        <v>1382</v>
      </c>
      <c r="E311" t="e" cm="1">
        <f t="array" ref="E311">- PARACETAMOL</f>
        <v>#NAME?</v>
      </c>
      <c r="F311" t="s">
        <v>1383</v>
      </c>
      <c r="J311" t="s">
        <v>743</v>
      </c>
      <c r="M311" t="s">
        <v>824</v>
      </c>
      <c r="N311" t="s">
        <v>584</v>
      </c>
      <c r="P311" t="s">
        <v>1384</v>
      </c>
      <c r="Q311" t="s">
        <v>1385</v>
      </c>
      <c r="R311">
        <v>4</v>
      </c>
      <c r="S311">
        <v>16</v>
      </c>
    </row>
    <row r="312" spans="1:19" x14ac:dyDescent="0.35">
      <c r="A312">
        <v>4243</v>
      </c>
      <c r="B312" t="s">
        <v>1393</v>
      </c>
      <c r="C312" t="s">
        <v>42</v>
      </c>
      <c r="D312" t="s">
        <v>1394</v>
      </c>
      <c r="E312" t="e" cm="1">
        <f t="array" ref="E312">- CHLORPHENAMINE MALEATE</f>
        <v>#NAME?</v>
      </c>
      <c r="F312" t="s">
        <v>1395</v>
      </c>
      <c r="J312" t="s">
        <v>1396</v>
      </c>
      <c r="M312" t="s">
        <v>291</v>
      </c>
      <c r="N312" t="s">
        <v>1354</v>
      </c>
      <c r="P312" t="s">
        <v>1397</v>
      </c>
      <c r="Q312" t="s">
        <v>1398</v>
      </c>
      <c r="R312">
        <v>4</v>
      </c>
      <c r="S312">
        <v>16</v>
      </c>
    </row>
    <row r="313" spans="1:19" x14ac:dyDescent="0.35">
      <c r="A313">
        <v>5143</v>
      </c>
      <c r="B313" t="s">
        <v>1399</v>
      </c>
      <c r="C313" t="s">
        <v>42</v>
      </c>
      <c r="D313" t="s">
        <v>1400</v>
      </c>
      <c r="E313" t="e" cm="1">
        <f t="array" ref="E313">- BETAMETHASONE</f>
        <v>#NAME?</v>
      </c>
      <c r="F313" t="s">
        <v>1401</v>
      </c>
      <c r="J313" t="s">
        <v>1402</v>
      </c>
      <c r="L313" t="s">
        <v>1403</v>
      </c>
      <c r="M313" t="s">
        <v>1289</v>
      </c>
      <c r="N313" t="s">
        <v>1118</v>
      </c>
      <c r="P313" t="s">
        <v>1404</v>
      </c>
      <c r="Q313" t="s">
        <v>1405</v>
      </c>
      <c r="R313">
        <v>4</v>
      </c>
      <c r="S313">
        <v>16</v>
      </c>
    </row>
    <row r="314" spans="1:19" x14ac:dyDescent="0.35">
      <c r="A314">
        <v>6365</v>
      </c>
      <c r="B314" t="s">
        <v>1406</v>
      </c>
      <c r="C314" t="s">
        <v>42</v>
      </c>
      <c r="D314" t="s">
        <v>1407</v>
      </c>
      <c r="E314" t="e" cm="1">
        <f t="array" ref="E314">- RIFAMPICIN</f>
        <v>#NAME?</v>
      </c>
      <c r="F314" t="s">
        <v>1408</v>
      </c>
      <c r="G314" t="s">
        <v>1409</v>
      </c>
      <c r="H314" t="s">
        <v>1410</v>
      </c>
      <c r="I314" t="s">
        <v>1411</v>
      </c>
      <c r="J314" t="s">
        <v>515</v>
      </c>
      <c r="K314" t="s">
        <v>1412</v>
      </c>
      <c r="L314" t="s">
        <v>1413</v>
      </c>
      <c r="M314" t="s">
        <v>38</v>
      </c>
      <c r="N314" t="s">
        <v>516</v>
      </c>
      <c r="O314" t="s">
        <v>1414</v>
      </c>
      <c r="P314" t="s">
        <v>516</v>
      </c>
      <c r="Q314" t="s">
        <v>1415</v>
      </c>
      <c r="R314">
        <v>4</v>
      </c>
      <c r="S314">
        <v>16</v>
      </c>
    </row>
    <row r="315" spans="1:19" x14ac:dyDescent="0.35">
      <c r="A315">
        <v>4174</v>
      </c>
      <c r="B315" t="s">
        <v>1386</v>
      </c>
      <c r="C315" t="s">
        <v>42</v>
      </c>
      <c r="D315" t="s">
        <v>1387</v>
      </c>
      <c r="E315" t="e" cm="1">
        <f t="array" ref="E315">- CETIRIZINE HYDROCHLORIDE</f>
        <v>#NAME?</v>
      </c>
      <c r="F315" t="s">
        <v>1388</v>
      </c>
      <c r="J315" t="s">
        <v>1389</v>
      </c>
      <c r="M315" t="s">
        <v>824</v>
      </c>
      <c r="N315" t="s">
        <v>1390</v>
      </c>
      <c r="P315" t="s">
        <v>1391</v>
      </c>
      <c r="Q315" t="s">
        <v>1392</v>
      </c>
      <c r="R315">
        <v>4</v>
      </c>
      <c r="S315">
        <v>16</v>
      </c>
    </row>
    <row r="316" spans="1:19" x14ac:dyDescent="0.35">
      <c r="A316">
        <v>5390</v>
      </c>
      <c r="B316" t="s">
        <v>1416</v>
      </c>
      <c r="C316" t="s">
        <v>42</v>
      </c>
      <c r="D316" t="s">
        <v>1417</v>
      </c>
      <c r="E316" t="e" cm="1">
        <f t="array" ref="E316">- CLOTRIMAZOLE</f>
        <v>#NAME?</v>
      </c>
      <c r="F316" t="s">
        <v>1418</v>
      </c>
      <c r="G316" t="s">
        <v>1419</v>
      </c>
      <c r="H316" t="s">
        <v>1420</v>
      </c>
      <c r="J316" t="s">
        <v>1421</v>
      </c>
      <c r="M316" t="s">
        <v>1289</v>
      </c>
      <c r="N316" t="s">
        <v>1422</v>
      </c>
      <c r="P316" t="s">
        <v>1423</v>
      </c>
      <c r="Q316" t="s">
        <v>1424</v>
      </c>
      <c r="R316">
        <v>4</v>
      </c>
      <c r="S316">
        <v>16</v>
      </c>
    </row>
    <row r="317" spans="1:19" x14ac:dyDescent="0.35">
      <c r="A317">
        <v>5389</v>
      </c>
      <c r="B317" t="s">
        <v>1416</v>
      </c>
      <c r="C317" t="s">
        <v>42</v>
      </c>
      <c r="D317" t="s">
        <v>1417</v>
      </c>
      <c r="E317" t="e" cm="1">
        <f t="array" ref="E317">- CLOTRIMAZOLE</f>
        <v>#NAME?</v>
      </c>
      <c r="F317" t="s">
        <v>1418</v>
      </c>
      <c r="G317" t="s">
        <v>1419</v>
      </c>
      <c r="H317" t="s">
        <v>1420</v>
      </c>
      <c r="J317" t="s">
        <v>1421</v>
      </c>
      <c r="M317" t="s">
        <v>1289</v>
      </c>
      <c r="N317" t="s">
        <v>1422</v>
      </c>
      <c r="P317" t="s">
        <v>1423</v>
      </c>
      <c r="Q317" t="s">
        <v>1424</v>
      </c>
      <c r="R317">
        <v>4</v>
      </c>
      <c r="S317">
        <v>16</v>
      </c>
    </row>
    <row r="318" spans="1:19" x14ac:dyDescent="0.35">
      <c r="A318">
        <v>5388</v>
      </c>
      <c r="B318" t="s">
        <v>1416</v>
      </c>
      <c r="C318" t="s">
        <v>42</v>
      </c>
      <c r="D318" t="s">
        <v>1417</v>
      </c>
      <c r="E318" t="e" cm="1">
        <f t="array" ref="E318">- CLOTRIMAZOLE</f>
        <v>#NAME?</v>
      </c>
      <c r="F318" t="s">
        <v>1418</v>
      </c>
      <c r="G318" t="s">
        <v>1419</v>
      </c>
      <c r="H318" t="s">
        <v>1420</v>
      </c>
      <c r="J318" t="s">
        <v>1421</v>
      </c>
      <c r="M318" t="s">
        <v>1289</v>
      </c>
      <c r="N318" t="s">
        <v>1422</v>
      </c>
      <c r="P318" t="s">
        <v>1423</v>
      </c>
      <c r="Q318" t="s">
        <v>1424</v>
      </c>
      <c r="R318">
        <v>4</v>
      </c>
      <c r="S318">
        <v>16</v>
      </c>
    </row>
    <row r="319" spans="1:19" x14ac:dyDescent="0.35">
      <c r="A319">
        <v>7336</v>
      </c>
      <c r="B319" t="s">
        <v>1425</v>
      </c>
      <c r="C319" t="s">
        <v>20</v>
      </c>
      <c r="D319" t="s">
        <v>1426</v>
      </c>
      <c r="E319" t="s">
        <v>1427</v>
      </c>
      <c r="F319" t="s">
        <v>1428</v>
      </c>
      <c r="J319" t="s">
        <v>1429</v>
      </c>
      <c r="M319" t="s">
        <v>87</v>
      </c>
      <c r="N319" t="s">
        <v>1430</v>
      </c>
      <c r="P319" t="s">
        <v>1431</v>
      </c>
      <c r="Q319" t="s">
        <v>1432</v>
      </c>
      <c r="R319">
        <v>4</v>
      </c>
      <c r="S319">
        <v>16</v>
      </c>
    </row>
    <row r="320" spans="1:19" x14ac:dyDescent="0.35">
      <c r="A320">
        <v>5387</v>
      </c>
      <c r="B320" t="s">
        <v>1416</v>
      </c>
      <c r="C320" t="s">
        <v>42</v>
      </c>
      <c r="D320" t="s">
        <v>1417</v>
      </c>
      <c r="E320" t="e" cm="1">
        <f t="array" ref="E320">- CLOTRIMAZOLE</f>
        <v>#NAME?</v>
      </c>
      <c r="F320" t="s">
        <v>1418</v>
      </c>
      <c r="G320" t="s">
        <v>1419</v>
      </c>
      <c r="H320" t="s">
        <v>1420</v>
      </c>
      <c r="J320" t="s">
        <v>1421</v>
      </c>
      <c r="M320" t="s">
        <v>1289</v>
      </c>
      <c r="N320" t="s">
        <v>1422</v>
      </c>
      <c r="P320" t="s">
        <v>1423</v>
      </c>
      <c r="Q320" t="s">
        <v>1424</v>
      </c>
      <c r="R320">
        <v>4</v>
      </c>
      <c r="S320">
        <v>16</v>
      </c>
    </row>
    <row r="321" spans="1:19" x14ac:dyDescent="0.35">
      <c r="A321">
        <v>5386</v>
      </c>
      <c r="B321" t="s">
        <v>1416</v>
      </c>
      <c r="C321" t="s">
        <v>42</v>
      </c>
      <c r="D321" t="s">
        <v>1433</v>
      </c>
      <c r="E321" t="e" cm="1">
        <f t="array" ref="E321">- CLOTRIMAZOLE</f>
        <v>#NAME?</v>
      </c>
      <c r="F321" t="s">
        <v>1434</v>
      </c>
      <c r="G321" t="s">
        <v>1419</v>
      </c>
      <c r="H321" t="s">
        <v>1420</v>
      </c>
      <c r="M321" t="s">
        <v>1289</v>
      </c>
      <c r="N321" t="s">
        <v>1422</v>
      </c>
      <c r="P321" t="s">
        <v>1423</v>
      </c>
      <c r="Q321" t="s">
        <v>1424</v>
      </c>
      <c r="R321">
        <v>4</v>
      </c>
      <c r="S321">
        <v>16</v>
      </c>
    </row>
    <row r="322" spans="1:19" x14ac:dyDescent="0.35">
      <c r="A322">
        <v>5385</v>
      </c>
      <c r="B322" t="s">
        <v>1416</v>
      </c>
      <c r="C322" t="s">
        <v>42</v>
      </c>
      <c r="D322" t="s">
        <v>1433</v>
      </c>
      <c r="E322" t="e" cm="1">
        <f t="array" ref="E322">- CLOTRIMAZOLE</f>
        <v>#NAME?</v>
      </c>
      <c r="F322" t="s">
        <v>1434</v>
      </c>
      <c r="G322" t="s">
        <v>1419</v>
      </c>
      <c r="H322" t="s">
        <v>1420</v>
      </c>
      <c r="M322" t="s">
        <v>1289</v>
      </c>
      <c r="N322" t="s">
        <v>1422</v>
      </c>
      <c r="P322" t="s">
        <v>1423</v>
      </c>
      <c r="Q322" t="s">
        <v>1424</v>
      </c>
      <c r="R322">
        <v>4</v>
      </c>
      <c r="S322">
        <v>16</v>
      </c>
    </row>
    <row r="323" spans="1:19" x14ac:dyDescent="0.35">
      <c r="A323">
        <v>5384</v>
      </c>
      <c r="B323" t="s">
        <v>1416</v>
      </c>
      <c r="C323" t="s">
        <v>42</v>
      </c>
      <c r="D323" t="s">
        <v>1433</v>
      </c>
      <c r="E323" t="e" cm="1">
        <f t="array" ref="E323">- CLOTRIMAZOLE</f>
        <v>#NAME?</v>
      </c>
      <c r="F323" t="s">
        <v>1434</v>
      </c>
      <c r="G323" t="s">
        <v>1419</v>
      </c>
      <c r="H323" t="s">
        <v>1420</v>
      </c>
      <c r="M323" t="s">
        <v>1289</v>
      </c>
      <c r="N323" t="s">
        <v>1422</v>
      </c>
      <c r="P323" t="s">
        <v>1423</v>
      </c>
      <c r="Q323" t="s">
        <v>1424</v>
      </c>
      <c r="R323">
        <v>4</v>
      </c>
      <c r="S323">
        <v>16</v>
      </c>
    </row>
    <row r="324" spans="1:19" x14ac:dyDescent="0.35">
      <c r="A324">
        <v>5383</v>
      </c>
      <c r="B324" t="s">
        <v>1416</v>
      </c>
      <c r="C324" t="s">
        <v>42</v>
      </c>
      <c r="D324" t="s">
        <v>1433</v>
      </c>
      <c r="E324" t="e" cm="1">
        <f t="array" ref="E324">- CLOTRIMAZOLE</f>
        <v>#NAME?</v>
      </c>
      <c r="F324" t="s">
        <v>1434</v>
      </c>
      <c r="G324" t="s">
        <v>1419</v>
      </c>
      <c r="H324" t="s">
        <v>1420</v>
      </c>
      <c r="M324" t="s">
        <v>1289</v>
      </c>
      <c r="N324" t="s">
        <v>1422</v>
      </c>
      <c r="P324" t="s">
        <v>1423</v>
      </c>
      <c r="Q324" t="s">
        <v>1424</v>
      </c>
      <c r="R324">
        <v>4</v>
      </c>
      <c r="S324">
        <v>16</v>
      </c>
    </row>
    <row r="325" spans="1:19" x14ac:dyDescent="0.35">
      <c r="A325">
        <v>1260</v>
      </c>
      <c r="B325" t="s">
        <v>1435</v>
      </c>
      <c r="C325" t="s">
        <v>42</v>
      </c>
      <c r="D325" t="s">
        <v>1436</v>
      </c>
      <c r="E325" t="e" cm="1">
        <f t="array" ref="E325">- DEXTROMETHORPHAN HYDROBROMIDE</f>
        <v>#NAME?</v>
      </c>
      <c r="F325" t="s">
        <v>1437</v>
      </c>
      <c r="J325" t="s">
        <v>1438</v>
      </c>
      <c r="M325" t="s">
        <v>38</v>
      </c>
      <c r="N325" t="s">
        <v>1376</v>
      </c>
      <c r="P325" t="s">
        <v>1439</v>
      </c>
      <c r="Q325" t="s">
        <v>1440</v>
      </c>
      <c r="R325">
        <v>4</v>
      </c>
      <c r="S325">
        <v>16</v>
      </c>
    </row>
    <row r="326" spans="1:19" x14ac:dyDescent="0.35">
      <c r="A326">
        <v>2968</v>
      </c>
      <c r="B326" t="s">
        <v>1441</v>
      </c>
      <c r="C326" t="s">
        <v>42</v>
      </c>
      <c r="D326" t="s">
        <v>1442</v>
      </c>
      <c r="E326" t="e" cm="1">
        <f t="array" ref="E326">- IBUPROFEN</f>
        <v>#NAME?</v>
      </c>
      <c r="F326" t="s">
        <v>1443</v>
      </c>
      <c r="J326" t="s">
        <v>334</v>
      </c>
      <c r="M326" t="s">
        <v>340</v>
      </c>
      <c r="N326" t="s">
        <v>383</v>
      </c>
      <c r="P326" t="s">
        <v>1444</v>
      </c>
      <c r="Q326" t="s">
        <v>1445</v>
      </c>
      <c r="R326">
        <v>4</v>
      </c>
      <c r="S326">
        <v>16</v>
      </c>
    </row>
    <row r="327" spans="1:19" x14ac:dyDescent="0.35">
      <c r="A327">
        <v>3833</v>
      </c>
      <c r="B327" t="s">
        <v>1446</v>
      </c>
      <c r="C327" t="s">
        <v>42</v>
      </c>
      <c r="D327" t="s">
        <v>1447</v>
      </c>
      <c r="E327" t="e" cm="1">
        <f t="array" ref="E327">- ATTAPULGITE</f>
        <v>#NAME?</v>
      </c>
      <c r="F327" t="s">
        <v>1448</v>
      </c>
      <c r="J327" t="s">
        <v>1449</v>
      </c>
      <c r="M327" t="s">
        <v>46</v>
      </c>
      <c r="N327" t="s">
        <v>1450</v>
      </c>
      <c r="P327" t="s">
        <v>1451</v>
      </c>
      <c r="Q327" t="s">
        <v>1452</v>
      </c>
      <c r="R327">
        <v>4</v>
      </c>
      <c r="S327">
        <v>16</v>
      </c>
    </row>
    <row r="328" spans="1:19" x14ac:dyDescent="0.35">
      <c r="A328">
        <v>5358</v>
      </c>
      <c r="B328" t="s">
        <v>1453</v>
      </c>
      <c r="C328" t="s">
        <v>42</v>
      </c>
      <c r="D328" t="s">
        <v>1454</v>
      </c>
      <c r="E328" t="e" cm="1">
        <f t="array" ref="E328">- KETOCONAZOLE</f>
        <v>#NAME?</v>
      </c>
      <c r="F328" t="s">
        <v>1455</v>
      </c>
      <c r="M328" t="s">
        <v>1289</v>
      </c>
      <c r="N328" t="s">
        <v>533</v>
      </c>
      <c r="P328" t="s">
        <v>1456</v>
      </c>
      <c r="Q328" t="s">
        <v>1457</v>
      </c>
      <c r="R328">
        <v>4</v>
      </c>
      <c r="S328">
        <v>16</v>
      </c>
    </row>
    <row r="329" spans="1:19" x14ac:dyDescent="0.35">
      <c r="A329">
        <v>5357</v>
      </c>
      <c r="B329" t="s">
        <v>1453</v>
      </c>
      <c r="C329" t="s">
        <v>42</v>
      </c>
      <c r="D329" t="s">
        <v>1454</v>
      </c>
      <c r="E329" t="e" cm="1">
        <f t="array" ref="E329">- KETOCONAZOLE</f>
        <v>#NAME?</v>
      </c>
      <c r="F329" t="s">
        <v>1455</v>
      </c>
      <c r="M329" t="s">
        <v>1289</v>
      </c>
      <c r="N329" t="s">
        <v>533</v>
      </c>
      <c r="P329" t="s">
        <v>1456</v>
      </c>
      <c r="Q329" t="s">
        <v>1457</v>
      </c>
      <c r="R329">
        <v>4</v>
      </c>
      <c r="S329">
        <v>16</v>
      </c>
    </row>
    <row r="330" spans="1:19" x14ac:dyDescent="0.35">
      <c r="A330">
        <v>2967</v>
      </c>
      <c r="B330" t="s">
        <v>1441</v>
      </c>
      <c r="C330" t="s">
        <v>42</v>
      </c>
      <c r="D330" t="s">
        <v>1442</v>
      </c>
      <c r="E330" t="e" cm="1">
        <f t="array" ref="E330">- IBUPROFEN</f>
        <v>#NAME?</v>
      </c>
      <c r="F330" t="s">
        <v>1443</v>
      </c>
      <c r="J330" t="s">
        <v>334</v>
      </c>
      <c r="M330" t="s">
        <v>340</v>
      </c>
      <c r="N330" t="s">
        <v>383</v>
      </c>
      <c r="P330" t="s">
        <v>1444</v>
      </c>
      <c r="Q330" t="s">
        <v>1445</v>
      </c>
      <c r="R330">
        <v>4</v>
      </c>
      <c r="S330">
        <v>16</v>
      </c>
    </row>
    <row r="331" spans="1:19" x14ac:dyDescent="0.35">
      <c r="A331">
        <v>2966</v>
      </c>
      <c r="B331" t="s">
        <v>1441</v>
      </c>
      <c r="C331" t="s">
        <v>42</v>
      </c>
      <c r="D331" t="s">
        <v>1442</v>
      </c>
      <c r="E331" t="e" cm="1">
        <f t="array" ref="E331">- IBUPROFEN</f>
        <v>#NAME?</v>
      </c>
      <c r="F331" t="s">
        <v>1443</v>
      </c>
      <c r="J331" t="s">
        <v>334</v>
      </c>
      <c r="M331" t="s">
        <v>340</v>
      </c>
      <c r="N331" t="s">
        <v>383</v>
      </c>
      <c r="P331" t="s">
        <v>1444</v>
      </c>
      <c r="Q331" t="s">
        <v>1445</v>
      </c>
      <c r="R331">
        <v>4</v>
      </c>
      <c r="S331">
        <v>16</v>
      </c>
    </row>
    <row r="332" spans="1:19" x14ac:dyDescent="0.35">
      <c r="A332">
        <v>3834</v>
      </c>
      <c r="B332" t="s">
        <v>1446</v>
      </c>
      <c r="C332" t="s">
        <v>42</v>
      </c>
      <c r="D332" t="s">
        <v>1447</v>
      </c>
      <c r="E332" t="e" cm="1">
        <f t="array" ref="E332">- ATTAPULGITE</f>
        <v>#NAME?</v>
      </c>
      <c r="F332" t="s">
        <v>1448</v>
      </c>
      <c r="J332" t="s">
        <v>1449</v>
      </c>
      <c r="M332" t="s">
        <v>46</v>
      </c>
      <c r="N332" t="s">
        <v>1450</v>
      </c>
      <c r="P332" t="s">
        <v>1451</v>
      </c>
      <c r="Q332" t="s">
        <v>1452</v>
      </c>
      <c r="R332">
        <v>4</v>
      </c>
      <c r="S332">
        <v>16</v>
      </c>
    </row>
    <row r="333" spans="1:19" x14ac:dyDescent="0.35">
      <c r="A333">
        <v>3835</v>
      </c>
      <c r="B333" t="s">
        <v>1446</v>
      </c>
      <c r="C333" t="s">
        <v>42</v>
      </c>
      <c r="D333" t="s">
        <v>1447</v>
      </c>
      <c r="E333" t="e" cm="1">
        <f t="array" ref="E333">- ATTAPULGITE</f>
        <v>#NAME?</v>
      </c>
      <c r="F333" t="s">
        <v>1448</v>
      </c>
      <c r="J333" t="s">
        <v>1449</v>
      </c>
      <c r="M333" t="s">
        <v>46</v>
      </c>
      <c r="N333" t="s">
        <v>1450</v>
      </c>
      <c r="P333" t="s">
        <v>1451</v>
      </c>
      <c r="Q333" t="s">
        <v>1452</v>
      </c>
      <c r="R333">
        <v>4</v>
      </c>
      <c r="S333">
        <v>16</v>
      </c>
    </row>
    <row r="334" spans="1:19" x14ac:dyDescent="0.35">
      <c r="A334">
        <v>2965</v>
      </c>
      <c r="B334" t="s">
        <v>1441</v>
      </c>
      <c r="C334" t="s">
        <v>42</v>
      </c>
      <c r="D334" t="s">
        <v>1442</v>
      </c>
      <c r="E334" t="e" cm="1">
        <f t="array" ref="E334">- IBUPROFEN</f>
        <v>#NAME?</v>
      </c>
      <c r="F334" t="s">
        <v>1443</v>
      </c>
      <c r="J334" t="s">
        <v>334</v>
      </c>
      <c r="M334" t="s">
        <v>340</v>
      </c>
      <c r="N334" t="s">
        <v>383</v>
      </c>
      <c r="P334" t="s">
        <v>1444</v>
      </c>
      <c r="Q334" t="s">
        <v>1445</v>
      </c>
      <c r="R334">
        <v>4</v>
      </c>
      <c r="S334">
        <v>16</v>
      </c>
    </row>
    <row r="335" spans="1:19" x14ac:dyDescent="0.35">
      <c r="A335">
        <v>3837</v>
      </c>
      <c r="B335" t="s">
        <v>1458</v>
      </c>
      <c r="C335" t="s">
        <v>42</v>
      </c>
      <c r="D335" t="s">
        <v>1459</v>
      </c>
      <c r="E335" t="e" cm="1">
        <f t="array" ref="E335">- LOPERAMIDE HYDROCHLORIDE</f>
        <v>#NAME?</v>
      </c>
      <c r="F335" t="s">
        <v>1460</v>
      </c>
      <c r="H335" t="s">
        <v>269</v>
      </c>
      <c r="L335" t="s">
        <v>270</v>
      </c>
      <c r="M335" t="s">
        <v>46</v>
      </c>
      <c r="N335" t="s">
        <v>1461</v>
      </c>
      <c r="P335" t="s">
        <v>1462</v>
      </c>
      <c r="Q335" t="s">
        <v>1463</v>
      </c>
      <c r="R335">
        <v>4</v>
      </c>
      <c r="S335">
        <v>16</v>
      </c>
    </row>
    <row r="336" spans="1:19" x14ac:dyDescent="0.35">
      <c r="A336">
        <v>2964</v>
      </c>
      <c r="B336" t="s">
        <v>1441</v>
      </c>
      <c r="C336" t="s">
        <v>42</v>
      </c>
      <c r="D336" t="s">
        <v>1442</v>
      </c>
      <c r="E336" t="e" cm="1">
        <f t="array" ref="E336">- IBUPROFEN</f>
        <v>#NAME?</v>
      </c>
      <c r="F336" t="s">
        <v>1443</v>
      </c>
      <c r="J336" t="s">
        <v>334</v>
      </c>
      <c r="M336" t="s">
        <v>340</v>
      </c>
      <c r="N336" t="s">
        <v>383</v>
      </c>
      <c r="P336" t="s">
        <v>1444</v>
      </c>
      <c r="Q336" t="s">
        <v>1445</v>
      </c>
      <c r="R336">
        <v>4</v>
      </c>
      <c r="S336">
        <v>16</v>
      </c>
    </row>
    <row r="337" spans="1:19" x14ac:dyDescent="0.35">
      <c r="A337">
        <v>5144</v>
      </c>
      <c r="B337" t="s">
        <v>1399</v>
      </c>
      <c r="C337" t="s">
        <v>42</v>
      </c>
      <c r="D337" t="s">
        <v>1400</v>
      </c>
      <c r="E337" t="e" cm="1">
        <f t="array" ref="E337">- BETAMETHASONE</f>
        <v>#NAME?</v>
      </c>
      <c r="F337" t="s">
        <v>1401</v>
      </c>
      <c r="J337" t="s">
        <v>1402</v>
      </c>
      <c r="L337" t="s">
        <v>1403</v>
      </c>
      <c r="M337" t="s">
        <v>1289</v>
      </c>
      <c r="N337" t="s">
        <v>1118</v>
      </c>
      <c r="P337" t="s">
        <v>1404</v>
      </c>
      <c r="Q337" t="s">
        <v>1405</v>
      </c>
      <c r="R337">
        <v>4</v>
      </c>
      <c r="S337">
        <v>16</v>
      </c>
    </row>
    <row r="338" spans="1:19" x14ac:dyDescent="0.35">
      <c r="A338">
        <v>3829</v>
      </c>
      <c r="B338" t="s">
        <v>1464</v>
      </c>
      <c r="C338" t="s">
        <v>42</v>
      </c>
      <c r="D338" t="s">
        <v>1465</v>
      </c>
      <c r="E338" t="e" cm="1">
        <f t="array" ref="E338">- KAOLIN</f>
        <v>#NAME?</v>
      </c>
      <c r="F338" t="s">
        <v>1466</v>
      </c>
      <c r="J338" t="s">
        <v>577</v>
      </c>
      <c r="M338" t="s">
        <v>340</v>
      </c>
      <c r="N338" t="s">
        <v>1194</v>
      </c>
      <c r="P338" t="s">
        <v>1467</v>
      </c>
      <c r="Q338" t="s">
        <v>1468</v>
      </c>
      <c r="R338">
        <v>4</v>
      </c>
      <c r="S338">
        <v>16</v>
      </c>
    </row>
    <row r="339" spans="1:19" x14ac:dyDescent="0.35">
      <c r="A339">
        <v>4176</v>
      </c>
      <c r="B339" t="s">
        <v>1350</v>
      </c>
      <c r="C339" t="s">
        <v>42</v>
      </c>
      <c r="D339" t="s">
        <v>1351</v>
      </c>
      <c r="E339" t="e" cm="1">
        <f t="array" ref="E339">- CHLORPHENAMINE MALEATE</f>
        <v>#NAME?</v>
      </c>
      <c r="F339" t="s">
        <v>1352</v>
      </c>
      <c r="J339" t="s">
        <v>1353</v>
      </c>
      <c r="M339" t="s">
        <v>38</v>
      </c>
      <c r="N339" t="s">
        <v>1354</v>
      </c>
      <c r="P339" t="s">
        <v>1355</v>
      </c>
      <c r="Q339" t="s">
        <v>1356</v>
      </c>
      <c r="R339">
        <v>4</v>
      </c>
      <c r="S339">
        <v>16</v>
      </c>
    </row>
    <row r="340" spans="1:19" x14ac:dyDescent="0.35">
      <c r="A340">
        <v>6257</v>
      </c>
      <c r="B340" t="s">
        <v>1236</v>
      </c>
      <c r="C340" t="s">
        <v>42</v>
      </c>
      <c r="D340" t="s">
        <v>1237</v>
      </c>
      <c r="E340" t="e" cm="1">
        <f t="array" ref="E340">- TRIMETHOPRIM. SULFAMETHOXAZOLE</f>
        <v>#NAME?</v>
      </c>
      <c r="F340" t="s">
        <v>1238</v>
      </c>
      <c r="J340" t="s">
        <v>381</v>
      </c>
      <c r="M340" t="s">
        <v>46</v>
      </c>
      <c r="N340" t="s">
        <v>1469</v>
      </c>
      <c r="P340" t="s">
        <v>1234</v>
      </c>
      <c r="Q340" t="s">
        <v>1470</v>
      </c>
      <c r="R340">
        <v>4</v>
      </c>
      <c r="S340">
        <v>16</v>
      </c>
    </row>
    <row r="341" spans="1:19" x14ac:dyDescent="0.35">
      <c r="A341">
        <v>3898</v>
      </c>
      <c r="B341" t="s">
        <v>1471</v>
      </c>
      <c r="C341" t="s">
        <v>42</v>
      </c>
      <c r="D341" t="s">
        <v>1472</v>
      </c>
      <c r="E341" t="e" cm="1">
        <f t="array" ref="E341">- PYRANTEL PAMOATE</f>
        <v>#NAME?</v>
      </c>
      <c r="F341" t="s">
        <v>1473</v>
      </c>
      <c r="J341" t="s">
        <v>1474</v>
      </c>
      <c r="M341" t="s">
        <v>291</v>
      </c>
      <c r="N341" t="s">
        <v>1335</v>
      </c>
      <c r="P341" t="s">
        <v>1475</v>
      </c>
      <c r="Q341" t="s">
        <v>1476</v>
      </c>
      <c r="R341">
        <v>4</v>
      </c>
      <c r="S341">
        <v>16</v>
      </c>
    </row>
    <row r="342" spans="1:19" x14ac:dyDescent="0.35">
      <c r="A342">
        <v>1315</v>
      </c>
      <c r="B342" t="s">
        <v>1477</v>
      </c>
      <c r="C342" t="s">
        <v>42</v>
      </c>
      <c r="D342" t="s">
        <v>1478</v>
      </c>
      <c r="E342" t="e" cm="1">
        <f t="array" ref="E342">- BROMHEXINE HYDROCHLORIDE</f>
        <v>#NAME?</v>
      </c>
      <c r="F342" t="s">
        <v>1479</v>
      </c>
      <c r="H342" t="s">
        <v>1480</v>
      </c>
      <c r="J342" t="s">
        <v>381</v>
      </c>
      <c r="M342" t="s">
        <v>46</v>
      </c>
      <c r="N342" t="s">
        <v>1342</v>
      </c>
      <c r="P342" t="s">
        <v>1481</v>
      </c>
      <c r="Q342" t="s">
        <v>1482</v>
      </c>
      <c r="R342">
        <v>4</v>
      </c>
      <c r="S342">
        <v>16</v>
      </c>
    </row>
    <row r="343" spans="1:19" x14ac:dyDescent="0.35">
      <c r="A343">
        <v>1314</v>
      </c>
      <c r="B343" t="s">
        <v>1477</v>
      </c>
      <c r="C343" t="s">
        <v>42</v>
      </c>
      <c r="D343" t="s">
        <v>1478</v>
      </c>
      <c r="E343" t="e" cm="1">
        <f t="array" ref="E343">- BROMHEXINE HYDROCHLORIDE</f>
        <v>#NAME?</v>
      </c>
      <c r="F343" t="s">
        <v>1479</v>
      </c>
      <c r="H343" t="s">
        <v>1480</v>
      </c>
      <c r="J343" t="s">
        <v>381</v>
      </c>
      <c r="M343" t="s">
        <v>46</v>
      </c>
      <c r="N343" t="s">
        <v>1342</v>
      </c>
      <c r="P343" t="s">
        <v>1481</v>
      </c>
      <c r="Q343" t="s">
        <v>1482</v>
      </c>
      <c r="R343">
        <v>4</v>
      </c>
      <c r="S343">
        <v>16</v>
      </c>
    </row>
    <row r="344" spans="1:19" x14ac:dyDescent="0.35">
      <c r="A344">
        <v>4283</v>
      </c>
      <c r="B344" t="s">
        <v>1483</v>
      </c>
      <c r="C344" t="s">
        <v>42</v>
      </c>
      <c r="D344" t="s">
        <v>1484</v>
      </c>
      <c r="E344" t="e" cm="1">
        <f t="array" ref="E344">- CETIRIZINE HYDROCHLORIDE</f>
        <v>#NAME?</v>
      </c>
      <c r="F344" t="s">
        <v>1485</v>
      </c>
      <c r="J344" t="s">
        <v>1486</v>
      </c>
      <c r="M344" t="s">
        <v>824</v>
      </c>
      <c r="N344" t="s">
        <v>1390</v>
      </c>
      <c r="P344" t="s">
        <v>1487</v>
      </c>
      <c r="Q344" t="s">
        <v>1488</v>
      </c>
      <c r="R344">
        <v>4</v>
      </c>
      <c r="S344">
        <v>16</v>
      </c>
    </row>
    <row r="345" spans="1:19" x14ac:dyDescent="0.35">
      <c r="A345">
        <v>550</v>
      </c>
      <c r="B345" t="s">
        <v>1489</v>
      </c>
      <c r="C345" t="s">
        <v>42</v>
      </c>
      <c r="D345" t="s">
        <v>1490</v>
      </c>
      <c r="E345" t="e" cm="1">
        <f t="array" ref="E345">- MONTELUKAST SODIUM</f>
        <v>#NAME?</v>
      </c>
      <c r="F345" t="s">
        <v>1491</v>
      </c>
      <c r="J345" t="s">
        <v>45</v>
      </c>
      <c r="M345" t="s">
        <v>46</v>
      </c>
      <c r="N345" t="s">
        <v>1492</v>
      </c>
      <c r="P345" t="s">
        <v>1493</v>
      </c>
      <c r="Q345" t="s">
        <v>1494</v>
      </c>
      <c r="R345">
        <v>4</v>
      </c>
      <c r="S345">
        <v>16</v>
      </c>
    </row>
    <row r="346" spans="1:19" x14ac:dyDescent="0.35">
      <c r="A346">
        <v>4282</v>
      </c>
      <c r="B346" t="s">
        <v>1483</v>
      </c>
      <c r="C346" t="s">
        <v>42</v>
      </c>
      <c r="D346" t="s">
        <v>1484</v>
      </c>
      <c r="E346" t="e" cm="1">
        <f t="array" ref="E346">- CETIRIZINE HYDROCHLORIDE</f>
        <v>#NAME?</v>
      </c>
      <c r="F346" t="s">
        <v>1485</v>
      </c>
      <c r="J346" t="s">
        <v>1486</v>
      </c>
      <c r="M346" t="s">
        <v>824</v>
      </c>
      <c r="N346" t="s">
        <v>1390</v>
      </c>
      <c r="P346" t="s">
        <v>1487</v>
      </c>
      <c r="Q346" t="s">
        <v>1488</v>
      </c>
      <c r="R346">
        <v>4</v>
      </c>
      <c r="S346">
        <v>16</v>
      </c>
    </row>
    <row r="347" spans="1:19" x14ac:dyDescent="0.35">
      <c r="A347">
        <v>4278</v>
      </c>
      <c r="B347" t="s">
        <v>1495</v>
      </c>
      <c r="C347" t="s">
        <v>42</v>
      </c>
      <c r="D347" t="s">
        <v>1496</v>
      </c>
      <c r="E347" t="e" cm="1">
        <f t="array" ref="E347">- CETIRIZINE HYDROCHLORIDE</f>
        <v>#NAME?</v>
      </c>
      <c r="F347" t="s">
        <v>1497</v>
      </c>
      <c r="H347" t="s">
        <v>1498</v>
      </c>
      <c r="J347" t="s">
        <v>571</v>
      </c>
      <c r="L347" t="s">
        <v>382</v>
      </c>
      <c r="M347" t="s">
        <v>46</v>
      </c>
      <c r="N347" t="s">
        <v>1390</v>
      </c>
      <c r="P347" t="s">
        <v>1499</v>
      </c>
      <c r="Q347" t="s">
        <v>1500</v>
      </c>
      <c r="R347">
        <v>4</v>
      </c>
      <c r="S347">
        <v>16</v>
      </c>
    </row>
    <row r="348" spans="1:19" x14ac:dyDescent="0.35">
      <c r="A348">
        <v>7693</v>
      </c>
      <c r="B348" t="s">
        <v>1501</v>
      </c>
      <c r="C348" t="s">
        <v>20</v>
      </c>
      <c r="D348" t="s">
        <v>1502</v>
      </c>
      <c r="E348" t="s">
        <v>1503</v>
      </c>
      <c r="F348" t="s">
        <v>1504</v>
      </c>
      <c r="J348" t="s">
        <v>107</v>
      </c>
      <c r="M348" t="s">
        <v>38</v>
      </c>
      <c r="N348" t="s">
        <v>1505</v>
      </c>
      <c r="P348" t="s">
        <v>1506</v>
      </c>
      <c r="Q348" t="s">
        <v>1507</v>
      </c>
      <c r="R348">
        <v>4</v>
      </c>
      <c r="S348">
        <v>16</v>
      </c>
    </row>
    <row r="349" spans="1:19" x14ac:dyDescent="0.35">
      <c r="A349">
        <v>4277</v>
      </c>
      <c r="B349" t="s">
        <v>1495</v>
      </c>
      <c r="C349" t="s">
        <v>42</v>
      </c>
      <c r="D349" t="s">
        <v>1496</v>
      </c>
      <c r="E349" t="e" cm="1">
        <f t="array" ref="E349">- CETIRIZINE HYDROCHLORIDE</f>
        <v>#NAME?</v>
      </c>
      <c r="F349" t="s">
        <v>1497</v>
      </c>
      <c r="H349" t="s">
        <v>1498</v>
      </c>
      <c r="J349" t="s">
        <v>571</v>
      </c>
      <c r="L349" t="s">
        <v>382</v>
      </c>
      <c r="M349" t="s">
        <v>46</v>
      </c>
      <c r="N349" t="s">
        <v>1390</v>
      </c>
      <c r="P349" t="s">
        <v>1499</v>
      </c>
      <c r="Q349" t="s">
        <v>1500</v>
      </c>
      <c r="R349">
        <v>4</v>
      </c>
      <c r="S349">
        <v>16</v>
      </c>
    </row>
    <row r="350" spans="1:19" x14ac:dyDescent="0.35">
      <c r="A350">
        <v>7694</v>
      </c>
      <c r="B350" t="s">
        <v>1508</v>
      </c>
      <c r="C350" t="s">
        <v>20</v>
      </c>
      <c r="D350" t="s">
        <v>1509</v>
      </c>
      <c r="E350" t="s">
        <v>1510</v>
      </c>
      <c r="F350" t="s">
        <v>1511</v>
      </c>
      <c r="J350" t="s">
        <v>1512</v>
      </c>
      <c r="M350" t="s">
        <v>38</v>
      </c>
      <c r="N350" t="s">
        <v>1513</v>
      </c>
      <c r="P350" t="s">
        <v>1514</v>
      </c>
      <c r="Q350" t="s">
        <v>1515</v>
      </c>
      <c r="R350">
        <v>4</v>
      </c>
      <c r="S350">
        <v>16</v>
      </c>
    </row>
    <row r="351" spans="1:19" x14ac:dyDescent="0.35">
      <c r="A351">
        <v>6297</v>
      </c>
      <c r="B351" t="s">
        <v>1516</v>
      </c>
      <c r="C351" t="s">
        <v>42</v>
      </c>
      <c r="D351" t="s">
        <v>1517</v>
      </c>
      <c r="E351" t="e" cm="1">
        <f t="array" ref="E351">- AMOXICILLIN TRIHYDRATE</f>
        <v>#NAME?</v>
      </c>
      <c r="F351" t="s">
        <v>1518</v>
      </c>
      <c r="H351" t="s">
        <v>1519</v>
      </c>
      <c r="J351" t="s">
        <v>1520</v>
      </c>
      <c r="K351" t="s">
        <v>1521</v>
      </c>
      <c r="L351" t="s">
        <v>1522</v>
      </c>
      <c r="M351" t="s">
        <v>291</v>
      </c>
      <c r="N351" t="s">
        <v>1523</v>
      </c>
      <c r="P351" t="s">
        <v>1524</v>
      </c>
      <c r="Q351" t="s">
        <v>1525</v>
      </c>
      <c r="R351">
        <v>4</v>
      </c>
      <c r="S351">
        <v>16</v>
      </c>
    </row>
    <row r="352" spans="1:19" x14ac:dyDescent="0.35">
      <c r="A352">
        <v>4258</v>
      </c>
      <c r="B352" t="s">
        <v>1526</v>
      </c>
      <c r="C352" t="s">
        <v>42</v>
      </c>
      <c r="D352" t="s">
        <v>1527</v>
      </c>
      <c r="E352" t="e" cm="1">
        <f t="array" ref="E352">- DEXCHLORPHENIRAMINE MALEATE</f>
        <v>#NAME?</v>
      </c>
      <c r="F352" t="s">
        <v>1528</v>
      </c>
      <c r="J352" t="s">
        <v>1529</v>
      </c>
      <c r="M352" t="s">
        <v>291</v>
      </c>
      <c r="N352" t="s">
        <v>1530</v>
      </c>
      <c r="P352" t="s">
        <v>1531</v>
      </c>
      <c r="Q352" t="s">
        <v>1532</v>
      </c>
      <c r="R352">
        <v>4</v>
      </c>
      <c r="S352">
        <v>16</v>
      </c>
    </row>
    <row r="353" spans="1:19" x14ac:dyDescent="0.35">
      <c r="A353">
        <v>4257</v>
      </c>
      <c r="B353" t="s">
        <v>1526</v>
      </c>
      <c r="C353" t="s">
        <v>42</v>
      </c>
      <c r="D353" t="s">
        <v>1527</v>
      </c>
      <c r="E353" t="e" cm="1">
        <f t="array" ref="E353">- DEXCHLORPHENIRAMINE MALEATE</f>
        <v>#NAME?</v>
      </c>
      <c r="F353" t="s">
        <v>1528</v>
      </c>
      <c r="J353" t="s">
        <v>1529</v>
      </c>
      <c r="M353" t="s">
        <v>291</v>
      </c>
      <c r="N353" t="s">
        <v>1530</v>
      </c>
      <c r="P353" t="s">
        <v>1531</v>
      </c>
      <c r="Q353" t="s">
        <v>1532</v>
      </c>
      <c r="R353">
        <v>4</v>
      </c>
      <c r="S353">
        <v>16</v>
      </c>
    </row>
    <row r="354" spans="1:19" x14ac:dyDescent="0.35">
      <c r="A354">
        <v>4256</v>
      </c>
      <c r="B354" t="s">
        <v>1533</v>
      </c>
      <c r="C354" t="s">
        <v>42</v>
      </c>
      <c r="D354" t="s">
        <v>1534</v>
      </c>
      <c r="E354" t="e" cm="1">
        <f t="array" ref="E354">- DEXCHLORPHENIRAMINE MALEATE</f>
        <v>#NAME?</v>
      </c>
      <c r="F354" t="s">
        <v>1535</v>
      </c>
      <c r="H354" t="s">
        <v>269</v>
      </c>
      <c r="M354" t="s">
        <v>46</v>
      </c>
      <c r="N354" t="s">
        <v>1530</v>
      </c>
      <c r="P354" t="s">
        <v>1536</v>
      </c>
      <c r="Q354" t="s">
        <v>1537</v>
      </c>
      <c r="R354">
        <v>4</v>
      </c>
      <c r="S354">
        <v>16</v>
      </c>
    </row>
    <row r="355" spans="1:19" x14ac:dyDescent="0.35">
      <c r="A355">
        <v>4255</v>
      </c>
      <c r="B355" t="s">
        <v>1533</v>
      </c>
      <c r="C355" t="s">
        <v>42</v>
      </c>
      <c r="D355" t="s">
        <v>1534</v>
      </c>
      <c r="E355" t="e" cm="1">
        <f t="array" ref="E355">- DEXCHLORPHENIRAMINE MALEATE</f>
        <v>#NAME?</v>
      </c>
      <c r="F355" t="s">
        <v>1535</v>
      </c>
      <c r="H355" t="s">
        <v>269</v>
      </c>
      <c r="M355" t="s">
        <v>46</v>
      </c>
      <c r="N355" t="s">
        <v>1530</v>
      </c>
      <c r="P355" t="s">
        <v>1536</v>
      </c>
      <c r="Q355" t="s">
        <v>1537</v>
      </c>
      <c r="R355">
        <v>4</v>
      </c>
      <c r="S355">
        <v>16</v>
      </c>
    </row>
    <row r="356" spans="1:19" x14ac:dyDescent="0.35">
      <c r="A356">
        <v>2888</v>
      </c>
      <c r="B356" t="s">
        <v>1538</v>
      </c>
      <c r="C356" t="s">
        <v>42</v>
      </c>
      <c r="D356" t="s">
        <v>1539</v>
      </c>
      <c r="E356" t="e" cm="1">
        <f t="array" ref="E356">- PARACETAMOL</f>
        <v>#NAME?</v>
      </c>
      <c r="F356" t="s">
        <v>1540</v>
      </c>
      <c r="J356" t="s">
        <v>334</v>
      </c>
      <c r="M356" t="s">
        <v>340</v>
      </c>
      <c r="N356" t="s">
        <v>584</v>
      </c>
      <c r="P356" t="s">
        <v>1541</v>
      </c>
      <c r="Q356" t="s">
        <v>1542</v>
      </c>
      <c r="R356">
        <v>4</v>
      </c>
      <c r="S356">
        <v>16</v>
      </c>
    </row>
    <row r="357" spans="1:19" x14ac:dyDescent="0.35">
      <c r="A357">
        <v>4254</v>
      </c>
      <c r="B357" t="s">
        <v>1533</v>
      </c>
      <c r="C357" t="s">
        <v>42</v>
      </c>
      <c r="D357" t="s">
        <v>1534</v>
      </c>
      <c r="E357" t="e" cm="1">
        <f t="array" ref="E357">- DEXCHLORPHENIRAMINE MALEATE</f>
        <v>#NAME?</v>
      </c>
      <c r="F357" t="s">
        <v>1535</v>
      </c>
      <c r="H357" t="s">
        <v>269</v>
      </c>
      <c r="M357" t="s">
        <v>46</v>
      </c>
      <c r="N357" t="s">
        <v>1530</v>
      </c>
      <c r="P357" t="s">
        <v>1536</v>
      </c>
      <c r="Q357" t="s">
        <v>1537</v>
      </c>
      <c r="R357">
        <v>4</v>
      </c>
      <c r="S357">
        <v>16</v>
      </c>
    </row>
    <row r="358" spans="1:19" x14ac:dyDescent="0.35">
      <c r="A358">
        <v>2887</v>
      </c>
      <c r="B358" t="s">
        <v>1538</v>
      </c>
      <c r="C358" t="s">
        <v>42</v>
      </c>
      <c r="D358" t="s">
        <v>1539</v>
      </c>
      <c r="E358" t="e" cm="1">
        <f t="array" ref="E358">- PARACETAMOL</f>
        <v>#NAME?</v>
      </c>
      <c r="F358" t="s">
        <v>1540</v>
      </c>
      <c r="J358" t="s">
        <v>334</v>
      </c>
      <c r="M358" t="s">
        <v>340</v>
      </c>
      <c r="N358" t="s">
        <v>584</v>
      </c>
      <c r="P358" t="s">
        <v>1541</v>
      </c>
      <c r="Q358" t="s">
        <v>1542</v>
      </c>
      <c r="R358">
        <v>4</v>
      </c>
      <c r="S358">
        <v>16</v>
      </c>
    </row>
    <row r="359" spans="1:19" x14ac:dyDescent="0.35">
      <c r="A359">
        <v>2886</v>
      </c>
      <c r="B359" t="s">
        <v>1543</v>
      </c>
      <c r="C359" t="s">
        <v>42</v>
      </c>
      <c r="D359" t="s">
        <v>1544</v>
      </c>
      <c r="E359" t="e" cm="1">
        <f t="array" ref="E359">- IBUPROFEN</f>
        <v>#NAME?</v>
      </c>
      <c r="F359" t="s">
        <v>1545</v>
      </c>
      <c r="J359" t="s">
        <v>334</v>
      </c>
      <c r="M359" t="s">
        <v>340</v>
      </c>
      <c r="N359" t="s">
        <v>383</v>
      </c>
      <c r="P359" t="s">
        <v>1546</v>
      </c>
      <c r="Q359" t="s">
        <v>1547</v>
      </c>
      <c r="R359">
        <v>4</v>
      </c>
      <c r="S359">
        <v>16</v>
      </c>
    </row>
    <row r="360" spans="1:19" x14ac:dyDescent="0.35">
      <c r="A360">
        <v>7721</v>
      </c>
      <c r="B360" t="s">
        <v>1548</v>
      </c>
      <c r="C360" t="s">
        <v>20</v>
      </c>
      <c r="D360" t="s">
        <v>1549</v>
      </c>
      <c r="E360" t="s">
        <v>1550</v>
      </c>
      <c r="F360" t="s">
        <v>1551</v>
      </c>
      <c r="J360" t="s">
        <v>107</v>
      </c>
      <c r="M360" t="s">
        <v>38</v>
      </c>
      <c r="N360" t="s">
        <v>1552</v>
      </c>
      <c r="P360" t="s">
        <v>1553</v>
      </c>
      <c r="Q360" t="s">
        <v>1554</v>
      </c>
      <c r="R360">
        <v>4</v>
      </c>
      <c r="S360">
        <v>16</v>
      </c>
    </row>
    <row r="361" spans="1:19" x14ac:dyDescent="0.35">
      <c r="A361">
        <v>7724</v>
      </c>
      <c r="B361" t="s">
        <v>1555</v>
      </c>
      <c r="C361" t="s">
        <v>20</v>
      </c>
      <c r="D361" t="s">
        <v>1556</v>
      </c>
      <c r="E361" t="s">
        <v>1557</v>
      </c>
      <c r="F361" t="s">
        <v>1558</v>
      </c>
      <c r="J361" t="s">
        <v>1559</v>
      </c>
      <c r="M361" t="s">
        <v>38</v>
      </c>
      <c r="N361" t="s">
        <v>1560</v>
      </c>
      <c r="P361" t="s">
        <v>1561</v>
      </c>
      <c r="Q361" t="s">
        <v>1562</v>
      </c>
      <c r="R361">
        <v>4</v>
      </c>
      <c r="S361">
        <v>16</v>
      </c>
    </row>
    <row r="362" spans="1:19" x14ac:dyDescent="0.35">
      <c r="A362">
        <v>2885</v>
      </c>
      <c r="B362" t="s">
        <v>1543</v>
      </c>
      <c r="C362" t="s">
        <v>42</v>
      </c>
      <c r="D362" t="s">
        <v>1544</v>
      </c>
      <c r="E362" t="e" cm="1">
        <f t="array" ref="E362">- IBUPROFEN</f>
        <v>#NAME?</v>
      </c>
      <c r="F362" t="s">
        <v>1545</v>
      </c>
      <c r="J362" t="s">
        <v>334</v>
      </c>
      <c r="M362" t="s">
        <v>340</v>
      </c>
      <c r="N362" t="s">
        <v>383</v>
      </c>
      <c r="P362" t="s">
        <v>1546</v>
      </c>
      <c r="Q362" t="s">
        <v>1547</v>
      </c>
      <c r="R362">
        <v>4</v>
      </c>
      <c r="S362">
        <v>16</v>
      </c>
    </row>
    <row r="363" spans="1:19" x14ac:dyDescent="0.35">
      <c r="A363">
        <v>6296</v>
      </c>
      <c r="B363" t="s">
        <v>1516</v>
      </c>
      <c r="C363" t="s">
        <v>42</v>
      </c>
      <c r="D363" t="s">
        <v>1517</v>
      </c>
      <c r="E363" t="e" cm="1">
        <f t="array" ref="E363">- AMOXICILLIN TRIHYDRATE</f>
        <v>#NAME?</v>
      </c>
      <c r="F363" t="s">
        <v>1518</v>
      </c>
      <c r="H363" t="s">
        <v>1519</v>
      </c>
      <c r="J363" t="s">
        <v>1520</v>
      </c>
      <c r="K363" t="s">
        <v>1521</v>
      </c>
      <c r="L363" t="s">
        <v>1522</v>
      </c>
      <c r="M363" t="s">
        <v>291</v>
      </c>
      <c r="N363" t="s">
        <v>1523</v>
      </c>
      <c r="P363" t="s">
        <v>1524</v>
      </c>
      <c r="Q363" t="s">
        <v>1525</v>
      </c>
      <c r="R363">
        <v>4</v>
      </c>
      <c r="S363">
        <v>16</v>
      </c>
    </row>
    <row r="364" spans="1:19" x14ac:dyDescent="0.35">
      <c r="A364">
        <v>6295</v>
      </c>
      <c r="B364" t="s">
        <v>1563</v>
      </c>
      <c r="C364" t="s">
        <v>42</v>
      </c>
      <c r="D364" t="s">
        <v>1564</v>
      </c>
      <c r="E364" t="e" cm="1">
        <f t="array" ref="E364">- AMOXICILLIN TRIHYDRATE</f>
        <v>#NAME?</v>
      </c>
      <c r="F364" s="1">
        <v>0</v>
      </c>
      <c r="J364" t="s">
        <v>945</v>
      </c>
      <c r="M364" t="s">
        <v>271</v>
      </c>
      <c r="N364" t="s">
        <v>1523</v>
      </c>
      <c r="P364" t="s">
        <v>1524</v>
      </c>
      <c r="Q364" t="s">
        <v>1565</v>
      </c>
      <c r="R364">
        <v>4</v>
      </c>
      <c r="S364">
        <v>16</v>
      </c>
    </row>
    <row r="365" spans="1:19" x14ac:dyDescent="0.35">
      <c r="A365">
        <v>4214</v>
      </c>
      <c r="B365" t="s">
        <v>1566</v>
      </c>
      <c r="C365" t="s">
        <v>42</v>
      </c>
      <c r="D365" t="s">
        <v>1567</v>
      </c>
      <c r="E365" t="e" cm="1">
        <f t="array" ref="E365">- DEXCHLORPHENIRAMINE MALEATE</f>
        <v>#NAME?</v>
      </c>
      <c r="F365" t="s">
        <v>1568</v>
      </c>
      <c r="J365" t="s">
        <v>381</v>
      </c>
      <c r="M365" t="s">
        <v>46</v>
      </c>
      <c r="N365" t="s">
        <v>1530</v>
      </c>
      <c r="P365" t="s">
        <v>1569</v>
      </c>
      <c r="Q365" t="s">
        <v>1570</v>
      </c>
      <c r="R365">
        <v>4</v>
      </c>
      <c r="S365">
        <v>16</v>
      </c>
    </row>
    <row r="366" spans="1:19" x14ac:dyDescent="0.35">
      <c r="A366">
        <v>1316</v>
      </c>
      <c r="B366" t="s">
        <v>1571</v>
      </c>
      <c r="C366" t="s">
        <v>42</v>
      </c>
      <c r="D366" t="s">
        <v>1572</v>
      </c>
      <c r="E366" t="e" cm="1">
        <f t="array" ref="E366">- BROMHEXINE HYDROCHLORIDE</f>
        <v>#NAME?</v>
      </c>
      <c r="F366" t="s">
        <v>1573</v>
      </c>
      <c r="J366" t="s">
        <v>334</v>
      </c>
      <c r="M366" t="s">
        <v>271</v>
      </c>
      <c r="N366" t="s">
        <v>1342</v>
      </c>
      <c r="P366" t="s">
        <v>1481</v>
      </c>
      <c r="Q366" t="s">
        <v>1574</v>
      </c>
      <c r="R366">
        <v>4</v>
      </c>
      <c r="S366">
        <v>16</v>
      </c>
    </row>
    <row r="367" spans="1:19" x14ac:dyDescent="0.35">
      <c r="A367">
        <v>7757</v>
      </c>
      <c r="B367" t="s">
        <v>1575</v>
      </c>
      <c r="C367" t="s">
        <v>42</v>
      </c>
      <c r="D367" t="s">
        <v>1576</v>
      </c>
      <c r="E367" t="e" cm="1">
        <f t="array" ref="E367">- CYANOCOBALAMIN</f>
        <v>#NAME?</v>
      </c>
      <c r="F367" t="s">
        <v>1577</v>
      </c>
      <c r="J367" t="s">
        <v>1578</v>
      </c>
      <c r="M367" t="s">
        <v>46</v>
      </c>
      <c r="N367" t="s">
        <v>677</v>
      </c>
      <c r="P367" t="s">
        <v>1579</v>
      </c>
      <c r="Q367" t="s">
        <v>1580</v>
      </c>
      <c r="R367">
        <v>4</v>
      </c>
      <c r="S367">
        <v>16</v>
      </c>
    </row>
    <row r="368" spans="1:19" x14ac:dyDescent="0.35">
      <c r="A368">
        <v>4213</v>
      </c>
      <c r="B368" t="s">
        <v>1566</v>
      </c>
      <c r="C368" t="s">
        <v>42</v>
      </c>
      <c r="D368" t="s">
        <v>1567</v>
      </c>
      <c r="E368" t="e" cm="1">
        <f t="array" ref="E368">- DEXCHLORPHENIRAMINE MALEATE</f>
        <v>#NAME?</v>
      </c>
      <c r="F368" t="s">
        <v>1568</v>
      </c>
      <c r="J368" t="s">
        <v>381</v>
      </c>
      <c r="M368" t="s">
        <v>46</v>
      </c>
      <c r="N368" t="s">
        <v>1530</v>
      </c>
      <c r="P368" t="s">
        <v>1569</v>
      </c>
      <c r="Q368" t="s">
        <v>1570</v>
      </c>
      <c r="R368">
        <v>4</v>
      </c>
      <c r="S368">
        <v>16</v>
      </c>
    </row>
    <row r="369" spans="1:19" x14ac:dyDescent="0.35">
      <c r="A369">
        <v>3899</v>
      </c>
      <c r="B369" t="s">
        <v>1471</v>
      </c>
      <c r="C369" t="s">
        <v>42</v>
      </c>
      <c r="D369" t="s">
        <v>1472</v>
      </c>
      <c r="E369" t="e" cm="1">
        <f t="array" ref="E369">- PYRANTEL PAMOATE</f>
        <v>#NAME?</v>
      </c>
      <c r="F369" t="s">
        <v>1473</v>
      </c>
      <c r="J369" t="s">
        <v>1474</v>
      </c>
      <c r="M369" t="s">
        <v>291</v>
      </c>
      <c r="N369" t="s">
        <v>1335</v>
      </c>
      <c r="P369" t="s">
        <v>1475</v>
      </c>
      <c r="Q369" t="s">
        <v>1476</v>
      </c>
      <c r="R369">
        <v>4</v>
      </c>
      <c r="S369">
        <v>16</v>
      </c>
    </row>
    <row r="370" spans="1:19" x14ac:dyDescent="0.35">
      <c r="A370">
        <v>4178</v>
      </c>
      <c r="B370" t="s">
        <v>1350</v>
      </c>
      <c r="C370" t="s">
        <v>42</v>
      </c>
      <c r="D370" t="s">
        <v>1351</v>
      </c>
      <c r="E370" t="e" cm="1">
        <f t="array" ref="E370">- CHLORPHENAMINE MALEATE</f>
        <v>#NAME?</v>
      </c>
      <c r="F370" t="s">
        <v>1352</v>
      </c>
      <c r="J370" t="s">
        <v>1353</v>
      </c>
      <c r="M370" t="s">
        <v>38</v>
      </c>
      <c r="N370" t="s">
        <v>1354</v>
      </c>
      <c r="P370" t="s">
        <v>1355</v>
      </c>
      <c r="Q370" t="s">
        <v>1356</v>
      </c>
      <c r="R370">
        <v>4</v>
      </c>
      <c r="S370">
        <v>16</v>
      </c>
    </row>
    <row r="371" spans="1:19" x14ac:dyDescent="0.35">
      <c r="A371">
        <v>2925</v>
      </c>
      <c r="B371" t="s">
        <v>1581</v>
      </c>
      <c r="C371" t="s">
        <v>42</v>
      </c>
      <c r="D371" t="s">
        <v>1582</v>
      </c>
      <c r="E371" t="e" cm="1">
        <f t="array" ref="E371">- PARACETAMOL</f>
        <v>#NAME?</v>
      </c>
      <c r="F371" t="s">
        <v>1583</v>
      </c>
      <c r="J371" t="s">
        <v>743</v>
      </c>
      <c r="M371" t="s">
        <v>824</v>
      </c>
      <c r="N371" t="s">
        <v>584</v>
      </c>
      <c r="P371" t="s">
        <v>1584</v>
      </c>
      <c r="Q371" t="s">
        <v>1585</v>
      </c>
      <c r="R371">
        <v>4</v>
      </c>
      <c r="S371">
        <v>16</v>
      </c>
    </row>
    <row r="372" spans="1:19" x14ac:dyDescent="0.35">
      <c r="A372">
        <v>3670</v>
      </c>
      <c r="B372" t="s">
        <v>1586</v>
      </c>
      <c r="C372" t="s">
        <v>42</v>
      </c>
      <c r="D372" t="s">
        <v>1587</v>
      </c>
      <c r="E372" t="e" cm="1">
        <f t="array" ref="E372">- DOMPERIDONE</f>
        <v>#NAME?</v>
      </c>
      <c r="F372" t="s">
        <v>1588</v>
      </c>
      <c r="H372" t="s">
        <v>1589</v>
      </c>
      <c r="J372" t="s">
        <v>1590</v>
      </c>
      <c r="M372" t="s">
        <v>46</v>
      </c>
      <c r="N372" t="s">
        <v>341</v>
      </c>
      <c r="P372" t="s">
        <v>1591</v>
      </c>
      <c r="Q372" t="s">
        <v>1592</v>
      </c>
      <c r="R372">
        <v>4</v>
      </c>
      <c r="S372">
        <v>16</v>
      </c>
    </row>
    <row r="373" spans="1:19" x14ac:dyDescent="0.35">
      <c r="A373">
        <v>2921</v>
      </c>
      <c r="B373" t="s">
        <v>680</v>
      </c>
      <c r="C373" t="s">
        <v>42</v>
      </c>
      <c r="D373" t="s">
        <v>681</v>
      </c>
      <c r="E373" t="e" cm="1">
        <f t="array" ref="E373">- PARACETAMOL (MICRONIZED)</f>
        <v>#NAME?</v>
      </c>
      <c r="F373" t="s">
        <v>682</v>
      </c>
      <c r="J373" t="s">
        <v>334</v>
      </c>
      <c r="M373" t="s">
        <v>271</v>
      </c>
      <c r="N373" t="s">
        <v>1593</v>
      </c>
      <c r="P373" t="s">
        <v>683</v>
      </c>
      <c r="Q373" t="s">
        <v>1594</v>
      </c>
      <c r="R373">
        <v>4</v>
      </c>
      <c r="S373">
        <v>16</v>
      </c>
    </row>
    <row r="374" spans="1:19" x14ac:dyDescent="0.35">
      <c r="A374">
        <v>5396</v>
      </c>
      <c r="B374" t="s">
        <v>1595</v>
      </c>
      <c r="C374" t="s">
        <v>42</v>
      </c>
      <c r="D374" t="s">
        <v>1596</v>
      </c>
      <c r="E374" t="e" cm="1">
        <f t="array" ref="E374">- KETOCONAZOLE</f>
        <v>#NAME?</v>
      </c>
      <c r="F374" t="s">
        <v>1597</v>
      </c>
      <c r="J374" t="s">
        <v>1028</v>
      </c>
      <c r="M374" t="s">
        <v>1289</v>
      </c>
      <c r="N374" t="s">
        <v>533</v>
      </c>
      <c r="P374" t="s">
        <v>1598</v>
      </c>
      <c r="Q374" t="s">
        <v>1599</v>
      </c>
      <c r="R374">
        <v>4</v>
      </c>
      <c r="S374">
        <v>16</v>
      </c>
    </row>
    <row r="375" spans="1:19" x14ac:dyDescent="0.35">
      <c r="A375">
        <v>1105</v>
      </c>
      <c r="B375" t="s">
        <v>1600</v>
      </c>
      <c r="C375" t="s">
        <v>42</v>
      </c>
      <c r="D375" t="s">
        <v>1601</v>
      </c>
      <c r="E375" t="e" cm="1">
        <f t="array" ref="E375">- ACETYL CYSTEINE</f>
        <v>#NAME?</v>
      </c>
      <c r="F375" t="s">
        <v>1602</v>
      </c>
      <c r="J375" t="s">
        <v>1603</v>
      </c>
      <c r="L375" t="s">
        <v>1308</v>
      </c>
      <c r="M375" t="s">
        <v>38</v>
      </c>
      <c r="N375" t="s">
        <v>1309</v>
      </c>
      <c r="P375" t="s">
        <v>1604</v>
      </c>
      <c r="Q375" t="s">
        <v>1605</v>
      </c>
      <c r="R375">
        <v>4</v>
      </c>
      <c r="S375">
        <v>16</v>
      </c>
    </row>
    <row r="376" spans="1:19" x14ac:dyDescent="0.35">
      <c r="A376">
        <v>3688</v>
      </c>
      <c r="B376" t="s">
        <v>1606</v>
      </c>
      <c r="C376" t="s">
        <v>42</v>
      </c>
      <c r="D376" t="s">
        <v>1607</v>
      </c>
      <c r="E376" t="e" cm="1">
        <f t="array" ref="E376">- DOMPERIDONE MALEATE</f>
        <v>#NAME?</v>
      </c>
      <c r="F376" t="s">
        <v>1608</v>
      </c>
      <c r="H376" t="s">
        <v>1589</v>
      </c>
      <c r="L376" t="s">
        <v>270</v>
      </c>
      <c r="M376" t="s">
        <v>46</v>
      </c>
      <c r="N376" t="s">
        <v>1609</v>
      </c>
      <c r="P376" t="s">
        <v>1610</v>
      </c>
      <c r="Q376" t="s">
        <v>1611</v>
      </c>
      <c r="R376">
        <v>4</v>
      </c>
      <c r="S376">
        <v>16</v>
      </c>
    </row>
    <row r="377" spans="1:19" x14ac:dyDescent="0.35">
      <c r="A377">
        <v>6270</v>
      </c>
      <c r="B377" t="s">
        <v>1240</v>
      </c>
      <c r="C377" t="s">
        <v>42</v>
      </c>
      <c r="D377" t="s">
        <v>1241</v>
      </c>
      <c r="E377" t="e" cm="1">
        <f t="array" ref="E377">- AMOXICILLIN TRIHYDRATE</f>
        <v>#NAME?</v>
      </c>
      <c r="F377" t="s">
        <v>1242</v>
      </c>
      <c r="H377" t="s">
        <v>269</v>
      </c>
      <c r="L377" t="s">
        <v>270</v>
      </c>
      <c r="M377" t="s">
        <v>271</v>
      </c>
      <c r="N377" t="s">
        <v>1523</v>
      </c>
      <c r="P377" t="s">
        <v>1243</v>
      </c>
      <c r="Q377" t="s">
        <v>1612</v>
      </c>
      <c r="R377">
        <v>4</v>
      </c>
      <c r="S377">
        <v>16</v>
      </c>
    </row>
    <row r="378" spans="1:19" x14ac:dyDescent="0.35">
      <c r="A378">
        <v>4180</v>
      </c>
      <c r="B378" t="s">
        <v>1613</v>
      </c>
      <c r="C378" t="s">
        <v>42</v>
      </c>
      <c r="D378" t="s">
        <v>1614</v>
      </c>
      <c r="E378" t="e" cm="1">
        <f t="array" ref="E378">- CETIRIZINE HYDROCHLORIDE</f>
        <v>#NAME?</v>
      </c>
      <c r="F378" t="s">
        <v>1615</v>
      </c>
      <c r="H378" t="s">
        <v>269</v>
      </c>
      <c r="L378" t="s">
        <v>1616</v>
      </c>
      <c r="M378" t="s">
        <v>291</v>
      </c>
      <c r="N378" t="s">
        <v>1390</v>
      </c>
      <c r="P378" t="s">
        <v>1617</v>
      </c>
      <c r="Q378" t="s">
        <v>1618</v>
      </c>
      <c r="R378">
        <v>4</v>
      </c>
      <c r="S378">
        <v>16</v>
      </c>
    </row>
    <row r="379" spans="1:19" x14ac:dyDescent="0.35">
      <c r="A379">
        <v>4010</v>
      </c>
      <c r="B379" t="s">
        <v>1153</v>
      </c>
      <c r="C379" t="s">
        <v>42</v>
      </c>
      <c r="D379" t="s">
        <v>1154</v>
      </c>
      <c r="E379" t="e" cm="1">
        <f t="array" ref="E379">- LACTULOSE CONCENTRATE</f>
        <v>#NAME?</v>
      </c>
      <c r="F379" t="s">
        <v>1155</v>
      </c>
      <c r="J379" t="s">
        <v>1144</v>
      </c>
      <c r="M379" t="s">
        <v>271</v>
      </c>
      <c r="N379" t="s">
        <v>1619</v>
      </c>
      <c r="P379" t="s">
        <v>1157</v>
      </c>
      <c r="Q379" t="s">
        <v>1620</v>
      </c>
      <c r="R379">
        <v>4</v>
      </c>
      <c r="S379">
        <v>16</v>
      </c>
    </row>
    <row r="380" spans="1:19" x14ac:dyDescent="0.35">
      <c r="A380">
        <v>2926</v>
      </c>
      <c r="B380" t="s">
        <v>1581</v>
      </c>
      <c r="C380" t="s">
        <v>42</v>
      </c>
      <c r="D380" t="s">
        <v>1582</v>
      </c>
      <c r="E380" t="e" cm="1">
        <f t="array" ref="E380">- PARACETAMOL</f>
        <v>#NAME?</v>
      </c>
      <c r="F380" t="s">
        <v>1583</v>
      </c>
      <c r="J380" t="s">
        <v>743</v>
      </c>
      <c r="M380" t="s">
        <v>824</v>
      </c>
      <c r="N380" t="s">
        <v>584</v>
      </c>
      <c r="P380" t="s">
        <v>1584</v>
      </c>
      <c r="Q380" t="s">
        <v>1585</v>
      </c>
      <c r="R380">
        <v>4</v>
      </c>
      <c r="S380">
        <v>16</v>
      </c>
    </row>
    <row r="381" spans="1:19" x14ac:dyDescent="0.35">
      <c r="A381">
        <v>6273</v>
      </c>
      <c r="B381" t="s">
        <v>1621</v>
      </c>
      <c r="C381" t="s">
        <v>42</v>
      </c>
      <c r="D381" t="s">
        <v>1622</v>
      </c>
      <c r="E381" t="e" cm="1">
        <f t="array" ref="E381">- CIPROFLOXACIN HYDROCHLORIDE</f>
        <v>#NAME?</v>
      </c>
      <c r="F381" t="s">
        <v>1623</v>
      </c>
      <c r="J381" t="s">
        <v>515</v>
      </c>
      <c r="M381" t="s">
        <v>291</v>
      </c>
      <c r="N381" t="s">
        <v>1624</v>
      </c>
      <c r="P381" t="s">
        <v>1625</v>
      </c>
      <c r="Q381" t="s">
        <v>1626</v>
      </c>
      <c r="R381">
        <v>4</v>
      </c>
      <c r="S381">
        <v>16</v>
      </c>
    </row>
    <row r="382" spans="1:19" x14ac:dyDescent="0.35">
      <c r="A382">
        <v>4201</v>
      </c>
      <c r="B382" t="s">
        <v>1627</v>
      </c>
      <c r="C382" t="s">
        <v>42</v>
      </c>
      <c r="D382" t="s">
        <v>1628</v>
      </c>
      <c r="E382" t="e" cm="1">
        <f t="array" ref="E382">- CYPROHEPTADINE HYDROCHLORIDE</f>
        <v>#NAME?</v>
      </c>
      <c r="F382" t="s">
        <v>1629</v>
      </c>
      <c r="H382" t="s">
        <v>1630</v>
      </c>
      <c r="J382" t="s">
        <v>1631</v>
      </c>
      <c r="K382" t="s">
        <v>1632</v>
      </c>
      <c r="L382" t="s">
        <v>1633</v>
      </c>
      <c r="M382" t="s">
        <v>291</v>
      </c>
      <c r="N382" t="s">
        <v>1634</v>
      </c>
      <c r="P382" t="s">
        <v>1635</v>
      </c>
      <c r="Q382" t="s">
        <v>1636</v>
      </c>
      <c r="R382">
        <v>4</v>
      </c>
      <c r="S382">
        <v>16</v>
      </c>
    </row>
    <row r="383" spans="1:19" x14ac:dyDescent="0.35">
      <c r="A383">
        <v>4374</v>
      </c>
      <c r="B383" t="s">
        <v>1637</v>
      </c>
      <c r="C383" t="s">
        <v>42</v>
      </c>
      <c r="D383" t="s">
        <v>1638</v>
      </c>
      <c r="E383" t="e" cm="1">
        <f t="array" ref="E383">- OFLOXACIN</f>
        <v>#NAME?</v>
      </c>
      <c r="F383" t="s">
        <v>1639</v>
      </c>
      <c r="J383" t="s">
        <v>829</v>
      </c>
      <c r="M383" t="s">
        <v>824</v>
      </c>
      <c r="N383" t="s">
        <v>1640</v>
      </c>
      <c r="P383" t="s">
        <v>1641</v>
      </c>
      <c r="Q383" t="s">
        <v>1642</v>
      </c>
      <c r="R383">
        <v>4</v>
      </c>
      <c r="S383">
        <v>16</v>
      </c>
    </row>
    <row r="384" spans="1:19" x14ac:dyDescent="0.35">
      <c r="A384">
        <v>4336</v>
      </c>
      <c r="B384" t="s">
        <v>1643</v>
      </c>
      <c r="C384" t="s">
        <v>20</v>
      </c>
      <c r="D384" t="s">
        <v>1644</v>
      </c>
      <c r="E384" t="s">
        <v>1645</v>
      </c>
      <c r="F384" t="s">
        <v>1646</v>
      </c>
      <c r="J384" t="s">
        <v>1647</v>
      </c>
      <c r="N384" t="s">
        <v>1648</v>
      </c>
      <c r="P384" t="s">
        <v>1649</v>
      </c>
      <c r="Q384" t="s">
        <v>1650</v>
      </c>
      <c r="R384">
        <v>4</v>
      </c>
      <c r="S384">
        <v>16</v>
      </c>
    </row>
    <row r="385" spans="1:19" x14ac:dyDescent="0.35">
      <c r="A385">
        <v>6274</v>
      </c>
      <c r="B385" t="s">
        <v>1621</v>
      </c>
      <c r="C385" t="s">
        <v>42</v>
      </c>
      <c r="D385" t="s">
        <v>1622</v>
      </c>
      <c r="E385" t="e" cm="1">
        <f t="array" ref="E385">- CIPROFLOXACIN HYDROCHLORIDE</f>
        <v>#NAME?</v>
      </c>
      <c r="F385" t="s">
        <v>1623</v>
      </c>
      <c r="J385" t="s">
        <v>515</v>
      </c>
      <c r="M385" t="s">
        <v>291</v>
      </c>
      <c r="N385" t="s">
        <v>1624</v>
      </c>
      <c r="P385" t="s">
        <v>1625</v>
      </c>
      <c r="Q385" t="s">
        <v>1626</v>
      </c>
      <c r="R385">
        <v>4</v>
      </c>
      <c r="S385">
        <v>16</v>
      </c>
    </row>
    <row r="386" spans="1:19" x14ac:dyDescent="0.35">
      <c r="A386">
        <v>4298</v>
      </c>
      <c r="B386" t="s">
        <v>1651</v>
      </c>
      <c r="C386" t="s">
        <v>42</v>
      </c>
      <c r="D386" t="s">
        <v>1652</v>
      </c>
      <c r="E386" t="e" cm="1">
        <f t="array" ref="E386">- CETIRIZINE HYDROCHLORIDE</f>
        <v>#NAME?</v>
      </c>
      <c r="F386" t="s">
        <v>1653</v>
      </c>
      <c r="J386" t="s">
        <v>599</v>
      </c>
      <c r="L386" t="s">
        <v>382</v>
      </c>
      <c r="M386" t="s">
        <v>46</v>
      </c>
      <c r="N386" t="s">
        <v>1390</v>
      </c>
      <c r="P386" t="s">
        <v>1654</v>
      </c>
      <c r="Q386" t="s">
        <v>1655</v>
      </c>
      <c r="R386">
        <v>4</v>
      </c>
      <c r="S386">
        <v>16</v>
      </c>
    </row>
    <row r="387" spans="1:19" x14ac:dyDescent="0.35">
      <c r="A387">
        <v>4297</v>
      </c>
      <c r="B387" t="s">
        <v>1651</v>
      </c>
      <c r="C387" t="s">
        <v>42</v>
      </c>
      <c r="D387" t="s">
        <v>1652</v>
      </c>
      <c r="E387" t="e" cm="1">
        <f t="array" ref="E387">- CETIRIZINE HYDROCHLORIDE</f>
        <v>#NAME?</v>
      </c>
      <c r="F387" t="s">
        <v>1653</v>
      </c>
      <c r="J387" t="s">
        <v>599</v>
      </c>
      <c r="L387" t="s">
        <v>382</v>
      </c>
      <c r="M387" t="s">
        <v>46</v>
      </c>
      <c r="N387" t="s">
        <v>1390</v>
      </c>
      <c r="P387" t="s">
        <v>1654</v>
      </c>
      <c r="Q387" t="s">
        <v>1655</v>
      </c>
      <c r="R387">
        <v>4</v>
      </c>
      <c r="S387">
        <v>16</v>
      </c>
    </row>
    <row r="388" spans="1:19" x14ac:dyDescent="0.35">
      <c r="A388">
        <v>4294</v>
      </c>
      <c r="B388" t="s">
        <v>1656</v>
      </c>
      <c r="C388" t="s">
        <v>42</v>
      </c>
      <c r="D388" t="s">
        <v>1657</v>
      </c>
      <c r="E388" t="e" cm="1">
        <f t="array" ref="E388">- CETIRIZINE HYDROCHLORIDE</f>
        <v>#NAME?</v>
      </c>
      <c r="F388" t="s">
        <v>1658</v>
      </c>
      <c r="J388" t="s">
        <v>1659</v>
      </c>
      <c r="L388" t="s">
        <v>382</v>
      </c>
      <c r="M388" t="s">
        <v>46</v>
      </c>
      <c r="N388" t="s">
        <v>1390</v>
      </c>
      <c r="P388" t="s">
        <v>1660</v>
      </c>
      <c r="Q388" t="s">
        <v>1661</v>
      </c>
      <c r="R388">
        <v>4</v>
      </c>
      <c r="S388">
        <v>16</v>
      </c>
    </row>
    <row r="389" spans="1:19" x14ac:dyDescent="0.35">
      <c r="A389">
        <v>2916</v>
      </c>
      <c r="B389" t="s">
        <v>1662</v>
      </c>
      <c r="C389" t="s">
        <v>42</v>
      </c>
      <c r="D389" t="s">
        <v>1663</v>
      </c>
      <c r="E389" t="e" cm="1">
        <f t="array" ref="E389">- PARACETAMOL</f>
        <v>#NAME?</v>
      </c>
      <c r="F389" t="s">
        <v>1664</v>
      </c>
      <c r="J389" t="s">
        <v>945</v>
      </c>
      <c r="M389" t="s">
        <v>271</v>
      </c>
      <c r="N389" t="s">
        <v>584</v>
      </c>
      <c r="P389" t="s">
        <v>1665</v>
      </c>
      <c r="Q389" t="s">
        <v>1666</v>
      </c>
      <c r="R389">
        <v>4</v>
      </c>
      <c r="S389">
        <v>16</v>
      </c>
    </row>
    <row r="390" spans="1:19" x14ac:dyDescent="0.35">
      <c r="A390">
        <v>4293</v>
      </c>
      <c r="B390" t="s">
        <v>1656</v>
      </c>
      <c r="C390" t="s">
        <v>42</v>
      </c>
      <c r="D390" t="s">
        <v>1657</v>
      </c>
      <c r="E390" t="e" cm="1">
        <f t="array" ref="E390">- CETIRIZINE DIHYDROCHLORIDE</f>
        <v>#NAME?</v>
      </c>
      <c r="F390" t="s">
        <v>1658</v>
      </c>
      <c r="J390" t="s">
        <v>1659</v>
      </c>
      <c r="L390" t="s">
        <v>382</v>
      </c>
      <c r="M390" t="s">
        <v>46</v>
      </c>
      <c r="N390" t="s">
        <v>1667</v>
      </c>
      <c r="P390" t="s">
        <v>1660</v>
      </c>
      <c r="Q390" t="s">
        <v>1668</v>
      </c>
      <c r="R390">
        <v>4</v>
      </c>
      <c r="S390">
        <v>16</v>
      </c>
    </row>
    <row r="391" spans="1:19" x14ac:dyDescent="0.35">
      <c r="A391">
        <v>4292</v>
      </c>
      <c r="B391" t="s">
        <v>1656</v>
      </c>
      <c r="C391" t="s">
        <v>42</v>
      </c>
      <c r="D391" t="s">
        <v>1657</v>
      </c>
      <c r="E391" t="e" cm="1">
        <f t="array" ref="E391">- CETIRIZINE HYDROCHLORIDE</f>
        <v>#NAME?</v>
      </c>
      <c r="F391" t="s">
        <v>1658</v>
      </c>
      <c r="J391" t="s">
        <v>1659</v>
      </c>
      <c r="L391" t="s">
        <v>382</v>
      </c>
      <c r="M391" t="s">
        <v>46</v>
      </c>
      <c r="N391" t="s">
        <v>1390</v>
      </c>
      <c r="P391" t="s">
        <v>1660</v>
      </c>
      <c r="Q391" t="s">
        <v>1661</v>
      </c>
      <c r="R391">
        <v>4</v>
      </c>
      <c r="S391">
        <v>16</v>
      </c>
    </row>
    <row r="392" spans="1:19" x14ac:dyDescent="0.35">
      <c r="A392">
        <v>1455</v>
      </c>
      <c r="B392" t="s">
        <v>1669</v>
      </c>
      <c r="C392" t="s">
        <v>42</v>
      </c>
      <c r="D392" t="s">
        <v>1670</v>
      </c>
      <c r="E392" t="e" cm="1">
        <f t="array" ref="E392">- AMMONIUM CHLORIDE</f>
        <v>#NAME?</v>
      </c>
      <c r="F392" t="s">
        <v>1671</v>
      </c>
      <c r="J392" t="s">
        <v>1302</v>
      </c>
      <c r="M392" t="s">
        <v>271</v>
      </c>
      <c r="N392" t="s">
        <v>1672</v>
      </c>
      <c r="P392" t="s">
        <v>1673</v>
      </c>
      <c r="Q392" t="s">
        <v>1674</v>
      </c>
      <c r="R392">
        <v>4</v>
      </c>
      <c r="S392">
        <v>16</v>
      </c>
    </row>
    <row r="393" spans="1:19" x14ac:dyDescent="0.35">
      <c r="A393">
        <v>565</v>
      </c>
      <c r="B393" t="s">
        <v>1675</v>
      </c>
      <c r="C393" t="s">
        <v>42</v>
      </c>
      <c r="D393" t="s">
        <v>1676</v>
      </c>
      <c r="E393" t="e" cm="1">
        <f t="array" ref="E393">- PROCATEROL HYDROCHLORIDE</f>
        <v>#NAME?</v>
      </c>
      <c r="F393" t="s">
        <v>1677</v>
      </c>
      <c r="J393" t="s">
        <v>334</v>
      </c>
      <c r="M393" t="s">
        <v>271</v>
      </c>
      <c r="N393" t="s">
        <v>1678</v>
      </c>
      <c r="P393" t="s">
        <v>1679</v>
      </c>
      <c r="Q393" t="s">
        <v>1680</v>
      </c>
      <c r="R393">
        <v>4</v>
      </c>
      <c r="S393">
        <v>16</v>
      </c>
    </row>
    <row r="394" spans="1:19" x14ac:dyDescent="0.35">
      <c r="A394">
        <v>5397</v>
      </c>
      <c r="B394" t="s">
        <v>1595</v>
      </c>
      <c r="C394" t="s">
        <v>42</v>
      </c>
      <c r="D394" t="s">
        <v>1596</v>
      </c>
      <c r="E394" t="e" cm="1">
        <f t="array" ref="E394">- KETOCONAZOLE</f>
        <v>#NAME?</v>
      </c>
      <c r="F394" t="s">
        <v>1597</v>
      </c>
      <c r="J394" t="s">
        <v>1028</v>
      </c>
      <c r="M394" t="s">
        <v>1289</v>
      </c>
      <c r="N394" t="s">
        <v>533</v>
      </c>
      <c r="P394" t="s">
        <v>1598</v>
      </c>
      <c r="Q394" t="s">
        <v>1599</v>
      </c>
      <c r="R394">
        <v>4</v>
      </c>
      <c r="S394">
        <v>16</v>
      </c>
    </row>
    <row r="395" spans="1:19" x14ac:dyDescent="0.35">
      <c r="A395">
        <v>5443</v>
      </c>
      <c r="B395" t="s">
        <v>1681</v>
      </c>
      <c r="C395" t="s">
        <v>42</v>
      </c>
      <c r="D395" t="s">
        <v>1682</v>
      </c>
      <c r="E395" t="e" cm="1">
        <f t="array" ref="E395">- ACICLOVIR</f>
        <v>#NAME?</v>
      </c>
      <c r="F395" t="s">
        <v>1683</v>
      </c>
      <c r="J395" t="s">
        <v>1684</v>
      </c>
      <c r="M395" t="s">
        <v>1289</v>
      </c>
      <c r="N395" t="s">
        <v>1685</v>
      </c>
      <c r="P395" t="s">
        <v>1686</v>
      </c>
      <c r="Q395" t="s">
        <v>1687</v>
      </c>
      <c r="R395">
        <v>4</v>
      </c>
      <c r="S395">
        <v>16</v>
      </c>
    </row>
    <row r="396" spans="1:19" x14ac:dyDescent="0.35">
      <c r="A396">
        <v>7330</v>
      </c>
      <c r="B396" t="s">
        <v>1688</v>
      </c>
      <c r="C396" t="s">
        <v>42</v>
      </c>
      <c r="D396" t="s">
        <v>1689</v>
      </c>
      <c r="E396" t="e" cm="1">
        <f t="array" ref="E396">- LEVONORGESTREL</f>
        <v>#NAME?</v>
      </c>
      <c r="F396" t="s">
        <v>1690</v>
      </c>
      <c r="G396" t="s">
        <v>1691</v>
      </c>
      <c r="H396" t="s">
        <v>1692</v>
      </c>
      <c r="I396" t="s">
        <v>1693</v>
      </c>
      <c r="J396" t="s">
        <v>1694</v>
      </c>
      <c r="K396" t="s">
        <v>1695</v>
      </c>
    </row>
    <row r="397" spans="1:19" x14ac:dyDescent="0.35">
      <c r="A397">
        <v>6097</v>
      </c>
      <c r="B397" t="s">
        <v>1696</v>
      </c>
      <c r="C397" t="s">
        <v>42</v>
      </c>
      <c r="D397" t="s">
        <v>1697</v>
      </c>
      <c r="E397" t="e" cm="1">
        <f t="array" ref="E397">- ISONIAZID</f>
        <v>#NAME?</v>
      </c>
      <c r="F397" t="s">
        <v>1698</v>
      </c>
      <c r="H397">
        <v>0</v>
      </c>
      <c r="J397" t="s">
        <v>727</v>
      </c>
      <c r="M397" t="s">
        <v>291</v>
      </c>
      <c r="N397" t="s">
        <v>1699</v>
      </c>
      <c r="P397" t="s">
        <v>1700</v>
      </c>
      <c r="Q397" t="s">
        <v>1701</v>
      </c>
      <c r="R397">
        <v>4</v>
      </c>
      <c r="S397">
        <v>16</v>
      </c>
    </row>
    <row r="398" spans="1:19" x14ac:dyDescent="0.35">
      <c r="A398">
        <v>6667</v>
      </c>
      <c r="B398" t="s">
        <v>1702</v>
      </c>
      <c r="C398" t="s">
        <v>42</v>
      </c>
      <c r="D398" t="s">
        <v>1703</v>
      </c>
      <c r="E398" t="e" cm="1">
        <f t="array" ref="E398">- VALACICLOVIR HYDROCHLORIDE</f>
        <v>#NAME?</v>
      </c>
      <c r="F398" s="1">
        <v>119500</v>
      </c>
      <c r="G398" t="s">
        <v>539</v>
      </c>
      <c r="H398" t="s">
        <v>269</v>
      </c>
      <c r="L398" t="s">
        <v>270</v>
      </c>
      <c r="M398" t="s">
        <v>291</v>
      </c>
      <c r="N398" t="s">
        <v>1704</v>
      </c>
      <c r="P398" t="s">
        <v>1705</v>
      </c>
      <c r="Q398" t="s">
        <v>1706</v>
      </c>
      <c r="R398">
        <v>4</v>
      </c>
      <c r="S398">
        <v>16</v>
      </c>
    </row>
    <row r="399" spans="1:19" x14ac:dyDescent="0.35">
      <c r="A399">
        <v>6668</v>
      </c>
      <c r="B399" t="s">
        <v>1707</v>
      </c>
      <c r="C399" t="s">
        <v>42</v>
      </c>
      <c r="D399" t="s">
        <v>1708</v>
      </c>
      <c r="E399" t="e" cm="1">
        <f t="array" ref="E399">- VALACICLOVIR HYDROCHLORIDE</f>
        <v>#NAME?</v>
      </c>
      <c r="F399" s="1">
        <v>170700</v>
      </c>
      <c r="H399" t="s">
        <v>269</v>
      </c>
      <c r="L399" t="s">
        <v>270</v>
      </c>
      <c r="M399" t="s">
        <v>291</v>
      </c>
      <c r="N399" t="s">
        <v>1704</v>
      </c>
      <c r="P399" t="s">
        <v>1709</v>
      </c>
      <c r="Q399" t="s">
        <v>1710</v>
      </c>
      <c r="R399">
        <v>4</v>
      </c>
      <c r="S399">
        <v>16</v>
      </c>
    </row>
    <row r="400" spans="1:19" x14ac:dyDescent="0.35">
      <c r="A400">
        <v>6092</v>
      </c>
      <c r="B400" t="s">
        <v>1711</v>
      </c>
      <c r="C400" t="s">
        <v>42</v>
      </c>
      <c r="D400" t="s">
        <v>1712</v>
      </c>
      <c r="E400" t="e" cm="1">
        <f t="array" ref="E400">- CHLORAMPHENICOL PALMITATE</f>
        <v>#NAME?</v>
      </c>
      <c r="F400" t="s">
        <v>1713</v>
      </c>
      <c r="H400">
        <v>0</v>
      </c>
      <c r="J400" t="s">
        <v>334</v>
      </c>
      <c r="M400" t="s">
        <v>340</v>
      </c>
      <c r="N400" t="s">
        <v>1714</v>
      </c>
      <c r="P400" t="s">
        <v>1715</v>
      </c>
      <c r="Q400" t="s">
        <v>1716</v>
      </c>
      <c r="R400">
        <v>4</v>
      </c>
      <c r="S400">
        <v>16</v>
      </c>
    </row>
    <row r="401" spans="1:19" x14ac:dyDescent="0.35">
      <c r="A401">
        <v>6091</v>
      </c>
      <c r="B401" t="s">
        <v>1711</v>
      </c>
      <c r="C401" t="s">
        <v>42</v>
      </c>
      <c r="D401" t="s">
        <v>1712</v>
      </c>
      <c r="E401" t="e" cm="1">
        <f t="array" ref="E401">- CHLORAMPHENICOL PALMITATE</f>
        <v>#NAME?</v>
      </c>
      <c r="F401" t="s">
        <v>1713</v>
      </c>
      <c r="H401">
        <v>0</v>
      </c>
      <c r="J401" t="s">
        <v>334</v>
      </c>
      <c r="M401" t="s">
        <v>340</v>
      </c>
      <c r="N401" t="s">
        <v>1714</v>
      </c>
      <c r="P401" t="s">
        <v>1715</v>
      </c>
      <c r="Q401" t="s">
        <v>1716</v>
      </c>
      <c r="R401">
        <v>4</v>
      </c>
      <c r="S401">
        <v>16</v>
      </c>
    </row>
    <row r="402" spans="1:19" x14ac:dyDescent="0.35">
      <c r="A402">
        <v>3559</v>
      </c>
      <c r="B402" t="s">
        <v>1717</v>
      </c>
      <c r="C402" t="s">
        <v>42</v>
      </c>
      <c r="D402" t="s">
        <v>1718</v>
      </c>
      <c r="E402" t="e" cm="1">
        <f t="array" ref="E402">- DOMPERIDONE MALEATE</f>
        <v>#NAME?</v>
      </c>
      <c r="F402" t="s">
        <v>1719</v>
      </c>
      <c r="H402">
        <v>0</v>
      </c>
      <c r="J402" t="s">
        <v>1093</v>
      </c>
      <c r="M402" t="s">
        <v>46</v>
      </c>
      <c r="N402" t="s">
        <v>1609</v>
      </c>
      <c r="P402" t="s">
        <v>1720</v>
      </c>
      <c r="Q402" t="s">
        <v>1721</v>
      </c>
      <c r="R402">
        <v>4</v>
      </c>
      <c r="S402">
        <v>16</v>
      </c>
    </row>
    <row r="403" spans="1:19" x14ac:dyDescent="0.35">
      <c r="A403">
        <v>3558</v>
      </c>
      <c r="B403" t="s">
        <v>1717</v>
      </c>
      <c r="C403" t="s">
        <v>42</v>
      </c>
      <c r="D403" t="s">
        <v>1718</v>
      </c>
      <c r="E403" t="e" cm="1">
        <f t="array" ref="E403">- DOMPERIDONE MALEATE</f>
        <v>#NAME?</v>
      </c>
      <c r="F403" t="s">
        <v>1719</v>
      </c>
      <c r="H403">
        <v>0</v>
      </c>
      <c r="J403" t="s">
        <v>1093</v>
      </c>
      <c r="M403" t="s">
        <v>46</v>
      </c>
      <c r="N403" t="s">
        <v>1609</v>
      </c>
      <c r="P403" t="s">
        <v>1720</v>
      </c>
      <c r="Q403" t="s">
        <v>1721</v>
      </c>
      <c r="R403">
        <v>4</v>
      </c>
      <c r="S403">
        <v>16</v>
      </c>
    </row>
    <row r="404" spans="1:19" x14ac:dyDescent="0.35">
      <c r="A404">
        <v>3557</v>
      </c>
      <c r="B404" t="s">
        <v>1722</v>
      </c>
      <c r="C404" t="s">
        <v>42</v>
      </c>
      <c r="D404" t="s">
        <v>1723</v>
      </c>
      <c r="E404" t="e" cm="1">
        <f t="array" ref="E404">- DOMPERIDONE MALEATE</f>
        <v>#NAME?</v>
      </c>
      <c r="F404" s="1">
        <v>39200</v>
      </c>
      <c r="G404" t="s">
        <v>1724</v>
      </c>
      <c r="H404" t="s">
        <v>269</v>
      </c>
      <c r="L404" t="s">
        <v>270</v>
      </c>
      <c r="M404" t="s">
        <v>46</v>
      </c>
      <c r="N404" t="s">
        <v>1609</v>
      </c>
      <c r="P404" t="s">
        <v>1725</v>
      </c>
      <c r="Q404" t="s">
        <v>1726</v>
      </c>
      <c r="R404">
        <v>4</v>
      </c>
      <c r="S404">
        <v>16</v>
      </c>
    </row>
    <row r="405" spans="1:19" x14ac:dyDescent="0.35">
      <c r="A405">
        <v>6695</v>
      </c>
      <c r="B405" t="s">
        <v>1727</v>
      </c>
      <c r="C405" t="s">
        <v>42</v>
      </c>
      <c r="D405" t="s">
        <v>1728</v>
      </c>
      <c r="E405" t="e" cm="1">
        <f t="array" ref="E405">- VALACICLOVIR HYDROCHLORIDE</f>
        <v>#NAME?</v>
      </c>
      <c r="F405" t="s">
        <v>1729</v>
      </c>
      <c r="J405" t="s">
        <v>1730</v>
      </c>
      <c r="M405" t="s">
        <v>291</v>
      </c>
      <c r="N405" t="s">
        <v>1704</v>
      </c>
      <c r="P405" t="s">
        <v>1731</v>
      </c>
      <c r="Q405" t="s">
        <v>1732</v>
      </c>
      <c r="R405">
        <v>4</v>
      </c>
      <c r="S405">
        <v>16</v>
      </c>
    </row>
    <row r="406" spans="1:19" x14ac:dyDescent="0.35">
      <c r="A406">
        <v>6087</v>
      </c>
      <c r="B406" t="s">
        <v>1733</v>
      </c>
      <c r="C406" t="s">
        <v>42</v>
      </c>
      <c r="D406" t="s">
        <v>1734</v>
      </c>
      <c r="E406" t="e" cm="1">
        <f t="array" ref="E406">- AMOXICILLIN TRIHYDRATE</f>
        <v>#NAME?</v>
      </c>
      <c r="F406" t="s">
        <v>1735</v>
      </c>
      <c r="J406" t="s">
        <v>727</v>
      </c>
      <c r="M406" t="s">
        <v>291</v>
      </c>
      <c r="N406" t="s">
        <v>1523</v>
      </c>
      <c r="P406" t="s">
        <v>1736</v>
      </c>
      <c r="Q406" t="s">
        <v>1737</v>
      </c>
      <c r="R406">
        <v>4</v>
      </c>
      <c r="S406">
        <v>16</v>
      </c>
    </row>
    <row r="407" spans="1:19" x14ac:dyDescent="0.35">
      <c r="A407">
        <v>6086</v>
      </c>
      <c r="B407" t="s">
        <v>1738</v>
      </c>
      <c r="C407" t="s">
        <v>42</v>
      </c>
      <c r="D407" t="s">
        <v>1739</v>
      </c>
      <c r="E407" t="e" cm="1">
        <f t="array" ref="E407">- CHLORAMPHENICOL PALMITATE</f>
        <v>#NAME?</v>
      </c>
      <c r="F407" t="s">
        <v>1740</v>
      </c>
      <c r="J407" t="s">
        <v>334</v>
      </c>
      <c r="M407" t="s">
        <v>340</v>
      </c>
      <c r="N407" t="s">
        <v>1714</v>
      </c>
      <c r="P407" t="s">
        <v>1741</v>
      </c>
      <c r="Q407" t="s">
        <v>1742</v>
      </c>
      <c r="R407">
        <v>4</v>
      </c>
      <c r="S407">
        <v>16</v>
      </c>
    </row>
    <row r="408" spans="1:19" x14ac:dyDescent="0.35">
      <c r="A408">
        <v>6714</v>
      </c>
      <c r="B408" t="s">
        <v>1743</v>
      </c>
      <c r="C408" t="s">
        <v>42</v>
      </c>
      <c r="D408" t="s">
        <v>1744</v>
      </c>
      <c r="E408" t="e" cm="1">
        <f t="array" ref="E408">- DIACEREIN</f>
        <v>#NAME?</v>
      </c>
      <c r="F408" s="1">
        <v>93900</v>
      </c>
      <c r="G408" t="s">
        <v>1745</v>
      </c>
      <c r="H408" t="s">
        <v>1746</v>
      </c>
      <c r="I408" t="s">
        <v>1747</v>
      </c>
      <c r="J408" t="s">
        <v>1748</v>
      </c>
      <c r="K408" t="s">
        <v>1749</v>
      </c>
      <c r="L408" t="s">
        <v>1750</v>
      </c>
      <c r="M408" t="s">
        <v>38</v>
      </c>
      <c r="N408" t="s">
        <v>348</v>
      </c>
      <c r="O408" t="s">
        <v>1751</v>
      </c>
      <c r="P408" t="s">
        <v>1752</v>
      </c>
      <c r="Q408" t="s">
        <v>1753</v>
      </c>
      <c r="R408">
        <v>4</v>
      </c>
      <c r="S408">
        <v>16</v>
      </c>
    </row>
    <row r="409" spans="1:19" x14ac:dyDescent="0.35">
      <c r="A409">
        <v>3471</v>
      </c>
      <c r="B409" t="s">
        <v>1754</v>
      </c>
      <c r="C409" t="s">
        <v>42</v>
      </c>
      <c r="D409" t="s">
        <v>1755</v>
      </c>
      <c r="E409" t="e" cm="1">
        <f t="array" ref="E409">- PANTOPRAZOLE SODIUM</f>
        <v>#NAME?</v>
      </c>
      <c r="F409" s="1">
        <v>202800</v>
      </c>
      <c r="J409" t="s">
        <v>1756</v>
      </c>
      <c r="M409" t="s">
        <v>46</v>
      </c>
      <c r="N409" t="s">
        <v>1757</v>
      </c>
      <c r="P409" t="s">
        <v>1758</v>
      </c>
      <c r="Q409" t="s">
        <v>1759</v>
      </c>
      <c r="R409">
        <v>4</v>
      </c>
      <c r="S409">
        <v>16</v>
      </c>
    </row>
    <row r="410" spans="1:19" x14ac:dyDescent="0.35">
      <c r="A410">
        <v>6015</v>
      </c>
      <c r="B410" t="s">
        <v>1760</v>
      </c>
      <c r="C410" t="s">
        <v>42</v>
      </c>
      <c r="D410" t="s">
        <v>1761</v>
      </c>
      <c r="E410" t="e" cm="1">
        <f t="array" ref="E410">- CHLORAMPHENICOL PALMITATE</f>
        <v>#NAME?</v>
      </c>
      <c r="F410" t="s">
        <v>1762</v>
      </c>
      <c r="H410" t="s">
        <v>1763</v>
      </c>
      <c r="J410" t="s">
        <v>334</v>
      </c>
      <c r="K410" t="s">
        <v>1764</v>
      </c>
      <c r="L410" t="s">
        <v>321</v>
      </c>
      <c r="M410" t="s">
        <v>340</v>
      </c>
      <c r="N410" t="s">
        <v>1714</v>
      </c>
      <c r="P410" t="s">
        <v>1765</v>
      </c>
      <c r="Q410" t="s">
        <v>1766</v>
      </c>
      <c r="R410">
        <v>4</v>
      </c>
      <c r="S410">
        <v>16</v>
      </c>
    </row>
    <row r="411" spans="1:19" x14ac:dyDescent="0.35">
      <c r="A411">
        <v>3466</v>
      </c>
      <c r="B411" t="s">
        <v>1767</v>
      </c>
      <c r="C411" t="s">
        <v>42</v>
      </c>
      <c r="D411" t="s">
        <v>1768</v>
      </c>
      <c r="E411" t="e" cm="1">
        <f t="array" ref="E411">- ALUMINIUM HYDROXIDE</f>
        <v>#NAME?</v>
      </c>
      <c r="F411" t="s">
        <v>1769</v>
      </c>
      <c r="J411" t="s">
        <v>1770</v>
      </c>
      <c r="M411" t="s">
        <v>46</v>
      </c>
      <c r="N411" t="s">
        <v>1771</v>
      </c>
      <c r="P411" t="s">
        <v>1772</v>
      </c>
      <c r="Q411" t="s">
        <v>1773</v>
      </c>
      <c r="R411">
        <v>4</v>
      </c>
      <c r="S411">
        <v>16</v>
      </c>
    </row>
    <row r="412" spans="1:19" x14ac:dyDescent="0.35">
      <c r="A412">
        <v>6014</v>
      </c>
      <c r="B412" t="s">
        <v>1760</v>
      </c>
      <c r="C412" t="s">
        <v>42</v>
      </c>
      <c r="D412" t="s">
        <v>1761</v>
      </c>
      <c r="E412" t="e" cm="1">
        <f t="array" ref="E412">- CHLORAMPHENICOL PALMITATE</f>
        <v>#NAME?</v>
      </c>
      <c r="F412" t="s">
        <v>1762</v>
      </c>
      <c r="H412" t="s">
        <v>1763</v>
      </c>
      <c r="J412" t="s">
        <v>334</v>
      </c>
      <c r="K412" t="s">
        <v>1764</v>
      </c>
      <c r="L412" t="s">
        <v>321</v>
      </c>
      <c r="M412" t="s">
        <v>340</v>
      </c>
      <c r="N412" t="s">
        <v>1714</v>
      </c>
      <c r="P412" t="s">
        <v>1765</v>
      </c>
      <c r="Q412" t="s">
        <v>1766</v>
      </c>
      <c r="R412">
        <v>4</v>
      </c>
      <c r="S412">
        <v>16</v>
      </c>
    </row>
    <row r="413" spans="1:19" x14ac:dyDescent="0.35">
      <c r="A413">
        <v>5994</v>
      </c>
      <c r="B413" t="s">
        <v>1774</v>
      </c>
      <c r="C413" t="s">
        <v>42</v>
      </c>
      <c r="D413" t="s">
        <v>1775</v>
      </c>
      <c r="E413" t="e" cm="1">
        <f t="array" ref="E413">- CEFADROXIL MONOHYDRATE</f>
        <v>#NAME?</v>
      </c>
      <c r="F413" t="s">
        <v>1776</v>
      </c>
      <c r="H413" t="s">
        <v>269</v>
      </c>
      <c r="L413" t="s">
        <v>270</v>
      </c>
      <c r="M413" t="s">
        <v>38</v>
      </c>
      <c r="N413" t="s">
        <v>1777</v>
      </c>
      <c r="P413" t="s">
        <v>1778</v>
      </c>
      <c r="Q413" t="s">
        <v>1779</v>
      </c>
      <c r="R413">
        <v>4</v>
      </c>
      <c r="S413">
        <v>16</v>
      </c>
    </row>
    <row r="414" spans="1:19" x14ac:dyDescent="0.35">
      <c r="A414">
        <v>5982</v>
      </c>
      <c r="B414" t="s">
        <v>1780</v>
      </c>
      <c r="C414" t="s">
        <v>42</v>
      </c>
      <c r="D414" t="s">
        <v>1781</v>
      </c>
      <c r="E414" t="e" cm="1">
        <f t="array" ref="E414">- LEVOFLOXACIN HEMIHYDRATE</f>
        <v>#NAME?</v>
      </c>
      <c r="F414" t="s">
        <v>1782</v>
      </c>
      <c r="J414" t="s">
        <v>1783</v>
      </c>
      <c r="L414" t="s">
        <v>321</v>
      </c>
      <c r="M414" t="s">
        <v>291</v>
      </c>
      <c r="N414" t="s">
        <v>1784</v>
      </c>
      <c r="P414" t="s">
        <v>1785</v>
      </c>
      <c r="Q414" t="s">
        <v>1786</v>
      </c>
      <c r="R414">
        <v>4</v>
      </c>
      <c r="S414">
        <v>16</v>
      </c>
    </row>
    <row r="415" spans="1:19" x14ac:dyDescent="0.35">
      <c r="A415">
        <v>5981</v>
      </c>
      <c r="B415" t="s">
        <v>1780</v>
      </c>
      <c r="C415" t="s">
        <v>42</v>
      </c>
      <c r="D415" t="s">
        <v>1781</v>
      </c>
      <c r="E415" t="e" cm="1">
        <f t="array" ref="E415">- LEVOFLOXACIN HEMIHYDRATE</f>
        <v>#NAME?</v>
      </c>
      <c r="F415" t="s">
        <v>1782</v>
      </c>
      <c r="J415" t="s">
        <v>1783</v>
      </c>
      <c r="L415" t="s">
        <v>321</v>
      </c>
      <c r="M415" t="s">
        <v>291</v>
      </c>
      <c r="N415" t="s">
        <v>1784</v>
      </c>
      <c r="P415" t="s">
        <v>1785</v>
      </c>
      <c r="Q415" t="s">
        <v>1786</v>
      </c>
      <c r="R415">
        <v>4</v>
      </c>
      <c r="S415">
        <v>16</v>
      </c>
    </row>
    <row r="416" spans="1:19" x14ac:dyDescent="0.35">
      <c r="A416">
        <v>6456</v>
      </c>
      <c r="B416" t="s">
        <v>1787</v>
      </c>
      <c r="C416" t="s">
        <v>42</v>
      </c>
      <c r="D416" t="s">
        <v>1788</v>
      </c>
      <c r="E416" t="e" cm="1">
        <f t="array" ref="E416">- CEFIXIME TRIHYDRATE</f>
        <v>#NAME?</v>
      </c>
      <c r="F416" t="s">
        <v>1789</v>
      </c>
      <c r="H416" t="s">
        <v>1019</v>
      </c>
      <c r="J416" t="s">
        <v>829</v>
      </c>
      <c r="K416" t="s">
        <v>1020</v>
      </c>
      <c r="L416" t="s">
        <v>1021</v>
      </c>
      <c r="M416" t="s">
        <v>271</v>
      </c>
      <c r="N416" t="s">
        <v>1790</v>
      </c>
      <c r="P416" t="s">
        <v>1791</v>
      </c>
      <c r="Q416" t="s">
        <v>1792</v>
      </c>
      <c r="R416">
        <v>4</v>
      </c>
      <c r="S416">
        <v>16</v>
      </c>
    </row>
    <row r="417" spans="1:19" x14ac:dyDescent="0.35">
      <c r="A417">
        <v>6246</v>
      </c>
      <c r="B417" t="s">
        <v>1793</v>
      </c>
      <c r="C417" t="s">
        <v>42</v>
      </c>
      <c r="D417" t="s">
        <v>1794</v>
      </c>
      <c r="E417" t="e" cm="1">
        <f t="array" ref="E417">- CHLORAMPHENICOL PALMITATE</f>
        <v>#NAME?</v>
      </c>
      <c r="F417" t="s">
        <v>1795</v>
      </c>
      <c r="H417" t="s">
        <v>269</v>
      </c>
      <c r="L417" t="s">
        <v>270</v>
      </c>
      <c r="M417" t="s">
        <v>340</v>
      </c>
      <c r="N417" t="s">
        <v>1714</v>
      </c>
      <c r="P417" t="s">
        <v>1248</v>
      </c>
      <c r="Q417" t="s">
        <v>1796</v>
      </c>
      <c r="R417">
        <v>4</v>
      </c>
      <c r="S417">
        <v>16</v>
      </c>
    </row>
    <row r="418" spans="1:19" x14ac:dyDescent="0.35">
      <c r="A418">
        <v>1325</v>
      </c>
      <c r="B418" t="s">
        <v>1797</v>
      </c>
      <c r="C418" t="s">
        <v>42</v>
      </c>
      <c r="D418" t="s">
        <v>1798</v>
      </c>
      <c r="E418" t="e" cm="1">
        <f t="array" ref="E418">- AMBROXOL HYDROCHLORIDE</f>
        <v>#NAME?</v>
      </c>
      <c r="F418" t="s">
        <v>1799</v>
      </c>
      <c r="H418" t="s">
        <v>319</v>
      </c>
      <c r="J418" t="s">
        <v>532</v>
      </c>
      <c r="L418" t="s">
        <v>321</v>
      </c>
      <c r="M418" t="s">
        <v>46</v>
      </c>
      <c r="N418" t="s">
        <v>1800</v>
      </c>
      <c r="P418" t="s">
        <v>1801</v>
      </c>
      <c r="Q418" t="s">
        <v>1802</v>
      </c>
      <c r="R418">
        <v>4</v>
      </c>
      <c r="S418">
        <v>16</v>
      </c>
    </row>
    <row r="419" spans="1:19" x14ac:dyDescent="0.35">
      <c r="A419">
        <v>6932</v>
      </c>
      <c r="B419" t="s">
        <v>1803</v>
      </c>
      <c r="C419" t="s">
        <v>42</v>
      </c>
      <c r="D419" t="s">
        <v>1804</v>
      </c>
      <c r="E419" t="e" cm="1">
        <f t="array" ref="E419">- TIZANIDINE HYDROCHLORIDE</f>
        <v>#NAME?</v>
      </c>
      <c r="F419" t="s">
        <v>1805</v>
      </c>
      <c r="M419" t="s">
        <v>46</v>
      </c>
      <c r="N419" t="s">
        <v>1806</v>
      </c>
      <c r="P419" t="s">
        <v>1807</v>
      </c>
      <c r="Q419" t="s">
        <v>1808</v>
      </c>
      <c r="R419">
        <v>4</v>
      </c>
      <c r="S419">
        <v>16</v>
      </c>
    </row>
    <row r="420" spans="1:19" x14ac:dyDescent="0.35">
      <c r="A420">
        <v>6435</v>
      </c>
      <c r="B420" t="s">
        <v>1809</v>
      </c>
      <c r="C420" t="s">
        <v>42</v>
      </c>
      <c r="D420" t="s">
        <v>1810</v>
      </c>
      <c r="E420" t="e" cm="1">
        <f t="array" ref="E420">- ISONIAZID</f>
        <v>#NAME?</v>
      </c>
      <c r="F420" t="s">
        <v>1811</v>
      </c>
      <c r="J420" t="s">
        <v>1812</v>
      </c>
      <c r="M420" t="s">
        <v>271</v>
      </c>
      <c r="N420" t="s">
        <v>1699</v>
      </c>
      <c r="P420" t="s">
        <v>1813</v>
      </c>
      <c r="Q420" t="s">
        <v>1814</v>
      </c>
      <c r="R420">
        <v>4</v>
      </c>
      <c r="S420">
        <v>16</v>
      </c>
    </row>
    <row r="421" spans="1:19" x14ac:dyDescent="0.35">
      <c r="A421">
        <v>6434</v>
      </c>
      <c r="B421" t="s">
        <v>1809</v>
      </c>
      <c r="C421" t="s">
        <v>42</v>
      </c>
      <c r="D421" t="s">
        <v>1810</v>
      </c>
      <c r="E421" t="e" cm="1">
        <f t="array" ref="E421">- ISONIAZID</f>
        <v>#NAME?</v>
      </c>
      <c r="F421" t="s">
        <v>1811</v>
      </c>
      <c r="J421" t="s">
        <v>1812</v>
      </c>
      <c r="M421" t="s">
        <v>271</v>
      </c>
      <c r="N421" t="s">
        <v>1699</v>
      </c>
      <c r="P421" t="s">
        <v>1813</v>
      </c>
      <c r="Q421" t="s">
        <v>1814</v>
      </c>
      <c r="R421">
        <v>4</v>
      </c>
      <c r="S421">
        <v>16</v>
      </c>
    </row>
    <row r="422" spans="1:19" x14ac:dyDescent="0.35">
      <c r="A422">
        <v>6597</v>
      </c>
      <c r="B422" t="s">
        <v>1815</v>
      </c>
      <c r="C422" t="s">
        <v>42</v>
      </c>
      <c r="D422" t="s">
        <v>1816</v>
      </c>
      <c r="E422" t="e" cm="1">
        <f t="array" ref="E422">- NYSTATIN</f>
        <v>#NAME?</v>
      </c>
      <c r="F422" t="s">
        <v>1817</v>
      </c>
      <c r="H422" t="s">
        <v>269</v>
      </c>
      <c r="L422" t="s">
        <v>270</v>
      </c>
      <c r="M422" t="s">
        <v>824</v>
      </c>
      <c r="N422" t="s">
        <v>1818</v>
      </c>
      <c r="P422" t="s">
        <v>1819</v>
      </c>
      <c r="Q422" t="s">
        <v>1820</v>
      </c>
      <c r="R422">
        <v>4</v>
      </c>
      <c r="S422">
        <v>16</v>
      </c>
    </row>
    <row r="423" spans="1:19" x14ac:dyDescent="0.35">
      <c r="A423">
        <v>6596</v>
      </c>
      <c r="B423" t="s">
        <v>1815</v>
      </c>
      <c r="C423" t="s">
        <v>42</v>
      </c>
      <c r="D423" t="s">
        <v>1816</v>
      </c>
      <c r="E423" t="e" cm="1">
        <f t="array" ref="E423">- NYSTATIN</f>
        <v>#NAME?</v>
      </c>
      <c r="F423" t="s">
        <v>1817</v>
      </c>
      <c r="H423" t="s">
        <v>269</v>
      </c>
      <c r="L423" t="s">
        <v>270</v>
      </c>
      <c r="M423" t="s">
        <v>824</v>
      </c>
      <c r="N423" t="s">
        <v>1818</v>
      </c>
      <c r="P423" t="s">
        <v>1819</v>
      </c>
      <c r="Q423" t="s">
        <v>1820</v>
      </c>
      <c r="R423">
        <v>4</v>
      </c>
      <c r="S423">
        <v>16</v>
      </c>
    </row>
    <row r="424" spans="1:19" x14ac:dyDescent="0.35">
      <c r="A424">
        <v>6593</v>
      </c>
      <c r="B424" t="s">
        <v>1821</v>
      </c>
      <c r="C424" t="s">
        <v>42</v>
      </c>
      <c r="D424" t="s">
        <v>1822</v>
      </c>
      <c r="E424" t="e" cm="1">
        <f t="array" ref="E424">- NYSTATIN</f>
        <v>#NAME?</v>
      </c>
      <c r="F424" t="s">
        <v>1823</v>
      </c>
      <c r="J424" t="s">
        <v>1824</v>
      </c>
      <c r="M424" t="s">
        <v>824</v>
      </c>
      <c r="N424" t="s">
        <v>1818</v>
      </c>
      <c r="P424" t="s">
        <v>1825</v>
      </c>
      <c r="Q424" t="s">
        <v>1826</v>
      </c>
      <c r="R424">
        <v>4</v>
      </c>
      <c r="S424">
        <v>16</v>
      </c>
    </row>
    <row r="425" spans="1:19" x14ac:dyDescent="0.35">
      <c r="A425">
        <v>6121</v>
      </c>
      <c r="B425" t="s">
        <v>1827</v>
      </c>
      <c r="C425" t="s">
        <v>42</v>
      </c>
      <c r="D425" t="s">
        <v>1828</v>
      </c>
      <c r="E425" t="e" cm="1">
        <f t="array" ref="E425">- CHLORAMPHENICOL PALMITATE</f>
        <v>#NAME?</v>
      </c>
      <c r="F425" t="s">
        <v>1829</v>
      </c>
      <c r="H425" t="s">
        <v>319</v>
      </c>
      <c r="L425" t="s">
        <v>321</v>
      </c>
      <c r="M425" t="s">
        <v>340</v>
      </c>
      <c r="N425" t="s">
        <v>1714</v>
      </c>
      <c r="P425" t="s">
        <v>1830</v>
      </c>
      <c r="Q425" t="s">
        <v>1831</v>
      </c>
      <c r="R425">
        <v>4</v>
      </c>
      <c r="S425">
        <v>16</v>
      </c>
    </row>
    <row r="426" spans="1:19" x14ac:dyDescent="0.35">
      <c r="A426">
        <v>6225</v>
      </c>
      <c r="B426" t="s">
        <v>1832</v>
      </c>
      <c r="C426" t="s">
        <v>42</v>
      </c>
      <c r="D426" t="s">
        <v>1833</v>
      </c>
      <c r="E426" t="e" cm="1">
        <f t="array" ref="E426">- PYRAZINAMIDE</f>
        <v>#NAME?</v>
      </c>
      <c r="F426" t="s">
        <v>1834</v>
      </c>
      <c r="G426" t="s">
        <v>835</v>
      </c>
      <c r="H426" t="s">
        <v>1835</v>
      </c>
      <c r="I426" t="s">
        <v>1836</v>
      </c>
      <c r="J426" t="s">
        <v>727</v>
      </c>
      <c r="K426" t="s">
        <v>1837</v>
      </c>
      <c r="L426" t="s">
        <v>1838</v>
      </c>
      <c r="M426" t="s">
        <v>291</v>
      </c>
      <c r="N426" t="s">
        <v>1839</v>
      </c>
      <c r="O426" t="s">
        <v>1840</v>
      </c>
      <c r="P426" t="s">
        <v>1841</v>
      </c>
      <c r="Q426" t="s">
        <v>1842</v>
      </c>
      <c r="R426">
        <v>4</v>
      </c>
      <c r="S426">
        <v>16</v>
      </c>
    </row>
    <row r="427" spans="1:19" x14ac:dyDescent="0.35">
      <c r="A427">
        <v>6234</v>
      </c>
      <c r="B427" t="s">
        <v>1843</v>
      </c>
      <c r="C427" t="s">
        <v>42</v>
      </c>
      <c r="D427" t="s">
        <v>1844</v>
      </c>
      <c r="E427" t="e" cm="1">
        <f t="array" ref="E427">- LEVOFLOXACIN HEMIHYDRATE</f>
        <v>#NAME?</v>
      </c>
      <c r="F427" t="s">
        <v>1845</v>
      </c>
      <c r="J427" t="s">
        <v>1846</v>
      </c>
      <c r="M427" t="s">
        <v>291</v>
      </c>
      <c r="N427" t="s">
        <v>1784</v>
      </c>
      <c r="P427" t="s">
        <v>1847</v>
      </c>
      <c r="Q427" t="s">
        <v>1848</v>
      </c>
      <c r="R427">
        <v>4</v>
      </c>
      <c r="S427">
        <v>16</v>
      </c>
    </row>
    <row r="428" spans="1:19" x14ac:dyDescent="0.35">
      <c r="A428">
        <v>6216</v>
      </c>
      <c r="B428" t="s">
        <v>1849</v>
      </c>
      <c r="C428" t="s">
        <v>42</v>
      </c>
      <c r="D428" t="s">
        <v>1850</v>
      </c>
      <c r="E428" t="e" cm="1">
        <f t="array" ref="E428">- SULFAMETHOXAZOLE. TRIMETHOPRIM</f>
        <v>#NAME?</v>
      </c>
      <c r="F428" t="s">
        <v>1851</v>
      </c>
      <c r="H428" t="s">
        <v>269</v>
      </c>
      <c r="L428" t="s">
        <v>270</v>
      </c>
      <c r="M428" t="s">
        <v>340</v>
      </c>
      <c r="N428" t="s">
        <v>1379</v>
      </c>
      <c r="P428" t="s">
        <v>1082</v>
      </c>
      <c r="Q428" t="s">
        <v>1852</v>
      </c>
      <c r="R428">
        <v>4</v>
      </c>
      <c r="S428">
        <v>16</v>
      </c>
    </row>
    <row r="429" spans="1:19" x14ac:dyDescent="0.35">
      <c r="A429">
        <v>6245</v>
      </c>
      <c r="B429" t="s">
        <v>1793</v>
      </c>
      <c r="C429" t="s">
        <v>42</v>
      </c>
      <c r="D429" t="s">
        <v>1794</v>
      </c>
      <c r="E429" t="e" cm="1">
        <f t="array" ref="E429">- CHLORAMPHENICOL PALMITATE</f>
        <v>#NAME?</v>
      </c>
      <c r="F429" t="s">
        <v>1795</v>
      </c>
      <c r="H429" t="s">
        <v>269</v>
      </c>
      <c r="L429" t="s">
        <v>270</v>
      </c>
      <c r="M429" t="s">
        <v>340</v>
      </c>
      <c r="N429" t="s">
        <v>1714</v>
      </c>
      <c r="P429" t="s">
        <v>1248</v>
      </c>
      <c r="Q429" t="s">
        <v>1796</v>
      </c>
      <c r="R429">
        <v>4</v>
      </c>
      <c r="S429">
        <v>16</v>
      </c>
    </row>
    <row r="430" spans="1:19" x14ac:dyDescent="0.35">
      <c r="A430">
        <v>6514</v>
      </c>
      <c r="B430" t="s">
        <v>1853</v>
      </c>
      <c r="C430" t="s">
        <v>42</v>
      </c>
      <c r="D430" t="s">
        <v>1854</v>
      </c>
      <c r="E430" t="e" cm="1">
        <f t="array" ref="E430">- MOXIFLOXACIN HYDROCHLORIDE</f>
        <v>#NAME?</v>
      </c>
      <c r="F430" t="s">
        <v>1855</v>
      </c>
      <c r="J430" t="s">
        <v>1756</v>
      </c>
      <c r="M430" t="s">
        <v>46</v>
      </c>
      <c r="N430" t="s">
        <v>1856</v>
      </c>
      <c r="P430" t="s">
        <v>1857</v>
      </c>
      <c r="Q430" t="s">
        <v>1858</v>
      </c>
      <c r="R430">
        <v>4</v>
      </c>
      <c r="S430">
        <v>16</v>
      </c>
    </row>
    <row r="431" spans="1:19" x14ac:dyDescent="0.35">
      <c r="A431">
        <v>6515</v>
      </c>
      <c r="B431" t="s">
        <v>1859</v>
      </c>
      <c r="C431" t="s">
        <v>42</v>
      </c>
      <c r="D431" t="s">
        <v>1860</v>
      </c>
      <c r="E431" t="e" cm="1">
        <f t="array" ref="E431">- CEFUROXIME AXETIL</f>
        <v>#NAME?</v>
      </c>
      <c r="F431" t="s">
        <v>1861</v>
      </c>
      <c r="M431" t="s">
        <v>46</v>
      </c>
      <c r="N431" t="s">
        <v>1862</v>
      </c>
      <c r="P431" t="s">
        <v>1863</v>
      </c>
      <c r="Q431" t="s">
        <v>1864</v>
      </c>
      <c r="R431">
        <v>4</v>
      </c>
      <c r="S431">
        <v>16</v>
      </c>
    </row>
    <row r="432" spans="1:19" x14ac:dyDescent="0.35">
      <c r="A432">
        <v>6516</v>
      </c>
      <c r="B432" t="s">
        <v>1859</v>
      </c>
      <c r="C432" t="s">
        <v>42</v>
      </c>
      <c r="D432" t="s">
        <v>1860</v>
      </c>
      <c r="E432" t="e" cm="1">
        <f t="array" ref="E432">- CEFUROXIME AXETIL</f>
        <v>#NAME?</v>
      </c>
      <c r="F432" t="s">
        <v>1861</v>
      </c>
      <c r="M432" t="s">
        <v>46</v>
      </c>
      <c r="N432" t="s">
        <v>1862</v>
      </c>
      <c r="P432" t="s">
        <v>1863</v>
      </c>
      <c r="Q432" t="s">
        <v>1864</v>
      </c>
      <c r="R432">
        <v>4</v>
      </c>
      <c r="S432">
        <v>16</v>
      </c>
    </row>
    <row r="433" spans="1:19" x14ac:dyDescent="0.35">
      <c r="A433">
        <v>6513</v>
      </c>
      <c r="B433" t="s">
        <v>1853</v>
      </c>
      <c r="C433" t="s">
        <v>42</v>
      </c>
      <c r="D433" t="s">
        <v>1854</v>
      </c>
      <c r="E433" t="e" cm="1">
        <f t="array" ref="E433">- MOXIFLOXACIN HYDROCHLORIDE</f>
        <v>#NAME?</v>
      </c>
      <c r="F433" t="s">
        <v>1855</v>
      </c>
      <c r="J433" t="s">
        <v>1756</v>
      </c>
      <c r="M433" t="s">
        <v>46</v>
      </c>
      <c r="N433" t="s">
        <v>1856</v>
      </c>
      <c r="P433" t="s">
        <v>1857</v>
      </c>
      <c r="Q433" t="s">
        <v>1858</v>
      </c>
      <c r="R433">
        <v>4</v>
      </c>
      <c r="S433">
        <v>16</v>
      </c>
    </row>
    <row r="434" spans="1:19" x14ac:dyDescent="0.35">
      <c r="A434">
        <v>3635</v>
      </c>
      <c r="B434" t="s">
        <v>1865</v>
      </c>
      <c r="C434" t="s">
        <v>42</v>
      </c>
      <c r="D434" t="s">
        <v>1866</v>
      </c>
      <c r="E434" t="e" cm="1">
        <f t="array" ref="E434">- ONDANSETRON</f>
        <v>#NAME?</v>
      </c>
      <c r="F434" t="s">
        <v>1867</v>
      </c>
      <c r="J434" t="s">
        <v>1868</v>
      </c>
      <c r="M434" t="s">
        <v>46</v>
      </c>
      <c r="N434" t="s">
        <v>1869</v>
      </c>
      <c r="P434" t="s">
        <v>1870</v>
      </c>
      <c r="Q434" t="s">
        <v>1871</v>
      </c>
      <c r="R434">
        <v>4</v>
      </c>
      <c r="S434">
        <v>16</v>
      </c>
    </row>
    <row r="435" spans="1:19" x14ac:dyDescent="0.35">
      <c r="A435">
        <v>3620</v>
      </c>
      <c r="B435" t="s">
        <v>1872</v>
      </c>
      <c r="C435" t="s">
        <v>42</v>
      </c>
      <c r="D435" t="s">
        <v>1873</v>
      </c>
      <c r="E435" t="e" cm="1">
        <f t="array" ref="E435">- METOCLOPRAMIDE HYDROCHLORIDE</f>
        <v>#NAME?</v>
      </c>
      <c r="F435" t="s">
        <v>1874</v>
      </c>
      <c r="H435" t="s">
        <v>269</v>
      </c>
      <c r="L435" t="s">
        <v>1875</v>
      </c>
      <c r="M435" t="s">
        <v>291</v>
      </c>
      <c r="N435" t="s">
        <v>1876</v>
      </c>
      <c r="P435" t="s">
        <v>1877</v>
      </c>
      <c r="Q435" t="s">
        <v>1878</v>
      </c>
      <c r="R435">
        <v>4</v>
      </c>
      <c r="S435">
        <v>16</v>
      </c>
    </row>
    <row r="436" spans="1:19" x14ac:dyDescent="0.35">
      <c r="A436">
        <v>6457</v>
      </c>
      <c r="B436" t="s">
        <v>1787</v>
      </c>
      <c r="C436" t="s">
        <v>42</v>
      </c>
      <c r="D436" t="s">
        <v>1788</v>
      </c>
      <c r="E436" t="e" cm="1">
        <f t="array" ref="E436">- CEFIXIME TRIHYDRATE</f>
        <v>#NAME?</v>
      </c>
      <c r="F436" t="s">
        <v>1789</v>
      </c>
      <c r="H436" t="s">
        <v>1019</v>
      </c>
      <c r="J436" t="s">
        <v>829</v>
      </c>
      <c r="K436" t="s">
        <v>1020</v>
      </c>
      <c r="L436" t="s">
        <v>1021</v>
      </c>
      <c r="M436" t="s">
        <v>271</v>
      </c>
      <c r="N436" t="s">
        <v>1790</v>
      </c>
      <c r="P436" t="s">
        <v>1791</v>
      </c>
      <c r="Q436" t="s">
        <v>1792</v>
      </c>
      <c r="R436">
        <v>4</v>
      </c>
      <c r="S436">
        <v>16</v>
      </c>
    </row>
    <row r="437" spans="1:19" x14ac:dyDescent="0.35">
      <c r="A437">
        <v>3619</v>
      </c>
      <c r="B437" t="s">
        <v>1872</v>
      </c>
      <c r="C437" t="s">
        <v>42</v>
      </c>
      <c r="D437" t="s">
        <v>1873</v>
      </c>
      <c r="E437" t="e" cm="1">
        <f t="array" ref="E437">- METOCLOPRAMIDE HYDROCHLORIDE</f>
        <v>#NAME?</v>
      </c>
      <c r="F437" t="s">
        <v>1874</v>
      </c>
      <c r="H437" t="s">
        <v>269</v>
      </c>
      <c r="L437" t="s">
        <v>1875</v>
      </c>
      <c r="M437" t="s">
        <v>291</v>
      </c>
      <c r="N437" t="s">
        <v>1876</v>
      </c>
      <c r="P437" t="s">
        <v>1877</v>
      </c>
      <c r="Q437" t="s">
        <v>1878</v>
      </c>
      <c r="R437">
        <v>4</v>
      </c>
      <c r="S437">
        <v>16</v>
      </c>
    </row>
    <row r="438" spans="1:19" x14ac:dyDescent="0.35">
      <c r="A438">
        <v>5899</v>
      </c>
      <c r="B438" t="s">
        <v>1879</v>
      </c>
      <c r="C438" t="s">
        <v>42</v>
      </c>
      <c r="D438" t="s">
        <v>1880</v>
      </c>
      <c r="E438" t="e" cm="1">
        <f t="array" ref="E438">- CHLORAMPHENICOL PALMITATE</f>
        <v>#NAME?</v>
      </c>
      <c r="F438" s="1">
        <v>21600</v>
      </c>
      <c r="J438" t="s">
        <v>334</v>
      </c>
      <c r="M438" t="s">
        <v>340</v>
      </c>
      <c r="N438" t="s">
        <v>1714</v>
      </c>
      <c r="P438" t="s">
        <v>1881</v>
      </c>
      <c r="Q438" t="s">
        <v>1882</v>
      </c>
      <c r="R438">
        <v>4</v>
      </c>
      <c r="S438">
        <v>16</v>
      </c>
    </row>
    <row r="439" spans="1:19" x14ac:dyDescent="0.35">
      <c r="A439">
        <v>3617</v>
      </c>
      <c r="B439" t="s">
        <v>1883</v>
      </c>
      <c r="C439" t="s">
        <v>42</v>
      </c>
      <c r="D439" t="s">
        <v>1884</v>
      </c>
      <c r="E439" t="e" cm="1">
        <f t="array" ref="E439">- METOCLOPRAMIDE HYDROCHLORIDE</f>
        <v>#NAME?</v>
      </c>
      <c r="F439" t="s">
        <v>1885</v>
      </c>
      <c r="G439" t="s">
        <v>737</v>
      </c>
      <c r="J439" t="s">
        <v>381</v>
      </c>
      <c r="L439" t="s">
        <v>1308</v>
      </c>
      <c r="M439" t="s">
        <v>46</v>
      </c>
      <c r="N439" t="s">
        <v>1876</v>
      </c>
      <c r="P439" t="s">
        <v>1886</v>
      </c>
      <c r="Q439" t="s">
        <v>1887</v>
      </c>
      <c r="R439">
        <v>4</v>
      </c>
      <c r="S439">
        <v>16</v>
      </c>
    </row>
    <row r="440" spans="1:19" x14ac:dyDescent="0.35">
      <c r="A440">
        <v>3611</v>
      </c>
      <c r="B440" t="s">
        <v>1888</v>
      </c>
      <c r="C440" t="s">
        <v>42</v>
      </c>
      <c r="D440" t="s">
        <v>1889</v>
      </c>
      <c r="E440" t="e" cm="1">
        <f t="array" ref="E440">- METOCLOPRAMIDE HYDROCHLORIDE</f>
        <v>#NAME?</v>
      </c>
      <c r="F440" t="s">
        <v>1890</v>
      </c>
      <c r="J440" t="s">
        <v>334</v>
      </c>
      <c r="M440" t="s">
        <v>271</v>
      </c>
      <c r="N440" t="s">
        <v>1876</v>
      </c>
      <c r="P440" t="s">
        <v>1891</v>
      </c>
      <c r="Q440" t="s">
        <v>1892</v>
      </c>
      <c r="R440">
        <v>4</v>
      </c>
      <c r="S440">
        <v>16</v>
      </c>
    </row>
    <row r="441" spans="1:19" x14ac:dyDescent="0.35">
      <c r="A441">
        <v>6204</v>
      </c>
      <c r="B441" t="s">
        <v>1059</v>
      </c>
      <c r="C441" t="s">
        <v>42</v>
      </c>
      <c r="D441" t="s">
        <v>1060</v>
      </c>
      <c r="E441" t="e" cm="1">
        <f t="array" ref="E441">- METRONIDAZOLE BENZOATE</f>
        <v>#NAME?</v>
      </c>
      <c r="F441" s="1">
        <v>26300</v>
      </c>
      <c r="J441" t="s">
        <v>614</v>
      </c>
      <c r="M441" t="s">
        <v>340</v>
      </c>
      <c r="N441" t="s">
        <v>1893</v>
      </c>
      <c r="P441" t="s">
        <v>1061</v>
      </c>
      <c r="Q441" t="s">
        <v>1894</v>
      </c>
      <c r="R441">
        <v>4</v>
      </c>
      <c r="S441">
        <v>16</v>
      </c>
    </row>
    <row r="442" spans="1:19" x14ac:dyDescent="0.35">
      <c r="A442">
        <v>3609</v>
      </c>
      <c r="B442" t="s">
        <v>1895</v>
      </c>
      <c r="C442" t="s">
        <v>42</v>
      </c>
      <c r="D442" t="s">
        <v>1896</v>
      </c>
      <c r="E442" t="e" cm="1">
        <f t="array" ref="E442">- METOCLOPRAMIDE HYDROCHLORIDE</f>
        <v>#NAME?</v>
      </c>
      <c r="F442" t="s">
        <v>1897</v>
      </c>
      <c r="J442" t="s">
        <v>1647</v>
      </c>
      <c r="M442" t="s">
        <v>824</v>
      </c>
      <c r="N442" t="s">
        <v>1876</v>
      </c>
      <c r="P442" t="s">
        <v>1891</v>
      </c>
      <c r="Q442" t="s">
        <v>1898</v>
      </c>
      <c r="R442">
        <v>4</v>
      </c>
      <c r="S442">
        <v>16</v>
      </c>
    </row>
    <row r="443" spans="1:19" x14ac:dyDescent="0.35">
      <c r="A443">
        <v>1336</v>
      </c>
      <c r="B443" t="s">
        <v>1899</v>
      </c>
      <c r="C443" t="s">
        <v>42</v>
      </c>
      <c r="D443" t="s">
        <v>1900</v>
      </c>
      <c r="E443" t="e" cm="1">
        <f t="array" ref="E443">- CHLORPHENAMINE MALEATE</f>
        <v>#NAME?</v>
      </c>
      <c r="F443" t="s">
        <v>1901</v>
      </c>
      <c r="J443" t="s">
        <v>381</v>
      </c>
      <c r="M443" t="s">
        <v>291</v>
      </c>
      <c r="N443" t="s">
        <v>1354</v>
      </c>
      <c r="P443" t="s">
        <v>1902</v>
      </c>
      <c r="Q443" t="s">
        <v>1903</v>
      </c>
      <c r="R443">
        <v>4</v>
      </c>
      <c r="S443">
        <v>16</v>
      </c>
    </row>
    <row r="444" spans="1:19" x14ac:dyDescent="0.35">
      <c r="A444">
        <v>6181</v>
      </c>
      <c r="B444" t="s">
        <v>1904</v>
      </c>
      <c r="C444" t="s">
        <v>42</v>
      </c>
      <c r="D444" t="s">
        <v>1905</v>
      </c>
      <c r="E444" t="e" cm="1">
        <f t="array" ref="E444">- MOXIFLOXACIN HYDROCHLORIDE</f>
        <v>#NAME?</v>
      </c>
      <c r="F444" t="s">
        <v>1906</v>
      </c>
      <c r="H444" t="s">
        <v>319</v>
      </c>
      <c r="J444" t="s">
        <v>1907</v>
      </c>
      <c r="L444" t="s">
        <v>321</v>
      </c>
      <c r="M444" t="s">
        <v>291</v>
      </c>
      <c r="N444" t="s">
        <v>1856</v>
      </c>
      <c r="P444" t="s">
        <v>1908</v>
      </c>
      <c r="Q444" t="s">
        <v>1909</v>
      </c>
      <c r="R444">
        <v>4</v>
      </c>
      <c r="S444">
        <v>16</v>
      </c>
    </row>
    <row r="445" spans="1:19" x14ac:dyDescent="0.35">
      <c r="A445">
        <v>6157</v>
      </c>
      <c r="B445" t="s">
        <v>1910</v>
      </c>
      <c r="C445" t="s">
        <v>42</v>
      </c>
      <c r="D445" t="s">
        <v>1911</v>
      </c>
      <c r="E445" t="e" cm="1">
        <f t="array" ref="E445">- AMOXICILLIN TRIHYDRATE</f>
        <v>#NAME?</v>
      </c>
      <c r="F445" t="s">
        <v>1912</v>
      </c>
      <c r="H445" t="s">
        <v>319</v>
      </c>
      <c r="L445" t="s">
        <v>321</v>
      </c>
      <c r="M445" t="s">
        <v>38</v>
      </c>
      <c r="N445" t="s">
        <v>1523</v>
      </c>
      <c r="P445" t="s">
        <v>1913</v>
      </c>
      <c r="Q445" t="s">
        <v>1914</v>
      </c>
      <c r="R445">
        <v>4</v>
      </c>
      <c r="S445">
        <v>16</v>
      </c>
    </row>
    <row r="446" spans="1:19" x14ac:dyDescent="0.35">
      <c r="A446">
        <v>6156</v>
      </c>
      <c r="B446" t="s">
        <v>1910</v>
      </c>
      <c r="C446" t="s">
        <v>42</v>
      </c>
      <c r="D446" t="s">
        <v>1911</v>
      </c>
      <c r="E446" t="e" cm="1">
        <f t="array" ref="E446">- AMOXICILLIN TRIHYDRATE</f>
        <v>#NAME?</v>
      </c>
      <c r="F446" t="s">
        <v>1912</v>
      </c>
      <c r="H446" t="s">
        <v>319</v>
      </c>
      <c r="L446" t="s">
        <v>321</v>
      </c>
      <c r="M446" t="s">
        <v>38</v>
      </c>
      <c r="N446" t="s">
        <v>1523</v>
      </c>
      <c r="P446" t="s">
        <v>1913</v>
      </c>
      <c r="Q446" t="s">
        <v>1914</v>
      </c>
      <c r="R446">
        <v>4</v>
      </c>
      <c r="S446">
        <v>16</v>
      </c>
    </row>
    <row r="447" spans="1:19" x14ac:dyDescent="0.35">
      <c r="A447">
        <v>6567</v>
      </c>
      <c r="B447" t="s">
        <v>1915</v>
      </c>
      <c r="C447" t="s">
        <v>42</v>
      </c>
      <c r="D447" t="s">
        <v>1916</v>
      </c>
      <c r="E447" t="e" cm="1">
        <f t="array" ref="E447">- NYSTATIN</f>
        <v>#NAME?</v>
      </c>
      <c r="F447" t="s">
        <v>1917</v>
      </c>
      <c r="J447" t="s">
        <v>1824</v>
      </c>
      <c r="M447" t="s">
        <v>824</v>
      </c>
      <c r="N447" t="s">
        <v>1818</v>
      </c>
      <c r="P447" t="s">
        <v>1918</v>
      </c>
      <c r="Q447" t="s">
        <v>1919</v>
      </c>
      <c r="R447">
        <v>4</v>
      </c>
      <c r="S447">
        <v>16</v>
      </c>
    </row>
    <row r="448" spans="1:19" x14ac:dyDescent="0.35">
      <c r="A448">
        <v>6568</v>
      </c>
      <c r="B448" t="s">
        <v>1915</v>
      </c>
      <c r="C448" t="s">
        <v>42</v>
      </c>
      <c r="D448" t="s">
        <v>1916</v>
      </c>
      <c r="E448" t="e" cm="1">
        <f t="array" ref="E448">- NYSTATIN</f>
        <v>#NAME?</v>
      </c>
      <c r="F448" t="s">
        <v>1917</v>
      </c>
      <c r="J448" t="s">
        <v>1824</v>
      </c>
      <c r="M448" t="s">
        <v>824</v>
      </c>
      <c r="N448" t="s">
        <v>1818</v>
      </c>
      <c r="P448" t="s">
        <v>1918</v>
      </c>
      <c r="Q448" t="s">
        <v>1919</v>
      </c>
      <c r="R448">
        <v>4</v>
      </c>
      <c r="S448">
        <v>16</v>
      </c>
    </row>
    <row r="449" spans="1:19" x14ac:dyDescent="0.35">
      <c r="A449">
        <v>6153</v>
      </c>
      <c r="B449" t="s">
        <v>1920</v>
      </c>
      <c r="C449" t="s">
        <v>42</v>
      </c>
      <c r="D449" t="s">
        <v>1921</v>
      </c>
      <c r="E449" t="e" cm="1">
        <f t="array" ref="E449">- LEVOFLOXACIN HEMIHYDRATE</f>
        <v>#NAME?</v>
      </c>
      <c r="F449" t="s">
        <v>1922</v>
      </c>
      <c r="J449" t="s">
        <v>1923</v>
      </c>
      <c r="M449" t="s">
        <v>291</v>
      </c>
      <c r="N449" t="s">
        <v>1784</v>
      </c>
      <c r="P449" t="s">
        <v>1924</v>
      </c>
      <c r="Q449" t="s">
        <v>1925</v>
      </c>
      <c r="R449">
        <v>4</v>
      </c>
      <c r="S449">
        <v>16</v>
      </c>
    </row>
    <row r="450" spans="1:19" x14ac:dyDescent="0.35">
      <c r="A450">
        <v>1339</v>
      </c>
      <c r="B450" t="s">
        <v>1926</v>
      </c>
      <c r="C450" t="s">
        <v>42</v>
      </c>
      <c r="D450" t="s">
        <v>1927</v>
      </c>
      <c r="E450" t="e" cm="1">
        <f t="array" ref="E450">- CHLORPHENAMINE MALEATE</f>
        <v>#NAME?</v>
      </c>
      <c r="F450" t="s">
        <v>1928</v>
      </c>
      <c r="J450" t="s">
        <v>1929</v>
      </c>
      <c r="M450" t="s">
        <v>46</v>
      </c>
      <c r="N450" t="s">
        <v>1354</v>
      </c>
      <c r="P450" t="s">
        <v>1930</v>
      </c>
      <c r="Q450" t="s">
        <v>1931</v>
      </c>
      <c r="R450">
        <v>4</v>
      </c>
      <c r="S450">
        <v>16</v>
      </c>
    </row>
    <row r="451" spans="1:19" x14ac:dyDescent="0.35">
      <c r="A451">
        <v>1341</v>
      </c>
      <c r="B451" t="s">
        <v>1932</v>
      </c>
      <c r="C451" t="s">
        <v>42</v>
      </c>
      <c r="D451" t="s">
        <v>1933</v>
      </c>
      <c r="E451" t="e" cm="1">
        <f t="array" ref="E451">- CHLORPHENAMINE MALEATE</f>
        <v>#NAME?</v>
      </c>
      <c r="F451" t="s">
        <v>1934</v>
      </c>
      <c r="J451" t="s">
        <v>334</v>
      </c>
      <c r="M451" t="s">
        <v>271</v>
      </c>
      <c r="N451" t="s">
        <v>1354</v>
      </c>
      <c r="P451" t="s">
        <v>1935</v>
      </c>
      <c r="Q451" t="s">
        <v>1936</v>
      </c>
      <c r="R451">
        <v>4</v>
      </c>
      <c r="S451">
        <v>16</v>
      </c>
    </row>
    <row r="452" spans="1:19" x14ac:dyDescent="0.35">
      <c r="A452">
        <v>1332</v>
      </c>
      <c r="B452" t="s">
        <v>1937</v>
      </c>
      <c r="C452" t="s">
        <v>42</v>
      </c>
      <c r="D452" t="s">
        <v>1938</v>
      </c>
      <c r="E452" t="e" cm="1">
        <f t="array" ref="E452">- AMMONIUM CHLORIDE</f>
        <v>#NAME?</v>
      </c>
      <c r="F452" t="s">
        <v>1939</v>
      </c>
      <c r="J452" t="s">
        <v>334</v>
      </c>
      <c r="M452" t="s">
        <v>271</v>
      </c>
      <c r="N452" t="s">
        <v>1672</v>
      </c>
      <c r="P452" t="s">
        <v>1940</v>
      </c>
      <c r="Q452" t="s">
        <v>1941</v>
      </c>
      <c r="R452">
        <v>4</v>
      </c>
      <c r="S452">
        <v>16</v>
      </c>
    </row>
    <row r="453" spans="1:19" x14ac:dyDescent="0.35">
      <c r="A453">
        <v>5898</v>
      </c>
      <c r="B453" t="s">
        <v>1879</v>
      </c>
      <c r="C453" t="s">
        <v>42</v>
      </c>
      <c r="D453" t="s">
        <v>1880</v>
      </c>
      <c r="E453" t="e" cm="1">
        <f t="array" ref="E453">- CHLORAMPHENICOL PALMITATE</f>
        <v>#NAME?</v>
      </c>
      <c r="F453" s="1">
        <v>21600</v>
      </c>
      <c r="J453" t="s">
        <v>334</v>
      </c>
      <c r="M453" t="s">
        <v>340</v>
      </c>
      <c r="N453" t="s">
        <v>1714</v>
      </c>
      <c r="P453" t="s">
        <v>1881</v>
      </c>
      <c r="Q453" t="s">
        <v>1882</v>
      </c>
      <c r="R453">
        <v>4</v>
      </c>
      <c r="S453">
        <v>16</v>
      </c>
    </row>
    <row r="454" spans="1:19" x14ac:dyDescent="0.35">
      <c r="A454">
        <v>5897</v>
      </c>
      <c r="B454" t="s">
        <v>1942</v>
      </c>
      <c r="C454" t="s">
        <v>42</v>
      </c>
      <c r="D454" t="s">
        <v>1943</v>
      </c>
      <c r="E454" t="e" cm="1">
        <f t="array" ref="E454">- AMPICILLIN TRIHYDRATE</f>
        <v>#NAME?</v>
      </c>
      <c r="F454" t="s">
        <v>1944</v>
      </c>
      <c r="J454" t="s">
        <v>334</v>
      </c>
      <c r="M454" t="s">
        <v>271</v>
      </c>
      <c r="N454" t="s">
        <v>1945</v>
      </c>
      <c r="P454" t="s">
        <v>1946</v>
      </c>
      <c r="Q454" t="s">
        <v>1947</v>
      </c>
      <c r="R454">
        <v>4</v>
      </c>
      <c r="S454">
        <v>16</v>
      </c>
    </row>
    <row r="455" spans="1:19" x14ac:dyDescent="0.35">
      <c r="A455">
        <v>3411</v>
      </c>
      <c r="B455" t="s">
        <v>1948</v>
      </c>
      <c r="C455" t="s">
        <v>20</v>
      </c>
      <c r="D455" t="s">
        <v>1949</v>
      </c>
      <c r="E455" t="s">
        <v>1950</v>
      </c>
      <c r="F455" t="s">
        <v>1951</v>
      </c>
      <c r="J455" t="s">
        <v>1144</v>
      </c>
      <c r="M455" t="s">
        <v>271</v>
      </c>
      <c r="N455" t="s">
        <v>1952</v>
      </c>
      <c r="P455" t="s">
        <v>1953</v>
      </c>
      <c r="Q455" t="s">
        <v>1954</v>
      </c>
      <c r="R455">
        <v>4</v>
      </c>
      <c r="S455">
        <v>16</v>
      </c>
    </row>
    <row r="456" spans="1:19" x14ac:dyDescent="0.35">
      <c r="A456">
        <v>7163</v>
      </c>
      <c r="B456" t="s">
        <v>1955</v>
      </c>
      <c r="C456" t="s">
        <v>42</v>
      </c>
      <c r="D456" t="s">
        <v>1956</v>
      </c>
      <c r="E456" t="e" cm="1">
        <f t="array" ref="E456">- DICLOFENAC DIETHYLAMINE</f>
        <v>#NAME?</v>
      </c>
      <c r="F456" t="s">
        <v>1957</v>
      </c>
      <c r="J456" t="s">
        <v>979</v>
      </c>
      <c r="M456" t="s">
        <v>87</v>
      </c>
      <c r="N456" t="s">
        <v>1958</v>
      </c>
      <c r="P456" t="s">
        <v>1959</v>
      </c>
      <c r="Q456" t="s">
        <v>1960</v>
      </c>
      <c r="R456">
        <v>4</v>
      </c>
      <c r="S456">
        <v>16</v>
      </c>
    </row>
    <row r="457" spans="1:19" x14ac:dyDescent="0.35">
      <c r="A457">
        <v>7164</v>
      </c>
      <c r="B457" t="s">
        <v>1955</v>
      </c>
      <c r="C457" t="s">
        <v>42</v>
      </c>
      <c r="D457" t="s">
        <v>1956</v>
      </c>
      <c r="E457" t="e" cm="1">
        <f t="array" ref="E457">- DICLOFENAC DIETHYLAMINE</f>
        <v>#NAME?</v>
      </c>
      <c r="F457" t="s">
        <v>1957</v>
      </c>
      <c r="J457" t="s">
        <v>979</v>
      </c>
      <c r="M457" t="s">
        <v>87</v>
      </c>
      <c r="N457" t="s">
        <v>1958</v>
      </c>
      <c r="P457" t="s">
        <v>1959</v>
      </c>
      <c r="Q457" t="s">
        <v>1960</v>
      </c>
      <c r="R457">
        <v>4</v>
      </c>
      <c r="S457">
        <v>16</v>
      </c>
    </row>
    <row r="458" spans="1:19" x14ac:dyDescent="0.35">
      <c r="A458">
        <v>7179</v>
      </c>
      <c r="B458" t="s">
        <v>1961</v>
      </c>
      <c r="C458" t="s">
        <v>850</v>
      </c>
      <c r="D458" t="s">
        <v>1962</v>
      </c>
      <c r="E458" t="e" cm="1">
        <f t="array" ref="E458">- Camphor</f>
        <v>#NAME?</v>
      </c>
      <c r="F458" t="s">
        <v>1963</v>
      </c>
      <c r="J458" t="s">
        <v>1964</v>
      </c>
      <c r="N458" t="s">
        <v>853</v>
      </c>
      <c r="P458" t="s">
        <v>1965</v>
      </c>
      <c r="Q458" t="s">
        <v>1966</v>
      </c>
      <c r="R458">
        <v>4</v>
      </c>
      <c r="S458">
        <v>16</v>
      </c>
    </row>
    <row r="459" spans="1:19" x14ac:dyDescent="0.35">
      <c r="A459">
        <v>7180</v>
      </c>
      <c r="B459" t="s">
        <v>1961</v>
      </c>
      <c r="C459" t="s">
        <v>850</v>
      </c>
      <c r="D459" t="s">
        <v>1967</v>
      </c>
      <c r="E459" t="e" cm="1">
        <f t="array" ref="E459">- Camphor</f>
        <v>#NAME?</v>
      </c>
      <c r="F459" t="s">
        <v>1968</v>
      </c>
      <c r="J459" t="s">
        <v>829</v>
      </c>
      <c r="N459" t="s">
        <v>853</v>
      </c>
      <c r="P459" t="s">
        <v>1965</v>
      </c>
      <c r="Q459" t="s">
        <v>1966</v>
      </c>
      <c r="R459">
        <v>4</v>
      </c>
      <c r="S459">
        <v>16</v>
      </c>
    </row>
    <row r="460" spans="1:19" x14ac:dyDescent="0.35">
      <c r="A460">
        <v>3654</v>
      </c>
      <c r="B460" t="s">
        <v>1969</v>
      </c>
      <c r="C460" t="s">
        <v>42</v>
      </c>
      <c r="D460" t="s">
        <v>1970</v>
      </c>
      <c r="E460" t="e" cm="1">
        <f t="array" ref="E460">- DOMPERIDONE MALEATE</f>
        <v>#NAME?</v>
      </c>
      <c r="F460" t="s">
        <v>1971</v>
      </c>
      <c r="J460" t="s">
        <v>334</v>
      </c>
      <c r="M460" t="s">
        <v>46</v>
      </c>
      <c r="N460" t="s">
        <v>1609</v>
      </c>
      <c r="P460" t="s">
        <v>1972</v>
      </c>
      <c r="Q460" t="s">
        <v>1973</v>
      </c>
      <c r="R460">
        <v>4</v>
      </c>
      <c r="S460">
        <v>16</v>
      </c>
    </row>
    <row r="461" spans="1:19" x14ac:dyDescent="0.35">
      <c r="A461">
        <v>3253</v>
      </c>
      <c r="B461" t="s">
        <v>1974</v>
      </c>
      <c r="C461" t="s">
        <v>42</v>
      </c>
      <c r="D461" t="s">
        <v>1975</v>
      </c>
      <c r="E461" t="e" cm="1">
        <f t="array" ref="E461">- ESOMEPRAZOLE MAGNESIUM</f>
        <v>#NAME?</v>
      </c>
      <c r="F461" t="s">
        <v>1976</v>
      </c>
      <c r="H461">
        <v>0</v>
      </c>
      <c r="J461" t="s">
        <v>1977</v>
      </c>
      <c r="M461" t="s">
        <v>46</v>
      </c>
      <c r="N461" t="s">
        <v>1978</v>
      </c>
      <c r="P461" t="s">
        <v>1979</v>
      </c>
      <c r="Q461" t="s">
        <v>1980</v>
      </c>
      <c r="R461">
        <v>4</v>
      </c>
      <c r="S461">
        <v>16</v>
      </c>
    </row>
    <row r="462" spans="1:19" x14ac:dyDescent="0.35">
      <c r="A462">
        <v>3216</v>
      </c>
      <c r="B462" t="s">
        <v>1981</v>
      </c>
      <c r="C462" t="s">
        <v>42</v>
      </c>
      <c r="D462" t="s">
        <v>1982</v>
      </c>
      <c r="E462" t="e" cm="1">
        <f t="array" ref="E462">- RANITIDINE HYDROCHLORIDE</f>
        <v>#NAME?</v>
      </c>
      <c r="F462" t="s">
        <v>1983</v>
      </c>
      <c r="H462" t="s">
        <v>1984</v>
      </c>
      <c r="L462" t="s">
        <v>382</v>
      </c>
      <c r="M462" t="s">
        <v>46</v>
      </c>
      <c r="N462" t="s">
        <v>1985</v>
      </c>
      <c r="P462" t="s">
        <v>1986</v>
      </c>
      <c r="Q462" t="s">
        <v>1987</v>
      </c>
      <c r="R462">
        <v>4</v>
      </c>
      <c r="S462">
        <v>16</v>
      </c>
    </row>
    <row r="463" spans="1:19" x14ac:dyDescent="0.35">
      <c r="A463">
        <v>1409</v>
      </c>
      <c r="B463" t="s">
        <v>1988</v>
      </c>
      <c r="C463" t="s">
        <v>42</v>
      </c>
      <c r="D463" t="s">
        <v>1989</v>
      </c>
      <c r="E463" t="e" cm="1">
        <f t="array" ref="E463">- DEXTROMETHORPHAN HYDROBROMIDE</f>
        <v>#NAME?</v>
      </c>
      <c r="F463" t="s">
        <v>1990</v>
      </c>
      <c r="M463" t="s">
        <v>271</v>
      </c>
      <c r="N463" t="s">
        <v>1376</v>
      </c>
      <c r="P463" t="s">
        <v>1991</v>
      </c>
      <c r="Q463" t="s">
        <v>1992</v>
      </c>
      <c r="R463">
        <v>4</v>
      </c>
      <c r="S463">
        <v>16</v>
      </c>
    </row>
    <row r="464" spans="1:19" x14ac:dyDescent="0.35">
      <c r="A464">
        <v>1411</v>
      </c>
      <c r="B464" t="s">
        <v>1993</v>
      </c>
      <c r="C464" t="s">
        <v>42</v>
      </c>
      <c r="D464" t="s">
        <v>1994</v>
      </c>
      <c r="E464" t="e" cm="1">
        <f t="array" ref="E464">- DEXCHLORPHENIRAMINE MALEATE</f>
        <v>#NAME?</v>
      </c>
      <c r="F464" t="s">
        <v>1995</v>
      </c>
      <c r="J464" t="s">
        <v>334</v>
      </c>
      <c r="M464" t="s">
        <v>271</v>
      </c>
      <c r="N464" t="s">
        <v>1530</v>
      </c>
      <c r="P464" t="s">
        <v>1996</v>
      </c>
      <c r="Q464" t="s">
        <v>1997</v>
      </c>
      <c r="R464">
        <v>4</v>
      </c>
      <c r="S464">
        <v>16</v>
      </c>
    </row>
    <row r="465" spans="1:22" x14ac:dyDescent="0.35">
      <c r="A465">
        <v>3661</v>
      </c>
      <c r="B465" t="s">
        <v>1998</v>
      </c>
      <c r="C465" t="s">
        <v>42</v>
      </c>
      <c r="D465" t="s">
        <v>1999</v>
      </c>
      <c r="E465" t="s">
        <v>2000</v>
      </c>
      <c r="F465" t="s">
        <v>2001</v>
      </c>
      <c r="G465" t="s">
        <v>2002</v>
      </c>
      <c r="K465" t="s">
        <v>727</v>
      </c>
      <c r="M465" t="s">
        <v>1308</v>
      </c>
      <c r="N465" t="s">
        <v>291</v>
      </c>
      <c r="P465" t="s">
        <v>1876</v>
      </c>
      <c r="R465" t="s">
        <v>2003</v>
      </c>
      <c r="S465" t="s">
        <v>2004</v>
      </c>
      <c r="T465" t="s">
        <v>2005</v>
      </c>
      <c r="U465">
        <v>4</v>
      </c>
      <c r="V465">
        <v>16</v>
      </c>
    </row>
    <row r="466" spans="1:22" x14ac:dyDescent="0.35">
      <c r="A466">
        <v>3812</v>
      </c>
      <c r="B466" t="s">
        <v>2006</v>
      </c>
      <c r="C466" t="s">
        <v>42</v>
      </c>
      <c r="D466" t="s">
        <v>2007</v>
      </c>
      <c r="E466" t="e" cm="1">
        <f t="array" ref="E466">- LOPERAMIDE HYDROCHLORIDE</f>
        <v>#NAME?</v>
      </c>
      <c r="F466" t="s">
        <v>2008</v>
      </c>
      <c r="H466">
        <v>0</v>
      </c>
      <c r="J466" t="s">
        <v>381</v>
      </c>
      <c r="M466" t="s">
        <v>46</v>
      </c>
      <c r="N466" t="s">
        <v>1461</v>
      </c>
      <c r="P466" t="s">
        <v>2009</v>
      </c>
      <c r="Q466" t="s">
        <v>2010</v>
      </c>
      <c r="R466">
        <v>4</v>
      </c>
      <c r="S466">
        <v>16</v>
      </c>
    </row>
    <row r="467" spans="1:22" x14ac:dyDescent="0.35">
      <c r="A467">
        <v>3192</v>
      </c>
      <c r="B467" t="s">
        <v>2011</v>
      </c>
      <c r="C467" t="s">
        <v>42</v>
      </c>
      <c r="D467" t="s">
        <v>2012</v>
      </c>
      <c r="E467" t="e" cm="1">
        <f t="array" ref="E467">- DIMETICONE</f>
        <v>#NAME?</v>
      </c>
      <c r="F467" s="1">
        <v>53600</v>
      </c>
      <c r="J467" t="s">
        <v>2013</v>
      </c>
      <c r="M467" t="s">
        <v>38</v>
      </c>
      <c r="N467" t="s">
        <v>2014</v>
      </c>
      <c r="P467" t="s">
        <v>2015</v>
      </c>
      <c r="Q467" t="s">
        <v>2016</v>
      </c>
      <c r="R467">
        <v>4</v>
      </c>
      <c r="S467">
        <v>16</v>
      </c>
    </row>
    <row r="468" spans="1:22" x14ac:dyDescent="0.35">
      <c r="A468">
        <v>5560</v>
      </c>
      <c r="B468" t="s">
        <v>1025</v>
      </c>
      <c r="C468" t="s">
        <v>42</v>
      </c>
      <c r="D468" t="s">
        <v>1026</v>
      </c>
      <c r="E468" t="e" cm="1">
        <f t="array" ref="E468">- CETRIMONIUM BROMIDE</f>
        <v>#NAME?</v>
      </c>
      <c r="F468" t="s">
        <v>1027</v>
      </c>
      <c r="J468" t="s">
        <v>1028</v>
      </c>
      <c r="M468" t="s">
        <v>1029</v>
      </c>
      <c r="N468" t="s">
        <v>2017</v>
      </c>
      <c r="P468" t="s">
        <v>1031</v>
      </c>
      <c r="Q468" t="s">
        <v>2018</v>
      </c>
      <c r="R468">
        <v>4</v>
      </c>
      <c r="S468">
        <v>16</v>
      </c>
    </row>
    <row r="469" spans="1:22" x14ac:dyDescent="0.35">
      <c r="A469">
        <v>3813</v>
      </c>
      <c r="B469" t="s">
        <v>2006</v>
      </c>
      <c r="C469" t="s">
        <v>42</v>
      </c>
      <c r="D469" t="s">
        <v>2007</v>
      </c>
      <c r="E469" t="e" cm="1">
        <f t="array" ref="E469">- LOPERAMIDE HYDROCHLORIDE</f>
        <v>#NAME?</v>
      </c>
      <c r="F469" t="s">
        <v>2008</v>
      </c>
      <c r="H469">
        <v>0</v>
      </c>
      <c r="J469" t="s">
        <v>381</v>
      </c>
      <c r="M469" t="s">
        <v>46</v>
      </c>
      <c r="N469" t="s">
        <v>1461</v>
      </c>
      <c r="P469" t="s">
        <v>2009</v>
      </c>
      <c r="Q469" t="s">
        <v>2010</v>
      </c>
      <c r="R469">
        <v>4</v>
      </c>
      <c r="S469">
        <v>16</v>
      </c>
    </row>
    <row r="470" spans="1:22" x14ac:dyDescent="0.35">
      <c r="A470">
        <v>6367</v>
      </c>
      <c r="B470" t="s">
        <v>1406</v>
      </c>
      <c r="C470" t="s">
        <v>42</v>
      </c>
      <c r="D470" t="s">
        <v>1407</v>
      </c>
      <c r="E470" t="e" cm="1">
        <f t="array" ref="E470">- RIFAMPICIN</f>
        <v>#NAME?</v>
      </c>
      <c r="F470" t="s">
        <v>1408</v>
      </c>
      <c r="G470" t="s">
        <v>1409</v>
      </c>
      <c r="H470" t="s">
        <v>1410</v>
      </c>
      <c r="I470" t="s">
        <v>1411</v>
      </c>
      <c r="J470" t="s">
        <v>515</v>
      </c>
      <c r="K470" t="s">
        <v>1412</v>
      </c>
      <c r="L470" t="s">
        <v>1413</v>
      </c>
      <c r="M470" t="s">
        <v>38</v>
      </c>
      <c r="N470" t="s">
        <v>516</v>
      </c>
      <c r="O470" t="s">
        <v>1414</v>
      </c>
      <c r="P470" t="s">
        <v>516</v>
      </c>
      <c r="Q470" t="s">
        <v>1415</v>
      </c>
      <c r="R470">
        <v>4</v>
      </c>
      <c r="S470">
        <v>16</v>
      </c>
    </row>
    <row r="471" spans="1:22" x14ac:dyDescent="0.35">
      <c r="A471">
        <v>3191</v>
      </c>
      <c r="B471" t="s">
        <v>2011</v>
      </c>
      <c r="C471" t="s">
        <v>42</v>
      </c>
      <c r="D471" t="s">
        <v>2012</v>
      </c>
      <c r="E471" t="e" cm="1">
        <f t="array" ref="E471">- DIMETICONE</f>
        <v>#NAME?</v>
      </c>
      <c r="F471" s="1">
        <v>53600</v>
      </c>
      <c r="J471" t="s">
        <v>2013</v>
      </c>
      <c r="M471" t="s">
        <v>38</v>
      </c>
      <c r="N471" t="s">
        <v>2014</v>
      </c>
      <c r="P471" t="s">
        <v>2015</v>
      </c>
      <c r="Q471" t="s">
        <v>2016</v>
      </c>
      <c r="R471">
        <v>4</v>
      </c>
      <c r="S471">
        <v>16</v>
      </c>
    </row>
    <row r="472" spans="1:22" x14ac:dyDescent="0.35">
      <c r="A472">
        <v>7281</v>
      </c>
      <c r="B472" t="s">
        <v>2019</v>
      </c>
      <c r="C472" t="s">
        <v>850</v>
      </c>
      <c r="D472" t="s">
        <v>2020</v>
      </c>
      <c r="E472" t="e" cm="1">
        <f t="array" ref="E472">- Asam Salisilat</f>
        <v>#NAME?</v>
      </c>
      <c r="F472" t="s">
        <v>2021</v>
      </c>
      <c r="J472" t="s">
        <v>743</v>
      </c>
      <c r="N472" t="s">
        <v>2022</v>
      </c>
      <c r="P472" t="s">
        <v>2023</v>
      </c>
      <c r="Q472" t="s">
        <v>2024</v>
      </c>
      <c r="R472">
        <v>4</v>
      </c>
      <c r="S472">
        <v>16</v>
      </c>
    </row>
    <row r="473" spans="1:22" x14ac:dyDescent="0.35">
      <c r="A473">
        <v>1271</v>
      </c>
      <c r="B473" t="s">
        <v>2025</v>
      </c>
      <c r="C473" t="s">
        <v>42</v>
      </c>
      <c r="D473" t="s">
        <v>2026</v>
      </c>
      <c r="E473" t="e" cm="1">
        <f t="array" ref="E473">- CHLORPHENAMINE MALEATE</f>
        <v>#NAME?</v>
      </c>
      <c r="F473" t="s">
        <v>2027</v>
      </c>
      <c r="J473" t="s">
        <v>2028</v>
      </c>
      <c r="M473" t="s">
        <v>46</v>
      </c>
      <c r="N473" t="s">
        <v>1354</v>
      </c>
      <c r="P473" t="s">
        <v>2029</v>
      </c>
      <c r="Q473" t="s">
        <v>2030</v>
      </c>
      <c r="R473">
        <v>4</v>
      </c>
      <c r="S473">
        <v>16</v>
      </c>
    </row>
    <row r="474" spans="1:22" x14ac:dyDescent="0.35">
      <c r="A474">
        <v>7282</v>
      </c>
      <c r="B474" t="s">
        <v>2031</v>
      </c>
      <c r="C474" t="s">
        <v>850</v>
      </c>
      <c r="D474" t="s">
        <v>2032</v>
      </c>
      <c r="E474" t="e" cm="1">
        <f t="array" ref="E474">- Menthol</f>
        <v>#NAME?</v>
      </c>
      <c r="F474" t="s">
        <v>2033</v>
      </c>
      <c r="J474" t="s">
        <v>1028</v>
      </c>
      <c r="M474" t="s">
        <v>1289</v>
      </c>
      <c r="N474" t="s">
        <v>2034</v>
      </c>
      <c r="P474" t="s">
        <v>2035</v>
      </c>
      <c r="Q474" t="s">
        <v>2036</v>
      </c>
      <c r="R474">
        <v>4</v>
      </c>
      <c r="S474">
        <v>16</v>
      </c>
    </row>
    <row r="475" spans="1:22" x14ac:dyDescent="0.35">
      <c r="A475">
        <v>5454</v>
      </c>
      <c r="B475" t="s">
        <v>2037</v>
      </c>
      <c r="C475" t="s">
        <v>42</v>
      </c>
      <c r="D475" t="s">
        <v>2038</v>
      </c>
      <c r="E475" t="e" cm="1">
        <f t="array" ref="E475">- ACICLOVIR</f>
        <v>#NAME?</v>
      </c>
      <c r="F475" t="s">
        <v>2039</v>
      </c>
      <c r="H475" t="s">
        <v>319</v>
      </c>
      <c r="J475" t="s">
        <v>2040</v>
      </c>
      <c r="L475" t="s">
        <v>321</v>
      </c>
      <c r="M475" t="s">
        <v>1029</v>
      </c>
      <c r="N475" t="s">
        <v>1685</v>
      </c>
      <c r="P475" t="s">
        <v>2041</v>
      </c>
      <c r="Q475" t="s">
        <v>2042</v>
      </c>
      <c r="R475">
        <v>4</v>
      </c>
      <c r="S475">
        <v>16</v>
      </c>
    </row>
    <row r="476" spans="1:22" x14ac:dyDescent="0.35">
      <c r="A476">
        <v>7283</v>
      </c>
      <c r="B476" t="s">
        <v>2031</v>
      </c>
      <c r="C476" t="s">
        <v>850</v>
      </c>
      <c r="D476" t="s">
        <v>2043</v>
      </c>
      <c r="E476" t="e" cm="1">
        <f t="array" ref="E476">- Menthol</f>
        <v>#NAME?</v>
      </c>
      <c r="F476" t="s">
        <v>2044</v>
      </c>
      <c r="J476" t="s">
        <v>2045</v>
      </c>
      <c r="M476" t="s">
        <v>1289</v>
      </c>
      <c r="N476" t="s">
        <v>2034</v>
      </c>
      <c r="P476" t="s">
        <v>2035</v>
      </c>
      <c r="Q476" t="s">
        <v>2036</v>
      </c>
      <c r="R476">
        <v>4</v>
      </c>
      <c r="S476">
        <v>16</v>
      </c>
    </row>
    <row r="477" spans="1:22" x14ac:dyDescent="0.35">
      <c r="A477">
        <v>3190</v>
      </c>
      <c r="B477" t="s">
        <v>2011</v>
      </c>
      <c r="C477" t="s">
        <v>42</v>
      </c>
      <c r="D477" t="s">
        <v>2012</v>
      </c>
      <c r="E477" t="e" cm="1">
        <f t="array" ref="E477">- SIMETHICONE</f>
        <v>#NAME?</v>
      </c>
      <c r="F477" s="1">
        <v>53600</v>
      </c>
      <c r="J477" t="s">
        <v>2013</v>
      </c>
      <c r="M477" t="s">
        <v>38</v>
      </c>
      <c r="N477" t="s">
        <v>886</v>
      </c>
      <c r="P477" t="s">
        <v>2015</v>
      </c>
      <c r="Q477" t="s">
        <v>2046</v>
      </c>
      <c r="R477">
        <v>4</v>
      </c>
      <c r="S477">
        <v>16</v>
      </c>
    </row>
    <row r="478" spans="1:22" x14ac:dyDescent="0.35">
      <c r="A478">
        <v>5453</v>
      </c>
      <c r="B478" t="s">
        <v>2037</v>
      </c>
      <c r="C478" t="s">
        <v>42</v>
      </c>
      <c r="D478" t="s">
        <v>2038</v>
      </c>
      <c r="E478" t="e" cm="1">
        <f t="array" ref="E478">- ACICLOVIR</f>
        <v>#NAME?</v>
      </c>
      <c r="F478" t="s">
        <v>2039</v>
      </c>
      <c r="H478" t="s">
        <v>319</v>
      </c>
      <c r="J478" t="s">
        <v>2040</v>
      </c>
      <c r="L478" t="s">
        <v>321</v>
      </c>
      <c r="M478" t="s">
        <v>1029</v>
      </c>
      <c r="N478" t="s">
        <v>1685</v>
      </c>
      <c r="P478" t="s">
        <v>2041</v>
      </c>
      <c r="Q478" t="s">
        <v>2042</v>
      </c>
      <c r="R478">
        <v>4</v>
      </c>
      <c r="S478">
        <v>16</v>
      </c>
    </row>
    <row r="479" spans="1:22" x14ac:dyDescent="0.35">
      <c r="A479">
        <v>5444</v>
      </c>
      <c r="B479" t="s">
        <v>2047</v>
      </c>
      <c r="C479" t="s">
        <v>42</v>
      </c>
      <c r="D479" t="s">
        <v>2048</v>
      </c>
      <c r="E479" t="e" cm="1">
        <f t="array" ref="E479">- KETOCONAZOLE</f>
        <v>#NAME?</v>
      </c>
      <c r="F479" s="1">
        <v>8400</v>
      </c>
      <c r="J479" t="s">
        <v>2049</v>
      </c>
      <c r="M479" t="s">
        <v>1289</v>
      </c>
      <c r="N479" t="s">
        <v>533</v>
      </c>
      <c r="P479" t="s">
        <v>2050</v>
      </c>
      <c r="Q479" t="s">
        <v>2051</v>
      </c>
      <c r="R479">
        <v>4</v>
      </c>
      <c r="S479">
        <v>16</v>
      </c>
    </row>
    <row r="480" spans="1:22" x14ac:dyDescent="0.35">
      <c r="A480">
        <v>7329</v>
      </c>
      <c r="B480" t="s">
        <v>1688</v>
      </c>
      <c r="C480" t="s">
        <v>42</v>
      </c>
      <c r="D480" t="s">
        <v>1689</v>
      </c>
      <c r="E480" t="e" cm="1">
        <f t="array" ref="E480">- LEVONORGESTREL</f>
        <v>#NAME?</v>
      </c>
      <c r="F480" t="s">
        <v>1690</v>
      </c>
      <c r="G480" t="s">
        <v>1691</v>
      </c>
      <c r="H480" t="s">
        <v>1692</v>
      </c>
      <c r="I480" t="s">
        <v>1693</v>
      </c>
      <c r="J480" t="s">
        <v>1694</v>
      </c>
      <c r="K480" t="s">
        <v>1695</v>
      </c>
    </row>
    <row r="481" spans="1:19" x14ac:dyDescent="0.35">
      <c r="A481">
        <v>6366</v>
      </c>
      <c r="B481" t="s">
        <v>1406</v>
      </c>
      <c r="C481" t="s">
        <v>42</v>
      </c>
      <c r="D481" t="s">
        <v>1407</v>
      </c>
      <c r="E481" t="e" cm="1">
        <f t="array" ref="E481">- RIFAMPICIN</f>
        <v>#NAME?</v>
      </c>
      <c r="F481" t="s">
        <v>1408</v>
      </c>
      <c r="G481" t="s">
        <v>1409</v>
      </c>
      <c r="H481" t="s">
        <v>1410</v>
      </c>
      <c r="I481" t="s">
        <v>1411</v>
      </c>
      <c r="J481" t="s">
        <v>515</v>
      </c>
      <c r="K481" t="s">
        <v>1412</v>
      </c>
      <c r="L481" t="s">
        <v>1413</v>
      </c>
      <c r="M481" t="s">
        <v>38</v>
      </c>
      <c r="N481" t="s">
        <v>516</v>
      </c>
      <c r="O481" t="s">
        <v>1414</v>
      </c>
      <c r="P481" t="s">
        <v>516</v>
      </c>
      <c r="Q481" t="s">
        <v>1415</v>
      </c>
      <c r="R481">
        <v>4</v>
      </c>
      <c r="S481">
        <v>16</v>
      </c>
    </row>
    <row r="482" spans="1:19" x14ac:dyDescent="0.35">
      <c r="A482">
        <v>6254</v>
      </c>
      <c r="B482" t="s">
        <v>2052</v>
      </c>
      <c r="C482" t="s">
        <v>42</v>
      </c>
      <c r="D482" t="s">
        <v>2053</v>
      </c>
      <c r="E482" t="e" cm="1">
        <f t="array" ref="E482">- AMPICILLIN TRIHYDRATE</f>
        <v>#NAME?</v>
      </c>
      <c r="F482" s="1">
        <v>5300</v>
      </c>
      <c r="J482" t="s">
        <v>334</v>
      </c>
      <c r="M482" t="s">
        <v>271</v>
      </c>
      <c r="N482" t="s">
        <v>1945</v>
      </c>
      <c r="P482" t="s">
        <v>2054</v>
      </c>
      <c r="Q482" t="s">
        <v>2055</v>
      </c>
      <c r="R482">
        <v>4</v>
      </c>
      <c r="S482">
        <v>16</v>
      </c>
    </row>
    <row r="483" spans="1:19" x14ac:dyDescent="0.35">
      <c r="A483">
        <v>5402</v>
      </c>
      <c r="B483" t="s">
        <v>2056</v>
      </c>
      <c r="C483" t="s">
        <v>42</v>
      </c>
      <c r="D483" t="s">
        <v>2057</v>
      </c>
      <c r="E483" t="e" cm="1">
        <f t="array" ref="E483">- BETAMETHASONE VALERATE</f>
        <v>#NAME?</v>
      </c>
      <c r="F483" t="s">
        <v>2058</v>
      </c>
      <c r="J483" t="s">
        <v>1684</v>
      </c>
      <c r="M483" t="s">
        <v>1289</v>
      </c>
      <c r="N483" t="s">
        <v>2059</v>
      </c>
      <c r="P483" t="s">
        <v>2060</v>
      </c>
      <c r="Q483" t="s">
        <v>2061</v>
      </c>
      <c r="R483">
        <v>4</v>
      </c>
      <c r="S483">
        <v>16</v>
      </c>
    </row>
    <row r="484" spans="1:19" x14ac:dyDescent="0.35">
      <c r="A484">
        <v>6418</v>
      </c>
      <c r="B484" t="s">
        <v>2062</v>
      </c>
      <c r="C484" t="s">
        <v>42</v>
      </c>
      <c r="D484" t="s">
        <v>2063</v>
      </c>
      <c r="E484" t="e" cm="1">
        <f t="array" ref="E484">- CIPROFLOXACIN HYDROCHLORIDE</f>
        <v>#NAME?</v>
      </c>
      <c r="F484" t="s">
        <v>2064</v>
      </c>
      <c r="H484" t="s">
        <v>269</v>
      </c>
      <c r="L484" t="s">
        <v>270</v>
      </c>
      <c r="M484" t="s">
        <v>46</v>
      </c>
      <c r="N484" t="s">
        <v>1624</v>
      </c>
      <c r="P484" t="s">
        <v>2065</v>
      </c>
      <c r="Q484" t="s">
        <v>2066</v>
      </c>
      <c r="R484">
        <v>4</v>
      </c>
      <c r="S484">
        <v>16</v>
      </c>
    </row>
    <row r="485" spans="1:19" x14ac:dyDescent="0.35">
      <c r="A485">
        <v>7141</v>
      </c>
      <c r="B485" t="s">
        <v>2067</v>
      </c>
      <c r="C485" t="s">
        <v>850</v>
      </c>
      <c r="D485" t="s">
        <v>2068</v>
      </c>
      <c r="E485" t="s">
        <v>2069</v>
      </c>
      <c r="F485" t="s">
        <v>2070</v>
      </c>
      <c r="J485" t="s">
        <v>1028</v>
      </c>
      <c r="M485" t="s">
        <v>1289</v>
      </c>
      <c r="N485" t="s">
        <v>2071</v>
      </c>
      <c r="P485" t="s">
        <v>2072</v>
      </c>
      <c r="Q485" t="s">
        <v>2073</v>
      </c>
      <c r="R485">
        <v>4</v>
      </c>
      <c r="S485">
        <v>16</v>
      </c>
    </row>
    <row r="486" spans="1:19" x14ac:dyDescent="0.35">
      <c r="A486">
        <v>1376</v>
      </c>
      <c r="B486" t="s">
        <v>2074</v>
      </c>
      <c r="C486" t="s">
        <v>42</v>
      </c>
      <c r="D486" t="s">
        <v>1638</v>
      </c>
      <c r="E486" t="e" cm="1">
        <f t="array" ref="E486">- GUAIFENESIN</f>
        <v>#NAME?</v>
      </c>
      <c r="F486" t="s">
        <v>1639</v>
      </c>
      <c r="J486" t="s">
        <v>829</v>
      </c>
      <c r="M486" t="s">
        <v>46</v>
      </c>
      <c r="N486" t="s">
        <v>361</v>
      </c>
      <c r="P486" t="s">
        <v>1641</v>
      </c>
      <c r="Q486" t="s">
        <v>2075</v>
      </c>
      <c r="R486">
        <v>4</v>
      </c>
      <c r="S486">
        <v>16</v>
      </c>
    </row>
    <row r="487" spans="1:19" x14ac:dyDescent="0.35">
      <c r="A487">
        <v>5896</v>
      </c>
      <c r="B487" t="s">
        <v>2076</v>
      </c>
      <c r="C487" t="s">
        <v>42</v>
      </c>
      <c r="D487" t="s">
        <v>2077</v>
      </c>
      <c r="E487" t="e" cm="1">
        <f t="array" ref="E487">- AMPICILLIN TRIHYDRATE</f>
        <v>#NAME?</v>
      </c>
      <c r="F487" t="s">
        <v>2078</v>
      </c>
      <c r="H487" t="s">
        <v>269</v>
      </c>
      <c r="L487" t="s">
        <v>270</v>
      </c>
      <c r="M487" t="s">
        <v>291</v>
      </c>
      <c r="N487" t="s">
        <v>1945</v>
      </c>
      <c r="P487" t="s">
        <v>1946</v>
      </c>
      <c r="Q487" t="s">
        <v>2079</v>
      </c>
      <c r="R487">
        <v>4</v>
      </c>
      <c r="S487">
        <v>16</v>
      </c>
    </row>
    <row r="488" spans="1:19" x14ac:dyDescent="0.35">
      <c r="A488">
        <v>3356</v>
      </c>
      <c r="B488" t="s">
        <v>2080</v>
      </c>
      <c r="C488" t="s">
        <v>42</v>
      </c>
      <c r="D488" t="s">
        <v>2081</v>
      </c>
      <c r="E488" t="e" cm="1">
        <f t="array" ref="E488">- SUCRALFATE SUSPENSION</f>
        <v>#NAME?</v>
      </c>
      <c r="F488" t="s">
        <v>2082</v>
      </c>
      <c r="J488" t="s">
        <v>2083</v>
      </c>
      <c r="M488" t="s">
        <v>340</v>
      </c>
      <c r="N488" t="s">
        <v>2084</v>
      </c>
      <c r="P488" t="s">
        <v>2085</v>
      </c>
      <c r="Q488" t="s">
        <v>2086</v>
      </c>
      <c r="R488">
        <v>4</v>
      </c>
      <c r="S488">
        <v>16</v>
      </c>
    </row>
    <row r="489" spans="1:19" x14ac:dyDescent="0.35">
      <c r="A489">
        <v>3653</v>
      </c>
      <c r="B489" t="s">
        <v>1969</v>
      </c>
      <c r="C489" t="s">
        <v>42</v>
      </c>
      <c r="D489" t="s">
        <v>1970</v>
      </c>
      <c r="E489" t="e" cm="1">
        <f t="array" ref="E489">- DOMPERIDONE MALEATE</f>
        <v>#NAME?</v>
      </c>
      <c r="F489" t="s">
        <v>1971</v>
      </c>
      <c r="J489" t="s">
        <v>334</v>
      </c>
      <c r="M489" t="s">
        <v>46</v>
      </c>
      <c r="N489" t="s">
        <v>1609</v>
      </c>
      <c r="P489" t="s">
        <v>1972</v>
      </c>
      <c r="Q489" t="s">
        <v>1973</v>
      </c>
      <c r="R489">
        <v>4</v>
      </c>
      <c r="S489">
        <v>16</v>
      </c>
    </row>
    <row r="490" spans="1:19" x14ac:dyDescent="0.35">
      <c r="A490">
        <v>6427</v>
      </c>
      <c r="B490" t="s">
        <v>2087</v>
      </c>
      <c r="C490" t="s">
        <v>42</v>
      </c>
      <c r="D490" t="s">
        <v>2088</v>
      </c>
      <c r="E490" t="e" cm="1">
        <f t="array" ref="E490">- RIFAMPICIN</f>
        <v>#NAME?</v>
      </c>
      <c r="F490" s="1">
        <v>135200</v>
      </c>
      <c r="H490" t="s">
        <v>319</v>
      </c>
      <c r="J490" t="s">
        <v>2089</v>
      </c>
      <c r="L490" t="s">
        <v>321</v>
      </c>
      <c r="M490" t="s">
        <v>271</v>
      </c>
      <c r="N490" t="s">
        <v>516</v>
      </c>
      <c r="P490" t="s">
        <v>2090</v>
      </c>
      <c r="Q490" t="s">
        <v>2091</v>
      </c>
      <c r="R490">
        <v>4</v>
      </c>
      <c r="S490">
        <v>16</v>
      </c>
    </row>
    <row r="491" spans="1:19" x14ac:dyDescent="0.35">
      <c r="A491">
        <v>5895</v>
      </c>
      <c r="B491" t="s">
        <v>2076</v>
      </c>
      <c r="C491" t="s">
        <v>42</v>
      </c>
      <c r="D491" t="s">
        <v>2077</v>
      </c>
      <c r="E491" t="e" cm="1">
        <f t="array" ref="E491">- AMPICILLIN TRIHYDRATE</f>
        <v>#NAME?</v>
      </c>
      <c r="F491" t="s">
        <v>2078</v>
      </c>
      <c r="H491" t="s">
        <v>269</v>
      </c>
      <c r="L491" t="s">
        <v>270</v>
      </c>
      <c r="M491" t="s">
        <v>291</v>
      </c>
      <c r="N491" t="s">
        <v>1945</v>
      </c>
      <c r="P491" t="s">
        <v>1946</v>
      </c>
      <c r="Q491" t="s">
        <v>2079</v>
      </c>
      <c r="R491">
        <v>4</v>
      </c>
      <c r="S491">
        <v>16</v>
      </c>
    </row>
    <row r="492" spans="1:19" x14ac:dyDescent="0.35">
      <c r="A492">
        <v>5894</v>
      </c>
      <c r="B492" t="s">
        <v>2092</v>
      </c>
      <c r="C492" t="s">
        <v>42</v>
      </c>
      <c r="D492" t="s">
        <v>2093</v>
      </c>
      <c r="E492" t="e" cm="1">
        <f t="array" ref="E492">- AMOXICILLIN TRIHYDRATE</f>
        <v>#NAME?</v>
      </c>
      <c r="F492" t="s">
        <v>2094</v>
      </c>
      <c r="J492" t="s">
        <v>727</v>
      </c>
      <c r="M492" t="s">
        <v>291</v>
      </c>
      <c r="N492" t="s">
        <v>1523</v>
      </c>
      <c r="P492" t="s">
        <v>2095</v>
      </c>
      <c r="Q492" t="s">
        <v>2096</v>
      </c>
      <c r="R492">
        <v>4</v>
      </c>
      <c r="S492">
        <v>16</v>
      </c>
    </row>
    <row r="493" spans="1:19" x14ac:dyDescent="0.35">
      <c r="A493">
        <v>3318</v>
      </c>
      <c r="B493" t="s">
        <v>2097</v>
      </c>
      <c r="C493" t="s">
        <v>42</v>
      </c>
      <c r="D493" t="s">
        <v>2098</v>
      </c>
      <c r="E493" t="e" cm="1">
        <f t="array" ref="E493">- OTILONIUM BROMIDE</f>
        <v>#NAME?</v>
      </c>
      <c r="F493" t="s">
        <v>2099</v>
      </c>
      <c r="J493" t="s">
        <v>2100</v>
      </c>
      <c r="M493" t="s">
        <v>46</v>
      </c>
      <c r="N493" t="s">
        <v>2101</v>
      </c>
      <c r="P493" t="s">
        <v>2102</v>
      </c>
      <c r="Q493" t="s">
        <v>2103</v>
      </c>
      <c r="R493">
        <v>4</v>
      </c>
      <c r="S493">
        <v>16</v>
      </c>
    </row>
    <row r="494" spans="1:19" x14ac:dyDescent="0.35">
      <c r="A494">
        <v>5893</v>
      </c>
      <c r="B494" t="s">
        <v>2092</v>
      </c>
      <c r="C494" t="s">
        <v>42</v>
      </c>
      <c r="D494" t="s">
        <v>2093</v>
      </c>
      <c r="E494" t="e" cm="1">
        <f t="array" ref="E494">- AMOXICILLIN TRIHYDRATE</f>
        <v>#NAME?</v>
      </c>
      <c r="F494" t="s">
        <v>2094</v>
      </c>
      <c r="J494" t="s">
        <v>727</v>
      </c>
      <c r="M494" t="s">
        <v>291</v>
      </c>
      <c r="N494" t="s">
        <v>1523</v>
      </c>
      <c r="P494" t="s">
        <v>2095</v>
      </c>
      <c r="Q494" t="s">
        <v>2096</v>
      </c>
      <c r="R494">
        <v>4</v>
      </c>
      <c r="S494">
        <v>16</v>
      </c>
    </row>
    <row r="495" spans="1:19" x14ac:dyDescent="0.35">
      <c r="A495">
        <v>5892</v>
      </c>
      <c r="B495" t="s">
        <v>2104</v>
      </c>
      <c r="C495" t="s">
        <v>42</v>
      </c>
      <c r="D495" t="s">
        <v>2105</v>
      </c>
      <c r="E495" t="e" cm="1">
        <f t="array" ref="E495">- AMOXICILLIN TRIHYDRATE</f>
        <v>#NAME?</v>
      </c>
      <c r="F495" t="s">
        <v>2106</v>
      </c>
      <c r="G495" t="s">
        <v>539</v>
      </c>
      <c r="H495" t="s">
        <v>269</v>
      </c>
      <c r="J495" t="s">
        <v>540</v>
      </c>
      <c r="L495" t="s">
        <v>270</v>
      </c>
      <c r="M495" t="s">
        <v>271</v>
      </c>
      <c r="N495" t="s">
        <v>1523</v>
      </c>
      <c r="P495" t="s">
        <v>2095</v>
      </c>
      <c r="Q495" t="s">
        <v>2107</v>
      </c>
      <c r="R495">
        <v>4</v>
      </c>
      <c r="S495">
        <v>16</v>
      </c>
    </row>
    <row r="496" spans="1:19" x14ac:dyDescent="0.35">
      <c r="A496">
        <v>6426</v>
      </c>
      <c r="B496" t="s">
        <v>2087</v>
      </c>
      <c r="C496" t="s">
        <v>42</v>
      </c>
      <c r="D496" t="s">
        <v>2088</v>
      </c>
      <c r="E496" t="e" cm="1">
        <f t="array" ref="E496">- RIFAMPICIN</f>
        <v>#NAME?</v>
      </c>
      <c r="F496" s="1">
        <v>135200</v>
      </c>
      <c r="H496" t="s">
        <v>319</v>
      </c>
      <c r="J496" t="s">
        <v>2089</v>
      </c>
      <c r="L496" t="s">
        <v>321</v>
      </c>
      <c r="M496" t="s">
        <v>271</v>
      </c>
      <c r="N496" t="s">
        <v>516</v>
      </c>
      <c r="P496" t="s">
        <v>2090</v>
      </c>
      <c r="Q496" t="s">
        <v>2091</v>
      </c>
      <c r="R496">
        <v>4</v>
      </c>
      <c r="S496">
        <v>16</v>
      </c>
    </row>
    <row r="497" spans="1:19" x14ac:dyDescent="0.35">
      <c r="A497">
        <v>6248</v>
      </c>
      <c r="B497" t="s">
        <v>2108</v>
      </c>
      <c r="C497" t="s">
        <v>42</v>
      </c>
      <c r="D497" t="s">
        <v>2109</v>
      </c>
      <c r="E497" t="e" cm="1">
        <f t="array" ref="E497">- CIPROFLOXACIN HYDROCHLORIDE</f>
        <v>#NAME?</v>
      </c>
      <c r="F497" t="s">
        <v>2110</v>
      </c>
      <c r="H497" t="s">
        <v>1055</v>
      </c>
      <c r="J497" t="s">
        <v>515</v>
      </c>
      <c r="L497" t="s">
        <v>321</v>
      </c>
      <c r="M497" t="s">
        <v>291</v>
      </c>
      <c r="N497" t="s">
        <v>1624</v>
      </c>
      <c r="P497" t="s">
        <v>2111</v>
      </c>
      <c r="Q497" t="s">
        <v>2112</v>
      </c>
      <c r="R497">
        <v>4</v>
      </c>
      <c r="S497">
        <v>16</v>
      </c>
    </row>
    <row r="498" spans="1:19" x14ac:dyDescent="0.35">
      <c r="A498">
        <v>5579</v>
      </c>
      <c r="B498" t="s">
        <v>1197</v>
      </c>
      <c r="C498" t="s">
        <v>20</v>
      </c>
      <c r="D498" t="s">
        <v>2113</v>
      </c>
      <c r="E498" t="s">
        <v>1199</v>
      </c>
      <c r="F498" t="s">
        <v>2114</v>
      </c>
      <c r="J498" t="s">
        <v>743</v>
      </c>
      <c r="M498" t="s">
        <v>2115</v>
      </c>
      <c r="N498" t="s">
        <v>1202</v>
      </c>
      <c r="P498" t="s">
        <v>2116</v>
      </c>
      <c r="Q498" t="s">
        <v>2117</v>
      </c>
      <c r="R498">
        <v>4</v>
      </c>
      <c r="S498">
        <v>16</v>
      </c>
    </row>
    <row r="499" spans="1:19" x14ac:dyDescent="0.35">
      <c r="A499">
        <v>3289</v>
      </c>
      <c r="B499" t="s">
        <v>2118</v>
      </c>
      <c r="C499" t="s">
        <v>42</v>
      </c>
      <c r="D499" t="s">
        <v>2119</v>
      </c>
      <c r="E499" t="e" cm="1">
        <f t="array" ref="E499">- ALUMINIUM HYDROXIDE</f>
        <v>#NAME?</v>
      </c>
      <c r="F499" t="s">
        <v>2120</v>
      </c>
      <c r="J499" t="s">
        <v>2121</v>
      </c>
      <c r="M499" t="s">
        <v>340</v>
      </c>
      <c r="N499" t="s">
        <v>1771</v>
      </c>
      <c r="P499" t="s">
        <v>2122</v>
      </c>
      <c r="Q499" t="s">
        <v>2123</v>
      </c>
      <c r="R499">
        <v>4</v>
      </c>
      <c r="S499">
        <v>16</v>
      </c>
    </row>
    <row r="500" spans="1:19" x14ac:dyDescent="0.35">
      <c r="A500">
        <v>5802</v>
      </c>
      <c r="B500" t="s">
        <v>2124</v>
      </c>
      <c r="C500" t="s">
        <v>42</v>
      </c>
      <c r="D500" t="s">
        <v>2125</v>
      </c>
      <c r="E500" t="e" cm="1">
        <f t="array" ref="E500">- METRONIDAZOLE BENZOATE</f>
        <v>#NAME?</v>
      </c>
      <c r="F500" s="1">
        <v>55000</v>
      </c>
      <c r="J500" t="s">
        <v>334</v>
      </c>
      <c r="M500" t="s">
        <v>340</v>
      </c>
      <c r="N500" t="s">
        <v>1893</v>
      </c>
      <c r="P500" t="s">
        <v>2126</v>
      </c>
      <c r="Q500" t="s">
        <v>2127</v>
      </c>
      <c r="R500">
        <v>4</v>
      </c>
      <c r="S500">
        <v>16</v>
      </c>
    </row>
    <row r="501" spans="1:19" x14ac:dyDescent="0.35">
      <c r="A501">
        <v>5801</v>
      </c>
      <c r="B501" t="s">
        <v>2124</v>
      </c>
      <c r="C501" t="s">
        <v>42</v>
      </c>
      <c r="D501" t="s">
        <v>2125</v>
      </c>
      <c r="E501" t="e" cm="1">
        <f t="array" ref="E501">- METRONIDAZOLE BENZOATE</f>
        <v>#NAME?</v>
      </c>
      <c r="F501" s="1">
        <v>55000</v>
      </c>
      <c r="J501" t="s">
        <v>334</v>
      </c>
      <c r="M501" t="s">
        <v>340</v>
      </c>
      <c r="N501" t="s">
        <v>1893</v>
      </c>
      <c r="P501" t="s">
        <v>2126</v>
      </c>
      <c r="Q501" t="s">
        <v>2127</v>
      </c>
      <c r="R501">
        <v>4</v>
      </c>
      <c r="S501">
        <v>16</v>
      </c>
    </row>
    <row r="502" spans="1:19" x14ac:dyDescent="0.35">
      <c r="A502">
        <v>5785</v>
      </c>
      <c r="B502" t="s">
        <v>2128</v>
      </c>
      <c r="C502" t="s">
        <v>42</v>
      </c>
      <c r="D502" t="s">
        <v>2129</v>
      </c>
      <c r="E502" t="e" cm="1">
        <f t="array" ref="E502">- CEFADROXIL MONOHYDRATE</f>
        <v>#NAME?</v>
      </c>
      <c r="F502" t="s">
        <v>2130</v>
      </c>
      <c r="H502" t="s">
        <v>319</v>
      </c>
      <c r="L502" t="s">
        <v>321</v>
      </c>
      <c r="M502" t="s">
        <v>38</v>
      </c>
      <c r="N502" t="s">
        <v>1777</v>
      </c>
      <c r="P502" t="s">
        <v>2131</v>
      </c>
      <c r="Q502" t="s">
        <v>2132</v>
      </c>
      <c r="R502">
        <v>4</v>
      </c>
      <c r="S502">
        <v>16</v>
      </c>
    </row>
    <row r="503" spans="1:19" x14ac:dyDescent="0.35">
      <c r="A503">
        <v>6420</v>
      </c>
      <c r="B503" t="s">
        <v>474</v>
      </c>
      <c r="C503" t="s">
        <v>42</v>
      </c>
      <c r="D503" t="s">
        <v>475</v>
      </c>
      <c r="E503" t="e" cm="1">
        <f t="array" ref="E503">- SULFAMETHOXAZOLE. TRIMETHOPRIM</f>
        <v>#NAME?</v>
      </c>
      <c r="F503" t="s">
        <v>476</v>
      </c>
      <c r="H503" t="s">
        <v>319</v>
      </c>
      <c r="J503" t="s">
        <v>477</v>
      </c>
      <c r="L503" t="s">
        <v>321</v>
      </c>
      <c r="M503" t="s">
        <v>340</v>
      </c>
      <c r="N503" t="s">
        <v>1379</v>
      </c>
      <c r="P503" t="s">
        <v>479</v>
      </c>
      <c r="Q503" t="s">
        <v>2133</v>
      </c>
      <c r="R503">
        <v>4</v>
      </c>
      <c r="S503">
        <v>16</v>
      </c>
    </row>
    <row r="504" spans="1:19" x14ac:dyDescent="0.35">
      <c r="A504">
        <v>5722</v>
      </c>
      <c r="B504" t="s">
        <v>2134</v>
      </c>
      <c r="C504" t="s">
        <v>42</v>
      </c>
      <c r="D504" t="s">
        <v>2135</v>
      </c>
      <c r="E504" t="e" cm="1">
        <f t="array" ref="E504">- RIFAMPICIN</f>
        <v>#NAME?</v>
      </c>
      <c r="F504" t="s">
        <v>2136</v>
      </c>
      <c r="G504" t="s">
        <v>1409</v>
      </c>
      <c r="H504" t="s">
        <v>2137</v>
      </c>
      <c r="I504" t="s">
        <v>1411</v>
      </c>
      <c r="J504" t="s">
        <v>515</v>
      </c>
      <c r="K504" t="s">
        <v>2138</v>
      </c>
      <c r="L504" t="s">
        <v>2139</v>
      </c>
      <c r="M504" t="s">
        <v>291</v>
      </c>
      <c r="N504" t="s">
        <v>516</v>
      </c>
      <c r="O504" t="s">
        <v>1414</v>
      </c>
      <c r="P504" t="s">
        <v>516</v>
      </c>
      <c r="Q504" t="s">
        <v>2140</v>
      </c>
      <c r="R504">
        <v>4</v>
      </c>
      <c r="S504">
        <v>16</v>
      </c>
    </row>
    <row r="505" spans="1:19" x14ac:dyDescent="0.35">
      <c r="A505">
        <v>3256</v>
      </c>
      <c r="B505" t="s">
        <v>2141</v>
      </c>
      <c r="C505" t="s">
        <v>42</v>
      </c>
      <c r="D505" t="s">
        <v>2142</v>
      </c>
      <c r="E505" t="e" cm="1">
        <f t="array" ref="E505">- ESOMEPRAZOLE MAGNESIUM</f>
        <v>#NAME?</v>
      </c>
      <c r="F505" s="1">
        <v>174100</v>
      </c>
      <c r="G505" t="s">
        <v>2143</v>
      </c>
      <c r="H505" t="s">
        <v>2144</v>
      </c>
      <c r="J505" t="s">
        <v>2145</v>
      </c>
      <c r="K505" t="s">
        <v>2146</v>
      </c>
      <c r="L505" t="s">
        <v>2147</v>
      </c>
      <c r="M505" t="s">
        <v>46</v>
      </c>
      <c r="N505" t="s">
        <v>1978</v>
      </c>
      <c r="P505" t="s">
        <v>2148</v>
      </c>
      <c r="Q505" t="s">
        <v>2149</v>
      </c>
      <c r="R505">
        <v>4</v>
      </c>
      <c r="S505">
        <v>16</v>
      </c>
    </row>
    <row r="506" spans="1:19" x14ac:dyDescent="0.35">
      <c r="A506">
        <v>3254</v>
      </c>
      <c r="B506" t="s">
        <v>2150</v>
      </c>
      <c r="C506" t="s">
        <v>42</v>
      </c>
      <c r="D506" t="s">
        <v>2151</v>
      </c>
      <c r="E506" t="e" cm="1">
        <f t="array" ref="E506">- ESOMEPRAZOLE MAGNESIUM</f>
        <v>#NAME?</v>
      </c>
      <c r="F506" t="s">
        <v>2152</v>
      </c>
      <c r="H506">
        <v>0</v>
      </c>
      <c r="J506" t="s">
        <v>1977</v>
      </c>
      <c r="M506" t="s">
        <v>46</v>
      </c>
      <c r="N506" t="s">
        <v>1978</v>
      </c>
      <c r="P506" t="s">
        <v>1979</v>
      </c>
      <c r="Q506" t="s">
        <v>1980</v>
      </c>
      <c r="R506">
        <v>4</v>
      </c>
      <c r="S506">
        <v>16</v>
      </c>
    </row>
    <row r="507" spans="1:19" x14ac:dyDescent="0.35">
      <c r="A507">
        <v>1401</v>
      </c>
      <c r="B507" t="s">
        <v>2153</v>
      </c>
      <c r="C507" t="s">
        <v>42</v>
      </c>
      <c r="D507" t="s">
        <v>2154</v>
      </c>
      <c r="E507" t="e" cm="1">
        <f t="array" ref="E507">- AMBROXOL HYDROCHLORIDE</f>
        <v>#NAME?</v>
      </c>
      <c r="F507" t="s">
        <v>2155</v>
      </c>
      <c r="H507" t="s">
        <v>2156</v>
      </c>
      <c r="J507" t="s">
        <v>334</v>
      </c>
      <c r="M507" t="s">
        <v>271</v>
      </c>
      <c r="N507" t="s">
        <v>1800</v>
      </c>
      <c r="P507" t="s">
        <v>2157</v>
      </c>
      <c r="Q507" t="s">
        <v>2158</v>
      </c>
      <c r="R507">
        <v>4</v>
      </c>
      <c r="S507">
        <v>16</v>
      </c>
    </row>
    <row r="508" spans="1:19" x14ac:dyDescent="0.35">
      <c r="A508">
        <v>6253</v>
      </c>
      <c r="B508" t="s">
        <v>2159</v>
      </c>
      <c r="C508" t="s">
        <v>42</v>
      </c>
      <c r="D508" t="s">
        <v>2160</v>
      </c>
      <c r="E508" t="e" cm="1">
        <f t="array" ref="E508">- AMOXICILLIN TRIHYDRATE</f>
        <v>#NAME?</v>
      </c>
      <c r="F508" t="s">
        <v>2161</v>
      </c>
      <c r="M508" t="s">
        <v>271</v>
      </c>
      <c r="N508" t="s">
        <v>1523</v>
      </c>
      <c r="P508" t="s">
        <v>2162</v>
      </c>
      <c r="Q508" t="s">
        <v>2163</v>
      </c>
      <c r="R508">
        <v>4</v>
      </c>
      <c r="S508">
        <v>16</v>
      </c>
    </row>
    <row r="509" spans="1:19" x14ac:dyDescent="0.35">
      <c r="A509">
        <v>5590</v>
      </c>
      <c r="B509" t="s">
        <v>2164</v>
      </c>
      <c r="C509" t="s">
        <v>42</v>
      </c>
      <c r="D509" t="s">
        <v>2165</v>
      </c>
      <c r="E509" t="e" cm="1">
        <f t="array" ref="E509">- HEPARIN SODIUM</f>
        <v>#NAME?</v>
      </c>
      <c r="F509" t="s">
        <v>2166</v>
      </c>
      <c r="J509" t="s">
        <v>2167</v>
      </c>
      <c r="M509" t="s">
        <v>87</v>
      </c>
      <c r="N509" t="s">
        <v>2168</v>
      </c>
      <c r="P509" t="s">
        <v>2169</v>
      </c>
      <c r="Q509" t="s">
        <v>2170</v>
      </c>
      <c r="R509">
        <v>4</v>
      </c>
      <c r="S509">
        <v>16</v>
      </c>
    </row>
    <row r="510" spans="1:19" x14ac:dyDescent="0.35">
      <c r="A510">
        <v>5589</v>
      </c>
      <c r="B510" t="s">
        <v>2164</v>
      </c>
      <c r="C510" t="s">
        <v>42</v>
      </c>
      <c r="D510" t="s">
        <v>2165</v>
      </c>
      <c r="E510" t="e" cm="1">
        <f t="array" ref="E510">- HEPARIN SODIUM</f>
        <v>#NAME?</v>
      </c>
      <c r="F510" t="s">
        <v>2166</v>
      </c>
      <c r="J510" t="s">
        <v>2167</v>
      </c>
      <c r="M510" t="s">
        <v>87</v>
      </c>
      <c r="N510" t="s">
        <v>2168</v>
      </c>
      <c r="P510" t="s">
        <v>2169</v>
      </c>
      <c r="Q510" t="s">
        <v>2170</v>
      </c>
      <c r="R510">
        <v>4</v>
      </c>
      <c r="S510">
        <v>16</v>
      </c>
    </row>
    <row r="511" spans="1:19" x14ac:dyDescent="0.35">
      <c r="A511">
        <v>1402</v>
      </c>
      <c r="B511" t="s">
        <v>2153</v>
      </c>
      <c r="C511" t="s">
        <v>42</v>
      </c>
      <c r="D511" t="s">
        <v>2154</v>
      </c>
      <c r="E511" t="e" cm="1">
        <f t="array" ref="E511">- AMBROXOL HYDROCHLORIDE</f>
        <v>#NAME?</v>
      </c>
      <c r="F511" t="s">
        <v>2155</v>
      </c>
      <c r="H511" t="s">
        <v>2156</v>
      </c>
      <c r="J511" t="s">
        <v>334</v>
      </c>
      <c r="M511" t="s">
        <v>271</v>
      </c>
      <c r="N511" t="s">
        <v>1800</v>
      </c>
      <c r="P511" t="s">
        <v>2157</v>
      </c>
      <c r="Q511" t="s">
        <v>2158</v>
      </c>
      <c r="R511">
        <v>4</v>
      </c>
      <c r="S511">
        <v>16</v>
      </c>
    </row>
    <row r="512" spans="1:19" x14ac:dyDescent="0.35">
      <c r="A512">
        <v>6252</v>
      </c>
      <c r="B512" t="s">
        <v>2159</v>
      </c>
      <c r="C512" t="s">
        <v>42</v>
      </c>
      <c r="D512" t="s">
        <v>2160</v>
      </c>
      <c r="E512" t="e" cm="1">
        <f t="array" ref="E512">- AMOXICILLIN TRIHYDRATE</f>
        <v>#NAME?</v>
      </c>
      <c r="F512" t="s">
        <v>2161</v>
      </c>
      <c r="M512" t="s">
        <v>271</v>
      </c>
      <c r="N512" t="s">
        <v>1523</v>
      </c>
      <c r="P512" t="s">
        <v>2162</v>
      </c>
      <c r="Q512" t="s">
        <v>2163</v>
      </c>
      <c r="R512">
        <v>4</v>
      </c>
      <c r="S512">
        <v>16</v>
      </c>
    </row>
    <row r="513" spans="1:19" x14ac:dyDescent="0.35">
      <c r="A513">
        <v>3636</v>
      </c>
      <c r="B513" t="s">
        <v>1865</v>
      </c>
      <c r="C513" t="s">
        <v>42</v>
      </c>
      <c r="D513" t="s">
        <v>1866</v>
      </c>
      <c r="E513" t="e" cm="1">
        <f t="array" ref="E513">- ONDANSETRON</f>
        <v>#NAME?</v>
      </c>
      <c r="F513" t="s">
        <v>1867</v>
      </c>
      <c r="J513" t="s">
        <v>1868</v>
      </c>
      <c r="M513" t="s">
        <v>46</v>
      </c>
      <c r="N513" t="s">
        <v>1869</v>
      </c>
      <c r="P513" t="s">
        <v>1870</v>
      </c>
      <c r="Q513" t="s">
        <v>1871</v>
      </c>
      <c r="R513">
        <v>4</v>
      </c>
      <c r="S513">
        <v>16</v>
      </c>
    </row>
    <row r="514" spans="1:19" x14ac:dyDescent="0.35">
      <c r="A514">
        <v>4172</v>
      </c>
      <c r="B514" t="s">
        <v>2171</v>
      </c>
      <c r="C514" t="s">
        <v>42</v>
      </c>
      <c r="D514" t="s">
        <v>2172</v>
      </c>
      <c r="E514" t="e" cm="1">
        <f t="array" ref="E514">- CETIRIZINE HYDROCHLORIDE</f>
        <v>#NAME?</v>
      </c>
      <c r="F514" t="s">
        <v>2173</v>
      </c>
      <c r="J514" t="s">
        <v>334</v>
      </c>
      <c r="M514" t="s">
        <v>271</v>
      </c>
      <c r="N514" t="s">
        <v>1390</v>
      </c>
      <c r="P514" t="s">
        <v>1391</v>
      </c>
      <c r="Q514" t="s">
        <v>2174</v>
      </c>
      <c r="R514">
        <v>4</v>
      </c>
      <c r="S514">
        <v>16</v>
      </c>
    </row>
    <row r="515" spans="1:19" x14ac:dyDescent="0.35">
      <c r="A515">
        <v>1586</v>
      </c>
      <c r="B515" t="s">
        <v>2175</v>
      </c>
      <c r="C515" t="s">
        <v>42</v>
      </c>
      <c r="D515" t="s">
        <v>2176</v>
      </c>
      <c r="E515" t="e" cm="1">
        <f t="array" ref="E515">- AMMONIUM CHLORIDE</f>
        <v>#NAME?</v>
      </c>
      <c r="F515" t="s">
        <v>2177</v>
      </c>
      <c r="G515" t="s">
        <v>2178</v>
      </c>
      <c r="H515" t="s">
        <v>2179</v>
      </c>
      <c r="J515" t="s">
        <v>334</v>
      </c>
      <c r="K515" t="s">
        <v>2180</v>
      </c>
      <c r="L515" t="s">
        <v>2181</v>
      </c>
      <c r="M515" t="s">
        <v>271</v>
      </c>
      <c r="N515" t="s">
        <v>1672</v>
      </c>
      <c r="P515" t="s">
        <v>2182</v>
      </c>
      <c r="Q515" t="s">
        <v>2183</v>
      </c>
      <c r="R515">
        <v>4</v>
      </c>
      <c r="S515">
        <v>16</v>
      </c>
    </row>
    <row r="516" spans="1:19" x14ac:dyDescent="0.35">
      <c r="A516">
        <v>8868</v>
      </c>
      <c r="B516" t="s">
        <v>2184</v>
      </c>
      <c r="C516" t="s">
        <v>20</v>
      </c>
      <c r="D516" t="s">
        <v>2185</v>
      </c>
      <c r="E516" t="s">
        <v>2186</v>
      </c>
      <c r="F516" t="s">
        <v>2187</v>
      </c>
      <c r="H516" t="s">
        <v>2188</v>
      </c>
      <c r="I516" t="s">
        <v>2189</v>
      </c>
      <c r="J516" t="s">
        <v>75</v>
      </c>
      <c r="M516" t="s">
        <v>38</v>
      </c>
      <c r="N516" t="s">
        <v>2190</v>
      </c>
      <c r="O516" t="s">
        <v>2191</v>
      </c>
      <c r="P516" t="s">
        <v>2190</v>
      </c>
      <c r="Q516" t="s">
        <v>2192</v>
      </c>
      <c r="R516">
        <v>4</v>
      </c>
      <c r="S516">
        <v>16</v>
      </c>
    </row>
    <row r="517" spans="1:19" x14ac:dyDescent="0.35">
      <c r="A517">
        <v>8314</v>
      </c>
      <c r="B517" t="s">
        <v>551</v>
      </c>
      <c r="C517" t="s">
        <v>42</v>
      </c>
      <c r="D517" t="s">
        <v>2193</v>
      </c>
      <c r="E517" t="e" cm="1">
        <f t="array" ref="E517">- POVIDONE-IODINE</f>
        <v>#NAME?</v>
      </c>
      <c r="F517" t="s">
        <v>2194</v>
      </c>
      <c r="M517" t="s">
        <v>554</v>
      </c>
      <c r="N517" t="s">
        <v>555</v>
      </c>
      <c r="P517" t="s">
        <v>2195</v>
      </c>
      <c r="Q517" t="s">
        <v>2196</v>
      </c>
      <c r="R517">
        <v>4</v>
      </c>
      <c r="S517">
        <v>16</v>
      </c>
    </row>
    <row r="518" spans="1:19" x14ac:dyDescent="0.35">
      <c r="A518">
        <v>2607</v>
      </c>
      <c r="B518" t="s">
        <v>2197</v>
      </c>
      <c r="C518" t="s">
        <v>42</v>
      </c>
      <c r="D518" t="s">
        <v>2198</v>
      </c>
      <c r="E518" t="e" cm="1">
        <f t="array" ref="E518">- MELOXICAM</f>
        <v>#NAME?</v>
      </c>
      <c r="F518" t="s">
        <v>2199</v>
      </c>
      <c r="J518" t="s">
        <v>411</v>
      </c>
      <c r="M518" t="s">
        <v>46</v>
      </c>
      <c r="N518" t="s">
        <v>412</v>
      </c>
      <c r="P518" t="s">
        <v>2200</v>
      </c>
      <c r="Q518" t="s">
        <v>2201</v>
      </c>
      <c r="R518">
        <v>4</v>
      </c>
      <c r="S518">
        <v>16</v>
      </c>
    </row>
    <row r="519" spans="1:19" x14ac:dyDescent="0.35">
      <c r="A519">
        <v>9278</v>
      </c>
      <c r="B519" t="s">
        <v>2202</v>
      </c>
      <c r="C519" t="s">
        <v>42</v>
      </c>
      <c r="D519" t="s">
        <v>2203</v>
      </c>
      <c r="E519" t="e" cm="1">
        <f t="array" ref="E519">- IMIDAPRIL</f>
        <v>#NAME?</v>
      </c>
      <c r="F519" t="s">
        <v>2204</v>
      </c>
      <c r="H519" t="s">
        <v>2205</v>
      </c>
      <c r="I519" t="s">
        <v>2206</v>
      </c>
      <c r="J519" t="s">
        <v>2207</v>
      </c>
      <c r="K519" t="s">
        <v>2208</v>
      </c>
      <c r="L519" t="s">
        <v>2209</v>
      </c>
      <c r="M519" t="s">
        <v>46</v>
      </c>
      <c r="N519" t="s">
        <v>2210</v>
      </c>
      <c r="O519" t="s">
        <v>2211</v>
      </c>
      <c r="P519" t="s">
        <v>2212</v>
      </c>
      <c r="Q519" t="s">
        <v>2213</v>
      </c>
      <c r="R519">
        <v>4</v>
      </c>
      <c r="S519">
        <v>16</v>
      </c>
    </row>
    <row r="520" spans="1:19" x14ac:dyDescent="0.35">
      <c r="A520">
        <v>9279</v>
      </c>
      <c r="B520" t="s">
        <v>2202</v>
      </c>
      <c r="C520" t="s">
        <v>42</v>
      </c>
      <c r="D520" t="s">
        <v>2203</v>
      </c>
      <c r="E520" t="e" cm="1">
        <f t="array" ref="E520">- IMIDAPRIL</f>
        <v>#NAME?</v>
      </c>
      <c r="F520" t="s">
        <v>2204</v>
      </c>
      <c r="H520" t="s">
        <v>2205</v>
      </c>
      <c r="I520" t="s">
        <v>2206</v>
      </c>
      <c r="J520" t="s">
        <v>2207</v>
      </c>
      <c r="K520" t="s">
        <v>2208</v>
      </c>
      <c r="L520" t="s">
        <v>2209</v>
      </c>
      <c r="M520" t="s">
        <v>46</v>
      </c>
      <c r="N520" t="s">
        <v>2210</v>
      </c>
      <c r="O520" t="s">
        <v>2211</v>
      </c>
      <c r="P520" t="s">
        <v>2212</v>
      </c>
      <c r="Q520" t="s">
        <v>2213</v>
      </c>
      <c r="R520">
        <v>4</v>
      </c>
      <c r="S520">
        <v>16</v>
      </c>
    </row>
    <row r="521" spans="1:19" x14ac:dyDescent="0.35">
      <c r="A521">
        <v>8936</v>
      </c>
      <c r="B521" t="s">
        <v>2214</v>
      </c>
      <c r="C521" t="s">
        <v>42</v>
      </c>
      <c r="D521" t="s">
        <v>2215</v>
      </c>
      <c r="E521" t="e" cm="1">
        <f t="array" ref="E521">- RAMIPRIL</f>
        <v>#NAME?</v>
      </c>
      <c r="F521" t="s">
        <v>2216</v>
      </c>
      <c r="G521" t="s">
        <v>2217</v>
      </c>
      <c r="H521" t="s">
        <v>2218</v>
      </c>
      <c r="I521" t="s">
        <v>2219</v>
      </c>
      <c r="J521" t="s">
        <v>727</v>
      </c>
      <c r="K521" t="s">
        <v>2220</v>
      </c>
      <c r="L521" t="s">
        <v>2221</v>
      </c>
      <c r="M521" t="s">
        <v>291</v>
      </c>
      <c r="N521" t="s">
        <v>2222</v>
      </c>
      <c r="O521" t="s">
        <v>2223</v>
      </c>
      <c r="P521" t="s">
        <v>2222</v>
      </c>
      <c r="Q521" t="s">
        <v>2224</v>
      </c>
      <c r="R521">
        <v>4</v>
      </c>
      <c r="S521">
        <v>16</v>
      </c>
    </row>
    <row r="522" spans="1:19" x14ac:dyDescent="0.35">
      <c r="A522">
        <v>2526</v>
      </c>
      <c r="B522" t="s">
        <v>2225</v>
      </c>
      <c r="C522" t="s">
        <v>42</v>
      </c>
      <c r="D522" t="s">
        <v>2226</v>
      </c>
      <c r="E522" t="e" cm="1">
        <f t="array" ref="E522">- KETOPROFEN</f>
        <v>#NAME?</v>
      </c>
      <c r="F522" t="s">
        <v>2227</v>
      </c>
      <c r="J522" t="s">
        <v>2228</v>
      </c>
      <c r="M522" t="s">
        <v>2229</v>
      </c>
      <c r="N522" t="s">
        <v>721</v>
      </c>
      <c r="P522" t="s">
        <v>2230</v>
      </c>
      <c r="Q522" t="s">
        <v>2231</v>
      </c>
      <c r="R522">
        <v>4</v>
      </c>
      <c r="S522">
        <v>16</v>
      </c>
    </row>
    <row r="523" spans="1:19" x14ac:dyDescent="0.35">
      <c r="A523">
        <v>2610</v>
      </c>
      <c r="B523" t="s">
        <v>2232</v>
      </c>
      <c r="C523" t="s">
        <v>42</v>
      </c>
      <c r="D523" t="s">
        <v>2233</v>
      </c>
      <c r="E523" t="e" cm="1">
        <f t="array" ref="E523">- MEFENAMIC ACID</f>
        <v>#NAME?</v>
      </c>
      <c r="F523" t="s">
        <v>2234</v>
      </c>
      <c r="J523" t="s">
        <v>1081</v>
      </c>
      <c r="L523" t="s">
        <v>1308</v>
      </c>
      <c r="M523" t="s">
        <v>291</v>
      </c>
      <c r="N523" t="s">
        <v>2235</v>
      </c>
      <c r="P523" t="s">
        <v>2236</v>
      </c>
      <c r="Q523" t="s">
        <v>2237</v>
      </c>
      <c r="R523">
        <v>4</v>
      </c>
      <c r="S523">
        <v>16</v>
      </c>
    </row>
    <row r="524" spans="1:19" x14ac:dyDescent="0.35">
      <c r="A524">
        <v>1924</v>
      </c>
      <c r="B524" t="s">
        <v>2238</v>
      </c>
      <c r="C524" t="s">
        <v>20</v>
      </c>
      <c r="D524" t="s">
        <v>2239</v>
      </c>
      <c r="E524" t="s">
        <v>2240</v>
      </c>
      <c r="F524" s="1">
        <v>19600</v>
      </c>
      <c r="G524" t="s">
        <v>2241</v>
      </c>
      <c r="H524" t="s">
        <v>2242</v>
      </c>
      <c r="J524" t="s">
        <v>334</v>
      </c>
      <c r="M524" t="s">
        <v>271</v>
      </c>
      <c r="N524" t="s">
        <v>2243</v>
      </c>
      <c r="P524" t="s">
        <v>2243</v>
      </c>
      <c r="Q524" t="s">
        <v>2244</v>
      </c>
      <c r="R524">
        <v>4</v>
      </c>
      <c r="S524">
        <v>16</v>
      </c>
    </row>
    <row r="525" spans="1:19" x14ac:dyDescent="0.35">
      <c r="A525">
        <v>8968</v>
      </c>
      <c r="B525" t="s">
        <v>2245</v>
      </c>
      <c r="C525" t="s">
        <v>42</v>
      </c>
      <c r="D525" t="s">
        <v>2246</v>
      </c>
      <c r="E525" t="e" cm="1">
        <f t="array" ref="E525">- RAMIPRIL</f>
        <v>#NAME?</v>
      </c>
      <c r="F525" t="s">
        <v>2247</v>
      </c>
      <c r="G525" t="s">
        <v>2248</v>
      </c>
      <c r="H525" t="s">
        <v>2249</v>
      </c>
      <c r="I525" t="s">
        <v>2219</v>
      </c>
      <c r="J525" t="s">
        <v>727</v>
      </c>
      <c r="K525" t="s">
        <v>2220</v>
      </c>
      <c r="L525" t="s">
        <v>2221</v>
      </c>
      <c r="M525" t="s">
        <v>46</v>
      </c>
      <c r="N525" t="s">
        <v>2222</v>
      </c>
      <c r="O525" t="s">
        <v>2223</v>
      </c>
      <c r="P525" t="s">
        <v>2222</v>
      </c>
      <c r="Q525" t="s">
        <v>2250</v>
      </c>
      <c r="R525">
        <v>4</v>
      </c>
      <c r="S525">
        <v>16</v>
      </c>
    </row>
    <row r="526" spans="1:19" x14ac:dyDescent="0.35">
      <c r="A526">
        <v>445</v>
      </c>
      <c r="B526" t="s">
        <v>2251</v>
      </c>
      <c r="C526" t="s">
        <v>20</v>
      </c>
      <c r="D526" t="s">
        <v>2252</v>
      </c>
      <c r="E526" t="s">
        <v>2253</v>
      </c>
      <c r="F526" t="s">
        <v>2254</v>
      </c>
      <c r="J526" t="s">
        <v>197</v>
      </c>
      <c r="M526" t="s">
        <v>38</v>
      </c>
      <c r="N526" t="s">
        <v>2255</v>
      </c>
      <c r="P526" t="s">
        <v>2255</v>
      </c>
      <c r="Q526" t="s">
        <v>2256</v>
      </c>
      <c r="R526">
        <v>4</v>
      </c>
      <c r="S526">
        <v>16</v>
      </c>
    </row>
    <row r="527" spans="1:19" x14ac:dyDescent="0.35">
      <c r="A527">
        <v>446</v>
      </c>
      <c r="B527" t="s">
        <v>2251</v>
      </c>
      <c r="C527" t="s">
        <v>20</v>
      </c>
      <c r="D527" t="s">
        <v>2252</v>
      </c>
      <c r="E527" t="s">
        <v>2253</v>
      </c>
      <c r="F527" t="s">
        <v>2254</v>
      </c>
      <c r="J527" t="s">
        <v>197</v>
      </c>
      <c r="M527" t="s">
        <v>38</v>
      </c>
      <c r="N527" t="s">
        <v>2255</v>
      </c>
      <c r="P527" t="s">
        <v>2255</v>
      </c>
      <c r="Q527" t="s">
        <v>2256</v>
      </c>
      <c r="R527">
        <v>4</v>
      </c>
      <c r="S527">
        <v>16</v>
      </c>
    </row>
    <row r="528" spans="1:19" x14ac:dyDescent="0.35">
      <c r="A528">
        <v>2358</v>
      </c>
      <c r="B528" t="s">
        <v>2257</v>
      </c>
      <c r="C528" t="s">
        <v>42</v>
      </c>
      <c r="D528" t="s">
        <v>2258</v>
      </c>
      <c r="E528" t="e" cm="1">
        <f t="array" ref="E528">- NAPROXEN SODIUM</f>
        <v>#NAME?</v>
      </c>
      <c r="F528" t="s">
        <v>2259</v>
      </c>
      <c r="J528" t="s">
        <v>727</v>
      </c>
      <c r="M528" t="s">
        <v>291</v>
      </c>
      <c r="N528" t="s">
        <v>2260</v>
      </c>
      <c r="P528" t="s">
        <v>2261</v>
      </c>
      <c r="Q528" t="s">
        <v>2262</v>
      </c>
      <c r="R528">
        <v>4</v>
      </c>
      <c r="S528">
        <v>16</v>
      </c>
    </row>
    <row r="529" spans="1:19" x14ac:dyDescent="0.35">
      <c r="A529">
        <v>8970</v>
      </c>
      <c r="B529" t="s">
        <v>2263</v>
      </c>
      <c r="C529" t="s">
        <v>42</v>
      </c>
      <c r="D529" t="s">
        <v>2264</v>
      </c>
      <c r="E529" t="e" cm="1">
        <f t="array" ref="E529">- TELMISARTAN</f>
        <v>#NAME?</v>
      </c>
      <c r="F529" t="s">
        <v>2265</v>
      </c>
      <c r="G529" t="s">
        <v>2266</v>
      </c>
      <c r="H529" t="s">
        <v>2267</v>
      </c>
      <c r="I529" t="s">
        <v>2268</v>
      </c>
      <c r="J529" t="s">
        <v>599</v>
      </c>
      <c r="K529" t="s">
        <v>2269</v>
      </c>
      <c r="L529" t="s">
        <v>321</v>
      </c>
      <c r="M529" t="s">
        <v>46</v>
      </c>
      <c r="N529" t="s">
        <v>2270</v>
      </c>
      <c r="O529" t="s">
        <v>2271</v>
      </c>
      <c r="P529" t="s">
        <v>2270</v>
      </c>
      <c r="Q529" t="s">
        <v>2272</v>
      </c>
      <c r="R529">
        <v>4</v>
      </c>
      <c r="S529">
        <v>16</v>
      </c>
    </row>
    <row r="530" spans="1:19" x14ac:dyDescent="0.35">
      <c r="A530">
        <v>1923</v>
      </c>
      <c r="B530" t="s">
        <v>2238</v>
      </c>
      <c r="C530" t="s">
        <v>20</v>
      </c>
      <c r="D530" t="s">
        <v>2239</v>
      </c>
      <c r="E530" t="s">
        <v>2240</v>
      </c>
      <c r="F530" s="1">
        <v>19600</v>
      </c>
      <c r="G530" t="s">
        <v>2241</v>
      </c>
      <c r="H530" t="s">
        <v>2242</v>
      </c>
      <c r="J530" t="s">
        <v>334</v>
      </c>
      <c r="M530" t="s">
        <v>271</v>
      </c>
      <c r="N530" t="s">
        <v>2243</v>
      </c>
      <c r="P530" t="s">
        <v>2243</v>
      </c>
      <c r="Q530" t="s">
        <v>2244</v>
      </c>
      <c r="R530">
        <v>4</v>
      </c>
      <c r="S530">
        <v>16</v>
      </c>
    </row>
    <row r="531" spans="1:19" x14ac:dyDescent="0.35">
      <c r="A531">
        <v>2611</v>
      </c>
      <c r="B531" t="s">
        <v>2232</v>
      </c>
      <c r="C531" t="s">
        <v>42</v>
      </c>
      <c r="D531" t="s">
        <v>2233</v>
      </c>
      <c r="E531" t="e" cm="1">
        <f t="array" ref="E531">- MEFENAMIC ACID</f>
        <v>#NAME?</v>
      </c>
      <c r="F531" t="s">
        <v>2234</v>
      </c>
      <c r="J531" t="s">
        <v>1081</v>
      </c>
      <c r="L531" t="s">
        <v>1308</v>
      </c>
      <c r="M531" t="s">
        <v>291</v>
      </c>
      <c r="N531" t="s">
        <v>2235</v>
      </c>
      <c r="P531" t="s">
        <v>2236</v>
      </c>
      <c r="Q531" t="s">
        <v>2237</v>
      </c>
      <c r="R531">
        <v>4</v>
      </c>
      <c r="S531">
        <v>16</v>
      </c>
    </row>
    <row r="532" spans="1:19" x14ac:dyDescent="0.35">
      <c r="A532">
        <v>2597</v>
      </c>
      <c r="B532" t="s">
        <v>2273</v>
      </c>
      <c r="C532" t="s">
        <v>42</v>
      </c>
      <c r="D532" t="s">
        <v>2274</v>
      </c>
      <c r="E532" t="e" cm="1">
        <f t="array" ref="E532">- MEFENAMIC ACID</f>
        <v>#NAME?</v>
      </c>
      <c r="F532" t="s">
        <v>2275</v>
      </c>
      <c r="G532" t="s">
        <v>2241</v>
      </c>
      <c r="H532" t="s">
        <v>2276</v>
      </c>
      <c r="J532" t="s">
        <v>2277</v>
      </c>
      <c r="L532" t="s">
        <v>2278</v>
      </c>
      <c r="M532" t="s">
        <v>340</v>
      </c>
      <c r="N532" t="s">
        <v>2235</v>
      </c>
      <c r="P532" t="s">
        <v>2279</v>
      </c>
      <c r="Q532" t="s">
        <v>2280</v>
      </c>
      <c r="R532">
        <v>4</v>
      </c>
      <c r="S532">
        <v>16</v>
      </c>
    </row>
    <row r="533" spans="1:19" x14ac:dyDescent="0.35">
      <c r="A533">
        <v>2357</v>
      </c>
      <c r="B533" t="s">
        <v>2257</v>
      </c>
      <c r="C533" t="s">
        <v>42</v>
      </c>
      <c r="D533" t="s">
        <v>2258</v>
      </c>
      <c r="E533" t="e" cm="1">
        <f t="array" ref="E533">- NAPROXEN SODIUM</f>
        <v>#NAME?</v>
      </c>
      <c r="F533" t="s">
        <v>2259</v>
      </c>
      <c r="J533" t="s">
        <v>727</v>
      </c>
      <c r="M533" t="s">
        <v>291</v>
      </c>
      <c r="N533" t="s">
        <v>2260</v>
      </c>
      <c r="P533" t="s">
        <v>2261</v>
      </c>
      <c r="Q533" t="s">
        <v>2262</v>
      </c>
      <c r="R533">
        <v>4</v>
      </c>
      <c r="S533">
        <v>16</v>
      </c>
    </row>
    <row r="534" spans="1:19" x14ac:dyDescent="0.35">
      <c r="A534">
        <v>2596</v>
      </c>
      <c r="B534" t="s">
        <v>2273</v>
      </c>
      <c r="C534" t="s">
        <v>42</v>
      </c>
      <c r="D534" t="s">
        <v>2274</v>
      </c>
      <c r="E534" t="e" cm="1">
        <f t="array" ref="E534">- MEFENAMIC ACID</f>
        <v>#NAME?</v>
      </c>
      <c r="F534" t="s">
        <v>2275</v>
      </c>
      <c r="G534" t="s">
        <v>2241</v>
      </c>
      <c r="H534" t="s">
        <v>2276</v>
      </c>
      <c r="J534" t="s">
        <v>2277</v>
      </c>
      <c r="L534" t="s">
        <v>2278</v>
      </c>
      <c r="M534" t="s">
        <v>340</v>
      </c>
      <c r="N534" t="s">
        <v>2235</v>
      </c>
      <c r="P534" t="s">
        <v>2279</v>
      </c>
      <c r="Q534" t="s">
        <v>2280</v>
      </c>
      <c r="R534">
        <v>4</v>
      </c>
      <c r="S534">
        <v>16</v>
      </c>
    </row>
    <row r="535" spans="1:19" x14ac:dyDescent="0.35">
      <c r="A535">
        <v>2489</v>
      </c>
      <c r="B535" t="s">
        <v>2281</v>
      </c>
      <c r="C535" t="s">
        <v>42</v>
      </c>
      <c r="D535" t="s">
        <v>2282</v>
      </c>
      <c r="E535" t="e" cm="1">
        <f t="array" ref="E535">- PARACETAMOL</f>
        <v>#NAME?</v>
      </c>
      <c r="F535" t="s">
        <v>2283</v>
      </c>
      <c r="J535" t="s">
        <v>1081</v>
      </c>
      <c r="M535" t="s">
        <v>291</v>
      </c>
      <c r="N535" t="s">
        <v>584</v>
      </c>
      <c r="P535" t="s">
        <v>2284</v>
      </c>
      <c r="Q535" t="s">
        <v>2285</v>
      </c>
      <c r="R535">
        <v>4</v>
      </c>
      <c r="S535">
        <v>16</v>
      </c>
    </row>
    <row r="536" spans="1:19" x14ac:dyDescent="0.35">
      <c r="A536">
        <v>1626</v>
      </c>
      <c r="B536" t="s">
        <v>2286</v>
      </c>
      <c r="C536" t="s">
        <v>42</v>
      </c>
      <c r="D536" t="s">
        <v>2287</v>
      </c>
      <c r="E536" t="e" cm="1">
        <f t="array" ref="E536">- CHLORPHENAMINE MALEATE</f>
        <v>#NAME?</v>
      </c>
      <c r="F536" t="s">
        <v>2288</v>
      </c>
      <c r="M536" t="s">
        <v>291</v>
      </c>
      <c r="N536" t="s">
        <v>1354</v>
      </c>
      <c r="P536" t="s">
        <v>2289</v>
      </c>
      <c r="Q536" t="s">
        <v>2290</v>
      </c>
      <c r="R536">
        <v>4</v>
      </c>
      <c r="S536">
        <v>16</v>
      </c>
    </row>
    <row r="537" spans="1:19" x14ac:dyDescent="0.35">
      <c r="A537">
        <v>2703</v>
      </c>
      <c r="B537" t="s">
        <v>2291</v>
      </c>
      <c r="C537" t="s">
        <v>42</v>
      </c>
      <c r="D537" t="s">
        <v>2292</v>
      </c>
      <c r="E537" t="e" cm="1">
        <f t="array" ref="E537">- METAMIZOLE SODIUM</f>
        <v>#NAME?</v>
      </c>
      <c r="F537" t="s">
        <v>2293</v>
      </c>
      <c r="J537" t="s">
        <v>334</v>
      </c>
      <c r="L537" t="s">
        <v>2278</v>
      </c>
      <c r="M537" t="s">
        <v>271</v>
      </c>
      <c r="N537" t="s">
        <v>2294</v>
      </c>
      <c r="P537" t="s">
        <v>2295</v>
      </c>
      <c r="Q537" t="s">
        <v>2296</v>
      </c>
      <c r="R537">
        <v>4</v>
      </c>
      <c r="S537">
        <v>16</v>
      </c>
    </row>
    <row r="538" spans="1:19" x14ac:dyDescent="0.35">
      <c r="A538">
        <v>9753</v>
      </c>
      <c r="B538" t="s">
        <v>2297</v>
      </c>
      <c r="C538" t="s">
        <v>20</v>
      </c>
      <c r="D538" t="s">
        <v>2298</v>
      </c>
      <c r="E538" t="s">
        <v>2299</v>
      </c>
      <c r="F538" t="s">
        <v>2300</v>
      </c>
      <c r="M538" t="s">
        <v>38</v>
      </c>
      <c r="N538" t="s">
        <v>2301</v>
      </c>
      <c r="P538" t="s">
        <v>2302</v>
      </c>
      <c r="Q538" t="s">
        <v>2303</v>
      </c>
      <c r="R538">
        <v>4</v>
      </c>
      <c r="S538">
        <v>16</v>
      </c>
    </row>
    <row r="539" spans="1:19" x14ac:dyDescent="0.35">
      <c r="A539">
        <v>8315</v>
      </c>
      <c r="B539" t="s">
        <v>551</v>
      </c>
      <c r="C539" t="s">
        <v>42</v>
      </c>
      <c r="D539" t="s">
        <v>2193</v>
      </c>
      <c r="E539" t="e" cm="1">
        <f t="array" ref="E539">- POVIDONE-IODINE</f>
        <v>#NAME?</v>
      </c>
      <c r="F539" t="s">
        <v>2194</v>
      </c>
      <c r="M539" t="s">
        <v>554</v>
      </c>
      <c r="N539" t="s">
        <v>555</v>
      </c>
      <c r="P539" t="s">
        <v>2195</v>
      </c>
      <c r="Q539" t="s">
        <v>2196</v>
      </c>
      <c r="R539">
        <v>4</v>
      </c>
      <c r="S539">
        <v>16</v>
      </c>
    </row>
    <row r="540" spans="1:19" x14ac:dyDescent="0.35">
      <c r="A540">
        <v>9803</v>
      </c>
      <c r="B540" t="s">
        <v>2304</v>
      </c>
      <c r="C540" t="s">
        <v>42</v>
      </c>
      <c r="D540" t="s">
        <v>2305</v>
      </c>
      <c r="E540" t="e" cm="1">
        <f t="array" ref="E540">- ROSUVASTATIN CALCIUM</f>
        <v>#NAME?</v>
      </c>
      <c r="F540" t="s">
        <v>2306</v>
      </c>
      <c r="J540" t="s">
        <v>2307</v>
      </c>
      <c r="M540" t="s">
        <v>46</v>
      </c>
      <c r="N540" t="s">
        <v>2308</v>
      </c>
      <c r="P540" t="s">
        <v>2309</v>
      </c>
      <c r="Q540" t="s">
        <v>2310</v>
      </c>
      <c r="R540">
        <v>4</v>
      </c>
      <c r="S540">
        <v>16</v>
      </c>
    </row>
    <row r="541" spans="1:19" x14ac:dyDescent="0.35">
      <c r="A541">
        <v>8192</v>
      </c>
      <c r="B541" t="s">
        <v>551</v>
      </c>
      <c r="C541" t="s">
        <v>42</v>
      </c>
      <c r="D541" t="s">
        <v>2311</v>
      </c>
      <c r="E541" t="e" cm="1">
        <f t="array" ref="E541">- POVIDONE-IODINE</f>
        <v>#NAME?</v>
      </c>
      <c r="F541" s="1">
        <v>35900</v>
      </c>
      <c r="J541" t="s">
        <v>540</v>
      </c>
      <c r="M541" t="s">
        <v>554</v>
      </c>
      <c r="N541" t="s">
        <v>555</v>
      </c>
      <c r="P541" t="s">
        <v>2312</v>
      </c>
      <c r="Q541" t="s">
        <v>2313</v>
      </c>
      <c r="R541">
        <v>4</v>
      </c>
      <c r="S541">
        <v>16</v>
      </c>
    </row>
    <row r="542" spans="1:19" x14ac:dyDescent="0.35">
      <c r="A542">
        <v>2377</v>
      </c>
      <c r="B542" t="s">
        <v>2314</v>
      </c>
      <c r="C542" t="s">
        <v>42</v>
      </c>
      <c r="D542" t="s">
        <v>2315</v>
      </c>
      <c r="E542" t="e" cm="1">
        <f t="array" ref="E542">- MEFENAMIC ACID</f>
        <v>#NAME?</v>
      </c>
      <c r="F542" t="s">
        <v>2283</v>
      </c>
      <c r="H542" t="s">
        <v>269</v>
      </c>
      <c r="L542" t="s">
        <v>1308</v>
      </c>
      <c r="M542" t="s">
        <v>291</v>
      </c>
      <c r="N542" t="s">
        <v>2235</v>
      </c>
      <c r="P542" t="s">
        <v>2316</v>
      </c>
      <c r="Q542" t="s">
        <v>2317</v>
      </c>
      <c r="R542">
        <v>4</v>
      </c>
      <c r="S542">
        <v>16</v>
      </c>
    </row>
    <row r="543" spans="1:19" x14ac:dyDescent="0.35">
      <c r="A543">
        <v>2537</v>
      </c>
      <c r="B543" t="s">
        <v>2318</v>
      </c>
      <c r="C543" t="s">
        <v>42</v>
      </c>
      <c r="D543" t="s">
        <v>2319</v>
      </c>
      <c r="E543" t="e" cm="1">
        <f t="array" ref="E543">- KETOPROFEN LYSINE</f>
        <v>#NAME?</v>
      </c>
      <c r="F543" t="s">
        <v>2320</v>
      </c>
      <c r="H543" t="s">
        <v>319</v>
      </c>
      <c r="L543" t="s">
        <v>321</v>
      </c>
      <c r="M543" t="s">
        <v>46</v>
      </c>
      <c r="N543" t="s">
        <v>2321</v>
      </c>
      <c r="P543" t="s">
        <v>2322</v>
      </c>
      <c r="Q543" t="s">
        <v>2323</v>
      </c>
      <c r="R543">
        <v>4</v>
      </c>
      <c r="S543">
        <v>16</v>
      </c>
    </row>
    <row r="544" spans="1:19" x14ac:dyDescent="0.35">
      <c r="A544">
        <v>2545</v>
      </c>
      <c r="B544" t="s">
        <v>2324</v>
      </c>
      <c r="C544" t="s">
        <v>42</v>
      </c>
      <c r="D544" t="s">
        <v>2325</v>
      </c>
      <c r="E544" t="e" cm="1">
        <f t="array" ref="E544">- MEFENAMIC ACID</f>
        <v>#NAME?</v>
      </c>
      <c r="F544" t="s">
        <v>2326</v>
      </c>
      <c r="J544" t="s">
        <v>2327</v>
      </c>
      <c r="L544" t="s">
        <v>1308</v>
      </c>
      <c r="M544" t="s">
        <v>291</v>
      </c>
      <c r="N544" t="s">
        <v>2235</v>
      </c>
      <c r="P544" t="s">
        <v>2328</v>
      </c>
      <c r="Q544" t="s">
        <v>2329</v>
      </c>
      <c r="R544">
        <v>4</v>
      </c>
      <c r="S544">
        <v>16</v>
      </c>
    </row>
    <row r="545" spans="1:19" x14ac:dyDescent="0.35">
      <c r="A545">
        <v>2558</v>
      </c>
      <c r="B545" t="s">
        <v>2330</v>
      </c>
      <c r="C545" t="s">
        <v>42</v>
      </c>
      <c r="D545" t="s">
        <v>2331</v>
      </c>
      <c r="E545" t="e" cm="1">
        <f t="array" ref="E545">- MELOXICAM</f>
        <v>#NAME?</v>
      </c>
      <c r="F545" t="s">
        <v>2332</v>
      </c>
      <c r="I545" t="s">
        <v>2333</v>
      </c>
      <c r="J545" t="s">
        <v>532</v>
      </c>
      <c r="M545" t="s">
        <v>46</v>
      </c>
      <c r="N545" t="s">
        <v>412</v>
      </c>
      <c r="O545" t="s">
        <v>2334</v>
      </c>
      <c r="P545" t="s">
        <v>2335</v>
      </c>
      <c r="Q545" t="s">
        <v>2336</v>
      </c>
      <c r="R545">
        <v>4</v>
      </c>
      <c r="S545">
        <v>16</v>
      </c>
    </row>
    <row r="546" spans="1:19" x14ac:dyDescent="0.35">
      <c r="A546">
        <v>8206</v>
      </c>
      <c r="B546" t="s">
        <v>551</v>
      </c>
      <c r="C546" t="s">
        <v>42</v>
      </c>
      <c r="D546" t="s">
        <v>2337</v>
      </c>
      <c r="E546" t="e" cm="1">
        <f t="array" ref="E546">- POVIDONE-IODINE</f>
        <v>#NAME?</v>
      </c>
      <c r="F546" t="s">
        <v>2338</v>
      </c>
      <c r="G546" t="s">
        <v>2339</v>
      </c>
      <c r="H546" t="s">
        <v>2340</v>
      </c>
      <c r="J546" t="s">
        <v>2341</v>
      </c>
      <c r="M546" t="s">
        <v>554</v>
      </c>
      <c r="N546" t="s">
        <v>555</v>
      </c>
      <c r="P546" t="s">
        <v>2342</v>
      </c>
      <c r="Q546" t="s">
        <v>2343</v>
      </c>
      <c r="R546">
        <v>4</v>
      </c>
      <c r="S546">
        <v>16</v>
      </c>
    </row>
    <row r="547" spans="1:19" x14ac:dyDescent="0.35">
      <c r="A547">
        <v>2688</v>
      </c>
      <c r="B547" t="s">
        <v>2344</v>
      </c>
      <c r="C547" t="s">
        <v>42</v>
      </c>
      <c r="D547" t="s">
        <v>2345</v>
      </c>
      <c r="E547" t="e" cm="1">
        <f t="array" ref="E547">- IBUPROFEN</f>
        <v>#NAME?</v>
      </c>
      <c r="F547" t="s">
        <v>2346</v>
      </c>
      <c r="J547" t="s">
        <v>334</v>
      </c>
      <c r="M547" t="s">
        <v>340</v>
      </c>
      <c r="N547" t="s">
        <v>383</v>
      </c>
      <c r="P547" t="s">
        <v>2347</v>
      </c>
      <c r="Q547" t="s">
        <v>2348</v>
      </c>
      <c r="R547">
        <v>4</v>
      </c>
      <c r="S547">
        <v>16</v>
      </c>
    </row>
    <row r="548" spans="1:19" x14ac:dyDescent="0.35">
      <c r="A548">
        <v>2528</v>
      </c>
      <c r="B548" t="s">
        <v>2225</v>
      </c>
      <c r="C548" t="s">
        <v>42</v>
      </c>
      <c r="D548" t="s">
        <v>2226</v>
      </c>
      <c r="E548" t="e" cm="1">
        <f t="array" ref="E548">- KETOPROFEN</f>
        <v>#NAME?</v>
      </c>
      <c r="F548" t="s">
        <v>2227</v>
      </c>
      <c r="J548" t="s">
        <v>2228</v>
      </c>
      <c r="M548" t="s">
        <v>2229</v>
      </c>
      <c r="N548" t="s">
        <v>721</v>
      </c>
      <c r="P548" t="s">
        <v>2230</v>
      </c>
      <c r="Q548" t="s">
        <v>2231</v>
      </c>
      <c r="R548">
        <v>4</v>
      </c>
      <c r="S548">
        <v>16</v>
      </c>
    </row>
    <row r="549" spans="1:19" x14ac:dyDescent="0.35">
      <c r="A549">
        <v>7956</v>
      </c>
      <c r="B549" t="s">
        <v>2349</v>
      </c>
      <c r="C549" t="s">
        <v>20</v>
      </c>
      <c r="D549" t="s">
        <v>2350</v>
      </c>
      <c r="E549" t="s">
        <v>2351</v>
      </c>
      <c r="F549" t="s">
        <v>2352</v>
      </c>
      <c r="J549" t="s">
        <v>2353</v>
      </c>
      <c r="M549" t="s">
        <v>38</v>
      </c>
      <c r="N549" t="s">
        <v>2354</v>
      </c>
      <c r="P549" t="s">
        <v>2354</v>
      </c>
      <c r="Q549" t="s">
        <v>2355</v>
      </c>
      <c r="R549">
        <v>4</v>
      </c>
      <c r="S549">
        <v>16</v>
      </c>
    </row>
    <row r="550" spans="1:19" x14ac:dyDescent="0.35">
      <c r="A550">
        <v>2694</v>
      </c>
      <c r="B550" t="s">
        <v>2356</v>
      </c>
      <c r="C550" t="s">
        <v>42</v>
      </c>
      <c r="D550" t="s">
        <v>2357</v>
      </c>
      <c r="E550" t="e" cm="1">
        <f t="array" ref="E550">- CAFFEINE</f>
        <v>#NAME?</v>
      </c>
      <c r="F550" t="s">
        <v>2358</v>
      </c>
      <c r="J550" t="s">
        <v>1081</v>
      </c>
      <c r="M550" t="s">
        <v>291</v>
      </c>
      <c r="N550" t="s">
        <v>2359</v>
      </c>
      <c r="P550" t="s">
        <v>2360</v>
      </c>
      <c r="Q550" t="s">
        <v>2361</v>
      </c>
      <c r="R550">
        <v>4</v>
      </c>
      <c r="S550">
        <v>16</v>
      </c>
    </row>
    <row r="551" spans="1:19" x14ac:dyDescent="0.35">
      <c r="A551">
        <v>2403</v>
      </c>
      <c r="B551" t="s">
        <v>2362</v>
      </c>
      <c r="C551" t="s">
        <v>42</v>
      </c>
      <c r="D551" t="s">
        <v>2363</v>
      </c>
      <c r="E551" t="e" cm="1">
        <f t="array" ref="E551">- MEFENAMIC ACID</f>
        <v>#NAME?</v>
      </c>
      <c r="F551" t="s">
        <v>2364</v>
      </c>
      <c r="G551" t="s">
        <v>539</v>
      </c>
      <c r="H551" t="s">
        <v>2365</v>
      </c>
      <c r="J551" t="s">
        <v>381</v>
      </c>
      <c r="L551" t="s">
        <v>2366</v>
      </c>
      <c r="M551" t="s">
        <v>291</v>
      </c>
      <c r="N551" t="s">
        <v>2235</v>
      </c>
      <c r="P551" t="s">
        <v>2367</v>
      </c>
      <c r="Q551" t="s">
        <v>2368</v>
      </c>
      <c r="R551">
        <v>4</v>
      </c>
      <c r="S551">
        <v>16</v>
      </c>
    </row>
    <row r="552" spans="1:19" x14ac:dyDescent="0.35">
      <c r="A552">
        <v>2402</v>
      </c>
      <c r="B552" t="s">
        <v>2362</v>
      </c>
      <c r="C552" t="s">
        <v>42</v>
      </c>
      <c r="D552" t="s">
        <v>2363</v>
      </c>
      <c r="E552" t="e" cm="1">
        <f t="array" ref="E552">- MEFENAMIC ACID</f>
        <v>#NAME?</v>
      </c>
      <c r="F552" t="s">
        <v>2364</v>
      </c>
      <c r="G552" t="s">
        <v>539</v>
      </c>
      <c r="H552" t="s">
        <v>2365</v>
      </c>
      <c r="J552" t="s">
        <v>381</v>
      </c>
      <c r="L552" t="s">
        <v>2366</v>
      </c>
      <c r="M552" t="s">
        <v>291</v>
      </c>
      <c r="N552" t="s">
        <v>2235</v>
      </c>
      <c r="P552" t="s">
        <v>2367</v>
      </c>
      <c r="Q552" t="s">
        <v>2368</v>
      </c>
      <c r="R552">
        <v>4</v>
      </c>
      <c r="S552">
        <v>16</v>
      </c>
    </row>
    <row r="553" spans="1:19" x14ac:dyDescent="0.35">
      <c r="A553">
        <v>7981</v>
      </c>
      <c r="B553" t="s">
        <v>2369</v>
      </c>
      <c r="C553" t="s">
        <v>20</v>
      </c>
      <c r="D553" t="s">
        <v>2370</v>
      </c>
      <c r="E553" t="s">
        <v>2371</v>
      </c>
      <c r="F553" t="s">
        <v>2372</v>
      </c>
      <c r="J553" t="s">
        <v>2373</v>
      </c>
      <c r="M553" t="s">
        <v>2374</v>
      </c>
      <c r="N553" t="s">
        <v>2375</v>
      </c>
      <c r="P553" t="s">
        <v>2375</v>
      </c>
      <c r="Q553" t="s">
        <v>2376</v>
      </c>
      <c r="R553">
        <v>4</v>
      </c>
      <c r="S553">
        <v>16</v>
      </c>
    </row>
    <row r="554" spans="1:19" x14ac:dyDescent="0.35">
      <c r="A554">
        <v>2346</v>
      </c>
      <c r="B554" t="s">
        <v>2377</v>
      </c>
      <c r="C554" t="s">
        <v>42</v>
      </c>
      <c r="D554" t="s">
        <v>2378</v>
      </c>
      <c r="E554" t="e" cm="1">
        <f t="array" ref="E554">- BETAHISTINE MESILATE</f>
        <v>#NAME?</v>
      </c>
      <c r="F554" t="s">
        <v>2379</v>
      </c>
      <c r="H554" t="s">
        <v>269</v>
      </c>
      <c r="L554" t="s">
        <v>270</v>
      </c>
      <c r="M554" t="s">
        <v>46</v>
      </c>
      <c r="N554" t="s">
        <v>2380</v>
      </c>
      <c r="P554" t="s">
        <v>2381</v>
      </c>
      <c r="Q554" t="s">
        <v>2382</v>
      </c>
      <c r="R554">
        <v>4</v>
      </c>
      <c r="S554">
        <v>16</v>
      </c>
    </row>
    <row r="555" spans="1:19" x14ac:dyDescent="0.35">
      <c r="A555">
        <v>1601</v>
      </c>
      <c r="B555" t="s">
        <v>2383</v>
      </c>
      <c r="C555" t="s">
        <v>42</v>
      </c>
      <c r="D555" t="s">
        <v>2384</v>
      </c>
      <c r="E555" t="e" cm="1">
        <f t="array" ref="E555">- AMBROXOL HYDROCHLORIDE</f>
        <v>#NAME?</v>
      </c>
      <c r="F555" t="s">
        <v>2385</v>
      </c>
      <c r="J555" t="s">
        <v>334</v>
      </c>
      <c r="M555" t="s">
        <v>271</v>
      </c>
      <c r="N555" t="s">
        <v>1800</v>
      </c>
      <c r="P555" t="s">
        <v>2386</v>
      </c>
      <c r="Q555" t="s">
        <v>2387</v>
      </c>
      <c r="R555">
        <v>4</v>
      </c>
      <c r="S555">
        <v>16</v>
      </c>
    </row>
    <row r="556" spans="1:19" x14ac:dyDescent="0.35">
      <c r="A556">
        <v>2527</v>
      </c>
      <c r="B556" t="s">
        <v>2225</v>
      </c>
      <c r="C556" t="s">
        <v>42</v>
      </c>
      <c r="D556" t="s">
        <v>2226</v>
      </c>
      <c r="E556" t="e" cm="1">
        <f t="array" ref="E556">- KETOPROFEN</f>
        <v>#NAME?</v>
      </c>
      <c r="F556" t="s">
        <v>2227</v>
      </c>
      <c r="J556" t="s">
        <v>2228</v>
      </c>
      <c r="M556" t="s">
        <v>2229</v>
      </c>
      <c r="N556" t="s">
        <v>721</v>
      </c>
      <c r="P556" t="s">
        <v>2230</v>
      </c>
      <c r="Q556" t="s">
        <v>2231</v>
      </c>
      <c r="R556">
        <v>4</v>
      </c>
      <c r="S556">
        <v>16</v>
      </c>
    </row>
    <row r="557" spans="1:19" x14ac:dyDescent="0.35">
      <c r="A557">
        <v>8798</v>
      </c>
      <c r="B557" t="s">
        <v>2388</v>
      </c>
      <c r="C557" t="s">
        <v>42</v>
      </c>
      <c r="D557" t="s">
        <v>558</v>
      </c>
      <c r="E557" t="e" cm="1">
        <f t="array" ref="E557">- PIOGLITAZONE HYDROCHLORIDE</f>
        <v>#NAME?</v>
      </c>
      <c r="F557" t="s">
        <v>559</v>
      </c>
      <c r="J557" t="s">
        <v>560</v>
      </c>
      <c r="M557" t="s">
        <v>46</v>
      </c>
      <c r="N557" t="s">
        <v>2389</v>
      </c>
      <c r="P557" t="s">
        <v>561</v>
      </c>
      <c r="Q557" t="s">
        <v>2390</v>
      </c>
      <c r="R557">
        <v>4</v>
      </c>
      <c r="S557">
        <v>16</v>
      </c>
    </row>
    <row r="558" spans="1:19" x14ac:dyDescent="0.35">
      <c r="A558">
        <v>8802</v>
      </c>
      <c r="B558" t="s">
        <v>2388</v>
      </c>
      <c r="C558" t="s">
        <v>42</v>
      </c>
      <c r="D558" t="s">
        <v>827</v>
      </c>
      <c r="E558" t="e" cm="1">
        <f t="array" ref="E558">- PIOGLITAZONE HYDROCHLORIDE</f>
        <v>#NAME?</v>
      </c>
      <c r="F558" t="s">
        <v>828</v>
      </c>
      <c r="J558" t="s">
        <v>829</v>
      </c>
      <c r="M558" t="s">
        <v>46</v>
      </c>
      <c r="N558" t="s">
        <v>2389</v>
      </c>
      <c r="P558" t="s">
        <v>830</v>
      </c>
      <c r="Q558" t="s">
        <v>2391</v>
      </c>
      <c r="R558">
        <v>4</v>
      </c>
      <c r="S558">
        <v>16</v>
      </c>
    </row>
    <row r="559" spans="1:19" x14ac:dyDescent="0.35">
      <c r="A559">
        <v>9786</v>
      </c>
      <c r="B559" t="s">
        <v>2392</v>
      </c>
      <c r="C559" t="s">
        <v>42</v>
      </c>
      <c r="D559" t="s">
        <v>2393</v>
      </c>
      <c r="E559" t="e" cm="1">
        <f t="array" ref="E559">- PRAVASTATIN SODIUM</f>
        <v>#NAME?</v>
      </c>
      <c r="F559" t="s">
        <v>2394</v>
      </c>
      <c r="J559" t="s">
        <v>2395</v>
      </c>
      <c r="M559" t="s">
        <v>291</v>
      </c>
      <c r="N559" t="s">
        <v>2396</v>
      </c>
      <c r="P559" t="s">
        <v>2397</v>
      </c>
      <c r="Q559" t="s">
        <v>2398</v>
      </c>
      <c r="R559">
        <v>4</v>
      </c>
      <c r="S559">
        <v>16</v>
      </c>
    </row>
    <row r="560" spans="1:19" x14ac:dyDescent="0.35">
      <c r="A560">
        <v>2394</v>
      </c>
      <c r="B560" t="s">
        <v>2399</v>
      </c>
      <c r="C560" t="s">
        <v>42</v>
      </c>
      <c r="D560" t="s">
        <v>2400</v>
      </c>
      <c r="E560" t="e" cm="1">
        <f t="array" ref="E560">- DEXKETOPROFEN TROMETAMOL</f>
        <v>#NAME?</v>
      </c>
      <c r="F560" t="s">
        <v>2401</v>
      </c>
      <c r="J560" t="s">
        <v>2402</v>
      </c>
      <c r="M560" t="s">
        <v>2403</v>
      </c>
      <c r="N560" t="s">
        <v>2404</v>
      </c>
      <c r="P560" t="s">
        <v>2405</v>
      </c>
      <c r="Q560" t="s">
        <v>2406</v>
      </c>
      <c r="R560">
        <v>4</v>
      </c>
      <c r="S560">
        <v>16</v>
      </c>
    </row>
    <row r="561" spans="1:19" x14ac:dyDescent="0.35">
      <c r="A561">
        <v>2387</v>
      </c>
      <c r="B561" t="s">
        <v>2407</v>
      </c>
      <c r="C561" t="s">
        <v>42</v>
      </c>
      <c r="D561" t="s">
        <v>2408</v>
      </c>
      <c r="E561" t="e" cm="1">
        <f t="array" ref="E561">- BETAHISTINE MESILATE</f>
        <v>#NAME?</v>
      </c>
      <c r="F561" t="s">
        <v>2409</v>
      </c>
      <c r="J561" t="s">
        <v>381</v>
      </c>
      <c r="M561" t="s">
        <v>46</v>
      </c>
      <c r="N561" t="s">
        <v>2380</v>
      </c>
      <c r="P561" t="s">
        <v>2410</v>
      </c>
      <c r="Q561" t="s">
        <v>2411</v>
      </c>
      <c r="R561">
        <v>4</v>
      </c>
      <c r="S561">
        <v>16</v>
      </c>
    </row>
    <row r="562" spans="1:19" x14ac:dyDescent="0.35">
      <c r="A562">
        <v>1501</v>
      </c>
      <c r="B562" t="s">
        <v>2412</v>
      </c>
      <c r="C562" t="s">
        <v>42</v>
      </c>
      <c r="D562" t="s">
        <v>2413</v>
      </c>
      <c r="E562" t="e" cm="1">
        <f t="array" ref="E562">- AMMONIUM CHLORIDE</f>
        <v>#NAME?</v>
      </c>
      <c r="F562" t="s">
        <v>2414</v>
      </c>
      <c r="J562" t="s">
        <v>334</v>
      </c>
      <c r="M562" t="s">
        <v>271</v>
      </c>
      <c r="N562" t="s">
        <v>1672</v>
      </c>
      <c r="P562" t="s">
        <v>2415</v>
      </c>
      <c r="Q562" t="s">
        <v>2416</v>
      </c>
      <c r="R562">
        <v>4</v>
      </c>
      <c r="S562">
        <v>16</v>
      </c>
    </row>
    <row r="563" spans="1:19" x14ac:dyDescent="0.35">
      <c r="A563">
        <v>8821</v>
      </c>
      <c r="B563" t="s">
        <v>2417</v>
      </c>
      <c r="C563" t="s">
        <v>42</v>
      </c>
      <c r="D563" t="s">
        <v>2418</v>
      </c>
      <c r="E563" t="e" cm="1">
        <f t="array" ref="E563">- PIOGLITAZONE HYDROCHLORIDE</f>
        <v>#NAME?</v>
      </c>
      <c r="F563" t="s">
        <v>2419</v>
      </c>
      <c r="J563" t="s">
        <v>599</v>
      </c>
      <c r="M563" t="s">
        <v>46</v>
      </c>
      <c r="N563" t="s">
        <v>2389</v>
      </c>
      <c r="P563" t="s">
        <v>2420</v>
      </c>
      <c r="Q563" t="s">
        <v>2421</v>
      </c>
      <c r="R563">
        <v>4</v>
      </c>
      <c r="S563">
        <v>16</v>
      </c>
    </row>
    <row r="564" spans="1:19" x14ac:dyDescent="0.35">
      <c r="A564">
        <v>1672</v>
      </c>
      <c r="B564" t="s">
        <v>2422</v>
      </c>
      <c r="C564" t="s">
        <v>42</v>
      </c>
      <c r="D564" t="s">
        <v>2423</v>
      </c>
      <c r="E564" t="e" cm="1">
        <f t="array" ref="E564">- CHLORPHENAMINE MALEATE</f>
        <v>#NAME?</v>
      </c>
      <c r="F564" t="s">
        <v>2424</v>
      </c>
      <c r="M564" t="s">
        <v>271</v>
      </c>
      <c r="N564" t="s">
        <v>1354</v>
      </c>
      <c r="P564" t="s">
        <v>2425</v>
      </c>
      <c r="Q564" t="s">
        <v>2426</v>
      </c>
      <c r="R564">
        <v>4</v>
      </c>
      <c r="S564">
        <v>16</v>
      </c>
    </row>
    <row r="565" spans="1:19" x14ac:dyDescent="0.35">
      <c r="A565">
        <v>8193</v>
      </c>
      <c r="B565" t="s">
        <v>551</v>
      </c>
      <c r="C565" t="s">
        <v>42</v>
      </c>
      <c r="D565" t="s">
        <v>2311</v>
      </c>
      <c r="E565" t="e" cm="1">
        <f t="array" ref="E565">- POVIDONE-IODINE</f>
        <v>#NAME?</v>
      </c>
      <c r="F565" s="1">
        <v>35900</v>
      </c>
      <c r="J565" t="s">
        <v>540</v>
      </c>
      <c r="M565" t="s">
        <v>554</v>
      </c>
      <c r="N565" t="s">
        <v>555</v>
      </c>
      <c r="P565" t="s">
        <v>2312</v>
      </c>
      <c r="Q565" t="s">
        <v>2313</v>
      </c>
      <c r="R565">
        <v>4</v>
      </c>
      <c r="S565">
        <v>16</v>
      </c>
    </row>
    <row r="566" spans="1:19" x14ac:dyDescent="0.35">
      <c r="A566">
        <v>9802</v>
      </c>
      <c r="B566" t="s">
        <v>2304</v>
      </c>
      <c r="C566" t="s">
        <v>42</v>
      </c>
      <c r="D566" t="s">
        <v>2305</v>
      </c>
      <c r="E566" t="e" cm="1">
        <f t="array" ref="E566">- ROSUVASTATIN CALCIUM</f>
        <v>#NAME?</v>
      </c>
      <c r="F566" t="s">
        <v>2306</v>
      </c>
      <c r="J566" t="s">
        <v>2307</v>
      </c>
      <c r="M566" t="s">
        <v>46</v>
      </c>
      <c r="N566" t="s">
        <v>2308</v>
      </c>
      <c r="P566" t="s">
        <v>2309</v>
      </c>
      <c r="Q566" t="s">
        <v>2310</v>
      </c>
      <c r="R566">
        <v>4</v>
      </c>
      <c r="S566">
        <v>16</v>
      </c>
    </row>
    <row r="567" spans="1:19" x14ac:dyDescent="0.35">
      <c r="A567">
        <v>1602</v>
      </c>
      <c r="B567" t="s">
        <v>2383</v>
      </c>
      <c r="C567" t="s">
        <v>42</v>
      </c>
      <c r="D567" t="s">
        <v>2384</v>
      </c>
      <c r="E567" t="e" cm="1">
        <f t="array" ref="E567">- AMBROXOL HYDROCHLORIDE</f>
        <v>#NAME?</v>
      </c>
      <c r="F567" t="s">
        <v>2385</v>
      </c>
      <c r="J567" t="s">
        <v>334</v>
      </c>
      <c r="M567" t="s">
        <v>271</v>
      </c>
      <c r="N567" t="s">
        <v>1800</v>
      </c>
      <c r="P567" t="s">
        <v>2386</v>
      </c>
      <c r="Q567" t="s">
        <v>2387</v>
      </c>
      <c r="R567">
        <v>4</v>
      </c>
      <c r="S567">
        <v>16</v>
      </c>
    </row>
    <row r="568" spans="1:19" x14ac:dyDescent="0.35">
      <c r="A568">
        <v>9254</v>
      </c>
      <c r="B568" t="s">
        <v>2427</v>
      </c>
      <c r="C568" t="s">
        <v>42</v>
      </c>
      <c r="D568" t="s">
        <v>2428</v>
      </c>
      <c r="E568" t="e" cm="1">
        <f t="array" ref="E568">- RAMIPRIL</f>
        <v>#NAME?</v>
      </c>
      <c r="F568" t="s">
        <v>2429</v>
      </c>
      <c r="G568" t="s">
        <v>2217</v>
      </c>
      <c r="H568" t="s">
        <v>2430</v>
      </c>
      <c r="I568" t="s">
        <v>2219</v>
      </c>
      <c r="J568" t="s">
        <v>727</v>
      </c>
      <c r="K568" t="s">
        <v>2220</v>
      </c>
      <c r="L568" t="s">
        <v>2431</v>
      </c>
      <c r="M568" t="s">
        <v>46</v>
      </c>
      <c r="N568" t="s">
        <v>2222</v>
      </c>
      <c r="O568" t="s">
        <v>2223</v>
      </c>
      <c r="P568" t="s">
        <v>2222</v>
      </c>
      <c r="Q568" t="s">
        <v>2250</v>
      </c>
      <c r="R568">
        <v>4</v>
      </c>
      <c r="S568">
        <v>16</v>
      </c>
    </row>
    <row r="569" spans="1:19" x14ac:dyDescent="0.35">
      <c r="A569">
        <v>2678</v>
      </c>
      <c r="B569" t="s">
        <v>2432</v>
      </c>
      <c r="C569" t="s">
        <v>42</v>
      </c>
      <c r="D569" t="s">
        <v>2433</v>
      </c>
      <c r="E569" t="e" cm="1">
        <f t="array" ref="E569">- METAMIZOLE SODIUM</f>
        <v>#NAME?</v>
      </c>
      <c r="F569" t="s">
        <v>2434</v>
      </c>
      <c r="J569" t="s">
        <v>727</v>
      </c>
      <c r="L569" t="s">
        <v>1308</v>
      </c>
      <c r="M569" t="s">
        <v>291</v>
      </c>
      <c r="N569" t="s">
        <v>2294</v>
      </c>
      <c r="P569" t="s">
        <v>2435</v>
      </c>
      <c r="Q569" t="s">
        <v>2436</v>
      </c>
      <c r="R569">
        <v>4</v>
      </c>
      <c r="S569">
        <v>16</v>
      </c>
    </row>
    <row r="570" spans="1:19" x14ac:dyDescent="0.35">
      <c r="A570">
        <v>1585</v>
      </c>
      <c r="B570" t="s">
        <v>2175</v>
      </c>
      <c r="C570" t="s">
        <v>42</v>
      </c>
      <c r="D570" t="s">
        <v>2176</v>
      </c>
      <c r="E570" t="e" cm="1">
        <f t="array" ref="E570">- AMMONIUM CHLORIDE</f>
        <v>#NAME?</v>
      </c>
      <c r="F570" t="s">
        <v>2177</v>
      </c>
      <c r="G570" t="s">
        <v>2178</v>
      </c>
      <c r="H570" t="s">
        <v>2179</v>
      </c>
      <c r="J570" t="s">
        <v>334</v>
      </c>
      <c r="K570" t="s">
        <v>2180</v>
      </c>
      <c r="L570" t="s">
        <v>2181</v>
      </c>
      <c r="M570" t="s">
        <v>271</v>
      </c>
      <c r="N570" t="s">
        <v>1672</v>
      </c>
      <c r="P570" t="s">
        <v>2182</v>
      </c>
      <c r="Q570" t="s">
        <v>2183</v>
      </c>
      <c r="R570">
        <v>4</v>
      </c>
      <c r="S570">
        <v>16</v>
      </c>
    </row>
    <row r="571" spans="1:19" x14ac:dyDescent="0.35">
      <c r="A571">
        <v>1654</v>
      </c>
      <c r="B571" t="s">
        <v>2437</v>
      </c>
      <c r="C571" t="s">
        <v>42</v>
      </c>
      <c r="D571" t="s">
        <v>2438</v>
      </c>
      <c r="E571" t="e" cm="1">
        <f t="array" ref="E571">- CHLORPHENAMINE MALEATE</f>
        <v>#NAME?</v>
      </c>
      <c r="F571" t="s">
        <v>2439</v>
      </c>
      <c r="J571" t="s">
        <v>2440</v>
      </c>
      <c r="M571" t="s">
        <v>271</v>
      </c>
      <c r="N571" t="s">
        <v>1354</v>
      </c>
      <c r="P571" t="s">
        <v>2441</v>
      </c>
      <c r="Q571" t="s">
        <v>2442</v>
      </c>
      <c r="R571">
        <v>4</v>
      </c>
      <c r="S571">
        <v>16</v>
      </c>
    </row>
    <row r="572" spans="1:19" x14ac:dyDescent="0.35">
      <c r="A572">
        <v>9121</v>
      </c>
      <c r="B572" t="s">
        <v>2443</v>
      </c>
      <c r="C572" t="s">
        <v>42</v>
      </c>
      <c r="D572" t="s">
        <v>2444</v>
      </c>
      <c r="E572" t="e" cm="1">
        <f t="array" ref="E572">- CANDESARTAN CILEXETIL</f>
        <v>#NAME?</v>
      </c>
      <c r="F572" t="s">
        <v>2445</v>
      </c>
      <c r="H572" t="s">
        <v>319</v>
      </c>
      <c r="J572" t="s">
        <v>2446</v>
      </c>
      <c r="L572" t="s">
        <v>321</v>
      </c>
      <c r="M572" t="s">
        <v>46</v>
      </c>
      <c r="N572" t="s">
        <v>2447</v>
      </c>
      <c r="P572" t="s">
        <v>2448</v>
      </c>
      <c r="Q572" t="s">
        <v>2449</v>
      </c>
      <c r="R572">
        <v>4</v>
      </c>
      <c r="S572">
        <v>16</v>
      </c>
    </row>
    <row r="573" spans="1:19" x14ac:dyDescent="0.35">
      <c r="A573">
        <v>9122</v>
      </c>
      <c r="B573" t="s">
        <v>2443</v>
      </c>
      <c r="C573" t="s">
        <v>42</v>
      </c>
      <c r="D573" t="s">
        <v>2444</v>
      </c>
      <c r="E573" t="e" cm="1">
        <f t="array" ref="E573">- CANDESARTAN CILEXETIL</f>
        <v>#NAME?</v>
      </c>
      <c r="F573" t="s">
        <v>2445</v>
      </c>
      <c r="H573" t="s">
        <v>319</v>
      </c>
      <c r="J573" t="s">
        <v>2446</v>
      </c>
      <c r="L573" t="s">
        <v>321</v>
      </c>
      <c r="M573" t="s">
        <v>46</v>
      </c>
      <c r="N573" t="s">
        <v>2447</v>
      </c>
      <c r="P573" t="s">
        <v>2448</v>
      </c>
      <c r="Q573" t="s">
        <v>2449</v>
      </c>
      <c r="R573">
        <v>4</v>
      </c>
      <c r="S573">
        <v>16</v>
      </c>
    </row>
    <row r="574" spans="1:19" x14ac:dyDescent="0.35">
      <c r="A574">
        <v>9138</v>
      </c>
      <c r="B574" t="s">
        <v>2450</v>
      </c>
      <c r="C574" t="s">
        <v>42</v>
      </c>
      <c r="D574" t="s">
        <v>2451</v>
      </c>
      <c r="E574" t="e" cm="1">
        <f t="array" ref="E574">- DILTIAZEM HYDROCHLORIDE</f>
        <v>#NAME?</v>
      </c>
      <c r="F574" t="s">
        <v>2452</v>
      </c>
      <c r="G574" t="s">
        <v>2453</v>
      </c>
      <c r="H574" t="s">
        <v>2454</v>
      </c>
      <c r="J574" t="s">
        <v>754</v>
      </c>
      <c r="K574" t="s">
        <v>2455</v>
      </c>
      <c r="L574" t="s">
        <v>2456</v>
      </c>
      <c r="M574" t="s">
        <v>46</v>
      </c>
      <c r="N574" t="s">
        <v>2457</v>
      </c>
      <c r="P574" t="s">
        <v>2458</v>
      </c>
      <c r="Q574" t="s">
        <v>2459</v>
      </c>
      <c r="R574">
        <v>4</v>
      </c>
      <c r="S574">
        <v>16</v>
      </c>
    </row>
    <row r="575" spans="1:19" x14ac:dyDescent="0.35">
      <c r="A575">
        <v>9139</v>
      </c>
      <c r="B575" t="s">
        <v>2450</v>
      </c>
      <c r="C575" t="s">
        <v>42</v>
      </c>
      <c r="D575" t="s">
        <v>2451</v>
      </c>
      <c r="E575" t="e" cm="1">
        <f t="array" ref="E575">- DILTIAZEM HYDROCHLORIDE</f>
        <v>#NAME?</v>
      </c>
      <c r="F575" t="s">
        <v>2452</v>
      </c>
      <c r="G575" t="s">
        <v>2453</v>
      </c>
      <c r="H575" t="s">
        <v>2454</v>
      </c>
      <c r="J575" t="s">
        <v>754</v>
      </c>
      <c r="K575" t="s">
        <v>2455</v>
      </c>
      <c r="L575" t="s">
        <v>2456</v>
      </c>
      <c r="M575" t="s">
        <v>46</v>
      </c>
      <c r="N575" t="s">
        <v>2457</v>
      </c>
      <c r="P575" t="s">
        <v>2458</v>
      </c>
      <c r="Q575" t="s">
        <v>2459</v>
      </c>
      <c r="R575">
        <v>4</v>
      </c>
      <c r="S575">
        <v>16</v>
      </c>
    </row>
    <row r="576" spans="1:19" x14ac:dyDescent="0.35">
      <c r="A576">
        <v>9140</v>
      </c>
      <c r="B576" t="s">
        <v>2450</v>
      </c>
      <c r="C576" t="s">
        <v>42</v>
      </c>
      <c r="D576" t="s">
        <v>2451</v>
      </c>
      <c r="E576" t="e" cm="1">
        <f t="array" ref="E576">- DILTIAZEM HYDROCHLORIDE</f>
        <v>#NAME?</v>
      </c>
      <c r="F576" t="s">
        <v>2452</v>
      </c>
      <c r="G576" t="s">
        <v>2453</v>
      </c>
      <c r="H576" t="s">
        <v>2454</v>
      </c>
      <c r="J576" t="s">
        <v>754</v>
      </c>
      <c r="K576" t="s">
        <v>2455</v>
      </c>
      <c r="L576" t="s">
        <v>2456</v>
      </c>
      <c r="M576" t="s">
        <v>46</v>
      </c>
      <c r="N576" t="s">
        <v>2457</v>
      </c>
      <c r="P576" t="s">
        <v>2458</v>
      </c>
      <c r="Q576" t="s">
        <v>2459</v>
      </c>
      <c r="R576">
        <v>4</v>
      </c>
      <c r="S576">
        <v>16</v>
      </c>
    </row>
    <row r="577" spans="1:19" x14ac:dyDescent="0.35">
      <c r="A577">
        <v>7827</v>
      </c>
      <c r="B577" t="s">
        <v>2460</v>
      </c>
      <c r="C577" t="s">
        <v>20</v>
      </c>
      <c r="D577" t="s">
        <v>2461</v>
      </c>
      <c r="E577" t="s">
        <v>2462</v>
      </c>
      <c r="F577" t="s">
        <v>2463</v>
      </c>
      <c r="N577" t="s">
        <v>2464</v>
      </c>
      <c r="P577" t="s">
        <v>2464</v>
      </c>
      <c r="Q577" t="s">
        <v>2465</v>
      </c>
      <c r="R577">
        <v>4</v>
      </c>
      <c r="S577">
        <v>16</v>
      </c>
    </row>
    <row r="578" spans="1:19" x14ac:dyDescent="0.35">
      <c r="A578">
        <v>1659</v>
      </c>
      <c r="B578" t="s">
        <v>2466</v>
      </c>
      <c r="C578" t="s">
        <v>42</v>
      </c>
      <c r="D578" t="s">
        <v>2467</v>
      </c>
      <c r="E578" t="e" cm="1">
        <f t="array" ref="E578">- AMBROXOL HYDROCHLORIDE</f>
        <v>#NAME?</v>
      </c>
      <c r="F578" t="s">
        <v>2468</v>
      </c>
      <c r="J578" t="s">
        <v>334</v>
      </c>
      <c r="M578" t="s">
        <v>271</v>
      </c>
      <c r="N578" t="s">
        <v>1800</v>
      </c>
      <c r="P578" t="s">
        <v>2469</v>
      </c>
      <c r="Q578" t="s">
        <v>2470</v>
      </c>
      <c r="R578">
        <v>4</v>
      </c>
      <c r="S578">
        <v>16</v>
      </c>
    </row>
    <row r="579" spans="1:19" x14ac:dyDescent="0.35">
      <c r="A579">
        <v>1582</v>
      </c>
      <c r="B579" t="s">
        <v>2175</v>
      </c>
      <c r="C579" t="s">
        <v>42</v>
      </c>
      <c r="D579" t="s">
        <v>2471</v>
      </c>
      <c r="E579" t="e" cm="1">
        <f t="array" ref="E579">- AMMONIUM CHLORIDE</f>
        <v>#NAME?</v>
      </c>
      <c r="F579" t="s">
        <v>2472</v>
      </c>
      <c r="G579" t="s">
        <v>2178</v>
      </c>
      <c r="H579" t="s">
        <v>2473</v>
      </c>
      <c r="J579" t="s">
        <v>1144</v>
      </c>
      <c r="K579" t="s">
        <v>2180</v>
      </c>
      <c r="L579" t="s">
        <v>2181</v>
      </c>
      <c r="M579" t="s">
        <v>271</v>
      </c>
      <c r="N579" t="s">
        <v>1672</v>
      </c>
      <c r="P579" t="s">
        <v>2182</v>
      </c>
      <c r="Q579" t="s">
        <v>2183</v>
      </c>
      <c r="R579">
        <v>4</v>
      </c>
      <c r="S579">
        <v>16</v>
      </c>
    </row>
    <row r="580" spans="1:19" x14ac:dyDescent="0.35">
      <c r="A580">
        <v>1581</v>
      </c>
      <c r="B580" t="s">
        <v>2175</v>
      </c>
      <c r="C580" t="s">
        <v>42</v>
      </c>
      <c r="D580" t="s">
        <v>2471</v>
      </c>
      <c r="E580" t="e" cm="1">
        <f t="array" ref="E580">- AMMONIUM CHLORIDE</f>
        <v>#NAME?</v>
      </c>
      <c r="F580" t="s">
        <v>2472</v>
      </c>
      <c r="G580" t="s">
        <v>2178</v>
      </c>
      <c r="H580" t="s">
        <v>2473</v>
      </c>
      <c r="J580" t="s">
        <v>1144</v>
      </c>
      <c r="K580" t="s">
        <v>2180</v>
      </c>
      <c r="L580" t="s">
        <v>2181</v>
      </c>
      <c r="M580" t="s">
        <v>271</v>
      </c>
      <c r="N580" t="s">
        <v>1672</v>
      </c>
      <c r="P580" t="s">
        <v>2182</v>
      </c>
      <c r="Q580" t="s">
        <v>2183</v>
      </c>
      <c r="R580">
        <v>4</v>
      </c>
      <c r="S580">
        <v>16</v>
      </c>
    </row>
    <row r="581" spans="1:19" x14ac:dyDescent="0.35">
      <c r="A581">
        <v>9281</v>
      </c>
      <c r="B581" t="s">
        <v>2474</v>
      </c>
      <c r="C581" t="s">
        <v>42</v>
      </c>
      <c r="D581" t="s">
        <v>2475</v>
      </c>
      <c r="E581" t="e" cm="1">
        <f t="array" ref="E581">- TELMISARTAN</f>
        <v>#NAME?</v>
      </c>
      <c r="F581" t="s">
        <v>2476</v>
      </c>
      <c r="G581" t="s">
        <v>2266</v>
      </c>
      <c r="H581" t="s">
        <v>2477</v>
      </c>
      <c r="I581" t="s">
        <v>2268</v>
      </c>
      <c r="J581" t="s">
        <v>2478</v>
      </c>
      <c r="K581" t="s">
        <v>2269</v>
      </c>
      <c r="L581" t="s">
        <v>2479</v>
      </c>
      <c r="M581" t="s">
        <v>46</v>
      </c>
      <c r="N581" t="s">
        <v>2270</v>
      </c>
      <c r="O581" t="s">
        <v>2271</v>
      </c>
      <c r="P581" t="s">
        <v>2270</v>
      </c>
      <c r="Q581" t="s">
        <v>2272</v>
      </c>
      <c r="R581">
        <v>4</v>
      </c>
      <c r="S581">
        <v>16</v>
      </c>
    </row>
    <row r="582" spans="1:19" x14ac:dyDescent="0.35">
      <c r="A582">
        <v>9258</v>
      </c>
      <c r="B582" t="s">
        <v>2480</v>
      </c>
      <c r="C582" t="s">
        <v>42</v>
      </c>
      <c r="D582" t="s">
        <v>2481</v>
      </c>
      <c r="E582" t="e" cm="1">
        <f t="array" ref="E582">- AMLODIPINE BESILATE</f>
        <v>#NAME?</v>
      </c>
      <c r="F582" t="s">
        <v>2482</v>
      </c>
      <c r="J582" t="s">
        <v>2483</v>
      </c>
      <c r="M582" t="s">
        <v>291</v>
      </c>
      <c r="N582" t="s">
        <v>2484</v>
      </c>
      <c r="P582" t="s">
        <v>2485</v>
      </c>
      <c r="Q582" t="s">
        <v>2486</v>
      </c>
      <c r="R582">
        <v>4</v>
      </c>
      <c r="S582">
        <v>16</v>
      </c>
    </row>
    <row r="583" spans="1:19" x14ac:dyDescent="0.35">
      <c r="A583">
        <v>10001</v>
      </c>
      <c r="B583" t="s">
        <v>2487</v>
      </c>
      <c r="C583" t="s">
        <v>42</v>
      </c>
      <c r="D583" t="s">
        <v>2488</v>
      </c>
      <c r="E583" t="e" cm="1">
        <f t="array" ref="E583">- CLOPIDOGREL BISULFATE</f>
        <v>#NAME?</v>
      </c>
      <c r="F583" t="s">
        <v>2489</v>
      </c>
      <c r="H583" t="s">
        <v>319</v>
      </c>
      <c r="L583" t="s">
        <v>321</v>
      </c>
      <c r="M583" t="s">
        <v>46</v>
      </c>
      <c r="N583" t="s">
        <v>2490</v>
      </c>
      <c r="P583" t="s">
        <v>2491</v>
      </c>
      <c r="Q583" t="s">
        <v>2492</v>
      </c>
      <c r="R583">
        <v>4</v>
      </c>
      <c r="S583">
        <v>16</v>
      </c>
    </row>
    <row r="584" spans="1:19" x14ac:dyDescent="0.35">
      <c r="A584">
        <v>1576</v>
      </c>
      <c r="B584" t="s">
        <v>2493</v>
      </c>
      <c r="C584" t="s">
        <v>42</v>
      </c>
      <c r="D584" t="s">
        <v>2494</v>
      </c>
      <c r="E584" t="e" cm="1">
        <f t="array" ref="E584">- CHLORPHENAMINE MALEATE</f>
        <v>#NAME?</v>
      </c>
      <c r="F584" t="s">
        <v>2495</v>
      </c>
      <c r="M584" t="s">
        <v>271</v>
      </c>
      <c r="N584" t="s">
        <v>1354</v>
      </c>
      <c r="P584" t="s">
        <v>2496</v>
      </c>
      <c r="Q584" t="s">
        <v>2497</v>
      </c>
      <c r="R584">
        <v>4</v>
      </c>
      <c r="S584">
        <v>16</v>
      </c>
    </row>
    <row r="585" spans="1:19" x14ac:dyDescent="0.35">
      <c r="A585">
        <v>2738</v>
      </c>
      <c r="B585" t="s">
        <v>2498</v>
      </c>
      <c r="C585" t="s">
        <v>42</v>
      </c>
      <c r="D585" t="s">
        <v>2499</v>
      </c>
      <c r="E585" t="e" cm="1">
        <f t="array" ref="E585">- KETOROLAC TROMETAMOL</f>
        <v>#NAME?</v>
      </c>
      <c r="F585" t="s">
        <v>2500</v>
      </c>
      <c r="J585" t="s">
        <v>45</v>
      </c>
      <c r="M585" t="s">
        <v>46</v>
      </c>
      <c r="N585" t="s">
        <v>2501</v>
      </c>
      <c r="P585" t="s">
        <v>2502</v>
      </c>
      <c r="Q585" t="s">
        <v>2503</v>
      </c>
      <c r="R585">
        <v>4</v>
      </c>
      <c r="S585">
        <v>16</v>
      </c>
    </row>
    <row r="586" spans="1:19" x14ac:dyDescent="0.35">
      <c r="A586">
        <v>7810</v>
      </c>
      <c r="B586" t="s">
        <v>2504</v>
      </c>
      <c r="C586" t="s">
        <v>20</v>
      </c>
      <c r="D586" t="s">
        <v>2505</v>
      </c>
      <c r="E586" t="s">
        <v>2506</v>
      </c>
      <c r="F586" t="s">
        <v>2507</v>
      </c>
      <c r="J586" t="s">
        <v>70</v>
      </c>
      <c r="M586" t="s">
        <v>38</v>
      </c>
      <c r="N586" t="s">
        <v>2508</v>
      </c>
      <c r="P586" t="s">
        <v>2509</v>
      </c>
      <c r="Q586" t="s">
        <v>2510</v>
      </c>
      <c r="R586">
        <v>4</v>
      </c>
      <c r="S586">
        <v>16</v>
      </c>
    </row>
    <row r="587" spans="1:19" x14ac:dyDescent="0.35">
      <c r="A587">
        <v>2746</v>
      </c>
      <c r="B587" t="s">
        <v>2511</v>
      </c>
      <c r="C587" t="s">
        <v>42</v>
      </c>
      <c r="D587" t="s">
        <v>2512</v>
      </c>
      <c r="E587" t="e" cm="1">
        <f t="array" ref="E587">- DEXKETOPROFEN TROMETAMOL</f>
        <v>#NAME?</v>
      </c>
      <c r="F587" t="s">
        <v>2513</v>
      </c>
      <c r="J587" t="s">
        <v>532</v>
      </c>
      <c r="M587" t="s">
        <v>46</v>
      </c>
      <c r="N587" t="s">
        <v>2404</v>
      </c>
      <c r="P587" t="s">
        <v>2514</v>
      </c>
      <c r="Q587" t="s">
        <v>2515</v>
      </c>
      <c r="R587">
        <v>4</v>
      </c>
      <c r="S587">
        <v>16</v>
      </c>
    </row>
    <row r="588" spans="1:19" x14ac:dyDescent="0.35">
      <c r="A588">
        <v>254</v>
      </c>
      <c r="B588" t="s">
        <v>2516</v>
      </c>
      <c r="C588" t="s">
        <v>42</v>
      </c>
      <c r="D588" t="s">
        <v>2517</v>
      </c>
      <c r="E588" t="e" cm="1">
        <f t="array" ref="E588">- SILDENAFIL CITRATE</f>
        <v>#NAME?</v>
      </c>
      <c r="F588" t="s">
        <v>2518</v>
      </c>
      <c r="J588" t="s">
        <v>549</v>
      </c>
      <c r="M588" t="s">
        <v>46</v>
      </c>
      <c r="N588" t="s">
        <v>2519</v>
      </c>
      <c r="P588" t="s">
        <v>2520</v>
      </c>
      <c r="Q588" t="s">
        <v>2521</v>
      </c>
      <c r="R588">
        <v>4</v>
      </c>
      <c r="S588">
        <v>16</v>
      </c>
    </row>
    <row r="589" spans="1:19" x14ac:dyDescent="0.35">
      <c r="A589">
        <v>7794</v>
      </c>
      <c r="B589" t="s">
        <v>2522</v>
      </c>
      <c r="C589" t="s">
        <v>20</v>
      </c>
      <c r="D589" t="s">
        <v>2523</v>
      </c>
      <c r="E589" t="s">
        <v>2524</v>
      </c>
      <c r="F589" t="s">
        <v>2525</v>
      </c>
      <c r="H589" t="s">
        <v>2526</v>
      </c>
      <c r="J589" t="s">
        <v>2527</v>
      </c>
      <c r="M589" t="s">
        <v>38</v>
      </c>
      <c r="N589" t="s">
        <v>2528</v>
      </c>
      <c r="P589" t="s">
        <v>2529</v>
      </c>
      <c r="Q589" t="s">
        <v>2530</v>
      </c>
      <c r="R589">
        <v>4</v>
      </c>
      <c r="S589">
        <v>16</v>
      </c>
    </row>
    <row r="590" spans="1:19" x14ac:dyDescent="0.35">
      <c r="A590">
        <v>253</v>
      </c>
      <c r="B590" t="s">
        <v>2516</v>
      </c>
      <c r="C590" t="s">
        <v>42</v>
      </c>
      <c r="D590" t="s">
        <v>2517</v>
      </c>
      <c r="E590" t="e" cm="1">
        <f t="array" ref="E590">- SILDENAFIL CITRATE</f>
        <v>#NAME?</v>
      </c>
      <c r="F590" t="s">
        <v>2518</v>
      </c>
      <c r="J590" t="s">
        <v>549</v>
      </c>
      <c r="M590" t="s">
        <v>46</v>
      </c>
      <c r="N590" t="s">
        <v>2519</v>
      </c>
      <c r="P590" t="s">
        <v>2520</v>
      </c>
      <c r="Q590" t="s">
        <v>2521</v>
      </c>
      <c r="R590">
        <v>4</v>
      </c>
      <c r="S590">
        <v>16</v>
      </c>
    </row>
    <row r="591" spans="1:19" x14ac:dyDescent="0.35">
      <c r="A591">
        <v>9264</v>
      </c>
      <c r="B591" t="s">
        <v>2531</v>
      </c>
      <c r="C591" t="s">
        <v>42</v>
      </c>
      <c r="D591" t="s">
        <v>2532</v>
      </c>
      <c r="E591" t="e" cm="1">
        <f t="array" ref="E591">- SPIRONOLACTONE</f>
        <v>#NAME?</v>
      </c>
      <c r="F591" t="s">
        <v>2533</v>
      </c>
      <c r="G591" t="s">
        <v>2241</v>
      </c>
      <c r="H591" t="s">
        <v>2534</v>
      </c>
      <c r="I591" t="s">
        <v>2535</v>
      </c>
      <c r="J591" t="s">
        <v>532</v>
      </c>
      <c r="K591" t="s">
        <v>2536</v>
      </c>
      <c r="L591" t="s">
        <v>2537</v>
      </c>
      <c r="M591" t="s">
        <v>46</v>
      </c>
      <c r="N591" t="s">
        <v>2538</v>
      </c>
      <c r="O591" t="s">
        <v>2211</v>
      </c>
      <c r="P591" t="s">
        <v>2539</v>
      </c>
      <c r="Q591" t="s">
        <v>2540</v>
      </c>
      <c r="R591">
        <v>4</v>
      </c>
      <c r="S591">
        <v>16</v>
      </c>
    </row>
    <row r="592" spans="1:19" x14ac:dyDescent="0.35">
      <c r="A592">
        <v>505</v>
      </c>
      <c r="B592" t="s">
        <v>2541</v>
      </c>
      <c r="C592" t="s">
        <v>42</v>
      </c>
      <c r="D592" t="s">
        <v>2542</v>
      </c>
      <c r="E592" t="e" cm="1">
        <f t="array" ref="E592">- AMINOPHENAZONE</f>
        <v>#NAME?</v>
      </c>
      <c r="F592" t="s">
        <v>2543</v>
      </c>
      <c r="G592" t="s">
        <v>2544</v>
      </c>
      <c r="H592" t="s">
        <v>2545</v>
      </c>
      <c r="I592" t="s">
        <v>2546</v>
      </c>
      <c r="J592" t="s">
        <v>2547</v>
      </c>
      <c r="L592" t="s">
        <v>2548</v>
      </c>
      <c r="M592" t="s">
        <v>46</v>
      </c>
      <c r="N592" t="s">
        <v>2549</v>
      </c>
      <c r="O592" t="s">
        <v>2550</v>
      </c>
      <c r="P592" t="s">
        <v>2551</v>
      </c>
      <c r="Q592" t="s">
        <v>2552</v>
      </c>
      <c r="R592">
        <v>4</v>
      </c>
      <c r="S592">
        <v>16</v>
      </c>
    </row>
    <row r="593" spans="1:19" x14ac:dyDescent="0.35">
      <c r="A593">
        <v>1657</v>
      </c>
      <c r="B593" t="s">
        <v>2553</v>
      </c>
      <c r="C593" t="s">
        <v>42</v>
      </c>
      <c r="D593" t="s">
        <v>2554</v>
      </c>
      <c r="E593" t="e" cm="1">
        <f t="array" ref="E593">- CHLORPHENAMINE MALEATE</f>
        <v>#NAME?</v>
      </c>
      <c r="F593" t="s">
        <v>2555</v>
      </c>
      <c r="J593" t="s">
        <v>2556</v>
      </c>
      <c r="M593" t="s">
        <v>46</v>
      </c>
      <c r="N593" t="s">
        <v>1354</v>
      </c>
      <c r="P593" t="s">
        <v>2557</v>
      </c>
      <c r="Q593" t="s">
        <v>2558</v>
      </c>
      <c r="R593">
        <v>4</v>
      </c>
      <c r="S593">
        <v>16</v>
      </c>
    </row>
    <row r="594" spans="1:19" x14ac:dyDescent="0.35">
      <c r="A594">
        <v>1648</v>
      </c>
      <c r="B594" t="s">
        <v>2559</v>
      </c>
      <c r="C594" t="s">
        <v>42</v>
      </c>
      <c r="D594" t="s">
        <v>2560</v>
      </c>
      <c r="E594" t="e" cm="1">
        <f t="array" ref="E594">- CHLORPHENAMINE MALEATE</f>
        <v>#NAME?</v>
      </c>
      <c r="F594" t="s">
        <v>962</v>
      </c>
      <c r="J594" t="s">
        <v>2561</v>
      </c>
      <c r="M594" t="s">
        <v>271</v>
      </c>
      <c r="N594" t="s">
        <v>1354</v>
      </c>
      <c r="P594" t="s">
        <v>2562</v>
      </c>
      <c r="Q594" t="s">
        <v>2563</v>
      </c>
      <c r="R594">
        <v>4</v>
      </c>
      <c r="S594">
        <v>16</v>
      </c>
    </row>
    <row r="595" spans="1:19" x14ac:dyDescent="0.35">
      <c r="A595">
        <v>2461</v>
      </c>
      <c r="B595" t="s">
        <v>2564</v>
      </c>
      <c r="C595" t="s">
        <v>42</v>
      </c>
      <c r="D595" t="s">
        <v>2565</v>
      </c>
      <c r="E595" t="e" cm="1">
        <f t="array" ref="E595">- PIROXICAM</f>
        <v>#NAME?</v>
      </c>
      <c r="F595" t="s">
        <v>2566</v>
      </c>
      <c r="J595" t="s">
        <v>2567</v>
      </c>
      <c r="M595" t="s">
        <v>46</v>
      </c>
      <c r="N595" t="s">
        <v>605</v>
      </c>
      <c r="P595" t="s">
        <v>2568</v>
      </c>
      <c r="Q595" t="s">
        <v>2569</v>
      </c>
      <c r="R595">
        <v>4</v>
      </c>
      <c r="S595">
        <v>16</v>
      </c>
    </row>
    <row r="596" spans="1:19" x14ac:dyDescent="0.35">
      <c r="A596">
        <v>8207</v>
      </c>
      <c r="B596" t="s">
        <v>551</v>
      </c>
      <c r="C596" t="s">
        <v>42</v>
      </c>
      <c r="D596" t="s">
        <v>2337</v>
      </c>
      <c r="E596" t="e" cm="1">
        <f t="array" ref="E596">- POVIDONE-IODINE</f>
        <v>#NAME?</v>
      </c>
      <c r="F596" t="s">
        <v>2338</v>
      </c>
      <c r="G596" t="s">
        <v>2339</v>
      </c>
      <c r="H596" t="s">
        <v>2340</v>
      </c>
      <c r="J596" t="s">
        <v>2341</v>
      </c>
      <c r="M596" t="s">
        <v>554</v>
      </c>
      <c r="N596" t="s">
        <v>555</v>
      </c>
      <c r="P596" t="s">
        <v>2342</v>
      </c>
      <c r="Q596" t="s">
        <v>2343</v>
      </c>
      <c r="R596">
        <v>4</v>
      </c>
      <c r="S596">
        <v>16</v>
      </c>
    </row>
    <row r="597" spans="1:19" x14ac:dyDescent="0.35">
      <c r="A597">
        <v>2625</v>
      </c>
      <c r="B597" t="s">
        <v>2570</v>
      </c>
      <c r="C597" t="s">
        <v>42</v>
      </c>
      <c r="D597" t="s">
        <v>2571</v>
      </c>
      <c r="E597" t="e" cm="1">
        <f t="array" ref="E597">- PARACETAMOL</f>
        <v>#NAME?</v>
      </c>
      <c r="F597" t="s">
        <v>2572</v>
      </c>
      <c r="J597" t="s">
        <v>2573</v>
      </c>
      <c r="M597" t="s">
        <v>291</v>
      </c>
      <c r="N597" t="s">
        <v>584</v>
      </c>
      <c r="P597" t="s">
        <v>2574</v>
      </c>
      <c r="Q597" t="s">
        <v>2575</v>
      </c>
      <c r="R597">
        <v>4</v>
      </c>
      <c r="S597">
        <v>16</v>
      </c>
    </row>
    <row r="598" spans="1:19" x14ac:dyDescent="0.35">
      <c r="A598">
        <v>9257</v>
      </c>
      <c r="B598" t="s">
        <v>2480</v>
      </c>
      <c r="C598" t="s">
        <v>42</v>
      </c>
      <c r="D598" t="s">
        <v>2481</v>
      </c>
      <c r="E598" t="e" cm="1">
        <f t="array" ref="E598">- AMLODIPINE BESILATE</f>
        <v>#NAME?</v>
      </c>
      <c r="F598" t="s">
        <v>2482</v>
      </c>
      <c r="J598" t="s">
        <v>2483</v>
      </c>
      <c r="M598" t="s">
        <v>291</v>
      </c>
      <c r="N598" t="s">
        <v>2484</v>
      </c>
      <c r="P598" t="s">
        <v>2485</v>
      </c>
      <c r="Q598" t="s">
        <v>2486</v>
      </c>
      <c r="R598">
        <v>4</v>
      </c>
      <c r="S598">
        <v>16</v>
      </c>
    </row>
    <row r="599" spans="1:19" x14ac:dyDescent="0.35">
      <c r="A599">
        <v>9907</v>
      </c>
      <c r="B599" t="s">
        <v>2576</v>
      </c>
      <c r="C599" t="s">
        <v>42</v>
      </c>
      <c r="D599" t="s">
        <v>2577</v>
      </c>
      <c r="E599" t="e" cm="1">
        <f t="array" ref="E599">- ACETYLSALICYLIC ACID</f>
        <v>#NAME?</v>
      </c>
      <c r="F599" t="s">
        <v>2578</v>
      </c>
      <c r="J599" t="s">
        <v>532</v>
      </c>
      <c r="M599" t="s">
        <v>46</v>
      </c>
      <c r="N599" t="s">
        <v>2579</v>
      </c>
      <c r="P599" t="s">
        <v>2580</v>
      </c>
      <c r="Q599" t="s">
        <v>2581</v>
      </c>
      <c r="R599">
        <v>4</v>
      </c>
      <c r="S599">
        <v>16</v>
      </c>
    </row>
    <row r="600" spans="1:19" x14ac:dyDescent="0.35">
      <c r="A600">
        <v>2484</v>
      </c>
      <c r="B600" t="s">
        <v>2582</v>
      </c>
      <c r="C600" t="s">
        <v>42</v>
      </c>
      <c r="D600" t="s">
        <v>2583</v>
      </c>
      <c r="E600" t="e" cm="1">
        <f t="array" ref="E600">- MEFENAMIC ACID</f>
        <v>#NAME?</v>
      </c>
      <c r="F600" t="s">
        <v>2584</v>
      </c>
      <c r="H600" t="s">
        <v>269</v>
      </c>
      <c r="L600" t="s">
        <v>1875</v>
      </c>
      <c r="M600" t="s">
        <v>291</v>
      </c>
      <c r="N600" t="s">
        <v>2235</v>
      </c>
      <c r="P600" t="s">
        <v>2585</v>
      </c>
      <c r="Q600" t="s">
        <v>2586</v>
      </c>
      <c r="R600">
        <v>4</v>
      </c>
      <c r="S600">
        <v>16</v>
      </c>
    </row>
    <row r="601" spans="1:19" x14ac:dyDescent="0.35">
      <c r="A601">
        <v>8050</v>
      </c>
      <c r="B601" t="s">
        <v>2587</v>
      </c>
      <c r="C601" t="s">
        <v>42</v>
      </c>
      <c r="D601" t="s">
        <v>2588</v>
      </c>
      <c r="E601" t="e" cm="1">
        <f t="array" ref="E601">- POLICRESULEN</f>
        <v>#NAME?</v>
      </c>
      <c r="F601" t="s">
        <v>2589</v>
      </c>
      <c r="M601" t="s">
        <v>87</v>
      </c>
      <c r="N601" t="s">
        <v>2590</v>
      </c>
      <c r="P601" t="s">
        <v>2591</v>
      </c>
      <c r="Q601" t="s">
        <v>2592</v>
      </c>
      <c r="R601">
        <v>4</v>
      </c>
      <c r="S601">
        <v>16</v>
      </c>
    </row>
    <row r="602" spans="1:19" x14ac:dyDescent="0.35">
      <c r="A602">
        <v>9908</v>
      </c>
      <c r="B602" t="s">
        <v>2576</v>
      </c>
      <c r="C602" t="s">
        <v>42</v>
      </c>
      <c r="D602" t="s">
        <v>2577</v>
      </c>
      <c r="E602" t="e" cm="1">
        <f t="array" ref="E602">- ACETYLSALICYLIC ACID</f>
        <v>#NAME?</v>
      </c>
      <c r="F602" t="s">
        <v>2578</v>
      </c>
      <c r="J602" t="s">
        <v>532</v>
      </c>
      <c r="M602" t="s">
        <v>46</v>
      </c>
      <c r="N602" t="s">
        <v>2579</v>
      </c>
      <c r="P602" t="s">
        <v>2580</v>
      </c>
      <c r="Q602" t="s">
        <v>2581</v>
      </c>
      <c r="R602">
        <v>4</v>
      </c>
      <c r="S602">
        <v>16</v>
      </c>
    </row>
    <row r="603" spans="1:19" x14ac:dyDescent="0.35">
      <c r="A603">
        <v>2482</v>
      </c>
      <c r="B603" t="s">
        <v>2593</v>
      </c>
      <c r="C603" t="s">
        <v>42</v>
      </c>
      <c r="D603" t="s">
        <v>2594</v>
      </c>
      <c r="E603" t="e" cm="1">
        <f t="array" ref="E603">- DICLOFENAC SODIUM</f>
        <v>#NAME?</v>
      </c>
      <c r="F603" t="s">
        <v>2595</v>
      </c>
      <c r="H603" t="s">
        <v>2596</v>
      </c>
      <c r="J603" t="s">
        <v>532</v>
      </c>
      <c r="M603" t="s">
        <v>46</v>
      </c>
      <c r="N603" t="s">
        <v>2597</v>
      </c>
      <c r="P603" t="s">
        <v>2598</v>
      </c>
      <c r="Q603" t="s">
        <v>2599</v>
      </c>
      <c r="R603">
        <v>4</v>
      </c>
      <c r="S603">
        <v>16</v>
      </c>
    </row>
    <row r="604" spans="1:19" x14ac:dyDescent="0.35">
      <c r="A604">
        <v>8277</v>
      </c>
      <c r="B604" t="s">
        <v>551</v>
      </c>
      <c r="C604" t="s">
        <v>42</v>
      </c>
      <c r="D604" t="s">
        <v>2600</v>
      </c>
      <c r="E604" t="e" cm="1">
        <f t="array" ref="E604">- POVIDONE-IODINE</f>
        <v>#NAME?</v>
      </c>
      <c r="F604" s="1">
        <v>17000</v>
      </c>
      <c r="J604" t="s">
        <v>2601</v>
      </c>
      <c r="M604" t="s">
        <v>554</v>
      </c>
      <c r="N604" t="s">
        <v>555</v>
      </c>
      <c r="P604" t="s">
        <v>2602</v>
      </c>
      <c r="Q604" t="s">
        <v>2603</v>
      </c>
      <c r="R604">
        <v>4</v>
      </c>
      <c r="S604">
        <v>16</v>
      </c>
    </row>
    <row r="605" spans="1:19" x14ac:dyDescent="0.35">
      <c r="A605">
        <v>1817</v>
      </c>
      <c r="B605" t="s">
        <v>2604</v>
      </c>
      <c r="C605" t="s">
        <v>850</v>
      </c>
      <c r="D605" t="s">
        <v>2605</v>
      </c>
      <c r="E605" t="e" cm="1">
        <f t="array" ref="E605">- Camphor</f>
        <v>#NAME?</v>
      </c>
      <c r="F605" t="s">
        <v>2606</v>
      </c>
      <c r="J605" t="s">
        <v>2607</v>
      </c>
      <c r="M605" t="s">
        <v>2115</v>
      </c>
      <c r="N605" t="s">
        <v>853</v>
      </c>
      <c r="P605" t="s">
        <v>2608</v>
      </c>
      <c r="Q605" t="s">
        <v>2609</v>
      </c>
      <c r="R605">
        <v>4</v>
      </c>
      <c r="S605">
        <v>16</v>
      </c>
    </row>
    <row r="606" spans="1:19" x14ac:dyDescent="0.35">
      <c r="A606">
        <v>1649</v>
      </c>
      <c r="B606" t="s">
        <v>2610</v>
      </c>
      <c r="C606" t="s">
        <v>42</v>
      </c>
      <c r="D606" t="s">
        <v>2611</v>
      </c>
      <c r="E606" t="e" cm="1">
        <f t="array" ref="E606">- BROMHEXINE HYDROCHLORIDE</f>
        <v>#NAME?</v>
      </c>
      <c r="F606" t="s">
        <v>1776</v>
      </c>
      <c r="J606" t="s">
        <v>374</v>
      </c>
      <c r="M606" t="s">
        <v>271</v>
      </c>
      <c r="N606" t="s">
        <v>1342</v>
      </c>
      <c r="P606" t="s">
        <v>2612</v>
      </c>
      <c r="Q606" t="s">
        <v>2613</v>
      </c>
      <c r="R606">
        <v>4</v>
      </c>
      <c r="S606">
        <v>16</v>
      </c>
    </row>
    <row r="607" spans="1:19" x14ac:dyDescent="0.35">
      <c r="A607">
        <v>2280</v>
      </c>
      <c r="B607" t="s">
        <v>2614</v>
      </c>
      <c r="C607" t="s">
        <v>42</v>
      </c>
      <c r="D607" t="s">
        <v>2615</v>
      </c>
      <c r="E607" t="e" cm="1">
        <f t="array" ref="E607">- FLUNARIZINE</f>
        <v>#NAME?</v>
      </c>
      <c r="F607" t="s">
        <v>2616</v>
      </c>
      <c r="G607" t="s">
        <v>2617</v>
      </c>
      <c r="H607" t="s">
        <v>2618</v>
      </c>
      <c r="I607" t="s">
        <v>2619</v>
      </c>
      <c r="J607" t="s">
        <v>2620</v>
      </c>
      <c r="K607" t="s">
        <v>2621</v>
      </c>
      <c r="L607" t="s">
        <v>2622</v>
      </c>
      <c r="M607" t="s">
        <v>46</v>
      </c>
      <c r="N607" t="s">
        <v>2623</v>
      </c>
      <c r="O607" t="s">
        <v>2624</v>
      </c>
      <c r="P607" t="s">
        <v>2623</v>
      </c>
      <c r="Q607" t="s">
        <v>2625</v>
      </c>
      <c r="R607">
        <v>4</v>
      </c>
      <c r="S607">
        <v>16</v>
      </c>
    </row>
    <row r="608" spans="1:19" x14ac:dyDescent="0.35">
      <c r="A608">
        <v>8276</v>
      </c>
      <c r="B608" t="s">
        <v>551</v>
      </c>
      <c r="C608" t="s">
        <v>42</v>
      </c>
      <c r="D608" t="s">
        <v>2600</v>
      </c>
      <c r="E608" t="e" cm="1">
        <f t="array" ref="E608">- POVIDONE-IODINE</f>
        <v>#NAME?</v>
      </c>
      <c r="F608" s="1">
        <v>17000</v>
      </c>
      <c r="J608" t="s">
        <v>2601</v>
      </c>
      <c r="M608" t="s">
        <v>554</v>
      </c>
      <c r="N608" t="s">
        <v>555</v>
      </c>
      <c r="P608" t="s">
        <v>2602</v>
      </c>
      <c r="Q608" t="s">
        <v>2603</v>
      </c>
      <c r="R608">
        <v>4</v>
      </c>
      <c r="S608">
        <v>16</v>
      </c>
    </row>
    <row r="609" spans="1:19" x14ac:dyDescent="0.35">
      <c r="A609">
        <v>8051</v>
      </c>
      <c r="B609" t="s">
        <v>2587</v>
      </c>
      <c r="C609" t="s">
        <v>42</v>
      </c>
      <c r="D609" t="s">
        <v>2588</v>
      </c>
      <c r="E609" t="e" cm="1">
        <f t="array" ref="E609">- POLICRESULEN</f>
        <v>#NAME?</v>
      </c>
      <c r="F609" t="s">
        <v>2589</v>
      </c>
      <c r="M609" t="s">
        <v>87</v>
      </c>
      <c r="N609" t="s">
        <v>2590</v>
      </c>
      <c r="P609" t="s">
        <v>2591</v>
      </c>
      <c r="Q609" t="s">
        <v>2592</v>
      </c>
      <c r="R609">
        <v>4</v>
      </c>
      <c r="S609">
        <v>16</v>
      </c>
    </row>
    <row r="610" spans="1:19" x14ac:dyDescent="0.35">
      <c r="A610">
        <v>8266</v>
      </c>
      <c r="B610" t="s">
        <v>551</v>
      </c>
      <c r="C610" t="s">
        <v>42</v>
      </c>
      <c r="D610" t="s">
        <v>2626</v>
      </c>
      <c r="E610" t="e" cm="1">
        <f t="array" ref="E610">- POVIDONE-IODINE</f>
        <v>#NAME?</v>
      </c>
      <c r="F610" t="s">
        <v>2627</v>
      </c>
      <c r="J610" t="s">
        <v>2628</v>
      </c>
      <c r="M610" t="s">
        <v>554</v>
      </c>
      <c r="N610" t="s">
        <v>555</v>
      </c>
      <c r="P610" t="s">
        <v>2629</v>
      </c>
      <c r="Q610" t="s">
        <v>2630</v>
      </c>
      <c r="R610">
        <v>4</v>
      </c>
      <c r="S610">
        <v>16</v>
      </c>
    </row>
    <row r="611" spans="1:19" x14ac:dyDescent="0.35">
      <c r="A611">
        <v>2727</v>
      </c>
      <c r="B611" t="s">
        <v>2631</v>
      </c>
      <c r="C611" t="s">
        <v>42</v>
      </c>
      <c r="D611" t="s">
        <v>2632</v>
      </c>
      <c r="E611" t="e" cm="1">
        <f t="array" ref="E611">- MEFENAMIC ACID</f>
        <v>#NAME?</v>
      </c>
      <c r="F611" t="s">
        <v>2633</v>
      </c>
      <c r="J611" t="s">
        <v>2634</v>
      </c>
      <c r="L611" t="s">
        <v>1308</v>
      </c>
      <c r="M611" t="s">
        <v>291</v>
      </c>
      <c r="N611" t="s">
        <v>2235</v>
      </c>
      <c r="P611" t="s">
        <v>2635</v>
      </c>
      <c r="Q611" t="s">
        <v>2636</v>
      </c>
      <c r="R611">
        <v>4</v>
      </c>
      <c r="S611">
        <v>16</v>
      </c>
    </row>
    <row r="612" spans="1:19" x14ac:dyDescent="0.35">
      <c r="A612">
        <v>2481</v>
      </c>
      <c r="B612" t="s">
        <v>2593</v>
      </c>
      <c r="C612" t="s">
        <v>42</v>
      </c>
      <c r="D612" t="s">
        <v>2594</v>
      </c>
      <c r="E612" t="e" cm="1">
        <f t="array" ref="E612">- DICLOFENAC POTASSIUM</f>
        <v>#NAME?</v>
      </c>
      <c r="F612" t="s">
        <v>2595</v>
      </c>
      <c r="H612" t="s">
        <v>2596</v>
      </c>
      <c r="J612" t="s">
        <v>532</v>
      </c>
      <c r="M612" t="s">
        <v>46</v>
      </c>
      <c r="N612" t="s">
        <v>2637</v>
      </c>
      <c r="P612" t="s">
        <v>2598</v>
      </c>
      <c r="Q612" t="s">
        <v>2638</v>
      </c>
      <c r="R612">
        <v>4</v>
      </c>
      <c r="S612">
        <v>16</v>
      </c>
    </row>
    <row r="613" spans="1:19" x14ac:dyDescent="0.35">
      <c r="A613">
        <v>9068</v>
      </c>
      <c r="B613" t="s">
        <v>2639</v>
      </c>
      <c r="C613" t="s">
        <v>42</v>
      </c>
      <c r="D613" t="s">
        <v>2640</v>
      </c>
      <c r="E613" t="e" cm="1">
        <f t="array" ref="E613">- HYDROCHLOROTHIAZIDE</f>
        <v>#NAME?</v>
      </c>
      <c r="F613" t="s">
        <v>2641</v>
      </c>
      <c r="G613" t="s">
        <v>2642</v>
      </c>
      <c r="H613" t="s">
        <v>2643</v>
      </c>
      <c r="I613" t="s">
        <v>2535</v>
      </c>
      <c r="J613" t="s">
        <v>2644</v>
      </c>
      <c r="K613" t="s">
        <v>2645</v>
      </c>
      <c r="L613" t="s">
        <v>2646</v>
      </c>
      <c r="M613" t="s">
        <v>46</v>
      </c>
      <c r="N613" t="s">
        <v>2647</v>
      </c>
      <c r="O613" t="s">
        <v>2211</v>
      </c>
      <c r="P613" t="s">
        <v>2648</v>
      </c>
      <c r="Q613" t="s">
        <v>2649</v>
      </c>
      <c r="R613">
        <v>4</v>
      </c>
      <c r="S613">
        <v>16</v>
      </c>
    </row>
    <row r="614" spans="1:19" x14ac:dyDescent="0.35">
      <c r="A614">
        <v>7853</v>
      </c>
      <c r="B614" t="s">
        <v>2650</v>
      </c>
      <c r="C614" t="s">
        <v>20</v>
      </c>
      <c r="D614" t="s">
        <v>2651</v>
      </c>
      <c r="E614" t="s">
        <v>2652</v>
      </c>
      <c r="F614" t="s">
        <v>2653</v>
      </c>
      <c r="J614" t="s">
        <v>2654</v>
      </c>
      <c r="M614" t="s">
        <v>63</v>
      </c>
      <c r="N614" t="s">
        <v>2655</v>
      </c>
      <c r="P614" t="s">
        <v>2655</v>
      </c>
      <c r="Q614" t="s">
        <v>2656</v>
      </c>
      <c r="R614">
        <v>4</v>
      </c>
      <c r="S614">
        <v>16</v>
      </c>
    </row>
    <row r="615" spans="1:19" x14ac:dyDescent="0.35">
      <c r="A615">
        <v>9069</v>
      </c>
      <c r="B615" t="s">
        <v>2657</v>
      </c>
      <c r="C615" t="s">
        <v>42</v>
      </c>
      <c r="D615" t="s">
        <v>2658</v>
      </c>
      <c r="E615" t="e" cm="1">
        <f t="array" ref="E615">- HYDROCHLOROTHIAZIDE</f>
        <v>#NAME?</v>
      </c>
      <c r="F615" t="s">
        <v>2659</v>
      </c>
      <c r="G615" t="s">
        <v>2642</v>
      </c>
      <c r="H615" t="s">
        <v>2643</v>
      </c>
      <c r="I615" t="s">
        <v>2535</v>
      </c>
      <c r="J615" t="s">
        <v>2644</v>
      </c>
      <c r="K615" t="s">
        <v>2660</v>
      </c>
      <c r="L615" t="s">
        <v>2646</v>
      </c>
      <c r="M615" t="s">
        <v>46</v>
      </c>
      <c r="N615" t="s">
        <v>2647</v>
      </c>
      <c r="O615" t="s">
        <v>2211</v>
      </c>
      <c r="P615" t="s">
        <v>2648</v>
      </c>
      <c r="Q615" t="s">
        <v>2649</v>
      </c>
      <c r="R615">
        <v>4</v>
      </c>
      <c r="S615">
        <v>16</v>
      </c>
    </row>
    <row r="616" spans="1:19" x14ac:dyDescent="0.35">
      <c r="A616">
        <v>9275</v>
      </c>
      <c r="B616" t="s">
        <v>2661</v>
      </c>
      <c r="C616" t="s">
        <v>42</v>
      </c>
      <c r="D616" t="s">
        <v>2662</v>
      </c>
      <c r="E616" t="e" cm="1">
        <f t="array" ref="E616">- IMIDAPRIL</f>
        <v>#NAME?</v>
      </c>
      <c r="F616" t="s">
        <v>2663</v>
      </c>
      <c r="G616" t="s">
        <v>2241</v>
      </c>
      <c r="H616" t="s">
        <v>2205</v>
      </c>
      <c r="I616" t="s">
        <v>2206</v>
      </c>
      <c r="J616" t="s">
        <v>2664</v>
      </c>
      <c r="K616" t="s">
        <v>2208</v>
      </c>
      <c r="L616" t="s">
        <v>2209</v>
      </c>
      <c r="M616" t="s">
        <v>46</v>
      </c>
      <c r="N616" t="s">
        <v>2210</v>
      </c>
      <c r="O616" t="s">
        <v>2211</v>
      </c>
      <c r="P616" t="s">
        <v>2212</v>
      </c>
      <c r="Q616" t="s">
        <v>2213</v>
      </c>
      <c r="R616">
        <v>4</v>
      </c>
      <c r="S616">
        <v>16</v>
      </c>
    </row>
    <row r="617" spans="1:19" x14ac:dyDescent="0.35">
      <c r="A617">
        <v>1541</v>
      </c>
      <c r="B617" t="s">
        <v>415</v>
      </c>
      <c r="C617" t="s">
        <v>42</v>
      </c>
      <c r="D617" t="s">
        <v>416</v>
      </c>
      <c r="E617" t="e" cm="1">
        <f t="array" ref="E617">- AMBROXOL HYDROCHLORIDE</f>
        <v>#NAME?</v>
      </c>
      <c r="F617" t="s">
        <v>417</v>
      </c>
      <c r="H617" t="s">
        <v>269</v>
      </c>
      <c r="L617" t="s">
        <v>270</v>
      </c>
      <c r="M617" t="s">
        <v>46</v>
      </c>
      <c r="N617" t="s">
        <v>1800</v>
      </c>
      <c r="P617" t="s">
        <v>419</v>
      </c>
      <c r="Q617" t="s">
        <v>2665</v>
      </c>
      <c r="R617">
        <v>4</v>
      </c>
      <c r="S617">
        <v>16</v>
      </c>
    </row>
    <row r="618" spans="1:19" x14ac:dyDescent="0.35">
      <c r="A618">
        <v>7847</v>
      </c>
      <c r="B618" t="s">
        <v>2666</v>
      </c>
      <c r="C618" t="s">
        <v>20</v>
      </c>
      <c r="D618" t="s">
        <v>2667</v>
      </c>
      <c r="E618" t="s">
        <v>2668</v>
      </c>
      <c r="F618" t="s">
        <v>2669</v>
      </c>
      <c r="J618" t="s">
        <v>2654</v>
      </c>
      <c r="M618" t="s">
        <v>63</v>
      </c>
      <c r="N618" t="s">
        <v>2670</v>
      </c>
      <c r="P618" t="s">
        <v>2670</v>
      </c>
      <c r="Q618" t="s">
        <v>2671</v>
      </c>
      <c r="R618">
        <v>4</v>
      </c>
      <c r="S618">
        <v>16</v>
      </c>
    </row>
    <row r="619" spans="1:19" x14ac:dyDescent="0.35">
      <c r="A619">
        <v>1660</v>
      </c>
      <c r="B619" t="s">
        <v>2466</v>
      </c>
      <c r="C619" t="s">
        <v>42</v>
      </c>
      <c r="D619" t="s">
        <v>2467</v>
      </c>
      <c r="E619" t="e" cm="1">
        <f t="array" ref="E619">- AMBROXOL HYDROCHLORIDE</f>
        <v>#NAME?</v>
      </c>
      <c r="F619" t="s">
        <v>2468</v>
      </c>
      <c r="J619" t="s">
        <v>334</v>
      </c>
      <c r="M619" t="s">
        <v>271</v>
      </c>
      <c r="N619" t="s">
        <v>1800</v>
      </c>
      <c r="P619" t="s">
        <v>2469</v>
      </c>
      <c r="Q619" t="s">
        <v>2470</v>
      </c>
      <c r="R619">
        <v>4</v>
      </c>
      <c r="S619">
        <v>16</v>
      </c>
    </row>
    <row r="620" spans="1:19" x14ac:dyDescent="0.35">
      <c r="A620">
        <v>2737</v>
      </c>
      <c r="B620" t="s">
        <v>2498</v>
      </c>
      <c r="C620" t="s">
        <v>42</v>
      </c>
      <c r="D620" t="s">
        <v>2499</v>
      </c>
      <c r="E620" t="e" cm="1">
        <f t="array" ref="E620">- KETOROLAC TROMETAMOL</f>
        <v>#NAME?</v>
      </c>
      <c r="F620" t="s">
        <v>2500</v>
      </c>
      <c r="J620" t="s">
        <v>45</v>
      </c>
      <c r="M620" t="s">
        <v>46</v>
      </c>
      <c r="N620" t="s">
        <v>2501</v>
      </c>
      <c r="P620" t="s">
        <v>2502</v>
      </c>
      <c r="Q620" t="s">
        <v>2503</v>
      </c>
      <c r="R620">
        <v>4</v>
      </c>
      <c r="S620">
        <v>16</v>
      </c>
    </row>
    <row r="621" spans="1:19" x14ac:dyDescent="0.35">
      <c r="A621">
        <v>8267</v>
      </c>
      <c r="B621" t="s">
        <v>551</v>
      </c>
      <c r="C621" t="s">
        <v>42</v>
      </c>
      <c r="D621" t="s">
        <v>2626</v>
      </c>
      <c r="E621" t="e" cm="1">
        <f t="array" ref="E621">- POVIDONE-IODINE</f>
        <v>#NAME?</v>
      </c>
      <c r="F621" t="s">
        <v>2627</v>
      </c>
      <c r="J621" t="s">
        <v>2628</v>
      </c>
      <c r="M621" t="s">
        <v>554</v>
      </c>
      <c r="N621" t="s">
        <v>555</v>
      </c>
      <c r="P621" t="s">
        <v>2629</v>
      </c>
      <c r="Q621" t="s">
        <v>2630</v>
      </c>
      <c r="R621">
        <v>4</v>
      </c>
      <c r="S621">
        <v>16</v>
      </c>
    </row>
    <row r="622" spans="1:19" x14ac:dyDescent="0.35">
      <c r="A622">
        <v>2728</v>
      </c>
      <c r="B622" t="s">
        <v>2631</v>
      </c>
      <c r="C622" t="s">
        <v>42</v>
      </c>
      <c r="D622" t="s">
        <v>2632</v>
      </c>
      <c r="E622" t="e" cm="1">
        <f t="array" ref="E622">- MEFENAMIC ACID</f>
        <v>#NAME?</v>
      </c>
      <c r="F622" t="s">
        <v>2633</v>
      </c>
      <c r="J622" t="s">
        <v>2634</v>
      </c>
      <c r="L622" t="s">
        <v>1308</v>
      </c>
      <c r="M622" t="s">
        <v>291</v>
      </c>
      <c r="N622" t="s">
        <v>2235</v>
      </c>
      <c r="P622" t="s">
        <v>2635</v>
      </c>
      <c r="Q622" t="s">
        <v>2636</v>
      </c>
      <c r="R622">
        <v>4</v>
      </c>
      <c r="S622">
        <v>16</v>
      </c>
    </row>
    <row r="623" spans="1:19" x14ac:dyDescent="0.35">
      <c r="A623">
        <v>9274</v>
      </c>
      <c r="B623" t="s">
        <v>2661</v>
      </c>
      <c r="C623" t="s">
        <v>42</v>
      </c>
      <c r="D623" t="s">
        <v>2662</v>
      </c>
      <c r="E623" t="e" cm="1">
        <f t="array" ref="E623">- IMIDAPRIL HYDROCHLORIDE</f>
        <v>#NAME?</v>
      </c>
      <c r="F623" t="s">
        <v>2663</v>
      </c>
      <c r="G623" t="s">
        <v>2241</v>
      </c>
      <c r="H623" t="s">
        <v>2205</v>
      </c>
      <c r="I623" t="s">
        <v>2206</v>
      </c>
      <c r="J623" t="s">
        <v>2664</v>
      </c>
      <c r="K623" t="s">
        <v>2208</v>
      </c>
      <c r="L623" t="s">
        <v>2209</v>
      </c>
      <c r="M623" t="s">
        <v>46</v>
      </c>
      <c r="N623" t="s">
        <v>2672</v>
      </c>
      <c r="O623" t="s">
        <v>2211</v>
      </c>
      <c r="P623" t="s">
        <v>2212</v>
      </c>
      <c r="Q623" t="s">
        <v>2673</v>
      </c>
      <c r="R623">
        <v>5</v>
      </c>
      <c r="S623">
        <v>16</v>
      </c>
    </row>
    <row r="624" spans="1:19" x14ac:dyDescent="0.35">
      <c r="A624">
        <v>3462</v>
      </c>
      <c r="B624" t="s">
        <v>2674</v>
      </c>
      <c r="C624" t="s">
        <v>42</v>
      </c>
      <c r="D624" t="s">
        <v>2675</v>
      </c>
      <c r="E624" t="e" cm="1">
        <f t="array" ref="E624">- SUCRALFATE</f>
        <v>#NAME?</v>
      </c>
      <c r="F624" t="s">
        <v>2676</v>
      </c>
      <c r="G624" t="s">
        <v>2677</v>
      </c>
      <c r="H624" t="s">
        <v>2678</v>
      </c>
      <c r="I624" t="s">
        <v>2679</v>
      </c>
      <c r="J624" t="s">
        <v>374</v>
      </c>
      <c r="K624" t="s">
        <v>2680</v>
      </c>
      <c r="L624" t="s">
        <v>2681</v>
      </c>
      <c r="M624" t="s">
        <v>340</v>
      </c>
      <c r="N624" t="s">
        <v>375</v>
      </c>
      <c r="O624" t="s">
        <v>2682</v>
      </c>
      <c r="P624" t="s">
        <v>2683</v>
      </c>
      <c r="Q624" t="s">
        <v>2684</v>
      </c>
      <c r="R624">
        <v>5</v>
      </c>
      <c r="S624">
        <v>16</v>
      </c>
    </row>
    <row r="625" spans="1:19" x14ac:dyDescent="0.35">
      <c r="A625">
        <v>5142</v>
      </c>
      <c r="B625" t="s">
        <v>1399</v>
      </c>
      <c r="C625" t="s">
        <v>42</v>
      </c>
      <c r="D625" t="s">
        <v>1400</v>
      </c>
      <c r="E625" t="e" cm="1">
        <f t="array" ref="E625">- BETAMETHASONE DIPROPIONATE</f>
        <v>#NAME?</v>
      </c>
      <c r="F625" t="s">
        <v>1401</v>
      </c>
      <c r="J625" t="s">
        <v>1402</v>
      </c>
      <c r="L625" t="s">
        <v>1403</v>
      </c>
      <c r="M625" t="s">
        <v>1289</v>
      </c>
      <c r="N625" t="s">
        <v>2685</v>
      </c>
      <c r="P625" t="s">
        <v>1404</v>
      </c>
      <c r="Q625" t="s">
        <v>2686</v>
      </c>
      <c r="R625">
        <v>5</v>
      </c>
      <c r="S625">
        <v>16</v>
      </c>
    </row>
    <row r="626" spans="1:19" x14ac:dyDescent="0.35">
      <c r="A626">
        <v>9276</v>
      </c>
      <c r="B626" t="s">
        <v>2202</v>
      </c>
      <c r="C626" t="s">
        <v>42</v>
      </c>
      <c r="D626" t="s">
        <v>2203</v>
      </c>
      <c r="E626" t="e" cm="1">
        <f t="array" ref="E626">- IMIDAPRIL HYDROCHLORIDE</f>
        <v>#NAME?</v>
      </c>
      <c r="F626" t="s">
        <v>2204</v>
      </c>
      <c r="H626" t="s">
        <v>2205</v>
      </c>
      <c r="I626" t="s">
        <v>2206</v>
      </c>
      <c r="J626" t="s">
        <v>2207</v>
      </c>
      <c r="K626" t="s">
        <v>2208</v>
      </c>
      <c r="L626" t="s">
        <v>2209</v>
      </c>
      <c r="M626" t="s">
        <v>46</v>
      </c>
      <c r="N626" t="s">
        <v>2672</v>
      </c>
      <c r="O626" t="s">
        <v>2211</v>
      </c>
      <c r="P626" t="s">
        <v>2212</v>
      </c>
      <c r="Q626" t="s">
        <v>2673</v>
      </c>
      <c r="R626">
        <v>5</v>
      </c>
      <c r="S626">
        <v>16</v>
      </c>
    </row>
    <row r="627" spans="1:19" x14ac:dyDescent="0.35">
      <c r="A627">
        <v>8273</v>
      </c>
      <c r="B627" t="s">
        <v>551</v>
      </c>
      <c r="C627" t="s">
        <v>42</v>
      </c>
      <c r="D627" t="s">
        <v>2687</v>
      </c>
      <c r="E627" t="e" cm="1">
        <f t="array" ref="E627">- POVIDONE-IODINE</f>
        <v>#NAME?</v>
      </c>
      <c r="F627" s="1">
        <v>117900</v>
      </c>
      <c r="J627" t="s">
        <v>2688</v>
      </c>
      <c r="M627" t="s">
        <v>554</v>
      </c>
      <c r="N627" t="s">
        <v>555</v>
      </c>
      <c r="P627" t="s">
        <v>2689</v>
      </c>
      <c r="Q627" t="s">
        <v>2690</v>
      </c>
      <c r="R627">
        <v>5</v>
      </c>
      <c r="S627">
        <v>16</v>
      </c>
    </row>
    <row r="628" spans="1:19" x14ac:dyDescent="0.35">
      <c r="A628">
        <v>8272</v>
      </c>
      <c r="B628" t="s">
        <v>551</v>
      </c>
      <c r="C628" t="s">
        <v>42</v>
      </c>
      <c r="D628" t="s">
        <v>2687</v>
      </c>
      <c r="E628" t="e" cm="1">
        <f t="array" ref="E628">- POVIDONE-IODINE</f>
        <v>#NAME?</v>
      </c>
      <c r="F628" s="1">
        <v>117900</v>
      </c>
      <c r="J628" t="s">
        <v>2688</v>
      </c>
      <c r="M628" t="s">
        <v>554</v>
      </c>
      <c r="N628" t="s">
        <v>555</v>
      </c>
      <c r="P628" t="s">
        <v>2689</v>
      </c>
      <c r="Q628" t="s">
        <v>2690</v>
      </c>
      <c r="R628">
        <v>5</v>
      </c>
      <c r="S628">
        <v>16</v>
      </c>
    </row>
    <row r="629" spans="1:19" x14ac:dyDescent="0.35">
      <c r="A629">
        <v>6692</v>
      </c>
      <c r="B629" t="s">
        <v>2691</v>
      </c>
      <c r="C629" t="s">
        <v>42</v>
      </c>
      <c r="D629" t="s">
        <v>2692</v>
      </c>
      <c r="E629" t="e" cm="1">
        <f t="array" ref="E629">- TENOFOVIR ALAFENAMIDE FUMARATE</f>
        <v>#NAME?</v>
      </c>
      <c r="F629" t="s">
        <v>2693</v>
      </c>
      <c r="J629" t="s">
        <v>2694</v>
      </c>
      <c r="M629" t="s">
        <v>46</v>
      </c>
      <c r="N629" t="s">
        <v>2695</v>
      </c>
      <c r="P629" t="s">
        <v>2696</v>
      </c>
      <c r="Q629" t="s">
        <v>2697</v>
      </c>
      <c r="R629">
        <v>5</v>
      </c>
      <c r="S629">
        <v>16</v>
      </c>
    </row>
    <row r="630" spans="1:19" x14ac:dyDescent="0.35">
      <c r="A630">
        <v>8255</v>
      </c>
      <c r="B630" t="s">
        <v>551</v>
      </c>
      <c r="C630" t="s">
        <v>42</v>
      </c>
      <c r="D630" t="s">
        <v>2698</v>
      </c>
      <c r="E630" t="e" cm="1">
        <f t="array" ref="E630">- POVIDONE-IODINE</f>
        <v>#NAME?</v>
      </c>
      <c r="F630" t="s">
        <v>2699</v>
      </c>
      <c r="H630" t="s">
        <v>1322</v>
      </c>
      <c r="J630" t="s">
        <v>2700</v>
      </c>
      <c r="M630" t="s">
        <v>554</v>
      </c>
      <c r="N630" t="s">
        <v>555</v>
      </c>
      <c r="P630" t="s">
        <v>2701</v>
      </c>
      <c r="Q630" t="s">
        <v>2702</v>
      </c>
      <c r="R630">
        <v>5</v>
      </c>
      <c r="S630">
        <v>16</v>
      </c>
    </row>
    <row r="631" spans="1:19" x14ac:dyDescent="0.35">
      <c r="A631">
        <v>8254</v>
      </c>
      <c r="B631" t="s">
        <v>551</v>
      </c>
      <c r="C631" t="s">
        <v>42</v>
      </c>
      <c r="D631" t="s">
        <v>2698</v>
      </c>
      <c r="E631" t="e" cm="1">
        <f t="array" ref="E631">- POVIDONE-IODINE</f>
        <v>#NAME?</v>
      </c>
      <c r="F631" t="s">
        <v>2699</v>
      </c>
      <c r="H631" t="s">
        <v>1322</v>
      </c>
      <c r="J631" t="s">
        <v>2700</v>
      </c>
      <c r="M631" t="s">
        <v>554</v>
      </c>
      <c r="N631" t="s">
        <v>555</v>
      </c>
      <c r="P631" t="s">
        <v>2701</v>
      </c>
      <c r="Q631" t="s">
        <v>2702</v>
      </c>
      <c r="R631">
        <v>5</v>
      </c>
      <c r="S631">
        <v>16</v>
      </c>
    </row>
    <row r="632" spans="1:19" x14ac:dyDescent="0.35">
      <c r="A632">
        <v>3531</v>
      </c>
      <c r="B632" t="s">
        <v>2703</v>
      </c>
      <c r="C632" t="s">
        <v>42</v>
      </c>
      <c r="D632" t="s">
        <v>2704</v>
      </c>
      <c r="E632" t="e" cm="1">
        <f t="array" ref="E632">- DOMPERIDONE</f>
        <v>#NAME?</v>
      </c>
      <c r="F632" t="s">
        <v>2705</v>
      </c>
      <c r="G632" t="s">
        <v>2706</v>
      </c>
      <c r="H632" t="s">
        <v>2707</v>
      </c>
      <c r="I632" t="s">
        <v>2708</v>
      </c>
      <c r="J632" t="s">
        <v>2709</v>
      </c>
      <c r="K632" t="s">
        <v>2710</v>
      </c>
      <c r="L632" t="s">
        <v>2711</v>
      </c>
      <c r="M632" t="s">
        <v>340</v>
      </c>
      <c r="N632" t="s">
        <v>341</v>
      </c>
      <c r="O632" t="s">
        <v>2712</v>
      </c>
      <c r="P632" t="s">
        <v>2713</v>
      </c>
      <c r="Q632" t="s">
        <v>2714</v>
      </c>
      <c r="R632">
        <v>5</v>
      </c>
      <c r="S632">
        <v>16</v>
      </c>
    </row>
    <row r="633" spans="1:19" x14ac:dyDescent="0.35">
      <c r="A633">
        <v>8274</v>
      </c>
      <c r="B633" t="s">
        <v>551</v>
      </c>
      <c r="C633" t="s">
        <v>42</v>
      </c>
      <c r="D633" t="s">
        <v>2715</v>
      </c>
      <c r="E633" t="e" cm="1">
        <f t="array" ref="E633">- POVIDONE-IODINE</f>
        <v>#NAME?</v>
      </c>
      <c r="F633" t="s">
        <v>2716</v>
      </c>
      <c r="J633" t="s">
        <v>2688</v>
      </c>
      <c r="M633" t="s">
        <v>554</v>
      </c>
      <c r="N633" t="s">
        <v>555</v>
      </c>
      <c r="P633" t="s">
        <v>2689</v>
      </c>
      <c r="Q633" t="s">
        <v>2690</v>
      </c>
      <c r="R633">
        <v>5</v>
      </c>
      <c r="S633">
        <v>16</v>
      </c>
    </row>
    <row r="634" spans="1:19" x14ac:dyDescent="0.35">
      <c r="A634">
        <v>8253</v>
      </c>
      <c r="B634" t="s">
        <v>551</v>
      </c>
      <c r="C634" t="s">
        <v>42</v>
      </c>
      <c r="D634" t="s">
        <v>2717</v>
      </c>
      <c r="E634" t="e" cm="1">
        <f t="array" ref="E634">- POVIDONE-IODINE</f>
        <v>#NAME?</v>
      </c>
      <c r="F634" t="s">
        <v>2718</v>
      </c>
      <c r="J634" t="s">
        <v>2719</v>
      </c>
      <c r="M634" t="s">
        <v>554</v>
      </c>
      <c r="N634" t="s">
        <v>555</v>
      </c>
      <c r="P634" t="s">
        <v>2701</v>
      </c>
      <c r="Q634" t="s">
        <v>2702</v>
      </c>
      <c r="R634">
        <v>5</v>
      </c>
      <c r="S634">
        <v>16</v>
      </c>
    </row>
    <row r="635" spans="1:19" x14ac:dyDescent="0.35">
      <c r="A635">
        <v>3480</v>
      </c>
      <c r="B635" t="s">
        <v>2720</v>
      </c>
      <c r="C635" t="s">
        <v>42</v>
      </c>
      <c r="D635" t="s">
        <v>2721</v>
      </c>
      <c r="E635" t="s">
        <v>2722</v>
      </c>
      <c r="F635" t="s">
        <v>2723</v>
      </c>
      <c r="H635" t="s">
        <v>2724</v>
      </c>
      <c r="J635" t="s">
        <v>2725</v>
      </c>
      <c r="K635" t="s">
        <v>2726</v>
      </c>
      <c r="L635" t="s">
        <v>2727</v>
      </c>
      <c r="M635" t="s">
        <v>38</v>
      </c>
      <c r="N635" t="s">
        <v>2728</v>
      </c>
      <c r="P635" t="s">
        <v>2729</v>
      </c>
      <c r="Q635" t="s">
        <v>2730</v>
      </c>
      <c r="R635">
        <v>5</v>
      </c>
      <c r="S635">
        <v>16</v>
      </c>
    </row>
    <row r="636" spans="1:19" x14ac:dyDescent="0.35">
      <c r="A636">
        <v>9285</v>
      </c>
      <c r="B636" t="s">
        <v>2731</v>
      </c>
      <c r="C636" t="s">
        <v>42</v>
      </c>
      <c r="D636" t="s">
        <v>2732</v>
      </c>
      <c r="E636" t="e" cm="1">
        <f t="array" ref="E636">- ENALAPRIL MALEATE</f>
        <v>#NAME?</v>
      </c>
      <c r="F636" t="s">
        <v>2733</v>
      </c>
      <c r="G636" t="s">
        <v>2734</v>
      </c>
      <c r="H636" t="s">
        <v>2735</v>
      </c>
      <c r="I636" t="s">
        <v>2736</v>
      </c>
      <c r="J636" t="s">
        <v>2737</v>
      </c>
      <c r="L636" t="s">
        <v>2738</v>
      </c>
      <c r="M636" t="s">
        <v>46</v>
      </c>
      <c r="N636" t="s">
        <v>2739</v>
      </c>
      <c r="O636" t="s">
        <v>2211</v>
      </c>
      <c r="P636" t="s">
        <v>2740</v>
      </c>
      <c r="Q636" t="s">
        <v>2741</v>
      </c>
      <c r="R636">
        <v>5</v>
      </c>
      <c r="S636">
        <v>16</v>
      </c>
    </row>
    <row r="637" spans="1:19" x14ac:dyDescent="0.35">
      <c r="A637">
        <v>1255</v>
      </c>
      <c r="B637" t="s">
        <v>2742</v>
      </c>
      <c r="C637" t="s">
        <v>42</v>
      </c>
      <c r="D637" t="s">
        <v>2743</v>
      </c>
      <c r="E637" t="e" cm="1">
        <f t="array" ref="E637">- AMMONIUM CHLORIDE</f>
        <v>#NAME?</v>
      </c>
      <c r="F637" t="s">
        <v>2744</v>
      </c>
      <c r="J637" t="s">
        <v>334</v>
      </c>
      <c r="M637" t="s">
        <v>271</v>
      </c>
      <c r="N637" t="s">
        <v>1672</v>
      </c>
      <c r="P637" t="s">
        <v>2745</v>
      </c>
      <c r="Q637" t="s">
        <v>2746</v>
      </c>
      <c r="R637">
        <v>5</v>
      </c>
      <c r="S637">
        <v>16</v>
      </c>
    </row>
    <row r="638" spans="1:19" x14ac:dyDescent="0.35">
      <c r="A638">
        <v>3846</v>
      </c>
      <c r="B638" t="s">
        <v>2747</v>
      </c>
      <c r="C638" t="s">
        <v>42</v>
      </c>
      <c r="D638" t="s">
        <v>2748</v>
      </c>
      <c r="E638" t="e" cm="1">
        <f t="array" ref="E638">- ZINC SULFATE MONOHYDRATE</f>
        <v>#NAME?</v>
      </c>
      <c r="F638" t="s">
        <v>2749</v>
      </c>
      <c r="J638" t="s">
        <v>2277</v>
      </c>
      <c r="M638" t="s">
        <v>271</v>
      </c>
      <c r="N638" t="s">
        <v>2750</v>
      </c>
      <c r="P638" t="s">
        <v>2751</v>
      </c>
      <c r="Q638" t="s">
        <v>2752</v>
      </c>
      <c r="R638">
        <v>5</v>
      </c>
      <c r="S638">
        <v>16</v>
      </c>
    </row>
    <row r="639" spans="1:19" x14ac:dyDescent="0.35">
      <c r="A639">
        <v>3847</v>
      </c>
      <c r="B639" t="s">
        <v>2747</v>
      </c>
      <c r="C639" t="s">
        <v>42</v>
      </c>
      <c r="D639" t="s">
        <v>2748</v>
      </c>
      <c r="E639" t="e" cm="1">
        <f t="array" ref="E639">- ZINC SULFATE MONOHYDRATE</f>
        <v>#NAME?</v>
      </c>
      <c r="F639" t="s">
        <v>2749</v>
      </c>
      <c r="J639" t="s">
        <v>2277</v>
      </c>
      <c r="M639" t="s">
        <v>271</v>
      </c>
      <c r="N639" t="s">
        <v>2750</v>
      </c>
      <c r="P639" t="s">
        <v>2751</v>
      </c>
      <c r="Q639" t="s">
        <v>2752</v>
      </c>
      <c r="R639">
        <v>5</v>
      </c>
      <c r="S639">
        <v>16</v>
      </c>
    </row>
    <row r="640" spans="1:19" x14ac:dyDescent="0.35">
      <c r="A640">
        <v>315</v>
      </c>
      <c r="B640" t="s">
        <v>2753</v>
      </c>
      <c r="C640" t="s">
        <v>20</v>
      </c>
      <c r="D640" t="s">
        <v>2754</v>
      </c>
      <c r="E640" t="s">
        <v>2755</v>
      </c>
      <c r="F640" t="s">
        <v>2756</v>
      </c>
      <c r="J640" t="s">
        <v>2757</v>
      </c>
      <c r="M640" t="s">
        <v>291</v>
      </c>
      <c r="N640" t="s">
        <v>2758</v>
      </c>
      <c r="P640" t="s">
        <v>2758</v>
      </c>
      <c r="Q640" t="s">
        <v>2759</v>
      </c>
      <c r="R640">
        <v>5</v>
      </c>
      <c r="S640">
        <v>16</v>
      </c>
    </row>
    <row r="641" spans="1:19" x14ac:dyDescent="0.35">
      <c r="A641">
        <v>8252</v>
      </c>
      <c r="B641" t="s">
        <v>551</v>
      </c>
      <c r="C641" t="s">
        <v>42</v>
      </c>
      <c r="D641" t="s">
        <v>2717</v>
      </c>
      <c r="E641" t="e" cm="1">
        <f t="array" ref="E641">- POVIDONE-IODINE</f>
        <v>#NAME?</v>
      </c>
      <c r="F641" t="s">
        <v>2718</v>
      </c>
      <c r="J641" t="s">
        <v>2719</v>
      </c>
      <c r="M641" t="s">
        <v>554</v>
      </c>
      <c r="N641" t="s">
        <v>555</v>
      </c>
      <c r="P641" t="s">
        <v>2701</v>
      </c>
      <c r="Q641" t="s">
        <v>2702</v>
      </c>
      <c r="R641">
        <v>5</v>
      </c>
      <c r="S641">
        <v>16</v>
      </c>
    </row>
    <row r="642" spans="1:19" x14ac:dyDescent="0.35">
      <c r="A642">
        <v>8275</v>
      </c>
      <c r="B642" t="s">
        <v>551</v>
      </c>
      <c r="C642" t="s">
        <v>42</v>
      </c>
      <c r="D642" t="s">
        <v>2715</v>
      </c>
      <c r="E642" t="e" cm="1">
        <f t="array" ref="E642">- POVIDONE-IODINE</f>
        <v>#NAME?</v>
      </c>
      <c r="F642" t="s">
        <v>2716</v>
      </c>
      <c r="J642" t="s">
        <v>2688</v>
      </c>
      <c r="M642" t="s">
        <v>554</v>
      </c>
      <c r="N642" t="s">
        <v>555</v>
      </c>
      <c r="P642" t="s">
        <v>2689</v>
      </c>
      <c r="Q642" t="s">
        <v>2690</v>
      </c>
      <c r="R642">
        <v>5</v>
      </c>
      <c r="S642">
        <v>16</v>
      </c>
    </row>
    <row r="643" spans="1:19" x14ac:dyDescent="0.35">
      <c r="A643">
        <v>5100</v>
      </c>
      <c r="B643" t="s">
        <v>2760</v>
      </c>
      <c r="C643" t="s">
        <v>42</v>
      </c>
      <c r="D643" t="s">
        <v>2761</v>
      </c>
      <c r="E643" t="e" cm="1">
        <f t="array" ref="E643">- FLUOCINOLONE ACETONIDE</f>
        <v>#NAME?</v>
      </c>
      <c r="F643" t="s">
        <v>2762</v>
      </c>
      <c r="G643" t="s">
        <v>2763</v>
      </c>
      <c r="H643" t="s">
        <v>2764</v>
      </c>
      <c r="J643" t="s">
        <v>2765</v>
      </c>
      <c r="L643" t="s">
        <v>321</v>
      </c>
      <c r="M643" t="s">
        <v>1289</v>
      </c>
      <c r="N643" t="s">
        <v>2766</v>
      </c>
      <c r="P643" t="s">
        <v>2767</v>
      </c>
      <c r="Q643" t="s">
        <v>2768</v>
      </c>
      <c r="R643">
        <v>5</v>
      </c>
      <c r="S643">
        <v>16</v>
      </c>
    </row>
    <row r="644" spans="1:19" x14ac:dyDescent="0.35">
      <c r="A644">
        <v>8290</v>
      </c>
      <c r="B644" t="s">
        <v>551</v>
      </c>
      <c r="C644" t="s">
        <v>42</v>
      </c>
      <c r="D644" t="s">
        <v>2769</v>
      </c>
      <c r="E644" t="e" cm="1">
        <f t="array" ref="E644">- POVIDONE-IODINE</f>
        <v>#NAME?</v>
      </c>
      <c r="F644" t="s">
        <v>2770</v>
      </c>
      <c r="J644" t="s">
        <v>2771</v>
      </c>
      <c r="M644" t="s">
        <v>554</v>
      </c>
      <c r="N644" t="s">
        <v>555</v>
      </c>
      <c r="P644" t="s">
        <v>2772</v>
      </c>
      <c r="Q644" t="s">
        <v>2773</v>
      </c>
      <c r="R644">
        <v>5</v>
      </c>
      <c r="S644">
        <v>16</v>
      </c>
    </row>
    <row r="645" spans="1:19" x14ac:dyDescent="0.35">
      <c r="A645">
        <v>3610</v>
      </c>
      <c r="B645" t="s">
        <v>1888</v>
      </c>
      <c r="C645" t="s">
        <v>42</v>
      </c>
      <c r="D645" t="s">
        <v>1889</v>
      </c>
      <c r="E645" t="e" cm="1">
        <f t="array" ref="E645">- METOCLOPRAMIDE HYDROCHLORIDE MONOHYDRATE</f>
        <v>#NAME?</v>
      </c>
      <c r="F645" t="s">
        <v>1890</v>
      </c>
      <c r="J645" t="s">
        <v>334</v>
      </c>
      <c r="M645" t="s">
        <v>271</v>
      </c>
      <c r="N645" t="s">
        <v>2774</v>
      </c>
      <c r="P645" t="s">
        <v>1891</v>
      </c>
      <c r="Q645" t="s">
        <v>2775</v>
      </c>
      <c r="R645">
        <v>5</v>
      </c>
      <c r="S645">
        <v>16</v>
      </c>
    </row>
    <row r="646" spans="1:19" x14ac:dyDescent="0.35">
      <c r="A646">
        <v>9277</v>
      </c>
      <c r="B646" t="s">
        <v>2202</v>
      </c>
      <c r="C646" t="s">
        <v>42</v>
      </c>
      <c r="D646" t="s">
        <v>2203</v>
      </c>
      <c r="E646" t="e" cm="1">
        <f t="array" ref="E646">- IMIDAPRIL HYDROCHLORIDE</f>
        <v>#NAME?</v>
      </c>
      <c r="F646" t="s">
        <v>2204</v>
      </c>
      <c r="H646" t="s">
        <v>2205</v>
      </c>
      <c r="I646" t="s">
        <v>2206</v>
      </c>
      <c r="J646" t="s">
        <v>2207</v>
      </c>
      <c r="K646" t="s">
        <v>2208</v>
      </c>
      <c r="L646" t="s">
        <v>2209</v>
      </c>
      <c r="M646" t="s">
        <v>46</v>
      </c>
      <c r="N646" t="s">
        <v>2672</v>
      </c>
      <c r="O646" t="s">
        <v>2211</v>
      </c>
      <c r="P646" t="s">
        <v>2212</v>
      </c>
      <c r="Q646" t="s">
        <v>2673</v>
      </c>
      <c r="R646">
        <v>5</v>
      </c>
      <c r="S646">
        <v>16</v>
      </c>
    </row>
    <row r="647" spans="1:19" x14ac:dyDescent="0.35">
      <c r="A647">
        <v>6552</v>
      </c>
      <c r="B647" t="s">
        <v>2776</v>
      </c>
      <c r="C647" t="s">
        <v>850</v>
      </c>
      <c r="D647" t="s">
        <v>2777</v>
      </c>
      <c r="E647" t="e" cm="1">
        <f t="array" ref="E647">- Acidum Salicylicum</f>
        <v>#NAME?</v>
      </c>
      <c r="F647" t="s">
        <v>145</v>
      </c>
      <c r="J647" t="s">
        <v>1647</v>
      </c>
      <c r="N647" t="s">
        <v>2778</v>
      </c>
      <c r="P647" t="s">
        <v>2779</v>
      </c>
      <c r="Q647" t="s">
        <v>2780</v>
      </c>
      <c r="R647">
        <v>5</v>
      </c>
      <c r="S647">
        <v>16</v>
      </c>
    </row>
    <row r="648" spans="1:19" x14ac:dyDescent="0.35">
      <c r="A648">
        <v>1546</v>
      </c>
      <c r="B648" t="s">
        <v>2781</v>
      </c>
      <c r="C648" t="s">
        <v>42</v>
      </c>
      <c r="D648" t="s">
        <v>2782</v>
      </c>
      <c r="E648" t="e" cm="1">
        <f t="array" ref="E648">- GUAIFENESIN</f>
        <v>#NAME?</v>
      </c>
      <c r="F648" t="s">
        <v>2783</v>
      </c>
      <c r="G648" t="s">
        <v>539</v>
      </c>
      <c r="J648" t="s">
        <v>2784</v>
      </c>
      <c r="M648" t="s">
        <v>271</v>
      </c>
      <c r="N648" t="s">
        <v>361</v>
      </c>
      <c r="P648" t="s">
        <v>2785</v>
      </c>
      <c r="Q648" t="s">
        <v>2786</v>
      </c>
      <c r="R648">
        <v>5</v>
      </c>
      <c r="S648">
        <v>16</v>
      </c>
    </row>
    <row r="649" spans="1:19" x14ac:dyDescent="0.35">
      <c r="A649">
        <v>3608</v>
      </c>
      <c r="B649" t="s">
        <v>1895</v>
      </c>
      <c r="C649" t="s">
        <v>42</v>
      </c>
      <c r="D649" t="s">
        <v>1896</v>
      </c>
      <c r="E649" t="e" cm="1">
        <f t="array" ref="E649">- METOCLOPRAMIDE HYDROCHLORIDE MONOHYDRATE</f>
        <v>#NAME?</v>
      </c>
      <c r="F649" t="s">
        <v>1897</v>
      </c>
      <c r="J649" t="s">
        <v>1647</v>
      </c>
      <c r="M649" t="s">
        <v>824</v>
      </c>
      <c r="N649" t="s">
        <v>2774</v>
      </c>
      <c r="P649" t="s">
        <v>1891</v>
      </c>
      <c r="Q649" t="s">
        <v>2787</v>
      </c>
      <c r="R649">
        <v>5</v>
      </c>
      <c r="S649">
        <v>16</v>
      </c>
    </row>
    <row r="650" spans="1:19" x14ac:dyDescent="0.35">
      <c r="A650">
        <v>3836</v>
      </c>
      <c r="B650" t="s">
        <v>2788</v>
      </c>
      <c r="C650" t="s">
        <v>42</v>
      </c>
      <c r="D650" t="s">
        <v>2789</v>
      </c>
      <c r="E650" t="e" cm="1">
        <f t="array" ref="E650">- BISMUTH SUBSALICYLATE</f>
        <v>#NAME?</v>
      </c>
      <c r="F650" t="s">
        <v>2790</v>
      </c>
      <c r="J650" t="s">
        <v>381</v>
      </c>
      <c r="M650" t="s">
        <v>46</v>
      </c>
      <c r="N650" t="s">
        <v>2791</v>
      </c>
      <c r="P650" t="s">
        <v>2792</v>
      </c>
      <c r="Q650" t="s">
        <v>2793</v>
      </c>
      <c r="R650">
        <v>5</v>
      </c>
      <c r="S650">
        <v>16</v>
      </c>
    </row>
    <row r="651" spans="1:19" x14ac:dyDescent="0.35">
      <c r="A651">
        <v>5366</v>
      </c>
      <c r="B651" t="s">
        <v>2794</v>
      </c>
      <c r="C651" t="s">
        <v>42</v>
      </c>
      <c r="D651" t="s">
        <v>2795</v>
      </c>
      <c r="E651" t="e" cm="1">
        <f t="array" ref="E651">- BETAMETHASONE VALERATE</f>
        <v>#NAME?</v>
      </c>
      <c r="F651" t="s">
        <v>2796</v>
      </c>
      <c r="M651" t="s">
        <v>1289</v>
      </c>
      <c r="N651" t="s">
        <v>2059</v>
      </c>
      <c r="P651" t="s">
        <v>2797</v>
      </c>
      <c r="Q651" t="s">
        <v>2798</v>
      </c>
      <c r="R651">
        <v>5</v>
      </c>
      <c r="S651">
        <v>16</v>
      </c>
    </row>
    <row r="652" spans="1:19" x14ac:dyDescent="0.35">
      <c r="A652">
        <v>9280</v>
      </c>
      <c r="B652" t="s">
        <v>2799</v>
      </c>
      <c r="C652" t="s">
        <v>42</v>
      </c>
      <c r="D652" t="s">
        <v>2800</v>
      </c>
      <c r="E652" t="e" cm="1">
        <f t="array" ref="E652">- TRANDOLAPRIL</f>
        <v>#NAME?</v>
      </c>
      <c r="F652" t="s">
        <v>2801</v>
      </c>
      <c r="G652" t="s">
        <v>2802</v>
      </c>
      <c r="H652" t="s">
        <v>2803</v>
      </c>
      <c r="I652" t="s">
        <v>2206</v>
      </c>
      <c r="J652" t="s">
        <v>2804</v>
      </c>
      <c r="K652" t="s">
        <v>2805</v>
      </c>
      <c r="L652" t="s">
        <v>2806</v>
      </c>
      <c r="M652" t="s">
        <v>46</v>
      </c>
      <c r="N652" t="s">
        <v>2807</v>
      </c>
      <c r="O652" t="s">
        <v>2211</v>
      </c>
      <c r="P652" t="s">
        <v>2808</v>
      </c>
      <c r="Q652" t="s">
        <v>2809</v>
      </c>
      <c r="R652">
        <v>5</v>
      </c>
      <c r="S652">
        <v>16</v>
      </c>
    </row>
    <row r="653" spans="1:19" x14ac:dyDescent="0.35">
      <c r="A653">
        <v>8295</v>
      </c>
      <c r="B653" t="s">
        <v>551</v>
      </c>
      <c r="C653" t="s">
        <v>42</v>
      </c>
      <c r="D653" t="s">
        <v>2810</v>
      </c>
      <c r="E653" t="e" cm="1">
        <f t="array" ref="E653">- POVIDONE-IODINE</f>
        <v>#NAME?</v>
      </c>
      <c r="F653" t="s">
        <v>2811</v>
      </c>
      <c r="J653" t="s">
        <v>2812</v>
      </c>
      <c r="M653" t="s">
        <v>554</v>
      </c>
      <c r="N653" t="s">
        <v>555</v>
      </c>
      <c r="P653" t="s">
        <v>2813</v>
      </c>
      <c r="Q653" t="s">
        <v>2814</v>
      </c>
      <c r="R653">
        <v>5</v>
      </c>
      <c r="S653">
        <v>16</v>
      </c>
    </row>
    <row r="654" spans="1:19" x14ac:dyDescent="0.35">
      <c r="A654">
        <v>3587</v>
      </c>
      <c r="B654" t="s">
        <v>2815</v>
      </c>
      <c r="C654" t="s">
        <v>20</v>
      </c>
      <c r="D654" t="s">
        <v>2816</v>
      </c>
      <c r="E654" t="s">
        <v>2817</v>
      </c>
      <c r="F654" t="s">
        <v>2818</v>
      </c>
      <c r="H654" t="s">
        <v>2819</v>
      </c>
      <c r="I654" t="s">
        <v>2820</v>
      </c>
      <c r="J654" t="s">
        <v>334</v>
      </c>
      <c r="L654" t="s">
        <v>2821</v>
      </c>
      <c r="M654" t="s">
        <v>271</v>
      </c>
      <c r="N654" t="s">
        <v>2822</v>
      </c>
      <c r="O654" t="s">
        <v>2823</v>
      </c>
      <c r="P654" t="s">
        <v>2822</v>
      </c>
      <c r="Q654" t="s">
        <v>2824</v>
      </c>
      <c r="R654">
        <v>5</v>
      </c>
      <c r="S654">
        <v>16</v>
      </c>
    </row>
    <row r="655" spans="1:19" x14ac:dyDescent="0.35">
      <c r="A655">
        <v>8294</v>
      </c>
      <c r="B655" t="s">
        <v>551</v>
      </c>
      <c r="C655" t="s">
        <v>42</v>
      </c>
      <c r="D655" t="s">
        <v>2810</v>
      </c>
      <c r="E655" t="e" cm="1">
        <f t="array" ref="E655">- POVIDONE-IODINE</f>
        <v>#NAME?</v>
      </c>
      <c r="F655" t="s">
        <v>2811</v>
      </c>
      <c r="J655" t="s">
        <v>2812</v>
      </c>
      <c r="M655" t="s">
        <v>554</v>
      </c>
      <c r="N655" t="s">
        <v>555</v>
      </c>
      <c r="P655" t="s">
        <v>2813</v>
      </c>
      <c r="Q655" t="s">
        <v>2814</v>
      </c>
      <c r="R655">
        <v>5</v>
      </c>
      <c r="S655">
        <v>16</v>
      </c>
    </row>
    <row r="656" spans="1:19" x14ac:dyDescent="0.35">
      <c r="A656">
        <v>8293</v>
      </c>
      <c r="B656" t="s">
        <v>551</v>
      </c>
      <c r="C656" t="s">
        <v>42</v>
      </c>
      <c r="D656" t="s">
        <v>2825</v>
      </c>
      <c r="E656" t="e" cm="1">
        <f t="array" ref="E656">- POVIDONE-IODINE</f>
        <v>#NAME?</v>
      </c>
      <c r="F656" t="s">
        <v>2826</v>
      </c>
      <c r="J656" t="s">
        <v>2771</v>
      </c>
      <c r="M656" t="s">
        <v>554</v>
      </c>
      <c r="N656" t="s">
        <v>555</v>
      </c>
      <c r="P656" t="s">
        <v>2772</v>
      </c>
      <c r="Q656" t="s">
        <v>2773</v>
      </c>
      <c r="R656">
        <v>5</v>
      </c>
      <c r="S656">
        <v>16</v>
      </c>
    </row>
    <row r="657" spans="1:19" x14ac:dyDescent="0.35">
      <c r="A657">
        <v>3586</v>
      </c>
      <c r="B657" t="s">
        <v>2815</v>
      </c>
      <c r="C657" t="s">
        <v>20</v>
      </c>
      <c r="D657" t="s">
        <v>2816</v>
      </c>
      <c r="E657" t="s">
        <v>2817</v>
      </c>
      <c r="F657" t="s">
        <v>2818</v>
      </c>
      <c r="H657" t="s">
        <v>2819</v>
      </c>
      <c r="I657" t="s">
        <v>2820</v>
      </c>
      <c r="J657" t="s">
        <v>334</v>
      </c>
      <c r="L657" t="s">
        <v>2821</v>
      </c>
      <c r="M657" t="s">
        <v>271</v>
      </c>
      <c r="N657" t="s">
        <v>2822</v>
      </c>
      <c r="O657" t="s">
        <v>2823</v>
      </c>
      <c r="P657" t="s">
        <v>2822</v>
      </c>
      <c r="Q657" t="s">
        <v>2824</v>
      </c>
      <c r="R657">
        <v>5</v>
      </c>
      <c r="S657">
        <v>16</v>
      </c>
    </row>
    <row r="658" spans="1:19" x14ac:dyDescent="0.35">
      <c r="A658">
        <v>8292</v>
      </c>
      <c r="B658" t="s">
        <v>551</v>
      </c>
      <c r="C658" t="s">
        <v>42</v>
      </c>
      <c r="D658" t="s">
        <v>2825</v>
      </c>
      <c r="E658" t="e" cm="1">
        <f t="array" ref="E658">- POVIDONE-IODINE</f>
        <v>#NAME?</v>
      </c>
      <c r="F658" t="s">
        <v>2826</v>
      </c>
      <c r="J658" t="s">
        <v>2771</v>
      </c>
      <c r="M658" t="s">
        <v>554</v>
      </c>
      <c r="N658" t="s">
        <v>555</v>
      </c>
      <c r="P658" t="s">
        <v>2772</v>
      </c>
      <c r="Q658" t="s">
        <v>2773</v>
      </c>
      <c r="R658">
        <v>5</v>
      </c>
      <c r="S658">
        <v>16</v>
      </c>
    </row>
    <row r="659" spans="1:19" x14ac:dyDescent="0.35">
      <c r="A659">
        <v>8291</v>
      </c>
      <c r="B659" t="s">
        <v>551</v>
      </c>
      <c r="C659" t="s">
        <v>42</v>
      </c>
      <c r="D659" t="s">
        <v>2769</v>
      </c>
      <c r="E659" t="e" cm="1">
        <f t="array" ref="E659">- POVIDONE-IODINE</f>
        <v>#NAME?</v>
      </c>
      <c r="F659" t="s">
        <v>2770</v>
      </c>
      <c r="J659" t="s">
        <v>2771</v>
      </c>
      <c r="M659" t="s">
        <v>554</v>
      </c>
      <c r="N659" t="s">
        <v>555</v>
      </c>
      <c r="P659" t="s">
        <v>2772</v>
      </c>
      <c r="Q659" t="s">
        <v>2773</v>
      </c>
      <c r="R659">
        <v>5</v>
      </c>
      <c r="S659">
        <v>16</v>
      </c>
    </row>
    <row r="660" spans="1:19" x14ac:dyDescent="0.35">
      <c r="A660">
        <v>5354</v>
      </c>
      <c r="B660" t="s">
        <v>2827</v>
      </c>
      <c r="C660" t="s">
        <v>850</v>
      </c>
      <c r="D660" t="s">
        <v>2828</v>
      </c>
      <c r="E660" t="e" cm="1">
        <f t="array" ref="E660">- Acidum Salicylicum</f>
        <v>#NAME?</v>
      </c>
      <c r="F660" t="s">
        <v>2829</v>
      </c>
      <c r="J660" t="s">
        <v>2830</v>
      </c>
      <c r="N660" t="s">
        <v>2778</v>
      </c>
      <c r="P660" t="s">
        <v>2831</v>
      </c>
      <c r="Q660" t="s">
        <v>2832</v>
      </c>
      <c r="R660">
        <v>5</v>
      </c>
      <c r="S660">
        <v>16</v>
      </c>
    </row>
    <row r="661" spans="1:19" x14ac:dyDescent="0.35">
      <c r="A661">
        <v>5367</v>
      </c>
      <c r="B661" t="s">
        <v>2794</v>
      </c>
      <c r="C661" t="s">
        <v>42</v>
      </c>
      <c r="D661" t="s">
        <v>2795</v>
      </c>
      <c r="E661" t="e" cm="1">
        <f t="array" ref="E661">- BETAMETHASONE VALERATE</f>
        <v>#NAME?</v>
      </c>
      <c r="F661" t="s">
        <v>2796</v>
      </c>
      <c r="M661" t="s">
        <v>1289</v>
      </c>
      <c r="N661" t="s">
        <v>2059</v>
      </c>
      <c r="P661" t="s">
        <v>2797</v>
      </c>
      <c r="Q661" t="s">
        <v>2798</v>
      </c>
      <c r="R661">
        <v>5</v>
      </c>
      <c r="S661">
        <v>16</v>
      </c>
    </row>
    <row r="662" spans="1:19" x14ac:dyDescent="0.35">
      <c r="A662">
        <v>9230</v>
      </c>
      <c r="B662" t="s">
        <v>2833</v>
      </c>
      <c r="C662" t="s">
        <v>42</v>
      </c>
      <c r="D662" t="s">
        <v>2834</v>
      </c>
      <c r="E662" t="e" cm="1">
        <f t="array" ref="E662">- NIFEDIPINE. ATENOLOL</f>
        <v>#NAME?</v>
      </c>
      <c r="F662" t="s">
        <v>2835</v>
      </c>
      <c r="G662" t="s">
        <v>2836</v>
      </c>
      <c r="H662" t="s">
        <v>2837</v>
      </c>
      <c r="I662" t="s">
        <v>2736</v>
      </c>
      <c r="J662" t="s">
        <v>2838</v>
      </c>
      <c r="K662" t="s">
        <v>2839</v>
      </c>
      <c r="L662" t="s">
        <v>2840</v>
      </c>
      <c r="M662" t="s">
        <v>38</v>
      </c>
      <c r="N662" t="s">
        <v>2841</v>
      </c>
      <c r="O662" t="s">
        <v>2211</v>
      </c>
      <c r="P662" t="s">
        <v>2842</v>
      </c>
      <c r="Q662" t="s">
        <v>2843</v>
      </c>
      <c r="R662">
        <v>5</v>
      </c>
      <c r="S662">
        <v>16</v>
      </c>
    </row>
    <row r="663" spans="1:19" x14ac:dyDescent="0.35">
      <c r="A663">
        <v>5372</v>
      </c>
      <c r="B663" t="s">
        <v>2844</v>
      </c>
      <c r="C663" t="s">
        <v>42</v>
      </c>
      <c r="D663" t="s">
        <v>2845</v>
      </c>
      <c r="E663" t="e" cm="1">
        <f t="array" ref="E663">- SULFADIAZINE SILVER</f>
        <v>#NAME?</v>
      </c>
      <c r="F663" t="s">
        <v>2846</v>
      </c>
      <c r="J663" t="s">
        <v>2847</v>
      </c>
      <c r="L663" t="s">
        <v>2848</v>
      </c>
      <c r="M663" t="s">
        <v>1289</v>
      </c>
      <c r="N663" t="s">
        <v>2849</v>
      </c>
      <c r="P663" t="s">
        <v>2850</v>
      </c>
      <c r="Q663" t="s">
        <v>2851</v>
      </c>
      <c r="R663">
        <v>5</v>
      </c>
      <c r="S663">
        <v>16</v>
      </c>
    </row>
    <row r="664" spans="1:19" x14ac:dyDescent="0.35">
      <c r="A664">
        <v>9086</v>
      </c>
      <c r="B664" t="s">
        <v>2852</v>
      </c>
      <c r="C664" t="s">
        <v>42</v>
      </c>
      <c r="D664" t="s">
        <v>2853</v>
      </c>
      <c r="E664" t="e" cm="1">
        <f t="array" ref="E664">- LOSARTAN POTASSIUM</f>
        <v>#NAME?</v>
      </c>
      <c r="F664" t="s">
        <v>2854</v>
      </c>
      <c r="G664" t="s">
        <v>2855</v>
      </c>
      <c r="H664" t="s">
        <v>2856</v>
      </c>
      <c r="I664" t="s">
        <v>2736</v>
      </c>
      <c r="J664" t="s">
        <v>2857</v>
      </c>
      <c r="K664" t="s">
        <v>2858</v>
      </c>
      <c r="L664" t="s">
        <v>2859</v>
      </c>
      <c r="M664" t="s">
        <v>46</v>
      </c>
      <c r="N664" t="s">
        <v>2860</v>
      </c>
      <c r="O664" t="s">
        <v>2211</v>
      </c>
      <c r="P664" t="s">
        <v>2861</v>
      </c>
      <c r="Q664" t="s">
        <v>2862</v>
      </c>
      <c r="R664">
        <v>5</v>
      </c>
      <c r="S664">
        <v>16</v>
      </c>
    </row>
    <row r="665" spans="1:19" x14ac:dyDescent="0.35">
      <c r="A665">
        <v>3800</v>
      </c>
      <c r="B665" t="s">
        <v>2863</v>
      </c>
      <c r="C665" t="s">
        <v>42</v>
      </c>
      <c r="D665" t="s">
        <v>2864</v>
      </c>
      <c r="E665" t="e" cm="1">
        <f t="array" ref="E665">- ZINC SULFATE MONOHYDRATE</f>
        <v>#NAME?</v>
      </c>
      <c r="F665" t="s">
        <v>2865</v>
      </c>
      <c r="J665" t="s">
        <v>334</v>
      </c>
      <c r="M665" t="s">
        <v>271</v>
      </c>
      <c r="N665" t="s">
        <v>2750</v>
      </c>
      <c r="P665" t="s">
        <v>2866</v>
      </c>
      <c r="Q665" t="s">
        <v>2867</v>
      </c>
      <c r="R665">
        <v>5</v>
      </c>
      <c r="S665">
        <v>16</v>
      </c>
    </row>
    <row r="666" spans="1:19" x14ac:dyDescent="0.35">
      <c r="A666">
        <v>5972</v>
      </c>
      <c r="B666" t="s">
        <v>2868</v>
      </c>
      <c r="C666" t="s">
        <v>42</v>
      </c>
      <c r="D666" t="s">
        <v>2869</v>
      </c>
      <c r="E666" t="e" cm="1">
        <f t="array" ref="E666">- RIFAMPICIN</f>
        <v>#NAME?</v>
      </c>
      <c r="F666" s="1">
        <v>55500</v>
      </c>
      <c r="G666" t="s">
        <v>737</v>
      </c>
      <c r="H666" t="s">
        <v>2870</v>
      </c>
      <c r="I666" t="s">
        <v>2871</v>
      </c>
      <c r="J666" t="s">
        <v>2872</v>
      </c>
      <c r="K666" t="s">
        <v>2726</v>
      </c>
      <c r="L666" t="s">
        <v>2873</v>
      </c>
      <c r="M666" t="s">
        <v>291</v>
      </c>
      <c r="N666" t="s">
        <v>516</v>
      </c>
      <c r="O666" t="s">
        <v>2874</v>
      </c>
      <c r="P666" t="s">
        <v>2875</v>
      </c>
      <c r="Q666" t="s">
        <v>2876</v>
      </c>
      <c r="R666">
        <v>5</v>
      </c>
      <c r="S666">
        <v>16</v>
      </c>
    </row>
    <row r="667" spans="1:19" x14ac:dyDescent="0.35">
      <c r="A667">
        <v>9208</v>
      </c>
      <c r="B667" t="s">
        <v>2877</v>
      </c>
      <c r="C667" t="s">
        <v>42</v>
      </c>
      <c r="D667" t="s">
        <v>2878</v>
      </c>
      <c r="E667" t="e" cm="1">
        <f t="array" ref="E667">- BISOPROLOL FUMARATE</f>
        <v>#NAME?</v>
      </c>
      <c r="F667" t="s">
        <v>2879</v>
      </c>
      <c r="G667" t="s">
        <v>2880</v>
      </c>
      <c r="H667" t="s">
        <v>2881</v>
      </c>
      <c r="I667" t="s">
        <v>2736</v>
      </c>
      <c r="J667" t="s">
        <v>2882</v>
      </c>
      <c r="K667" t="s">
        <v>2883</v>
      </c>
      <c r="L667" t="s">
        <v>2884</v>
      </c>
    </row>
    <row r="668" spans="1:19" x14ac:dyDescent="0.35">
      <c r="A668">
        <v>2343</v>
      </c>
      <c r="B668" t="s">
        <v>2885</v>
      </c>
      <c r="C668" t="s">
        <v>42</v>
      </c>
      <c r="D668" t="s">
        <v>2886</v>
      </c>
      <c r="E668" t="e" cm="1">
        <f t="array" ref="E668">- SUMATRIPTAN</f>
        <v>#NAME?</v>
      </c>
      <c r="F668" t="s">
        <v>2887</v>
      </c>
      <c r="G668" t="s">
        <v>2266</v>
      </c>
      <c r="H668" t="s">
        <v>2888</v>
      </c>
      <c r="I668" t="s">
        <v>2889</v>
      </c>
      <c r="J668" t="s">
        <v>2890</v>
      </c>
      <c r="K668" t="s">
        <v>2891</v>
      </c>
      <c r="L668" t="s">
        <v>2892</v>
      </c>
      <c r="M668" t="s">
        <v>291</v>
      </c>
      <c r="N668" t="s">
        <v>2893</v>
      </c>
      <c r="O668" t="s">
        <v>2894</v>
      </c>
      <c r="P668" t="s">
        <v>2895</v>
      </c>
      <c r="Q668" t="s">
        <v>2896</v>
      </c>
      <c r="R668">
        <v>5</v>
      </c>
      <c r="S668">
        <v>16</v>
      </c>
    </row>
    <row r="669" spans="1:19" x14ac:dyDescent="0.35">
      <c r="A669">
        <v>3821</v>
      </c>
      <c r="B669" t="s">
        <v>2897</v>
      </c>
      <c r="C669" t="s">
        <v>42</v>
      </c>
      <c r="D669" t="s">
        <v>2898</v>
      </c>
      <c r="E669" t="e" cm="1">
        <f t="array" ref="E669">- ZINC SULFATE MONOHYDRATE</f>
        <v>#NAME?</v>
      </c>
      <c r="F669" t="s">
        <v>2899</v>
      </c>
      <c r="J669" t="s">
        <v>945</v>
      </c>
      <c r="M669" t="s">
        <v>271</v>
      </c>
      <c r="N669" t="s">
        <v>2750</v>
      </c>
      <c r="P669" t="s">
        <v>2900</v>
      </c>
      <c r="Q669" t="s">
        <v>2901</v>
      </c>
      <c r="R669">
        <v>5</v>
      </c>
      <c r="S669">
        <v>16</v>
      </c>
    </row>
    <row r="670" spans="1:19" x14ac:dyDescent="0.35">
      <c r="A670">
        <v>154</v>
      </c>
      <c r="B670" t="s">
        <v>2902</v>
      </c>
      <c r="C670" t="s">
        <v>42</v>
      </c>
      <c r="D670" t="s">
        <v>2903</v>
      </c>
      <c r="E670" t="e" cm="1">
        <f t="array" ref="E670">- SILDENAFIL CITRATE</f>
        <v>#NAME?</v>
      </c>
      <c r="F670" t="s">
        <v>2904</v>
      </c>
      <c r="H670" t="s">
        <v>1322</v>
      </c>
      <c r="J670" t="s">
        <v>2905</v>
      </c>
      <c r="M670" t="s">
        <v>46</v>
      </c>
      <c r="N670" t="s">
        <v>2519</v>
      </c>
      <c r="P670" t="s">
        <v>2906</v>
      </c>
      <c r="Q670" t="s">
        <v>2907</v>
      </c>
      <c r="R670">
        <v>5</v>
      </c>
      <c r="S670">
        <v>16</v>
      </c>
    </row>
    <row r="671" spans="1:19" x14ac:dyDescent="0.35">
      <c r="A671">
        <v>1278</v>
      </c>
      <c r="B671" t="s">
        <v>2908</v>
      </c>
      <c r="C671" t="s">
        <v>42</v>
      </c>
      <c r="D671" t="s">
        <v>2909</v>
      </c>
      <c r="E671" t="e" cm="1">
        <f t="array" ref="E671">- AMMONIUM CHLORIDE</f>
        <v>#NAME?</v>
      </c>
      <c r="F671" t="s">
        <v>2910</v>
      </c>
      <c r="J671" t="s">
        <v>374</v>
      </c>
      <c r="M671" t="s">
        <v>271</v>
      </c>
      <c r="N671" t="s">
        <v>1672</v>
      </c>
      <c r="P671" t="s">
        <v>2911</v>
      </c>
      <c r="Q671" t="s">
        <v>2912</v>
      </c>
      <c r="R671">
        <v>5</v>
      </c>
      <c r="S671">
        <v>16</v>
      </c>
    </row>
    <row r="672" spans="1:19" x14ac:dyDescent="0.35">
      <c r="A672">
        <v>9001</v>
      </c>
      <c r="B672" t="s">
        <v>2913</v>
      </c>
      <c r="C672" t="s">
        <v>42</v>
      </c>
      <c r="D672" t="s">
        <v>2914</v>
      </c>
      <c r="E672" t="e" cm="1">
        <f t="array" ref="E672">- IRBESARTAN</f>
        <v>#NAME?</v>
      </c>
      <c r="F672" t="s">
        <v>2915</v>
      </c>
      <c r="G672" t="s">
        <v>60</v>
      </c>
      <c r="H672" t="s">
        <v>2916</v>
      </c>
      <c r="I672" t="s">
        <v>2917</v>
      </c>
      <c r="J672" t="s">
        <v>2918</v>
      </c>
      <c r="K672" t="s">
        <v>2919</v>
      </c>
      <c r="L672" t="s">
        <v>2920</v>
      </c>
      <c r="M672" t="s">
        <v>46</v>
      </c>
      <c r="N672" t="s">
        <v>999</v>
      </c>
      <c r="O672" t="s">
        <v>2271</v>
      </c>
      <c r="P672" t="s">
        <v>2921</v>
      </c>
      <c r="Q672" t="s">
        <v>2922</v>
      </c>
      <c r="R672">
        <v>5</v>
      </c>
      <c r="S672">
        <v>16</v>
      </c>
    </row>
    <row r="673" spans="1:19" x14ac:dyDescent="0.35">
      <c r="A673">
        <v>8998</v>
      </c>
      <c r="B673" t="s">
        <v>2923</v>
      </c>
      <c r="C673" t="s">
        <v>42</v>
      </c>
      <c r="D673" t="s">
        <v>2924</v>
      </c>
      <c r="E673" t="e" cm="1">
        <f t="array" ref="E673">- LOSARTAN POTASSIUM</f>
        <v>#NAME?</v>
      </c>
      <c r="F673" t="s">
        <v>2925</v>
      </c>
      <c r="G673" t="s">
        <v>2926</v>
      </c>
      <c r="H673" t="s">
        <v>2927</v>
      </c>
      <c r="I673" t="s">
        <v>2535</v>
      </c>
      <c r="J673" t="s">
        <v>2928</v>
      </c>
      <c r="K673" t="s">
        <v>2929</v>
      </c>
      <c r="L673" t="s">
        <v>2930</v>
      </c>
      <c r="M673" t="s">
        <v>46</v>
      </c>
      <c r="N673" t="s">
        <v>2860</v>
      </c>
      <c r="O673" t="s">
        <v>2211</v>
      </c>
      <c r="P673" t="s">
        <v>2931</v>
      </c>
      <c r="Q673" t="s">
        <v>2932</v>
      </c>
      <c r="R673">
        <v>5</v>
      </c>
      <c r="S673">
        <v>16</v>
      </c>
    </row>
    <row r="674" spans="1:19" x14ac:dyDescent="0.35">
      <c r="A674">
        <v>8997</v>
      </c>
      <c r="B674" t="s">
        <v>2923</v>
      </c>
      <c r="C674" t="s">
        <v>42</v>
      </c>
      <c r="D674" t="s">
        <v>2924</v>
      </c>
      <c r="E674" t="e" cm="1">
        <f t="array" ref="E674">- LOSARTAN POTASSIUM</f>
        <v>#NAME?</v>
      </c>
      <c r="F674" t="s">
        <v>2925</v>
      </c>
      <c r="G674" t="s">
        <v>2926</v>
      </c>
      <c r="H674" t="s">
        <v>2927</v>
      </c>
      <c r="I674" t="s">
        <v>2535</v>
      </c>
      <c r="J674" t="s">
        <v>2928</v>
      </c>
      <c r="K674" t="s">
        <v>2929</v>
      </c>
      <c r="L674" t="s">
        <v>2930</v>
      </c>
      <c r="M674" t="s">
        <v>46</v>
      </c>
      <c r="N674" t="s">
        <v>2860</v>
      </c>
      <c r="O674" t="s">
        <v>2211</v>
      </c>
      <c r="P674" t="s">
        <v>2931</v>
      </c>
      <c r="Q674" t="s">
        <v>2932</v>
      </c>
      <c r="R674">
        <v>5</v>
      </c>
      <c r="S674">
        <v>16</v>
      </c>
    </row>
    <row r="675" spans="1:19" x14ac:dyDescent="0.35">
      <c r="A675">
        <v>5526</v>
      </c>
      <c r="B675" t="s">
        <v>2933</v>
      </c>
      <c r="C675" t="s">
        <v>42</v>
      </c>
      <c r="D675" t="s">
        <v>2934</v>
      </c>
      <c r="E675" t="e" cm="1">
        <f t="array" ref="E675">- PERMETHRIN</f>
        <v>#NAME?</v>
      </c>
      <c r="F675" t="s">
        <v>2935</v>
      </c>
      <c r="G675" t="s">
        <v>2936</v>
      </c>
      <c r="H675" t="s">
        <v>2937</v>
      </c>
      <c r="I675" t="s">
        <v>2938</v>
      </c>
      <c r="J675" t="s">
        <v>2939</v>
      </c>
      <c r="K675" t="s">
        <v>2940</v>
      </c>
      <c r="L675" t="s">
        <v>2941</v>
      </c>
      <c r="M675" t="s">
        <v>1289</v>
      </c>
      <c r="N675" t="s">
        <v>2942</v>
      </c>
      <c r="O675" t="s">
        <v>2943</v>
      </c>
      <c r="P675" t="s">
        <v>2944</v>
      </c>
      <c r="Q675" t="s">
        <v>2945</v>
      </c>
      <c r="R675">
        <v>5</v>
      </c>
      <c r="S675">
        <v>16</v>
      </c>
    </row>
    <row r="676" spans="1:19" x14ac:dyDescent="0.35">
      <c r="A676">
        <v>6108</v>
      </c>
      <c r="B676" t="s">
        <v>2946</v>
      </c>
      <c r="C676" t="s">
        <v>42</v>
      </c>
      <c r="D676" t="s">
        <v>2947</v>
      </c>
      <c r="E676" t="e" cm="1">
        <f t="array" ref="E676">- ISONIAZID</f>
        <v>#NAME?</v>
      </c>
      <c r="F676" s="1">
        <v>7100</v>
      </c>
      <c r="G676" t="s">
        <v>2948</v>
      </c>
      <c r="H676" t="s">
        <v>2949</v>
      </c>
      <c r="I676" t="s">
        <v>2950</v>
      </c>
      <c r="J676" t="s">
        <v>2951</v>
      </c>
      <c r="K676" t="s">
        <v>2952</v>
      </c>
      <c r="L676" t="s">
        <v>2953</v>
      </c>
      <c r="M676" t="s">
        <v>46</v>
      </c>
      <c r="N676" t="s">
        <v>1699</v>
      </c>
      <c r="O676" t="s">
        <v>2954</v>
      </c>
      <c r="P676" t="s">
        <v>2955</v>
      </c>
      <c r="Q676" t="s">
        <v>2956</v>
      </c>
      <c r="R676">
        <v>5</v>
      </c>
      <c r="S676">
        <v>16</v>
      </c>
    </row>
    <row r="677" spans="1:19" x14ac:dyDescent="0.35">
      <c r="A677">
        <v>2349</v>
      </c>
      <c r="B677" t="s">
        <v>2957</v>
      </c>
      <c r="C677" t="s">
        <v>42</v>
      </c>
      <c r="D677" t="s">
        <v>2958</v>
      </c>
      <c r="E677" t="e" cm="1">
        <f t="array" ref="E677">- CYANOCOBALAMIN</f>
        <v>#NAME?</v>
      </c>
      <c r="F677" t="s">
        <v>2959</v>
      </c>
      <c r="G677" t="s">
        <v>2960</v>
      </c>
      <c r="H677" t="s">
        <v>2961</v>
      </c>
      <c r="I677" t="s">
        <v>2962</v>
      </c>
      <c r="J677" t="s">
        <v>2963</v>
      </c>
      <c r="K677" t="s">
        <v>2964</v>
      </c>
      <c r="L677" t="s">
        <v>2965</v>
      </c>
      <c r="M677" t="s">
        <v>38</v>
      </c>
      <c r="N677" t="s">
        <v>677</v>
      </c>
      <c r="O677" t="s">
        <v>2966</v>
      </c>
      <c r="P677" t="s">
        <v>2967</v>
      </c>
      <c r="Q677" t="s">
        <v>2968</v>
      </c>
      <c r="R677">
        <v>5</v>
      </c>
      <c r="S677">
        <v>16</v>
      </c>
    </row>
    <row r="678" spans="1:19" x14ac:dyDescent="0.35">
      <c r="A678">
        <v>1623</v>
      </c>
      <c r="B678" t="s">
        <v>2969</v>
      </c>
      <c r="C678" t="s">
        <v>42</v>
      </c>
      <c r="D678" t="s">
        <v>2970</v>
      </c>
      <c r="E678" t="e" cm="1">
        <f t="array" ref="E678">- AMMONIUM CHLORIDE</f>
        <v>#NAME?</v>
      </c>
      <c r="F678" t="s">
        <v>2971</v>
      </c>
      <c r="J678" t="s">
        <v>320</v>
      </c>
      <c r="M678" t="s">
        <v>271</v>
      </c>
      <c r="N678" t="s">
        <v>1672</v>
      </c>
      <c r="P678" t="s">
        <v>2972</v>
      </c>
      <c r="Q678" t="s">
        <v>2973</v>
      </c>
      <c r="R678">
        <v>5</v>
      </c>
      <c r="S678">
        <v>16</v>
      </c>
    </row>
    <row r="679" spans="1:19" x14ac:dyDescent="0.35">
      <c r="A679">
        <v>9087</v>
      </c>
      <c r="B679" t="s">
        <v>2852</v>
      </c>
      <c r="C679" t="s">
        <v>42</v>
      </c>
      <c r="D679" t="s">
        <v>2853</v>
      </c>
      <c r="E679" t="e" cm="1">
        <f t="array" ref="E679">- LOSARTAN POTASSIUM</f>
        <v>#NAME?</v>
      </c>
      <c r="F679" t="s">
        <v>2854</v>
      </c>
      <c r="G679" t="s">
        <v>2855</v>
      </c>
      <c r="H679" t="s">
        <v>2856</v>
      </c>
      <c r="I679" t="s">
        <v>2736</v>
      </c>
      <c r="J679" t="s">
        <v>2857</v>
      </c>
      <c r="K679" t="s">
        <v>2858</v>
      </c>
      <c r="L679" t="s">
        <v>2859</v>
      </c>
      <c r="M679" t="s">
        <v>46</v>
      </c>
      <c r="N679" t="s">
        <v>2860</v>
      </c>
      <c r="O679" t="s">
        <v>2211</v>
      </c>
      <c r="P679" t="s">
        <v>2861</v>
      </c>
      <c r="Q679" t="s">
        <v>2862</v>
      </c>
      <c r="R679">
        <v>5</v>
      </c>
      <c r="S679">
        <v>16</v>
      </c>
    </row>
    <row r="680" spans="1:19" x14ac:dyDescent="0.35">
      <c r="A680">
        <v>5525</v>
      </c>
      <c r="B680" t="s">
        <v>2933</v>
      </c>
      <c r="C680" t="s">
        <v>42</v>
      </c>
      <c r="D680" t="s">
        <v>2934</v>
      </c>
      <c r="E680" t="e" cm="1">
        <f t="array" ref="E680">- PERMETHRIN</f>
        <v>#NAME?</v>
      </c>
      <c r="F680" t="s">
        <v>2935</v>
      </c>
      <c r="G680" t="s">
        <v>2936</v>
      </c>
      <c r="H680" t="s">
        <v>2937</v>
      </c>
      <c r="I680" t="s">
        <v>2938</v>
      </c>
      <c r="J680" t="s">
        <v>2939</v>
      </c>
      <c r="K680" t="s">
        <v>2940</v>
      </c>
      <c r="L680" t="s">
        <v>2941</v>
      </c>
      <c r="M680" t="s">
        <v>1289</v>
      </c>
      <c r="N680" t="s">
        <v>2942</v>
      </c>
      <c r="O680" t="s">
        <v>2943</v>
      </c>
      <c r="P680" t="s">
        <v>2944</v>
      </c>
      <c r="Q680" t="s">
        <v>2945</v>
      </c>
      <c r="R680">
        <v>5</v>
      </c>
      <c r="S680">
        <v>16</v>
      </c>
    </row>
    <row r="681" spans="1:19" x14ac:dyDescent="0.35">
      <c r="A681">
        <v>9088</v>
      </c>
      <c r="B681" t="s">
        <v>2852</v>
      </c>
      <c r="C681" t="s">
        <v>42</v>
      </c>
      <c r="D681" t="s">
        <v>2853</v>
      </c>
      <c r="E681" t="e" cm="1">
        <f t="array" ref="E681">- LOSARTAN POTASSIUM</f>
        <v>#NAME?</v>
      </c>
      <c r="F681" t="s">
        <v>2854</v>
      </c>
      <c r="G681" t="s">
        <v>2855</v>
      </c>
      <c r="H681" t="s">
        <v>2856</v>
      </c>
      <c r="I681" t="s">
        <v>2736</v>
      </c>
      <c r="J681" t="s">
        <v>2857</v>
      </c>
      <c r="K681" t="s">
        <v>2858</v>
      </c>
      <c r="L681" t="s">
        <v>2859</v>
      </c>
      <c r="M681" t="s">
        <v>46</v>
      </c>
      <c r="N681" t="s">
        <v>2860</v>
      </c>
      <c r="O681" t="s">
        <v>2211</v>
      </c>
      <c r="P681" t="s">
        <v>2861</v>
      </c>
      <c r="Q681" t="s">
        <v>2862</v>
      </c>
      <c r="R681">
        <v>5</v>
      </c>
      <c r="S681">
        <v>16</v>
      </c>
    </row>
    <row r="682" spans="1:19" x14ac:dyDescent="0.35">
      <c r="A682">
        <v>9096</v>
      </c>
      <c r="B682" t="s">
        <v>2974</v>
      </c>
      <c r="C682" t="s">
        <v>42</v>
      </c>
      <c r="D682" t="s">
        <v>2975</v>
      </c>
      <c r="E682" t="e" cm="1">
        <f t="array" ref="E682">- DILTIAZEM HYDROCHLORIDE</f>
        <v>#NAME?</v>
      </c>
      <c r="F682" t="s">
        <v>2976</v>
      </c>
      <c r="G682" t="s">
        <v>60</v>
      </c>
      <c r="H682" t="s">
        <v>2977</v>
      </c>
      <c r="I682" t="s">
        <v>2736</v>
      </c>
      <c r="J682" t="s">
        <v>2978</v>
      </c>
      <c r="K682" t="s">
        <v>2979</v>
      </c>
      <c r="L682" t="s">
        <v>2980</v>
      </c>
      <c r="M682" t="s">
        <v>46</v>
      </c>
      <c r="N682" t="s">
        <v>2457</v>
      </c>
      <c r="O682" t="s">
        <v>2211</v>
      </c>
      <c r="P682" t="s">
        <v>2981</v>
      </c>
      <c r="Q682" t="s">
        <v>2982</v>
      </c>
      <c r="R682">
        <v>5</v>
      </c>
      <c r="S682">
        <v>16</v>
      </c>
    </row>
    <row r="683" spans="1:19" x14ac:dyDescent="0.35">
      <c r="A683">
        <v>5772</v>
      </c>
      <c r="B683" t="s">
        <v>2983</v>
      </c>
      <c r="C683" t="s">
        <v>42</v>
      </c>
      <c r="D683" t="s">
        <v>2984</v>
      </c>
      <c r="E683" t="e" cm="1">
        <f t="array" ref="E683">- ERYTHROMYCIN STEARATE</f>
        <v>#NAME?</v>
      </c>
      <c r="F683" s="1">
        <v>18000</v>
      </c>
      <c r="H683" t="s">
        <v>319</v>
      </c>
      <c r="L683" t="s">
        <v>321</v>
      </c>
      <c r="M683" t="s">
        <v>291</v>
      </c>
      <c r="N683" t="s">
        <v>2985</v>
      </c>
      <c r="P683" t="s">
        <v>2986</v>
      </c>
      <c r="Q683" t="s">
        <v>2987</v>
      </c>
      <c r="R683">
        <v>5</v>
      </c>
      <c r="S683">
        <v>16</v>
      </c>
    </row>
    <row r="684" spans="1:19" x14ac:dyDescent="0.35">
      <c r="A684">
        <v>9185</v>
      </c>
      <c r="B684" t="s">
        <v>2988</v>
      </c>
      <c r="C684" t="s">
        <v>42</v>
      </c>
      <c r="D684" t="s">
        <v>2989</v>
      </c>
      <c r="E684" t="e" cm="1">
        <f t="array" ref="E684">- IRBESARTAN</f>
        <v>#NAME?</v>
      </c>
      <c r="F684" t="s">
        <v>2990</v>
      </c>
      <c r="G684" t="s">
        <v>60</v>
      </c>
      <c r="H684" t="s">
        <v>2991</v>
      </c>
      <c r="I684" t="s">
        <v>2917</v>
      </c>
      <c r="J684" t="s">
        <v>2992</v>
      </c>
      <c r="K684" t="s">
        <v>2919</v>
      </c>
      <c r="L684" t="s">
        <v>2993</v>
      </c>
      <c r="M684" t="s">
        <v>46</v>
      </c>
      <c r="N684" t="s">
        <v>999</v>
      </c>
      <c r="O684" t="s">
        <v>2271</v>
      </c>
      <c r="P684" t="s">
        <v>2994</v>
      </c>
      <c r="Q684" t="s">
        <v>2995</v>
      </c>
      <c r="R684">
        <v>5</v>
      </c>
      <c r="S684">
        <v>16</v>
      </c>
    </row>
    <row r="685" spans="1:19" x14ac:dyDescent="0.35">
      <c r="A685">
        <v>9184</v>
      </c>
      <c r="B685" t="s">
        <v>2988</v>
      </c>
      <c r="C685" t="s">
        <v>42</v>
      </c>
      <c r="D685" t="s">
        <v>2989</v>
      </c>
      <c r="E685" t="e" cm="1">
        <f t="array" ref="E685">- IRBESARTAN</f>
        <v>#NAME?</v>
      </c>
      <c r="F685" t="s">
        <v>2990</v>
      </c>
      <c r="G685" t="s">
        <v>60</v>
      </c>
      <c r="H685" t="s">
        <v>2991</v>
      </c>
      <c r="I685" t="s">
        <v>2917</v>
      </c>
      <c r="J685" t="s">
        <v>2992</v>
      </c>
      <c r="K685" t="s">
        <v>2919</v>
      </c>
      <c r="L685" t="s">
        <v>2993</v>
      </c>
      <c r="M685" t="s">
        <v>46</v>
      </c>
      <c r="N685" t="s">
        <v>999</v>
      </c>
      <c r="O685" t="s">
        <v>2271</v>
      </c>
      <c r="P685" t="s">
        <v>2994</v>
      </c>
      <c r="Q685" t="s">
        <v>2995</v>
      </c>
      <c r="R685">
        <v>5</v>
      </c>
      <c r="S685">
        <v>16</v>
      </c>
    </row>
    <row r="686" spans="1:19" x14ac:dyDescent="0.35">
      <c r="A686">
        <v>5795</v>
      </c>
      <c r="B686" t="s">
        <v>2996</v>
      </c>
      <c r="C686" t="s">
        <v>42</v>
      </c>
      <c r="D686" t="s">
        <v>2997</v>
      </c>
      <c r="E686" t="e" cm="1">
        <f t="array" ref="E686">- ISONIAZID</f>
        <v>#NAME?</v>
      </c>
      <c r="F686" s="1">
        <v>118200</v>
      </c>
      <c r="J686" t="s">
        <v>2998</v>
      </c>
      <c r="L686" t="s">
        <v>382</v>
      </c>
      <c r="M686" t="s">
        <v>46</v>
      </c>
      <c r="N686" t="s">
        <v>1699</v>
      </c>
      <c r="P686" t="s">
        <v>2999</v>
      </c>
      <c r="Q686" t="s">
        <v>3000</v>
      </c>
      <c r="R686">
        <v>5</v>
      </c>
      <c r="S686">
        <v>16</v>
      </c>
    </row>
    <row r="687" spans="1:19" x14ac:dyDescent="0.35">
      <c r="A687">
        <v>9197</v>
      </c>
      <c r="B687" t="s">
        <v>3001</v>
      </c>
      <c r="C687" t="s">
        <v>42</v>
      </c>
      <c r="D687" t="s">
        <v>3002</v>
      </c>
      <c r="E687" t="e" cm="1">
        <f t="array" ref="E687">- LOSARTAN POTASSIUM</f>
        <v>#NAME?</v>
      </c>
      <c r="F687" t="s">
        <v>3003</v>
      </c>
      <c r="G687" t="s">
        <v>60</v>
      </c>
      <c r="H687" t="s">
        <v>3004</v>
      </c>
      <c r="I687" t="s">
        <v>2736</v>
      </c>
      <c r="J687" t="s">
        <v>2100</v>
      </c>
      <c r="K687" t="s">
        <v>3005</v>
      </c>
      <c r="L687" t="s">
        <v>3006</v>
      </c>
      <c r="M687" t="s">
        <v>46</v>
      </c>
      <c r="N687" t="s">
        <v>2860</v>
      </c>
      <c r="O687" t="s">
        <v>2211</v>
      </c>
      <c r="P687" t="s">
        <v>3007</v>
      </c>
      <c r="Q687" t="s">
        <v>3008</v>
      </c>
      <c r="R687">
        <v>5</v>
      </c>
      <c r="S687">
        <v>16</v>
      </c>
    </row>
    <row r="688" spans="1:19" x14ac:dyDescent="0.35">
      <c r="A688">
        <v>9183</v>
      </c>
      <c r="B688" t="s">
        <v>3009</v>
      </c>
      <c r="C688" t="s">
        <v>42</v>
      </c>
      <c r="D688" t="s">
        <v>3010</v>
      </c>
      <c r="E688" t="e" cm="1">
        <f t="array" ref="E688">- IRBESARTAN</f>
        <v>#NAME?</v>
      </c>
      <c r="F688" t="s">
        <v>3011</v>
      </c>
      <c r="G688" t="s">
        <v>60</v>
      </c>
      <c r="H688" t="s">
        <v>3012</v>
      </c>
      <c r="I688" t="s">
        <v>2917</v>
      </c>
      <c r="J688" t="s">
        <v>2992</v>
      </c>
      <c r="K688" t="s">
        <v>2919</v>
      </c>
      <c r="L688" t="s">
        <v>3013</v>
      </c>
      <c r="M688" t="s">
        <v>46</v>
      </c>
      <c r="N688" t="s">
        <v>999</v>
      </c>
      <c r="O688" t="s">
        <v>2271</v>
      </c>
      <c r="P688" t="s">
        <v>2994</v>
      </c>
      <c r="Q688" t="s">
        <v>2995</v>
      </c>
      <c r="R688">
        <v>5</v>
      </c>
      <c r="S688">
        <v>16</v>
      </c>
    </row>
    <row r="689" spans="1:19" x14ac:dyDescent="0.35">
      <c r="A689">
        <v>9182</v>
      </c>
      <c r="B689" t="s">
        <v>3009</v>
      </c>
      <c r="C689" t="s">
        <v>42</v>
      </c>
      <c r="D689" t="s">
        <v>3010</v>
      </c>
      <c r="E689" t="e" cm="1">
        <f t="array" ref="E689">- IRBESARTAN</f>
        <v>#NAME?</v>
      </c>
      <c r="F689" t="s">
        <v>3011</v>
      </c>
      <c r="G689" t="s">
        <v>60</v>
      </c>
      <c r="H689" t="s">
        <v>3012</v>
      </c>
      <c r="I689" t="s">
        <v>2917</v>
      </c>
      <c r="J689" t="s">
        <v>2992</v>
      </c>
      <c r="K689" t="s">
        <v>2919</v>
      </c>
      <c r="L689" t="s">
        <v>3013</v>
      </c>
      <c r="M689" t="s">
        <v>46</v>
      </c>
      <c r="N689" t="s">
        <v>999</v>
      </c>
      <c r="O689" t="s">
        <v>2271</v>
      </c>
      <c r="P689" t="s">
        <v>2994</v>
      </c>
      <c r="Q689" t="s">
        <v>2995</v>
      </c>
      <c r="R689">
        <v>5</v>
      </c>
      <c r="S689">
        <v>16</v>
      </c>
    </row>
    <row r="690" spans="1:19" x14ac:dyDescent="0.35">
      <c r="A690">
        <v>5803</v>
      </c>
      <c r="B690" t="s">
        <v>3014</v>
      </c>
      <c r="C690" t="s">
        <v>42</v>
      </c>
      <c r="D690" t="s">
        <v>3015</v>
      </c>
      <c r="E690" t="e" cm="1">
        <f t="array" ref="E690">- RIFAMPICIN</f>
        <v>#NAME?</v>
      </c>
      <c r="F690" t="s">
        <v>3016</v>
      </c>
      <c r="G690" t="s">
        <v>737</v>
      </c>
      <c r="H690" t="s">
        <v>3017</v>
      </c>
      <c r="I690" t="s">
        <v>3018</v>
      </c>
      <c r="J690" t="s">
        <v>3019</v>
      </c>
      <c r="K690" t="s">
        <v>3020</v>
      </c>
      <c r="L690" t="s">
        <v>3021</v>
      </c>
      <c r="M690" t="s">
        <v>291</v>
      </c>
      <c r="N690" t="s">
        <v>516</v>
      </c>
      <c r="O690" t="s">
        <v>1414</v>
      </c>
      <c r="P690" t="s">
        <v>3022</v>
      </c>
      <c r="Q690" t="s">
        <v>3023</v>
      </c>
      <c r="R690">
        <v>5</v>
      </c>
      <c r="S690">
        <v>16</v>
      </c>
    </row>
    <row r="691" spans="1:19" x14ac:dyDescent="0.35">
      <c r="A691">
        <v>3793</v>
      </c>
      <c r="B691" t="s">
        <v>3024</v>
      </c>
      <c r="C691" t="s">
        <v>42</v>
      </c>
      <c r="D691" t="s">
        <v>3025</v>
      </c>
      <c r="E691" t="e" cm="1">
        <f t="array" ref="E691">- ZINC SULFATE MONOHYDRATE</f>
        <v>#NAME?</v>
      </c>
      <c r="F691" s="1">
        <v>41600</v>
      </c>
      <c r="J691" t="s">
        <v>334</v>
      </c>
      <c r="M691" t="s">
        <v>271</v>
      </c>
      <c r="N691" t="s">
        <v>2750</v>
      </c>
      <c r="P691" t="s">
        <v>3026</v>
      </c>
      <c r="Q691" t="s">
        <v>3027</v>
      </c>
      <c r="R691">
        <v>5</v>
      </c>
      <c r="S691">
        <v>16</v>
      </c>
    </row>
    <row r="692" spans="1:19" x14ac:dyDescent="0.35">
      <c r="A692">
        <v>3794</v>
      </c>
      <c r="B692" t="s">
        <v>3024</v>
      </c>
      <c r="C692" t="s">
        <v>42</v>
      </c>
      <c r="D692" t="s">
        <v>3025</v>
      </c>
      <c r="E692" t="e" cm="1">
        <f t="array" ref="E692">- ZINC SULFATE MONOHYDRATE</f>
        <v>#NAME?</v>
      </c>
      <c r="F692" s="1">
        <v>41600</v>
      </c>
      <c r="J692" t="s">
        <v>334</v>
      </c>
      <c r="M692" t="s">
        <v>271</v>
      </c>
      <c r="N692" t="s">
        <v>2750</v>
      </c>
      <c r="P692" t="s">
        <v>3026</v>
      </c>
      <c r="Q692" t="s">
        <v>3027</v>
      </c>
      <c r="R692">
        <v>5</v>
      </c>
      <c r="S692">
        <v>16</v>
      </c>
    </row>
    <row r="693" spans="1:19" x14ac:dyDescent="0.35">
      <c r="A693">
        <v>9198</v>
      </c>
      <c r="B693" t="s">
        <v>3028</v>
      </c>
      <c r="C693" t="s">
        <v>42</v>
      </c>
      <c r="D693" t="s">
        <v>3029</v>
      </c>
      <c r="E693" t="e" cm="1">
        <f t="array" ref="E693">- LOSARTAN POTASSIUM</f>
        <v>#NAME?</v>
      </c>
      <c r="F693" t="s">
        <v>3030</v>
      </c>
      <c r="G693" t="s">
        <v>60</v>
      </c>
      <c r="H693" t="s">
        <v>3031</v>
      </c>
      <c r="I693" t="s">
        <v>2736</v>
      </c>
      <c r="J693" t="s">
        <v>3032</v>
      </c>
      <c r="K693" t="s">
        <v>3033</v>
      </c>
      <c r="L693" t="s">
        <v>3006</v>
      </c>
      <c r="M693" t="s">
        <v>46</v>
      </c>
      <c r="N693" t="s">
        <v>2860</v>
      </c>
      <c r="O693" t="s">
        <v>2211</v>
      </c>
      <c r="P693" t="s">
        <v>3007</v>
      </c>
      <c r="Q693" t="s">
        <v>3008</v>
      </c>
      <c r="R693">
        <v>5</v>
      </c>
      <c r="S693">
        <v>16</v>
      </c>
    </row>
    <row r="694" spans="1:19" x14ac:dyDescent="0.35">
      <c r="A694">
        <v>1638</v>
      </c>
      <c r="B694" t="s">
        <v>3034</v>
      </c>
      <c r="C694" t="s">
        <v>42</v>
      </c>
      <c r="D694" t="s">
        <v>3035</v>
      </c>
      <c r="E694" t="e" cm="1">
        <f t="array" ref="E694">- DEXTROMETHORPHAN HYDROBROMIDE</f>
        <v>#NAME?</v>
      </c>
      <c r="F694" t="s">
        <v>3036</v>
      </c>
      <c r="J694" t="s">
        <v>3037</v>
      </c>
      <c r="M694" t="s">
        <v>271</v>
      </c>
      <c r="N694" t="s">
        <v>1376</v>
      </c>
      <c r="P694" t="s">
        <v>3038</v>
      </c>
      <c r="Q694" t="s">
        <v>3039</v>
      </c>
      <c r="R694">
        <v>5</v>
      </c>
      <c r="S694">
        <v>16</v>
      </c>
    </row>
    <row r="695" spans="1:19" x14ac:dyDescent="0.35">
      <c r="A695">
        <v>1637</v>
      </c>
      <c r="B695" t="s">
        <v>3034</v>
      </c>
      <c r="C695" t="s">
        <v>42</v>
      </c>
      <c r="D695" t="s">
        <v>3035</v>
      </c>
      <c r="E695" t="e" cm="1">
        <f t="array" ref="E695">- DEXTROMETHORPHAN HYDROBROMIDE</f>
        <v>#NAME?</v>
      </c>
      <c r="F695" t="s">
        <v>3036</v>
      </c>
      <c r="J695" t="s">
        <v>3037</v>
      </c>
      <c r="M695" t="s">
        <v>271</v>
      </c>
      <c r="N695" t="s">
        <v>1376</v>
      </c>
      <c r="P695" t="s">
        <v>3038</v>
      </c>
      <c r="Q695" t="s">
        <v>3039</v>
      </c>
      <c r="R695">
        <v>5</v>
      </c>
      <c r="S695">
        <v>16</v>
      </c>
    </row>
    <row r="696" spans="1:19" x14ac:dyDescent="0.35">
      <c r="A696">
        <v>3799</v>
      </c>
      <c r="B696" t="s">
        <v>2863</v>
      </c>
      <c r="C696" t="s">
        <v>42</v>
      </c>
      <c r="D696" t="s">
        <v>2864</v>
      </c>
      <c r="E696" t="e" cm="1">
        <f t="array" ref="E696">- ZINC SULFATE MONOHYDRATE</f>
        <v>#NAME?</v>
      </c>
      <c r="F696" t="s">
        <v>2865</v>
      </c>
      <c r="J696" t="s">
        <v>334</v>
      </c>
      <c r="M696" t="s">
        <v>271</v>
      </c>
      <c r="N696" t="s">
        <v>2750</v>
      </c>
      <c r="P696" t="s">
        <v>2866</v>
      </c>
      <c r="Q696" t="s">
        <v>2867</v>
      </c>
      <c r="R696">
        <v>5</v>
      </c>
      <c r="S696">
        <v>16</v>
      </c>
    </row>
    <row r="697" spans="1:19" x14ac:dyDescent="0.35">
      <c r="A697">
        <v>1636</v>
      </c>
      <c r="B697" t="s">
        <v>3034</v>
      </c>
      <c r="C697" t="s">
        <v>42</v>
      </c>
      <c r="D697" t="s">
        <v>3035</v>
      </c>
      <c r="E697" t="e" cm="1">
        <f t="array" ref="E697">- DEXTROMETHORPHAN HYDROBROMIDE</f>
        <v>#NAME?</v>
      </c>
      <c r="F697" t="s">
        <v>3036</v>
      </c>
      <c r="J697" t="s">
        <v>3037</v>
      </c>
      <c r="M697" t="s">
        <v>271</v>
      </c>
      <c r="N697" t="s">
        <v>1376</v>
      </c>
      <c r="P697" t="s">
        <v>3038</v>
      </c>
      <c r="Q697" t="s">
        <v>3039</v>
      </c>
      <c r="R697">
        <v>5</v>
      </c>
      <c r="S697">
        <v>16</v>
      </c>
    </row>
    <row r="698" spans="1:19" x14ac:dyDescent="0.35">
      <c r="A698">
        <v>9089</v>
      </c>
      <c r="B698" t="s">
        <v>2852</v>
      </c>
      <c r="C698" t="s">
        <v>42</v>
      </c>
      <c r="D698" t="s">
        <v>2853</v>
      </c>
      <c r="E698" t="e" cm="1">
        <f t="array" ref="E698">- LOSARTAN POTASSIUM</f>
        <v>#NAME?</v>
      </c>
      <c r="F698" t="s">
        <v>2854</v>
      </c>
      <c r="G698" t="s">
        <v>2855</v>
      </c>
      <c r="H698" t="s">
        <v>2856</v>
      </c>
      <c r="I698" t="s">
        <v>2736</v>
      </c>
      <c r="J698" t="s">
        <v>2857</v>
      </c>
      <c r="K698" t="s">
        <v>2858</v>
      </c>
      <c r="L698" t="s">
        <v>2859</v>
      </c>
      <c r="M698" t="s">
        <v>46</v>
      </c>
      <c r="N698" t="s">
        <v>2860</v>
      </c>
      <c r="O698" t="s">
        <v>2211</v>
      </c>
      <c r="P698" t="s">
        <v>2861</v>
      </c>
      <c r="Q698" t="s">
        <v>2862</v>
      </c>
      <c r="R698">
        <v>5</v>
      </c>
      <c r="S698">
        <v>16</v>
      </c>
    </row>
    <row r="699" spans="1:19" x14ac:dyDescent="0.35">
      <c r="A699">
        <v>2477</v>
      </c>
      <c r="B699" t="s">
        <v>3040</v>
      </c>
      <c r="C699" t="s">
        <v>42</v>
      </c>
      <c r="D699" t="s">
        <v>3041</v>
      </c>
      <c r="E699" t="e" cm="1">
        <f t="array" ref="E699">- MEFENAMIC ACID</f>
        <v>#NAME?</v>
      </c>
      <c r="F699" t="s">
        <v>3042</v>
      </c>
      <c r="H699" t="s">
        <v>269</v>
      </c>
      <c r="L699" t="s">
        <v>1875</v>
      </c>
      <c r="M699" t="s">
        <v>291</v>
      </c>
      <c r="N699" t="s">
        <v>2235</v>
      </c>
      <c r="P699" t="s">
        <v>3043</v>
      </c>
      <c r="Q699" t="s">
        <v>3044</v>
      </c>
      <c r="R699">
        <v>5</v>
      </c>
      <c r="S699">
        <v>16</v>
      </c>
    </row>
    <row r="700" spans="1:19" x14ac:dyDescent="0.35">
      <c r="A700">
        <v>5524</v>
      </c>
      <c r="B700" t="s">
        <v>2933</v>
      </c>
      <c r="C700" t="s">
        <v>42</v>
      </c>
      <c r="D700" t="s">
        <v>2934</v>
      </c>
      <c r="E700" t="e" cm="1">
        <f t="array" ref="E700">- PERMETHRIN</f>
        <v>#NAME?</v>
      </c>
      <c r="F700" t="s">
        <v>2935</v>
      </c>
      <c r="G700" t="s">
        <v>2936</v>
      </c>
      <c r="H700" t="s">
        <v>2937</v>
      </c>
      <c r="I700" t="s">
        <v>2938</v>
      </c>
      <c r="J700" t="s">
        <v>2939</v>
      </c>
      <c r="K700" t="s">
        <v>2940</v>
      </c>
      <c r="L700" t="s">
        <v>2941</v>
      </c>
      <c r="M700" t="s">
        <v>1289</v>
      </c>
      <c r="N700" t="s">
        <v>2942</v>
      </c>
      <c r="O700" t="s">
        <v>2943</v>
      </c>
      <c r="P700" t="s">
        <v>2944</v>
      </c>
      <c r="Q700" t="s">
        <v>2945</v>
      </c>
      <c r="R700">
        <v>5</v>
      </c>
      <c r="S700">
        <v>16</v>
      </c>
    </row>
    <row r="701" spans="1:19" x14ac:dyDescent="0.35">
      <c r="A701">
        <v>8880</v>
      </c>
      <c r="B701" t="s">
        <v>3045</v>
      </c>
      <c r="C701" t="s">
        <v>42</v>
      </c>
      <c r="D701" t="s">
        <v>3046</v>
      </c>
      <c r="E701" t="e" cm="1">
        <f t="array" ref="E701">- INSULIN</f>
        <v>#NAME?</v>
      </c>
      <c r="F701" t="s">
        <v>3047</v>
      </c>
      <c r="G701" t="s">
        <v>3048</v>
      </c>
      <c r="H701" t="s">
        <v>3049</v>
      </c>
      <c r="J701" t="s">
        <v>3050</v>
      </c>
      <c r="M701" t="s">
        <v>2403</v>
      </c>
      <c r="N701" t="s">
        <v>3051</v>
      </c>
      <c r="P701" t="s">
        <v>3052</v>
      </c>
      <c r="Q701" t="s">
        <v>3053</v>
      </c>
      <c r="R701">
        <v>5</v>
      </c>
      <c r="S701">
        <v>16</v>
      </c>
    </row>
    <row r="702" spans="1:19" x14ac:dyDescent="0.35">
      <c r="A702">
        <v>1594</v>
      </c>
      <c r="B702" t="s">
        <v>3054</v>
      </c>
      <c r="C702" t="s">
        <v>42</v>
      </c>
      <c r="D702" t="s">
        <v>3055</v>
      </c>
      <c r="E702" t="e" cm="1">
        <f t="array" ref="E702">- CHLORPHENAMINE MALEATE</f>
        <v>#NAME?</v>
      </c>
      <c r="F702" t="s">
        <v>3056</v>
      </c>
      <c r="J702" t="s">
        <v>334</v>
      </c>
      <c r="M702" t="s">
        <v>340</v>
      </c>
      <c r="N702" t="s">
        <v>1354</v>
      </c>
      <c r="P702" t="s">
        <v>3057</v>
      </c>
      <c r="Q702" t="s">
        <v>3058</v>
      </c>
      <c r="R702">
        <v>5</v>
      </c>
      <c r="S702">
        <v>16</v>
      </c>
    </row>
    <row r="703" spans="1:19" x14ac:dyDescent="0.35">
      <c r="A703">
        <v>9240</v>
      </c>
      <c r="B703" t="s">
        <v>3059</v>
      </c>
      <c r="C703" t="s">
        <v>42</v>
      </c>
      <c r="D703" t="s">
        <v>3060</v>
      </c>
      <c r="E703" t="e" cm="1">
        <f t="array" ref="E703">- TELMISARTAN</f>
        <v>#NAME?</v>
      </c>
      <c r="F703" t="s">
        <v>3061</v>
      </c>
      <c r="G703" t="s">
        <v>2266</v>
      </c>
      <c r="H703" t="s">
        <v>3062</v>
      </c>
      <c r="I703" t="s">
        <v>2268</v>
      </c>
      <c r="J703" t="s">
        <v>3063</v>
      </c>
      <c r="K703" t="s">
        <v>2269</v>
      </c>
      <c r="L703" t="s">
        <v>2479</v>
      </c>
      <c r="M703" t="s">
        <v>46</v>
      </c>
      <c r="N703" t="s">
        <v>2270</v>
      </c>
      <c r="O703" t="s">
        <v>2271</v>
      </c>
      <c r="P703" t="s">
        <v>3064</v>
      </c>
      <c r="Q703" t="s">
        <v>3065</v>
      </c>
      <c r="R703">
        <v>5</v>
      </c>
      <c r="S703">
        <v>16</v>
      </c>
    </row>
    <row r="704" spans="1:19" x14ac:dyDescent="0.35">
      <c r="A704">
        <v>2408</v>
      </c>
      <c r="B704" t="s">
        <v>3066</v>
      </c>
      <c r="C704" t="s">
        <v>42</v>
      </c>
      <c r="D704" t="s">
        <v>3067</v>
      </c>
      <c r="E704" t="e" cm="1">
        <f t="array" ref="E704">- MEFENAMIC ACID</f>
        <v>#NAME?</v>
      </c>
      <c r="F704" t="s">
        <v>3068</v>
      </c>
      <c r="J704" t="s">
        <v>515</v>
      </c>
      <c r="L704" t="s">
        <v>1308</v>
      </c>
      <c r="M704" t="s">
        <v>291</v>
      </c>
      <c r="N704" t="s">
        <v>2235</v>
      </c>
      <c r="P704" t="s">
        <v>3069</v>
      </c>
      <c r="Q704" t="s">
        <v>3070</v>
      </c>
      <c r="R704">
        <v>5</v>
      </c>
      <c r="S704">
        <v>16</v>
      </c>
    </row>
    <row r="705" spans="1:19" x14ac:dyDescent="0.35">
      <c r="A705">
        <v>9241</v>
      </c>
      <c r="B705" t="s">
        <v>3071</v>
      </c>
      <c r="C705" t="s">
        <v>42</v>
      </c>
      <c r="D705" t="s">
        <v>3072</v>
      </c>
      <c r="E705" t="e" cm="1">
        <f t="array" ref="E705">- TELMISARTAN</f>
        <v>#NAME?</v>
      </c>
      <c r="F705" t="s">
        <v>3073</v>
      </c>
      <c r="G705" t="s">
        <v>2266</v>
      </c>
      <c r="H705" t="s">
        <v>3074</v>
      </c>
      <c r="I705" t="s">
        <v>2268</v>
      </c>
      <c r="J705" t="s">
        <v>3063</v>
      </c>
      <c r="K705" t="s">
        <v>2269</v>
      </c>
      <c r="L705" t="s">
        <v>2479</v>
      </c>
      <c r="M705" t="s">
        <v>46</v>
      </c>
      <c r="N705" t="s">
        <v>2270</v>
      </c>
      <c r="O705" t="s">
        <v>2271</v>
      </c>
      <c r="P705" t="s">
        <v>3064</v>
      </c>
      <c r="Q705" t="s">
        <v>3065</v>
      </c>
      <c r="R705">
        <v>5</v>
      </c>
      <c r="S705">
        <v>16</v>
      </c>
    </row>
    <row r="706" spans="1:19" x14ac:dyDescent="0.35">
      <c r="A706">
        <v>6359</v>
      </c>
      <c r="B706" t="s">
        <v>3075</v>
      </c>
      <c r="C706" t="s">
        <v>42</v>
      </c>
      <c r="D706" t="s">
        <v>3076</v>
      </c>
      <c r="E706" t="e" cm="1">
        <f t="array" ref="E706">- RIFAMPICIN</f>
        <v>#NAME?</v>
      </c>
      <c r="F706" t="s">
        <v>3077</v>
      </c>
      <c r="G706" t="s">
        <v>737</v>
      </c>
      <c r="H706" t="s">
        <v>3078</v>
      </c>
      <c r="I706" t="s">
        <v>3018</v>
      </c>
      <c r="J706" t="s">
        <v>3019</v>
      </c>
      <c r="M706" t="s">
        <v>291</v>
      </c>
      <c r="N706" t="s">
        <v>516</v>
      </c>
      <c r="O706" t="s">
        <v>1414</v>
      </c>
      <c r="P706" t="s">
        <v>517</v>
      </c>
      <c r="Q706" t="s">
        <v>3079</v>
      </c>
      <c r="R706">
        <v>5</v>
      </c>
      <c r="S706">
        <v>16</v>
      </c>
    </row>
    <row r="707" spans="1:19" x14ac:dyDescent="0.35">
      <c r="A707">
        <v>6360</v>
      </c>
      <c r="B707" t="s">
        <v>3075</v>
      </c>
      <c r="C707" t="s">
        <v>42</v>
      </c>
      <c r="D707" t="s">
        <v>3076</v>
      </c>
      <c r="E707" t="e" cm="1">
        <f t="array" ref="E707">- RIFAMPICIN</f>
        <v>#NAME?</v>
      </c>
      <c r="F707" t="s">
        <v>3077</v>
      </c>
      <c r="G707" t="s">
        <v>737</v>
      </c>
      <c r="H707" t="s">
        <v>3078</v>
      </c>
      <c r="I707" t="s">
        <v>3018</v>
      </c>
      <c r="J707" t="s">
        <v>3019</v>
      </c>
      <c r="M707" t="s">
        <v>291</v>
      </c>
      <c r="N707" t="s">
        <v>516</v>
      </c>
      <c r="O707" t="s">
        <v>1414</v>
      </c>
      <c r="P707" t="s">
        <v>517</v>
      </c>
      <c r="Q707" t="s">
        <v>3079</v>
      </c>
      <c r="R707">
        <v>5</v>
      </c>
      <c r="S707">
        <v>16</v>
      </c>
    </row>
    <row r="708" spans="1:19" x14ac:dyDescent="0.35">
      <c r="A708">
        <v>6361</v>
      </c>
      <c r="B708" t="s">
        <v>3075</v>
      </c>
      <c r="C708" t="s">
        <v>42</v>
      </c>
      <c r="D708" t="s">
        <v>3076</v>
      </c>
      <c r="E708" t="e" cm="1">
        <f t="array" ref="E708">- RIFAMPICIN</f>
        <v>#NAME?</v>
      </c>
      <c r="F708" t="s">
        <v>3077</v>
      </c>
      <c r="G708" t="s">
        <v>737</v>
      </c>
      <c r="H708" t="s">
        <v>3078</v>
      </c>
      <c r="I708" t="s">
        <v>3018</v>
      </c>
      <c r="J708" t="s">
        <v>3019</v>
      </c>
      <c r="M708" t="s">
        <v>291</v>
      </c>
      <c r="N708" t="s">
        <v>516</v>
      </c>
      <c r="O708" t="s">
        <v>1414</v>
      </c>
      <c r="P708" t="s">
        <v>517</v>
      </c>
      <c r="Q708" t="s">
        <v>3079</v>
      </c>
      <c r="R708">
        <v>5</v>
      </c>
      <c r="S708">
        <v>16</v>
      </c>
    </row>
    <row r="709" spans="1:19" x14ac:dyDescent="0.35">
      <c r="A709">
        <v>9255</v>
      </c>
      <c r="B709" t="s">
        <v>3080</v>
      </c>
      <c r="C709" t="s">
        <v>42</v>
      </c>
      <c r="D709" t="s">
        <v>3081</v>
      </c>
      <c r="E709" t="e" cm="1">
        <f t="array" ref="E709">- ALISKIREN FUMARATE</f>
        <v>#NAME?</v>
      </c>
      <c r="F709" t="s">
        <v>3082</v>
      </c>
      <c r="G709" t="s">
        <v>3083</v>
      </c>
      <c r="H709" t="s">
        <v>3084</v>
      </c>
      <c r="I709" t="s">
        <v>2535</v>
      </c>
      <c r="J709" t="s">
        <v>3085</v>
      </c>
      <c r="K709" t="s">
        <v>3086</v>
      </c>
      <c r="L709" t="s">
        <v>3087</v>
      </c>
    </row>
    <row r="710" spans="1:19" x14ac:dyDescent="0.35">
      <c r="A710">
        <v>6368</v>
      </c>
      <c r="B710" t="s">
        <v>3088</v>
      </c>
      <c r="C710" t="s">
        <v>42</v>
      </c>
      <c r="D710" t="s">
        <v>3089</v>
      </c>
      <c r="E710" t="e" cm="1">
        <f t="array" ref="E710">- RIFAMPICIN</f>
        <v>#NAME?</v>
      </c>
      <c r="F710" s="1">
        <v>85100</v>
      </c>
      <c r="G710" t="s">
        <v>737</v>
      </c>
      <c r="H710" t="s">
        <v>3090</v>
      </c>
      <c r="I710" t="s">
        <v>3091</v>
      </c>
      <c r="J710" t="s">
        <v>3019</v>
      </c>
      <c r="K710" t="s">
        <v>3020</v>
      </c>
      <c r="L710" t="s">
        <v>3092</v>
      </c>
      <c r="M710" t="s">
        <v>291</v>
      </c>
      <c r="N710" t="s">
        <v>516</v>
      </c>
      <c r="O710" t="s">
        <v>3093</v>
      </c>
      <c r="P710" t="s">
        <v>3022</v>
      </c>
      <c r="Q710" t="s">
        <v>3094</v>
      </c>
      <c r="R710">
        <v>5</v>
      </c>
      <c r="S710">
        <v>16</v>
      </c>
    </row>
    <row r="711" spans="1:19" x14ac:dyDescent="0.35">
      <c r="A711">
        <v>9256</v>
      </c>
      <c r="B711" t="s">
        <v>3095</v>
      </c>
      <c r="C711" t="s">
        <v>42</v>
      </c>
      <c r="D711" t="s">
        <v>3096</v>
      </c>
      <c r="E711" t="e" cm="1">
        <f t="array" ref="E711">- ALISKIREN FUMARATE</f>
        <v>#NAME?</v>
      </c>
      <c r="F711" t="s">
        <v>3097</v>
      </c>
      <c r="G711" t="s">
        <v>3098</v>
      </c>
      <c r="H711" t="s">
        <v>3099</v>
      </c>
      <c r="I711" t="s">
        <v>2535</v>
      </c>
      <c r="J711" t="s">
        <v>3085</v>
      </c>
      <c r="K711" t="s">
        <v>3100</v>
      </c>
      <c r="L711" t="s">
        <v>3101</v>
      </c>
      <c r="M711" t="s">
        <v>46</v>
      </c>
      <c r="N711" t="s">
        <v>3102</v>
      </c>
      <c r="O711" t="s">
        <v>2211</v>
      </c>
      <c r="P711" t="s">
        <v>3103</v>
      </c>
      <c r="Q711" t="s">
        <v>3104</v>
      </c>
      <c r="R711">
        <v>5</v>
      </c>
      <c r="S711">
        <v>16</v>
      </c>
    </row>
    <row r="712" spans="1:19" x14ac:dyDescent="0.35">
      <c r="A712">
        <v>6383</v>
      </c>
      <c r="B712" t="s">
        <v>3105</v>
      </c>
      <c r="C712" t="s">
        <v>42</v>
      </c>
      <c r="D712" t="s">
        <v>3106</v>
      </c>
      <c r="E712" t="e" cm="1">
        <f t="array" ref="E712">- AMOXICILLIN TRIHYDRATE</f>
        <v>#NAME?</v>
      </c>
      <c r="F712" t="s">
        <v>3107</v>
      </c>
      <c r="J712" t="s">
        <v>727</v>
      </c>
      <c r="M712" t="s">
        <v>291</v>
      </c>
      <c r="N712" t="s">
        <v>1523</v>
      </c>
      <c r="P712" t="s">
        <v>3108</v>
      </c>
      <c r="Q712" t="s">
        <v>3109</v>
      </c>
      <c r="R712">
        <v>5</v>
      </c>
      <c r="S712">
        <v>16</v>
      </c>
    </row>
    <row r="713" spans="1:19" x14ac:dyDescent="0.35">
      <c r="A713">
        <v>6391</v>
      </c>
      <c r="B713" t="s">
        <v>3110</v>
      </c>
      <c r="C713" t="s">
        <v>42</v>
      </c>
      <c r="D713" t="s">
        <v>3111</v>
      </c>
      <c r="E713" t="e" cm="1">
        <f t="array" ref="E713">- CEFADROXIL MONOHYDRATE</f>
        <v>#NAME?</v>
      </c>
      <c r="F713" t="s">
        <v>3112</v>
      </c>
      <c r="J713" t="s">
        <v>945</v>
      </c>
      <c r="M713" t="s">
        <v>271</v>
      </c>
      <c r="N713" t="s">
        <v>1777</v>
      </c>
      <c r="P713" t="s">
        <v>3113</v>
      </c>
      <c r="Q713" t="s">
        <v>3114</v>
      </c>
      <c r="R713">
        <v>5</v>
      </c>
      <c r="S713">
        <v>16</v>
      </c>
    </row>
    <row r="714" spans="1:19" x14ac:dyDescent="0.35">
      <c r="A714">
        <v>1575</v>
      </c>
      <c r="B714" t="s">
        <v>2493</v>
      </c>
      <c r="C714" t="s">
        <v>42</v>
      </c>
      <c r="D714" t="s">
        <v>2494</v>
      </c>
      <c r="E714" t="e" cm="1">
        <f t="array" ref="E714">- GUAIFENESIN. CHLORPHENAMINE MALEATE</f>
        <v>#NAME?</v>
      </c>
      <c r="F714" t="s">
        <v>2495</v>
      </c>
      <c r="M714" t="s">
        <v>271</v>
      </c>
      <c r="N714" t="s">
        <v>3115</v>
      </c>
      <c r="P714" t="s">
        <v>2496</v>
      </c>
      <c r="Q714" t="s">
        <v>3116</v>
      </c>
      <c r="R714">
        <v>5</v>
      </c>
      <c r="S714">
        <v>16</v>
      </c>
    </row>
    <row r="715" spans="1:19" x14ac:dyDescent="0.35">
      <c r="A715">
        <v>9261</v>
      </c>
      <c r="B715" t="s">
        <v>3117</v>
      </c>
      <c r="C715" t="s">
        <v>42</v>
      </c>
      <c r="D715" t="s">
        <v>3118</v>
      </c>
      <c r="E715" t="e" cm="1">
        <f t="array" ref="E715">- LOSARTAN POTASSIUM</f>
        <v>#NAME?</v>
      </c>
      <c r="F715" t="s">
        <v>3119</v>
      </c>
      <c r="G715" t="s">
        <v>3120</v>
      </c>
      <c r="H715" t="s">
        <v>3121</v>
      </c>
    </row>
    <row r="716" spans="1:19" x14ac:dyDescent="0.35">
      <c r="A716">
        <v>5373</v>
      </c>
      <c r="B716" t="s">
        <v>2844</v>
      </c>
      <c r="C716" t="s">
        <v>42</v>
      </c>
      <c r="D716" t="s">
        <v>2845</v>
      </c>
      <c r="E716" t="e" cm="1">
        <f t="array" ref="E716">- SULFADIAZINE SILVER</f>
        <v>#NAME?</v>
      </c>
      <c r="F716" t="s">
        <v>2846</v>
      </c>
      <c r="J716" t="s">
        <v>2847</v>
      </c>
      <c r="L716" t="s">
        <v>2848</v>
      </c>
      <c r="M716" t="s">
        <v>1289</v>
      </c>
      <c r="N716" t="s">
        <v>2849</v>
      </c>
      <c r="P716" t="s">
        <v>2850</v>
      </c>
      <c r="Q716" t="s">
        <v>2851</v>
      </c>
      <c r="R716">
        <v>5</v>
      </c>
      <c r="S716">
        <v>16</v>
      </c>
    </row>
    <row r="717" spans="1:19" x14ac:dyDescent="0.35">
      <c r="A717">
        <v>2407</v>
      </c>
      <c r="B717" t="s">
        <v>3066</v>
      </c>
      <c r="C717" t="s">
        <v>42</v>
      </c>
      <c r="D717" t="s">
        <v>3067</v>
      </c>
      <c r="E717" t="e" cm="1">
        <f t="array" ref="E717">- MEFENAMIC ACID</f>
        <v>#NAME?</v>
      </c>
      <c r="F717" t="s">
        <v>3068</v>
      </c>
      <c r="J717" t="s">
        <v>515</v>
      </c>
      <c r="L717" t="s">
        <v>1308</v>
      </c>
      <c r="M717" t="s">
        <v>291</v>
      </c>
      <c r="N717" t="s">
        <v>2235</v>
      </c>
      <c r="P717" t="s">
        <v>3069</v>
      </c>
      <c r="Q717" t="s">
        <v>3070</v>
      </c>
      <c r="R717">
        <v>5</v>
      </c>
      <c r="S717">
        <v>16</v>
      </c>
    </row>
    <row r="718" spans="1:19" x14ac:dyDescent="0.35">
      <c r="A718">
        <v>3822</v>
      </c>
      <c r="B718" t="s">
        <v>2897</v>
      </c>
      <c r="C718" t="s">
        <v>42</v>
      </c>
      <c r="D718" t="s">
        <v>2898</v>
      </c>
      <c r="E718" t="e" cm="1">
        <f t="array" ref="E718">- ZINC SULFATE MONOHYDRATE</f>
        <v>#NAME?</v>
      </c>
      <c r="F718" t="s">
        <v>2899</v>
      </c>
      <c r="J718" t="s">
        <v>945</v>
      </c>
      <c r="M718" t="s">
        <v>271</v>
      </c>
      <c r="N718" t="s">
        <v>2750</v>
      </c>
      <c r="P718" t="s">
        <v>2900</v>
      </c>
      <c r="Q718" t="s">
        <v>2901</v>
      </c>
      <c r="R718">
        <v>5</v>
      </c>
      <c r="S718">
        <v>16</v>
      </c>
    </row>
    <row r="719" spans="1:19" x14ac:dyDescent="0.35">
      <c r="A719">
        <v>2406</v>
      </c>
      <c r="B719" t="s">
        <v>3122</v>
      </c>
      <c r="C719" t="s">
        <v>42</v>
      </c>
      <c r="D719" t="s">
        <v>3123</v>
      </c>
      <c r="E719" t="e" cm="1">
        <f t="array" ref="E719">- MEFENAMIC ACID</f>
        <v>#NAME?</v>
      </c>
      <c r="F719" t="s">
        <v>3124</v>
      </c>
      <c r="J719" t="s">
        <v>515</v>
      </c>
      <c r="L719" t="s">
        <v>1308</v>
      </c>
      <c r="M719" t="s">
        <v>291</v>
      </c>
      <c r="N719" t="s">
        <v>2235</v>
      </c>
      <c r="P719" t="s">
        <v>3125</v>
      </c>
      <c r="Q719" t="s">
        <v>3126</v>
      </c>
      <c r="R719">
        <v>5</v>
      </c>
      <c r="S719">
        <v>16</v>
      </c>
    </row>
    <row r="720" spans="1:19" x14ac:dyDescent="0.35">
      <c r="A720">
        <v>6330</v>
      </c>
      <c r="B720" t="s">
        <v>3127</v>
      </c>
      <c r="C720" t="s">
        <v>42</v>
      </c>
      <c r="D720" t="s">
        <v>3128</v>
      </c>
      <c r="E720" t="e" cm="1">
        <f t="array" ref="E720">- ETHAMBUTOL HYDROCHLORIDE</f>
        <v>#NAME?</v>
      </c>
      <c r="F720" t="s">
        <v>3129</v>
      </c>
      <c r="H720" t="s">
        <v>319</v>
      </c>
      <c r="J720" t="s">
        <v>908</v>
      </c>
      <c r="L720" t="s">
        <v>321</v>
      </c>
      <c r="M720" t="s">
        <v>291</v>
      </c>
      <c r="N720" t="s">
        <v>3130</v>
      </c>
      <c r="P720" t="s">
        <v>3131</v>
      </c>
      <c r="Q720" t="s">
        <v>3132</v>
      </c>
      <c r="R720">
        <v>5</v>
      </c>
      <c r="S720">
        <v>16</v>
      </c>
    </row>
    <row r="721" spans="1:19" x14ac:dyDescent="0.35">
      <c r="A721">
        <v>3823</v>
      </c>
      <c r="B721" t="s">
        <v>2897</v>
      </c>
      <c r="C721" t="s">
        <v>42</v>
      </c>
      <c r="D721" t="s">
        <v>2898</v>
      </c>
      <c r="E721" t="e" cm="1">
        <f t="array" ref="E721">- ZINC SULFATE MONOHYDRATE</f>
        <v>#NAME?</v>
      </c>
      <c r="F721" t="s">
        <v>2899</v>
      </c>
      <c r="J721" t="s">
        <v>945</v>
      </c>
      <c r="M721" t="s">
        <v>271</v>
      </c>
      <c r="N721" t="s">
        <v>2750</v>
      </c>
      <c r="P721" t="s">
        <v>2900</v>
      </c>
      <c r="Q721" t="s">
        <v>2901</v>
      </c>
      <c r="R721">
        <v>5</v>
      </c>
      <c r="S721">
        <v>16</v>
      </c>
    </row>
    <row r="722" spans="1:19" x14ac:dyDescent="0.35">
      <c r="A722">
        <v>6222</v>
      </c>
      <c r="B722" t="s">
        <v>3133</v>
      </c>
      <c r="C722" t="s">
        <v>42</v>
      </c>
      <c r="D722" t="s">
        <v>3134</v>
      </c>
      <c r="E722" t="e" cm="1">
        <f t="array" ref="E722">- MOXIFLOXACIN HYDROCHLORIDE</f>
        <v>#NAME?</v>
      </c>
      <c r="F722" s="1">
        <v>492800</v>
      </c>
      <c r="J722" t="s">
        <v>1923</v>
      </c>
      <c r="M722" t="s">
        <v>291</v>
      </c>
      <c r="N722" t="s">
        <v>1856</v>
      </c>
      <c r="P722" t="s">
        <v>3135</v>
      </c>
      <c r="Q722" t="s">
        <v>3136</v>
      </c>
      <c r="R722">
        <v>5</v>
      </c>
      <c r="S722">
        <v>16</v>
      </c>
    </row>
    <row r="723" spans="1:19" x14ac:dyDescent="0.35">
      <c r="A723">
        <v>6223</v>
      </c>
      <c r="B723" t="s">
        <v>3133</v>
      </c>
      <c r="C723" t="s">
        <v>42</v>
      </c>
      <c r="D723" t="s">
        <v>3134</v>
      </c>
      <c r="E723" t="e" cm="1">
        <f t="array" ref="E723">- MOXIFLOXACIN HYDROCHLORIDE</f>
        <v>#NAME?</v>
      </c>
      <c r="F723" s="1">
        <v>492800</v>
      </c>
      <c r="J723" t="s">
        <v>1923</v>
      </c>
      <c r="M723" t="s">
        <v>291</v>
      </c>
      <c r="N723" t="s">
        <v>1856</v>
      </c>
      <c r="P723" t="s">
        <v>3135</v>
      </c>
      <c r="Q723" t="s">
        <v>3136</v>
      </c>
      <c r="R723">
        <v>5</v>
      </c>
      <c r="S723">
        <v>16</v>
      </c>
    </row>
    <row r="724" spans="1:19" x14ac:dyDescent="0.35">
      <c r="A724">
        <v>1617</v>
      </c>
      <c r="B724" t="s">
        <v>3137</v>
      </c>
      <c r="C724" t="s">
        <v>42</v>
      </c>
      <c r="D724" t="s">
        <v>3138</v>
      </c>
      <c r="E724" t="e" cm="1">
        <f t="array" ref="E724">- BROMHEXINE HYDROCHLORIDE</f>
        <v>#NAME?</v>
      </c>
      <c r="F724" t="s">
        <v>3139</v>
      </c>
      <c r="J724" t="s">
        <v>334</v>
      </c>
      <c r="M724" t="s">
        <v>271</v>
      </c>
      <c r="N724" t="s">
        <v>1342</v>
      </c>
      <c r="P724" t="s">
        <v>3140</v>
      </c>
      <c r="Q724" t="s">
        <v>3141</v>
      </c>
      <c r="R724">
        <v>5</v>
      </c>
      <c r="S724">
        <v>16</v>
      </c>
    </row>
    <row r="725" spans="1:19" x14ac:dyDescent="0.35">
      <c r="A725">
        <v>5523</v>
      </c>
      <c r="B725" t="s">
        <v>2933</v>
      </c>
      <c r="C725" t="s">
        <v>42</v>
      </c>
      <c r="D725" t="s">
        <v>2934</v>
      </c>
      <c r="E725" t="e" cm="1">
        <f t="array" ref="E725">- PERMETHRIN</f>
        <v>#NAME?</v>
      </c>
      <c r="F725" t="s">
        <v>2935</v>
      </c>
      <c r="G725" t="s">
        <v>2936</v>
      </c>
      <c r="H725" t="s">
        <v>2937</v>
      </c>
      <c r="I725" t="s">
        <v>2938</v>
      </c>
      <c r="J725" t="s">
        <v>2939</v>
      </c>
      <c r="K725" t="s">
        <v>2940</v>
      </c>
      <c r="L725" t="s">
        <v>2941</v>
      </c>
      <c r="M725" t="s">
        <v>1289</v>
      </c>
      <c r="N725" t="s">
        <v>2942</v>
      </c>
      <c r="O725" t="s">
        <v>2943</v>
      </c>
      <c r="P725" t="s">
        <v>2944</v>
      </c>
      <c r="Q725" t="s">
        <v>2945</v>
      </c>
      <c r="R725">
        <v>5</v>
      </c>
      <c r="S725">
        <v>16</v>
      </c>
    </row>
    <row r="726" spans="1:19" x14ac:dyDescent="0.35">
      <c r="A726">
        <v>8847</v>
      </c>
      <c r="B726" t="s">
        <v>3142</v>
      </c>
      <c r="C726" t="s">
        <v>42</v>
      </c>
      <c r="D726" t="s">
        <v>3143</v>
      </c>
      <c r="E726" t="e" cm="1">
        <f t="array" ref="E726">- DAPAGLIFLOZIN PROPENADIOL</f>
        <v>#NAME?</v>
      </c>
      <c r="F726" t="s">
        <v>3144</v>
      </c>
      <c r="J726" t="s">
        <v>3145</v>
      </c>
      <c r="M726" t="s">
        <v>46</v>
      </c>
      <c r="N726" t="s">
        <v>3146</v>
      </c>
      <c r="P726" t="s">
        <v>3147</v>
      </c>
      <c r="Q726" t="s">
        <v>3148</v>
      </c>
      <c r="R726">
        <v>5</v>
      </c>
      <c r="S726">
        <v>16</v>
      </c>
    </row>
    <row r="727" spans="1:19" x14ac:dyDescent="0.35">
      <c r="A727">
        <v>8843</v>
      </c>
      <c r="B727" t="s">
        <v>3149</v>
      </c>
      <c r="C727" t="s">
        <v>42</v>
      </c>
      <c r="D727" t="s">
        <v>3150</v>
      </c>
      <c r="E727" t="e" cm="1">
        <f t="array" ref="E727">- DAPAGLIFLOZIN PROPENADIOL</f>
        <v>#NAME?</v>
      </c>
      <c r="F727" t="s">
        <v>3151</v>
      </c>
      <c r="J727" t="s">
        <v>3145</v>
      </c>
      <c r="M727" t="s">
        <v>46</v>
      </c>
      <c r="N727" t="s">
        <v>3146</v>
      </c>
      <c r="P727" t="s">
        <v>3147</v>
      </c>
      <c r="Q727" t="s">
        <v>3148</v>
      </c>
      <c r="R727">
        <v>5</v>
      </c>
      <c r="S727">
        <v>16</v>
      </c>
    </row>
    <row r="728" spans="1:19" x14ac:dyDescent="0.35">
      <c r="A728">
        <v>3824</v>
      </c>
      <c r="B728" t="s">
        <v>2897</v>
      </c>
      <c r="C728" t="s">
        <v>42</v>
      </c>
      <c r="D728" t="s">
        <v>2898</v>
      </c>
      <c r="E728" t="e" cm="1">
        <f t="array" ref="E728">- ZINC SULFATE MONOHYDRATE</f>
        <v>#NAME?</v>
      </c>
      <c r="F728" t="s">
        <v>2899</v>
      </c>
      <c r="J728" t="s">
        <v>945</v>
      </c>
      <c r="M728" t="s">
        <v>271</v>
      </c>
      <c r="N728" t="s">
        <v>2750</v>
      </c>
      <c r="P728" t="s">
        <v>2900</v>
      </c>
      <c r="Q728" t="s">
        <v>2901</v>
      </c>
      <c r="R728">
        <v>5</v>
      </c>
      <c r="S728">
        <v>16</v>
      </c>
    </row>
    <row r="729" spans="1:19" x14ac:dyDescent="0.35">
      <c r="A729">
        <v>5507</v>
      </c>
      <c r="B729" t="s">
        <v>3152</v>
      </c>
      <c r="C729" t="s">
        <v>42</v>
      </c>
      <c r="D729" t="s">
        <v>3153</v>
      </c>
      <c r="E729" t="e" cm="1">
        <f t="array" ref="E729">- TETRACYCLINE HYDROCHLORIDE</f>
        <v>#NAME?</v>
      </c>
      <c r="F729" t="s">
        <v>3154</v>
      </c>
      <c r="H729">
        <v>0</v>
      </c>
      <c r="J729" t="s">
        <v>3155</v>
      </c>
      <c r="L729" t="s">
        <v>1403</v>
      </c>
      <c r="M729" t="s">
        <v>1029</v>
      </c>
      <c r="N729" t="s">
        <v>3156</v>
      </c>
      <c r="P729" t="s">
        <v>3157</v>
      </c>
      <c r="Q729" t="s">
        <v>3158</v>
      </c>
      <c r="R729">
        <v>5</v>
      </c>
      <c r="S729">
        <v>16</v>
      </c>
    </row>
    <row r="730" spans="1:19" x14ac:dyDescent="0.35">
      <c r="A730">
        <v>2405</v>
      </c>
      <c r="B730" t="s">
        <v>3122</v>
      </c>
      <c r="C730" t="s">
        <v>42</v>
      </c>
      <c r="D730" t="s">
        <v>3123</v>
      </c>
      <c r="E730" t="e" cm="1">
        <f t="array" ref="E730">- MEFENAMIC ACID</f>
        <v>#NAME?</v>
      </c>
      <c r="F730" t="s">
        <v>3124</v>
      </c>
      <c r="J730" t="s">
        <v>515</v>
      </c>
      <c r="L730" t="s">
        <v>1308</v>
      </c>
      <c r="M730" t="s">
        <v>291</v>
      </c>
      <c r="N730" t="s">
        <v>2235</v>
      </c>
      <c r="P730" t="s">
        <v>3125</v>
      </c>
      <c r="Q730" t="s">
        <v>3126</v>
      </c>
      <c r="R730">
        <v>5</v>
      </c>
      <c r="S730">
        <v>16</v>
      </c>
    </row>
    <row r="731" spans="1:19" x14ac:dyDescent="0.35">
      <c r="A731">
        <v>3828</v>
      </c>
      <c r="B731" t="s">
        <v>1464</v>
      </c>
      <c r="C731" t="s">
        <v>42</v>
      </c>
      <c r="D731" t="s">
        <v>1465</v>
      </c>
      <c r="E731" t="e" cm="1">
        <f t="array" ref="E731">- KAOLIN. PECTIN</f>
        <v>#NAME?</v>
      </c>
      <c r="F731" t="s">
        <v>1466</v>
      </c>
      <c r="J731" t="s">
        <v>577</v>
      </c>
      <c r="M731" t="s">
        <v>340</v>
      </c>
      <c r="N731" t="s">
        <v>3159</v>
      </c>
      <c r="P731" t="s">
        <v>1467</v>
      </c>
      <c r="Q731" t="s">
        <v>3160</v>
      </c>
      <c r="R731">
        <v>5</v>
      </c>
      <c r="S731">
        <v>16</v>
      </c>
    </row>
    <row r="732" spans="1:19" x14ac:dyDescent="0.35">
      <c r="A732">
        <v>3695</v>
      </c>
      <c r="B732" t="s">
        <v>3161</v>
      </c>
      <c r="C732" t="s">
        <v>42</v>
      </c>
      <c r="D732" t="s">
        <v>3162</v>
      </c>
      <c r="E732" t="e" cm="1">
        <f t="array" ref="E732">- DOMPERIDONE</f>
        <v>#NAME?</v>
      </c>
      <c r="F732" t="s">
        <v>3163</v>
      </c>
      <c r="G732" t="s">
        <v>3164</v>
      </c>
      <c r="H732" t="s">
        <v>3165</v>
      </c>
      <c r="I732" t="s">
        <v>3166</v>
      </c>
      <c r="J732" t="s">
        <v>3167</v>
      </c>
      <c r="K732" t="s">
        <v>3168</v>
      </c>
      <c r="L732" t="s">
        <v>3169</v>
      </c>
      <c r="M732" t="s">
        <v>340</v>
      </c>
      <c r="N732" t="s">
        <v>341</v>
      </c>
      <c r="O732" t="s">
        <v>3170</v>
      </c>
      <c r="P732" t="s">
        <v>3171</v>
      </c>
      <c r="Q732" t="s">
        <v>3172</v>
      </c>
      <c r="R732">
        <v>5</v>
      </c>
      <c r="S732">
        <v>16</v>
      </c>
    </row>
    <row r="733" spans="1:19" x14ac:dyDescent="0.35">
      <c r="A733">
        <v>9225</v>
      </c>
      <c r="B733" t="s">
        <v>3173</v>
      </c>
      <c r="C733" t="s">
        <v>42</v>
      </c>
      <c r="D733" t="s">
        <v>3174</v>
      </c>
      <c r="E733" t="e" cm="1">
        <f t="array" ref="E733">- TELMISARTAN</f>
        <v>#NAME?</v>
      </c>
      <c r="F733" t="s">
        <v>3175</v>
      </c>
      <c r="G733" t="s">
        <v>60</v>
      </c>
      <c r="H733" t="s">
        <v>3176</v>
      </c>
      <c r="I733" t="s">
        <v>3177</v>
      </c>
      <c r="J733" t="s">
        <v>411</v>
      </c>
      <c r="K733" t="s">
        <v>3178</v>
      </c>
      <c r="L733" t="s">
        <v>2479</v>
      </c>
      <c r="M733" t="s">
        <v>46</v>
      </c>
      <c r="N733" t="s">
        <v>2270</v>
      </c>
      <c r="O733" t="s">
        <v>2271</v>
      </c>
      <c r="P733" t="s">
        <v>3179</v>
      </c>
      <c r="Q733" t="s">
        <v>3180</v>
      </c>
      <c r="R733">
        <v>5</v>
      </c>
      <c r="S733">
        <v>16</v>
      </c>
    </row>
    <row r="734" spans="1:19" x14ac:dyDescent="0.35">
      <c r="A734">
        <v>3694</v>
      </c>
      <c r="B734" t="s">
        <v>3161</v>
      </c>
      <c r="C734" t="s">
        <v>42</v>
      </c>
      <c r="D734" t="s">
        <v>3162</v>
      </c>
      <c r="E734" t="e" cm="1">
        <f t="array" ref="E734">- DOMPERIDONE</f>
        <v>#NAME?</v>
      </c>
      <c r="F734" t="s">
        <v>3163</v>
      </c>
      <c r="G734" t="s">
        <v>3164</v>
      </c>
      <c r="H734" t="s">
        <v>3165</v>
      </c>
      <c r="I734" t="s">
        <v>3166</v>
      </c>
      <c r="J734" t="s">
        <v>3167</v>
      </c>
      <c r="K734" t="s">
        <v>3168</v>
      </c>
      <c r="L734" t="s">
        <v>3169</v>
      </c>
      <c r="M734" t="s">
        <v>340</v>
      </c>
      <c r="N734" t="s">
        <v>341</v>
      </c>
      <c r="O734" t="s">
        <v>3170</v>
      </c>
      <c r="P734" t="s">
        <v>3171</v>
      </c>
      <c r="Q734" t="s">
        <v>3172</v>
      </c>
      <c r="R734">
        <v>5</v>
      </c>
      <c r="S734">
        <v>16</v>
      </c>
    </row>
    <row r="735" spans="1:19" x14ac:dyDescent="0.35">
      <c r="A735">
        <v>9229</v>
      </c>
      <c r="B735" t="s">
        <v>3181</v>
      </c>
      <c r="C735" t="s">
        <v>42</v>
      </c>
      <c r="D735" t="s">
        <v>3182</v>
      </c>
      <c r="E735" t="e" cm="1">
        <f t="array" ref="E735">- AMLODIPINE BESILATE</f>
        <v>#NAME?</v>
      </c>
      <c r="F735" t="s">
        <v>3183</v>
      </c>
      <c r="G735" t="s">
        <v>3184</v>
      </c>
      <c r="H735" t="s">
        <v>2949</v>
      </c>
      <c r="I735" t="s">
        <v>2535</v>
      </c>
      <c r="J735" t="s">
        <v>3185</v>
      </c>
      <c r="K735" t="s">
        <v>3186</v>
      </c>
      <c r="L735" t="s">
        <v>3187</v>
      </c>
      <c r="M735" t="s">
        <v>46</v>
      </c>
      <c r="N735" t="s">
        <v>2484</v>
      </c>
      <c r="O735" t="s">
        <v>2211</v>
      </c>
      <c r="P735" t="s">
        <v>3188</v>
      </c>
      <c r="Q735" t="s">
        <v>3189</v>
      </c>
      <c r="R735">
        <v>5</v>
      </c>
      <c r="S735">
        <v>16</v>
      </c>
    </row>
    <row r="736" spans="1:19" x14ac:dyDescent="0.35">
      <c r="A736">
        <v>1252</v>
      </c>
      <c r="B736" t="s">
        <v>3190</v>
      </c>
      <c r="C736" t="s">
        <v>42</v>
      </c>
      <c r="D736" t="s">
        <v>3191</v>
      </c>
      <c r="E736" t="e" cm="1">
        <f t="array" ref="E736">- AMBROXOL HYDROCHLORIDE</f>
        <v>#NAME?</v>
      </c>
      <c r="F736" t="s">
        <v>3192</v>
      </c>
      <c r="J736" t="s">
        <v>334</v>
      </c>
      <c r="M736" t="s">
        <v>554</v>
      </c>
      <c r="N736" t="s">
        <v>1800</v>
      </c>
      <c r="P736" t="s">
        <v>3193</v>
      </c>
      <c r="Q736" t="s">
        <v>3194</v>
      </c>
      <c r="R736">
        <v>5</v>
      </c>
      <c r="S736">
        <v>16</v>
      </c>
    </row>
    <row r="737" spans="1:19" x14ac:dyDescent="0.35">
      <c r="A737">
        <v>1251</v>
      </c>
      <c r="B737" t="s">
        <v>3190</v>
      </c>
      <c r="C737" t="s">
        <v>42</v>
      </c>
      <c r="D737" t="s">
        <v>3191</v>
      </c>
      <c r="E737" t="e" cm="1">
        <f t="array" ref="E737">- AMBROXOL HYDROCHLORIDE</f>
        <v>#NAME?</v>
      </c>
      <c r="F737" t="s">
        <v>3192</v>
      </c>
      <c r="J737" t="s">
        <v>334</v>
      </c>
      <c r="M737" t="s">
        <v>554</v>
      </c>
      <c r="N737" t="s">
        <v>1800</v>
      </c>
      <c r="P737" t="s">
        <v>3193</v>
      </c>
      <c r="Q737" t="s">
        <v>3194</v>
      </c>
      <c r="R737">
        <v>5</v>
      </c>
      <c r="S737">
        <v>16</v>
      </c>
    </row>
    <row r="738" spans="1:19" x14ac:dyDescent="0.35">
      <c r="A738">
        <v>5591</v>
      </c>
      <c r="B738" t="s">
        <v>2164</v>
      </c>
      <c r="C738" t="s">
        <v>42</v>
      </c>
      <c r="D738" t="s">
        <v>3195</v>
      </c>
      <c r="E738" t="e" cm="1">
        <f t="array" ref="E738">- HEPARIN SODIUM</f>
        <v>#NAME?</v>
      </c>
      <c r="F738" t="s">
        <v>3196</v>
      </c>
      <c r="J738" t="s">
        <v>3197</v>
      </c>
      <c r="M738" t="s">
        <v>87</v>
      </c>
      <c r="N738" t="s">
        <v>2168</v>
      </c>
      <c r="P738" t="s">
        <v>3198</v>
      </c>
      <c r="Q738" t="s">
        <v>3199</v>
      </c>
      <c r="R738">
        <v>5</v>
      </c>
      <c r="S738">
        <v>16</v>
      </c>
    </row>
    <row r="739" spans="1:19" x14ac:dyDescent="0.35">
      <c r="A739">
        <v>4241</v>
      </c>
      <c r="B739" t="s">
        <v>1115</v>
      </c>
      <c r="C739" t="s">
        <v>42</v>
      </c>
      <c r="D739" t="s">
        <v>1116</v>
      </c>
      <c r="E739" t="e" cm="1">
        <f t="array" ref="E739">- BETAMETHASONE. DEXCHLORPHENIRAMINE MALEATE</f>
        <v>#NAME?</v>
      </c>
      <c r="F739" t="s">
        <v>1117</v>
      </c>
      <c r="H739" t="s">
        <v>269</v>
      </c>
      <c r="L739" t="s">
        <v>270</v>
      </c>
      <c r="M739" t="s">
        <v>271</v>
      </c>
      <c r="N739" t="s">
        <v>3200</v>
      </c>
      <c r="P739" t="s">
        <v>1119</v>
      </c>
      <c r="Q739" t="s">
        <v>3201</v>
      </c>
      <c r="R739">
        <v>5</v>
      </c>
      <c r="S739">
        <v>16</v>
      </c>
    </row>
    <row r="740" spans="1:19" x14ac:dyDescent="0.35">
      <c r="A740">
        <v>2660</v>
      </c>
      <c r="B740" t="s">
        <v>3202</v>
      </c>
      <c r="C740" t="s">
        <v>42</v>
      </c>
      <c r="D740" t="s">
        <v>3203</v>
      </c>
      <c r="E740" t="e" cm="1">
        <f t="array" ref="E740">- PARACETAMOL</f>
        <v>#NAME?</v>
      </c>
      <c r="F740" s="1">
        <v>12000</v>
      </c>
      <c r="G740" t="s">
        <v>3204</v>
      </c>
    </row>
    <row r="741" spans="1:19" x14ac:dyDescent="0.35">
      <c r="A741">
        <v>7982</v>
      </c>
      <c r="B741" t="s">
        <v>3205</v>
      </c>
      <c r="C741" t="s">
        <v>20</v>
      </c>
      <c r="D741" t="s">
        <v>3206</v>
      </c>
      <c r="E741" t="s">
        <v>3207</v>
      </c>
      <c r="F741" t="s">
        <v>3208</v>
      </c>
      <c r="J741" t="s">
        <v>3209</v>
      </c>
      <c r="M741" t="s">
        <v>2374</v>
      </c>
      <c r="N741" t="s">
        <v>3210</v>
      </c>
      <c r="P741" t="s">
        <v>3210</v>
      </c>
      <c r="Q741" t="s">
        <v>3211</v>
      </c>
      <c r="R741">
        <v>5</v>
      </c>
      <c r="S741">
        <v>16</v>
      </c>
    </row>
    <row r="742" spans="1:19" x14ac:dyDescent="0.35">
      <c r="A742">
        <v>7984</v>
      </c>
      <c r="B742" t="s">
        <v>3212</v>
      </c>
      <c r="C742" t="s">
        <v>20</v>
      </c>
      <c r="D742" t="s">
        <v>3213</v>
      </c>
      <c r="E742" t="s">
        <v>3214</v>
      </c>
      <c r="F742" t="s">
        <v>3215</v>
      </c>
      <c r="J742" t="s">
        <v>3216</v>
      </c>
      <c r="M742" t="s">
        <v>2374</v>
      </c>
      <c r="N742" t="s">
        <v>3217</v>
      </c>
      <c r="P742" t="s">
        <v>3218</v>
      </c>
      <c r="Q742" t="s">
        <v>3219</v>
      </c>
      <c r="R742">
        <v>5</v>
      </c>
      <c r="S742">
        <v>16</v>
      </c>
    </row>
    <row r="743" spans="1:19" x14ac:dyDescent="0.35">
      <c r="A743">
        <v>2659</v>
      </c>
      <c r="B743" t="s">
        <v>3202</v>
      </c>
      <c r="C743" t="s">
        <v>42</v>
      </c>
      <c r="D743" t="s">
        <v>3203</v>
      </c>
      <c r="E743" t="e" cm="1">
        <f t="array" ref="E743">- PARACETAMOL</f>
        <v>#NAME?</v>
      </c>
      <c r="F743" s="1">
        <v>12000</v>
      </c>
      <c r="G743" t="s">
        <v>3204</v>
      </c>
    </row>
    <row r="744" spans="1:19" x14ac:dyDescent="0.35">
      <c r="A744">
        <v>7994</v>
      </c>
      <c r="B744" t="s">
        <v>3220</v>
      </c>
      <c r="C744" t="s">
        <v>20</v>
      </c>
      <c r="D744" t="s">
        <v>3221</v>
      </c>
      <c r="E744" t="s">
        <v>3222</v>
      </c>
      <c r="F744" t="s">
        <v>3223</v>
      </c>
      <c r="J744" t="s">
        <v>3224</v>
      </c>
      <c r="M744" t="s">
        <v>2374</v>
      </c>
      <c r="N744" t="s">
        <v>3225</v>
      </c>
      <c r="P744" t="s">
        <v>3225</v>
      </c>
      <c r="Q744" t="s">
        <v>3226</v>
      </c>
      <c r="R744">
        <v>5</v>
      </c>
      <c r="S744">
        <v>16</v>
      </c>
    </row>
    <row r="745" spans="1:19" x14ac:dyDescent="0.35">
      <c r="A745">
        <v>7324</v>
      </c>
      <c r="B745" t="s">
        <v>3227</v>
      </c>
      <c r="C745" t="s">
        <v>42</v>
      </c>
      <c r="D745" t="s">
        <v>3228</v>
      </c>
      <c r="E745" t="e" cm="1">
        <f t="array" ref="E745">- DROSPIRENONE</f>
        <v>#NAME?</v>
      </c>
      <c r="F745" t="s">
        <v>3229</v>
      </c>
      <c r="G745" t="s">
        <v>3230</v>
      </c>
      <c r="H745" t="s">
        <v>3231</v>
      </c>
      <c r="I745" t="s">
        <v>3232</v>
      </c>
      <c r="J745" t="s">
        <v>3233</v>
      </c>
      <c r="K745" t="s">
        <v>3234</v>
      </c>
      <c r="L745" t="s">
        <v>3235</v>
      </c>
      <c r="M745" t="s">
        <v>46</v>
      </c>
      <c r="N745" t="s">
        <v>3236</v>
      </c>
      <c r="O745" t="s">
        <v>3237</v>
      </c>
      <c r="P745" t="s">
        <v>3238</v>
      </c>
      <c r="Q745" t="s">
        <v>3239</v>
      </c>
      <c r="R745">
        <v>5</v>
      </c>
      <c r="S745">
        <v>16</v>
      </c>
    </row>
    <row r="746" spans="1:19" x14ac:dyDescent="0.35">
      <c r="A746">
        <v>9763</v>
      </c>
      <c r="B746" t="s">
        <v>3240</v>
      </c>
      <c r="C746" t="s">
        <v>42</v>
      </c>
      <c r="D746" t="s">
        <v>3241</v>
      </c>
      <c r="E746" t="e" cm="1">
        <f t="array" ref="E746">- SIMVASTATIN</f>
        <v>#NAME?</v>
      </c>
      <c r="F746" t="s">
        <v>3242</v>
      </c>
      <c r="G746" t="s">
        <v>60</v>
      </c>
      <c r="H746" t="s">
        <v>3243</v>
      </c>
    </row>
    <row r="747" spans="1:19" x14ac:dyDescent="0.35">
      <c r="A747">
        <v>7871</v>
      </c>
      <c r="B747" t="s">
        <v>3244</v>
      </c>
      <c r="C747" t="s">
        <v>20</v>
      </c>
      <c r="D747" t="s">
        <v>3245</v>
      </c>
      <c r="E747" t="s">
        <v>3246</v>
      </c>
      <c r="F747" t="s">
        <v>3247</v>
      </c>
      <c r="J747" t="s">
        <v>1559</v>
      </c>
      <c r="M747" t="s">
        <v>38</v>
      </c>
      <c r="N747" t="s">
        <v>3248</v>
      </c>
      <c r="P747" t="s">
        <v>3249</v>
      </c>
      <c r="Q747" t="s">
        <v>3250</v>
      </c>
      <c r="R747">
        <v>5</v>
      </c>
      <c r="S747">
        <v>16</v>
      </c>
    </row>
    <row r="748" spans="1:19" x14ac:dyDescent="0.35">
      <c r="A748">
        <v>7995</v>
      </c>
      <c r="B748" t="s">
        <v>3251</v>
      </c>
      <c r="C748" t="s">
        <v>20</v>
      </c>
      <c r="D748" t="s">
        <v>3252</v>
      </c>
      <c r="E748" t="s">
        <v>3253</v>
      </c>
      <c r="F748" t="s">
        <v>3254</v>
      </c>
      <c r="J748" t="s">
        <v>3255</v>
      </c>
      <c r="M748" t="s">
        <v>2374</v>
      </c>
      <c r="N748" t="s">
        <v>3256</v>
      </c>
      <c r="P748" t="s">
        <v>3256</v>
      </c>
      <c r="Q748" t="s">
        <v>3257</v>
      </c>
      <c r="R748">
        <v>5</v>
      </c>
      <c r="S748">
        <v>16</v>
      </c>
    </row>
    <row r="749" spans="1:19" x14ac:dyDescent="0.35">
      <c r="A749">
        <v>7996</v>
      </c>
      <c r="B749" t="s">
        <v>3251</v>
      </c>
      <c r="C749" t="s">
        <v>20</v>
      </c>
      <c r="D749" t="s">
        <v>3252</v>
      </c>
      <c r="E749" t="s">
        <v>3253</v>
      </c>
      <c r="F749" t="s">
        <v>3254</v>
      </c>
      <c r="J749" t="s">
        <v>3255</v>
      </c>
      <c r="M749" t="s">
        <v>2374</v>
      </c>
      <c r="N749" t="s">
        <v>3256</v>
      </c>
      <c r="P749" t="s">
        <v>3256</v>
      </c>
      <c r="Q749" t="s">
        <v>3257</v>
      </c>
      <c r="R749">
        <v>5</v>
      </c>
      <c r="S749">
        <v>16</v>
      </c>
    </row>
    <row r="750" spans="1:19" x14ac:dyDescent="0.35">
      <c r="A750">
        <v>7999</v>
      </c>
      <c r="B750" t="s">
        <v>3258</v>
      </c>
      <c r="C750" t="s">
        <v>20</v>
      </c>
      <c r="D750" t="s">
        <v>3259</v>
      </c>
      <c r="E750" t="s">
        <v>3260</v>
      </c>
      <c r="F750" t="s">
        <v>3261</v>
      </c>
      <c r="J750" t="s">
        <v>3255</v>
      </c>
      <c r="M750" t="s">
        <v>2374</v>
      </c>
      <c r="N750" t="s">
        <v>3262</v>
      </c>
      <c r="P750" t="s">
        <v>3262</v>
      </c>
      <c r="Q750" t="s">
        <v>3263</v>
      </c>
      <c r="R750">
        <v>5</v>
      </c>
      <c r="S750">
        <v>16</v>
      </c>
    </row>
    <row r="751" spans="1:19" x14ac:dyDescent="0.35">
      <c r="A751">
        <v>7867</v>
      </c>
      <c r="B751" t="s">
        <v>3264</v>
      </c>
      <c r="C751" t="s">
        <v>20</v>
      </c>
      <c r="D751" t="s">
        <v>3265</v>
      </c>
      <c r="E751" t="s">
        <v>3266</v>
      </c>
      <c r="F751" t="s">
        <v>3267</v>
      </c>
      <c r="J751" t="s">
        <v>107</v>
      </c>
      <c r="M751" t="s">
        <v>38</v>
      </c>
      <c r="N751" t="s">
        <v>3268</v>
      </c>
      <c r="P751" t="s">
        <v>3268</v>
      </c>
      <c r="Q751" t="s">
        <v>3269</v>
      </c>
      <c r="R751">
        <v>5</v>
      </c>
      <c r="S751">
        <v>16</v>
      </c>
    </row>
    <row r="752" spans="1:19" x14ac:dyDescent="0.35">
      <c r="A752">
        <v>8000</v>
      </c>
      <c r="B752" t="s">
        <v>3258</v>
      </c>
      <c r="C752" t="s">
        <v>20</v>
      </c>
      <c r="D752" t="s">
        <v>3259</v>
      </c>
      <c r="E752" t="s">
        <v>3260</v>
      </c>
      <c r="F752" t="s">
        <v>3261</v>
      </c>
      <c r="J752" t="s">
        <v>3255</v>
      </c>
      <c r="M752" t="s">
        <v>2374</v>
      </c>
      <c r="N752" t="s">
        <v>3262</v>
      </c>
      <c r="P752" t="s">
        <v>3262</v>
      </c>
      <c r="Q752" t="s">
        <v>3263</v>
      </c>
      <c r="R752">
        <v>5</v>
      </c>
      <c r="S752">
        <v>16</v>
      </c>
    </row>
    <row r="753" spans="1:19" x14ac:dyDescent="0.35">
      <c r="A753">
        <v>7872</v>
      </c>
      <c r="B753" t="s">
        <v>3244</v>
      </c>
      <c r="C753" t="s">
        <v>20</v>
      </c>
      <c r="D753" t="s">
        <v>3270</v>
      </c>
      <c r="E753" t="s">
        <v>3246</v>
      </c>
      <c r="F753" t="s">
        <v>3271</v>
      </c>
      <c r="J753" t="s">
        <v>2353</v>
      </c>
      <c r="M753" t="s">
        <v>38</v>
      </c>
      <c r="N753" t="s">
        <v>3248</v>
      </c>
      <c r="P753" t="s">
        <v>3249</v>
      </c>
      <c r="Q753" t="s">
        <v>3250</v>
      </c>
      <c r="R753">
        <v>5</v>
      </c>
      <c r="S753">
        <v>16</v>
      </c>
    </row>
    <row r="754" spans="1:19" x14ac:dyDescent="0.35">
      <c r="A754">
        <v>7286</v>
      </c>
      <c r="B754" t="s">
        <v>3272</v>
      </c>
      <c r="C754" t="s">
        <v>850</v>
      </c>
      <c r="D754" t="s">
        <v>3273</v>
      </c>
      <c r="E754" t="e" cm="1">
        <f t="array" ref="E754">- Methyl Salicylate</f>
        <v>#NAME?</v>
      </c>
      <c r="F754" t="s">
        <v>3274</v>
      </c>
      <c r="J754" t="s">
        <v>3275</v>
      </c>
      <c r="M754" t="s">
        <v>2115</v>
      </c>
      <c r="N754" t="s">
        <v>3276</v>
      </c>
      <c r="P754" t="s">
        <v>3277</v>
      </c>
      <c r="Q754" t="s">
        <v>3278</v>
      </c>
      <c r="R754">
        <v>5</v>
      </c>
      <c r="S754">
        <v>16</v>
      </c>
    </row>
    <row r="755" spans="1:19" x14ac:dyDescent="0.35">
      <c r="A755">
        <v>9723</v>
      </c>
      <c r="B755" t="s">
        <v>3279</v>
      </c>
      <c r="C755" t="s">
        <v>42</v>
      </c>
      <c r="D755" t="s">
        <v>3280</v>
      </c>
      <c r="E755" t="e" cm="1">
        <f t="array" ref="E755">- PRAVASTATIN SODIUM</f>
        <v>#NAME?</v>
      </c>
      <c r="F755" t="s">
        <v>3281</v>
      </c>
      <c r="G755" t="s">
        <v>3282</v>
      </c>
      <c r="H755" t="s">
        <v>2643</v>
      </c>
      <c r="I755" t="s">
        <v>3283</v>
      </c>
      <c r="J755" t="s">
        <v>45</v>
      </c>
      <c r="K755" t="s">
        <v>3284</v>
      </c>
      <c r="L755" t="s">
        <v>3285</v>
      </c>
      <c r="M755" t="s">
        <v>46</v>
      </c>
      <c r="N755" t="s">
        <v>2396</v>
      </c>
      <c r="O755" t="s">
        <v>3286</v>
      </c>
      <c r="P755" t="s">
        <v>3287</v>
      </c>
      <c r="Q755" t="s">
        <v>3288</v>
      </c>
      <c r="R755">
        <v>5</v>
      </c>
      <c r="S755">
        <v>16</v>
      </c>
    </row>
    <row r="756" spans="1:19" x14ac:dyDescent="0.35">
      <c r="A756">
        <v>7280</v>
      </c>
      <c r="B756" t="s">
        <v>3289</v>
      </c>
      <c r="C756" t="s">
        <v>850</v>
      </c>
      <c r="D756" t="s">
        <v>3290</v>
      </c>
      <c r="E756" t="e" cm="1">
        <f t="array" ref="E756">- Camphor</f>
        <v>#NAME?</v>
      </c>
      <c r="F756" t="s">
        <v>3291</v>
      </c>
      <c r="J756" t="s">
        <v>3292</v>
      </c>
      <c r="M756" t="s">
        <v>2115</v>
      </c>
      <c r="N756" t="s">
        <v>853</v>
      </c>
      <c r="P756" t="s">
        <v>3293</v>
      </c>
      <c r="Q756" t="s">
        <v>3294</v>
      </c>
      <c r="R756">
        <v>5</v>
      </c>
      <c r="S756">
        <v>16</v>
      </c>
    </row>
    <row r="757" spans="1:19" x14ac:dyDescent="0.35">
      <c r="A757">
        <v>7268</v>
      </c>
      <c r="B757" t="s">
        <v>3295</v>
      </c>
      <c r="C757" t="s">
        <v>850</v>
      </c>
      <c r="D757" t="s">
        <v>3296</v>
      </c>
      <c r="E757" t="e" cm="1">
        <f t="array" ref="E757">- Methyl Salicylate</f>
        <v>#NAME?</v>
      </c>
      <c r="F757" t="s">
        <v>3297</v>
      </c>
      <c r="J757" t="s">
        <v>3298</v>
      </c>
      <c r="M757" t="s">
        <v>2115</v>
      </c>
      <c r="N757" t="s">
        <v>3276</v>
      </c>
      <c r="P757" t="s">
        <v>3299</v>
      </c>
      <c r="Q757" t="s">
        <v>3300</v>
      </c>
      <c r="R757">
        <v>5</v>
      </c>
      <c r="S757">
        <v>16</v>
      </c>
    </row>
    <row r="758" spans="1:19" x14ac:dyDescent="0.35">
      <c r="A758">
        <v>1413</v>
      </c>
      <c r="B758" t="s">
        <v>3301</v>
      </c>
      <c r="C758" t="s">
        <v>42</v>
      </c>
      <c r="D758" t="s">
        <v>3302</v>
      </c>
      <c r="E758" t="e" cm="1">
        <f t="array" ref="E758">- AMMONIUM CHLORIDE</f>
        <v>#NAME?</v>
      </c>
      <c r="F758" t="s">
        <v>3303</v>
      </c>
      <c r="M758" t="s">
        <v>271</v>
      </c>
      <c r="N758" t="s">
        <v>1672</v>
      </c>
      <c r="P758" t="s">
        <v>3304</v>
      </c>
      <c r="Q758" t="s">
        <v>3305</v>
      </c>
      <c r="R758">
        <v>5</v>
      </c>
      <c r="S758">
        <v>16</v>
      </c>
    </row>
    <row r="759" spans="1:19" x14ac:dyDescent="0.35">
      <c r="A759">
        <v>9722</v>
      </c>
      <c r="B759" t="s">
        <v>3279</v>
      </c>
      <c r="C759" t="s">
        <v>42</v>
      </c>
      <c r="D759" t="s">
        <v>3280</v>
      </c>
      <c r="E759" t="e" cm="1">
        <f t="array" ref="E759">- PRAVASTATIN SODIUM</f>
        <v>#NAME?</v>
      </c>
      <c r="F759" t="s">
        <v>3281</v>
      </c>
      <c r="G759" t="s">
        <v>3282</v>
      </c>
      <c r="H759" t="s">
        <v>2643</v>
      </c>
      <c r="I759" t="s">
        <v>3283</v>
      </c>
      <c r="J759" t="s">
        <v>45</v>
      </c>
      <c r="K759" t="s">
        <v>3284</v>
      </c>
      <c r="L759" t="s">
        <v>3285</v>
      </c>
      <c r="M759" t="s">
        <v>46</v>
      </c>
      <c r="N759" t="s">
        <v>2396</v>
      </c>
      <c r="O759" t="s">
        <v>3286</v>
      </c>
      <c r="P759" t="s">
        <v>3287</v>
      </c>
      <c r="Q759" t="s">
        <v>3288</v>
      </c>
      <c r="R759">
        <v>5</v>
      </c>
      <c r="S759">
        <v>16</v>
      </c>
    </row>
    <row r="760" spans="1:19" x14ac:dyDescent="0.35">
      <c r="A760">
        <v>1520</v>
      </c>
      <c r="B760" t="s">
        <v>3306</v>
      </c>
      <c r="C760" t="s">
        <v>42</v>
      </c>
      <c r="D760" t="s">
        <v>3307</v>
      </c>
      <c r="E760" t="e" cm="1">
        <f t="array" ref="E760">- AMMONIUM CHLORIDE</f>
        <v>#NAME?</v>
      </c>
      <c r="F760" t="s">
        <v>3308</v>
      </c>
      <c r="J760" t="s">
        <v>3309</v>
      </c>
      <c r="M760" t="s">
        <v>271</v>
      </c>
      <c r="N760" t="s">
        <v>1672</v>
      </c>
      <c r="P760" t="s">
        <v>3310</v>
      </c>
      <c r="Q760" t="s">
        <v>3311</v>
      </c>
      <c r="R760">
        <v>5</v>
      </c>
      <c r="S760">
        <v>16</v>
      </c>
    </row>
    <row r="761" spans="1:19" x14ac:dyDescent="0.35">
      <c r="A761">
        <v>2624</v>
      </c>
      <c r="B761" t="s">
        <v>2570</v>
      </c>
      <c r="C761" t="s">
        <v>42</v>
      </c>
      <c r="D761" t="s">
        <v>2571</v>
      </c>
      <c r="E761" t="e" cm="1">
        <f t="array" ref="E761">- CAFFEINE. PARACETAMOL</f>
        <v>#NAME?</v>
      </c>
      <c r="F761" t="s">
        <v>2572</v>
      </c>
      <c r="J761" t="s">
        <v>2573</v>
      </c>
      <c r="M761" t="s">
        <v>291</v>
      </c>
      <c r="N761" t="s">
        <v>3312</v>
      </c>
      <c r="P761" t="s">
        <v>2574</v>
      </c>
      <c r="Q761" t="s">
        <v>3313</v>
      </c>
      <c r="R761">
        <v>5</v>
      </c>
      <c r="S761">
        <v>16</v>
      </c>
    </row>
    <row r="762" spans="1:19" x14ac:dyDescent="0.35">
      <c r="A762">
        <v>1812</v>
      </c>
      <c r="B762" t="s">
        <v>3314</v>
      </c>
      <c r="C762" t="s">
        <v>850</v>
      </c>
      <c r="D762" t="s">
        <v>3315</v>
      </c>
      <c r="E762" t="e" cm="1">
        <f t="array" ref="E762">- Capsicum Extract</f>
        <v>#NAME?</v>
      </c>
      <c r="F762" t="s">
        <v>3316</v>
      </c>
      <c r="J762" t="s">
        <v>3317</v>
      </c>
      <c r="M762" t="s">
        <v>1289</v>
      </c>
      <c r="N762" t="s">
        <v>3318</v>
      </c>
      <c r="P762" t="s">
        <v>3319</v>
      </c>
      <c r="Q762" t="s">
        <v>3320</v>
      </c>
      <c r="R762">
        <v>5</v>
      </c>
      <c r="S762">
        <v>16</v>
      </c>
    </row>
    <row r="763" spans="1:19" x14ac:dyDescent="0.35">
      <c r="A763">
        <v>1811</v>
      </c>
      <c r="B763" t="s">
        <v>3314</v>
      </c>
      <c r="C763" t="s">
        <v>850</v>
      </c>
      <c r="D763" t="s">
        <v>3321</v>
      </c>
      <c r="E763" t="e" cm="1">
        <f t="array" ref="E763">- Capsicum Extract</f>
        <v>#NAME?</v>
      </c>
      <c r="F763" t="s">
        <v>3322</v>
      </c>
      <c r="J763" t="s">
        <v>1028</v>
      </c>
      <c r="M763" t="s">
        <v>1289</v>
      </c>
      <c r="N763" t="s">
        <v>3318</v>
      </c>
      <c r="P763" t="s">
        <v>3319</v>
      </c>
      <c r="Q763" t="s">
        <v>3320</v>
      </c>
      <c r="R763">
        <v>5</v>
      </c>
      <c r="S763">
        <v>16</v>
      </c>
    </row>
    <row r="764" spans="1:19" x14ac:dyDescent="0.35">
      <c r="A764">
        <v>1891</v>
      </c>
      <c r="B764" t="s">
        <v>3323</v>
      </c>
      <c r="C764" t="s">
        <v>42</v>
      </c>
      <c r="D764" t="s">
        <v>3324</v>
      </c>
      <c r="E764" t="e" cm="1">
        <f t="array" ref="E764">- BROMHEXINE HYDROCHLORIDE</f>
        <v>#NAME?</v>
      </c>
      <c r="F764" t="s">
        <v>3325</v>
      </c>
      <c r="J764" t="s">
        <v>3326</v>
      </c>
      <c r="M764" t="s">
        <v>271</v>
      </c>
      <c r="N764" t="s">
        <v>1342</v>
      </c>
      <c r="P764" t="s">
        <v>3327</v>
      </c>
      <c r="Q764" t="s">
        <v>3328</v>
      </c>
      <c r="R764">
        <v>5</v>
      </c>
      <c r="S764">
        <v>16</v>
      </c>
    </row>
    <row r="765" spans="1:19" x14ac:dyDescent="0.35">
      <c r="A765">
        <v>1460</v>
      </c>
      <c r="B765" t="s">
        <v>3329</v>
      </c>
      <c r="C765" t="s">
        <v>42</v>
      </c>
      <c r="D765" t="s">
        <v>3330</v>
      </c>
      <c r="E765" t="e" cm="1">
        <f t="array" ref="E765">- CHLORPHENAMINE MALEATE</f>
        <v>#NAME?</v>
      </c>
      <c r="F765" t="s">
        <v>3331</v>
      </c>
      <c r="J765" t="s">
        <v>1578</v>
      </c>
      <c r="M765" t="s">
        <v>46</v>
      </c>
      <c r="N765" t="s">
        <v>1354</v>
      </c>
      <c r="P765" t="s">
        <v>3332</v>
      </c>
      <c r="Q765" t="s">
        <v>3333</v>
      </c>
      <c r="R765">
        <v>5</v>
      </c>
      <c r="S765">
        <v>16</v>
      </c>
    </row>
    <row r="766" spans="1:19" x14ac:dyDescent="0.35">
      <c r="A766">
        <v>7235</v>
      </c>
      <c r="B766" t="s">
        <v>3334</v>
      </c>
      <c r="C766" t="s">
        <v>850</v>
      </c>
      <c r="D766" t="s">
        <v>3335</v>
      </c>
      <c r="E766" t="e" cm="1">
        <f t="array" ref="E766">- Lavender Oil</f>
        <v>#NAME?</v>
      </c>
      <c r="F766" t="s">
        <v>3336</v>
      </c>
      <c r="J766" t="s">
        <v>3337</v>
      </c>
      <c r="M766" t="s">
        <v>3338</v>
      </c>
      <c r="N766" t="s">
        <v>3339</v>
      </c>
      <c r="P766" t="s">
        <v>3340</v>
      </c>
      <c r="Q766" t="s">
        <v>3341</v>
      </c>
      <c r="R766">
        <v>5</v>
      </c>
      <c r="S766">
        <v>16</v>
      </c>
    </row>
    <row r="767" spans="1:19" x14ac:dyDescent="0.35">
      <c r="A767">
        <v>1461</v>
      </c>
      <c r="B767" t="s">
        <v>3329</v>
      </c>
      <c r="C767" t="s">
        <v>42</v>
      </c>
      <c r="D767" t="s">
        <v>3330</v>
      </c>
      <c r="E767" t="e" cm="1">
        <f t="array" ref="E767">- CHLORPHENAMINE MALEATE</f>
        <v>#NAME?</v>
      </c>
      <c r="F767" t="s">
        <v>3331</v>
      </c>
      <c r="J767" t="s">
        <v>1578</v>
      </c>
      <c r="M767" t="s">
        <v>46</v>
      </c>
      <c r="N767" t="s">
        <v>1354</v>
      </c>
      <c r="P767" t="s">
        <v>3332</v>
      </c>
      <c r="Q767" t="s">
        <v>3333</v>
      </c>
      <c r="R767">
        <v>5</v>
      </c>
      <c r="S767">
        <v>16</v>
      </c>
    </row>
    <row r="768" spans="1:19" x14ac:dyDescent="0.35">
      <c r="A768">
        <v>1516</v>
      </c>
      <c r="B768" t="s">
        <v>3342</v>
      </c>
      <c r="C768" t="s">
        <v>42</v>
      </c>
      <c r="D768" t="s">
        <v>3343</v>
      </c>
      <c r="E768" t="e" cm="1">
        <f t="array" ref="E768">- AMMONIUM CHLORIDE</f>
        <v>#NAME?</v>
      </c>
      <c r="F768" t="s">
        <v>3344</v>
      </c>
      <c r="J768" t="s">
        <v>614</v>
      </c>
      <c r="M768" t="s">
        <v>271</v>
      </c>
      <c r="N768" t="s">
        <v>1672</v>
      </c>
      <c r="P768" t="s">
        <v>3345</v>
      </c>
      <c r="Q768" t="s">
        <v>3346</v>
      </c>
      <c r="R768">
        <v>5</v>
      </c>
      <c r="S768">
        <v>16</v>
      </c>
    </row>
    <row r="769" spans="1:19" x14ac:dyDescent="0.35">
      <c r="A769">
        <v>7829</v>
      </c>
      <c r="B769" t="s">
        <v>3347</v>
      </c>
      <c r="C769" t="s">
        <v>20</v>
      </c>
      <c r="D769" t="s">
        <v>3348</v>
      </c>
      <c r="E769" t="s">
        <v>3349</v>
      </c>
      <c r="F769" t="s">
        <v>3350</v>
      </c>
      <c r="G769" t="s">
        <v>3351</v>
      </c>
      <c r="H769" t="s">
        <v>3352</v>
      </c>
      <c r="I769" t="s">
        <v>3353</v>
      </c>
      <c r="J769" t="s">
        <v>1136</v>
      </c>
      <c r="K769" t="s">
        <v>3354</v>
      </c>
      <c r="M769" t="s">
        <v>46</v>
      </c>
      <c r="N769" t="s">
        <v>3355</v>
      </c>
      <c r="O769" t="s">
        <v>3356</v>
      </c>
      <c r="P769" t="s">
        <v>3355</v>
      </c>
      <c r="Q769" t="s">
        <v>3357</v>
      </c>
      <c r="R769">
        <v>5</v>
      </c>
      <c r="S769">
        <v>16</v>
      </c>
    </row>
    <row r="770" spans="1:19" x14ac:dyDescent="0.35">
      <c r="A770">
        <v>466</v>
      </c>
      <c r="B770" t="s">
        <v>3358</v>
      </c>
      <c r="C770" t="s">
        <v>42</v>
      </c>
      <c r="D770" t="s">
        <v>3359</v>
      </c>
      <c r="E770" t="e" cm="1">
        <f t="array" ref="E770">- THEOPHYLLINE. EPHEDRINE HYDROCHLORIDE</f>
        <v>#NAME?</v>
      </c>
      <c r="F770" t="s">
        <v>3360</v>
      </c>
      <c r="M770" t="s">
        <v>46</v>
      </c>
      <c r="N770" t="s">
        <v>3361</v>
      </c>
      <c r="P770" t="s">
        <v>3362</v>
      </c>
      <c r="Q770" t="s">
        <v>3363</v>
      </c>
      <c r="R770">
        <v>5</v>
      </c>
      <c r="S770">
        <v>16</v>
      </c>
    </row>
    <row r="771" spans="1:19" x14ac:dyDescent="0.35">
      <c r="A771">
        <v>2679</v>
      </c>
      <c r="B771" t="s">
        <v>2432</v>
      </c>
      <c r="C771" t="s">
        <v>42</v>
      </c>
      <c r="D771" t="s">
        <v>2433</v>
      </c>
      <c r="E771" t="e" cm="1">
        <f t="array" ref="E771">- METAMIZOLE SODIUM MONOHYDRATE</f>
        <v>#NAME?</v>
      </c>
      <c r="F771" t="s">
        <v>2434</v>
      </c>
      <c r="J771" t="s">
        <v>727</v>
      </c>
      <c r="L771" t="s">
        <v>1308</v>
      </c>
      <c r="M771" t="s">
        <v>291</v>
      </c>
      <c r="N771" t="s">
        <v>3364</v>
      </c>
      <c r="P771" t="s">
        <v>2435</v>
      </c>
      <c r="Q771" t="s">
        <v>3365</v>
      </c>
      <c r="R771">
        <v>5</v>
      </c>
      <c r="S771">
        <v>16</v>
      </c>
    </row>
    <row r="772" spans="1:19" x14ac:dyDescent="0.35">
      <c r="A772">
        <v>7896</v>
      </c>
      <c r="B772" t="s">
        <v>3366</v>
      </c>
      <c r="C772" t="s">
        <v>20</v>
      </c>
      <c r="D772" t="s">
        <v>3367</v>
      </c>
      <c r="E772" t="s">
        <v>3368</v>
      </c>
      <c r="F772" t="s">
        <v>3369</v>
      </c>
      <c r="J772" t="s">
        <v>70</v>
      </c>
      <c r="M772" t="s">
        <v>38</v>
      </c>
      <c r="N772" t="s">
        <v>3370</v>
      </c>
      <c r="P772" t="s">
        <v>3371</v>
      </c>
      <c r="Q772" t="s">
        <v>3372</v>
      </c>
      <c r="R772">
        <v>5</v>
      </c>
      <c r="S772">
        <v>16</v>
      </c>
    </row>
    <row r="773" spans="1:19" x14ac:dyDescent="0.35">
      <c r="A773">
        <v>7549</v>
      </c>
      <c r="B773" t="s">
        <v>3373</v>
      </c>
      <c r="C773" t="s">
        <v>20</v>
      </c>
      <c r="D773" t="s">
        <v>3374</v>
      </c>
      <c r="E773" t="s">
        <v>3375</v>
      </c>
      <c r="F773" t="s">
        <v>3376</v>
      </c>
      <c r="J773" t="s">
        <v>3377</v>
      </c>
      <c r="M773" t="s">
        <v>63</v>
      </c>
      <c r="N773" t="s">
        <v>3378</v>
      </c>
      <c r="P773" t="s">
        <v>3378</v>
      </c>
      <c r="Q773" t="s">
        <v>3379</v>
      </c>
      <c r="R773">
        <v>5</v>
      </c>
      <c r="S773">
        <v>16</v>
      </c>
    </row>
    <row r="774" spans="1:19" x14ac:dyDescent="0.35">
      <c r="A774">
        <v>1496</v>
      </c>
      <c r="B774" t="s">
        <v>3380</v>
      </c>
      <c r="C774" t="s">
        <v>42</v>
      </c>
      <c r="D774" t="s">
        <v>3381</v>
      </c>
      <c r="E774" t="e" cm="1">
        <f t="array" ref="E774">- GUAIFENESIN</f>
        <v>#NAME?</v>
      </c>
      <c r="F774" t="s">
        <v>3382</v>
      </c>
      <c r="G774" t="s">
        <v>2241</v>
      </c>
      <c r="J774" t="s">
        <v>1144</v>
      </c>
      <c r="M774" t="s">
        <v>271</v>
      </c>
      <c r="N774" t="s">
        <v>361</v>
      </c>
      <c r="P774" t="s">
        <v>3383</v>
      </c>
      <c r="Q774" t="s">
        <v>3384</v>
      </c>
      <c r="R774">
        <v>5</v>
      </c>
      <c r="S774">
        <v>16</v>
      </c>
    </row>
    <row r="775" spans="1:19" x14ac:dyDescent="0.35">
      <c r="A775">
        <v>1497</v>
      </c>
      <c r="B775" t="s">
        <v>3380</v>
      </c>
      <c r="C775" t="s">
        <v>42</v>
      </c>
      <c r="D775" t="s">
        <v>3385</v>
      </c>
      <c r="E775" t="e" cm="1">
        <f t="array" ref="E775">- GUAIFENESIN</f>
        <v>#NAME?</v>
      </c>
      <c r="F775" t="s">
        <v>3386</v>
      </c>
      <c r="G775" t="s">
        <v>2241</v>
      </c>
      <c r="J775" t="s">
        <v>1144</v>
      </c>
      <c r="M775" t="s">
        <v>271</v>
      </c>
      <c r="N775" t="s">
        <v>361</v>
      </c>
      <c r="P775" t="s">
        <v>3383</v>
      </c>
      <c r="Q775" t="s">
        <v>3384</v>
      </c>
      <c r="R775">
        <v>5</v>
      </c>
      <c r="S775">
        <v>16</v>
      </c>
    </row>
    <row r="776" spans="1:19" x14ac:dyDescent="0.35">
      <c r="A776">
        <v>7900</v>
      </c>
      <c r="B776" t="s">
        <v>3387</v>
      </c>
      <c r="C776" t="s">
        <v>20</v>
      </c>
      <c r="D776" t="s">
        <v>3388</v>
      </c>
      <c r="E776" t="s">
        <v>3389</v>
      </c>
      <c r="F776" t="s">
        <v>3390</v>
      </c>
      <c r="H776" t="s">
        <v>3391</v>
      </c>
      <c r="I776" t="s">
        <v>3392</v>
      </c>
      <c r="J776" t="s">
        <v>3393</v>
      </c>
      <c r="L776" t="s">
        <v>3394</v>
      </c>
      <c r="M776" t="s">
        <v>38</v>
      </c>
      <c r="N776" t="s">
        <v>3395</v>
      </c>
      <c r="O776" t="s">
        <v>3396</v>
      </c>
      <c r="P776" t="s">
        <v>3395</v>
      </c>
      <c r="Q776" t="s">
        <v>3397</v>
      </c>
      <c r="R776">
        <v>5</v>
      </c>
      <c r="S776">
        <v>16</v>
      </c>
    </row>
    <row r="777" spans="1:19" x14ac:dyDescent="0.35">
      <c r="A777">
        <v>2702</v>
      </c>
      <c r="B777" t="s">
        <v>3398</v>
      </c>
      <c r="C777" t="s">
        <v>42</v>
      </c>
      <c r="D777" t="s">
        <v>3399</v>
      </c>
      <c r="E777" t="e" cm="1">
        <f t="array" ref="E777">- METAMIZOLE SODIUM ANHYDRATE</f>
        <v>#NAME?</v>
      </c>
      <c r="F777" t="s">
        <v>3400</v>
      </c>
      <c r="H777">
        <v>0</v>
      </c>
      <c r="J777" t="s">
        <v>381</v>
      </c>
      <c r="L777" t="s">
        <v>1308</v>
      </c>
      <c r="M777" t="s">
        <v>46</v>
      </c>
      <c r="N777" t="s">
        <v>3401</v>
      </c>
      <c r="P777" t="s">
        <v>2295</v>
      </c>
      <c r="Q777" t="s">
        <v>3402</v>
      </c>
      <c r="R777">
        <v>5</v>
      </c>
      <c r="S777">
        <v>16</v>
      </c>
    </row>
    <row r="778" spans="1:19" x14ac:dyDescent="0.35">
      <c r="A778">
        <v>7906</v>
      </c>
      <c r="B778" t="s">
        <v>3403</v>
      </c>
      <c r="C778" t="s">
        <v>20</v>
      </c>
      <c r="D778" t="s">
        <v>3404</v>
      </c>
      <c r="E778" t="s">
        <v>3405</v>
      </c>
      <c r="F778" t="s">
        <v>3406</v>
      </c>
      <c r="H778" t="s">
        <v>3407</v>
      </c>
      <c r="I778" t="s">
        <v>3408</v>
      </c>
      <c r="J778" t="s">
        <v>3409</v>
      </c>
      <c r="M778" t="s">
        <v>38</v>
      </c>
      <c r="N778" t="s">
        <v>3410</v>
      </c>
      <c r="O778" t="s">
        <v>3411</v>
      </c>
      <c r="P778" t="s">
        <v>3410</v>
      </c>
      <c r="Q778" t="s">
        <v>3412</v>
      </c>
      <c r="R778">
        <v>5</v>
      </c>
      <c r="S778">
        <v>16</v>
      </c>
    </row>
    <row r="779" spans="1:19" x14ac:dyDescent="0.35">
      <c r="A779">
        <v>7473</v>
      </c>
      <c r="B779" t="s">
        <v>3413</v>
      </c>
      <c r="C779" t="s">
        <v>20</v>
      </c>
      <c r="D779" t="s">
        <v>3414</v>
      </c>
      <c r="E779" t="s">
        <v>3415</v>
      </c>
      <c r="F779" t="s">
        <v>3416</v>
      </c>
      <c r="J779" t="s">
        <v>3409</v>
      </c>
      <c r="M779" t="s">
        <v>46</v>
      </c>
      <c r="N779" t="s">
        <v>3417</v>
      </c>
      <c r="P779" t="s">
        <v>3417</v>
      </c>
      <c r="Q779" t="s">
        <v>3418</v>
      </c>
      <c r="R779">
        <v>5</v>
      </c>
      <c r="S779">
        <v>16</v>
      </c>
    </row>
    <row r="780" spans="1:19" x14ac:dyDescent="0.35">
      <c r="A780">
        <v>589</v>
      </c>
      <c r="B780" t="s">
        <v>3419</v>
      </c>
      <c r="C780" t="s">
        <v>42</v>
      </c>
      <c r="D780" t="s">
        <v>3420</v>
      </c>
      <c r="E780" t="e" cm="1">
        <f t="array" ref="E780">- SALBUTAMOL SULFATE</f>
        <v>#NAME?</v>
      </c>
      <c r="F780" t="s">
        <v>3421</v>
      </c>
      <c r="J780" t="s">
        <v>3422</v>
      </c>
      <c r="L780" t="s">
        <v>2278</v>
      </c>
      <c r="M780" t="s">
        <v>3423</v>
      </c>
      <c r="N780" t="s">
        <v>3424</v>
      </c>
      <c r="P780" t="s">
        <v>3425</v>
      </c>
      <c r="Q780" t="s">
        <v>3426</v>
      </c>
      <c r="R780">
        <v>5</v>
      </c>
      <c r="S780">
        <v>16</v>
      </c>
    </row>
    <row r="781" spans="1:19" x14ac:dyDescent="0.35">
      <c r="A781">
        <v>7907</v>
      </c>
      <c r="B781" t="s">
        <v>3427</v>
      </c>
      <c r="C781" t="s">
        <v>20</v>
      </c>
      <c r="D781" t="s">
        <v>3428</v>
      </c>
      <c r="E781" t="s">
        <v>3429</v>
      </c>
      <c r="F781" t="s">
        <v>3430</v>
      </c>
      <c r="G781" t="s">
        <v>3431</v>
      </c>
      <c r="H781" t="s">
        <v>3432</v>
      </c>
      <c r="I781" t="s">
        <v>3392</v>
      </c>
      <c r="J781" t="s">
        <v>3433</v>
      </c>
      <c r="L781" t="s">
        <v>3434</v>
      </c>
      <c r="M781" t="s">
        <v>38</v>
      </c>
      <c r="N781" t="s">
        <v>3435</v>
      </c>
      <c r="O781" t="s">
        <v>3396</v>
      </c>
      <c r="P781" t="s">
        <v>3435</v>
      </c>
      <c r="Q781" t="s">
        <v>3436</v>
      </c>
      <c r="R781">
        <v>5</v>
      </c>
      <c r="S781">
        <v>16</v>
      </c>
    </row>
    <row r="782" spans="1:19" x14ac:dyDescent="0.35">
      <c r="A782">
        <v>7908</v>
      </c>
      <c r="B782" t="s">
        <v>3427</v>
      </c>
      <c r="C782" t="s">
        <v>20</v>
      </c>
      <c r="D782" t="s">
        <v>3428</v>
      </c>
      <c r="E782" t="s">
        <v>3429</v>
      </c>
      <c r="F782" t="s">
        <v>3430</v>
      </c>
      <c r="G782" t="s">
        <v>3431</v>
      </c>
      <c r="H782" t="s">
        <v>3432</v>
      </c>
      <c r="I782" t="s">
        <v>3392</v>
      </c>
      <c r="J782" t="s">
        <v>3433</v>
      </c>
      <c r="L782" t="s">
        <v>3434</v>
      </c>
      <c r="M782" t="s">
        <v>38</v>
      </c>
      <c r="N782" t="s">
        <v>3435</v>
      </c>
      <c r="O782" t="s">
        <v>3396</v>
      </c>
      <c r="P782" t="s">
        <v>3435</v>
      </c>
      <c r="Q782" t="s">
        <v>3436</v>
      </c>
      <c r="R782">
        <v>5</v>
      </c>
      <c r="S782">
        <v>16</v>
      </c>
    </row>
    <row r="783" spans="1:19" x14ac:dyDescent="0.35">
      <c r="A783">
        <v>2704</v>
      </c>
      <c r="B783" t="s">
        <v>2291</v>
      </c>
      <c r="C783" t="s">
        <v>42</v>
      </c>
      <c r="D783" t="s">
        <v>2292</v>
      </c>
      <c r="E783" t="e" cm="1">
        <f t="array" ref="E783">- METAMIZOLE SODIUM ANHYDRATE</f>
        <v>#NAME?</v>
      </c>
      <c r="F783" t="s">
        <v>2293</v>
      </c>
      <c r="J783" t="s">
        <v>334</v>
      </c>
      <c r="L783" t="s">
        <v>2278</v>
      </c>
      <c r="M783" t="s">
        <v>271</v>
      </c>
      <c r="N783" t="s">
        <v>3401</v>
      </c>
      <c r="P783" t="s">
        <v>2295</v>
      </c>
      <c r="Q783" t="s">
        <v>3437</v>
      </c>
      <c r="R783">
        <v>5</v>
      </c>
      <c r="S783">
        <v>16</v>
      </c>
    </row>
    <row r="784" spans="1:19" x14ac:dyDescent="0.35">
      <c r="A784">
        <v>4032</v>
      </c>
      <c r="B784" t="s">
        <v>3438</v>
      </c>
      <c r="C784" t="s">
        <v>42</v>
      </c>
      <c r="D784" t="s">
        <v>3439</v>
      </c>
      <c r="E784" t="e" cm="1">
        <f t="array" ref="E784">- LACTULOSE</f>
        <v>#NAME?</v>
      </c>
      <c r="F784" t="s">
        <v>3440</v>
      </c>
      <c r="G784" t="s">
        <v>2241</v>
      </c>
      <c r="H784" t="s">
        <v>3441</v>
      </c>
      <c r="I784" t="s">
        <v>3442</v>
      </c>
      <c r="J784" t="s">
        <v>3443</v>
      </c>
      <c r="K784" t="s">
        <v>3444</v>
      </c>
      <c r="L784" t="s">
        <v>3445</v>
      </c>
      <c r="M784" t="s">
        <v>271</v>
      </c>
      <c r="N784" t="s">
        <v>1156</v>
      </c>
      <c r="O784" t="s">
        <v>3446</v>
      </c>
      <c r="P784" t="s">
        <v>3447</v>
      </c>
      <c r="Q784" t="s">
        <v>3448</v>
      </c>
      <c r="R784">
        <v>5</v>
      </c>
      <c r="S784">
        <v>16</v>
      </c>
    </row>
    <row r="785" spans="1:19" x14ac:dyDescent="0.35">
      <c r="A785">
        <v>465</v>
      </c>
      <c r="B785" t="s">
        <v>3358</v>
      </c>
      <c r="C785" t="s">
        <v>42</v>
      </c>
      <c r="D785" t="s">
        <v>3359</v>
      </c>
      <c r="E785" t="e" cm="1">
        <f t="array" ref="E785">- THEOPHYLLINE. EPHEDRINE HYDROCHLORIDE</f>
        <v>#NAME?</v>
      </c>
      <c r="F785" t="s">
        <v>3360</v>
      </c>
      <c r="M785" t="s">
        <v>46</v>
      </c>
      <c r="N785" t="s">
        <v>3361</v>
      </c>
      <c r="P785" t="s">
        <v>3362</v>
      </c>
      <c r="Q785" t="s">
        <v>3363</v>
      </c>
      <c r="R785">
        <v>5</v>
      </c>
      <c r="S785">
        <v>16</v>
      </c>
    </row>
    <row r="786" spans="1:19" x14ac:dyDescent="0.35">
      <c r="A786">
        <v>595</v>
      </c>
      <c r="B786" t="s">
        <v>3449</v>
      </c>
      <c r="C786" t="s">
        <v>42</v>
      </c>
      <c r="D786" t="s">
        <v>3450</v>
      </c>
      <c r="E786" t="e" cm="1">
        <f t="array" ref="E786">- FLUTICASONE PROPIONATE</f>
        <v>#NAME?</v>
      </c>
      <c r="F786" t="s">
        <v>3451</v>
      </c>
      <c r="J786" t="s">
        <v>3452</v>
      </c>
      <c r="M786" t="s">
        <v>3453</v>
      </c>
      <c r="N786" t="s">
        <v>3454</v>
      </c>
      <c r="P786" t="s">
        <v>3455</v>
      </c>
      <c r="Q786" t="s">
        <v>3456</v>
      </c>
      <c r="R786">
        <v>5</v>
      </c>
      <c r="S786">
        <v>16</v>
      </c>
    </row>
    <row r="787" spans="1:19" x14ac:dyDescent="0.35">
      <c r="A787">
        <v>596</v>
      </c>
      <c r="B787" t="s">
        <v>3449</v>
      </c>
      <c r="C787" t="s">
        <v>42</v>
      </c>
      <c r="D787" t="s">
        <v>3450</v>
      </c>
      <c r="E787" t="e" cm="1">
        <f t="array" ref="E787">- FLUTICASONE PROPIONAT</f>
        <v>#NAME?</v>
      </c>
      <c r="F787" t="s">
        <v>3451</v>
      </c>
      <c r="J787" t="s">
        <v>3452</v>
      </c>
      <c r="M787" t="s">
        <v>3423</v>
      </c>
      <c r="N787" t="s">
        <v>3457</v>
      </c>
      <c r="P787" t="s">
        <v>3455</v>
      </c>
      <c r="Q787" t="s">
        <v>3458</v>
      </c>
      <c r="R787">
        <v>5</v>
      </c>
      <c r="S787">
        <v>16</v>
      </c>
    </row>
    <row r="788" spans="1:19" x14ac:dyDescent="0.35">
      <c r="A788">
        <v>599</v>
      </c>
      <c r="B788" t="s">
        <v>3459</v>
      </c>
      <c r="C788" t="s">
        <v>42</v>
      </c>
      <c r="D788" t="s">
        <v>3460</v>
      </c>
      <c r="E788" t="e" cm="1">
        <f t="array" ref="E788">- SALBUTAMOL</f>
        <v>#NAME?</v>
      </c>
      <c r="F788" s="1">
        <v>97700</v>
      </c>
      <c r="H788">
        <v>0</v>
      </c>
      <c r="J788" t="s">
        <v>3461</v>
      </c>
      <c r="L788" t="s">
        <v>3462</v>
      </c>
      <c r="M788" t="s">
        <v>3423</v>
      </c>
      <c r="N788" t="s">
        <v>3463</v>
      </c>
      <c r="P788" t="s">
        <v>3464</v>
      </c>
      <c r="Q788" t="s">
        <v>3465</v>
      </c>
      <c r="R788">
        <v>5</v>
      </c>
      <c r="S788">
        <v>16</v>
      </c>
    </row>
    <row r="789" spans="1:19" x14ac:dyDescent="0.35">
      <c r="A789">
        <v>4012</v>
      </c>
      <c r="B789" t="s">
        <v>3466</v>
      </c>
      <c r="C789" t="s">
        <v>20</v>
      </c>
      <c r="D789" t="s">
        <v>3467</v>
      </c>
      <c r="E789" t="s">
        <v>3468</v>
      </c>
      <c r="F789" t="s">
        <v>3469</v>
      </c>
      <c r="G789" t="s">
        <v>2241</v>
      </c>
      <c r="H789" t="s">
        <v>3470</v>
      </c>
      <c r="I789" t="s">
        <v>3471</v>
      </c>
      <c r="J789" t="s">
        <v>3472</v>
      </c>
      <c r="K789" t="s">
        <v>3473</v>
      </c>
      <c r="L789" t="s">
        <v>3474</v>
      </c>
      <c r="M789" t="s">
        <v>291</v>
      </c>
      <c r="N789" t="s">
        <v>3475</v>
      </c>
      <c r="O789" t="s">
        <v>3476</v>
      </c>
      <c r="P789" t="s">
        <v>3475</v>
      </c>
      <c r="Q789" t="s">
        <v>3477</v>
      </c>
      <c r="R789">
        <v>5</v>
      </c>
      <c r="S789">
        <v>16</v>
      </c>
    </row>
    <row r="790" spans="1:19" x14ac:dyDescent="0.35">
      <c r="A790">
        <v>564</v>
      </c>
      <c r="B790" t="s">
        <v>1675</v>
      </c>
      <c r="C790" t="s">
        <v>42</v>
      </c>
      <c r="D790" t="s">
        <v>1676</v>
      </c>
      <c r="E790" t="e" cm="1">
        <f t="array" ref="E790">- PROCATEROL HYDROCHLORIDE HEMIHYDRATE</f>
        <v>#NAME?</v>
      </c>
      <c r="F790" t="s">
        <v>1677</v>
      </c>
      <c r="J790" t="s">
        <v>334</v>
      </c>
      <c r="M790" t="s">
        <v>271</v>
      </c>
      <c r="N790" t="s">
        <v>3478</v>
      </c>
      <c r="P790" t="s">
        <v>1679</v>
      </c>
      <c r="Q790" t="s">
        <v>3479</v>
      </c>
      <c r="R790">
        <v>5</v>
      </c>
      <c r="S790">
        <v>16</v>
      </c>
    </row>
    <row r="791" spans="1:19" x14ac:dyDescent="0.35">
      <c r="A791">
        <v>7884</v>
      </c>
      <c r="B791" t="s">
        <v>3480</v>
      </c>
      <c r="C791" t="s">
        <v>20</v>
      </c>
      <c r="D791" t="s">
        <v>3481</v>
      </c>
      <c r="E791" t="s">
        <v>3482</v>
      </c>
      <c r="F791" s="1">
        <v>198000</v>
      </c>
      <c r="J791" t="s">
        <v>3483</v>
      </c>
      <c r="M791" t="s">
        <v>63</v>
      </c>
      <c r="N791" t="s">
        <v>3484</v>
      </c>
      <c r="P791" t="s">
        <v>3484</v>
      </c>
      <c r="Q791" t="s">
        <v>3485</v>
      </c>
      <c r="R791">
        <v>5</v>
      </c>
      <c r="S791">
        <v>16</v>
      </c>
    </row>
    <row r="792" spans="1:19" x14ac:dyDescent="0.35">
      <c r="A792">
        <v>4471</v>
      </c>
      <c r="B792" t="s">
        <v>3486</v>
      </c>
      <c r="C792" t="s">
        <v>42</v>
      </c>
      <c r="D792" t="s">
        <v>3487</v>
      </c>
      <c r="E792" t="e" cm="1">
        <f t="array" ref="E792">- CARMELLOSE</f>
        <v>#NAME?</v>
      </c>
      <c r="F792" s="1">
        <v>46000</v>
      </c>
      <c r="M792" t="s">
        <v>824</v>
      </c>
      <c r="N792" t="s">
        <v>3488</v>
      </c>
      <c r="P792" t="s">
        <v>3489</v>
      </c>
      <c r="Q792" t="s">
        <v>3490</v>
      </c>
      <c r="R792">
        <v>5</v>
      </c>
      <c r="S792">
        <v>16</v>
      </c>
    </row>
    <row r="793" spans="1:19" x14ac:dyDescent="0.35">
      <c r="A793">
        <v>4472</v>
      </c>
      <c r="B793" t="s">
        <v>3486</v>
      </c>
      <c r="C793" t="s">
        <v>42</v>
      </c>
      <c r="D793" t="s">
        <v>3487</v>
      </c>
      <c r="E793" t="e" cm="1">
        <f t="array" ref="E793">- CARMELLOSE</f>
        <v>#NAME?</v>
      </c>
      <c r="F793" s="1">
        <v>46000</v>
      </c>
      <c r="M793" t="s">
        <v>824</v>
      </c>
      <c r="N793" t="s">
        <v>3488</v>
      </c>
      <c r="P793" t="s">
        <v>3489</v>
      </c>
      <c r="Q793" t="s">
        <v>3490</v>
      </c>
      <c r="R793">
        <v>5</v>
      </c>
      <c r="S793">
        <v>16</v>
      </c>
    </row>
    <row r="794" spans="1:19" x14ac:dyDescent="0.35">
      <c r="A794">
        <v>4473</v>
      </c>
      <c r="B794" t="s">
        <v>3486</v>
      </c>
      <c r="C794" t="s">
        <v>42</v>
      </c>
      <c r="D794" t="s">
        <v>3487</v>
      </c>
      <c r="E794" t="e" cm="1">
        <f t="array" ref="E794">- CARMELLOSE</f>
        <v>#NAME?</v>
      </c>
      <c r="F794" s="1">
        <v>46000</v>
      </c>
      <c r="M794" t="s">
        <v>824</v>
      </c>
      <c r="N794" t="s">
        <v>3488</v>
      </c>
      <c r="P794" t="s">
        <v>3489</v>
      </c>
      <c r="Q794" t="s">
        <v>3490</v>
      </c>
      <c r="R794">
        <v>5</v>
      </c>
      <c r="S794">
        <v>16</v>
      </c>
    </row>
    <row r="795" spans="1:19" x14ac:dyDescent="0.35">
      <c r="A795">
        <v>9764</v>
      </c>
      <c r="B795" t="s">
        <v>3240</v>
      </c>
      <c r="C795" t="s">
        <v>42</v>
      </c>
      <c r="D795" t="s">
        <v>3241</v>
      </c>
      <c r="E795" t="e" cm="1">
        <f t="array" ref="E795">- SIMVASTATIN</f>
        <v>#NAME?</v>
      </c>
      <c r="F795" t="s">
        <v>3242</v>
      </c>
      <c r="G795" t="s">
        <v>60</v>
      </c>
      <c r="H795" t="s">
        <v>3243</v>
      </c>
    </row>
    <row r="796" spans="1:19" x14ac:dyDescent="0.35">
      <c r="A796">
        <v>7619</v>
      </c>
      <c r="B796" t="s">
        <v>3491</v>
      </c>
      <c r="C796" t="s">
        <v>20</v>
      </c>
      <c r="D796" t="s">
        <v>3492</v>
      </c>
      <c r="E796" t="s">
        <v>3493</v>
      </c>
      <c r="F796" s="1">
        <v>367900</v>
      </c>
      <c r="G796" t="s">
        <v>3494</v>
      </c>
      <c r="H796" t="s">
        <v>3495</v>
      </c>
      <c r="I796" t="s">
        <v>3408</v>
      </c>
      <c r="J796" t="s">
        <v>3496</v>
      </c>
      <c r="L796" t="s">
        <v>3497</v>
      </c>
      <c r="M796" t="s">
        <v>46</v>
      </c>
      <c r="N796" t="s">
        <v>3498</v>
      </c>
      <c r="O796" t="s">
        <v>3411</v>
      </c>
      <c r="P796" t="s">
        <v>3498</v>
      </c>
      <c r="Q796" t="s">
        <v>3499</v>
      </c>
      <c r="R796">
        <v>5</v>
      </c>
      <c r="S796">
        <v>16</v>
      </c>
    </row>
    <row r="797" spans="1:19" x14ac:dyDescent="0.35">
      <c r="A797">
        <v>4599</v>
      </c>
      <c r="B797" t="s">
        <v>3500</v>
      </c>
      <c r="C797" t="s">
        <v>42</v>
      </c>
      <c r="D797" t="s">
        <v>3501</v>
      </c>
      <c r="E797" t="s">
        <v>3502</v>
      </c>
      <c r="F797" t="s">
        <v>3503</v>
      </c>
      <c r="J797" t="s">
        <v>3504</v>
      </c>
      <c r="M797" t="s">
        <v>824</v>
      </c>
      <c r="N797" t="s">
        <v>3505</v>
      </c>
      <c r="P797" t="s">
        <v>3506</v>
      </c>
      <c r="Q797" t="s">
        <v>3507</v>
      </c>
      <c r="R797">
        <v>5</v>
      </c>
      <c r="S797">
        <v>16</v>
      </c>
    </row>
    <row r="798" spans="1:19" x14ac:dyDescent="0.35">
      <c r="A798">
        <v>4606</v>
      </c>
      <c r="B798" t="s">
        <v>3508</v>
      </c>
      <c r="C798" t="s">
        <v>42</v>
      </c>
      <c r="D798" t="s">
        <v>3509</v>
      </c>
      <c r="E798" t="e" cm="1">
        <f t="array" ref="E798">- TETRAHYDROZOLINE HYDROCHLORIDE</f>
        <v>#NAME?</v>
      </c>
      <c r="F798" t="s">
        <v>3510</v>
      </c>
      <c r="J798" t="s">
        <v>3511</v>
      </c>
      <c r="M798" t="s">
        <v>824</v>
      </c>
      <c r="N798" t="s">
        <v>3512</v>
      </c>
      <c r="P798" t="s">
        <v>3513</v>
      </c>
      <c r="Q798" t="s">
        <v>3514</v>
      </c>
      <c r="R798">
        <v>5</v>
      </c>
      <c r="S798">
        <v>16</v>
      </c>
    </row>
    <row r="799" spans="1:19" x14ac:dyDescent="0.35">
      <c r="A799">
        <v>4607</v>
      </c>
      <c r="B799" t="s">
        <v>3508</v>
      </c>
      <c r="C799" t="s">
        <v>42</v>
      </c>
      <c r="D799" t="s">
        <v>3509</v>
      </c>
      <c r="E799" t="e" cm="1">
        <f t="array" ref="E799">- TETRAHYDROZOLINE HYDROCHLORIDE</f>
        <v>#NAME?</v>
      </c>
      <c r="F799" t="s">
        <v>3510</v>
      </c>
      <c r="J799" t="s">
        <v>3511</v>
      </c>
      <c r="M799" t="s">
        <v>824</v>
      </c>
      <c r="N799" t="s">
        <v>3512</v>
      </c>
      <c r="P799" t="s">
        <v>3513</v>
      </c>
      <c r="Q799" t="s">
        <v>3514</v>
      </c>
      <c r="R799">
        <v>5</v>
      </c>
      <c r="S799">
        <v>16</v>
      </c>
    </row>
    <row r="800" spans="1:19" x14ac:dyDescent="0.35">
      <c r="A800">
        <v>7893</v>
      </c>
      <c r="B800" t="s">
        <v>3515</v>
      </c>
      <c r="C800" t="s">
        <v>20</v>
      </c>
      <c r="D800" t="s">
        <v>3516</v>
      </c>
      <c r="E800" t="s">
        <v>3517</v>
      </c>
      <c r="F800" t="s">
        <v>3518</v>
      </c>
      <c r="H800" t="s">
        <v>3519</v>
      </c>
      <c r="I800" t="s">
        <v>3392</v>
      </c>
      <c r="J800" t="s">
        <v>3520</v>
      </c>
      <c r="M800" t="s">
        <v>291</v>
      </c>
      <c r="N800" t="s">
        <v>3521</v>
      </c>
      <c r="O800" t="s">
        <v>3396</v>
      </c>
      <c r="P800" t="s">
        <v>3521</v>
      </c>
      <c r="Q800" t="s">
        <v>3522</v>
      </c>
      <c r="R800">
        <v>5</v>
      </c>
      <c r="S800">
        <v>16</v>
      </c>
    </row>
    <row r="801" spans="1:19" x14ac:dyDescent="0.35">
      <c r="A801">
        <v>4857</v>
      </c>
      <c r="B801" t="s">
        <v>3523</v>
      </c>
      <c r="C801" t="s">
        <v>42</v>
      </c>
      <c r="D801" t="s">
        <v>3524</v>
      </c>
      <c r="E801" t="e" cm="1">
        <f t="array" ref="E801">- CIPROFLOXACIN HYDROCHLORIDE</f>
        <v>#NAME?</v>
      </c>
      <c r="F801" s="1">
        <v>60100</v>
      </c>
      <c r="J801" t="s">
        <v>3525</v>
      </c>
      <c r="M801" t="s">
        <v>824</v>
      </c>
      <c r="N801" t="s">
        <v>1624</v>
      </c>
      <c r="P801" t="s">
        <v>3526</v>
      </c>
      <c r="Q801" t="s">
        <v>3527</v>
      </c>
      <c r="R801">
        <v>5</v>
      </c>
      <c r="S801">
        <v>16</v>
      </c>
    </row>
    <row r="802" spans="1:19" x14ac:dyDescent="0.35">
      <c r="A802">
        <v>1890</v>
      </c>
      <c r="B802" t="s">
        <v>3323</v>
      </c>
      <c r="C802" t="s">
        <v>42</v>
      </c>
      <c r="D802" t="s">
        <v>3324</v>
      </c>
      <c r="E802" t="e" cm="1">
        <f t="array" ref="E802">- BROMHEXINE HYDROCHLORIDE</f>
        <v>#NAME?</v>
      </c>
      <c r="F802" t="s">
        <v>3325</v>
      </c>
      <c r="J802" t="s">
        <v>3326</v>
      </c>
      <c r="M802" t="s">
        <v>271</v>
      </c>
      <c r="N802" t="s">
        <v>1342</v>
      </c>
      <c r="P802" t="s">
        <v>3327</v>
      </c>
      <c r="Q802" t="s">
        <v>3328</v>
      </c>
      <c r="R802">
        <v>5</v>
      </c>
      <c r="S802">
        <v>16</v>
      </c>
    </row>
    <row r="803" spans="1:19" x14ac:dyDescent="0.35">
      <c r="A803">
        <v>8212</v>
      </c>
      <c r="B803" t="s">
        <v>551</v>
      </c>
      <c r="C803" t="s">
        <v>42</v>
      </c>
      <c r="D803" t="s">
        <v>3528</v>
      </c>
      <c r="E803" t="e" cm="1">
        <f t="array" ref="E803">- POVIDONE-IODINE</f>
        <v>#NAME?</v>
      </c>
      <c r="F803" t="s">
        <v>3529</v>
      </c>
      <c r="G803" t="s">
        <v>3530</v>
      </c>
      <c r="H803" t="s">
        <v>1322</v>
      </c>
      <c r="J803" t="s">
        <v>3531</v>
      </c>
      <c r="M803" t="s">
        <v>554</v>
      </c>
      <c r="N803" t="s">
        <v>555</v>
      </c>
      <c r="P803" t="s">
        <v>3532</v>
      </c>
      <c r="Q803" t="s">
        <v>3533</v>
      </c>
      <c r="R803">
        <v>5</v>
      </c>
      <c r="S803">
        <v>16</v>
      </c>
    </row>
    <row r="804" spans="1:19" x14ac:dyDescent="0.35">
      <c r="A804">
        <v>4949</v>
      </c>
      <c r="B804" t="s">
        <v>3534</v>
      </c>
      <c r="C804" t="s">
        <v>42</v>
      </c>
      <c r="D804" t="s">
        <v>3535</v>
      </c>
      <c r="E804" t="e" cm="1">
        <f t="array" ref="E804">- FLUOCINOLONE ACETONIDE</f>
        <v>#NAME?</v>
      </c>
      <c r="F804" t="s">
        <v>3536</v>
      </c>
      <c r="J804" t="s">
        <v>1028</v>
      </c>
      <c r="M804" t="s">
        <v>1289</v>
      </c>
      <c r="N804" t="s">
        <v>2766</v>
      </c>
      <c r="P804" t="s">
        <v>3537</v>
      </c>
      <c r="Q804" t="s">
        <v>3538</v>
      </c>
      <c r="R804">
        <v>5</v>
      </c>
      <c r="S804">
        <v>16</v>
      </c>
    </row>
    <row r="805" spans="1:19" x14ac:dyDescent="0.35">
      <c r="A805">
        <v>9970</v>
      </c>
      <c r="B805" t="s">
        <v>3539</v>
      </c>
      <c r="C805" t="s">
        <v>42</v>
      </c>
      <c r="D805" t="s">
        <v>3540</v>
      </c>
      <c r="E805" t="e" cm="1">
        <f t="array" ref="E805">- ISOSORBIDE MONONITRATE</f>
        <v>#NAME?</v>
      </c>
      <c r="F805" t="s">
        <v>3541</v>
      </c>
      <c r="H805">
        <v>0</v>
      </c>
      <c r="J805" t="s">
        <v>3542</v>
      </c>
      <c r="M805" t="s">
        <v>46</v>
      </c>
      <c r="N805" t="s">
        <v>3543</v>
      </c>
      <c r="P805" t="s">
        <v>3544</v>
      </c>
      <c r="Q805" t="s">
        <v>3545</v>
      </c>
      <c r="R805">
        <v>5</v>
      </c>
      <c r="S805">
        <v>16</v>
      </c>
    </row>
    <row r="806" spans="1:19" x14ac:dyDescent="0.35">
      <c r="A806">
        <v>8213</v>
      </c>
      <c r="B806" t="s">
        <v>551</v>
      </c>
      <c r="C806" t="s">
        <v>42</v>
      </c>
      <c r="D806" t="s">
        <v>3528</v>
      </c>
      <c r="E806" t="e" cm="1">
        <f t="array" ref="E806">- POVIDONE-IODINE</f>
        <v>#NAME?</v>
      </c>
      <c r="F806" t="s">
        <v>3529</v>
      </c>
      <c r="G806" t="s">
        <v>3530</v>
      </c>
      <c r="H806" t="s">
        <v>1322</v>
      </c>
      <c r="J806" t="s">
        <v>3531</v>
      </c>
      <c r="M806" t="s">
        <v>554</v>
      </c>
      <c r="N806" t="s">
        <v>555</v>
      </c>
      <c r="P806" t="s">
        <v>3532</v>
      </c>
      <c r="Q806" t="s">
        <v>3533</v>
      </c>
      <c r="R806">
        <v>5</v>
      </c>
      <c r="S806">
        <v>16</v>
      </c>
    </row>
    <row r="807" spans="1:19" x14ac:dyDescent="0.35">
      <c r="A807">
        <v>3463</v>
      </c>
      <c r="B807" t="s">
        <v>2674</v>
      </c>
      <c r="C807" t="s">
        <v>42</v>
      </c>
      <c r="D807" t="s">
        <v>2675</v>
      </c>
      <c r="E807" t="e" cm="1">
        <f t="array" ref="E807">- SUCRALFATE</f>
        <v>#NAME?</v>
      </c>
      <c r="F807" t="s">
        <v>2676</v>
      </c>
      <c r="G807" t="s">
        <v>2677</v>
      </c>
      <c r="H807" t="s">
        <v>2678</v>
      </c>
      <c r="I807" t="s">
        <v>2679</v>
      </c>
      <c r="J807" t="s">
        <v>374</v>
      </c>
      <c r="K807" t="s">
        <v>2680</v>
      </c>
      <c r="L807" t="s">
        <v>2681</v>
      </c>
      <c r="M807" t="s">
        <v>340</v>
      </c>
      <c r="N807" t="s">
        <v>375</v>
      </c>
      <c r="O807" t="s">
        <v>2682</v>
      </c>
      <c r="P807" t="s">
        <v>2683</v>
      </c>
      <c r="Q807" t="s">
        <v>2684</v>
      </c>
      <c r="R807">
        <v>5</v>
      </c>
      <c r="S807">
        <v>16</v>
      </c>
    </row>
    <row r="808" spans="1:19" x14ac:dyDescent="0.35">
      <c r="A808">
        <v>3297</v>
      </c>
      <c r="B808" t="s">
        <v>3546</v>
      </c>
      <c r="C808" t="s">
        <v>42</v>
      </c>
      <c r="D808" t="s">
        <v>3547</v>
      </c>
      <c r="E808" t="e" cm="1">
        <f t="array" ref="E808">- ALUMINIUM HYDROXIDE</f>
        <v>#NAME?</v>
      </c>
      <c r="F808" t="s">
        <v>3548</v>
      </c>
      <c r="H808" t="s">
        <v>3549</v>
      </c>
      <c r="I808" t="s">
        <v>3550</v>
      </c>
      <c r="J808" t="s">
        <v>614</v>
      </c>
      <c r="M808" t="s">
        <v>340</v>
      </c>
      <c r="N808" t="s">
        <v>1771</v>
      </c>
      <c r="O808" t="s">
        <v>271</v>
      </c>
      <c r="P808" t="s">
        <v>3551</v>
      </c>
      <c r="Q808" t="s">
        <v>3552</v>
      </c>
      <c r="R808">
        <v>5</v>
      </c>
      <c r="S808">
        <v>16</v>
      </c>
    </row>
    <row r="809" spans="1:19" x14ac:dyDescent="0.35">
      <c r="A809">
        <v>1237</v>
      </c>
      <c r="B809" t="s">
        <v>3553</v>
      </c>
      <c r="C809" t="s">
        <v>42</v>
      </c>
      <c r="D809" t="s">
        <v>3554</v>
      </c>
      <c r="E809" t="e" cm="1">
        <f t="array" ref="E809">- BROMHEXINE HYDROCHLORIDE</f>
        <v>#NAME?</v>
      </c>
      <c r="F809" t="s">
        <v>3555</v>
      </c>
      <c r="J809" t="s">
        <v>334</v>
      </c>
      <c r="M809" t="s">
        <v>271</v>
      </c>
      <c r="N809" t="s">
        <v>1342</v>
      </c>
      <c r="P809" t="s">
        <v>3556</v>
      </c>
      <c r="Q809" t="s">
        <v>3557</v>
      </c>
      <c r="R809">
        <v>5</v>
      </c>
      <c r="S809">
        <v>16</v>
      </c>
    </row>
    <row r="810" spans="1:19" x14ac:dyDescent="0.35">
      <c r="A810">
        <v>1384</v>
      </c>
      <c r="B810" t="s">
        <v>358</v>
      </c>
      <c r="C810" t="s">
        <v>42</v>
      </c>
      <c r="D810" t="s">
        <v>359</v>
      </c>
      <c r="E810" t="e" cm="1">
        <f t="array" ref="E810">- PROMETHAZINE HYDROCHLORIDE. GUAIFENESIN</f>
        <v>#NAME?</v>
      </c>
      <c r="F810" t="s">
        <v>360</v>
      </c>
      <c r="J810" t="s">
        <v>334</v>
      </c>
      <c r="M810" t="s">
        <v>271</v>
      </c>
      <c r="N810" t="s">
        <v>3558</v>
      </c>
      <c r="P810" t="s">
        <v>362</v>
      </c>
      <c r="Q810" t="s">
        <v>3559</v>
      </c>
      <c r="R810">
        <v>5</v>
      </c>
      <c r="S810">
        <v>16</v>
      </c>
    </row>
    <row r="811" spans="1:19" x14ac:dyDescent="0.35">
      <c r="A811">
        <v>9286</v>
      </c>
      <c r="B811" t="s">
        <v>2731</v>
      </c>
      <c r="C811" t="s">
        <v>42</v>
      </c>
      <c r="D811" t="s">
        <v>2732</v>
      </c>
      <c r="E811" t="e" cm="1">
        <f t="array" ref="E811">- ENALAPRIL MALEATE</f>
        <v>#NAME?</v>
      </c>
      <c r="F811" t="s">
        <v>2733</v>
      </c>
      <c r="G811" t="s">
        <v>2734</v>
      </c>
      <c r="H811" t="s">
        <v>2735</v>
      </c>
      <c r="I811" t="s">
        <v>2736</v>
      </c>
      <c r="J811" t="s">
        <v>2737</v>
      </c>
      <c r="L811" t="s">
        <v>2738</v>
      </c>
      <c r="M811" t="s">
        <v>46</v>
      </c>
      <c r="N811" t="s">
        <v>2739</v>
      </c>
      <c r="O811" t="s">
        <v>2211</v>
      </c>
      <c r="P811" t="s">
        <v>2740</v>
      </c>
      <c r="Q811" t="s">
        <v>2741</v>
      </c>
      <c r="R811">
        <v>5</v>
      </c>
      <c r="S811">
        <v>16</v>
      </c>
    </row>
    <row r="812" spans="1:19" x14ac:dyDescent="0.35">
      <c r="A812">
        <v>4209</v>
      </c>
      <c r="B812" t="s">
        <v>3560</v>
      </c>
      <c r="C812" t="s">
        <v>42</v>
      </c>
      <c r="D812" t="s">
        <v>3561</v>
      </c>
      <c r="E812" t="e" cm="1">
        <f t="array" ref="E812">- FEXOFENADINE HYDROCHLORIDE</f>
        <v>#NAME?</v>
      </c>
      <c r="F812" t="s">
        <v>3562</v>
      </c>
      <c r="J812" t="s">
        <v>1093</v>
      </c>
      <c r="M812" t="s">
        <v>46</v>
      </c>
      <c r="N812" t="s">
        <v>3563</v>
      </c>
      <c r="P812" t="s">
        <v>3564</v>
      </c>
      <c r="Q812" t="s">
        <v>3565</v>
      </c>
      <c r="R812">
        <v>5</v>
      </c>
      <c r="S812">
        <v>16</v>
      </c>
    </row>
    <row r="813" spans="1:19" x14ac:dyDescent="0.35">
      <c r="A813">
        <v>5592</v>
      </c>
      <c r="B813" t="s">
        <v>2164</v>
      </c>
      <c r="C813" t="s">
        <v>42</v>
      </c>
      <c r="D813" t="s">
        <v>3195</v>
      </c>
      <c r="E813" t="e" cm="1">
        <f t="array" ref="E813">- HEPARIN SODIUM</f>
        <v>#NAME?</v>
      </c>
      <c r="F813" t="s">
        <v>3196</v>
      </c>
      <c r="J813" t="s">
        <v>3197</v>
      </c>
      <c r="M813" t="s">
        <v>87</v>
      </c>
      <c r="N813" t="s">
        <v>2168</v>
      </c>
      <c r="P813" t="s">
        <v>3198</v>
      </c>
      <c r="Q813" t="s">
        <v>3199</v>
      </c>
      <c r="R813">
        <v>5</v>
      </c>
      <c r="S813">
        <v>16</v>
      </c>
    </row>
    <row r="814" spans="1:19" x14ac:dyDescent="0.35">
      <c r="A814">
        <v>8246</v>
      </c>
      <c r="B814" t="s">
        <v>551</v>
      </c>
      <c r="C814" t="s">
        <v>42</v>
      </c>
      <c r="D814" t="s">
        <v>3566</v>
      </c>
      <c r="E814" t="e" cm="1">
        <f t="array" ref="E814">- POVIDONE-IODINE</f>
        <v>#NAME?</v>
      </c>
      <c r="F814" t="s">
        <v>3567</v>
      </c>
      <c r="J814" t="s">
        <v>3568</v>
      </c>
      <c r="M814" t="s">
        <v>554</v>
      </c>
      <c r="N814" t="s">
        <v>555</v>
      </c>
      <c r="P814" t="s">
        <v>3569</v>
      </c>
      <c r="Q814" t="s">
        <v>3570</v>
      </c>
      <c r="R814">
        <v>5</v>
      </c>
      <c r="S814">
        <v>16</v>
      </c>
    </row>
    <row r="815" spans="1:19" x14ac:dyDescent="0.35">
      <c r="A815">
        <v>1487</v>
      </c>
      <c r="B815" t="s">
        <v>3571</v>
      </c>
      <c r="C815" t="s">
        <v>42</v>
      </c>
      <c r="D815" t="s">
        <v>3572</v>
      </c>
      <c r="E815" t="e" cm="1">
        <f t="array" ref="E815">- AMMONIUM CHLORIDE</f>
        <v>#NAME?</v>
      </c>
      <c r="F815" t="s">
        <v>3573</v>
      </c>
      <c r="J815" t="s">
        <v>630</v>
      </c>
      <c r="M815" t="s">
        <v>271</v>
      </c>
      <c r="N815" t="s">
        <v>1672</v>
      </c>
      <c r="P815" t="s">
        <v>3574</v>
      </c>
      <c r="Q815" t="s">
        <v>3575</v>
      </c>
      <c r="R815">
        <v>5</v>
      </c>
      <c r="S815">
        <v>16</v>
      </c>
    </row>
    <row r="816" spans="1:19" x14ac:dyDescent="0.35">
      <c r="A816">
        <v>3888</v>
      </c>
      <c r="B816" t="s">
        <v>3576</v>
      </c>
      <c r="C816" t="s">
        <v>42</v>
      </c>
      <c r="D816" t="s">
        <v>3577</v>
      </c>
      <c r="E816" t="e" cm="1">
        <f t="array" ref="E816">- PYRANTEL PAMOATE</f>
        <v>#NAME?</v>
      </c>
      <c r="F816" s="1">
        <v>16600</v>
      </c>
      <c r="G816" t="s">
        <v>3578</v>
      </c>
      <c r="H816" t="s">
        <v>3579</v>
      </c>
    </row>
    <row r="817" spans="1:19" x14ac:dyDescent="0.35">
      <c r="A817">
        <v>3887</v>
      </c>
      <c r="B817" t="s">
        <v>3580</v>
      </c>
      <c r="C817" t="s">
        <v>42</v>
      </c>
      <c r="D817" t="s">
        <v>3581</v>
      </c>
      <c r="E817" t="e" cm="1">
        <f t="array" ref="E817">- PYRANTEL PAMOATE</f>
        <v>#NAME?</v>
      </c>
      <c r="F817" t="s">
        <v>3582</v>
      </c>
      <c r="G817" t="s">
        <v>3578</v>
      </c>
      <c r="H817" t="s">
        <v>3583</v>
      </c>
    </row>
    <row r="818" spans="1:19" x14ac:dyDescent="0.35">
      <c r="A818">
        <v>3886</v>
      </c>
      <c r="B818" t="s">
        <v>3580</v>
      </c>
      <c r="C818" t="s">
        <v>42</v>
      </c>
      <c r="D818" t="s">
        <v>3581</v>
      </c>
      <c r="E818" t="e" cm="1">
        <f t="array" ref="E818">- PYRANTEL PAMOATE</f>
        <v>#NAME?</v>
      </c>
      <c r="F818" t="s">
        <v>3582</v>
      </c>
      <c r="G818" t="s">
        <v>3578</v>
      </c>
      <c r="H818" t="s">
        <v>3583</v>
      </c>
    </row>
    <row r="819" spans="1:19" x14ac:dyDescent="0.35">
      <c r="A819">
        <v>5036</v>
      </c>
      <c r="B819" t="s">
        <v>3584</v>
      </c>
      <c r="C819" t="s">
        <v>42</v>
      </c>
      <c r="D819" t="s">
        <v>3585</v>
      </c>
      <c r="E819" t="e" cm="1">
        <f t="array" ref="E819">- CLOBETASOL PROPIONATE</f>
        <v>#NAME?</v>
      </c>
      <c r="F819" t="s">
        <v>3586</v>
      </c>
      <c r="J819" t="s">
        <v>3587</v>
      </c>
      <c r="M819" t="s">
        <v>1289</v>
      </c>
      <c r="N819" t="s">
        <v>3588</v>
      </c>
      <c r="P819" t="s">
        <v>3589</v>
      </c>
      <c r="Q819" t="s">
        <v>3590</v>
      </c>
      <c r="R819">
        <v>5</v>
      </c>
      <c r="S819">
        <v>16</v>
      </c>
    </row>
    <row r="820" spans="1:19" x14ac:dyDescent="0.35">
      <c r="A820">
        <v>8218</v>
      </c>
      <c r="B820" t="s">
        <v>551</v>
      </c>
      <c r="C820" t="s">
        <v>42</v>
      </c>
      <c r="D820" t="s">
        <v>3591</v>
      </c>
      <c r="E820" t="e" cm="1">
        <f t="array" ref="E820">- POVIDONE-IODINE</f>
        <v>#NAME?</v>
      </c>
      <c r="F820" t="s">
        <v>3592</v>
      </c>
      <c r="M820" t="s">
        <v>554</v>
      </c>
      <c r="N820" t="s">
        <v>555</v>
      </c>
      <c r="P820" t="s">
        <v>3593</v>
      </c>
      <c r="Q820" t="s">
        <v>3594</v>
      </c>
      <c r="R820">
        <v>5</v>
      </c>
      <c r="S820">
        <v>16</v>
      </c>
    </row>
    <row r="821" spans="1:19" x14ac:dyDescent="0.35">
      <c r="A821">
        <v>3387</v>
      </c>
      <c r="B821" t="s">
        <v>3595</v>
      </c>
      <c r="C821" t="s">
        <v>42</v>
      </c>
      <c r="D821" t="s">
        <v>3596</v>
      </c>
      <c r="E821" t="e" cm="1">
        <f t="array" ref="E821">- ALUMINIUM HYDROXIDE</f>
        <v>#NAME?</v>
      </c>
      <c r="F821" s="1">
        <v>4800</v>
      </c>
      <c r="J821" t="s">
        <v>3597</v>
      </c>
      <c r="M821" t="s">
        <v>291</v>
      </c>
      <c r="N821" t="s">
        <v>1771</v>
      </c>
      <c r="P821" t="s">
        <v>3598</v>
      </c>
      <c r="Q821" t="s">
        <v>3599</v>
      </c>
      <c r="R821">
        <v>5</v>
      </c>
      <c r="S821">
        <v>16</v>
      </c>
    </row>
    <row r="822" spans="1:19" x14ac:dyDescent="0.35">
      <c r="A822">
        <v>525</v>
      </c>
      <c r="B822" t="s">
        <v>3600</v>
      </c>
      <c r="C822" t="s">
        <v>42</v>
      </c>
      <c r="D822" t="s">
        <v>3601</v>
      </c>
      <c r="E822" t="e" cm="1">
        <f t="array" ref="E822">- THEOPHYLLINE. EPHEDRINE HYDROCHLORIDE</f>
        <v>#NAME?</v>
      </c>
      <c r="F822" t="s">
        <v>3602</v>
      </c>
      <c r="H822" t="s">
        <v>3603</v>
      </c>
      <c r="M822" t="s">
        <v>271</v>
      </c>
      <c r="N822" t="s">
        <v>3361</v>
      </c>
      <c r="P822" t="s">
        <v>3604</v>
      </c>
      <c r="Q822" t="s">
        <v>3605</v>
      </c>
      <c r="R822">
        <v>5</v>
      </c>
      <c r="S822">
        <v>16</v>
      </c>
    </row>
    <row r="823" spans="1:19" x14ac:dyDescent="0.35">
      <c r="A823">
        <v>524</v>
      </c>
      <c r="B823" t="s">
        <v>3600</v>
      </c>
      <c r="C823" t="s">
        <v>42</v>
      </c>
      <c r="D823" t="s">
        <v>3601</v>
      </c>
      <c r="E823" t="e" cm="1">
        <f t="array" ref="E823">- THEOPHYLLINE. EPHEDRINE HYDROCHLORIDE</f>
        <v>#NAME?</v>
      </c>
      <c r="F823" t="s">
        <v>3602</v>
      </c>
      <c r="H823" t="s">
        <v>3603</v>
      </c>
      <c r="M823" t="s">
        <v>271</v>
      </c>
      <c r="N823" t="s">
        <v>3361</v>
      </c>
      <c r="P823" t="s">
        <v>3604</v>
      </c>
      <c r="Q823" t="s">
        <v>3605</v>
      </c>
      <c r="R823">
        <v>5</v>
      </c>
      <c r="S823">
        <v>16</v>
      </c>
    </row>
    <row r="824" spans="1:19" x14ac:dyDescent="0.35">
      <c r="A824">
        <v>3863</v>
      </c>
      <c r="B824" t="s">
        <v>3606</v>
      </c>
      <c r="C824" t="s">
        <v>42</v>
      </c>
      <c r="D824" t="s">
        <v>3607</v>
      </c>
      <c r="E824" t="e" cm="1">
        <f t="array" ref="E824">- ZINC SULFATE MONOHYDRATE</f>
        <v>#NAME?</v>
      </c>
      <c r="F824" t="s">
        <v>3608</v>
      </c>
      <c r="M824" t="s">
        <v>271</v>
      </c>
      <c r="N824" t="s">
        <v>2750</v>
      </c>
      <c r="P824" t="s">
        <v>3609</v>
      </c>
      <c r="Q824" t="s">
        <v>3610</v>
      </c>
      <c r="R824">
        <v>5</v>
      </c>
      <c r="S824">
        <v>16</v>
      </c>
    </row>
    <row r="825" spans="1:19" x14ac:dyDescent="0.35">
      <c r="A825">
        <v>8211</v>
      </c>
      <c r="B825" t="s">
        <v>551</v>
      </c>
      <c r="C825" t="s">
        <v>42</v>
      </c>
      <c r="D825" t="s">
        <v>3611</v>
      </c>
      <c r="E825" t="e" cm="1">
        <f t="array" ref="E825">- POVIDONE-IODINE</f>
        <v>#NAME?</v>
      </c>
      <c r="F825" t="s">
        <v>3612</v>
      </c>
      <c r="J825" t="s">
        <v>3613</v>
      </c>
      <c r="M825" t="s">
        <v>554</v>
      </c>
      <c r="N825" t="s">
        <v>555</v>
      </c>
      <c r="P825" t="s">
        <v>3614</v>
      </c>
      <c r="Q825" t="s">
        <v>3615</v>
      </c>
      <c r="R825">
        <v>5</v>
      </c>
      <c r="S825">
        <v>16</v>
      </c>
    </row>
    <row r="826" spans="1:19" x14ac:dyDescent="0.35">
      <c r="A826">
        <v>8210</v>
      </c>
      <c r="B826" t="s">
        <v>551</v>
      </c>
      <c r="C826" t="s">
        <v>42</v>
      </c>
      <c r="D826" t="s">
        <v>3611</v>
      </c>
      <c r="E826" t="e" cm="1">
        <f t="array" ref="E826">- POVIDONE-IODINE</f>
        <v>#NAME?</v>
      </c>
      <c r="F826" t="s">
        <v>3612</v>
      </c>
      <c r="J826" t="s">
        <v>3613</v>
      </c>
      <c r="M826" t="s">
        <v>554</v>
      </c>
      <c r="N826" t="s">
        <v>555</v>
      </c>
      <c r="P826" t="s">
        <v>3614</v>
      </c>
      <c r="Q826" t="s">
        <v>3615</v>
      </c>
      <c r="R826">
        <v>5</v>
      </c>
      <c r="S826">
        <v>16</v>
      </c>
    </row>
    <row r="827" spans="1:19" x14ac:dyDescent="0.35">
      <c r="A827">
        <v>4218</v>
      </c>
      <c r="B827" t="s">
        <v>3616</v>
      </c>
      <c r="C827" t="s">
        <v>42</v>
      </c>
      <c r="D827" t="s">
        <v>3617</v>
      </c>
      <c r="E827" t="e" cm="1">
        <f t="array" ref="E827">- LEVOCETIRIZINE HYDROCHLORIDE</f>
        <v>#NAME?</v>
      </c>
      <c r="F827" t="s">
        <v>3618</v>
      </c>
      <c r="J827" t="s">
        <v>599</v>
      </c>
      <c r="M827" t="s">
        <v>46</v>
      </c>
      <c r="N827" t="s">
        <v>3619</v>
      </c>
      <c r="P827" t="s">
        <v>3620</v>
      </c>
      <c r="Q827" t="s">
        <v>3621</v>
      </c>
      <c r="R827">
        <v>5</v>
      </c>
      <c r="S827">
        <v>16</v>
      </c>
    </row>
    <row r="828" spans="1:19" x14ac:dyDescent="0.35">
      <c r="A828">
        <v>3464</v>
      </c>
      <c r="B828" t="s">
        <v>2674</v>
      </c>
      <c r="C828" t="s">
        <v>42</v>
      </c>
      <c r="D828" t="s">
        <v>2675</v>
      </c>
      <c r="E828" t="e" cm="1">
        <f t="array" ref="E828">- SUCRALFATE</f>
        <v>#NAME?</v>
      </c>
      <c r="F828" t="s">
        <v>2676</v>
      </c>
      <c r="G828" t="s">
        <v>2677</v>
      </c>
      <c r="H828" t="s">
        <v>2678</v>
      </c>
      <c r="I828" t="s">
        <v>2679</v>
      </c>
      <c r="J828" t="s">
        <v>374</v>
      </c>
      <c r="K828" t="s">
        <v>2680</v>
      </c>
      <c r="L828" t="s">
        <v>2681</v>
      </c>
      <c r="M828" t="s">
        <v>340</v>
      </c>
      <c r="N828" t="s">
        <v>375</v>
      </c>
      <c r="O828" t="s">
        <v>2682</v>
      </c>
      <c r="P828" t="s">
        <v>2683</v>
      </c>
      <c r="Q828" t="s">
        <v>2684</v>
      </c>
      <c r="R828">
        <v>5</v>
      </c>
      <c r="S828">
        <v>16</v>
      </c>
    </row>
    <row r="829" spans="1:19" x14ac:dyDescent="0.35">
      <c r="A829">
        <v>3861</v>
      </c>
      <c r="B829" t="s">
        <v>3606</v>
      </c>
      <c r="C829" t="s">
        <v>42</v>
      </c>
      <c r="D829" t="s">
        <v>3607</v>
      </c>
      <c r="E829" t="e" cm="1">
        <f t="array" ref="E829">- ZINC SULFATE MONOHYDRATE</f>
        <v>#NAME?</v>
      </c>
      <c r="F829" t="s">
        <v>3608</v>
      </c>
      <c r="M829" t="s">
        <v>271</v>
      </c>
      <c r="N829" t="s">
        <v>2750</v>
      </c>
      <c r="P829" t="s">
        <v>3609</v>
      </c>
      <c r="Q829" t="s">
        <v>3610</v>
      </c>
      <c r="R829">
        <v>5</v>
      </c>
      <c r="S829">
        <v>16</v>
      </c>
    </row>
    <row r="830" spans="1:19" x14ac:dyDescent="0.35">
      <c r="A830">
        <v>3862</v>
      </c>
      <c r="B830" t="s">
        <v>3606</v>
      </c>
      <c r="C830" t="s">
        <v>42</v>
      </c>
      <c r="D830" t="s">
        <v>3607</v>
      </c>
      <c r="E830" t="e" cm="1">
        <f t="array" ref="E830">- ZINC SULFATE MONOHYDRATE</f>
        <v>#NAME?</v>
      </c>
      <c r="F830" t="s">
        <v>3608</v>
      </c>
      <c r="M830" t="s">
        <v>271</v>
      </c>
      <c r="N830" t="s">
        <v>2750</v>
      </c>
      <c r="P830" t="s">
        <v>3609</v>
      </c>
      <c r="Q830" t="s">
        <v>3610</v>
      </c>
      <c r="R830">
        <v>5</v>
      </c>
      <c r="S830">
        <v>16</v>
      </c>
    </row>
    <row r="831" spans="1:19" x14ac:dyDescent="0.35">
      <c r="A831">
        <v>4887</v>
      </c>
      <c r="B831" t="s">
        <v>3622</v>
      </c>
      <c r="C831" t="s">
        <v>42</v>
      </c>
      <c r="D831" t="s">
        <v>3623</v>
      </c>
      <c r="E831" t="e" cm="1">
        <f t="array" ref="E831">- TAFLUPROST</f>
        <v>#NAME?</v>
      </c>
      <c r="F831" s="1">
        <v>429800</v>
      </c>
      <c r="J831" t="s">
        <v>3624</v>
      </c>
      <c r="M831" t="s">
        <v>824</v>
      </c>
      <c r="N831" t="s">
        <v>3625</v>
      </c>
      <c r="P831" t="s">
        <v>3626</v>
      </c>
      <c r="Q831" t="s">
        <v>3627</v>
      </c>
      <c r="R831">
        <v>5</v>
      </c>
      <c r="S831">
        <v>16</v>
      </c>
    </row>
    <row r="832" spans="1:19" x14ac:dyDescent="0.35">
      <c r="A832">
        <v>4888</v>
      </c>
      <c r="B832" t="s">
        <v>3622</v>
      </c>
      <c r="C832" t="s">
        <v>42</v>
      </c>
      <c r="D832" t="s">
        <v>3623</v>
      </c>
      <c r="E832" t="e" cm="1">
        <f t="array" ref="E832">- TAFLUPROST</f>
        <v>#NAME?</v>
      </c>
      <c r="F832" s="1">
        <v>429800</v>
      </c>
      <c r="J832" t="s">
        <v>3624</v>
      </c>
      <c r="M832" t="s">
        <v>824</v>
      </c>
      <c r="N832" t="s">
        <v>3625</v>
      </c>
      <c r="P832" t="s">
        <v>3626</v>
      </c>
      <c r="Q832" t="s">
        <v>3627</v>
      </c>
      <c r="R832">
        <v>5</v>
      </c>
      <c r="S832">
        <v>16</v>
      </c>
    </row>
    <row r="833" spans="1:19" x14ac:dyDescent="0.35">
      <c r="A833">
        <v>4889</v>
      </c>
      <c r="B833" t="s">
        <v>3622</v>
      </c>
      <c r="C833" t="s">
        <v>42</v>
      </c>
      <c r="D833" t="s">
        <v>3623</v>
      </c>
      <c r="E833" t="e" cm="1">
        <f t="array" ref="E833">- TAFLUPROST</f>
        <v>#NAME?</v>
      </c>
      <c r="F833" s="1">
        <v>429800</v>
      </c>
      <c r="J833" t="s">
        <v>3624</v>
      </c>
      <c r="M833" t="s">
        <v>824</v>
      </c>
      <c r="N833" t="s">
        <v>3625</v>
      </c>
      <c r="P833" t="s">
        <v>3626</v>
      </c>
      <c r="Q833" t="s">
        <v>3627</v>
      </c>
      <c r="R833">
        <v>5</v>
      </c>
      <c r="S833">
        <v>16</v>
      </c>
    </row>
    <row r="834" spans="1:19" x14ac:dyDescent="0.35">
      <c r="A834">
        <v>7197</v>
      </c>
      <c r="B834" t="s">
        <v>3628</v>
      </c>
      <c r="C834" t="s">
        <v>850</v>
      </c>
      <c r="D834" t="s">
        <v>3629</v>
      </c>
      <c r="E834" t="e" cm="1">
        <f t="array" ref="E834">- Camphora</f>
        <v>#NAME?</v>
      </c>
      <c r="F834" t="s">
        <v>3630</v>
      </c>
      <c r="J834" t="s">
        <v>3631</v>
      </c>
      <c r="M834" t="s">
        <v>3632</v>
      </c>
      <c r="N834" t="s">
        <v>3633</v>
      </c>
      <c r="P834" t="s">
        <v>3634</v>
      </c>
      <c r="Q834" t="s">
        <v>3635</v>
      </c>
      <c r="R834">
        <v>5</v>
      </c>
      <c r="S834">
        <v>16</v>
      </c>
    </row>
    <row r="835" spans="1:19" x14ac:dyDescent="0.35">
      <c r="A835">
        <v>6763</v>
      </c>
      <c r="B835" t="s">
        <v>3636</v>
      </c>
      <c r="C835" t="s">
        <v>42</v>
      </c>
      <c r="D835" t="s">
        <v>3637</v>
      </c>
      <c r="E835" t="e" cm="1">
        <f t="array" ref="E835">- FEBUXOSTAT</f>
        <v>#NAME?</v>
      </c>
      <c r="F835" t="s">
        <v>3638</v>
      </c>
      <c r="G835" t="s">
        <v>3639</v>
      </c>
      <c r="H835" t="s">
        <v>3640</v>
      </c>
      <c r="I835" t="s">
        <v>3641</v>
      </c>
      <c r="J835" t="s">
        <v>2100</v>
      </c>
      <c r="M835" t="s">
        <v>46</v>
      </c>
      <c r="N835" t="s">
        <v>3642</v>
      </c>
      <c r="O835" t="s">
        <v>3643</v>
      </c>
      <c r="P835" t="s">
        <v>3642</v>
      </c>
      <c r="Q835" t="s">
        <v>3644</v>
      </c>
      <c r="R835">
        <v>5</v>
      </c>
      <c r="S835">
        <v>16</v>
      </c>
    </row>
    <row r="836" spans="1:19" x14ac:dyDescent="0.35">
      <c r="A836">
        <v>3895</v>
      </c>
      <c r="B836" t="s">
        <v>3645</v>
      </c>
      <c r="C836" t="s">
        <v>42</v>
      </c>
      <c r="D836" t="s">
        <v>3646</v>
      </c>
      <c r="E836" t="e" cm="1">
        <f t="array" ref="E836">- PYRANTEL PAMOATE</f>
        <v>#NAME?</v>
      </c>
      <c r="F836" t="s">
        <v>3647</v>
      </c>
      <c r="G836" t="s">
        <v>3578</v>
      </c>
      <c r="H836" t="s">
        <v>3648</v>
      </c>
    </row>
    <row r="837" spans="1:19" x14ac:dyDescent="0.35">
      <c r="A837">
        <v>7717</v>
      </c>
      <c r="B837" t="s">
        <v>3649</v>
      </c>
      <c r="C837" t="s">
        <v>42</v>
      </c>
      <c r="D837" t="s">
        <v>3650</v>
      </c>
      <c r="E837" t="e" cm="1">
        <f t="array" ref="E837">- ADENOSINE TRIPHOSPHATE</f>
        <v>#NAME?</v>
      </c>
      <c r="F837" t="s">
        <v>3651</v>
      </c>
      <c r="H837" t="s">
        <v>269</v>
      </c>
      <c r="L837" t="s">
        <v>270</v>
      </c>
      <c r="M837" t="s">
        <v>46</v>
      </c>
      <c r="N837" t="s">
        <v>3652</v>
      </c>
      <c r="P837" t="s">
        <v>3653</v>
      </c>
      <c r="Q837" t="s">
        <v>3654</v>
      </c>
      <c r="R837">
        <v>5</v>
      </c>
      <c r="S837">
        <v>16</v>
      </c>
    </row>
    <row r="838" spans="1:19" x14ac:dyDescent="0.35">
      <c r="A838">
        <v>3864</v>
      </c>
      <c r="B838" t="s">
        <v>3606</v>
      </c>
      <c r="C838" t="s">
        <v>42</v>
      </c>
      <c r="D838" t="s">
        <v>3607</v>
      </c>
      <c r="E838" t="e" cm="1">
        <f t="array" ref="E838">- ZINC SULFATE MONOHYDRATE</f>
        <v>#NAME?</v>
      </c>
      <c r="F838" t="s">
        <v>3608</v>
      </c>
      <c r="M838" t="s">
        <v>271</v>
      </c>
      <c r="N838" t="s">
        <v>2750</v>
      </c>
      <c r="P838" t="s">
        <v>3609</v>
      </c>
      <c r="Q838" t="s">
        <v>3610</v>
      </c>
      <c r="R838">
        <v>5</v>
      </c>
      <c r="S838">
        <v>16</v>
      </c>
    </row>
    <row r="839" spans="1:19" x14ac:dyDescent="0.35">
      <c r="A839">
        <v>5035</v>
      </c>
      <c r="B839" t="s">
        <v>3584</v>
      </c>
      <c r="C839" t="s">
        <v>42</v>
      </c>
      <c r="D839" t="s">
        <v>3585</v>
      </c>
      <c r="E839" t="e" cm="1">
        <f t="array" ref="E839">- CLOBETASOL PROPIONATE</f>
        <v>#NAME?</v>
      </c>
      <c r="F839" t="s">
        <v>3586</v>
      </c>
      <c r="J839" t="s">
        <v>3587</v>
      </c>
      <c r="M839" t="s">
        <v>1289</v>
      </c>
      <c r="N839" t="s">
        <v>3588</v>
      </c>
      <c r="P839" t="s">
        <v>3589</v>
      </c>
      <c r="Q839" t="s">
        <v>3590</v>
      </c>
      <c r="R839">
        <v>5</v>
      </c>
      <c r="S839">
        <v>16</v>
      </c>
    </row>
    <row r="840" spans="1:19" x14ac:dyDescent="0.35">
      <c r="A840">
        <v>8219</v>
      </c>
      <c r="B840" t="s">
        <v>551</v>
      </c>
      <c r="C840" t="s">
        <v>42</v>
      </c>
      <c r="D840" t="s">
        <v>3591</v>
      </c>
      <c r="E840" t="e" cm="1">
        <f t="array" ref="E840">- POVIDONE-IODINE</f>
        <v>#NAME?</v>
      </c>
      <c r="F840" t="s">
        <v>3592</v>
      </c>
      <c r="M840" t="s">
        <v>554</v>
      </c>
      <c r="N840" t="s">
        <v>555</v>
      </c>
      <c r="P840" t="s">
        <v>3593</v>
      </c>
      <c r="Q840" t="s">
        <v>3594</v>
      </c>
      <c r="R840">
        <v>5</v>
      </c>
      <c r="S840">
        <v>16</v>
      </c>
    </row>
    <row r="841" spans="1:19" x14ac:dyDescent="0.35">
      <c r="A841">
        <v>2623</v>
      </c>
      <c r="B841" t="s">
        <v>2570</v>
      </c>
      <c r="C841" t="s">
        <v>42</v>
      </c>
      <c r="D841" t="s">
        <v>2571</v>
      </c>
      <c r="E841" t="e" cm="1">
        <f t="array" ref="E841">- PARACETAMOL. CAFFEINE</f>
        <v>#NAME?</v>
      </c>
      <c r="F841" t="s">
        <v>2572</v>
      </c>
      <c r="J841" t="s">
        <v>2573</v>
      </c>
      <c r="M841" t="s">
        <v>291</v>
      </c>
      <c r="N841" t="s">
        <v>3655</v>
      </c>
      <c r="P841" t="s">
        <v>2574</v>
      </c>
      <c r="Q841" t="s">
        <v>3656</v>
      </c>
      <c r="R841">
        <v>5</v>
      </c>
      <c r="S841">
        <v>16</v>
      </c>
    </row>
    <row r="842" spans="1:19" x14ac:dyDescent="0.35">
      <c r="A842">
        <v>7153</v>
      </c>
      <c r="B842" t="s">
        <v>3657</v>
      </c>
      <c r="C842" t="s">
        <v>20</v>
      </c>
      <c r="D842" t="s">
        <v>3658</v>
      </c>
      <c r="E842" t="s">
        <v>3659</v>
      </c>
      <c r="F842" t="s">
        <v>3660</v>
      </c>
      <c r="J842" t="s">
        <v>70</v>
      </c>
      <c r="M842" t="s">
        <v>38</v>
      </c>
      <c r="N842" t="s">
        <v>3661</v>
      </c>
      <c r="P842" t="s">
        <v>3662</v>
      </c>
      <c r="Q842" t="s">
        <v>3663</v>
      </c>
      <c r="R842">
        <v>5</v>
      </c>
      <c r="S842">
        <v>16</v>
      </c>
    </row>
    <row r="843" spans="1:19" x14ac:dyDescent="0.35">
      <c r="A843">
        <v>3894</v>
      </c>
      <c r="B843" t="s">
        <v>3645</v>
      </c>
      <c r="C843" t="s">
        <v>42</v>
      </c>
      <c r="D843" t="s">
        <v>3646</v>
      </c>
      <c r="E843" t="e" cm="1">
        <f t="array" ref="E843">- PYRANTEL PAMOATE</f>
        <v>#NAME?</v>
      </c>
      <c r="F843" t="s">
        <v>3647</v>
      </c>
      <c r="G843" t="s">
        <v>3578</v>
      </c>
      <c r="H843" t="s">
        <v>3648</v>
      </c>
    </row>
    <row r="844" spans="1:19" x14ac:dyDescent="0.35">
      <c r="A844">
        <v>3893</v>
      </c>
      <c r="B844" t="s">
        <v>3645</v>
      </c>
      <c r="C844" t="s">
        <v>42</v>
      </c>
      <c r="D844" t="s">
        <v>3646</v>
      </c>
      <c r="E844" t="e" cm="1">
        <f t="array" ref="E844">- PYRANTEL PAMOATE</f>
        <v>#NAME?</v>
      </c>
      <c r="F844" t="s">
        <v>3647</v>
      </c>
      <c r="G844" t="s">
        <v>3578</v>
      </c>
      <c r="H844" t="s">
        <v>3648</v>
      </c>
    </row>
    <row r="845" spans="1:19" x14ac:dyDescent="0.35">
      <c r="A845">
        <v>1398</v>
      </c>
      <c r="B845" t="s">
        <v>3664</v>
      </c>
      <c r="C845" t="s">
        <v>42</v>
      </c>
      <c r="D845" t="s">
        <v>3665</v>
      </c>
      <c r="E845" t="e" cm="1">
        <f t="array" ref="E845">- CHLORPHENAMINE MALEATE</f>
        <v>#NAME?</v>
      </c>
      <c r="F845" t="s">
        <v>565</v>
      </c>
      <c r="J845" t="s">
        <v>3666</v>
      </c>
      <c r="M845" t="s">
        <v>291</v>
      </c>
      <c r="N845" t="s">
        <v>1354</v>
      </c>
      <c r="P845" t="s">
        <v>3667</v>
      </c>
      <c r="Q845" t="s">
        <v>3668</v>
      </c>
      <c r="R845">
        <v>5</v>
      </c>
      <c r="S845">
        <v>16</v>
      </c>
    </row>
    <row r="846" spans="1:19" x14ac:dyDescent="0.35">
      <c r="A846">
        <v>2023</v>
      </c>
      <c r="B846" t="s">
        <v>3669</v>
      </c>
      <c r="C846" t="s">
        <v>20</v>
      </c>
      <c r="D846" t="s">
        <v>3670</v>
      </c>
      <c r="E846" t="s">
        <v>3671</v>
      </c>
      <c r="F846" t="s">
        <v>3672</v>
      </c>
      <c r="I846" t="s">
        <v>3673</v>
      </c>
      <c r="J846" t="s">
        <v>846</v>
      </c>
      <c r="M846" t="s">
        <v>271</v>
      </c>
      <c r="N846" t="s">
        <v>3674</v>
      </c>
      <c r="O846" t="s">
        <v>3675</v>
      </c>
      <c r="P846" t="s">
        <v>3674</v>
      </c>
      <c r="Q846" t="s">
        <v>3676</v>
      </c>
      <c r="R846">
        <v>5</v>
      </c>
      <c r="S846">
        <v>16</v>
      </c>
    </row>
    <row r="847" spans="1:19" x14ac:dyDescent="0.35">
      <c r="A847">
        <v>1186</v>
      </c>
      <c r="B847" t="s">
        <v>3677</v>
      </c>
      <c r="C847" t="s">
        <v>42</v>
      </c>
      <c r="D847" t="s">
        <v>3678</v>
      </c>
      <c r="E847" t="e" cm="1">
        <f t="array" ref="E847">- CHLORPHENAMINE MALEATE</f>
        <v>#NAME?</v>
      </c>
      <c r="F847" s="1">
        <v>4300</v>
      </c>
      <c r="J847" t="s">
        <v>540</v>
      </c>
      <c r="M847" t="s">
        <v>291</v>
      </c>
      <c r="N847" t="s">
        <v>1354</v>
      </c>
      <c r="P847" t="s">
        <v>3679</v>
      </c>
      <c r="Q847" t="s">
        <v>3680</v>
      </c>
      <c r="R847">
        <v>5</v>
      </c>
      <c r="S847">
        <v>16</v>
      </c>
    </row>
    <row r="848" spans="1:19" x14ac:dyDescent="0.35">
      <c r="A848">
        <v>2025</v>
      </c>
      <c r="B848" t="s">
        <v>3669</v>
      </c>
      <c r="C848" t="s">
        <v>20</v>
      </c>
      <c r="D848" t="s">
        <v>3670</v>
      </c>
      <c r="E848" t="s">
        <v>3671</v>
      </c>
      <c r="F848" t="s">
        <v>3672</v>
      </c>
      <c r="I848" t="s">
        <v>3673</v>
      </c>
      <c r="J848" t="s">
        <v>846</v>
      </c>
      <c r="M848" t="s">
        <v>271</v>
      </c>
      <c r="N848" t="s">
        <v>3674</v>
      </c>
      <c r="O848" t="s">
        <v>3675</v>
      </c>
      <c r="P848" t="s">
        <v>3674</v>
      </c>
      <c r="Q848" t="s">
        <v>3676</v>
      </c>
      <c r="R848">
        <v>5</v>
      </c>
      <c r="S848">
        <v>16</v>
      </c>
    </row>
    <row r="849" spans="1:19" x14ac:dyDescent="0.35">
      <c r="A849">
        <v>1396</v>
      </c>
      <c r="B849" t="s">
        <v>3681</v>
      </c>
      <c r="C849" t="s">
        <v>42</v>
      </c>
      <c r="D849" t="s">
        <v>3682</v>
      </c>
      <c r="E849" t="e" cm="1">
        <f t="array" ref="E849">- AMMONIUM CHLORIDE</f>
        <v>#NAME?</v>
      </c>
      <c r="F849" t="s">
        <v>3683</v>
      </c>
      <c r="J849" t="s">
        <v>334</v>
      </c>
      <c r="M849" t="s">
        <v>271</v>
      </c>
      <c r="N849" t="s">
        <v>1672</v>
      </c>
      <c r="P849" t="s">
        <v>3684</v>
      </c>
      <c r="Q849" t="s">
        <v>3685</v>
      </c>
      <c r="R849">
        <v>5</v>
      </c>
      <c r="S849">
        <v>16</v>
      </c>
    </row>
    <row r="850" spans="1:19" x14ac:dyDescent="0.35">
      <c r="A850">
        <v>8247</v>
      </c>
      <c r="B850" t="s">
        <v>551</v>
      </c>
      <c r="C850" t="s">
        <v>42</v>
      </c>
      <c r="D850" t="s">
        <v>3566</v>
      </c>
      <c r="E850" t="e" cm="1">
        <f t="array" ref="E850">- POVIDONE-IODINE</f>
        <v>#NAME?</v>
      </c>
      <c r="F850" t="s">
        <v>3567</v>
      </c>
      <c r="J850" t="s">
        <v>3568</v>
      </c>
      <c r="M850" t="s">
        <v>554</v>
      </c>
      <c r="N850" t="s">
        <v>555</v>
      </c>
      <c r="P850" t="s">
        <v>3569</v>
      </c>
      <c r="Q850" t="s">
        <v>3570</v>
      </c>
      <c r="R850">
        <v>5</v>
      </c>
      <c r="S850">
        <v>16</v>
      </c>
    </row>
    <row r="851" spans="1:19" x14ac:dyDescent="0.35">
      <c r="A851">
        <v>3461</v>
      </c>
      <c r="B851" t="s">
        <v>3686</v>
      </c>
      <c r="C851" t="s">
        <v>42</v>
      </c>
      <c r="D851" t="s">
        <v>3687</v>
      </c>
      <c r="E851" t="e" cm="1">
        <f t="array" ref="E851">- SUCRALFATE</f>
        <v>#NAME?</v>
      </c>
      <c r="F851" t="s">
        <v>3688</v>
      </c>
      <c r="G851" t="s">
        <v>2677</v>
      </c>
      <c r="H851" t="s">
        <v>3689</v>
      </c>
      <c r="I851" t="s">
        <v>3690</v>
      </c>
      <c r="J851" t="s">
        <v>381</v>
      </c>
      <c r="K851" t="s">
        <v>2680</v>
      </c>
      <c r="L851" t="s">
        <v>3691</v>
      </c>
      <c r="M851" t="s">
        <v>46</v>
      </c>
      <c r="N851" t="s">
        <v>375</v>
      </c>
      <c r="O851" t="s">
        <v>2682</v>
      </c>
      <c r="P851" t="s">
        <v>2683</v>
      </c>
      <c r="Q851" t="s">
        <v>3692</v>
      </c>
      <c r="R851">
        <v>5</v>
      </c>
      <c r="S851">
        <v>16</v>
      </c>
    </row>
    <row r="852" spans="1:19" x14ac:dyDescent="0.35">
      <c r="A852">
        <v>4036</v>
      </c>
      <c r="B852" t="s">
        <v>1127</v>
      </c>
      <c r="C852" t="s">
        <v>42</v>
      </c>
      <c r="D852" t="s">
        <v>1128</v>
      </c>
      <c r="E852" t="e" cm="1">
        <f t="array" ref="E852">- SODIUM LAURYL SULFATE. GLYCEROL</f>
        <v>#NAME?</v>
      </c>
      <c r="F852" t="s">
        <v>1129</v>
      </c>
      <c r="M852" t="s">
        <v>720</v>
      </c>
      <c r="N852" t="s">
        <v>3693</v>
      </c>
      <c r="P852" t="s">
        <v>1131</v>
      </c>
      <c r="Q852" t="s">
        <v>3694</v>
      </c>
      <c r="R852">
        <v>6</v>
      </c>
      <c r="S852">
        <v>16</v>
      </c>
    </row>
    <row r="853" spans="1:19" x14ac:dyDescent="0.35">
      <c r="A853">
        <v>4230</v>
      </c>
      <c r="B853" t="s">
        <v>3695</v>
      </c>
      <c r="C853" t="s">
        <v>42</v>
      </c>
      <c r="D853" t="s">
        <v>3696</v>
      </c>
      <c r="E853" t="e" cm="1">
        <f t="array" ref="E853">- LEVOCETIRIZINE HYDROCHLORIDE</f>
        <v>#NAME?</v>
      </c>
      <c r="F853" t="s">
        <v>3697</v>
      </c>
      <c r="G853" t="s">
        <v>3698</v>
      </c>
      <c r="H853" t="s">
        <v>3699</v>
      </c>
      <c r="I853" t="s">
        <v>3700</v>
      </c>
      <c r="J853" t="s">
        <v>3701</v>
      </c>
      <c r="K853" t="s">
        <v>3702</v>
      </c>
      <c r="L853" t="s">
        <v>3703</v>
      </c>
      <c r="M853" t="s">
        <v>46</v>
      </c>
      <c r="N853" t="s">
        <v>3619</v>
      </c>
      <c r="O853" t="s">
        <v>3704</v>
      </c>
      <c r="P853" t="s">
        <v>3705</v>
      </c>
      <c r="Q853" t="s">
        <v>3706</v>
      </c>
      <c r="R853">
        <v>6</v>
      </c>
      <c r="S853">
        <v>16</v>
      </c>
    </row>
    <row r="854" spans="1:19" x14ac:dyDescent="0.35">
      <c r="A854">
        <v>4031</v>
      </c>
      <c r="B854" t="s">
        <v>3438</v>
      </c>
      <c r="C854" t="s">
        <v>42</v>
      </c>
      <c r="D854" t="s">
        <v>3439</v>
      </c>
      <c r="E854" t="e" cm="1">
        <f t="array" ref="E854">- LACTULOSE SOLUTION</f>
        <v>#NAME?</v>
      </c>
      <c r="F854" t="s">
        <v>3440</v>
      </c>
      <c r="G854" t="s">
        <v>2241</v>
      </c>
      <c r="H854" t="s">
        <v>3441</v>
      </c>
      <c r="I854" t="s">
        <v>3442</v>
      </c>
      <c r="J854" t="s">
        <v>3443</v>
      </c>
      <c r="K854" t="s">
        <v>3444</v>
      </c>
      <c r="L854" t="s">
        <v>3445</v>
      </c>
      <c r="M854" t="s">
        <v>271</v>
      </c>
      <c r="N854" t="s">
        <v>3707</v>
      </c>
      <c r="O854" t="s">
        <v>3446</v>
      </c>
      <c r="P854" t="s">
        <v>3447</v>
      </c>
      <c r="Q854" t="s">
        <v>3708</v>
      </c>
      <c r="R854">
        <v>6</v>
      </c>
      <c r="S854">
        <v>16</v>
      </c>
    </row>
    <row r="855" spans="1:19" x14ac:dyDescent="0.35">
      <c r="A855">
        <v>9195</v>
      </c>
      <c r="B855" t="s">
        <v>3709</v>
      </c>
      <c r="C855" t="s">
        <v>42</v>
      </c>
      <c r="D855" t="s">
        <v>3710</v>
      </c>
      <c r="E855" t="e" cm="1">
        <f t="array" ref="E855">- VERAPAMIL HYDROCHLORIDE</f>
        <v>#NAME?</v>
      </c>
      <c r="F855" t="s">
        <v>3711</v>
      </c>
      <c r="G855" t="s">
        <v>3712</v>
      </c>
      <c r="H855" t="s">
        <v>3713</v>
      </c>
      <c r="I855" t="s">
        <v>2736</v>
      </c>
      <c r="J855" t="s">
        <v>2694</v>
      </c>
      <c r="K855" t="s">
        <v>3714</v>
      </c>
      <c r="L855" t="s">
        <v>3715</v>
      </c>
      <c r="M855" t="s">
        <v>291</v>
      </c>
      <c r="N855" t="s">
        <v>3716</v>
      </c>
      <c r="O855" t="s">
        <v>2211</v>
      </c>
      <c r="P855" t="s">
        <v>3717</v>
      </c>
      <c r="Q855" t="s">
        <v>3718</v>
      </c>
      <c r="R855">
        <v>6</v>
      </c>
      <c r="S855">
        <v>16</v>
      </c>
    </row>
    <row r="856" spans="1:19" x14ac:dyDescent="0.35">
      <c r="A856">
        <v>9194</v>
      </c>
      <c r="B856" t="s">
        <v>3709</v>
      </c>
      <c r="C856" t="s">
        <v>42</v>
      </c>
      <c r="D856" t="s">
        <v>3710</v>
      </c>
      <c r="E856" t="e" cm="1">
        <f t="array" ref="E856">- VERAPAMIL HYDROCHLORIDE</f>
        <v>#NAME?</v>
      </c>
      <c r="F856" t="s">
        <v>3711</v>
      </c>
      <c r="G856" t="s">
        <v>3712</v>
      </c>
      <c r="H856" t="s">
        <v>3713</v>
      </c>
      <c r="I856" t="s">
        <v>2736</v>
      </c>
      <c r="J856" t="s">
        <v>2694</v>
      </c>
      <c r="K856" t="s">
        <v>3714</v>
      </c>
      <c r="L856" t="s">
        <v>3715</v>
      </c>
      <c r="M856" t="s">
        <v>291</v>
      </c>
      <c r="N856" t="s">
        <v>3716</v>
      </c>
      <c r="O856" t="s">
        <v>2211</v>
      </c>
      <c r="P856" t="s">
        <v>3717</v>
      </c>
      <c r="Q856" t="s">
        <v>3718</v>
      </c>
      <c r="R856">
        <v>6</v>
      </c>
      <c r="S856">
        <v>16</v>
      </c>
    </row>
    <row r="857" spans="1:19" x14ac:dyDescent="0.35">
      <c r="A857">
        <v>5583</v>
      </c>
      <c r="B857" t="s">
        <v>3719</v>
      </c>
      <c r="C857" t="s">
        <v>850</v>
      </c>
      <c r="D857" t="s">
        <v>3720</v>
      </c>
      <c r="E857" t="s">
        <v>2069</v>
      </c>
      <c r="F857" t="s">
        <v>3721</v>
      </c>
      <c r="J857" t="s">
        <v>3722</v>
      </c>
      <c r="M857" t="s">
        <v>1029</v>
      </c>
      <c r="N857" t="s">
        <v>2071</v>
      </c>
      <c r="P857" t="s">
        <v>3723</v>
      </c>
      <c r="Q857" t="s">
        <v>3724</v>
      </c>
      <c r="R857">
        <v>6</v>
      </c>
      <c r="S857">
        <v>16</v>
      </c>
    </row>
    <row r="858" spans="1:19" x14ac:dyDescent="0.35">
      <c r="A858">
        <v>10053</v>
      </c>
      <c r="B858" t="s">
        <v>3725</v>
      </c>
      <c r="C858" t="s">
        <v>20</v>
      </c>
      <c r="D858" t="s">
        <v>3726</v>
      </c>
      <c r="E858" t="s">
        <v>3727</v>
      </c>
      <c r="F858" t="s">
        <v>3728</v>
      </c>
      <c r="G858" t="s">
        <v>3729</v>
      </c>
      <c r="H858" t="s">
        <v>3730</v>
      </c>
      <c r="I858" t="s">
        <v>3392</v>
      </c>
      <c r="J858" t="s">
        <v>3731</v>
      </c>
      <c r="M858" t="s">
        <v>818</v>
      </c>
      <c r="N858" t="s">
        <v>3732</v>
      </c>
      <c r="O858" t="s">
        <v>3396</v>
      </c>
      <c r="P858" t="s">
        <v>3732</v>
      </c>
      <c r="Q858" t="s">
        <v>3733</v>
      </c>
      <c r="R858">
        <v>6</v>
      </c>
      <c r="S858">
        <v>16</v>
      </c>
    </row>
    <row r="859" spans="1:19" x14ac:dyDescent="0.35">
      <c r="A859">
        <v>3802</v>
      </c>
      <c r="B859" t="s">
        <v>3734</v>
      </c>
      <c r="C859" t="s">
        <v>42</v>
      </c>
      <c r="D859" t="s">
        <v>3735</v>
      </c>
      <c r="E859" t="e" cm="1">
        <f t="array" ref="E859">- LOPERAMIDE HYDROCHLORIDE</f>
        <v>#NAME?</v>
      </c>
      <c r="F859" t="s">
        <v>3736</v>
      </c>
      <c r="H859" t="s">
        <v>269</v>
      </c>
      <c r="I859" t="s">
        <v>3737</v>
      </c>
      <c r="L859" t="s">
        <v>270</v>
      </c>
      <c r="M859" t="s">
        <v>291</v>
      </c>
      <c r="N859" t="s">
        <v>1461</v>
      </c>
      <c r="O859" t="s">
        <v>3738</v>
      </c>
      <c r="P859" t="s">
        <v>3739</v>
      </c>
      <c r="Q859" t="s">
        <v>3740</v>
      </c>
      <c r="R859">
        <v>6</v>
      </c>
      <c r="S859">
        <v>16</v>
      </c>
    </row>
    <row r="860" spans="1:19" x14ac:dyDescent="0.35">
      <c r="A860">
        <v>1804</v>
      </c>
      <c r="B860" t="s">
        <v>3741</v>
      </c>
      <c r="C860" t="s">
        <v>850</v>
      </c>
      <c r="D860" t="s">
        <v>3742</v>
      </c>
      <c r="E860" t="e" cm="1">
        <f t="array" ref="E860">- Camphor</f>
        <v>#NAME?</v>
      </c>
      <c r="F860" t="s">
        <v>3743</v>
      </c>
      <c r="J860" t="s">
        <v>1647</v>
      </c>
      <c r="M860" t="s">
        <v>3338</v>
      </c>
      <c r="N860" t="s">
        <v>853</v>
      </c>
      <c r="P860" t="s">
        <v>3744</v>
      </c>
      <c r="Q860" t="s">
        <v>3745</v>
      </c>
      <c r="R860">
        <v>6</v>
      </c>
      <c r="S860">
        <v>16</v>
      </c>
    </row>
    <row r="861" spans="1:19" x14ac:dyDescent="0.35">
      <c r="A861">
        <v>9205</v>
      </c>
      <c r="B861" t="s">
        <v>2877</v>
      </c>
      <c r="C861" t="s">
        <v>42</v>
      </c>
      <c r="D861" t="s">
        <v>2878</v>
      </c>
      <c r="E861" t="e" cm="1">
        <f t="array" ref="E861">- BISOPROLOL FUMARATE. HYDROCHLOROTHIAZIDE</f>
        <v>#NAME?</v>
      </c>
      <c r="F861" t="s">
        <v>2879</v>
      </c>
      <c r="G861" t="s">
        <v>2880</v>
      </c>
      <c r="H861" t="s">
        <v>2881</v>
      </c>
      <c r="I861" t="s">
        <v>2736</v>
      </c>
      <c r="J861" t="s">
        <v>2882</v>
      </c>
      <c r="K861" t="s">
        <v>2883</v>
      </c>
      <c r="L861" t="s">
        <v>2884</v>
      </c>
    </row>
    <row r="862" spans="1:19" x14ac:dyDescent="0.35">
      <c r="A862">
        <v>4231</v>
      </c>
      <c r="B862" t="s">
        <v>3695</v>
      </c>
      <c r="C862" t="s">
        <v>42</v>
      </c>
      <c r="D862" t="s">
        <v>3696</v>
      </c>
      <c r="E862" t="e" cm="1">
        <f t="array" ref="E862">- LEVOCETIRIZINE HYDROCHLORIDE</f>
        <v>#NAME?</v>
      </c>
      <c r="F862" t="s">
        <v>3697</v>
      </c>
      <c r="G862" t="s">
        <v>3698</v>
      </c>
      <c r="H862" t="s">
        <v>3699</v>
      </c>
      <c r="I862" t="s">
        <v>3700</v>
      </c>
      <c r="J862" t="s">
        <v>3701</v>
      </c>
      <c r="K862" t="s">
        <v>3702</v>
      </c>
      <c r="L862" t="s">
        <v>3703</v>
      </c>
      <c r="M862" t="s">
        <v>46</v>
      </c>
      <c r="N862" t="s">
        <v>3619</v>
      </c>
      <c r="O862" t="s">
        <v>3704</v>
      </c>
      <c r="P862" t="s">
        <v>3705</v>
      </c>
      <c r="Q862" t="s">
        <v>3706</v>
      </c>
      <c r="R862">
        <v>6</v>
      </c>
      <c r="S862">
        <v>16</v>
      </c>
    </row>
    <row r="863" spans="1:19" x14ac:dyDescent="0.35">
      <c r="A863">
        <v>4229</v>
      </c>
      <c r="B863" t="s">
        <v>3695</v>
      </c>
      <c r="C863" t="s">
        <v>42</v>
      </c>
      <c r="D863" t="s">
        <v>3696</v>
      </c>
      <c r="E863" t="e" cm="1">
        <f t="array" ref="E863">- LEVOCETIRIZINE DIHYDROCHLORIDE</f>
        <v>#NAME?</v>
      </c>
      <c r="F863" t="s">
        <v>3697</v>
      </c>
      <c r="G863" t="s">
        <v>3698</v>
      </c>
      <c r="H863" t="s">
        <v>3699</v>
      </c>
      <c r="I863" t="s">
        <v>3700</v>
      </c>
      <c r="J863" t="s">
        <v>3701</v>
      </c>
      <c r="K863" t="s">
        <v>3702</v>
      </c>
      <c r="L863" t="s">
        <v>3703</v>
      </c>
      <c r="M863" t="s">
        <v>46</v>
      </c>
      <c r="N863" t="s">
        <v>3746</v>
      </c>
      <c r="O863" t="s">
        <v>3704</v>
      </c>
      <c r="P863" t="s">
        <v>3705</v>
      </c>
      <c r="Q863" t="s">
        <v>3747</v>
      </c>
      <c r="R863">
        <v>6</v>
      </c>
      <c r="S863">
        <v>16</v>
      </c>
    </row>
    <row r="864" spans="1:19" x14ac:dyDescent="0.35">
      <c r="A864">
        <v>1813</v>
      </c>
      <c r="B864" t="s">
        <v>3748</v>
      </c>
      <c r="C864" t="s">
        <v>850</v>
      </c>
      <c r="D864" t="s">
        <v>3749</v>
      </c>
      <c r="E864" t="e" cm="1">
        <f t="array" ref="E864">- Cajuput Oil</f>
        <v>#NAME?</v>
      </c>
      <c r="F864" t="s">
        <v>3750</v>
      </c>
      <c r="J864" t="s">
        <v>3751</v>
      </c>
      <c r="M864" t="s">
        <v>3338</v>
      </c>
      <c r="N864" t="s">
        <v>3752</v>
      </c>
      <c r="P864" t="s">
        <v>3753</v>
      </c>
      <c r="Q864" t="s">
        <v>3754</v>
      </c>
      <c r="R864">
        <v>6</v>
      </c>
      <c r="S864">
        <v>16</v>
      </c>
    </row>
    <row r="865" spans="1:19" x14ac:dyDescent="0.35">
      <c r="A865">
        <v>4039</v>
      </c>
      <c r="B865" t="s">
        <v>3755</v>
      </c>
      <c r="C865" t="s">
        <v>20</v>
      </c>
      <c r="D865" t="s">
        <v>3756</v>
      </c>
      <c r="E865" t="s">
        <v>3757</v>
      </c>
      <c r="F865" t="s">
        <v>3758</v>
      </c>
      <c r="H865" t="s">
        <v>3759</v>
      </c>
      <c r="I865" t="s">
        <v>3760</v>
      </c>
      <c r="J865" t="s">
        <v>3761</v>
      </c>
      <c r="K865" t="s">
        <v>2726</v>
      </c>
      <c r="L865" t="s">
        <v>3762</v>
      </c>
      <c r="M865" t="s">
        <v>291</v>
      </c>
      <c r="N865" t="s">
        <v>3763</v>
      </c>
      <c r="O865" t="s">
        <v>3764</v>
      </c>
      <c r="P865" t="s">
        <v>3763</v>
      </c>
      <c r="Q865" t="s">
        <v>3765</v>
      </c>
      <c r="R865">
        <v>6</v>
      </c>
      <c r="S865">
        <v>16</v>
      </c>
    </row>
    <row r="866" spans="1:19" x14ac:dyDescent="0.35">
      <c r="A866">
        <v>1815</v>
      </c>
      <c r="B866" t="s">
        <v>3766</v>
      </c>
      <c r="C866" t="s">
        <v>850</v>
      </c>
      <c r="D866" t="s">
        <v>3767</v>
      </c>
      <c r="E866" t="e" cm="1">
        <f t="array" ref="E866">- Camphor</f>
        <v>#NAME?</v>
      </c>
      <c r="F866" t="s">
        <v>3768</v>
      </c>
      <c r="J866" t="s">
        <v>3751</v>
      </c>
      <c r="M866" t="s">
        <v>3338</v>
      </c>
      <c r="N866" t="s">
        <v>853</v>
      </c>
      <c r="P866" t="s">
        <v>3769</v>
      </c>
      <c r="Q866" t="s">
        <v>3770</v>
      </c>
      <c r="R866">
        <v>6</v>
      </c>
      <c r="S866">
        <v>16</v>
      </c>
    </row>
    <row r="867" spans="1:19" x14ac:dyDescent="0.35">
      <c r="A867">
        <v>4100</v>
      </c>
      <c r="B867" t="s">
        <v>3771</v>
      </c>
      <c r="C867" t="s">
        <v>42</v>
      </c>
      <c r="D867" t="s">
        <v>3772</v>
      </c>
      <c r="E867" t="e" cm="1">
        <f t="array" ref="E867">- DEXAMETHASONE</f>
        <v>#NAME?</v>
      </c>
      <c r="F867" t="s">
        <v>3773</v>
      </c>
      <c r="G867" t="s">
        <v>3774</v>
      </c>
      <c r="H867" t="s">
        <v>3775</v>
      </c>
      <c r="I867" t="s">
        <v>3776</v>
      </c>
      <c r="J867" t="s">
        <v>727</v>
      </c>
      <c r="K867" t="s">
        <v>3777</v>
      </c>
      <c r="L867" t="s">
        <v>3778</v>
      </c>
      <c r="M867" t="s">
        <v>291</v>
      </c>
      <c r="N867" t="s">
        <v>3779</v>
      </c>
      <c r="O867" t="s">
        <v>3780</v>
      </c>
      <c r="P867" t="s">
        <v>3781</v>
      </c>
      <c r="Q867" t="s">
        <v>3782</v>
      </c>
      <c r="R867">
        <v>6</v>
      </c>
      <c r="S867">
        <v>16</v>
      </c>
    </row>
    <row r="868" spans="1:19" x14ac:dyDescent="0.35">
      <c r="A868">
        <v>9206</v>
      </c>
      <c r="B868" t="s">
        <v>2877</v>
      </c>
      <c r="C868" t="s">
        <v>42</v>
      </c>
      <c r="D868" t="s">
        <v>2878</v>
      </c>
      <c r="E868" t="e" cm="1">
        <f t="array" ref="E868">- BISOPROLOL FUMARATE. HYDROCHLOROTHIAZIDE</f>
        <v>#NAME?</v>
      </c>
      <c r="F868" t="s">
        <v>2879</v>
      </c>
      <c r="G868" t="s">
        <v>2880</v>
      </c>
      <c r="H868" t="s">
        <v>2881</v>
      </c>
      <c r="I868" t="s">
        <v>2736</v>
      </c>
      <c r="J868" t="s">
        <v>2882</v>
      </c>
      <c r="K868" t="s">
        <v>2883</v>
      </c>
      <c r="L868" t="s">
        <v>2884</v>
      </c>
    </row>
    <row r="869" spans="1:19" x14ac:dyDescent="0.35">
      <c r="A869">
        <v>1819</v>
      </c>
      <c r="B869" t="s">
        <v>3783</v>
      </c>
      <c r="C869" t="s">
        <v>850</v>
      </c>
      <c r="D869" t="s">
        <v>3784</v>
      </c>
      <c r="E869" t="e" cm="1">
        <f t="array" ref="E869">- Camphor</f>
        <v>#NAME?</v>
      </c>
      <c r="F869" t="s">
        <v>3785</v>
      </c>
      <c r="H869" t="s">
        <v>1322</v>
      </c>
      <c r="J869" t="s">
        <v>3786</v>
      </c>
      <c r="M869" t="s">
        <v>2115</v>
      </c>
      <c r="N869" t="s">
        <v>853</v>
      </c>
      <c r="P869" t="s">
        <v>3787</v>
      </c>
      <c r="Q869" t="s">
        <v>3788</v>
      </c>
      <c r="R869">
        <v>6</v>
      </c>
      <c r="S869">
        <v>16</v>
      </c>
    </row>
    <row r="870" spans="1:19" x14ac:dyDescent="0.35">
      <c r="A870">
        <v>1808</v>
      </c>
      <c r="B870" t="s">
        <v>3789</v>
      </c>
      <c r="C870" t="s">
        <v>850</v>
      </c>
      <c r="D870" t="s">
        <v>3790</v>
      </c>
      <c r="E870" t="e" cm="1">
        <f t="array" ref="E870">- Camphor</f>
        <v>#NAME?</v>
      </c>
      <c r="F870" t="s">
        <v>3791</v>
      </c>
      <c r="J870" t="s">
        <v>1647</v>
      </c>
      <c r="M870" t="s">
        <v>3338</v>
      </c>
      <c r="N870" t="s">
        <v>853</v>
      </c>
      <c r="P870" t="s">
        <v>3792</v>
      </c>
      <c r="Q870" t="s">
        <v>3793</v>
      </c>
      <c r="R870">
        <v>6</v>
      </c>
      <c r="S870">
        <v>16</v>
      </c>
    </row>
    <row r="871" spans="1:19" x14ac:dyDescent="0.35">
      <c r="A871">
        <v>9207</v>
      </c>
      <c r="B871" t="s">
        <v>2877</v>
      </c>
      <c r="C871" t="s">
        <v>42</v>
      </c>
      <c r="D871" t="s">
        <v>2878</v>
      </c>
      <c r="E871" t="e" cm="1">
        <f t="array" ref="E871">- BISOPROLOL FUMARATE. HYDROCHLOROTHIAZIDE</f>
        <v>#NAME?</v>
      </c>
      <c r="F871" t="s">
        <v>2879</v>
      </c>
      <c r="G871" t="s">
        <v>2880</v>
      </c>
      <c r="H871" t="s">
        <v>2881</v>
      </c>
      <c r="I871" t="s">
        <v>2736</v>
      </c>
      <c r="J871" t="s">
        <v>2882</v>
      </c>
      <c r="K871" t="s">
        <v>2883</v>
      </c>
      <c r="L871" t="s">
        <v>2884</v>
      </c>
    </row>
    <row r="872" spans="1:19" x14ac:dyDescent="0.35">
      <c r="A872">
        <v>1807</v>
      </c>
      <c r="B872" t="s">
        <v>3789</v>
      </c>
      <c r="C872" t="s">
        <v>850</v>
      </c>
      <c r="D872" t="s">
        <v>3790</v>
      </c>
      <c r="E872" t="e" cm="1">
        <f t="array" ref="E872">- Camphor</f>
        <v>#NAME?</v>
      </c>
      <c r="F872" t="s">
        <v>3791</v>
      </c>
      <c r="J872" t="s">
        <v>1647</v>
      </c>
      <c r="M872" t="s">
        <v>3338</v>
      </c>
      <c r="N872" t="s">
        <v>853</v>
      </c>
      <c r="P872" t="s">
        <v>3792</v>
      </c>
      <c r="Q872" t="s">
        <v>3793</v>
      </c>
      <c r="R872">
        <v>6</v>
      </c>
      <c r="S872">
        <v>16</v>
      </c>
    </row>
    <row r="873" spans="1:19" x14ac:dyDescent="0.35">
      <c r="A873">
        <v>1281</v>
      </c>
      <c r="B873" t="s">
        <v>3794</v>
      </c>
      <c r="C873" t="s">
        <v>42</v>
      </c>
      <c r="D873" t="s">
        <v>3795</v>
      </c>
      <c r="E873" t="e" cm="1">
        <f t="array" ref="E873">- DEXTROMETHORPHAN HYDROBROMIDE</f>
        <v>#NAME?</v>
      </c>
      <c r="F873" t="s">
        <v>3796</v>
      </c>
      <c r="J873" t="s">
        <v>3797</v>
      </c>
      <c r="M873" t="s">
        <v>291</v>
      </c>
      <c r="N873" t="s">
        <v>1376</v>
      </c>
      <c r="P873" t="s">
        <v>3798</v>
      </c>
      <c r="Q873" t="s">
        <v>3799</v>
      </c>
      <c r="R873">
        <v>6</v>
      </c>
      <c r="S873">
        <v>16</v>
      </c>
    </row>
    <row r="874" spans="1:19" x14ac:dyDescent="0.35">
      <c r="A874">
        <v>1818</v>
      </c>
      <c r="B874" t="s">
        <v>3783</v>
      </c>
      <c r="C874" t="s">
        <v>850</v>
      </c>
      <c r="D874" t="s">
        <v>3800</v>
      </c>
      <c r="E874" t="e" cm="1">
        <f t="array" ref="E874">- Camphor</f>
        <v>#NAME?</v>
      </c>
      <c r="F874" t="s">
        <v>3801</v>
      </c>
      <c r="H874" t="s">
        <v>1322</v>
      </c>
      <c r="J874" t="s">
        <v>3802</v>
      </c>
      <c r="M874" t="s">
        <v>2115</v>
      </c>
      <c r="N874" t="s">
        <v>853</v>
      </c>
      <c r="P874" t="s">
        <v>3787</v>
      </c>
      <c r="Q874" t="s">
        <v>3788</v>
      </c>
      <c r="R874">
        <v>6</v>
      </c>
      <c r="S874">
        <v>16</v>
      </c>
    </row>
    <row r="875" spans="1:19" x14ac:dyDescent="0.35">
      <c r="A875">
        <v>1806</v>
      </c>
      <c r="B875" t="s">
        <v>3803</v>
      </c>
      <c r="C875" t="s">
        <v>850</v>
      </c>
      <c r="D875" t="s">
        <v>3804</v>
      </c>
      <c r="E875" t="s">
        <v>2069</v>
      </c>
      <c r="F875" t="s">
        <v>3805</v>
      </c>
      <c r="J875" t="s">
        <v>1647</v>
      </c>
      <c r="M875" t="s">
        <v>3338</v>
      </c>
      <c r="N875" t="s">
        <v>2071</v>
      </c>
      <c r="P875" t="s">
        <v>3806</v>
      </c>
      <c r="Q875" t="s">
        <v>3807</v>
      </c>
      <c r="R875">
        <v>6</v>
      </c>
      <c r="S875">
        <v>16</v>
      </c>
    </row>
    <row r="876" spans="1:19" x14ac:dyDescent="0.35">
      <c r="A876">
        <v>1805</v>
      </c>
      <c r="B876" t="s">
        <v>3741</v>
      </c>
      <c r="C876" t="s">
        <v>850</v>
      </c>
      <c r="D876" t="s">
        <v>3742</v>
      </c>
      <c r="E876" t="e" cm="1">
        <f t="array" ref="E876">- Camphor</f>
        <v>#NAME?</v>
      </c>
      <c r="F876" t="s">
        <v>3743</v>
      </c>
      <c r="J876" t="s">
        <v>1647</v>
      </c>
      <c r="M876" t="s">
        <v>3338</v>
      </c>
      <c r="N876" t="s">
        <v>853</v>
      </c>
      <c r="P876" t="s">
        <v>3744</v>
      </c>
      <c r="Q876" t="s">
        <v>3745</v>
      </c>
      <c r="R876">
        <v>6</v>
      </c>
      <c r="S876">
        <v>16</v>
      </c>
    </row>
    <row r="877" spans="1:19" x14ac:dyDescent="0.35">
      <c r="A877">
        <v>10042</v>
      </c>
      <c r="B877" t="s">
        <v>3808</v>
      </c>
      <c r="C877" t="s">
        <v>20</v>
      </c>
      <c r="D877" t="s">
        <v>3809</v>
      </c>
      <c r="E877" t="s">
        <v>3810</v>
      </c>
      <c r="F877" t="s">
        <v>3811</v>
      </c>
      <c r="J877" t="s">
        <v>3812</v>
      </c>
      <c r="M877" t="s">
        <v>38</v>
      </c>
      <c r="N877" t="s">
        <v>3813</v>
      </c>
      <c r="P877" t="s">
        <v>3814</v>
      </c>
      <c r="Q877" t="s">
        <v>3815</v>
      </c>
      <c r="R877">
        <v>6</v>
      </c>
      <c r="S877">
        <v>16</v>
      </c>
    </row>
    <row r="878" spans="1:19" x14ac:dyDescent="0.35">
      <c r="A878">
        <v>1279</v>
      </c>
      <c r="B878" t="s">
        <v>3816</v>
      </c>
      <c r="C878" t="s">
        <v>42</v>
      </c>
      <c r="D878" t="s">
        <v>3817</v>
      </c>
      <c r="E878" t="e" cm="1">
        <f t="array" ref="E878">- PSEUDOEPHEDRINE HYDROCHLORIDE. TRIPROLIDINE HYDROCHLORIDE</f>
        <v>#NAME?</v>
      </c>
      <c r="F878" t="s">
        <v>3818</v>
      </c>
      <c r="H878" t="s">
        <v>3819</v>
      </c>
      <c r="J878" t="s">
        <v>334</v>
      </c>
      <c r="M878" t="s">
        <v>271</v>
      </c>
      <c r="N878" t="s">
        <v>3820</v>
      </c>
      <c r="P878" t="s">
        <v>3821</v>
      </c>
      <c r="Q878" t="s">
        <v>3822</v>
      </c>
      <c r="R878">
        <v>6</v>
      </c>
      <c r="S878">
        <v>16</v>
      </c>
    </row>
    <row r="879" spans="1:19" x14ac:dyDescent="0.35">
      <c r="A879">
        <v>5554</v>
      </c>
      <c r="B879" t="s">
        <v>3823</v>
      </c>
      <c r="C879" t="s">
        <v>42</v>
      </c>
      <c r="D879" t="s">
        <v>3824</v>
      </c>
      <c r="E879" t="e" cm="1">
        <f t="array" ref="E879">- FINASTERIDE. MINOXIDIL</f>
        <v>#NAME?</v>
      </c>
      <c r="F879" s="1">
        <v>278700</v>
      </c>
      <c r="G879" t="s">
        <v>3825</v>
      </c>
      <c r="H879" t="s">
        <v>3826</v>
      </c>
      <c r="I879" t="s">
        <v>3827</v>
      </c>
      <c r="J879" t="s">
        <v>334</v>
      </c>
      <c r="M879" t="s">
        <v>554</v>
      </c>
      <c r="N879" t="s">
        <v>3828</v>
      </c>
      <c r="O879" t="s">
        <v>3829</v>
      </c>
      <c r="P879" t="s">
        <v>3830</v>
      </c>
      <c r="Q879" t="s">
        <v>3831</v>
      </c>
      <c r="R879">
        <v>6</v>
      </c>
      <c r="S879">
        <v>16</v>
      </c>
    </row>
    <row r="880" spans="1:19" x14ac:dyDescent="0.35">
      <c r="A880">
        <v>1027</v>
      </c>
      <c r="B880" t="s">
        <v>3832</v>
      </c>
      <c r="C880" t="s">
        <v>42</v>
      </c>
      <c r="D880" t="s">
        <v>3833</v>
      </c>
      <c r="E880" t="e" cm="1">
        <f t="array" ref="E880">- ALCOHOL</f>
        <v>#NAME?</v>
      </c>
      <c r="F880" t="s">
        <v>3834</v>
      </c>
      <c r="G880" t="s">
        <v>2241</v>
      </c>
      <c r="H880" t="s">
        <v>3835</v>
      </c>
      <c r="I880" t="s">
        <v>3836</v>
      </c>
      <c r="J880" t="s">
        <v>3837</v>
      </c>
      <c r="K880" t="s">
        <v>3838</v>
      </c>
      <c r="L880" t="s">
        <v>3839</v>
      </c>
      <c r="M880" t="s">
        <v>271</v>
      </c>
      <c r="N880" t="s">
        <v>3840</v>
      </c>
      <c r="O880" t="s">
        <v>3841</v>
      </c>
      <c r="P880" t="s">
        <v>3842</v>
      </c>
      <c r="Q880" t="s">
        <v>3843</v>
      </c>
      <c r="R880">
        <v>6</v>
      </c>
      <c r="S880">
        <v>16</v>
      </c>
    </row>
    <row r="881" spans="1:19" x14ac:dyDescent="0.35">
      <c r="A881">
        <v>4709</v>
      </c>
      <c r="B881" t="s">
        <v>3844</v>
      </c>
      <c r="C881" t="s">
        <v>42</v>
      </c>
      <c r="D881" t="s">
        <v>3845</v>
      </c>
      <c r="E881" t="e" cm="1">
        <f t="array" ref="E881">- BETAXOLOL HYDROCHLORIDE</f>
        <v>#NAME?</v>
      </c>
      <c r="F881" t="s">
        <v>3846</v>
      </c>
      <c r="H881" t="s">
        <v>319</v>
      </c>
      <c r="J881" t="s">
        <v>3847</v>
      </c>
      <c r="L881" t="s">
        <v>321</v>
      </c>
      <c r="M881" t="s">
        <v>824</v>
      </c>
      <c r="N881" t="s">
        <v>3848</v>
      </c>
      <c r="P881" t="s">
        <v>3849</v>
      </c>
      <c r="Q881" t="s">
        <v>3850</v>
      </c>
      <c r="R881">
        <v>6</v>
      </c>
      <c r="S881">
        <v>16</v>
      </c>
    </row>
    <row r="882" spans="1:19" x14ac:dyDescent="0.35">
      <c r="A882">
        <v>33</v>
      </c>
      <c r="B882" t="s">
        <v>2902</v>
      </c>
      <c r="C882" t="s">
        <v>42</v>
      </c>
      <c r="D882" t="s">
        <v>3851</v>
      </c>
      <c r="E882" t="e" cm="1">
        <f t="array" ref="E882">- SILDENAFIL CITRATE</f>
        <v>#NAME?</v>
      </c>
      <c r="F882" t="s">
        <v>3852</v>
      </c>
      <c r="G882" t="s">
        <v>3853</v>
      </c>
      <c r="H882" t="s">
        <v>3854</v>
      </c>
      <c r="I882" t="s">
        <v>3855</v>
      </c>
      <c r="J882" t="s">
        <v>3856</v>
      </c>
      <c r="L882" t="s">
        <v>3857</v>
      </c>
      <c r="M882" t="s">
        <v>46</v>
      </c>
      <c r="N882" t="s">
        <v>2519</v>
      </c>
      <c r="O882" t="s">
        <v>3858</v>
      </c>
      <c r="P882" t="s">
        <v>3859</v>
      </c>
      <c r="Q882" t="s">
        <v>3860</v>
      </c>
      <c r="R882">
        <v>6</v>
      </c>
      <c r="S882">
        <v>16</v>
      </c>
    </row>
    <row r="883" spans="1:19" x14ac:dyDescent="0.35">
      <c r="A883">
        <v>4828</v>
      </c>
      <c r="B883" t="s">
        <v>3861</v>
      </c>
      <c r="C883" t="s">
        <v>42</v>
      </c>
      <c r="D883" t="s">
        <v>3862</v>
      </c>
      <c r="E883" t="e" cm="1">
        <f t="array" ref="E883">- FUSIDIC ACID</f>
        <v>#NAME?</v>
      </c>
      <c r="F883" t="s">
        <v>3863</v>
      </c>
      <c r="H883">
        <v>0</v>
      </c>
      <c r="J883" t="s">
        <v>3864</v>
      </c>
      <c r="M883" t="s">
        <v>87</v>
      </c>
      <c r="N883" t="s">
        <v>3865</v>
      </c>
      <c r="P883" t="s">
        <v>3866</v>
      </c>
      <c r="Q883" t="s">
        <v>3867</v>
      </c>
      <c r="R883">
        <v>6</v>
      </c>
      <c r="S883">
        <v>16</v>
      </c>
    </row>
    <row r="884" spans="1:19" x14ac:dyDescent="0.35">
      <c r="A884">
        <v>4829</v>
      </c>
      <c r="B884" t="s">
        <v>3861</v>
      </c>
      <c r="C884" t="s">
        <v>42</v>
      </c>
      <c r="D884" t="s">
        <v>3862</v>
      </c>
      <c r="E884" t="e" cm="1">
        <f t="array" ref="E884">- FUSIDIC ACID</f>
        <v>#NAME?</v>
      </c>
      <c r="F884" t="s">
        <v>3863</v>
      </c>
      <c r="H884">
        <v>0</v>
      </c>
      <c r="J884" t="s">
        <v>3864</v>
      </c>
      <c r="M884" t="s">
        <v>87</v>
      </c>
      <c r="N884" t="s">
        <v>3865</v>
      </c>
      <c r="P884" t="s">
        <v>3866</v>
      </c>
      <c r="Q884" t="s">
        <v>3867</v>
      </c>
      <c r="R884">
        <v>6</v>
      </c>
      <c r="S884">
        <v>16</v>
      </c>
    </row>
    <row r="885" spans="1:19" x14ac:dyDescent="0.35">
      <c r="A885">
        <v>4830</v>
      </c>
      <c r="B885" t="s">
        <v>3861</v>
      </c>
      <c r="C885" t="s">
        <v>42</v>
      </c>
      <c r="D885" t="s">
        <v>3862</v>
      </c>
      <c r="E885" t="e" cm="1">
        <f t="array" ref="E885">- FUSIDIC ACID</f>
        <v>#NAME?</v>
      </c>
      <c r="F885" t="s">
        <v>3863</v>
      </c>
      <c r="H885">
        <v>0</v>
      </c>
      <c r="J885" t="s">
        <v>3864</v>
      </c>
      <c r="M885" t="s">
        <v>87</v>
      </c>
      <c r="N885" t="s">
        <v>3865</v>
      </c>
      <c r="P885" t="s">
        <v>3866</v>
      </c>
      <c r="Q885" t="s">
        <v>3867</v>
      </c>
      <c r="R885">
        <v>6</v>
      </c>
      <c r="S885">
        <v>16</v>
      </c>
    </row>
    <row r="886" spans="1:19" x14ac:dyDescent="0.35">
      <c r="A886">
        <v>9651</v>
      </c>
      <c r="B886" t="s">
        <v>3868</v>
      </c>
      <c r="C886" t="s">
        <v>42</v>
      </c>
      <c r="D886" t="s">
        <v>3869</v>
      </c>
      <c r="E886" t="e" cm="1">
        <f t="array" ref="E886">- VALSARTAN. AMLODIPINE BESILATE</f>
        <v>#NAME?</v>
      </c>
      <c r="F886" s="1">
        <v>243800</v>
      </c>
      <c r="G886" t="s">
        <v>3870</v>
      </c>
      <c r="H886" t="s">
        <v>3871</v>
      </c>
      <c r="I886" t="s">
        <v>2535</v>
      </c>
      <c r="J886" t="s">
        <v>3872</v>
      </c>
      <c r="K886" t="s">
        <v>3873</v>
      </c>
      <c r="L886" t="s">
        <v>3874</v>
      </c>
      <c r="M886" t="s">
        <v>291</v>
      </c>
      <c r="N886" t="s">
        <v>3875</v>
      </c>
      <c r="O886" t="s">
        <v>2211</v>
      </c>
      <c r="P886" t="s">
        <v>3876</v>
      </c>
      <c r="Q886" t="s">
        <v>3877</v>
      </c>
      <c r="R886">
        <v>6</v>
      </c>
      <c r="S886">
        <v>16</v>
      </c>
    </row>
    <row r="887" spans="1:19" x14ac:dyDescent="0.35">
      <c r="A887">
        <v>9650</v>
      </c>
      <c r="B887" t="s">
        <v>3868</v>
      </c>
      <c r="C887" t="s">
        <v>42</v>
      </c>
      <c r="D887" t="s">
        <v>3869</v>
      </c>
      <c r="E887" t="e" cm="1">
        <f t="array" ref="E887">- VALSARTAN. AMLODIPINE BESILATE</f>
        <v>#NAME?</v>
      </c>
      <c r="F887" s="1">
        <v>243800</v>
      </c>
      <c r="G887" t="s">
        <v>3870</v>
      </c>
      <c r="H887" t="s">
        <v>3871</v>
      </c>
      <c r="I887" t="s">
        <v>2535</v>
      </c>
      <c r="J887" t="s">
        <v>3872</v>
      </c>
      <c r="K887" t="s">
        <v>3873</v>
      </c>
      <c r="L887" t="s">
        <v>3874</v>
      </c>
      <c r="M887" t="s">
        <v>291</v>
      </c>
      <c r="N887" t="s">
        <v>3875</v>
      </c>
      <c r="O887" t="s">
        <v>2211</v>
      </c>
      <c r="P887" t="s">
        <v>3876</v>
      </c>
      <c r="Q887" t="s">
        <v>3877</v>
      </c>
      <c r="R887">
        <v>6</v>
      </c>
      <c r="S887">
        <v>16</v>
      </c>
    </row>
    <row r="888" spans="1:19" x14ac:dyDescent="0.35">
      <c r="A888">
        <v>9649</v>
      </c>
      <c r="B888" t="s">
        <v>3868</v>
      </c>
      <c r="C888" t="s">
        <v>42</v>
      </c>
      <c r="D888" t="s">
        <v>3869</v>
      </c>
      <c r="E888" t="e" cm="1">
        <f t="array" ref="E888">- VALSARTAN. AMLODIPINE BESILATE</f>
        <v>#NAME?</v>
      </c>
      <c r="F888" s="1">
        <v>243800</v>
      </c>
      <c r="G888" t="s">
        <v>3870</v>
      </c>
      <c r="H888" t="s">
        <v>3871</v>
      </c>
      <c r="I888" t="s">
        <v>2535</v>
      </c>
      <c r="J888" t="s">
        <v>3872</v>
      </c>
      <c r="K888" t="s">
        <v>3873</v>
      </c>
      <c r="L888" t="s">
        <v>3874</v>
      </c>
      <c r="M888" t="s">
        <v>291</v>
      </c>
      <c r="N888" t="s">
        <v>3875</v>
      </c>
      <c r="O888" t="s">
        <v>2211</v>
      </c>
      <c r="P888" t="s">
        <v>3876</v>
      </c>
      <c r="Q888" t="s">
        <v>3877</v>
      </c>
      <c r="R888">
        <v>6</v>
      </c>
      <c r="S888">
        <v>16</v>
      </c>
    </row>
    <row r="889" spans="1:19" x14ac:dyDescent="0.35">
      <c r="A889">
        <v>1675</v>
      </c>
      <c r="B889" t="s">
        <v>3878</v>
      </c>
      <c r="C889" t="s">
        <v>42</v>
      </c>
      <c r="D889" t="s">
        <v>3879</v>
      </c>
      <c r="E889" t="e" cm="1">
        <f t="array" ref="E889">- GUAIFENESIN</f>
        <v>#NAME?</v>
      </c>
      <c r="F889" t="s">
        <v>3880</v>
      </c>
      <c r="H889" t="s">
        <v>319</v>
      </c>
      <c r="L889" t="s">
        <v>321</v>
      </c>
      <c r="M889" t="s">
        <v>271</v>
      </c>
      <c r="N889" t="s">
        <v>361</v>
      </c>
      <c r="P889" t="s">
        <v>3881</v>
      </c>
      <c r="Q889" t="s">
        <v>3882</v>
      </c>
      <c r="R889">
        <v>6</v>
      </c>
      <c r="S889">
        <v>16</v>
      </c>
    </row>
    <row r="890" spans="1:19" x14ac:dyDescent="0.35">
      <c r="A890">
        <v>2024</v>
      </c>
      <c r="B890" t="s">
        <v>3669</v>
      </c>
      <c r="C890" t="s">
        <v>20</v>
      </c>
      <c r="D890" t="s">
        <v>3670</v>
      </c>
      <c r="E890" t="s">
        <v>3883</v>
      </c>
      <c r="F890" t="s">
        <v>3672</v>
      </c>
      <c r="I890" t="s">
        <v>3673</v>
      </c>
      <c r="J890" t="s">
        <v>846</v>
      </c>
      <c r="M890" t="s">
        <v>271</v>
      </c>
      <c r="N890" t="s">
        <v>3884</v>
      </c>
      <c r="O890" t="s">
        <v>3675</v>
      </c>
      <c r="P890" t="s">
        <v>3674</v>
      </c>
      <c r="Q890" t="s">
        <v>3885</v>
      </c>
      <c r="R890">
        <v>6</v>
      </c>
      <c r="S890">
        <v>16</v>
      </c>
    </row>
    <row r="891" spans="1:19" x14ac:dyDescent="0.35">
      <c r="A891">
        <v>2026</v>
      </c>
      <c r="B891" t="s">
        <v>3669</v>
      </c>
      <c r="C891" t="s">
        <v>20</v>
      </c>
      <c r="D891" t="s">
        <v>3670</v>
      </c>
      <c r="E891" t="s">
        <v>3883</v>
      </c>
      <c r="F891" t="s">
        <v>3672</v>
      </c>
      <c r="I891" t="s">
        <v>3673</v>
      </c>
      <c r="J891" t="s">
        <v>846</v>
      </c>
      <c r="M891" t="s">
        <v>271</v>
      </c>
      <c r="N891" t="s">
        <v>3884</v>
      </c>
      <c r="O891" t="s">
        <v>3675</v>
      </c>
      <c r="P891" t="s">
        <v>3674</v>
      </c>
      <c r="Q891" t="s">
        <v>3885</v>
      </c>
      <c r="R891">
        <v>6</v>
      </c>
      <c r="S891">
        <v>16</v>
      </c>
    </row>
    <row r="892" spans="1:19" x14ac:dyDescent="0.35">
      <c r="A892">
        <v>2037</v>
      </c>
      <c r="B892" t="s">
        <v>3886</v>
      </c>
      <c r="C892" t="s">
        <v>20</v>
      </c>
      <c r="D892" t="s">
        <v>3887</v>
      </c>
      <c r="E892" t="s">
        <v>3888</v>
      </c>
      <c r="F892" t="s">
        <v>3889</v>
      </c>
      <c r="G892" t="s">
        <v>2241</v>
      </c>
      <c r="H892" t="s">
        <v>3890</v>
      </c>
      <c r="I892" t="s">
        <v>3891</v>
      </c>
      <c r="J892" t="s">
        <v>1144</v>
      </c>
      <c r="K892" t="s">
        <v>3892</v>
      </c>
      <c r="L892" t="s">
        <v>3893</v>
      </c>
      <c r="M892" t="s">
        <v>271</v>
      </c>
      <c r="N892" t="s">
        <v>3894</v>
      </c>
      <c r="O892" t="s">
        <v>3895</v>
      </c>
      <c r="P892" t="s">
        <v>3894</v>
      </c>
      <c r="Q892" t="s">
        <v>3896</v>
      </c>
      <c r="R892">
        <v>6</v>
      </c>
      <c r="S892">
        <v>16</v>
      </c>
    </row>
    <row r="893" spans="1:19" x14ac:dyDescent="0.35">
      <c r="A893">
        <v>5314</v>
      </c>
      <c r="B893" t="s">
        <v>3897</v>
      </c>
      <c r="C893" t="s">
        <v>42</v>
      </c>
      <c r="D893" t="s">
        <v>3898</v>
      </c>
      <c r="E893" t="e" cm="1">
        <f t="array" ref="E893">- MUPIROCIN</f>
        <v>#NAME?</v>
      </c>
      <c r="F893" t="s">
        <v>3899</v>
      </c>
      <c r="G893" t="s">
        <v>3900</v>
      </c>
      <c r="H893" t="s">
        <v>3901</v>
      </c>
      <c r="I893" t="s">
        <v>3902</v>
      </c>
      <c r="J893" t="s">
        <v>2765</v>
      </c>
      <c r="K893" t="s">
        <v>3473</v>
      </c>
      <c r="L893" t="s">
        <v>3903</v>
      </c>
      <c r="M893" t="s">
        <v>1029</v>
      </c>
      <c r="N893" t="s">
        <v>3904</v>
      </c>
      <c r="O893" t="s">
        <v>3905</v>
      </c>
      <c r="P893" t="s">
        <v>3906</v>
      </c>
      <c r="Q893" t="s">
        <v>3907</v>
      </c>
      <c r="R893">
        <v>6</v>
      </c>
      <c r="S893">
        <v>16</v>
      </c>
    </row>
    <row r="894" spans="1:19" x14ac:dyDescent="0.35">
      <c r="A894">
        <v>5381</v>
      </c>
      <c r="B894" t="s">
        <v>3908</v>
      </c>
      <c r="C894" t="s">
        <v>42</v>
      </c>
      <c r="D894" t="s">
        <v>3909</v>
      </c>
      <c r="E894" t="e" cm="1">
        <f t="array" ref="E894">- GENTAMICIN</f>
        <v>#NAME?</v>
      </c>
      <c r="F894" t="s">
        <v>3910</v>
      </c>
      <c r="H894" t="s">
        <v>3911</v>
      </c>
      <c r="I894" t="s">
        <v>3912</v>
      </c>
      <c r="J894" t="s">
        <v>2765</v>
      </c>
      <c r="L894" t="s">
        <v>270</v>
      </c>
      <c r="M894" t="s">
        <v>1289</v>
      </c>
      <c r="N894" t="s">
        <v>3913</v>
      </c>
      <c r="O894" t="s">
        <v>3914</v>
      </c>
      <c r="P894" t="s">
        <v>3915</v>
      </c>
      <c r="Q894" t="s">
        <v>3916</v>
      </c>
      <c r="R894">
        <v>6</v>
      </c>
      <c r="S894">
        <v>16</v>
      </c>
    </row>
    <row r="895" spans="1:19" x14ac:dyDescent="0.35">
      <c r="A895">
        <v>1236</v>
      </c>
      <c r="B895" t="s">
        <v>3553</v>
      </c>
      <c r="C895" t="s">
        <v>42</v>
      </c>
      <c r="D895" t="s">
        <v>3554</v>
      </c>
      <c r="E895" t="e" cm="1">
        <f t="array" ref="E895">- BROMHEXINE HYDROCHLORIDE. GUAIFENESIN</f>
        <v>#NAME?</v>
      </c>
      <c r="F895" t="s">
        <v>3555</v>
      </c>
      <c r="J895" t="s">
        <v>334</v>
      </c>
      <c r="M895" t="s">
        <v>271</v>
      </c>
      <c r="N895" t="s">
        <v>3917</v>
      </c>
      <c r="P895" t="s">
        <v>3556</v>
      </c>
      <c r="Q895" t="s">
        <v>3918</v>
      </c>
      <c r="R895">
        <v>6</v>
      </c>
      <c r="S895">
        <v>16</v>
      </c>
    </row>
    <row r="896" spans="1:19" x14ac:dyDescent="0.35">
      <c r="A896">
        <v>68</v>
      </c>
      <c r="B896" t="s">
        <v>2902</v>
      </c>
      <c r="C896" t="s">
        <v>42</v>
      </c>
      <c r="D896" t="s">
        <v>3919</v>
      </c>
      <c r="E896" t="e" cm="1">
        <f t="array" ref="E896">- SILDENAFIL CITRATE</f>
        <v>#NAME?</v>
      </c>
      <c r="F896" s="1">
        <v>8200</v>
      </c>
      <c r="J896" t="s">
        <v>3920</v>
      </c>
      <c r="L896" t="s">
        <v>3921</v>
      </c>
      <c r="M896" t="s">
        <v>46</v>
      </c>
      <c r="N896" t="s">
        <v>2519</v>
      </c>
      <c r="P896" t="s">
        <v>3922</v>
      </c>
      <c r="Q896" t="s">
        <v>3923</v>
      </c>
      <c r="R896">
        <v>6</v>
      </c>
      <c r="S896">
        <v>16</v>
      </c>
    </row>
    <row r="897" spans="1:19" x14ac:dyDescent="0.35">
      <c r="A897">
        <v>2038</v>
      </c>
      <c r="B897" t="s">
        <v>3886</v>
      </c>
      <c r="C897" t="s">
        <v>20</v>
      </c>
      <c r="D897" t="s">
        <v>3924</v>
      </c>
      <c r="E897" t="s">
        <v>3888</v>
      </c>
      <c r="F897" t="s">
        <v>3925</v>
      </c>
      <c r="G897" t="s">
        <v>2241</v>
      </c>
      <c r="H897" t="s">
        <v>3890</v>
      </c>
      <c r="I897" t="s">
        <v>3891</v>
      </c>
      <c r="J897" t="s">
        <v>3926</v>
      </c>
      <c r="K897" t="s">
        <v>3892</v>
      </c>
      <c r="L897" t="s">
        <v>3893</v>
      </c>
      <c r="M897" t="s">
        <v>271</v>
      </c>
      <c r="N897" t="s">
        <v>3894</v>
      </c>
      <c r="O897" t="s">
        <v>3895</v>
      </c>
      <c r="P897" t="s">
        <v>3894</v>
      </c>
      <c r="Q897" t="s">
        <v>3896</v>
      </c>
      <c r="R897">
        <v>6</v>
      </c>
      <c r="S897">
        <v>16</v>
      </c>
    </row>
    <row r="898" spans="1:19" x14ac:dyDescent="0.35">
      <c r="A898">
        <v>2039</v>
      </c>
      <c r="B898" t="s">
        <v>3886</v>
      </c>
      <c r="C898" t="s">
        <v>20</v>
      </c>
      <c r="D898" t="s">
        <v>3887</v>
      </c>
      <c r="E898" t="s">
        <v>3888</v>
      </c>
      <c r="F898" t="s">
        <v>3889</v>
      </c>
      <c r="G898" t="s">
        <v>2241</v>
      </c>
      <c r="H898" t="s">
        <v>3890</v>
      </c>
      <c r="I898" t="s">
        <v>3891</v>
      </c>
      <c r="J898" t="s">
        <v>1144</v>
      </c>
      <c r="K898" t="s">
        <v>3892</v>
      </c>
      <c r="L898" t="s">
        <v>3893</v>
      </c>
      <c r="M898" t="s">
        <v>271</v>
      </c>
      <c r="N898" t="s">
        <v>3894</v>
      </c>
      <c r="O898" t="s">
        <v>3895</v>
      </c>
      <c r="P898" t="s">
        <v>3894</v>
      </c>
      <c r="Q898" t="s">
        <v>3896</v>
      </c>
      <c r="R898">
        <v>6</v>
      </c>
      <c r="S898">
        <v>16</v>
      </c>
    </row>
    <row r="899" spans="1:19" x14ac:dyDescent="0.35">
      <c r="A899">
        <v>9293</v>
      </c>
      <c r="B899" t="s">
        <v>3927</v>
      </c>
      <c r="C899" t="s">
        <v>20</v>
      </c>
      <c r="D899" t="s">
        <v>3928</v>
      </c>
      <c r="E899" t="s">
        <v>3929</v>
      </c>
      <c r="F899" t="s">
        <v>3930</v>
      </c>
      <c r="G899" t="s">
        <v>60</v>
      </c>
      <c r="H899" t="s">
        <v>3931</v>
      </c>
      <c r="I899" t="s">
        <v>3932</v>
      </c>
      <c r="J899" t="s">
        <v>347</v>
      </c>
      <c r="K899" t="s">
        <v>3933</v>
      </c>
      <c r="L899" t="s">
        <v>3934</v>
      </c>
      <c r="M899" t="s">
        <v>38</v>
      </c>
      <c r="N899" t="s">
        <v>3935</v>
      </c>
      <c r="O899" t="s">
        <v>3936</v>
      </c>
      <c r="P899" t="s">
        <v>3935</v>
      </c>
      <c r="Q899" t="s">
        <v>3937</v>
      </c>
      <c r="R899">
        <v>6</v>
      </c>
      <c r="S899">
        <v>16</v>
      </c>
    </row>
    <row r="900" spans="1:19" x14ac:dyDescent="0.35">
      <c r="A900">
        <v>78</v>
      </c>
      <c r="B900" t="s">
        <v>2902</v>
      </c>
      <c r="C900" t="s">
        <v>42</v>
      </c>
      <c r="D900" t="s">
        <v>3919</v>
      </c>
      <c r="E900" t="e" cm="1">
        <f t="array" ref="E900">- SILDENAFIL CITRATE</f>
        <v>#NAME?</v>
      </c>
      <c r="F900" s="1">
        <v>8200</v>
      </c>
      <c r="J900" t="s">
        <v>3920</v>
      </c>
      <c r="L900" t="s">
        <v>3921</v>
      </c>
      <c r="M900" t="s">
        <v>46</v>
      </c>
      <c r="N900" t="s">
        <v>2519</v>
      </c>
      <c r="P900" t="s">
        <v>3922</v>
      </c>
      <c r="Q900" t="s">
        <v>3923</v>
      </c>
      <c r="R900">
        <v>6</v>
      </c>
      <c r="S900">
        <v>16</v>
      </c>
    </row>
    <row r="901" spans="1:19" x14ac:dyDescent="0.35">
      <c r="A901">
        <v>4947</v>
      </c>
      <c r="B901" t="s">
        <v>3938</v>
      </c>
      <c r="C901" t="s">
        <v>42</v>
      </c>
      <c r="D901" t="s">
        <v>3939</v>
      </c>
      <c r="E901" t="e" cm="1">
        <f t="array" ref="E901">- ADAPALENE. BENZOYL PEROXIDE</f>
        <v>#NAME?</v>
      </c>
      <c r="F901" t="s">
        <v>3940</v>
      </c>
      <c r="G901" t="s">
        <v>3941</v>
      </c>
      <c r="H901">
        <v>0</v>
      </c>
      <c r="J901" t="s">
        <v>3942</v>
      </c>
      <c r="M901" t="s">
        <v>87</v>
      </c>
      <c r="N901" t="s">
        <v>3943</v>
      </c>
      <c r="P901" t="s">
        <v>3944</v>
      </c>
      <c r="Q901" t="s">
        <v>3945</v>
      </c>
      <c r="R901">
        <v>6</v>
      </c>
      <c r="S901">
        <v>16</v>
      </c>
    </row>
    <row r="902" spans="1:19" x14ac:dyDescent="0.35">
      <c r="A902">
        <v>4948</v>
      </c>
      <c r="B902" t="s">
        <v>3946</v>
      </c>
      <c r="C902" t="s">
        <v>42</v>
      </c>
      <c r="D902" t="s">
        <v>3947</v>
      </c>
      <c r="E902" t="e" cm="1">
        <f t="array" ref="E902">- ADAPALENE</f>
        <v>#NAME?</v>
      </c>
      <c r="F902" t="s">
        <v>3948</v>
      </c>
      <c r="G902" t="s">
        <v>3949</v>
      </c>
      <c r="H902" t="s">
        <v>3950</v>
      </c>
      <c r="I902" t="s">
        <v>3951</v>
      </c>
      <c r="J902" t="s">
        <v>1367</v>
      </c>
      <c r="K902" t="s">
        <v>3952</v>
      </c>
      <c r="L902" t="s">
        <v>3953</v>
      </c>
      <c r="M902" t="s">
        <v>87</v>
      </c>
      <c r="N902" t="s">
        <v>3954</v>
      </c>
      <c r="O902" t="s">
        <v>3955</v>
      </c>
      <c r="P902" t="s">
        <v>3956</v>
      </c>
      <c r="Q902" t="s">
        <v>3957</v>
      </c>
      <c r="R902">
        <v>6</v>
      </c>
      <c r="S902">
        <v>16</v>
      </c>
    </row>
    <row r="903" spans="1:19" x14ac:dyDescent="0.35">
      <c r="A903">
        <v>2040</v>
      </c>
      <c r="B903" t="s">
        <v>3886</v>
      </c>
      <c r="C903" t="s">
        <v>20</v>
      </c>
      <c r="D903" t="s">
        <v>3924</v>
      </c>
      <c r="E903" t="s">
        <v>3888</v>
      </c>
      <c r="F903" t="s">
        <v>3925</v>
      </c>
      <c r="G903" t="s">
        <v>2241</v>
      </c>
      <c r="H903" t="s">
        <v>3890</v>
      </c>
      <c r="I903" t="s">
        <v>3891</v>
      </c>
      <c r="J903" t="s">
        <v>3926</v>
      </c>
      <c r="K903" t="s">
        <v>3892</v>
      </c>
      <c r="L903" t="s">
        <v>3893</v>
      </c>
      <c r="M903" t="s">
        <v>271</v>
      </c>
      <c r="N903" t="s">
        <v>3894</v>
      </c>
      <c r="O903" t="s">
        <v>3895</v>
      </c>
      <c r="P903" t="s">
        <v>3894</v>
      </c>
      <c r="Q903" t="s">
        <v>3896</v>
      </c>
      <c r="R903">
        <v>6</v>
      </c>
      <c r="S903">
        <v>16</v>
      </c>
    </row>
    <row r="904" spans="1:19" x14ac:dyDescent="0.35">
      <c r="A904">
        <v>10056</v>
      </c>
      <c r="B904" t="s">
        <v>3958</v>
      </c>
      <c r="C904" t="s">
        <v>20</v>
      </c>
      <c r="D904" t="s">
        <v>3959</v>
      </c>
      <c r="E904" t="s">
        <v>3960</v>
      </c>
      <c r="F904" t="s">
        <v>3961</v>
      </c>
      <c r="G904" t="s">
        <v>2241</v>
      </c>
      <c r="H904" t="s">
        <v>3962</v>
      </c>
      <c r="I904" t="s">
        <v>3963</v>
      </c>
      <c r="J904" t="s">
        <v>3964</v>
      </c>
      <c r="M904" t="s">
        <v>2374</v>
      </c>
      <c r="N904" t="s">
        <v>3965</v>
      </c>
      <c r="O904" t="s">
        <v>3966</v>
      </c>
      <c r="P904" t="s">
        <v>3965</v>
      </c>
      <c r="Q904" t="s">
        <v>3967</v>
      </c>
      <c r="R904">
        <v>6</v>
      </c>
      <c r="S904">
        <v>16</v>
      </c>
    </row>
    <row r="905" spans="1:19" x14ac:dyDescent="0.35">
      <c r="A905">
        <v>1031</v>
      </c>
      <c r="B905" t="s">
        <v>3832</v>
      </c>
      <c r="C905" t="s">
        <v>42</v>
      </c>
      <c r="D905" t="s">
        <v>3968</v>
      </c>
      <c r="E905" t="e" cm="1">
        <f t="array" ref="E905">- ALCOHOL</f>
        <v>#NAME?</v>
      </c>
      <c r="F905" t="s">
        <v>3969</v>
      </c>
      <c r="G905" t="s">
        <v>3970</v>
      </c>
      <c r="H905" t="s">
        <v>3971</v>
      </c>
      <c r="I905" t="s">
        <v>3972</v>
      </c>
      <c r="J905" t="s">
        <v>374</v>
      </c>
      <c r="K905" t="s">
        <v>3973</v>
      </c>
      <c r="L905" t="s">
        <v>3974</v>
      </c>
      <c r="M905" t="s">
        <v>271</v>
      </c>
      <c r="N905" t="s">
        <v>3840</v>
      </c>
      <c r="O905" t="s">
        <v>3841</v>
      </c>
      <c r="P905" t="s">
        <v>3842</v>
      </c>
      <c r="Q905" t="s">
        <v>3843</v>
      </c>
      <c r="R905">
        <v>6</v>
      </c>
      <c r="S905">
        <v>16</v>
      </c>
    </row>
    <row r="906" spans="1:19" x14ac:dyDescent="0.35">
      <c r="A906">
        <v>1030</v>
      </c>
      <c r="B906" t="s">
        <v>3832</v>
      </c>
      <c r="C906" t="s">
        <v>42</v>
      </c>
      <c r="D906" t="s">
        <v>3968</v>
      </c>
      <c r="E906" t="e" cm="1">
        <f t="array" ref="E906">- ALCOHOL</f>
        <v>#NAME?</v>
      </c>
      <c r="F906" t="s">
        <v>3969</v>
      </c>
      <c r="G906" t="s">
        <v>3970</v>
      </c>
      <c r="H906" t="s">
        <v>3971</v>
      </c>
      <c r="I906" t="s">
        <v>3972</v>
      </c>
      <c r="J906" t="s">
        <v>374</v>
      </c>
      <c r="K906" t="s">
        <v>3973</v>
      </c>
      <c r="L906" t="s">
        <v>3974</v>
      </c>
      <c r="M906" t="s">
        <v>271</v>
      </c>
      <c r="N906" t="s">
        <v>3840</v>
      </c>
      <c r="O906" t="s">
        <v>3841</v>
      </c>
      <c r="P906" t="s">
        <v>3842</v>
      </c>
      <c r="Q906" t="s">
        <v>3843</v>
      </c>
      <c r="R906">
        <v>6</v>
      </c>
      <c r="S906">
        <v>16</v>
      </c>
    </row>
    <row r="907" spans="1:19" x14ac:dyDescent="0.35">
      <c r="A907">
        <v>4923</v>
      </c>
      <c r="B907" t="s">
        <v>3975</v>
      </c>
      <c r="C907" t="s">
        <v>42</v>
      </c>
      <c r="D907" t="s">
        <v>3976</v>
      </c>
      <c r="E907" t="e" cm="1">
        <f t="array" ref="E907">- ADAPALENE</f>
        <v>#NAME?</v>
      </c>
      <c r="F907" t="s">
        <v>3977</v>
      </c>
      <c r="G907" t="s">
        <v>1365</v>
      </c>
      <c r="H907" t="s">
        <v>3978</v>
      </c>
      <c r="I907" t="s">
        <v>3979</v>
      </c>
      <c r="J907" t="s">
        <v>1367</v>
      </c>
      <c r="K907" t="s">
        <v>3952</v>
      </c>
      <c r="L907" t="s">
        <v>3980</v>
      </c>
    </row>
    <row r="908" spans="1:19" x14ac:dyDescent="0.35">
      <c r="A908">
        <v>1882</v>
      </c>
      <c r="B908" t="s">
        <v>3981</v>
      </c>
      <c r="C908" t="s">
        <v>850</v>
      </c>
      <c r="D908" t="s">
        <v>3982</v>
      </c>
      <c r="E908" t="e" cm="1">
        <f t="array" ref="E908">- Natrium tetraborate</f>
        <v>#NAME?</v>
      </c>
      <c r="F908" t="s">
        <v>3983</v>
      </c>
      <c r="J908" t="s">
        <v>3984</v>
      </c>
      <c r="N908" t="s">
        <v>3985</v>
      </c>
      <c r="P908" t="s">
        <v>3986</v>
      </c>
      <c r="Q908" t="s">
        <v>3987</v>
      </c>
      <c r="R908">
        <v>6</v>
      </c>
      <c r="S908">
        <v>16</v>
      </c>
    </row>
    <row r="909" spans="1:19" x14ac:dyDescent="0.35">
      <c r="A909">
        <v>4827</v>
      </c>
      <c r="B909" t="s">
        <v>3861</v>
      </c>
      <c r="C909" t="s">
        <v>42</v>
      </c>
      <c r="D909" t="s">
        <v>3862</v>
      </c>
      <c r="E909" t="e" cm="1">
        <f t="array" ref="E909">- FUSIDIC ACID</f>
        <v>#NAME?</v>
      </c>
      <c r="F909" t="s">
        <v>3863</v>
      </c>
      <c r="H909">
        <v>0</v>
      </c>
      <c r="J909" t="s">
        <v>3864</v>
      </c>
      <c r="M909" t="s">
        <v>87</v>
      </c>
      <c r="N909" t="s">
        <v>3865</v>
      </c>
      <c r="P909" t="s">
        <v>3866</v>
      </c>
      <c r="Q909" t="s">
        <v>3867</v>
      </c>
      <c r="R909">
        <v>6</v>
      </c>
      <c r="S909">
        <v>16</v>
      </c>
    </row>
    <row r="910" spans="1:19" x14ac:dyDescent="0.35">
      <c r="A910">
        <v>3927</v>
      </c>
      <c r="B910" t="s">
        <v>3988</v>
      </c>
      <c r="C910" t="s">
        <v>20</v>
      </c>
      <c r="D910" t="s">
        <v>3989</v>
      </c>
      <c r="E910" t="s">
        <v>3990</v>
      </c>
      <c r="F910" t="s">
        <v>3991</v>
      </c>
      <c r="G910" t="s">
        <v>2241</v>
      </c>
      <c r="H910" t="s">
        <v>3992</v>
      </c>
      <c r="I910" t="s">
        <v>3993</v>
      </c>
      <c r="J910" t="s">
        <v>3994</v>
      </c>
      <c r="L910" t="s">
        <v>3995</v>
      </c>
      <c r="M910" t="s">
        <v>38</v>
      </c>
      <c r="N910" t="s">
        <v>3996</v>
      </c>
      <c r="O910" t="s">
        <v>3764</v>
      </c>
      <c r="P910" t="s">
        <v>3996</v>
      </c>
      <c r="Q910" t="s">
        <v>3997</v>
      </c>
      <c r="R910">
        <v>6</v>
      </c>
      <c r="S910">
        <v>16</v>
      </c>
    </row>
    <row r="911" spans="1:19" x14ac:dyDescent="0.35">
      <c r="A911">
        <v>4024</v>
      </c>
      <c r="B911" t="s">
        <v>3998</v>
      </c>
      <c r="C911" t="s">
        <v>20</v>
      </c>
      <c r="D911" t="s">
        <v>3999</v>
      </c>
      <c r="E911" t="s">
        <v>4000</v>
      </c>
      <c r="F911" s="1">
        <v>137500</v>
      </c>
      <c r="G911" t="s">
        <v>4001</v>
      </c>
      <c r="H911" t="s">
        <v>4002</v>
      </c>
      <c r="I911" t="s">
        <v>4003</v>
      </c>
      <c r="J911" t="s">
        <v>347</v>
      </c>
      <c r="M911" t="s">
        <v>38</v>
      </c>
      <c r="N911" t="s">
        <v>4004</v>
      </c>
      <c r="O911" t="s">
        <v>4005</v>
      </c>
      <c r="P911" t="s">
        <v>4004</v>
      </c>
      <c r="Q911" t="s">
        <v>4006</v>
      </c>
      <c r="R911">
        <v>6</v>
      </c>
      <c r="S911">
        <v>16</v>
      </c>
    </row>
    <row r="912" spans="1:19" x14ac:dyDescent="0.35">
      <c r="A912">
        <v>4312</v>
      </c>
      <c r="B912" t="s">
        <v>4007</v>
      </c>
      <c r="C912" t="s">
        <v>850</v>
      </c>
      <c r="D912" t="s">
        <v>4008</v>
      </c>
      <c r="E912" t="e" cm="1">
        <f t="array" ref="E912">- Asam Salisilat</f>
        <v>#NAME?</v>
      </c>
      <c r="F912" t="s">
        <v>4009</v>
      </c>
      <c r="J912" t="s">
        <v>4010</v>
      </c>
      <c r="N912" t="s">
        <v>2022</v>
      </c>
      <c r="P912" t="s">
        <v>4011</v>
      </c>
      <c r="Q912" t="s">
        <v>4012</v>
      </c>
      <c r="R912">
        <v>6</v>
      </c>
      <c r="S912">
        <v>16</v>
      </c>
    </row>
    <row r="913" spans="1:19" x14ac:dyDescent="0.35">
      <c r="A913">
        <v>5513</v>
      </c>
      <c r="B913" t="s">
        <v>4013</v>
      </c>
      <c r="C913" t="s">
        <v>42</v>
      </c>
      <c r="D913" t="s">
        <v>4014</v>
      </c>
      <c r="E913" t="e" cm="1">
        <f t="array" ref="E913">- BETAMETHASONE VALERATE</f>
        <v>#NAME?</v>
      </c>
      <c r="F913" t="s">
        <v>4015</v>
      </c>
      <c r="J913" t="s">
        <v>1684</v>
      </c>
      <c r="M913" t="s">
        <v>1289</v>
      </c>
      <c r="N913" t="s">
        <v>2059</v>
      </c>
      <c r="P913" t="s">
        <v>4016</v>
      </c>
      <c r="Q913" t="s">
        <v>4017</v>
      </c>
      <c r="R913">
        <v>6</v>
      </c>
      <c r="S913">
        <v>16</v>
      </c>
    </row>
    <row r="914" spans="1:19" x14ac:dyDescent="0.35">
      <c r="A914">
        <v>4353</v>
      </c>
      <c r="B914" t="s">
        <v>4018</v>
      </c>
      <c r="C914" t="s">
        <v>42</v>
      </c>
      <c r="D914" t="s">
        <v>4019</v>
      </c>
      <c r="E914" t="e" cm="1">
        <f t="array" ref="E914">- CHLORAMPHENICOL</f>
        <v>#NAME?</v>
      </c>
      <c r="F914" t="s">
        <v>4020</v>
      </c>
      <c r="G914" t="s">
        <v>4021</v>
      </c>
      <c r="H914" t="s">
        <v>4022</v>
      </c>
      <c r="I914" t="s">
        <v>4023</v>
      </c>
      <c r="J914" t="s">
        <v>4024</v>
      </c>
      <c r="K914" t="s">
        <v>2858</v>
      </c>
      <c r="L914" t="s">
        <v>4025</v>
      </c>
    </row>
    <row r="915" spans="1:19" x14ac:dyDescent="0.35">
      <c r="A915">
        <v>4355</v>
      </c>
      <c r="B915" t="s">
        <v>4018</v>
      </c>
      <c r="C915" t="s">
        <v>42</v>
      </c>
      <c r="D915" t="s">
        <v>4026</v>
      </c>
      <c r="E915" t="e" cm="1">
        <f t="array" ref="E915">- CHLORAMPHENICOL</f>
        <v>#NAME?</v>
      </c>
      <c r="F915" t="s">
        <v>4027</v>
      </c>
      <c r="G915" t="s">
        <v>4028</v>
      </c>
      <c r="H915" t="s">
        <v>4029</v>
      </c>
      <c r="I915" t="s">
        <v>4030</v>
      </c>
      <c r="J915" t="s">
        <v>4031</v>
      </c>
      <c r="K915" t="s">
        <v>2726</v>
      </c>
      <c r="L915" t="s">
        <v>4032</v>
      </c>
      <c r="M915" t="s">
        <v>824</v>
      </c>
      <c r="N915" t="s">
        <v>1188</v>
      </c>
      <c r="O915" t="s">
        <v>4033</v>
      </c>
      <c r="P915" t="s">
        <v>4034</v>
      </c>
      <c r="Q915" t="s">
        <v>4035</v>
      </c>
      <c r="R915">
        <v>6</v>
      </c>
      <c r="S915">
        <v>16</v>
      </c>
    </row>
    <row r="916" spans="1:19" x14ac:dyDescent="0.35">
      <c r="A916">
        <v>4391</v>
      </c>
      <c r="B916" t="s">
        <v>4036</v>
      </c>
      <c r="C916" t="s">
        <v>42</v>
      </c>
      <c r="D916" t="s">
        <v>4037</v>
      </c>
      <c r="E916" t="e" cm="1">
        <f t="array" ref="E916">- CIPROFLOXACIN HYDROCHLORIDE</f>
        <v>#NAME?</v>
      </c>
      <c r="F916" s="1">
        <v>133800</v>
      </c>
      <c r="H916" t="s">
        <v>319</v>
      </c>
      <c r="J916" t="s">
        <v>4038</v>
      </c>
      <c r="L916" t="s">
        <v>321</v>
      </c>
      <c r="M916" t="s">
        <v>824</v>
      </c>
      <c r="N916" t="s">
        <v>1624</v>
      </c>
      <c r="P916" t="s">
        <v>4039</v>
      </c>
      <c r="Q916" t="s">
        <v>4040</v>
      </c>
      <c r="R916">
        <v>6</v>
      </c>
      <c r="S916">
        <v>16</v>
      </c>
    </row>
    <row r="917" spans="1:19" x14ac:dyDescent="0.35">
      <c r="A917">
        <v>4003</v>
      </c>
      <c r="B917" t="s">
        <v>4041</v>
      </c>
      <c r="C917" t="s">
        <v>20</v>
      </c>
      <c r="D917" t="s">
        <v>4042</v>
      </c>
      <c r="E917" t="s">
        <v>4043</v>
      </c>
      <c r="F917" t="s">
        <v>4044</v>
      </c>
      <c r="G917" t="s">
        <v>4045</v>
      </c>
      <c r="H917" t="s">
        <v>4046</v>
      </c>
      <c r="I917" t="s">
        <v>4047</v>
      </c>
      <c r="J917" t="s">
        <v>4048</v>
      </c>
      <c r="K917" t="s">
        <v>4049</v>
      </c>
      <c r="M917" t="s">
        <v>291</v>
      </c>
      <c r="N917" t="s">
        <v>4050</v>
      </c>
      <c r="O917" t="s">
        <v>4051</v>
      </c>
      <c r="P917" t="s">
        <v>4050</v>
      </c>
      <c r="Q917" t="s">
        <v>4052</v>
      </c>
      <c r="R917">
        <v>6</v>
      </c>
      <c r="S917">
        <v>16</v>
      </c>
    </row>
    <row r="918" spans="1:19" x14ac:dyDescent="0.35">
      <c r="A918">
        <v>4470</v>
      </c>
      <c r="B918" t="s">
        <v>3486</v>
      </c>
      <c r="C918" t="s">
        <v>42</v>
      </c>
      <c r="D918" t="s">
        <v>3487</v>
      </c>
      <c r="E918" t="e" cm="1">
        <f t="array" ref="E918">- CARMELLOSE SODIUM</f>
        <v>#NAME?</v>
      </c>
      <c r="F918" s="1">
        <v>46000</v>
      </c>
      <c r="M918" t="s">
        <v>824</v>
      </c>
      <c r="N918" t="s">
        <v>4053</v>
      </c>
      <c r="P918" t="s">
        <v>3489</v>
      </c>
      <c r="Q918" t="s">
        <v>4054</v>
      </c>
      <c r="R918">
        <v>6</v>
      </c>
      <c r="S918">
        <v>16</v>
      </c>
    </row>
    <row r="919" spans="1:19" x14ac:dyDescent="0.35">
      <c r="A919">
        <v>3987</v>
      </c>
      <c r="B919" t="s">
        <v>4055</v>
      </c>
      <c r="C919" t="s">
        <v>20</v>
      </c>
      <c r="D919" t="s">
        <v>4056</v>
      </c>
      <c r="E919" t="s">
        <v>4057</v>
      </c>
      <c r="F919" t="s">
        <v>4058</v>
      </c>
      <c r="G919" t="s">
        <v>2453</v>
      </c>
      <c r="H919" t="s">
        <v>4059</v>
      </c>
      <c r="I919" t="s">
        <v>3993</v>
      </c>
      <c r="J919" t="s">
        <v>1043</v>
      </c>
      <c r="L919" t="s">
        <v>4060</v>
      </c>
      <c r="M919" t="s">
        <v>291</v>
      </c>
      <c r="N919" t="s">
        <v>4061</v>
      </c>
      <c r="O919" t="s">
        <v>3764</v>
      </c>
      <c r="P919" t="s">
        <v>4061</v>
      </c>
      <c r="Q919" t="s">
        <v>4062</v>
      </c>
      <c r="R919">
        <v>6</v>
      </c>
      <c r="S919">
        <v>16</v>
      </c>
    </row>
    <row r="920" spans="1:19" x14ac:dyDescent="0.35">
      <c r="A920">
        <v>1273</v>
      </c>
      <c r="B920" t="s">
        <v>4063</v>
      </c>
      <c r="C920" t="s">
        <v>42</v>
      </c>
      <c r="D920" t="s">
        <v>4064</v>
      </c>
      <c r="E920" t="e" cm="1">
        <f t="array" ref="E920">- CHLORPHENAMINE MALEATE</f>
        <v>#NAME?</v>
      </c>
      <c r="F920" t="s">
        <v>4065</v>
      </c>
      <c r="J920" t="s">
        <v>334</v>
      </c>
      <c r="M920" t="s">
        <v>271</v>
      </c>
      <c r="N920" t="s">
        <v>1354</v>
      </c>
      <c r="P920" t="s">
        <v>4066</v>
      </c>
      <c r="Q920" t="s">
        <v>4067</v>
      </c>
      <c r="R920">
        <v>6</v>
      </c>
      <c r="S920">
        <v>16</v>
      </c>
    </row>
    <row r="921" spans="1:19" x14ac:dyDescent="0.35">
      <c r="A921">
        <v>4706</v>
      </c>
      <c r="B921" t="s">
        <v>3844</v>
      </c>
      <c r="C921" t="s">
        <v>42</v>
      </c>
      <c r="D921" t="s">
        <v>3845</v>
      </c>
      <c r="E921" t="e" cm="1">
        <f t="array" ref="E921">- BETAXOLOL HYDROCHLORIDE</f>
        <v>#NAME?</v>
      </c>
      <c r="F921" t="s">
        <v>3846</v>
      </c>
      <c r="H921" t="s">
        <v>319</v>
      </c>
      <c r="J921" t="s">
        <v>3847</v>
      </c>
      <c r="L921" t="s">
        <v>321</v>
      </c>
      <c r="M921" t="s">
        <v>824</v>
      </c>
      <c r="N921" t="s">
        <v>3848</v>
      </c>
      <c r="P921" t="s">
        <v>3849</v>
      </c>
      <c r="Q921" t="s">
        <v>3850</v>
      </c>
      <c r="R921">
        <v>6</v>
      </c>
      <c r="S921">
        <v>16</v>
      </c>
    </row>
    <row r="922" spans="1:19" x14ac:dyDescent="0.35">
      <c r="A922">
        <v>1676</v>
      </c>
      <c r="B922" t="s">
        <v>3878</v>
      </c>
      <c r="C922" t="s">
        <v>42</v>
      </c>
      <c r="D922" t="s">
        <v>3879</v>
      </c>
      <c r="E922" t="e" cm="1">
        <f t="array" ref="E922">- GUAIFENESIN</f>
        <v>#NAME?</v>
      </c>
      <c r="F922" t="s">
        <v>3880</v>
      </c>
      <c r="H922" t="s">
        <v>319</v>
      </c>
      <c r="L922" t="s">
        <v>321</v>
      </c>
      <c r="M922" t="s">
        <v>271</v>
      </c>
      <c r="N922" t="s">
        <v>361</v>
      </c>
      <c r="P922" t="s">
        <v>3881</v>
      </c>
      <c r="Q922" t="s">
        <v>3882</v>
      </c>
      <c r="R922">
        <v>6</v>
      </c>
      <c r="S922">
        <v>16</v>
      </c>
    </row>
    <row r="923" spans="1:19" x14ac:dyDescent="0.35">
      <c r="A923">
        <v>5485</v>
      </c>
      <c r="B923" t="s">
        <v>4068</v>
      </c>
      <c r="C923" t="s">
        <v>850</v>
      </c>
      <c r="D923" t="s">
        <v>4069</v>
      </c>
      <c r="E923" t="e" cm="1">
        <f t="array" ref="E923">- Salicylic ACID</f>
        <v>#NAME?</v>
      </c>
      <c r="F923" s="1">
        <v>11400</v>
      </c>
      <c r="H923" t="s">
        <v>4070</v>
      </c>
      <c r="I923" t="s">
        <v>4071</v>
      </c>
      <c r="J923" t="s">
        <v>4072</v>
      </c>
      <c r="M923" t="s">
        <v>1029</v>
      </c>
      <c r="N923" t="s">
        <v>4073</v>
      </c>
      <c r="O923" t="s">
        <v>4074</v>
      </c>
      <c r="Q923" t="s">
        <v>4075</v>
      </c>
      <c r="R923">
        <v>6</v>
      </c>
      <c r="S923">
        <v>16</v>
      </c>
    </row>
    <row r="924" spans="1:19" x14ac:dyDescent="0.35">
      <c r="A924">
        <v>9228</v>
      </c>
      <c r="B924" t="s">
        <v>3181</v>
      </c>
      <c r="C924" t="s">
        <v>42</v>
      </c>
      <c r="D924" t="s">
        <v>3182</v>
      </c>
      <c r="E924" t="e" cm="1">
        <f t="array" ref="E924">- INDAPAMIDE. AMLODIPINE BESILATE</f>
        <v>#NAME?</v>
      </c>
      <c r="F924" t="s">
        <v>3183</v>
      </c>
      <c r="G924" t="s">
        <v>3184</v>
      </c>
      <c r="H924" t="s">
        <v>2949</v>
      </c>
      <c r="I924" t="s">
        <v>2535</v>
      </c>
      <c r="J924" t="s">
        <v>3185</v>
      </c>
      <c r="K924" t="s">
        <v>3186</v>
      </c>
      <c r="L924" t="s">
        <v>3187</v>
      </c>
      <c r="M924" t="s">
        <v>46</v>
      </c>
      <c r="N924" t="s">
        <v>4076</v>
      </c>
      <c r="O924" t="s">
        <v>2211</v>
      </c>
      <c r="P924" t="s">
        <v>3188</v>
      </c>
      <c r="Q924" t="s">
        <v>4077</v>
      </c>
      <c r="R924">
        <v>6</v>
      </c>
      <c r="S924">
        <v>16</v>
      </c>
    </row>
    <row r="925" spans="1:19" x14ac:dyDescent="0.35">
      <c r="A925">
        <v>4707</v>
      </c>
      <c r="B925" t="s">
        <v>3844</v>
      </c>
      <c r="C925" t="s">
        <v>42</v>
      </c>
      <c r="D925" t="s">
        <v>3845</v>
      </c>
      <c r="E925" t="e" cm="1">
        <f t="array" ref="E925">- BETAXOLOL HYDROCHLORIDE</f>
        <v>#NAME?</v>
      </c>
      <c r="F925" t="s">
        <v>3846</v>
      </c>
      <c r="H925" t="s">
        <v>319</v>
      </c>
      <c r="J925" t="s">
        <v>3847</v>
      </c>
      <c r="L925" t="s">
        <v>321</v>
      </c>
      <c r="M925" t="s">
        <v>824</v>
      </c>
      <c r="N925" t="s">
        <v>3848</v>
      </c>
      <c r="P925" t="s">
        <v>3849</v>
      </c>
      <c r="Q925" t="s">
        <v>3850</v>
      </c>
      <c r="R925">
        <v>6</v>
      </c>
      <c r="S925">
        <v>16</v>
      </c>
    </row>
    <row r="926" spans="1:19" x14ac:dyDescent="0.35">
      <c r="A926">
        <v>4708</v>
      </c>
      <c r="B926" t="s">
        <v>3844</v>
      </c>
      <c r="C926" t="s">
        <v>42</v>
      </c>
      <c r="D926" t="s">
        <v>3845</v>
      </c>
      <c r="E926" t="e" cm="1">
        <f t="array" ref="E926">- BETAXOLOL HYDROCHLORIDE</f>
        <v>#NAME?</v>
      </c>
      <c r="F926" t="s">
        <v>3846</v>
      </c>
      <c r="H926" t="s">
        <v>319</v>
      </c>
      <c r="J926" t="s">
        <v>3847</v>
      </c>
      <c r="L926" t="s">
        <v>321</v>
      </c>
      <c r="M926" t="s">
        <v>824</v>
      </c>
      <c r="N926" t="s">
        <v>3848</v>
      </c>
      <c r="P926" t="s">
        <v>3849</v>
      </c>
      <c r="Q926" t="s">
        <v>3850</v>
      </c>
      <c r="R926">
        <v>6</v>
      </c>
      <c r="S926">
        <v>16</v>
      </c>
    </row>
    <row r="927" spans="1:19" x14ac:dyDescent="0.35">
      <c r="A927">
        <v>1026</v>
      </c>
      <c r="B927" t="s">
        <v>3832</v>
      </c>
      <c r="C927" t="s">
        <v>42</v>
      </c>
      <c r="D927" t="s">
        <v>3833</v>
      </c>
      <c r="E927" t="e" cm="1">
        <f t="array" ref="E927">- ALCOHOL</f>
        <v>#NAME?</v>
      </c>
      <c r="F927" t="s">
        <v>3834</v>
      </c>
      <c r="G927" t="s">
        <v>2241</v>
      </c>
      <c r="H927" t="s">
        <v>3835</v>
      </c>
      <c r="I927" t="s">
        <v>3836</v>
      </c>
      <c r="J927" t="s">
        <v>3837</v>
      </c>
      <c r="K927" t="s">
        <v>3838</v>
      </c>
      <c r="L927" t="s">
        <v>3839</v>
      </c>
      <c r="M927" t="s">
        <v>271</v>
      </c>
      <c r="N927" t="s">
        <v>3840</v>
      </c>
      <c r="O927" t="s">
        <v>3841</v>
      </c>
      <c r="P927" t="s">
        <v>3842</v>
      </c>
      <c r="Q927" t="s">
        <v>3843</v>
      </c>
      <c r="R927">
        <v>6</v>
      </c>
      <c r="S927">
        <v>16</v>
      </c>
    </row>
    <row r="928" spans="1:19" x14ac:dyDescent="0.35">
      <c r="A928">
        <v>9242</v>
      </c>
      <c r="B928" t="s">
        <v>4078</v>
      </c>
      <c r="C928" t="s">
        <v>42</v>
      </c>
      <c r="D928" t="s">
        <v>4079</v>
      </c>
      <c r="E928" t="e" cm="1">
        <f t="array" ref="E928">- OLMESARTAN MEDOXOMIL</f>
        <v>#NAME?</v>
      </c>
      <c r="F928" t="s">
        <v>4080</v>
      </c>
      <c r="G928" t="s">
        <v>2617</v>
      </c>
      <c r="H928" t="s">
        <v>4081</v>
      </c>
      <c r="I928" t="s">
        <v>4082</v>
      </c>
      <c r="J928" t="s">
        <v>969</v>
      </c>
      <c r="K928" t="s">
        <v>4083</v>
      </c>
      <c r="L928" t="s">
        <v>4084</v>
      </c>
      <c r="M928" t="s">
        <v>46</v>
      </c>
      <c r="N928" t="s">
        <v>4085</v>
      </c>
      <c r="O928" t="s">
        <v>4086</v>
      </c>
      <c r="P928" t="s">
        <v>4087</v>
      </c>
      <c r="Q928" t="s">
        <v>4088</v>
      </c>
      <c r="R928">
        <v>6</v>
      </c>
      <c r="S928">
        <v>16</v>
      </c>
    </row>
    <row r="929" spans="1:19" x14ac:dyDescent="0.35">
      <c r="A929">
        <v>5401</v>
      </c>
      <c r="B929" t="s">
        <v>2056</v>
      </c>
      <c r="C929" t="s">
        <v>42</v>
      </c>
      <c r="D929" t="s">
        <v>2057</v>
      </c>
      <c r="E929" t="e" cm="1">
        <f t="array" ref="E929">- BETAMETHASONE VALERATE. NEOMYCIN SULFATE</f>
        <v>#NAME?</v>
      </c>
      <c r="F929" t="s">
        <v>2058</v>
      </c>
      <c r="J929" t="s">
        <v>1684</v>
      </c>
      <c r="M929" t="s">
        <v>1289</v>
      </c>
      <c r="N929" t="s">
        <v>4089</v>
      </c>
      <c r="P929" t="s">
        <v>2060</v>
      </c>
      <c r="Q929" t="s">
        <v>4090</v>
      </c>
      <c r="R929">
        <v>6</v>
      </c>
      <c r="S929">
        <v>16</v>
      </c>
    </row>
    <row r="930" spans="1:19" x14ac:dyDescent="0.35">
      <c r="A930">
        <v>9243</v>
      </c>
      <c r="B930" t="s">
        <v>4091</v>
      </c>
      <c r="C930" t="s">
        <v>42</v>
      </c>
      <c r="D930" t="s">
        <v>4092</v>
      </c>
      <c r="E930" t="e" cm="1">
        <f t="array" ref="E930">- OLMESARTAN MEDOXOMIL</f>
        <v>#NAME?</v>
      </c>
      <c r="F930" t="s">
        <v>4093</v>
      </c>
      <c r="G930" t="s">
        <v>2855</v>
      </c>
      <c r="H930" t="s">
        <v>4094</v>
      </c>
      <c r="I930" t="s">
        <v>2268</v>
      </c>
      <c r="J930" t="s">
        <v>4095</v>
      </c>
      <c r="K930" t="s">
        <v>4083</v>
      </c>
      <c r="L930" t="s">
        <v>4096</v>
      </c>
      <c r="M930" t="s">
        <v>46</v>
      </c>
      <c r="N930" t="s">
        <v>4085</v>
      </c>
      <c r="O930" t="s">
        <v>2271</v>
      </c>
      <c r="P930" t="s">
        <v>4087</v>
      </c>
      <c r="Q930" t="s">
        <v>4097</v>
      </c>
      <c r="R930">
        <v>6</v>
      </c>
      <c r="S930">
        <v>16</v>
      </c>
    </row>
    <row r="931" spans="1:19" x14ac:dyDescent="0.35">
      <c r="A931">
        <v>3959</v>
      </c>
      <c r="B931" t="s">
        <v>148</v>
      </c>
      <c r="C931" t="s">
        <v>20</v>
      </c>
      <c r="D931" t="s">
        <v>4098</v>
      </c>
      <c r="E931" t="s">
        <v>150</v>
      </c>
      <c r="F931" t="s">
        <v>4099</v>
      </c>
      <c r="G931" t="s">
        <v>2241</v>
      </c>
      <c r="H931" t="s">
        <v>4100</v>
      </c>
      <c r="I931" t="s">
        <v>4101</v>
      </c>
      <c r="J931" t="s">
        <v>4102</v>
      </c>
      <c r="M931" t="s">
        <v>38</v>
      </c>
      <c r="N931" t="s">
        <v>153</v>
      </c>
      <c r="O931" t="s">
        <v>4103</v>
      </c>
      <c r="P931" t="s">
        <v>153</v>
      </c>
      <c r="Q931" t="s">
        <v>4104</v>
      </c>
      <c r="R931">
        <v>6</v>
      </c>
      <c r="S931">
        <v>16</v>
      </c>
    </row>
    <row r="932" spans="1:19" x14ac:dyDescent="0.35">
      <c r="A932">
        <v>3958</v>
      </c>
      <c r="B932" t="s">
        <v>148</v>
      </c>
      <c r="C932" t="s">
        <v>20</v>
      </c>
      <c r="D932" t="s">
        <v>4098</v>
      </c>
      <c r="E932" t="s">
        <v>150</v>
      </c>
      <c r="F932" t="s">
        <v>4099</v>
      </c>
      <c r="G932" t="s">
        <v>2241</v>
      </c>
      <c r="H932" t="s">
        <v>4100</v>
      </c>
      <c r="I932" t="s">
        <v>4101</v>
      </c>
      <c r="J932" t="s">
        <v>4102</v>
      </c>
      <c r="M932" t="s">
        <v>38</v>
      </c>
      <c r="N932" t="s">
        <v>153</v>
      </c>
      <c r="O932" t="s">
        <v>4103</v>
      </c>
      <c r="P932" t="s">
        <v>153</v>
      </c>
      <c r="Q932" t="s">
        <v>4104</v>
      </c>
      <c r="R932">
        <v>6</v>
      </c>
      <c r="S932">
        <v>16</v>
      </c>
    </row>
    <row r="933" spans="1:19" x14ac:dyDescent="0.35">
      <c r="A933">
        <v>3957</v>
      </c>
      <c r="B933" t="s">
        <v>148</v>
      </c>
      <c r="C933" t="s">
        <v>20</v>
      </c>
      <c r="D933" t="s">
        <v>4098</v>
      </c>
      <c r="E933" t="s">
        <v>150</v>
      </c>
      <c r="F933" t="s">
        <v>4099</v>
      </c>
      <c r="G933" t="s">
        <v>2241</v>
      </c>
      <c r="H933" t="s">
        <v>4100</v>
      </c>
      <c r="I933" t="s">
        <v>4101</v>
      </c>
      <c r="J933" t="s">
        <v>4102</v>
      </c>
      <c r="M933" t="s">
        <v>38</v>
      </c>
      <c r="N933" t="s">
        <v>153</v>
      </c>
      <c r="O933" t="s">
        <v>4103</v>
      </c>
      <c r="P933" t="s">
        <v>153</v>
      </c>
      <c r="Q933" t="s">
        <v>4104</v>
      </c>
      <c r="R933">
        <v>6</v>
      </c>
      <c r="S933">
        <v>16</v>
      </c>
    </row>
    <row r="934" spans="1:19" x14ac:dyDescent="0.35">
      <c r="A934">
        <v>3955</v>
      </c>
      <c r="B934" t="s">
        <v>4105</v>
      </c>
      <c r="C934" t="s">
        <v>20</v>
      </c>
      <c r="D934" t="s">
        <v>4106</v>
      </c>
      <c r="E934" t="s">
        <v>4107</v>
      </c>
      <c r="F934" t="s">
        <v>4108</v>
      </c>
      <c r="G934" t="s">
        <v>4109</v>
      </c>
      <c r="H934" t="s">
        <v>4110</v>
      </c>
      <c r="I934" t="s">
        <v>4003</v>
      </c>
      <c r="J934" t="s">
        <v>3994</v>
      </c>
      <c r="K934" t="s">
        <v>4111</v>
      </c>
      <c r="L934" t="s">
        <v>4112</v>
      </c>
      <c r="M934" t="s">
        <v>38</v>
      </c>
      <c r="N934" t="s">
        <v>4113</v>
      </c>
      <c r="O934" t="s">
        <v>4005</v>
      </c>
      <c r="P934" t="s">
        <v>4113</v>
      </c>
      <c r="Q934" t="s">
        <v>4114</v>
      </c>
      <c r="R934">
        <v>6</v>
      </c>
      <c r="S934">
        <v>16</v>
      </c>
    </row>
    <row r="935" spans="1:19" x14ac:dyDescent="0.35">
      <c r="A935">
        <v>5482</v>
      </c>
      <c r="B935" t="s">
        <v>4115</v>
      </c>
      <c r="C935" t="s">
        <v>42</v>
      </c>
      <c r="D935" t="s">
        <v>4116</v>
      </c>
      <c r="E935" t="e" cm="1">
        <f t="array" ref="E935">- BETAMETHASONE DIPROPIONATE</f>
        <v>#NAME?</v>
      </c>
      <c r="F935" t="s">
        <v>4117</v>
      </c>
      <c r="H935">
        <v>0</v>
      </c>
      <c r="J935" t="s">
        <v>4118</v>
      </c>
      <c r="M935" t="s">
        <v>1289</v>
      </c>
      <c r="N935" t="s">
        <v>2685</v>
      </c>
      <c r="P935" t="s">
        <v>4119</v>
      </c>
      <c r="Q935" t="s">
        <v>4120</v>
      </c>
      <c r="R935">
        <v>6</v>
      </c>
      <c r="S935">
        <v>16</v>
      </c>
    </row>
    <row r="936" spans="1:19" x14ac:dyDescent="0.35">
      <c r="A936">
        <v>7781</v>
      </c>
      <c r="B936" t="s">
        <v>4121</v>
      </c>
      <c r="C936" t="s">
        <v>20</v>
      </c>
      <c r="D936" t="s">
        <v>4122</v>
      </c>
      <c r="E936" t="s">
        <v>4123</v>
      </c>
      <c r="F936" s="1">
        <v>250000</v>
      </c>
      <c r="G936" t="s">
        <v>4124</v>
      </c>
      <c r="H936" t="s">
        <v>4125</v>
      </c>
      <c r="I936" t="s">
        <v>3392</v>
      </c>
      <c r="J936" t="s">
        <v>4126</v>
      </c>
      <c r="L936" t="s">
        <v>4127</v>
      </c>
      <c r="M936" t="s">
        <v>63</v>
      </c>
      <c r="N936" t="s">
        <v>4128</v>
      </c>
      <c r="O936" t="s">
        <v>3396</v>
      </c>
      <c r="P936" t="s">
        <v>4128</v>
      </c>
      <c r="Q936" t="s">
        <v>4129</v>
      </c>
      <c r="R936">
        <v>6</v>
      </c>
      <c r="S936">
        <v>16</v>
      </c>
    </row>
    <row r="937" spans="1:19" x14ac:dyDescent="0.35">
      <c r="A937">
        <v>8512</v>
      </c>
      <c r="B937" t="s">
        <v>551</v>
      </c>
      <c r="C937" t="s">
        <v>42</v>
      </c>
      <c r="D937" t="s">
        <v>4130</v>
      </c>
      <c r="E937" t="e" cm="1">
        <f t="array" ref="E937">- POVIDONE-IODINE</f>
        <v>#NAME?</v>
      </c>
      <c r="F937" t="s">
        <v>4131</v>
      </c>
      <c r="J937" t="s">
        <v>4132</v>
      </c>
      <c r="M937" t="s">
        <v>554</v>
      </c>
      <c r="N937" t="s">
        <v>555</v>
      </c>
      <c r="P937" t="s">
        <v>4133</v>
      </c>
      <c r="Q937" t="s">
        <v>4134</v>
      </c>
      <c r="R937">
        <v>6</v>
      </c>
      <c r="S937">
        <v>16</v>
      </c>
    </row>
    <row r="938" spans="1:19" x14ac:dyDescent="0.35">
      <c r="A938">
        <v>8214</v>
      </c>
      <c r="B938" t="s">
        <v>551</v>
      </c>
      <c r="C938" t="s">
        <v>42</v>
      </c>
      <c r="D938" t="s">
        <v>4135</v>
      </c>
      <c r="E938" t="e" cm="1">
        <f t="array" ref="E938">- POVIDONE-IODINE</f>
        <v>#NAME?</v>
      </c>
      <c r="F938" t="s">
        <v>4136</v>
      </c>
      <c r="J938" t="s">
        <v>4137</v>
      </c>
      <c r="M938" t="s">
        <v>554</v>
      </c>
      <c r="N938" t="s">
        <v>555</v>
      </c>
      <c r="P938" t="s">
        <v>4138</v>
      </c>
      <c r="Q938" t="s">
        <v>4139</v>
      </c>
      <c r="R938">
        <v>6</v>
      </c>
      <c r="S938">
        <v>16</v>
      </c>
    </row>
    <row r="939" spans="1:19" x14ac:dyDescent="0.35">
      <c r="A939">
        <v>8130</v>
      </c>
      <c r="B939" t="s">
        <v>551</v>
      </c>
      <c r="C939" t="s">
        <v>42</v>
      </c>
      <c r="D939" t="s">
        <v>4140</v>
      </c>
      <c r="E939" t="e" cm="1">
        <f t="array" ref="E939">- POVIDONE-IODINE</f>
        <v>#NAME?</v>
      </c>
      <c r="F939" t="s">
        <v>4141</v>
      </c>
      <c r="G939" t="s">
        <v>4142</v>
      </c>
      <c r="H939" t="s">
        <v>1322</v>
      </c>
      <c r="J939" t="s">
        <v>4143</v>
      </c>
      <c r="L939" t="s">
        <v>4144</v>
      </c>
      <c r="M939" t="s">
        <v>554</v>
      </c>
      <c r="N939" t="s">
        <v>555</v>
      </c>
      <c r="P939" t="s">
        <v>4145</v>
      </c>
      <c r="Q939" t="s">
        <v>4146</v>
      </c>
      <c r="R939">
        <v>6</v>
      </c>
      <c r="S939">
        <v>16</v>
      </c>
    </row>
    <row r="940" spans="1:19" x14ac:dyDescent="0.35">
      <c r="A940">
        <v>7214</v>
      </c>
      <c r="B940" t="s">
        <v>4147</v>
      </c>
      <c r="C940" t="s">
        <v>20</v>
      </c>
      <c r="D940" t="s">
        <v>4148</v>
      </c>
      <c r="E940" t="s">
        <v>4149</v>
      </c>
      <c r="F940" t="s">
        <v>4150</v>
      </c>
      <c r="J940" t="s">
        <v>614</v>
      </c>
      <c r="M940" t="s">
        <v>2115</v>
      </c>
      <c r="N940" t="s">
        <v>4151</v>
      </c>
      <c r="P940" t="s">
        <v>4152</v>
      </c>
      <c r="Q940" t="s">
        <v>4153</v>
      </c>
      <c r="R940">
        <v>6</v>
      </c>
      <c r="S940">
        <v>16</v>
      </c>
    </row>
    <row r="941" spans="1:19" x14ac:dyDescent="0.35">
      <c r="A941">
        <v>7215</v>
      </c>
      <c r="B941" t="s">
        <v>4147</v>
      </c>
      <c r="C941" t="s">
        <v>20</v>
      </c>
      <c r="D941" t="s">
        <v>4154</v>
      </c>
      <c r="E941" t="s">
        <v>4149</v>
      </c>
      <c r="F941" t="s">
        <v>4155</v>
      </c>
      <c r="J941" t="s">
        <v>3275</v>
      </c>
      <c r="M941" t="s">
        <v>2115</v>
      </c>
      <c r="N941" t="s">
        <v>4151</v>
      </c>
      <c r="P941" t="s">
        <v>4152</v>
      </c>
      <c r="Q941" t="s">
        <v>4153</v>
      </c>
      <c r="R941">
        <v>6</v>
      </c>
      <c r="S941">
        <v>16</v>
      </c>
    </row>
    <row r="942" spans="1:19" x14ac:dyDescent="0.35">
      <c r="A942">
        <v>7216</v>
      </c>
      <c r="B942" t="s">
        <v>4147</v>
      </c>
      <c r="C942" t="s">
        <v>20</v>
      </c>
      <c r="D942" t="s">
        <v>4156</v>
      </c>
      <c r="E942" t="s">
        <v>4149</v>
      </c>
      <c r="F942" t="s">
        <v>4157</v>
      </c>
      <c r="J942" t="s">
        <v>846</v>
      </c>
      <c r="M942" t="s">
        <v>2115</v>
      </c>
      <c r="N942" t="s">
        <v>4151</v>
      </c>
      <c r="P942" t="s">
        <v>4152</v>
      </c>
      <c r="Q942" t="s">
        <v>4153</v>
      </c>
      <c r="R942">
        <v>6</v>
      </c>
      <c r="S942">
        <v>16</v>
      </c>
    </row>
    <row r="943" spans="1:19" x14ac:dyDescent="0.35">
      <c r="A943">
        <v>7217</v>
      </c>
      <c r="B943" t="s">
        <v>4158</v>
      </c>
      <c r="C943" t="s">
        <v>850</v>
      </c>
      <c r="D943" t="s">
        <v>4159</v>
      </c>
      <c r="E943" t="e" cm="1">
        <f t="array" ref="E943">- Citronella Oil</f>
        <v>#NAME?</v>
      </c>
      <c r="F943" t="s">
        <v>4160</v>
      </c>
      <c r="J943" t="s">
        <v>846</v>
      </c>
      <c r="M943" t="s">
        <v>2115</v>
      </c>
      <c r="N943" t="s">
        <v>4161</v>
      </c>
      <c r="P943" t="s">
        <v>4162</v>
      </c>
      <c r="Q943" t="s">
        <v>4163</v>
      </c>
      <c r="R943">
        <v>6</v>
      </c>
      <c r="S943">
        <v>16</v>
      </c>
    </row>
    <row r="944" spans="1:19" x14ac:dyDescent="0.35">
      <c r="A944">
        <v>8125</v>
      </c>
      <c r="B944" t="s">
        <v>551</v>
      </c>
      <c r="C944" t="s">
        <v>42</v>
      </c>
      <c r="D944" t="s">
        <v>4164</v>
      </c>
      <c r="E944" t="e" cm="1">
        <f t="array" ref="E944">- POVIDONE-IODINE</f>
        <v>#NAME?</v>
      </c>
      <c r="F944" t="s">
        <v>4165</v>
      </c>
      <c r="J944" t="s">
        <v>4166</v>
      </c>
      <c r="M944" t="s">
        <v>554</v>
      </c>
      <c r="N944" t="s">
        <v>555</v>
      </c>
      <c r="P944" t="s">
        <v>4167</v>
      </c>
      <c r="Q944" t="s">
        <v>4168</v>
      </c>
      <c r="R944">
        <v>6</v>
      </c>
      <c r="S944">
        <v>16</v>
      </c>
    </row>
    <row r="945" spans="1:19" x14ac:dyDescent="0.35">
      <c r="A945">
        <v>3243</v>
      </c>
      <c r="B945" t="s">
        <v>4169</v>
      </c>
      <c r="C945" t="s">
        <v>42</v>
      </c>
      <c r="D945" t="s">
        <v>4170</v>
      </c>
      <c r="E945" t="e" cm="1">
        <f t="array" ref="E945">- DRIED ALUMINIUM HYDROXIDE GEL</f>
        <v>#NAME?</v>
      </c>
      <c r="F945" t="s">
        <v>4171</v>
      </c>
      <c r="J945" t="s">
        <v>334</v>
      </c>
      <c r="M945" t="s">
        <v>340</v>
      </c>
      <c r="N945" t="s">
        <v>4172</v>
      </c>
      <c r="P945" t="s">
        <v>4173</v>
      </c>
      <c r="Q945" t="s">
        <v>4174</v>
      </c>
      <c r="R945">
        <v>6</v>
      </c>
      <c r="S945">
        <v>16</v>
      </c>
    </row>
    <row r="946" spans="1:19" x14ac:dyDescent="0.35">
      <c r="A946">
        <v>3232</v>
      </c>
      <c r="B946" t="s">
        <v>4175</v>
      </c>
      <c r="C946" t="s">
        <v>42</v>
      </c>
      <c r="D946" t="s">
        <v>4176</v>
      </c>
      <c r="E946" t="e" cm="1">
        <f t="array" ref="E946">- DRIED ALUMINIUM HYDROXIDE GEL</f>
        <v>#NAME?</v>
      </c>
      <c r="F946" t="s">
        <v>4177</v>
      </c>
      <c r="J946" t="s">
        <v>334</v>
      </c>
      <c r="M946" t="s">
        <v>340</v>
      </c>
      <c r="N946" t="s">
        <v>4172</v>
      </c>
      <c r="P946" t="s">
        <v>4178</v>
      </c>
      <c r="Q946" t="s">
        <v>4179</v>
      </c>
      <c r="R946">
        <v>6</v>
      </c>
      <c r="S946">
        <v>16</v>
      </c>
    </row>
    <row r="947" spans="1:19" x14ac:dyDescent="0.35">
      <c r="A947">
        <v>3219</v>
      </c>
      <c r="B947" t="s">
        <v>4180</v>
      </c>
      <c r="C947" t="s">
        <v>42</v>
      </c>
      <c r="D947" t="s">
        <v>4181</v>
      </c>
      <c r="E947" t="e" cm="1">
        <f t="array" ref="E947">- DRIED ALUMINIUM HYDROXIDE GEL</f>
        <v>#NAME?</v>
      </c>
      <c r="F947" t="s">
        <v>4182</v>
      </c>
      <c r="M947" t="s">
        <v>46</v>
      </c>
      <c r="N947" t="s">
        <v>4172</v>
      </c>
      <c r="P947" t="s">
        <v>4183</v>
      </c>
      <c r="Q947" t="s">
        <v>4184</v>
      </c>
      <c r="R947">
        <v>6</v>
      </c>
      <c r="S947">
        <v>16</v>
      </c>
    </row>
    <row r="948" spans="1:19" x14ac:dyDescent="0.35">
      <c r="A948">
        <v>7188</v>
      </c>
      <c r="B948" t="s">
        <v>4185</v>
      </c>
      <c r="C948" t="s">
        <v>20</v>
      </c>
      <c r="D948" t="s">
        <v>4186</v>
      </c>
      <c r="E948" t="s">
        <v>4187</v>
      </c>
      <c r="F948" t="s">
        <v>4188</v>
      </c>
      <c r="J948" t="s">
        <v>614</v>
      </c>
      <c r="M948" t="s">
        <v>2115</v>
      </c>
      <c r="N948" t="s">
        <v>4189</v>
      </c>
      <c r="P948" t="s">
        <v>4190</v>
      </c>
      <c r="Q948" t="s">
        <v>4191</v>
      </c>
      <c r="R948">
        <v>6</v>
      </c>
      <c r="S948">
        <v>16</v>
      </c>
    </row>
    <row r="949" spans="1:19" x14ac:dyDescent="0.35">
      <c r="A949">
        <v>7244</v>
      </c>
      <c r="B949" t="s">
        <v>4192</v>
      </c>
      <c r="C949" t="s">
        <v>850</v>
      </c>
      <c r="D949" t="s">
        <v>4193</v>
      </c>
      <c r="E949" t="e" cm="1">
        <f t="array" ref="E949">- Menthol</f>
        <v>#NAME?</v>
      </c>
      <c r="F949" t="s">
        <v>4194</v>
      </c>
      <c r="J949" t="s">
        <v>636</v>
      </c>
      <c r="M949" t="s">
        <v>1289</v>
      </c>
      <c r="N949" t="s">
        <v>2034</v>
      </c>
      <c r="P949" t="s">
        <v>4195</v>
      </c>
      <c r="Q949" t="s">
        <v>4196</v>
      </c>
      <c r="R949">
        <v>6</v>
      </c>
      <c r="S949">
        <v>16</v>
      </c>
    </row>
    <row r="950" spans="1:19" x14ac:dyDescent="0.35">
      <c r="A950">
        <v>7246</v>
      </c>
      <c r="B950" t="s">
        <v>4192</v>
      </c>
      <c r="C950" t="s">
        <v>850</v>
      </c>
      <c r="D950" t="s">
        <v>4193</v>
      </c>
      <c r="E950" t="e" cm="1">
        <f t="array" ref="E950">- Menthol</f>
        <v>#NAME?</v>
      </c>
      <c r="F950" t="s">
        <v>4194</v>
      </c>
      <c r="J950" t="s">
        <v>636</v>
      </c>
      <c r="M950" t="s">
        <v>1289</v>
      </c>
      <c r="N950" t="s">
        <v>2034</v>
      </c>
      <c r="P950" t="s">
        <v>4195</v>
      </c>
      <c r="Q950" t="s">
        <v>4196</v>
      </c>
      <c r="R950">
        <v>6</v>
      </c>
      <c r="S950">
        <v>16</v>
      </c>
    </row>
    <row r="951" spans="1:19" x14ac:dyDescent="0.35">
      <c r="A951">
        <v>8124</v>
      </c>
      <c r="B951" t="s">
        <v>551</v>
      </c>
      <c r="C951" t="s">
        <v>42</v>
      </c>
      <c r="D951" t="s">
        <v>4164</v>
      </c>
      <c r="E951" t="e" cm="1">
        <f t="array" ref="E951">- POVIDONE-IODINE</f>
        <v>#NAME?</v>
      </c>
      <c r="F951" t="s">
        <v>4165</v>
      </c>
      <c r="J951" t="s">
        <v>4166</v>
      </c>
      <c r="M951" t="s">
        <v>554</v>
      </c>
      <c r="N951" t="s">
        <v>555</v>
      </c>
      <c r="P951" t="s">
        <v>4167</v>
      </c>
      <c r="Q951" t="s">
        <v>4168</v>
      </c>
      <c r="R951">
        <v>6</v>
      </c>
      <c r="S951">
        <v>16</v>
      </c>
    </row>
    <row r="952" spans="1:19" x14ac:dyDescent="0.35">
      <c r="A952">
        <v>7253</v>
      </c>
      <c r="B952" t="s">
        <v>4197</v>
      </c>
      <c r="C952" t="s">
        <v>20</v>
      </c>
      <c r="D952" t="s">
        <v>4198</v>
      </c>
      <c r="E952" t="s">
        <v>4199</v>
      </c>
      <c r="F952" t="s">
        <v>4200</v>
      </c>
      <c r="J952" t="s">
        <v>4201</v>
      </c>
      <c r="M952" t="s">
        <v>2115</v>
      </c>
      <c r="N952" t="s">
        <v>4202</v>
      </c>
      <c r="P952" t="s">
        <v>4203</v>
      </c>
      <c r="Q952" t="s">
        <v>4204</v>
      </c>
      <c r="R952">
        <v>6</v>
      </c>
      <c r="S952">
        <v>16</v>
      </c>
    </row>
    <row r="953" spans="1:19" x14ac:dyDescent="0.35">
      <c r="A953">
        <v>7254</v>
      </c>
      <c r="B953" t="s">
        <v>4197</v>
      </c>
      <c r="C953" t="s">
        <v>20</v>
      </c>
      <c r="D953" t="s">
        <v>4205</v>
      </c>
      <c r="E953" t="s">
        <v>4199</v>
      </c>
      <c r="F953" t="s">
        <v>4206</v>
      </c>
      <c r="J953" t="s">
        <v>3275</v>
      </c>
      <c r="M953" t="s">
        <v>2115</v>
      </c>
      <c r="N953" t="s">
        <v>4202</v>
      </c>
      <c r="P953" t="s">
        <v>4203</v>
      </c>
      <c r="Q953" t="s">
        <v>4204</v>
      </c>
      <c r="R953">
        <v>6</v>
      </c>
      <c r="S953">
        <v>16</v>
      </c>
    </row>
    <row r="954" spans="1:19" x14ac:dyDescent="0.35">
      <c r="A954">
        <v>8025</v>
      </c>
      <c r="B954" t="s">
        <v>4207</v>
      </c>
      <c r="C954" t="s">
        <v>20</v>
      </c>
      <c r="D954" t="s">
        <v>4208</v>
      </c>
      <c r="E954" t="s">
        <v>4209</v>
      </c>
      <c r="F954" t="s">
        <v>4210</v>
      </c>
      <c r="G954" t="s">
        <v>4211</v>
      </c>
      <c r="H954" t="s">
        <v>4212</v>
      </c>
      <c r="I954" t="s">
        <v>4213</v>
      </c>
      <c r="J954" t="s">
        <v>4214</v>
      </c>
      <c r="K954" t="s">
        <v>2726</v>
      </c>
      <c r="L954" t="s">
        <v>4215</v>
      </c>
      <c r="M954" t="s">
        <v>291</v>
      </c>
      <c r="N954" t="s">
        <v>4216</v>
      </c>
      <c r="O954" t="s">
        <v>4217</v>
      </c>
      <c r="P954" t="s">
        <v>4216</v>
      </c>
      <c r="Q954" t="s">
        <v>4218</v>
      </c>
      <c r="R954">
        <v>6</v>
      </c>
      <c r="S954">
        <v>16</v>
      </c>
    </row>
    <row r="955" spans="1:19" x14ac:dyDescent="0.35">
      <c r="A955">
        <v>3142</v>
      </c>
      <c r="B955" t="s">
        <v>4219</v>
      </c>
      <c r="C955" t="s">
        <v>42</v>
      </c>
      <c r="D955" t="s">
        <v>4220</v>
      </c>
      <c r="E955" t="e" cm="1">
        <f t="array" ref="E955">- LANSOPRAZOLE</f>
        <v>#NAME?</v>
      </c>
      <c r="F955" t="s">
        <v>4221</v>
      </c>
      <c r="G955" t="s">
        <v>1724</v>
      </c>
      <c r="H955" t="s">
        <v>4222</v>
      </c>
      <c r="I955" t="s">
        <v>4223</v>
      </c>
      <c r="J955" t="s">
        <v>4224</v>
      </c>
      <c r="L955" t="s">
        <v>270</v>
      </c>
      <c r="M955" t="s">
        <v>38</v>
      </c>
      <c r="N955" t="s">
        <v>4225</v>
      </c>
      <c r="O955" t="s">
        <v>4223</v>
      </c>
      <c r="P955" t="s">
        <v>4226</v>
      </c>
      <c r="Q955" t="s">
        <v>4227</v>
      </c>
      <c r="R955">
        <v>6</v>
      </c>
      <c r="S955">
        <v>16</v>
      </c>
    </row>
    <row r="956" spans="1:19" x14ac:dyDescent="0.35">
      <c r="A956">
        <v>7323</v>
      </c>
      <c r="B956" t="s">
        <v>3227</v>
      </c>
      <c r="C956" t="s">
        <v>42</v>
      </c>
      <c r="D956" t="s">
        <v>3228</v>
      </c>
      <c r="E956" t="e" cm="1">
        <f t="array" ref="E956">- DROSPIRENONE. ETHINYLESTRADIOL</f>
        <v>#NAME?</v>
      </c>
      <c r="F956" t="s">
        <v>3229</v>
      </c>
      <c r="G956" t="s">
        <v>3230</v>
      </c>
      <c r="H956" t="s">
        <v>3231</v>
      </c>
      <c r="I956" t="s">
        <v>3232</v>
      </c>
      <c r="J956" t="s">
        <v>3233</v>
      </c>
      <c r="K956" t="s">
        <v>3234</v>
      </c>
      <c r="L956" t="s">
        <v>3235</v>
      </c>
      <c r="M956" t="s">
        <v>46</v>
      </c>
      <c r="N956" t="s">
        <v>4228</v>
      </c>
      <c r="O956" t="s">
        <v>3237</v>
      </c>
      <c r="P956" t="s">
        <v>3238</v>
      </c>
      <c r="Q956" t="s">
        <v>4229</v>
      </c>
      <c r="R956">
        <v>6</v>
      </c>
      <c r="S956">
        <v>16</v>
      </c>
    </row>
    <row r="957" spans="1:19" x14ac:dyDescent="0.35">
      <c r="A957">
        <v>7978</v>
      </c>
      <c r="B957" t="s">
        <v>4230</v>
      </c>
      <c r="C957" t="s">
        <v>20</v>
      </c>
      <c r="D957" t="s">
        <v>4231</v>
      </c>
      <c r="E957" t="s">
        <v>646</v>
      </c>
      <c r="F957" t="s">
        <v>4232</v>
      </c>
      <c r="J957" t="s">
        <v>4233</v>
      </c>
      <c r="M957" t="s">
        <v>2374</v>
      </c>
      <c r="N957" t="s">
        <v>648</v>
      </c>
      <c r="P957" t="s">
        <v>4234</v>
      </c>
      <c r="Q957" t="s">
        <v>4235</v>
      </c>
      <c r="R957">
        <v>6</v>
      </c>
      <c r="S957">
        <v>16</v>
      </c>
    </row>
    <row r="958" spans="1:19" x14ac:dyDescent="0.35">
      <c r="A958">
        <v>7974</v>
      </c>
      <c r="B958" t="s">
        <v>4236</v>
      </c>
      <c r="C958" t="s">
        <v>20</v>
      </c>
      <c r="D958" t="s">
        <v>4237</v>
      </c>
      <c r="E958" t="s">
        <v>4238</v>
      </c>
      <c r="F958" s="1">
        <v>69300</v>
      </c>
      <c r="J958" t="s">
        <v>3964</v>
      </c>
      <c r="M958" t="s">
        <v>2374</v>
      </c>
      <c r="N958" t="s">
        <v>4239</v>
      </c>
      <c r="P958" t="s">
        <v>4240</v>
      </c>
      <c r="Q958" t="s">
        <v>4241</v>
      </c>
      <c r="R958">
        <v>6</v>
      </c>
      <c r="S958">
        <v>16</v>
      </c>
    </row>
    <row r="959" spans="1:19" x14ac:dyDescent="0.35">
      <c r="A959">
        <v>7245</v>
      </c>
      <c r="B959" t="s">
        <v>4192</v>
      </c>
      <c r="C959" t="s">
        <v>850</v>
      </c>
      <c r="D959" t="s">
        <v>4193</v>
      </c>
      <c r="E959" t="e" cm="1">
        <f t="array" ref="E959">- Menthol</f>
        <v>#NAME?</v>
      </c>
      <c r="F959" t="s">
        <v>4194</v>
      </c>
      <c r="J959" t="s">
        <v>636</v>
      </c>
      <c r="M959" t="s">
        <v>1289</v>
      </c>
      <c r="N959" t="s">
        <v>2034</v>
      </c>
      <c r="P959" t="s">
        <v>4195</v>
      </c>
      <c r="Q959" t="s">
        <v>4196</v>
      </c>
      <c r="R959">
        <v>6</v>
      </c>
      <c r="S959">
        <v>16</v>
      </c>
    </row>
    <row r="960" spans="1:19" x14ac:dyDescent="0.35">
      <c r="A960">
        <v>8131</v>
      </c>
      <c r="B960" t="s">
        <v>551</v>
      </c>
      <c r="C960" t="s">
        <v>42</v>
      </c>
      <c r="D960" t="s">
        <v>4140</v>
      </c>
      <c r="E960" t="e" cm="1">
        <f t="array" ref="E960">- POVIDONE-IODINE</f>
        <v>#NAME?</v>
      </c>
      <c r="F960" t="s">
        <v>4141</v>
      </c>
      <c r="G960" t="s">
        <v>4142</v>
      </c>
      <c r="H960" t="s">
        <v>1322</v>
      </c>
      <c r="J960" t="s">
        <v>4143</v>
      </c>
      <c r="L960" t="s">
        <v>4144</v>
      </c>
      <c r="M960" t="s">
        <v>554</v>
      </c>
      <c r="N960" t="s">
        <v>555</v>
      </c>
      <c r="P960" t="s">
        <v>4145</v>
      </c>
      <c r="Q960" t="s">
        <v>4146</v>
      </c>
      <c r="R960">
        <v>6</v>
      </c>
      <c r="S960">
        <v>16</v>
      </c>
    </row>
    <row r="961" spans="1:19" x14ac:dyDescent="0.35">
      <c r="A961">
        <v>7125</v>
      </c>
      <c r="B961" t="s">
        <v>4242</v>
      </c>
      <c r="C961" t="s">
        <v>850</v>
      </c>
      <c r="D961" t="s">
        <v>4243</v>
      </c>
      <c r="E961" t="e" cm="1">
        <f t="array" ref="E961">- Camphora</f>
        <v>#NAME?</v>
      </c>
      <c r="F961" t="s">
        <v>4244</v>
      </c>
      <c r="J961" t="s">
        <v>4245</v>
      </c>
      <c r="N961" t="s">
        <v>3633</v>
      </c>
      <c r="P961" t="s">
        <v>4246</v>
      </c>
      <c r="Q961" t="s">
        <v>4247</v>
      </c>
      <c r="R961">
        <v>6</v>
      </c>
      <c r="S961">
        <v>16</v>
      </c>
    </row>
    <row r="962" spans="1:19" x14ac:dyDescent="0.35">
      <c r="A962">
        <v>8204</v>
      </c>
      <c r="B962" t="s">
        <v>551</v>
      </c>
      <c r="C962" t="s">
        <v>42</v>
      </c>
      <c r="D962" t="s">
        <v>4248</v>
      </c>
      <c r="E962" t="e" cm="1">
        <f t="array" ref="E962">- POVIDONE-IODINE</f>
        <v>#NAME?</v>
      </c>
      <c r="F962" t="s">
        <v>4249</v>
      </c>
      <c r="J962" t="s">
        <v>4250</v>
      </c>
      <c r="M962" t="s">
        <v>554</v>
      </c>
      <c r="N962" t="s">
        <v>555</v>
      </c>
      <c r="P962" t="s">
        <v>4251</v>
      </c>
      <c r="Q962" t="s">
        <v>4252</v>
      </c>
      <c r="R962">
        <v>6</v>
      </c>
      <c r="S962">
        <v>16</v>
      </c>
    </row>
    <row r="963" spans="1:19" x14ac:dyDescent="0.35">
      <c r="A963">
        <v>6898</v>
      </c>
      <c r="B963" t="s">
        <v>4253</v>
      </c>
      <c r="C963" t="s">
        <v>850</v>
      </c>
      <c r="D963" t="s">
        <v>4254</v>
      </c>
      <c r="E963" t="e" cm="1">
        <f t="array" ref="E963">- Capsicum Extract</f>
        <v>#NAME?</v>
      </c>
      <c r="F963" t="s">
        <v>4255</v>
      </c>
      <c r="J963" t="s">
        <v>4256</v>
      </c>
      <c r="N963" t="s">
        <v>3318</v>
      </c>
      <c r="P963" t="s">
        <v>4257</v>
      </c>
      <c r="Q963" t="s">
        <v>4258</v>
      </c>
      <c r="R963">
        <v>6</v>
      </c>
      <c r="S963">
        <v>16</v>
      </c>
    </row>
    <row r="964" spans="1:19" x14ac:dyDescent="0.35">
      <c r="A964">
        <v>8242</v>
      </c>
      <c r="B964" t="s">
        <v>551</v>
      </c>
      <c r="C964" t="s">
        <v>42</v>
      </c>
      <c r="D964" t="s">
        <v>4259</v>
      </c>
      <c r="E964" t="e" cm="1">
        <f t="array" ref="E964">- POVIDONE-IODINE</f>
        <v>#NAME?</v>
      </c>
      <c r="F964" t="s">
        <v>4260</v>
      </c>
      <c r="J964" t="s">
        <v>4261</v>
      </c>
      <c r="M964" t="s">
        <v>554</v>
      </c>
      <c r="N964" t="s">
        <v>555</v>
      </c>
      <c r="P964" t="s">
        <v>4262</v>
      </c>
      <c r="Q964" t="s">
        <v>4263</v>
      </c>
      <c r="R964">
        <v>6</v>
      </c>
      <c r="S964">
        <v>16</v>
      </c>
    </row>
    <row r="965" spans="1:19" x14ac:dyDescent="0.35">
      <c r="A965">
        <v>8229</v>
      </c>
      <c r="B965" t="s">
        <v>551</v>
      </c>
      <c r="C965" t="s">
        <v>42</v>
      </c>
      <c r="D965" t="s">
        <v>4264</v>
      </c>
      <c r="E965" t="e" cm="1">
        <f t="array" ref="E965">- POVIDONE-IODINE</f>
        <v>#NAME?</v>
      </c>
      <c r="F965" t="s">
        <v>4265</v>
      </c>
      <c r="J965" t="s">
        <v>4266</v>
      </c>
      <c r="M965" t="s">
        <v>554</v>
      </c>
      <c r="N965" t="s">
        <v>555</v>
      </c>
      <c r="P965" t="s">
        <v>4267</v>
      </c>
      <c r="Q965" t="s">
        <v>4268</v>
      </c>
      <c r="R965">
        <v>6</v>
      </c>
      <c r="S965">
        <v>16</v>
      </c>
    </row>
    <row r="966" spans="1:19" x14ac:dyDescent="0.35">
      <c r="A966">
        <v>8228</v>
      </c>
      <c r="B966" t="s">
        <v>551</v>
      </c>
      <c r="C966" t="s">
        <v>42</v>
      </c>
      <c r="D966" t="s">
        <v>4264</v>
      </c>
      <c r="E966" t="e" cm="1">
        <f t="array" ref="E966">- POVIDONE-IODINE</f>
        <v>#NAME?</v>
      </c>
      <c r="F966" t="s">
        <v>4265</v>
      </c>
      <c r="J966" t="s">
        <v>4266</v>
      </c>
      <c r="M966" t="s">
        <v>554</v>
      </c>
      <c r="N966" t="s">
        <v>555</v>
      </c>
      <c r="P966" t="s">
        <v>4267</v>
      </c>
      <c r="Q966" t="s">
        <v>4268</v>
      </c>
      <c r="R966">
        <v>6</v>
      </c>
      <c r="S966">
        <v>16</v>
      </c>
    </row>
    <row r="967" spans="1:19" x14ac:dyDescent="0.35">
      <c r="A967">
        <v>8221</v>
      </c>
      <c r="B967" t="s">
        <v>551</v>
      </c>
      <c r="C967" t="s">
        <v>42</v>
      </c>
      <c r="D967" t="s">
        <v>4269</v>
      </c>
      <c r="E967" t="e" cm="1">
        <f t="array" ref="E967">- POVIDONE-IODINE</f>
        <v>#NAME?</v>
      </c>
      <c r="F967" t="s">
        <v>4270</v>
      </c>
      <c r="H967" t="s">
        <v>1322</v>
      </c>
      <c r="J967" t="s">
        <v>4271</v>
      </c>
      <c r="M967" t="s">
        <v>554</v>
      </c>
      <c r="N967" t="s">
        <v>555</v>
      </c>
      <c r="P967" t="s">
        <v>4272</v>
      </c>
      <c r="Q967" t="s">
        <v>4273</v>
      </c>
      <c r="R967">
        <v>6</v>
      </c>
      <c r="S967">
        <v>16</v>
      </c>
    </row>
    <row r="968" spans="1:19" x14ac:dyDescent="0.35">
      <c r="A968">
        <v>8220</v>
      </c>
      <c r="B968" t="s">
        <v>551</v>
      </c>
      <c r="C968" t="s">
        <v>42</v>
      </c>
      <c r="D968" t="s">
        <v>4269</v>
      </c>
      <c r="E968" t="e" cm="1">
        <f t="array" ref="E968">- POVIDONE-IODINE</f>
        <v>#NAME?</v>
      </c>
      <c r="F968" t="s">
        <v>4270</v>
      </c>
      <c r="H968" t="s">
        <v>1322</v>
      </c>
      <c r="J968" t="s">
        <v>4271</v>
      </c>
      <c r="M968" t="s">
        <v>554</v>
      </c>
      <c r="N968" t="s">
        <v>555</v>
      </c>
      <c r="P968" t="s">
        <v>4272</v>
      </c>
      <c r="Q968" t="s">
        <v>4273</v>
      </c>
      <c r="R968">
        <v>6</v>
      </c>
      <c r="S968">
        <v>16</v>
      </c>
    </row>
    <row r="969" spans="1:19" x14ac:dyDescent="0.35">
      <c r="A969">
        <v>3418</v>
      </c>
      <c r="B969" t="s">
        <v>4274</v>
      </c>
      <c r="C969" t="s">
        <v>42</v>
      </c>
      <c r="D969" t="s">
        <v>4275</v>
      </c>
      <c r="E969" t="e" cm="1">
        <f t="array" ref="E969">- DRIED ALUMINIUM HYDROXIDE GEL</f>
        <v>#NAME?</v>
      </c>
      <c r="F969" t="s">
        <v>4276</v>
      </c>
      <c r="J969" t="s">
        <v>381</v>
      </c>
      <c r="M969" t="s">
        <v>46</v>
      </c>
      <c r="N969" t="s">
        <v>4172</v>
      </c>
      <c r="P969" t="s">
        <v>4277</v>
      </c>
      <c r="Q969" t="s">
        <v>4278</v>
      </c>
      <c r="R969">
        <v>6</v>
      </c>
      <c r="S969">
        <v>16</v>
      </c>
    </row>
    <row r="970" spans="1:19" x14ac:dyDescent="0.35">
      <c r="A970">
        <v>3397</v>
      </c>
      <c r="B970" t="s">
        <v>4279</v>
      </c>
      <c r="C970" t="s">
        <v>42</v>
      </c>
      <c r="D970" t="s">
        <v>4280</v>
      </c>
      <c r="E970" t="e" cm="1">
        <f t="array" ref="E970">- REBAMIPIDE</f>
        <v>#NAME?</v>
      </c>
      <c r="F970" t="s">
        <v>4281</v>
      </c>
      <c r="I970" t="s">
        <v>4282</v>
      </c>
      <c r="J970" t="s">
        <v>1093</v>
      </c>
      <c r="M970" t="s">
        <v>46</v>
      </c>
      <c r="N970" t="s">
        <v>390</v>
      </c>
      <c r="O970" t="s">
        <v>4283</v>
      </c>
      <c r="P970" t="s">
        <v>4284</v>
      </c>
      <c r="Q970" t="s">
        <v>4285</v>
      </c>
      <c r="R970">
        <v>6</v>
      </c>
      <c r="S970">
        <v>16</v>
      </c>
    </row>
    <row r="971" spans="1:19" x14ac:dyDescent="0.35">
      <c r="A971">
        <v>3392</v>
      </c>
      <c r="B971" t="s">
        <v>4286</v>
      </c>
      <c r="C971" t="s">
        <v>42</v>
      </c>
      <c r="D971" t="s">
        <v>4287</v>
      </c>
      <c r="E971" t="e" cm="1">
        <f t="array" ref="E971">- REBAMIPIDE</f>
        <v>#NAME?</v>
      </c>
      <c r="F971" t="s">
        <v>4288</v>
      </c>
      <c r="G971" t="s">
        <v>4289</v>
      </c>
      <c r="H971" t="s">
        <v>389</v>
      </c>
      <c r="I971" t="s">
        <v>4290</v>
      </c>
      <c r="J971" t="s">
        <v>4291</v>
      </c>
      <c r="K971" t="s">
        <v>4292</v>
      </c>
      <c r="L971" t="s">
        <v>4293</v>
      </c>
      <c r="M971" t="s">
        <v>46</v>
      </c>
      <c r="N971" t="s">
        <v>390</v>
      </c>
      <c r="O971" t="s">
        <v>4294</v>
      </c>
      <c r="P971" t="s">
        <v>4295</v>
      </c>
      <c r="Q971" t="s">
        <v>4296</v>
      </c>
      <c r="R971">
        <v>6</v>
      </c>
      <c r="S971">
        <v>16</v>
      </c>
    </row>
    <row r="972" spans="1:19" x14ac:dyDescent="0.35">
      <c r="A972">
        <v>3391</v>
      </c>
      <c r="B972" t="s">
        <v>4297</v>
      </c>
      <c r="C972" t="s">
        <v>42</v>
      </c>
      <c r="D972" t="s">
        <v>4298</v>
      </c>
      <c r="E972" t="e" cm="1">
        <f t="array" ref="E972">- REBAMIPIDE</f>
        <v>#NAME?</v>
      </c>
      <c r="F972" t="s">
        <v>4299</v>
      </c>
      <c r="G972" t="s">
        <v>1724</v>
      </c>
      <c r="H972" t="s">
        <v>389</v>
      </c>
      <c r="I972" t="s">
        <v>4290</v>
      </c>
      <c r="L972" t="s">
        <v>270</v>
      </c>
      <c r="M972" t="s">
        <v>46</v>
      </c>
      <c r="N972" t="s">
        <v>390</v>
      </c>
      <c r="O972" t="s">
        <v>4294</v>
      </c>
      <c r="P972" t="s">
        <v>4300</v>
      </c>
      <c r="Q972" t="s">
        <v>4301</v>
      </c>
      <c r="R972">
        <v>6</v>
      </c>
      <c r="S972">
        <v>16</v>
      </c>
    </row>
    <row r="973" spans="1:19" x14ac:dyDescent="0.35">
      <c r="A973">
        <v>8217</v>
      </c>
      <c r="B973" t="s">
        <v>551</v>
      </c>
      <c r="C973" t="s">
        <v>42</v>
      </c>
      <c r="D973" t="s">
        <v>4302</v>
      </c>
      <c r="E973" t="e" cm="1">
        <f t="array" ref="E973">- POVIDONE-IODINE</f>
        <v>#NAME?</v>
      </c>
      <c r="F973" s="1">
        <v>96100</v>
      </c>
      <c r="J973" t="s">
        <v>4303</v>
      </c>
      <c r="M973" t="s">
        <v>554</v>
      </c>
      <c r="N973" t="s">
        <v>555</v>
      </c>
      <c r="P973" t="s">
        <v>4304</v>
      </c>
      <c r="Q973" t="s">
        <v>4305</v>
      </c>
      <c r="R973">
        <v>6</v>
      </c>
      <c r="S973">
        <v>16</v>
      </c>
    </row>
    <row r="974" spans="1:19" x14ac:dyDescent="0.35">
      <c r="A974">
        <v>8216</v>
      </c>
      <c r="B974" t="s">
        <v>551</v>
      </c>
      <c r="C974" t="s">
        <v>42</v>
      </c>
      <c r="D974" t="s">
        <v>4302</v>
      </c>
      <c r="E974" t="e" cm="1">
        <f t="array" ref="E974">- POVIDONE-IODINE</f>
        <v>#NAME?</v>
      </c>
      <c r="F974" s="1">
        <v>96100</v>
      </c>
      <c r="J974" t="s">
        <v>4303</v>
      </c>
      <c r="M974" t="s">
        <v>554</v>
      </c>
      <c r="N974" t="s">
        <v>555</v>
      </c>
      <c r="P974" t="s">
        <v>4304</v>
      </c>
      <c r="Q974" t="s">
        <v>4305</v>
      </c>
      <c r="R974">
        <v>6</v>
      </c>
      <c r="S974">
        <v>16</v>
      </c>
    </row>
    <row r="975" spans="1:19" x14ac:dyDescent="0.35">
      <c r="A975">
        <v>3328</v>
      </c>
      <c r="B975" t="s">
        <v>4306</v>
      </c>
      <c r="C975" t="s">
        <v>42</v>
      </c>
      <c r="D975" t="s">
        <v>4307</v>
      </c>
      <c r="E975" t="e" cm="1">
        <f t="array" ref="E975">- DRIED ALUMINIUM HYDROXIDE GEL</f>
        <v>#NAME?</v>
      </c>
      <c r="F975" t="s">
        <v>4308</v>
      </c>
      <c r="J975" t="s">
        <v>945</v>
      </c>
      <c r="M975" t="s">
        <v>340</v>
      </c>
      <c r="N975" t="s">
        <v>4172</v>
      </c>
      <c r="P975" t="s">
        <v>4309</v>
      </c>
      <c r="Q975" t="s">
        <v>4310</v>
      </c>
      <c r="R975">
        <v>6</v>
      </c>
      <c r="S975">
        <v>16</v>
      </c>
    </row>
    <row r="976" spans="1:19" x14ac:dyDescent="0.35">
      <c r="A976">
        <v>8215</v>
      </c>
      <c r="B976" t="s">
        <v>551</v>
      </c>
      <c r="C976" t="s">
        <v>42</v>
      </c>
      <c r="D976" t="s">
        <v>4135</v>
      </c>
      <c r="E976" t="e" cm="1">
        <f t="array" ref="E976">- POVIDONE-IODINE</f>
        <v>#NAME?</v>
      </c>
      <c r="F976" t="s">
        <v>4136</v>
      </c>
      <c r="J976" t="s">
        <v>4137</v>
      </c>
      <c r="M976" t="s">
        <v>554</v>
      </c>
      <c r="N976" t="s">
        <v>555</v>
      </c>
      <c r="P976" t="s">
        <v>4138</v>
      </c>
      <c r="Q976" t="s">
        <v>4139</v>
      </c>
      <c r="R976">
        <v>6</v>
      </c>
      <c r="S976">
        <v>16</v>
      </c>
    </row>
    <row r="977" spans="1:19" x14ac:dyDescent="0.35">
      <c r="A977">
        <v>9188</v>
      </c>
      <c r="B977" t="s">
        <v>4311</v>
      </c>
      <c r="C977" t="s">
        <v>42</v>
      </c>
      <c r="D977" t="s">
        <v>4312</v>
      </c>
      <c r="E977" t="e" cm="1">
        <f t="array" ref="E977">- HYDROCHLOROTHIAZIDE</f>
        <v>#NAME?</v>
      </c>
      <c r="F977" t="s">
        <v>4313</v>
      </c>
      <c r="G977" t="s">
        <v>60</v>
      </c>
      <c r="H977" t="s">
        <v>4314</v>
      </c>
      <c r="I977" t="s">
        <v>2917</v>
      </c>
      <c r="J977" t="s">
        <v>4315</v>
      </c>
      <c r="K977" t="s">
        <v>4316</v>
      </c>
      <c r="L977" t="s">
        <v>4317</v>
      </c>
      <c r="M977" t="s">
        <v>291</v>
      </c>
      <c r="N977" t="s">
        <v>2647</v>
      </c>
      <c r="O977" t="s">
        <v>2271</v>
      </c>
      <c r="P977" t="s">
        <v>4318</v>
      </c>
      <c r="Q977" t="s">
        <v>4319</v>
      </c>
      <c r="R977">
        <v>6</v>
      </c>
      <c r="S977">
        <v>16</v>
      </c>
    </row>
    <row r="978" spans="1:19" x14ac:dyDescent="0.35">
      <c r="A978">
        <v>693</v>
      </c>
      <c r="B978" t="s">
        <v>4320</v>
      </c>
      <c r="C978" t="s">
        <v>20</v>
      </c>
      <c r="D978" t="s">
        <v>4321</v>
      </c>
      <c r="E978" t="s">
        <v>4322</v>
      </c>
      <c r="F978" t="s">
        <v>4323</v>
      </c>
      <c r="J978" t="s">
        <v>3856</v>
      </c>
      <c r="M978" t="s">
        <v>2115</v>
      </c>
      <c r="N978" t="s">
        <v>4324</v>
      </c>
      <c r="P978" t="s">
        <v>4325</v>
      </c>
      <c r="Q978" t="s">
        <v>4326</v>
      </c>
      <c r="R978">
        <v>6</v>
      </c>
      <c r="S978">
        <v>16</v>
      </c>
    </row>
    <row r="979" spans="1:19" x14ac:dyDescent="0.35">
      <c r="A979">
        <v>8209</v>
      </c>
      <c r="B979" t="s">
        <v>551</v>
      </c>
      <c r="C979" t="s">
        <v>42</v>
      </c>
      <c r="D979" t="s">
        <v>4327</v>
      </c>
      <c r="E979" t="e" cm="1">
        <f t="array" ref="E979">- POVIDONE-IODINE</f>
        <v>#NAME?</v>
      </c>
      <c r="F979" t="s">
        <v>4328</v>
      </c>
      <c r="H979" t="s">
        <v>4329</v>
      </c>
      <c r="M979" t="s">
        <v>554</v>
      </c>
      <c r="N979" t="s">
        <v>555</v>
      </c>
      <c r="P979" t="s">
        <v>4330</v>
      </c>
      <c r="Q979" t="s">
        <v>4331</v>
      </c>
      <c r="R979">
        <v>6</v>
      </c>
      <c r="S979">
        <v>16</v>
      </c>
    </row>
    <row r="980" spans="1:19" x14ac:dyDescent="0.35">
      <c r="A980">
        <v>7076</v>
      </c>
      <c r="B980" t="s">
        <v>4332</v>
      </c>
      <c r="C980" t="s">
        <v>850</v>
      </c>
      <c r="D980" t="s">
        <v>4333</v>
      </c>
      <c r="E980" t="e" cm="1">
        <f t="array" ref="E980">- Camphora</f>
        <v>#NAME?</v>
      </c>
      <c r="F980" t="s">
        <v>4334</v>
      </c>
      <c r="J980" t="s">
        <v>4335</v>
      </c>
      <c r="M980" t="s">
        <v>3632</v>
      </c>
      <c r="N980" t="s">
        <v>3633</v>
      </c>
      <c r="P980" t="s">
        <v>4336</v>
      </c>
      <c r="Q980" t="s">
        <v>4337</v>
      </c>
      <c r="R980">
        <v>6</v>
      </c>
      <c r="S980">
        <v>16</v>
      </c>
    </row>
    <row r="981" spans="1:19" x14ac:dyDescent="0.35">
      <c r="A981">
        <v>7077</v>
      </c>
      <c r="B981" t="s">
        <v>4332</v>
      </c>
      <c r="C981" t="s">
        <v>850</v>
      </c>
      <c r="D981" t="s">
        <v>4338</v>
      </c>
      <c r="E981" t="e" cm="1">
        <f t="array" ref="E981">- Camphora</f>
        <v>#NAME?</v>
      </c>
      <c r="F981" t="s">
        <v>4339</v>
      </c>
      <c r="J981" t="s">
        <v>4340</v>
      </c>
      <c r="M981" t="s">
        <v>3632</v>
      </c>
      <c r="N981" t="s">
        <v>3633</v>
      </c>
      <c r="P981" t="s">
        <v>4336</v>
      </c>
      <c r="Q981" t="s">
        <v>4337</v>
      </c>
      <c r="R981">
        <v>6</v>
      </c>
      <c r="S981">
        <v>16</v>
      </c>
    </row>
    <row r="982" spans="1:19" x14ac:dyDescent="0.35">
      <c r="A982">
        <v>8208</v>
      </c>
      <c r="B982" t="s">
        <v>551</v>
      </c>
      <c r="C982" t="s">
        <v>42</v>
      </c>
      <c r="D982" t="s">
        <v>4327</v>
      </c>
      <c r="E982" t="e" cm="1">
        <f t="array" ref="E982">- POVIDONE-IODINE</f>
        <v>#NAME?</v>
      </c>
      <c r="F982" t="s">
        <v>4328</v>
      </c>
      <c r="H982" t="s">
        <v>4329</v>
      </c>
      <c r="M982" t="s">
        <v>554</v>
      </c>
      <c r="N982" t="s">
        <v>555</v>
      </c>
      <c r="P982" t="s">
        <v>4330</v>
      </c>
      <c r="Q982" t="s">
        <v>4331</v>
      </c>
      <c r="R982">
        <v>6</v>
      </c>
      <c r="S982">
        <v>16</v>
      </c>
    </row>
    <row r="983" spans="1:19" x14ac:dyDescent="0.35">
      <c r="A983">
        <v>8205</v>
      </c>
      <c r="B983" t="s">
        <v>551</v>
      </c>
      <c r="C983" t="s">
        <v>42</v>
      </c>
      <c r="D983" t="s">
        <v>4248</v>
      </c>
      <c r="E983" t="e" cm="1">
        <f t="array" ref="E983">- POVIDONE-IODINE</f>
        <v>#NAME?</v>
      </c>
      <c r="F983" t="s">
        <v>4249</v>
      </c>
      <c r="J983" t="s">
        <v>4250</v>
      </c>
      <c r="M983" t="s">
        <v>554</v>
      </c>
      <c r="N983" t="s">
        <v>555</v>
      </c>
      <c r="P983" t="s">
        <v>4251</v>
      </c>
      <c r="Q983" t="s">
        <v>4252</v>
      </c>
      <c r="R983">
        <v>6</v>
      </c>
      <c r="S983">
        <v>16</v>
      </c>
    </row>
    <row r="984" spans="1:19" x14ac:dyDescent="0.35">
      <c r="A984">
        <v>2977</v>
      </c>
      <c r="B984" t="s">
        <v>4341</v>
      </c>
      <c r="C984" t="s">
        <v>42</v>
      </c>
      <c r="D984" t="s">
        <v>4342</v>
      </c>
      <c r="E984" t="e" cm="1">
        <f t="array" ref="E984">- PARACETAMOL</f>
        <v>#NAME?</v>
      </c>
      <c r="F984" t="s">
        <v>4343</v>
      </c>
      <c r="I984" t="s">
        <v>4344</v>
      </c>
      <c r="M984" t="s">
        <v>271</v>
      </c>
      <c r="N984" t="s">
        <v>584</v>
      </c>
      <c r="O984" t="s">
        <v>4345</v>
      </c>
      <c r="P984" t="s">
        <v>4346</v>
      </c>
      <c r="Q984" t="s">
        <v>4347</v>
      </c>
      <c r="R984">
        <v>6</v>
      </c>
      <c r="S984">
        <v>16</v>
      </c>
    </row>
    <row r="985" spans="1:19" x14ac:dyDescent="0.35">
      <c r="A985">
        <v>2976</v>
      </c>
      <c r="B985" t="s">
        <v>4348</v>
      </c>
      <c r="C985" t="s">
        <v>42</v>
      </c>
      <c r="D985" t="s">
        <v>4349</v>
      </c>
      <c r="E985" t="e" cm="1">
        <f t="array" ref="E985">- PARACETAMOL</f>
        <v>#NAME?</v>
      </c>
      <c r="F985" t="s">
        <v>4350</v>
      </c>
      <c r="I985" t="s">
        <v>4344</v>
      </c>
      <c r="M985" t="s">
        <v>824</v>
      </c>
      <c r="N985" t="s">
        <v>584</v>
      </c>
      <c r="O985" t="s">
        <v>4345</v>
      </c>
      <c r="P985" t="s">
        <v>4346</v>
      </c>
      <c r="Q985" t="s">
        <v>4351</v>
      </c>
      <c r="R985">
        <v>6</v>
      </c>
      <c r="S985">
        <v>16</v>
      </c>
    </row>
    <row r="986" spans="1:19" x14ac:dyDescent="0.35">
      <c r="A986">
        <v>7959</v>
      </c>
      <c r="B986" t="s">
        <v>4352</v>
      </c>
      <c r="C986" t="s">
        <v>20</v>
      </c>
      <c r="D986" t="s">
        <v>4353</v>
      </c>
      <c r="E986" t="s">
        <v>4354</v>
      </c>
      <c r="F986" t="s">
        <v>4355</v>
      </c>
      <c r="J986" t="s">
        <v>197</v>
      </c>
      <c r="M986" t="s">
        <v>38</v>
      </c>
      <c r="N986" t="s">
        <v>4356</v>
      </c>
      <c r="P986" t="s">
        <v>4357</v>
      </c>
      <c r="Q986" t="s">
        <v>4358</v>
      </c>
      <c r="R986">
        <v>6</v>
      </c>
      <c r="S986">
        <v>16</v>
      </c>
    </row>
    <row r="987" spans="1:19" x14ac:dyDescent="0.35">
      <c r="A987">
        <v>2699</v>
      </c>
      <c r="B987" t="s">
        <v>4359</v>
      </c>
      <c r="C987" t="s">
        <v>42</v>
      </c>
      <c r="D987" t="s">
        <v>4360</v>
      </c>
      <c r="E987" t="e" cm="1">
        <f t="array" ref="E987">- PARACETAMOL</f>
        <v>#NAME?</v>
      </c>
      <c r="F987" t="s">
        <v>4361</v>
      </c>
      <c r="G987" t="s">
        <v>4362</v>
      </c>
      <c r="H987" t="s">
        <v>4363</v>
      </c>
      <c r="I987" t="s">
        <v>4364</v>
      </c>
      <c r="J987" t="s">
        <v>727</v>
      </c>
      <c r="K987" t="s">
        <v>4365</v>
      </c>
      <c r="L987" t="s">
        <v>4366</v>
      </c>
      <c r="M987" t="s">
        <v>291</v>
      </c>
      <c r="N987" t="s">
        <v>584</v>
      </c>
      <c r="O987" t="s">
        <v>4367</v>
      </c>
      <c r="P987" t="s">
        <v>4368</v>
      </c>
      <c r="Q987" t="s">
        <v>4369</v>
      </c>
      <c r="R987">
        <v>6</v>
      </c>
      <c r="S987">
        <v>16</v>
      </c>
    </row>
    <row r="988" spans="1:19" x14ac:dyDescent="0.35">
      <c r="A988">
        <v>7622</v>
      </c>
      <c r="B988" t="s">
        <v>4370</v>
      </c>
      <c r="C988" t="s">
        <v>20</v>
      </c>
      <c r="D988" t="s">
        <v>4371</v>
      </c>
      <c r="E988" t="s">
        <v>4372</v>
      </c>
      <c r="F988" t="s">
        <v>4373</v>
      </c>
      <c r="G988" t="s">
        <v>2241</v>
      </c>
      <c r="H988" t="s">
        <v>4374</v>
      </c>
      <c r="I988" t="s">
        <v>4375</v>
      </c>
      <c r="J988" t="s">
        <v>4376</v>
      </c>
      <c r="L988" t="s">
        <v>4377</v>
      </c>
      <c r="M988" t="s">
        <v>291</v>
      </c>
      <c r="N988" t="s">
        <v>4378</v>
      </c>
      <c r="O988" t="s">
        <v>4379</v>
      </c>
      <c r="P988" t="s">
        <v>4378</v>
      </c>
      <c r="Q988" t="s">
        <v>4380</v>
      </c>
      <c r="R988">
        <v>6</v>
      </c>
      <c r="S988">
        <v>16</v>
      </c>
    </row>
    <row r="989" spans="1:19" x14ac:dyDescent="0.35">
      <c r="A989">
        <v>7856</v>
      </c>
      <c r="B989" t="s">
        <v>4381</v>
      </c>
      <c r="C989" t="s">
        <v>20</v>
      </c>
      <c r="D989" t="s">
        <v>4382</v>
      </c>
      <c r="E989" t="s">
        <v>4383</v>
      </c>
      <c r="F989" t="s">
        <v>4384</v>
      </c>
      <c r="G989" t="s">
        <v>2241</v>
      </c>
      <c r="H989" t="s">
        <v>4385</v>
      </c>
      <c r="I989" t="s">
        <v>4386</v>
      </c>
      <c r="J989" t="s">
        <v>334</v>
      </c>
      <c r="M989" t="s">
        <v>38</v>
      </c>
      <c r="N989" t="s">
        <v>4387</v>
      </c>
      <c r="O989" t="s">
        <v>4388</v>
      </c>
      <c r="P989" t="s">
        <v>4387</v>
      </c>
      <c r="Q989" t="s">
        <v>4389</v>
      </c>
      <c r="R989">
        <v>6</v>
      </c>
      <c r="S989">
        <v>16</v>
      </c>
    </row>
    <row r="990" spans="1:19" x14ac:dyDescent="0.35">
      <c r="A990">
        <v>7852</v>
      </c>
      <c r="B990" t="s">
        <v>4390</v>
      </c>
      <c r="C990" t="s">
        <v>20</v>
      </c>
      <c r="D990" t="s">
        <v>4391</v>
      </c>
      <c r="E990" t="s">
        <v>4392</v>
      </c>
      <c r="F990" t="s">
        <v>4393</v>
      </c>
      <c r="J990" t="s">
        <v>4394</v>
      </c>
      <c r="M990" t="s">
        <v>63</v>
      </c>
      <c r="N990" t="s">
        <v>4395</v>
      </c>
      <c r="P990" t="s">
        <v>4396</v>
      </c>
      <c r="Q990" t="s">
        <v>4397</v>
      </c>
      <c r="R990">
        <v>6</v>
      </c>
      <c r="S990">
        <v>16</v>
      </c>
    </row>
    <row r="991" spans="1:19" x14ac:dyDescent="0.35">
      <c r="A991">
        <v>7659</v>
      </c>
      <c r="B991" t="s">
        <v>4398</v>
      </c>
      <c r="C991" t="s">
        <v>20</v>
      </c>
      <c r="D991" t="s">
        <v>4399</v>
      </c>
      <c r="E991" t="s">
        <v>4400</v>
      </c>
      <c r="F991" t="s">
        <v>4401</v>
      </c>
      <c r="H991" t="s">
        <v>4402</v>
      </c>
      <c r="I991" t="s">
        <v>4403</v>
      </c>
      <c r="J991" t="s">
        <v>4404</v>
      </c>
      <c r="L991" t="s">
        <v>4405</v>
      </c>
      <c r="M991" t="s">
        <v>46</v>
      </c>
      <c r="N991" t="s">
        <v>4406</v>
      </c>
      <c r="O991" t="s">
        <v>4407</v>
      </c>
      <c r="P991" t="s">
        <v>4406</v>
      </c>
      <c r="Q991" t="s">
        <v>4408</v>
      </c>
      <c r="R991">
        <v>6</v>
      </c>
      <c r="S991">
        <v>16</v>
      </c>
    </row>
    <row r="992" spans="1:19" x14ac:dyDescent="0.35">
      <c r="A992">
        <v>7851</v>
      </c>
      <c r="B992" t="s">
        <v>4409</v>
      </c>
      <c r="C992" t="s">
        <v>20</v>
      </c>
      <c r="D992" t="s">
        <v>4410</v>
      </c>
      <c r="E992" t="s">
        <v>4411</v>
      </c>
      <c r="F992" t="s">
        <v>4412</v>
      </c>
      <c r="J992" t="s">
        <v>4413</v>
      </c>
      <c r="M992" t="s">
        <v>63</v>
      </c>
      <c r="N992" t="s">
        <v>4414</v>
      </c>
      <c r="P992" t="s">
        <v>4414</v>
      </c>
      <c r="Q992" t="s">
        <v>4415</v>
      </c>
      <c r="R992">
        <v>6</v>
      </c>
      <c r="S992">
        <v>16</v>
      </c>
    </row>
    <row r="993" spans="1:19" x14ac:dyDescent="0.35">
      <c r="A993">
        <v>7835</v>
      </c>
      <c r="B993" t="s">
        <v>4416</v>
      </c>
      <c r="C993" t="s">
        <v>20</v>
      </c>
      <c r="D993" t="s">
        <v>4417</v>
      </c>
      <c r="E993" t="s">
        <v>4418</v>
      </c>
      <c r="F993" t="s">
        <v>4419</v>
      </c>
      <c r="G993" t="s">
        <v>4420</v>
      </c>
      <c r="H993" t="s">
        <v>4421</v>
      </c>
      <c r="I993" t="s">
        <v>4422</v>
      </c>
      <c r="J993" t="s">
        <v>107</v>
      </c>
      <c r="M993" t="s">
        <v>38</v>
      </c>
      <c r="N993" t="s">
        <v>4423</v>
      </c>
      <c r="O993" t="s">
        <v>3396</v>
      </c>
      <c r="P993" t="s">
        <v>4424</v>
      </c>
      <c r="Q993" t="s">
        <v>4425</v>
      </c>
      <c r="R993">
        <v>6</v>
      </c>
      <c r="S993">
        <v>16</v>
      </c>
    </row>
    <row r="994" spans="1:19" x14ac:dyDescent="0.35">
      <c r="A994">
        <v>7830</v>
      </c>
      <c r="B994" t="s">
        <v>3347</v>
      </c>
      <c r="C994" t="s">
        <v>20</v>
      </c>
      <c r="D994" t="s">
        <v>3348</v>
      </c>
      <c r="E994" t="s">
        <v>4426</v>
      </c>
      <c r="F994" t="s">
        <v>3350</v>
      </c>
      <c r="G994" t="s">
        <v>3351</v>
      </c>
      <c r="H994" t="s">
        <v>3352</v>
      </c>
      <c r="I994" t="s">
        <v>3353</v>
      </c>
      <c r="J994" t="s">
        <v>1136</v>
      </c>
      <c r="K994" t="s">
        <v>3354</v>
      </c>
      <c r="M994" t="s">
        <v>46</v>
      </c>
      <c r="N994" t="s">
        <v>4427</v>
      </c>
      <c r="O994" t="s">
        <v>3356</v>
      </c>
      <c r="P994" t="s">
        <v>3355</v>
      </c>
      <c r="Q994" t="s">
        <v>4428</v>
      </c>
      <c r="R994">
        <v>6</v>
      </c>
      <c r="S994">
        <v>16</v>
      </c>
    </row>
    <row r="995" spans="1:19" x14ac:dyDescent="0.35">
      <c r="A995">
        <v>7711</v>
      </c>
      <c r="B995" t="s">
        <v>4429</v>
      </c>
      <c r="C995" t="s">
        <v>20</v>
      </c>
      <c r="D995" t="s">
        <v>4430</v>
      </c>
      <c r="E995" t="s">
        <v>4431</v>
      </c>
      <c r="F995" t="s">
        <v>4432</v>
      </c>
      <c r="G995" t="s">
        <v>2241</v>
      </c>
      <c r="H995" t="s">
        <v>4433</v>
      </c>
      <c r="I995" t="s">
        <v>4434</v>
      </c>
      <c r="J995" t="s">
        <v>4435</v>
      </c>
      <c r="K995" t="s">
        <v>4436</v>
      </c>
      <c r="L995" t="s">
        <v>4437</v>
      </c>
      <c r="M995" t="s">
        <v>38</v>
      </c>
      <c r="N995" t="s">
        <v>4438</v>
      </c>
      <c r="O995" t="s">
        <v>4439</v>
      </c>
      <c r="P995" t="s">
        <v>4438</v>
      </c>
      <c r="Q995" t="s">
        <v>4440</v>
      </c>
      <c r="R995">
        <v>6</v>
      </c>
      <c r="S995">
        <v>16</v>
      </c>
    </row>
    <row r="996" spans="1:19" x14ac:dyDescent="0.35">
      <c r="A996">
        <v>488</v>
      </c>
      <c r="B996" t="s">
        <v>4441</v>
      </c>
      <c r="C996" t="s">
        <v>42</v>
      </c>
      <c r="D996" t="s">
        <v>4442</v>
      </c>
      <c r="E996" t="e" cm="1">
        <f t="array" ref="E996">- THEOPHYLLINE</f>
        <v>#NAME?</v>
      </c>
      <c r="F996" s="1">
        <v>28900</v>
      </c>
      <c r="G996" t="s">
        <v>4443</v>
      </c>
      <c r="H996" t="s">
        <v>4444</v>
      </c>
      <c r="I996" t="s">
        <v>4445</v>
      </c>
      <c r="J996" t="s">
        <v>4446</v>
      </c>
      <c r="K996" t="s">
        <v>4447</v>
      </c>
      <c r="L996" t="s">
        <v>4448</v>
      </c>
      <c r="M996" t="s">
        <v>291</v>
      </c>
      <c r="N996" t="s">
        <v>4449</v>
      </c>
      <c r="O996" t="s">
        <v>4450</v>
      </c>
      <c r="P996" t="s">
        <v>4451</v>
      </c>
      <c r="Q996" t="s">
        <v>4452</v>
      </c>
      <c r="R996">
        <v>6</v>
      </c>
      <c r="S996">
        <v>16</v>
      </c>
    </row>
    <row r="997" spans="1:19" x14ac:dyDescent="0.35">
      <c r="A997">
        <v>7720</v>
      </c>
      <c r="B997" t="s">
        <v>4453</v>
      </c>
      <c r="C997" t="s">
        <v>20</v>
      </c>
      <c r="D997" t="s">
        <v>4454</v>
      </c>
      <c r="E997" t="s">
        <v>4455</v>
      </c>
      <c r="F997" t="s">
        <v>4456</v>
      </c>
      <c r="G997" t="s">
        <v>4457</v>
      </c>
      <c r="H997" t="s">
        <v>4458</v>
      </c>
      <c r="I997" t="s">
        <v>4459</v>
      </c>
      <c r="J997" t="s">
        <v>4460</v>
      </c>
      <c r="K997" t="s">
        <v>4461</v>
      </c>
      <c r="L997" t="s">
        <v>4462</v>
      </c>
      <c r="M997" t="s">
        <v>38</v>
      </c>
      <c r="N997" t="s">
        <v>4463</v>
      </c>
      <c r="O997" t="s">
        <v>4464</v>
      </c>
      <c r="P997" t="s">
        <v>4463</v>
      </c>
      <c r="Q997" t="s">
        <v>4465</v>
      </c>
      <c r="R997">
        <v>6</v>
      </c>
      <c r="S997">
        <v>16</v>
      </c>
    </row>
    <row r="998" spans="1:19" x14ac:dyDescent="0.35">
      <c r="A998">
        <v>489</v>
      </c>
      <c r="B998" t="s">
        <v>4441</v>
      </c>
      <c r="C998" t="s">
        <v>42</v>
      </c>
      <c r="D998" t="s">
        <v>4442</v>
      </c>
      <c r="E998" t="e" cm="1">
        <f t="array" ref="E998">- THEOPHYLLINE</f>
        <v>#NAME?</v>
      </c>
      <c r="F998" s="1">
        <v>28900</v>
      </c>
      <c r="G998" t="s">
        <v>4443</v>
      </c>
      <c r="H998" t="s">
        <v>4444</v>
      </c>
      <c r="I998" t="s">
        <v>4445</v>
      </c>
      <c r="J998" t="s">
        <v>4446</v>
      </c>
      <c r="K998" t="s">
        <v>4447</v>
      </c>
      <c r="L998" t="s">
        <v>4448</v>
      </c>
      <c r="M998" t="s">
        <v>291</v>
      </c>
      <c r="N998" t="s">
        <v>4449</v>
      </c>
      <c r="O998" t="s">
        <v>4450</v>
      </c>
      <c r="P998" t="s">
        <v>4451</v>
      </c>
      <c r="Q998" t="s">
        <v>4452</v>
      </c>
      <c r="R998">
        <v>6</v>
      </c>
      <c r="S998">
        <v>16</v>
      </c>
    </row>
    <row r="999" spans="1:19" x14ac:dyDescent="0.35">
      <c r="A999">
        <v>7732</v>
      </c>
      <c r="B999" t="s">
        <v>4466</v>
      </c>
      <c r="C999" t="s">
        <v>42</v>
      </c>
      <c r="D999" t="s">
        <v>4467</v>
      </c>
      <c r="E999" t="e" cm="1">
        <f t="array" ref="E999">- MECOBALAMIN</f>
        <v>#NAME?</v>
      </c>
      <c r="F999" t="s">
        <v>4468</v>
      </c>
      <c r="G999" t="s">
        <v>4469</v>
      </c>
      <c r="H999" t="s">
        <v>4470</v>
      </c>
      <c r="I999" t="s">
        <v>4471</v>
      </c>
      <c r="J999" t="s">
        <v>4472</v>
      </c>
      <c r="L999" t="s">
        <v>4473</v>
      </c>
      <c r="M999" t="s">
        <v>38</v>
      </c>
      <c r="N999" t="s">
        <v>4474</v>
      </c>
      <c r="O999" t="s">
        <v>4475</v>
      </c>
      <c r="P999" t="s">
        <v>4476</v>
      </c>
      <c r="Q999" t="s">
        <v>4477</v>
      </c>
      <c r="R999">
        <v>6</v>
      </c>
      <c r="S999">
        <v>16</v>
      </c>
    </row>
    <row r="1000" spans="1:19" x14ac:dyDescent="0.35">
      <c r="A1000">
        <v>7824</v>
      </c>
      <c r="B1000" t="s">
        <v>4478</v>
      </c>
      <c r="C1000" t="s">
        <v>20</v>
      </c>
      <c r="D1000" t="s">
        <v>4479</v>
      </c>
      <c r="E1000" t="s">
        <v>4480</v>
      </c>
      <c r="F1000" t="s">
        <v>4481</v>
      </c>
      <c r="G1000" t="s">
        <v>4482</v>
      </c>
      <c r="H1000" t="s">
        <v>4483</v>
      </c>
      <c r="I1000" t="s">
        <v>4484</v>
      </c>
      <c r="J1000" t="s">
        <v>4485</v>
      </c>
      <c r="M1000" t="s">
        <v>38</v>
      </c>
      <c r="N1000" t="s">
        <v>4486</v>
      </c>
      <c r="O1000" t="s">
        <v>4487</v>
      </c>
      <c r="P1000" t="s">
        <v>4486</v>
      </c>
      <c r="Q1000" t="s">
        <v>4488</v>
      </c>
      <c r="R1000">
        <v>6</v>
      </c>
      <c r="S1000">
        <v>16</v>
      </c>
    </row>
    <row r="1001" spans="1:19" x14ac:dyDescent="0.35">
      <c r="A1001">
        <v>7818</v>
      </c>
      <c r="B1001" t="s">
        <v>4489</v>
      </c>
      <c r="C1001" t="s">
        <v>20</v>
      </c>
      <c r="D1001" t="s">
        <v>4490</v>
      </c>
      <c r="E1001" t="s">
        <v>4491</v>
      </c>
      <c r="F1001" t="s">
        <v>4492</v>
      </c>
      <c r="J1001" t="s">
        <v>4493</v>
      </c>
      <c r="M1001" t="s">
        <v>38</v>
      </c>
      <c r="N1001" t="s">
        <v>4494</v>
      </c>
      <c r="P1001" t="s">
        <v>4495</v>
      </c>
      <c r="Q1001" t="s">
        <v>4496</v>
      </c>
      <c r="R1001">
        <v>6</v>
      </c>
      <c r="S1001">
        <v>16</v>
      </c>
    </row>
    <row r="1002" spans="1:19" x14ac:dyDescent="0.35">
      <c r="A1002">
        <v>2881</v>
      </c>
      <c r="B1002" t="s">
        <v>4497</v>
      </c>
      <c r="C1002" t="s">
        <v>42</v>
      </c>
      <c r="D1002" t="s">
        <v>4498</v>
      </c>
      <c r="E1002" t="e" cm="1">
        <f t="array" ref="E1002">- PARACETAMOL</f>
        <v>#NAME?</v>
      </c>
      <c r="F1002" t="s">
        <v>4499</v>
      </c>
      <c r="J1002" t="s">
        <v>630</v>
      </c>
      <c r="M1002" t="s">
        <v>271</v>
      </c>
      <c r="N1002" t="s">
        <v>584</v>
      </c>
      <c r="P1002" t="s">
        <v>4500</v>
      </c>
      <c r="Q1002" t="s">
        <v>4501</v>
      </c>
      <c r="R1002">
        <v>6</v>
      </c>
      <c r="S1002">
        <v>16</v>
      </c>
    </row>
    <row r="1003" spans="1:19" x14ac:dyDescent="0.35">
      <c r="A1003">
        <v>2880</v>
      </c>
      <c r="B1003" t="s">
        <v>4497</v>
      </c>
      <c r="C1003" t="s">
        <v>42</v>
      </c>
      <c r="D1003" t="s">
        <v>4498</v>
      </c>
      <c r="E1003" t="e" cm="1">
        <f t="array" ref="E1003">- PARACETAMOL</f>
        <v>#NAME?</v>
      </c>
      <c r="F1003" t="s">
        <v>4499</v>
      </c>
      <c r="J1003" t="s">
        <v>630</v>
      </c>
      <c r="M1003" t="s">
        <v>271</v>
      </c>
      <c r="N1003" t="s">
        <v>584</v>
      </c>
      <c r="P1003" t="s">
        <v>4500</v>
      </c>
      <c r="Q1003" t="s">
        <v>4501</v>
      </c>
      <c r="R1003">
        <v>6</v>
      </c>
      <c r="S1003">
        <v>16</v>
      </c>
    </row>
    <row r="1004" spans="1:19" x14ac:dyDescent="0.35">
      <c r="A1004">
        <v>7758</v>
      </c>
      <c r="B1004" t="s">
        <v>4502</v>
      </c>
      <c r="C1004" t="s">
        <v>20</v>
      </c>
      <c r="D1004" t="s">
        <v>4503</v>
      </c>
      <c r="E1004" t="s">
        <v>4504</v>
      </c>
      <c r="F1004" t="s">
        <v>4505</v>
      </c>
      <c r="G1004" t="s">
        <v>2241</v>
      </c>
      <c r="H1004" t="s">
        <v>4506</v>
      </c>
      <c r="I1004" t="s">
        <v>4507</v>
      </c>
      <c r="J1004" t="s">
        <v>1043</v>
      </c>
      <c r="L1004" t="s">
        <v>4508</v>
      </c>
      <c r="M1004" t="s">
        <v>46</v>
      </c>
      <c r="N1004" t="s">
        <v>4509</v>
      </c>
      <c r="O1004" t="s">
        <v>4510</v>
      </c>
      <c r="P1004" t="s">
        <v>4509</v>
      </c>
      <c r="Q1004" t="s">
        <v>4511</v>
      </c>
      <c r="R1004">
        <v>6</v>
      </c>
      <c r="S1004">
        <v>16</v>
      </c>
    </row>
    <row r="1005" spans="1:19" x14ac:dyDescent="0.35">
      <c r="A1005">
        <v>2765</v>
      </c>
      <c r="B1005" t="s">
        <v>4512</v>
      </c>
      <c r="C1005" t="s">
        <v>42</v>
      </c>
      <c r="D1005" t="s">
        <v>4513</v>
      </c>
      <c r="E1005" t="e" cm="1">
        <f t="array" ref="E1005">- FLUNARIZINE HYDROCHLORIDE</f>
        <v>#NAME?</v>
      </c>
      <c r="F1005" t="s">
        <v>4514</v>
      </c>
      <c r="H1005" t="s">
        <v>269</v>
      </c>
      <c r="I1005" t="s">
        <v>4515</v>
      </c>
      <c r="L1005" t="s">
        <v>270</v>
      </c>
      <c r="M1005" t="s">
        <v>46</v>
      </c>
      <c r="N1005" t="s">
        <v>4516</v>
      </c>
      <c r="O1005" t="s">
        <v>4517</v>
      </c>
      <c r="P1005" t="s">
        <v>4518</v>
      </c>
      <c r="Q1005" t="s">
        <v>4519</v>
      </c>
      <c r="R1005">
        <v>6</v>
      </c>
      <c r="S1005">
        <v>16</v>
      </c>
    </row>
    <row r="1006" spans="1:19" x14ac:dyDescent="0.35">
      <c r="A1006">
        <v>7767</v>
      </c>
      <c r="B1006" t="s">
        <v>4520</v>
      </c>
      <c r="C1006" t="s">
        <v>20</v>
      </c>
      <c r="D1006" t="s">
        <v>4521</v>
      </c>
      <c r="E1006" t="s">
        <v>4522</v>
      </c>
      <c r="F1006" t="s">
        <v>4523</v>
      </c>
      <c r="H1006" t="s">
        <v>4524</v>
      </c>
      <c r="I1006" t="s">
        <v>4525</v>
      </c>
      <c r="J1006" t="s">
        <v>4526</v>
      </c>
      <c r="M1006" t="s">
        <v>38</v>
      </c>
      <c r="N1006" t="s">
        <v>4527</v>
      </c>
      <c r="O1006" t="s">
        <v>4528</v>
      </c>
      <c r="P1006" t="s">
        <v>4527</v>
      </c>
      <c r="Q1006" t="s">
        <v>4529</v>
      </c>
      <c r="R1006">
        <v>6</v>
      </c>
      <c r="S1006">
        <v>16</v>
      </c>
    </row>
    <row r="1007" spans="1:19" x14ac:dyDescent="0.35">
      <c r="A1007">
        <v>2766</v>
      </c>
      <c r="B1007" t="s">
        <v>4512</v>
      </c>
      <c r="C1007" t="s">
        <v>42</v>
      </c>
      <c r="D1007" t="s">
        <v>4513</v>
      </c>
      <c r="E1007" t="e" cm="1">
        <f t="array" ref="E1007">- FLUNARIZINE HYDROCHLORIDE</f>
        <v>#NAME?</v>
      </c>
      <c r="F1007" t="s">
        <v>4514</v>
      </c>
      <c r="H1007" t="s">
        <v>269</v>
      </c>
      <c r="I1007" t="s">
        <v>4515</v>
      </c>
      <c r="L1007" t="s">
        <v>270</v>
      </c>
      <c r="M1007" t="s">
        <v>46</v>
      </c>
      <c r="N1007" t="s">
        <v>4516</v>
      </c>
      <c r="O1007" t="s">
        <v>4517</v>
      </c>
      <c r="P1007" t="s">
        <v>4518</v>
      </c>
      <c r="Q1007" t="s">
        <v>4519</v>
      </c>
      <c r="R1007">
        <v>6</v>
      </c>
      <c r="S1007">
        <v>16</v>
      </c>
    </row>
    <row r="1008" spans="1:19" x14ac:dyDescent="0.35">
      <c r="A1008">
        <v>7783</v>
      </c>
      <c r="B1008" t="s">
        <v>4530</v>
      </c>
      <c r="C1008" t="s">
        <v>20</v>
      </c>
      <c r="D1008" t="s">
        <v>4531</v>
      </c>
      <c r="E1008" t="s">
        <v>4532</v>
      </c>
      <c r="F1008" t="s">
        <v>4533</v>
      </c>
      <c r="G1008" t="s">
        <v>2241</v>
      </c>
      <c r="H1008" t="s">
        <v>4534</v>
      </c>
      <c r="I1008" t="s">
        <v>4535</v>
      </c>
      <c r="J1008" t="s">
        <v>4536</v>
      </c>
      <c r="K1008" t="s">
        <v>4537</v>
      </c>
      <c r="M1008" t="s">
        <v>38</v>
      </c>
      <c r="N1008" t="s">
        <v>4538</v>
      </c>
      <c r="O1008" t="s">
        <v>4539</v>
      </c>
      <c r="P1008" t="s">
        <v>4538</v>
      </c>
      <c r="Q1008" t="s">
        <v>4540</v>
      </c>
      <c r="R1008">
        <v>6</v>
      </c>
      <c r="S1008">
        <v>16</v>
      </c>
    </row>
    <row r="1009" spans="1:19" x14ac:dyDescent="0.35">
      <c r="A1009">
        <v>7615</v>
      </c>
      <c r="B1009" t="s">
        <v>4541</v>
      </c>
      <c r="C1009" t="s">
        <v>20</v>
      </c>
      <c r="D1009" t="s">
        <v>4542</v>
      </c>
      <c r="E1009" t="s">
        <v>4543</v>
      </c>
      <c r="F1009" t="s">
        <v>4544</v>
      </c>
      <c r="G1009" t="s">
        <v>4545</v>
      </c>
      <c r="H1009" t="s">
        <v>4524</v>
      </c>
      <c r="I1009" t="s">
        <v>4546</v>
      </c>
      <c r="J1009" t="s">
        <v>4547</v>
      </c>
      <c r="K1009" t="s">
        <v>4548</v>
      </c>
      <c r="L1009" t="s">
        <v>4549</v>
      </c>
      <c r="M1009" t="s">
        <v>38</v>
      </c>
      <c r="N1009" t="s">
        <v>4550</v>
      </c>
      <c r="O1009" t="s">
        <v>4551</v>
      </c>
      <c r="P1009" t="s">
        <v>4550</v>
      </c>
      <c r="Q1009" t="s">
        <v>4552</v>
      </c>
      <c r="R1009">
        <v>6</v>
      </c>
      <c r="S1009">
        <v>16</v>
      </c>
    </row>
    <row r="1010" spans="1:19" x14ac:dyDescent="0.35">
      <c r="A1010">
        <v>8243</v>
      </c>
      <c r="B1010" t="s">
        <v>551</v>
      </c>
      <c r="C1010" t="s">
        <v>42</v>
      </c>
      <c r="D1010" t="s">
        <v>4259</v>
      </c>
      <c r="E1010" t="e" cm="1">
        <f t="array" ref="E1010">- POVIDONE-IODINE</f>
        <v>#NAME?</v>
      </c>
      <c r="F1010" t="s">
        <v>4260</v>
      </c>
      <c r="J1010" t="s">
        <v>4261</v>
      </c>
      <c r="M1010" t="s">
        <v>554</v>
      </c>
      <c r="N1010" t="s">
        <v>555</v>
      </c>
      <c r="P1010" t="s">
        <v>4262</v>
      </c>
      <c r="Q1010" t="s">
        <v>4263</v>
      </c>
      <c r="R1010">
        <v>6</v>
      </c>
      <c r="S1010">
        <v>16</v>
      </c>
    </row>
    <row r="1011" spans="1:19" x14ac:dyDescent="0.35">
      <c r="A1011">
        <v>562</v>
      </c>
      <c r="B1011" t="s">
        <v>4553</v>
      </c>
      <c r="C1011" t="s">
        <v>42</v>
      </c>
      <c r="D1011" t="s">
        <v>4554</v>
      </c>
      <c r="E1011" t="e" cm="1">
        <f t="array" ref="E1011">- TERBUTALINE SULFATE. GUAIFENESIN</f>
        <v>#NAME?</v>
      </c>
      <c r="F1011" t="s">
        <v>4555</v>
      </c>
      <c r="J1011" t="s">
        <v>334</v>
      </c>
      <c r="M1011" t="s">
        <v>271</v>
      </c>
      <c r="N1011" t="s">
        <v>4556</v>
      </c>
      <c r="P1011" t="s">
        <v>4557</v>
      </c>
      <c r="Q1011" t="s">
        <v>4558</v>
      </c>
      <c r="R1011">
        <v>6</v>
      </c>
      <c r="S1011">
        <v>16</v>
      </c>
    </row>
    <row r="1012" spans="1:19" x14ac:dyDescent="0.35">
      <c r="A1012">
        <v>7611</v>
      </c>
      <c r="B1012" t="s">
        <v>4559</v>
      </c>
      <c r="C1012" t="s">
        <v>20</v>
      </c>
      <c r="D1012" t="s">
        <v>4560</v>
      </c>
      <c r="E1012" t="s">
        <v>4561</v>
      </c>
      <c r="F1012" t="s">
        <v>4562</v>
      </c>
      <c r="I1012" t="s">
        <v>4563</v>
      </c>
      <c r="J1012" t="s">
        <v>4564</v>
      </c>
      <c r="M1012" t="s">
        <v>63</v>
      </c>
      <c r="N1012" t="s">
        <v>4565</v>
      </c>
      <c r="O1012" t="s">
        <v>4566</v>
      </c>
      <c r="P1012" t="s">
        <v>4565</v>
      </c>
      <c r="Q1012" t="s">
        <v>4567</v>
      </c>
      <c r="R1012">
        <v>6</v>
      </c>
      <c r="S1012">
        <v>16</v>
      </c>
    </row>
    <row r="1013" spans="1:19" x14ac:dyDescent="0.35">
      <c r="A1013">
        <v>7447</v>
      </c>
      <c r="B1013" t="s">
        <v>4568</v>
      </c>
      <c r="C1013" t="s">
        <v>20</v>
      </c>
      <c r="D1013" t="s">
        <v>4569</v>
      </c>
      <c r="E1013" t="s">
        <v>4570</v>
      </c>
      <c r="F1013" s="1">
        <v>253200</v>
      </c>
      <c r="G1013" t="s">
        <v>2241</v>
      </c>
      <c r="H1013" t="s">
        <v>4571</v>
      </c>
      <c r="I1013" t="s">
        <v>4572</v>
      </c>
      <c r="J1013" t="s">
        <v>4573</v>
      </c>
      <c r="M1013" t="s">
        <v>46</v>
      </c>
      <c r="N1013" t="s">
        <v>4574</v>
      </c>
      <c r="O1013" t="s">
        <v>3411</v>
      </c>
      <c r="P1013" t="s">
        <v>4574</v>
      </c>
      <c r="Q1013" t="s">
        <v>4575</v>
      </c>
      <c r="R1013">
        <v>6</v>
      </c>
      <c r="S1013">
        <v>16</v>
      </c>
    </row>
    <row r="1014" spans="1:19" x14ac:dyDescent="0.35">
      <c r="A1014">
        <v>421</v>
      </c>
      <c r="B1014" t="s">
        <v>4576</v>
      </c>
      <c r="C1014" t="s">
        <v>20</v>
      </c>
      <c r="D1014" t="s">
        <v>4577</v>
      </c>
      <c r="E1014" t="s">
        <v>4578</v>
      </c>
      <c r="F1014" s="1">
        <v>197000</v>
      </c>
      <c r="M1014" t="s">
        <v>38</v>
      </c>
      <c r="N1014" t="s">
        <v>4579</v>
      </c>
      <c r="P1014" t="s">
        <v>4580</v>
      </c>
      <c r="Q1014" t="s">
        <v>4581</v>
      </c>
      <c r="R1014">
        <v>6</v>
      </c>
      <c r="S1014">
        <v>16</v>
      </c>
    </row>
    <row r="1015" spans="1:19" x14ac:dyDescent="0.35">
      <c r="A1015">
        <v>422</v>
      </c>
      <c r="B1015" t="s">
        <v>4576</v>
      </c>
      <c r="C1015" t="s">
        <v>20</v>
      </c>
      <c r="D1015" t="s">
        <v>4577</v>
      </c>
      <c r="E1015" t="s">
        <v>4578</v>
      </c>
      <c r="F1015" s="1">
        <v>197000</v>
      </c>
      <c r="M1015" t="s">
        <v>38</v>
      </c>
      <c r="N1015" t="s">
        <v>4579</v>
      </c>
      <c r="P1015" t="s">
        <v>4580</v>
      </c>
      <c r="Q1015" t="s">
        <v>4581</v>
      </c>
      <c r="R1015">
        <v>6</v>
      </c>
      <c r="S1015">
        <v>16</v>
      </c>
    </row>
    <row r="1016" spans="1:19" x14ac:dyDescent="0.35">
      <c r="A1016">
        <v>425</v>
      </c>
      <c r="B1016" t="s">
        <v>4582</v>
      </c>
      <c r="C1016" t="s">
        <v>20</v>
      </c>
      <c r="D1016" t="s">
        <v>4583</v>
      </c>
      <c r="E1016" t="s">
        <v>4584</v>
      </c>
      <c r="F1016" s="1">
        <v>95000</v>
      </c>
      <c r="G1016" t="s">
        <v>2241</v>
      </c>
      <c r="H1016" t="s">
        <v>4585</v>
      </c>
      <c r="I1016" t="s">
        <v>4586</v>
      </c>
      <c r="J1016" t="s">
        <v>4587</v>
      </c>
      <c r="M1016" t="s">
        <v>46</v>
      </c>
      <c r="N1016" t="s">
        <v>4588</v>
      </c>
      <c r="O1016" t="s">
        <v>4510</v>
      </c>
      <c r="P1016" t="s">
        <v>4588</v>
      </c>
      <c r="Q1016" t="s">
        <v>4589</v>
      </c>
      <c r="R1016">
        <v>6</v>
      </c>
      <c r="S1016">
        <v>16</v>
      </c>
    </row>
    <row r="1017" spans="1:19" x14ac:dyDescent="0.35">
      <c r="A1017">
        <v>426</v>
      </c>
      <c r="B1017" t="s">
        <v>4582</v>
      </c>
      <c r="C1017" t="s">
        <v>20</v>
      </c>
      <c r="D1017" t="s">
        <v>4583</v>
      </c>
      <c r="E1017" t="s">
        <v>4584</v>
      </c>
      <c r="F1017" s="1">
        <v>95000</v>
      </c>
      <c r="G1017" t="s">
        <v>2241</v>
      </c>
      <c r="H1017" t="s">
        <v>4585</v>
      </c>
      <c r="I1017" t="s">
        <v>4586</v>
      </c>
      <c r="J1017" t="s">
        <v>4587</v>
      </c>
      <c r="M1017" t="s">
        <v>46</v>
      </c>
      <c r="N1017" t="s">
        <v>4588</v>
      </c>
      <c r="O1017" t="s">
        <v>4510</v>
      </c>
      <c r="P1017" t="s">
        <v>4588</v>
      </c>
      <c r="Q1017" t="s">
        <v>4589</v>
      </c>
      <c r="R1017">
        <v>6</v>
      </c>
      <c r="S1017">
        <v>16</v>
      </c>
    </row>
    <row r="1018" spans="1:19" x14ac:dyDescent="0.35">
      <c r="A1018">
        <v>2700</v>
      </c>
      <c r="B1018" t="s">
        <v>4359</v>
      </c>
      <c r="C1018" t="s">
        <v>42</v>
      </c>
      <c r="D1018" t="s">
        <v>4360</v>
      </c>
      <c r="E1018" t="e" cm="1">
        <f t="array" ref="E1018">- PARACETAMOL</f>
        <v>#NAME?</v>
      </c>
      <c r="F1018" t="s">
        <v>4361</v>
      </c>
      <c r="G1018" t="s">
        <v>4362</v>
      </c>
      <c r="H1018" t="s">
        <v>4363</v>
      </c>
      <c r="I1018" t="s">
        <v>4364</v>
      </c>
      <c r="J1018" t="s">
        <v>727</v>
      </c>
      <c r="K1018" t="s">
        <v>4365</v>
      </c>
      <c r="L1018" t="s">
        <v>4366</v>
      </c>
      <c r="M1018" t="s">
        <v>291</v>
      </c>
      <c r="N1018" t="s">
        <v>584</v>
      </c>
      <c r="O1018" t="s">
        <v>4367</v>
      </c>
      <c r="P1018" t="s">
        <v>4368</v>
      </c>
      <c r="Q1018" t="s">
        <v>4369</v>
      </c>
      <c r="R1018">
        <v>6</v>
      </c>
      <c r="S1018">
        <v>16</v>
      </c>
    </row>
    <row r="1019" spans="1:19" x14ac:dyDescent="0.35">
      <c r="A1019">
        <v>605</v>
      </c>
      <c r="B1019" t="s">
        <v>4590</v>
      </c>
      <c r="C1019" t="s">
        <v>42</v>
      </c>
      <c r="D1019" t="s">
        <v>4591</v>
      </c>
      <c r="E1019" t="e" cm="1">
        <f t="array" ref="E1019">- TERBUTALINE SULFATE</f>
        <v>#NAME?</v>
      </c>
      <c r="F1019" t="s">
        <v>4592</v>
      </c>
      <c r="J1019" t="s">
        <v>4593</v>
      </c>
      <c r="M1019" t="s">
        <v>3423</v>
      </c>
      <c r="N1019" t="s">
        <v>4594</v>
      </c>
      <c r="P1019" t="s">
        <v>4595</v>
      </c>
      <c r="Q1019" t="s">
        <v>4596</v>
      </c>
      <c r="R1019">
        <v>6</v>
      </c>
      <c r="S1019">
        <v>16</v>
      </c>
    </row>
    <row r="1020" spans="1:19" x14ac:dyDescent="0.35">
      <c r="A1020">
        <v>604</v>
      </c>
      <c r="B1020" t="s">
        <v>4590</v>
      </c>
      <c r="C1020" t="s">
        <v>42</v>
      </c>
      <c r="D1020" t="s">
        <v>4591</v>
      </c>
      <c r="E1020" t="e" cm="1">
        <f t="array" ref="E1020">- TERBUTALINE SULFATE</f>
        <v>#NAME?</v>
      </c>
      <c r="F1020" t="s">
        <v>4592</v>
      </c>
      <c r="J1020" t="s">
        <v>4593</v>
      </c>
      <c r="M1020" t="s">
        <v>3423</v>
      </c>
      <c r="N1020" t="s">
        <v>4594</v>
      </c>
      <c r="P1020" t="s">
        <v>4595</v>
      </c>
      <c r="Q1020" t="s">
        <v>4596</v>
      </c>
      <c r="R1020">
        <v>6</v>
      </c>
      <c r="S1020">
        <v>16</v>
      </c>
    </row>
    <row r="1021" spans="1:19" x14ac:dyDescent="0.35">
      <c r="A1021">
        <v>603</v>
      </c>
      <c r="B1021" t="s">
        <v>4590</v>
      </c>
      <c r="C1021" t="s">
        <v>42</v>
      </c>
      <c r="D1021" t="s">
        <v>4591</v>
      </c>
      <c r="E1021" t="e" cm="1">
        <f t="array" ref="E1021">- TERBUTALINE SULFATE</f>
        <v>#NAME?</v>
      </c>
      <c r="F1021" t="s">
        <v>4592</v>
      </c>
      <c r="J1021" t="s">
        <v>4593</v>
      </c>
      <c r="M1021" t="s">
        <v>3423</v>
      </c>
      <c r="N1021" t="s">
        <v>4594</v>
      </c>
      <c r="P1021" t="s">
        <v>4595</v>
      </c>
      <c r="Q1021" t="s">
        <v>4596</v>
      </c>
      <c r="R1021">
        <v>6</v>
      </c>
      <c r="S1021">
        <v>16</v>
      </c>
    </row>
    <row r="1022" spans="1:19" x14ac:dyDescent="0.35">
      <c r="A1022">
        <v>602</v>
      </c>
      <c r="B1022" t="s">
        <v>4590</v>
      </c>
      <c r="C1022" t="s">
        <v>42</v>
      </c>
      <c r="D1022" t="s">
        <v>4591</v>
      </c>
      <c r="E1022" t="e" cm="1">
        <f t="array" ref="E1022">- TERBUTALINE SULFATE</f>
        <v>#NAME?</v>
      </c>
      <c r="F1022" t="s">
        <v>4592</v>
      </c>
      <c r="J1022" t="s">
        <v>4593</v>
      </c>
      <c r="M1022" t="s">
        <v>3423</v>
      </c>
      <c r="N1022" t="s">
        <v>4594</v>
      </c>
      <c r="P1022" t="s">
        <v>4595</v>
      </c>
      <c r="Q1022" t="s">
        <v>4596</v>
      </c>
      <c r="R1022">
        <v>6</v>
      </c>
      <c r="S1022">
        <v>16</v>
      </c>
    </row>
    <row r="1023" spans="1:19" x14ac:dyDescent="0.35">
      <c r="A1023">
        <v>7917</v>
      </c>
      <c r="B1023" t="s">
        <v>4597</v>
      </c>
      <c r="C1023" t="s">
        <v>20</v>
      </c>
      <c r="D1023" t="s">
        <v>4598</v>
      </c>
      <c r="E1023" t="s">
        <v>4599</v>
      </c>
      <c r="F1023" t="s">
        <v>4600</v>
      </c>
      <c r="G1023" t="s">
        <v>4469</v>
      </c>
      <c r="H1023" t="s">
        <v>4601</v>
      </c>
      <c r="I1023" t="s">
        <v>4602</v>
      </c>
      <c r="J1023" t="s">
        <v>4603</v>
      </c>
      <c r="M1023" t="s">
        <v>38</v>
      </c>
      <c r="N1023" t="s">
        <v>4604</v>
      </c>
      <c r="O1023" t="s">
        <v>4605</v>
      </c>
      <c r="P1023" t="s">
        <v>4604</v>
      </c>
      <c r="Q1023" t="s">
        <v>4606</v>
      </c>
      <c r="R1023">
        <v>6</v>
      </c>
      <c r="S1023">
        <v>16</v>
      </c>
    </row>
    <row r="1024" spans="1:19" x14ac:dyDescent="0.35">
      <c r="A1024">
        <v>1500</v>
      </c>
      <c r="B1024" t="s">
        <v>2412</v>
      </c>
      <c r="C1024" t="s">
        <v>42</v>
      </c>
      <c r="D1024" t="s">
        <v>2413</v>
      </c>
      <c r="E1024" t="e" cm="1">
        <f t="array" ref="E1024">- DIPHENHYDRAMINE HYDROCHLORIDE. AMMONIUM CHLORIDE</f>
        <v>#NAME?</v>
      </c>
      <c r="F1024" t="s">
        <v>2414</v>
      </c>
      <c r="J1024" t="s">
        <v>334</v>
      </c>
      <c r="M1024" t="s">
        <v>271</v>
      </c>
      <c r="N1024" t="s">
        <v>4607</v>
      </c>
      <c r="P1024" t="s">
        <v>2415</v>
      </c>
      <c r="Q1024" t="s">
        <v>4608</v>
      </c>
      <c r="R1024">
        <v>6</v>
      </c>
      <c r="S1024">
        <v>16</v>
      </c>
    </row>
    <row r="1025" spans="1:19" x14ac:dyDescent="0.35">
      <c r="A1025">
        <v>7913</v>
      </c>
      <c r="B1025" t="s">
        <v>4609</v>
      </c>
      <c r="C1025" t="s">
        <v>20</v>
      </c>
      <c r="D1025" t="s">
        <v>4610</v>
      </c>
      <c r="E1025" t="s">
        <v>4611</v>
      </c>
      <c r="F1025" t="s">
        <v>4612</v>
      </c>
      <c r="H1025" t="s">
        <v>4613</v>
      </c>
      <c r="J1025" t="s">
        <v>614</v>
      </c>
      <c r="K1025" t="s">
        <v>4614</v>
      </c>
      <c r="M1025" t="s">
        <v>271</v>
      </c>
      <c r="N1025" t="s">
        <v>4615</v>
      </c>
      <c r="P1025" t="s">
        <v>4616</v>
      </c>
      <c r="Q1025" t="s">
        <v>4617</v>
      </c>
      <c r="R1025">
        <v>6</v>
      </c>
      <c r="S1025">
        <v>16</v>
      </c>
    </row>
    <row r="1026" spans="1:19" x14ac:dyDescent="0.35">
      <c r="A1026">
        <v>7910</v>
      </c>
      <c r="B1026" t="s">
        <v>4618</v>
      </c>
      <c r="C1026" t="s">
        <v>20</v>
      </c>
      <c r="D1026" t="s">
        <v>4619</v>
      </c>
      <c r="E1026" t="s">
        <v>4620</v>
      </c>
      <c r="F1026" t="s">
        <v>4621</v>
      </c>
      <c r="G1026" t="s">
        <v>835</v>
      </c>
      <c r="H1026" t="s">
        <v>4622</v>
      </c>
      <c r="I1026" t="s">
        <v>4525</v>
      </c>
      <c r="J1026" t="s">
        <v>4623</v>
      </c>
      <c r="M1026" t="s">
        <v>291</v>
      </c>
      <c r="N1026" t="s">
        <v>4624</v>
      </c>
      <c r="O1026" t="s">
        <v>4528</v>
      </c>
      <c r="P1026" t="s">
        <v>4624</v>
      </c>
      <c r="Q1026" t="s">
        <v>4625</v>
      </c>
      <c r="R1026">
        <v>6</v>
      </c>
      <c r="S1026">
        <v>16</v>
      </c>
    </row>
    <row r="1027" spans="1:19" x14ac:dyDescent="0.35">
      <c r="A1027">
        <v>7909</v>
      </c>
      <c r="B1027" t="s">
        <v>4626</v>
      </c>
      <c r="C1027" t="s">
        <v>20</v>
      </c>
      <c r="D1027" t="s">
        <v>4627</v>
      </c>
      <c r="E1027" t="s">
        <v>4628</v>
      </c>
      <c r="F1027" t="s">
        <v>4629</v>
      </c>
      <c r="G1027" t="s">
        <v>4630</v>
      </c>
      <c r="H1027" t="s">
        <v>4631</v>
      </c>
      <c r="I1027" t="s">
        <v>3392</v>
      </c>
      <c r="J1027" t="s">
        <v>4632</v>
      </c>
      <c r="L1027" t="s">
        <v>4633</v>
      </c>
      <c r="M1027" t="s">
        <v>63</v>
      </c>
      <c r="N1027" t="s">
        <v>4634</v>
      </c>
      <c r="O1027" t="s">
        <v>3396</v>
      </c>
      <c r="P1027" t="s">
        <v>4634</v>
      </c>
      <c r="Q1027" t="s">
        <v>4635</v>
      </c>
      <c r="R1027">
        <v>6</v>
      </c>
      <c r="S1027">
        <v>16</v>
      </c>
    </row>
    <row r="1028" spans="1:19" x14ac:dyDescent="0.35">
      <c r="A1028">
        <v>7466</v>
      </c>
      <c r="B1028" t="s">
        <v>4636</v>
      </c>
      <c r="C1028" t="s">
        <v>20</v>
      </c>
      <c r="D1028" t="s">
        <v>4637</v>
      </c>
      <c r="E1028" t="s">
        <v>4638</v>
      </c>
      <c r="F1028" t="s">
        <v>4639</v>
      </c>
      <c r="G1028" t="s">
        <v>4640</v>
      </c>
      <c r="H1028" t="s">
        <v>4641</v>
      </c>
      <c r="I1028" t="s">
        <v>3392</v>
      </c>
      <c r="J1028" t="s">
        <v>4642</v>
      </c>
      <c r="M1028" t="s">
        <v>46</v>
      </c>
      <c r="N1028" t="s">
        <v>4643</v>
      </c>
      <c r="O1028" t="s">
        <v>3396</v>
      </c>
      <c r="P1028" t="s">
        <v>4643</v>
      </c>
      <c r="Q1028" t="s">
        <v>4644</v>
      </c>
      <c r="R1028">
        <v>6</v>
      </c>
      <c r="S1028">
        <v>16</v>
      </c>
    </row>
    <row r="1029" spans="1:19" x14ac:dyDescent="0.35">
      <c r="A1029">
        <v>7484</v>
      </c>
      <c r="B1029" t="s">
        <v>4645</v>
      </c>
      <c r="C1029" t="s">
        <v>20</v>
      </c>
      <c r="D1029" t="s">
        <v>4646</v>
      </c>
      <c r="E1029" t="s">
        <v>4647</v>
      </c>
      <c r="F1029" t="s">
        <v>4648</v>
      </c>
      <c r="G1029" t="s">
        <v>4649</v>
      </c>
      <c r="H1029" t="s">
        <v>4650</v>
      </c>
      <c r="I1029" t="s">
        <v>4651</v>
      </c>
      <c r="J1029" t="s">
        <v>614</v>
      </c>
      <c r="M1029" t="s">
        <v>271</v>
      </c>
      <c r="N1029" t="s">
        <v>4652</v>
      </c>
      <c r="O1029" t="s">
        <v>4651</v>
      </c>
      <c r="P1029" t="s">
        <v>4652</v>
      </c>
      <c r="Q1029" t="s">
        <v>4653</v>
      </c>
      <c r="R1029">
        <v>6</v>
      </c>
      <c r="S1029">
        <v>16</v>
      </c>
    </row>
    <row r="1030" spans="1:19" x14ac:dyDescent="0.35">
      <c r="A1030">
        <v>1498</v>
      </c>
      <c r="B1030" t="s">
        <v>4654</v>
      </c>
      <c r="C1030" t="s">
        <v>42</v>
      </c>
      <c r="D1030" t="s">
        <v>4655</v>
      </c>
      <c r="E1030" t="e" cm="1">
        <f t="array" ref="E1030">- CHLORPHENAMINE MALEATE</f>
        <v>#NAME?</v>
      </c>
      <c r="F1030" t="s">
        <v>4656</v>
      </c>
      <c r="J1030" t="s">
        <v>4657</v>
      </c>
      <c r="M1030" t="s">
        <v>291</v>
      </c>
      <c r="N1030" t="s">
        <v>1354</v>
      </c>
      <c r="P1030" t="s">
        <v>4658</v>
      </c>
      <c r="Q1030" t="s">
        <v>4659</v>
      </c>
      <c r="R1030">
        <v>6</v>
      </c>
      <c r="S1030">
        <v>16</v>
      </c>
    </row>
    <row r="1031" spans="1:19" x14ac:dyDescent="0.35">
      <c r="A1031">
        <v>7548</v>
      </c>
      <c r="B1031" t="s">
        <v>4660</v>
      </c>
      <c r="C1031" t="s">
        <v>20</v>
      </c>
      <c r="D1031" t="s">
        <v>4661</v>
      </c>
      <c r="E1031" t="s">
        <v>4662</v>
      </c>
      <c r="F1031" t="s">
        <v>4663</v>
      </c>
      <c r="H1031" t="s">
        <v>4664</v>
      </c>
      <c r="I1031" t="s">
        <v>4665</v>
      </c>
      <c r="J1031" t="s">
        <v>2694</v>
      </c>
      <c r="L1031" t="s">
        <v>4666</v>
      </c>
      <c r="M1031" t="s">
        <v>46</v>
      </c>
      <c r="N1031" t="s">
        <v>4667</v>
      </c>
      <c r="O1031" t="s">
        <v>4668</v>
      </c>
      <c r="P1031" t="s">
        <v>4667</v>
      </c>
      <c r="Q1031" t="s">
        <v>4669</v>
      </c>
      <c r="R1031">
        <v>6</v>
      </c>
      <c r="S1031">
        <v>16</v>
      </c>
    </row>
    <row r="1032" spans="1:19" x14ac:dyDescent="0.35">
      <c r="A1032">
        <v>573</v>
      </c>
      <c r="B1032" t="s">
        <v>4670</v>
      </c>
      <c r="C1032" t="s">
        <v>42</v>
      </c>
      <c r="D1032" t="s">
        <v>4671</v>
      </c>
      <c r="E1032" t="e" cm="1">
        <f t="array" ref="E1032">- BUDESONIDE</f>
        <v>#NAME?</v>
      </c>
      <c r="F1032" t="s">
        <v>4672</v>
      </c>
      <c r="G1032" t="s">
        <v>4673</v>
      </c>
      <c r="H1032" t="s">
        <v>4674</v>
      </c>
      <c r="I1032" t="s">
        <v>4675</v>
      </c>
      <c r="J1032" t="s">
        <v>4676</v>
      </c>
      <c r="K1032" t="s">
        <v>4677</v>
      </c>
      <c r="L1032" t="s">
        <v>4678</v>
      </c>
      <c r="M1032" t="s">
        <v>3423</v>
      </c>
      <c r="N1032" t="s">
        <v>1281</v>
      </c>
      <c r="O1032" t="s">
        <v>4679</v>
      </c>
      <c r="P1032" t="s">
        <v>4680</v>
      </c>
      <c r="Q1032" t="s">
        <v>4681</v>
      </c>
      <c r="R1032">
        <v>6</v>
      </c>
      <c r="S1032">
        <v>16</v>
      </c>
    </row>
    <row r="1033" spans="1:19" x14ac:dyDescent="0.35">
      <c r="A1033">
        <v>572</v>
      </c>
      <c r="B1033" t="s">
        <v>4670</v>
      </c>
      <c r="C1033" t="s">
        <v>42</v>
      </c>
      <c r="D1033" t="s">
        <v>4671</v>
      </c>
      <c r="E1033" t="e" cm="1">
        <f t="array" ref="E1033">- BUDESONIDE</f>
        <v>#NAME?</v>
      </c>
      <c r="F1033" t="s">
        <v>4672</v>
      </c>
      <c r="G1033" t="s">
        <v>4673</v>
      </c>
      <c r="H1033" t="s">
        <v>4674</v>
      </c>
      <c r="I1033" t="s">
        <v>4675</v>
      </c>
      <c r="J1033" t="s">
        <v>4676</v>
      </c>
      <c r="K1033" t="s">
        <v>4677</v>
      </c>
      <c r="L1033" t="s">
        <v>4678</v>
      </c>
      <c r="M1033" t="s">
        <v>3423</v>
      </c>
      <c r="N1033" t="s">
        <v>1281</v>
      </c>
      <c r="O1033" t="s">
        <v>4679</v>
      </c>
      <c r="P1033" t="s">
        <v>4680</v>
      </c>
      <c r="Q1033" t="s">
        <v>4681</v>
      </c>
      <c r="R1033">
        <v>6</v>
      </c>
      <c r="S1033">
        <v>16</v>
      </c>
    </row>
    <row r="1034" spans="1:19" x14ac:dyDescent="0.35">
      <c r="A1034">
        <v>7891</v>
      </c>
      <c r="B1034" t="s">
        <v>4682</v>
      </c>
      <c r="C1034" t="s">
        <v>20</v>
      </c>
      <c r="D1034" t="s">
        <v>4683</v>
      </c>
      <c r="E1034" t="s">
        <v>4684</v>
      </c>
      <c r="F1034" t="s">
        <v>4685</v>
      </c>
      <c r="J1034" t="s">
        <v>4686</v>
      </c>
      <c r="M1034" t="s">
        <v>38</v>
      </c>
      <c r="N1034" t="s">
        <v>4687</v>
      </c>
      <c r="P1034" t="s">
        <v>4688</v>
      </c>
      <c r="Q1034" t="s">
        <v>4689</v>
      </c>
      <c r="R1034">
        <v>6</v>
      </c>
      <c r="S1034">
        <v>16</v>
      </c>
    </row>
    <row r="1035" spans="1:19" x14ac:dyDescent="0.35">
      <c r="A1035">
        <v>720</v>
      </c>
      <c r="B1035" t="s">
        <v>4690</v>
      </c>
      <c r="C1035" t="s">
        <v>20</v>
      </c>
      <c r="D1035" t="s">
        <v>4691</v>
      </c>
      <c r="E1035" t="s">
        <v>4692</v>
      </c>
      <c r="F1035" t="s">
        <v>4693</v>
      </c>
      <c r="J1035" t="s">
        <v>614</v>
      </c>
      <c r="M1035" t="s">
        <v>2115</v>
      </c>
      <c r="N1035" t="s">
        <v>4694</v>
      </c>
      <c r="P1035" t="s">
        <v>4695</v>
      </c>
      <c r="Q1035" t="s">
        <v>4696</v>
      </c>
      <c r="R1035">
        <v>6</v>
      </c>
      <c r="S1035">
        <v>16</v>
      </c>
    </row>
    <row r="1036" spans="1:19" x14ac:dyDescent="0.35">
      <c r="A1036">
        <v>584</v>
      </c>
      <c r="B1036" t="s">
        <v>4697</v>
      </c>
      <c r="C1036" t="s">
        <v>42</v>
      </c>
      <c r="D1036" t="s">
        <v>4698</v>
      </c>
      <c r="E1036" t="e" cm="1">
        <f t="array" ref="E1036">- IPRATROPIUM BROMIDE MONOHYDRATE</f>
        <v>#NAME?</v>
      </c>
      <c r="F1036" t="s">
        <v>4699</v>
      </c>
      <c r="J1036" t="s">
        <v>4700</v>
      </c>
      <c r="M1036" t="s">
        <v>3423</v>
      </c>
      <c r="N1036" t="s">
        <v>4701</v>
      </c>
      <c r="P1036" t="s">
        <v>4702</v>
      </c>
      <c r="Q1036" t="s">
        <v>4703</v>
      </c>
      <c r="R1036">
        <v>6</v>
      </c>
      <c r="S1036">
        <v>16</v>
      </c>
    </row>
    <row r="1037" spans="1:19" x14ac:dyDescent="0.35">
      <c r="A1037">
        <v>6785</v>
      </c>
      <c r="B1037" t="s">
        <v>4704</v>
      </c>
      <c r="C1037" t="s">
        <v>42</v>
      </c>
      <c r="D1037" t="s">
        <v>4705</v>
      </c>
      <c r="E1037" t="e" cm="1">
        <f t="array" ref="E1037">- FEBUXOSTAT</f>
        <v>#NAME?</v>
      </c>
      <c r="F1037" t="s">
        <v>4706</v>
      </c>
      <c r="G1037" t="s">
        <v>3639</v>
      </c>
      <c r="H1037" t="s">
        <v>3640</v>
      </c>
      <c r="I1037" t="s">
        <v>3641</v>
      </c>
      <c r="J1037" t="s">
        <v>2100</v>
      </c>
      <c r="K1037" t="s">
        <v>4707</v>
      </c>
      <c r="L1037" t="s">
        <v>4708</v>
      </c>
      <c r="M1037" t="s">
        <v>46</v>
      </c>
      <c r="N1037" t="s">
        <v>3642</v>
      </c>
      <c r="O1037" t="s">
        <v>3643</v>
      </c>
      <c r="P1037" t="s">
        <v>4709</v>
      </c>
      <c r="Q1037" t="s">
        <v>4710</v>
      </c>
      <c r="R1037">
        <v>6</v>
      </c>
      <c r="S1037">
        <v>16</v>
      </c>
    </row>
    <row r="1038" spans="1:19" x14ac:dyDescent="0.35">
      <c r="A1038">
        <v>8437</v>
      </c>
      <c r="B1038" t="s">
        <v>551</v>
      </c>
      <c r="C1038" t="s">
        <v>42</v>
      </c>
      <c r="D1038" t="s">
        <v>4711</v>
      </c>
      <c r="E1038" t="e" cm="1">
        <f t="array" ref="E1038">- POVIDONE-IODINE</f>
        <v>#NAME?</v>
      </c>
      <c r="F1038" t="s">
        <v>4712</v>
      </c>
      <c r="J1038" t="s">
        <v>4132</v>
      </c>
      <c r="M1038" t="s">
        <v>554</v>
      </c>
      <c r="N1038" t="s">
        <v>555</v>
      </c>
      <c r="P1038" t="s">
        <v>4713</v>
      </c>
      <c r="Q1038" t="s">
        <v>4714</v>
      </c>
      <c r="R1038">
        <v>6</v>
      </c>
      <c r="S1038">
        <v>16</v>
      </c>
    </row>
    <row r="1039" spans="1:19" x14ac:dyDescent="0.35">
      <c r="A1039">
        <v>6433</v>
      </c>
      <c r="B1039" t="s">
        <v>1809</v>
      </c>
      <c r="C1039" t="s">
        <v>42</v>
      </c>
      <c r="D1039" t="s">
        <v>1810</v>
      </c>
      <c r="E1039" t="e" cm="1">
        <f t="array" ref="E1039">- ISONIAZID. PYRIDOXINE HYDROCHLORIDE</f>
        <v>#NAME?</v>
      </c>
      <c r="F1039" t="s">
        <v>1811</v>
      </c>
      <c r="J1039" t="s">
        <v>1812</v>
      </c>
      <c r="M1039" t="s">
        <v>271</v>
      </c>
      <c r="N1039" t="s">
        <v>4715</v>
      </c>
      <c r="P1039" t="s">
        <v>1813</v>
      </c>
      <c r="Q1039" t="s">
        <v>4716</v>
      </c>
      <c r="R1039">
        <v>6</v>
      </c>
      <c r="S1039">
        <v>16</v>
      </c>
    </row>
    <row r="1040" spans="1:19" x14ac:dyDescent="0.35">
      <c r="A1040">
        <v>6432</v>
      </c>
      <c r="B1040" t="s">
        <v>1809</v>
      </c>
      <c r="C1040" t="s">
        <v>42</v>
      </c>
      <c r="D1040" t="s">
        <v>1810</v>
      </c>
      <c r="E1040" t="e" cm="1">
        <f t="array" ref="E1040">- ISONIAZID. PYRIDOXINE HYDROCHLORIDE</f>
        <v>#NAME?</v>
      </c>
      <c r="F1040" t="s">
        <v>1811</v>
      </c>
      <c r="J1040" t="s">
        <v>1812</v>
      </c>
      <c r="M1040" t="s">
        <v>271</v>
      </c>
      <c r="N1040" t="s">
        <v>4715</v>
      </c>
      <c r="P1040" t="s">
        <v>1813</v>
      </c>
      <c r="Q1040" t="s">
        <v>4716</v>
      </c>
      <c r="R1040">
        <v>6</v>
      </c>
      <c r="S1040">
        <v>16</v>
      </c>
    </row>
    <row r="1041" spans="1:19" x14ac:dyDescent="0.35">
      <c r="A1041">
        <v>2475</v>
      </c>
      <c r="B1041" t="s">
        <v>4717</v>
      </c>
      <c r="C1041" t="s">
        <v>42</v>
      </c>
      <c r="D1041" t="s">
        <v>4718</v>
      </c>
      <c r="E1041" t="e" cm="1">
        <f t="array" ref="E1041">- KETOPROFEN</f>
        <v>#NAME?</v>
      </c>
      <c r="F1041" t="s">
        <v>4719</v>
      </c>
      <c r="H1041" t="s">
        <v>4720</v>
      </c>
      <c r="I1041" t="s">
        <v>4721</v>
      </c>
      <c r="L1041" t="s">
        <v>270</v>
      </c>
      <c r="M1041" t="s">
        <v>720</v>
      </c>
      <c r="N1041" t="s">
        <v>721</v>
      </c>
      <c r="O1041" t="s">
        <v>4722</v>
      </c>
      <c r="P1041" t="s">
        <v>4723</v>
      </c>
      <c r="Q1041" t="s">
        <v>4724</v>
      </c>
      <c r="R1041">
        <v>6</v>
      </c>
      <c r="S1041">
        <v>16</v>
      </c>
    </row>
    <row r="1042" spans="1:19" x14ac:dyDescent="0.35">
      <c r="A1042">
        <v>2474</v>
      </c>
      <c r="B1042" t="s">
        <v>4717</v>
      </c>
      <c r="C1042" t="s">
        <v>42</v>
      </c>
      <c r="D1042" t="s">
        <v>4718</v>
      </c>
      <c r="E1042" t="e" cm="1">
        <f t="array" ref="E1042">- KETOPROFEN</f>
        <v>#NAME?</v>
      </c>
      <c r="F1042" t="s">
        <v>4719</v>
      </c>
      <c r="H1042" t="s">
        <v>4720</v>
      </c>
      <c r="I1042" t="s">
        <v>4721</v>
      </c>
      <c r="L1042" t="s">
        <v>270</v>
      </c>
      <c r="M1042" t="s">
        <v>720</v>
      </c>
      <c r="N1042" t="s">
        <v>721</v>
      </c>
      <c r="O1042" t="s">
        <v>4722</v>
      </c>
      <c r="P1042" t="s">
        <v>4723</v>
      </c>
      <c r="Q1042" t="s">
        <v>4724</v>
      </c>
      <c r="R1042">
        <v>6</v>
      </c>
      <c r="S1042">
        <v>16</v>
      </c>
    </row>
    <row r="1043" spans="1:19" x14ac:dyDescent="0.35">
      <c r="A1043">
        <v>8988</v>
      </c>
      <c r="B1043" t="s">
        <v>4725</v>
      </c>
      <c r="C1043" t="s">
        <v>42</v>
      </c>
      <c r="D1043" t="s">
        <v>4726</v>
      </c>
      <c r="E1043" t="e" cm="1">
        <f t="array" ref="E1043">- CAPTOPRIL</f>
        <v>#NAME?</v>
      </c>
      <c r="F1043" t="s">
        <v>4727</v>
      </c>
      <c r="G1043" t="s">
        <v>4728</v>
      </c>
      <c r="H1043" t="s">
        <v>4729</v>
      </c>
      <c r="I1043" t="s">
        <v>4730</v>
      </c>
      <c r="J1043" t="s">
        <v>4731</v>
      </c>
      <c r="K1043" t="s">
        <v>4732</v>
      </c>
      <c r="L1043" t="s">
        <v>4733</v>
      </c>
      <c r="M1043" t="s">
        <v>46</v>
      </c>
      <c r="N1043" t="s">
        <v>4734</v>
      </c>
      <c r="O1043" t="s">
        <v>4735</v>
      </c>
      <c r="P1043" t="s">
        <v>4736</v>
      </c>
      <c r="Q1043" t="s">
        <v>4737</v>
      </c>
      <c r="R1043">
        <v>6</v>
      </c>
      <c r="S1043">
        <v>16</v>
      </c>
    </row>
    <row r="1044" spans="1:19" x14ac:dyDescent="0.35">
      <c r="A1044">
        <v>2400</v>
      </c>
      <c r="B1044" t="s">
        <v>4738</v>
      </c>
      <c r="C1044" t="s">
        <v>42</v>
      </c>
      <c r="D1044" t="s">
        <v>4739</v>
      </c>
      <c r="E1044" t="e" cm="1">
        <f t="array" ref="E1044">- MELOXICAM</f>
        <v>#NAME?</v>
      </c>
      <c r="F1044" t="s">
        <v>4740</v>
      </c>
      <c r="H1044" t="s">
        <v>4741</v>
      </c>
      <c r="I1044" t="s">
        <v>4742</v>
      </c>
      <c r="J1044" t="s">
        <v>532</v>
      </c>
      <c r="K1044" t="s">
        <v>4743</v>
      </c>
      <c r="L1044" t="s">
        <v>4744</v>
      </c>
      <c r="M1044" t="s">
        <v>46</v>
      </c>
      <c r="N1044" t="s">
        <v>412</v>
      </c>
      <c r="O1044" t="s">
        <v>4745</v>
      </c>
      <c r="P1044" t="s">
        <v>4746</v>
      </c>
      <c r="Q1044" t="s">
        <v>4747</v>
      </c>
      <c r="R1044">
        <v>6</v>
      </c>
      <c r="S1044">
        <v>16</v>
      </c>
    </row>
    <row r="1045" spans="1:19" x14ac:dyDescent="0.35">
      <c r="A1045">
        <v>8965</v>
      </c>
      <c r="B1045" t="s">
        <v>4748</v>
      </c>
      <c r="C1045" t="s">
        <v>42</v>
      </c>
      <c r="D1045" t="s">
        <v>4749</v>
      </c>
      <c r="E1045" t="e" cm="1">
        <f t="array" ref="E1045">- INDAPAMIDE</f>
        <v>#NAME?</v>
      </c>
      <c r="F1045" t="s">
        <v>4750</v>
      </c>
      <c r="G1045" t="s">
        <v>2241</v>
      </c>
      <c r="H1045" t="s">
        <v>4751</v>
      </c>
      <c r="I1045" t="s">
        <v>2917</v>
      </c>
      <c r="J1045" t="s">
        <v>4752</v>
      </c>
      <c r="K1045" t="s">
        <v>4753</v>
      </c>
      <c r="L1045" t="s">
        <v>4754</v>
      </c>
      <c r="M1045" t="s">
        <v>46</v>
      </c>
      <c r="N1045" t="s">
        <v>4755</v>
      </c>
      <c r="O1045" t="s">
        <v>2271</v>
      </c>
      <c r="P1045" t="s">
        <v>4756</v>
      </c>
      <c r="Q1045" t="s">
        <v>4757</v>
      </c>
      <c r="R1045">
        <v>6</v>
      </c>
      <c r="S1045">
        <v>16</v>
      </c>
    </row>
    <row r="1046" spans="1:19" x14ac:dyDescent="0.35">
      <c r="A1046">
        <v>8474</v>
      </c>
      <c r="B1046" t="s">
        <v>551</v>
      </c>
      <c r="C1046" t="s">
        <v>42</v>
      </c>
      <c r="D1046" t="s">
        <v>4758</v>
      </c>
      <c r="E1046" t="e" cm="1">
        <f t="array" ref="E1046">- POVIDONE-IODINE</f>
        <v>#NAME?</v>
      </c>
      <c r="F1046" t="s">
        <v>4759</v>
      </c>
      <c r="J1046" t="s">
        <v>4132</v>
      </c>
      <c r="M1046" t="s">
        <v>554</v>
      </c>
      <c r="N1046" t="s">
        <v>555</v>
      </c>
      <c r="P1046" t="s">
        <v>4760</v>
      </c>
      <c r="Q1046" t="s">
        <v>4761</v>
      </c>
      <c r="R1046">
        <v>6</v>
      </c>
      <c r="S1046">
        <v>16</v>
      </c>
    </row>
    <row r="1047" spans="1:19" x14ac:dyDescent="0.35">
      <c r="A1047">
        <v>2401</v>
      </c>
      <c r="B1047" t="s">
        <v>4738</v>
      </c>
      <c r="C1047" t="s">
        <v>42</v>
      </c>
      <c r="D1047" t="s">
        <v>4739</v>
      </c>
      <c r="E1047" t="e" cm="1">
        <f t="array" ref="E1047">- MELOXICAM</f>
        <v>#NAME?</v>
      </c>
      <c r="F1047" t="s">
        <v>4740</v>
      </c>
      <c r="H1047" t="s">
        <v>4741</v>
      </c>
      <c r="I1047" t="s">
        <v>4742</v>
      </c>
      <c r="J1047" t="s">
        <v>532</v>
      </c>
      <c r="K1047" t="s">
        <v>4743</v>
      </c>
      <c r="L1047" t="s">
        <v>4744</v>
      </c>
      <c r="M1047" t="s">
        <v>46</v>
      </c>
      <c r="N1047" t="s">
        <v>412</v>
      </c>
      <c r="O1047" t="s">
        <v>4745</v>
      </c>
      <c r="P1047" t="s">
        <v>4746</v>
      </c>
      <c r="Q1047" t="s">
        <v>4747</v>
      </c>
      <c r="R1047">
        <v>6</v>
      </c>
      <c r="S1047">
        <v>16</v>
      </c>
    </row>
    <row r="1048" spans="1:19" x14ac:dyDescent="0.35">
      <c r="A1048">
        <v>8475</v>
      </c>
      <c r="B1048" t="s">
        <v>551</v>
      </c>
      <c r="C1048" t="s">
        <v>42</v>
      </c>
      <c r="D1048" t="s">
        <v>4758</v>
      </c>
      <c r="E1048" t="e" cm="1">
        <f t="array" ref="E1048">- POVIDONE-IODINE</f>
        <v>#NAME?</v>
      </c>
      <c r="F1048" t="s">
        <v>4759</v>
      </c>
      <c r="J1048" t="s">
        <v>4132</v>
      </c>
      <c r="M1048" t="s">
        <v>554</v>
      </c>
      <c r="N1048" t="s">
        <v>555</v>
      </c>
      <c r="P1048" t="s">
        <v>4760</v>
      </c>
      <c r="Q1048" t="s">
        <v>4761</v>
      </c>
      <c r="R1048">
        <v>6</v>
      </c>
      <c r="S1048">
        <v>16</v>
      </c>
    </row>
    <row r="1049" spans="1:19" x14ac:dyDescent="0.35">
      <c r="A1049">
        <v>6075</v>
      </c>
      <c r="B1049" t="s">
        <v>4762</v>
      </c>
      <c r="C1049" t="s">
        <v>42</v>
      </c>
      <c r="D1049" t="s">
        <v>4763</v>
      </c>
      <c r="E1049" t="e" cm="1">
        <f t="array" ref="E1049">- NIFUROXAZIDE</f>
        <v>#NAME?</v>
      </c>
      <c r="F1049" t="s">
        <v>4764</v>
      </c>
      <c r="G1049" t="s">
        <v>4765</v>
      </c>
      <c r="H1049" t="s">
        <v>4766</v>
      </c>
      <c r="I1049" t="s">
        <v>4767</v>
      </c>
      <c r="J1049" t="s">
        <v>334</v>
      </c>
      <c r="K1049" t="s">
        <v>4768</v>
      </c>
      <c r="L1049" t="s">
        <v>4769</v>
      </c>
      <c r="M1049" t="s">
        <v>340</v>
      </c>
      <c r="N1049" t="s">
        <v>1208</v>
      </c>
      <c r="O1049" t="s">
        <v>4770</v>
      </c>
      <c r="P1049" t="s">
        <v>4771</v>
      </c>
      <c r="Q1049" t="s">
        <v>4772</v>
      </c>
      <c r="R1049">
        <v>6</v>
      </c>
      <c r="S1049">
        <v>16</v>
      </c>
    </row>
    <row r="1050" spans="1:19" x14ac:dyDescent="0.35">
      <c r="A1050">
        <v>5976</v>
      </c>
      <c r="B1050" t="s">
        <v>1040</v>
      </c>
      <c r="C1050" t="s">
        <v>42</v>
      </c>
      <c r="D1050" t="s">
        <v>1041</v>
      </c>
      <c r="E1050" t="e" cm="1">
        <f t="array" ref="E1050">- AMOXICILLIN TRIHYDRATE. POTASSIUM CLAVULANATE</f>
        <v>#NAME?</v>
      </c>
      <c r="F1050" t="s">
        <v>1042</v>
      </c>
      <c r="J1050" t="s">
        <v>1043</v>
      </c>
      <c r="M1050" t="s">
        <v>291</v>
      </c>
      <c r="N1050" t="s">
        <v>4773</v>
      </c>
      <c r="P1050" t="s">
        <v>1044</v>
      </c>
      <c r="Q1050" t="s">
        <v>4774</v>
      </c>
      <c r="R1050">
        <v>6</v>
      </c>
      <c r="S1050">
        <v>16</v>
      </c>
    </row>
    <row r="1051" spans="1:19" x14ac:dyDescent="0.35">
      <c r="A1051">
        <v>8476</v>
      </c>
      <c r="B1051" t="s">
        <v>551</v>
      </c>
      <c r="C1051" t="s">
        <v>42</v>
      </c>
      <c r="D1051" t="s">
        <v>4775</v>
      </c>
      <c r="E1051" t="e" cm="1">
        <f t="array" ref="E1051">- POVIDONE-IODINE</f>
        <v>#NAME?</v>
      </c>
      <c r="F1051" t="s">
        <v>4776</v>
      </c>
      <c r="J1051" t="s">
        <v>4132</v>
      </c>
      <c r="M1051" t="s">
        <v>554</v>
      </c>
      <c r="N1051" t="s">
        <v>555</v>
      </c>
      <c r="P1051" t="s">
        <v>4760</v>
      </c>
      <c r="Q1051" t="s">
        <v>4761</v>
      </c>
      <c r="R1051">
        <v>6</v>
      </c>
      <c r="S1051">
        <v>16</v>
      </c>
    </row>
    <row r="1052" spans="1:19" x14ac:dyDescent="0.35">
      <c r="A1052">
        <v>2227</v>
      </c>
      <c r="B1052" t="s">
        <v>4777</v>
      </c>
      <c r="C1052" t="s">
        <v>42</v>
      </c>
      <c r="D1052" t="s">
        <v>4778</v>
      </c>
      <c r="E1052" t="e" cm="1">
        <f t="array" ref="E1052">- KETOPROFEN</f>
        <v>#NAME?</v>
      </c>
      <c r="F1052" t="s">
        <v>4779</v>
      </c>
      <c r="G1052" t="s">
        <v>4780</v>
      </c>
      <c r="H1052" t="s">
        <v>4781</v>
      </c>
      <c r="I1052" t="s">
        <v>4782</v>
      </c>
      <c r="J1052" t="s">
        <v>4783</v>
      </c>
      <c r="K1052" t="s">
        <v>4784</v>
      </c>
    </row>
    <row r="1053" spans="1:19" x14ac:dyDescent="0.35">
      <c r="A1053">
        <v>8477</v>
      </c>
      <c r="B1053" t="s">
        <v>551</v>
      </c>
      <c r="C1053" t="s">
        <v>42</v>
      </c>
      <c r="D1053" t="s">
        <v>4775</v>
      </c>
      <c r="E1053" t="e" cm="1">
        <f t="array" ref="E1053">- POVIDONE-IODINE</f>
        <v>#NAME?</v>
      </c>
      <c r="F1053" t="s">
        <v>4776</v>
      </c>
      <c r="J1053" t="s">
        <v>4132</v>
      </c>
      <c r="M1053" t="s">
        <v>554</v>
      </c>
      <c r="N1053" t="s">
        <v>555</v>
      </c>
      <c r="P1053" t="s">
        <v>4760</v>
      </c>
      <c r="Q1053" t="s">
        <v>4761</v>
      </c>
      <c r="R1053">
        <v>6</v>
      </c>
      <c r="S1053">
        <v>16</v>
      </c>
    </row>
    <row r="1054" spans="1:19" x14ac:dyDescent="0.35">
      <c r="A1054">
        <v>6060</v>
      </c>
      <c r="B1054" t="s">
        <v>4785</v>
      </c>
      <c r="C1054" t="s">
        <v>42</v>
      </c>
      <c r="D1054" t="s">
        <v>4786</v>
      </c>
      <c r="E1054" t="e" cm="1">
        <f t="array" ref="E1054">- METRONIDAZOLE BENZOATE</f>
        <v>#NAME?</v>
      </c>
      <c r="F1054" s="1">
        <v>0</v>
      </c>
      <c r="H1054" t="s">
        <v>4787</v>
      </c>
      <c r="I1054" t="s">
        <v>4788</v>
      </c>
      <c r="J1054" t="s">
        <v>334</v>
      </c>
      <c r="K1054" t="s">
        <v>4789</v>
      </c>
      <c r="L1054" t="s">
        <v>321</v>
      </c>
      <c r="M1054" t="s">
        <v>340</v>
      </c>
      <c r="N1054" t="s">
        <v>1893</v>
      </c>
      <c r="O1054" t="s">
        <v>4790</v>
      </c>
      <c r="P1054" t="s">
        <v>4791</v>
      </c>
      <c r="Q1054" t="s">
        <v>4792</v>
      </c>
      <c r="R1054">
        <v>6</v>
      </c>
      <c r="S1054">
        <v>16</v>
      </c>
    </row>
    <row r="1055" spans="1:19" x14ac:dyDescent="0.35">
      <c r="A1055">
        <v>6059</v>
      </c>
      <c r="B1055" t="s">
        <v>4785</v>
      </c>
      <c r="C1055" t="s">
        <v>42</v>
      </c>
      <c r="D1055" t="s">
        <v>4786</v>
      </c>
      <c r="E1055" t="e" cm="1">
        <f t="array" ref="E1055">- METRONIDAZOLE BENZOATE</f>
        <v>#NAME?</v>
      </c>
      <c r="F1055" s="1">
        <v>0</v>
      </c>
      <c r="H1055" t="s">
        <v>4787</v>
      </c>
      <c r="I1055" t="s">
        <v>4788</v>
      </c>
      <c r="J1055" t="s">
        <v>334</v>
      </c>
      <c r="K1055" t="s">
        <v>4789</v>
      </c>
      <c r="L1055" t="s">
        <v>321</v>
      </c>
      <c r="M1055" t="s">
        <v>340</v>
      </c>
      <c r="N1055" t="s">
        <v>1893</v>
      </c>
      <c r="O1055" t="s">
        <v>4790</v>
      </c>
      <c r="P1055" t="s">
        <v>4791</v>
      </c>
      <c r="Q1055" t="s">
        <v>4792</v>
      </c>
      <c r="R1055">
        <v>6</v>
      </c>
      <c r="S1055">
        <v>16</v>
      </c>
    </row>
    <row r="1056" spans="1:19" x14ac:dyDescent="0.35">
      <c r="A1056">
        <v>2268</v>
      </c>
      <c r="B1056" t="s">
        <v>4793</v>
      </c>
      <c r="C1056" t="s">
        <v>42</v>
      </c>
      <c r="D1056" t="s">
        <v>4794</v>
      </c>
      <c r="E1056" t="e" cm="1">
        <f t="array" ref="E1056">- CAFFEINE</f>
        <v>#NAME?</v>
      </c>
      <c r="G1056" t="s">
        <v>60</v>
      </c>
      <c r="H1056" t="s">
        <v>4795</v>
      </c>
      <c r="I1056" t="s">
        <v>4796</v>
      </c>
      <c r="J1056" t="s">
        <v>4797</v>
      </c>
      <c r="K1056" t="s">
        <v>4798</v>
      </c>
      <c r="L1056" t="s">
        <v>4799</v>
      </c>
      <c r="M1056" t="s">
        <v>46</v>
      </c>
      <c r="N1056" t="s">
        <v>2359</v>
      </c>
      <c r="O1056" t="s">
        <v>4800</v>
      </c>
      <c r="P1056" t="s">
        <v>4801</v>
      </c>
      <c r="Q1056" t="s">
        <v>4802</v>
      </c>
      <c r="R1056">
        <v>6</v>
      </c>
      <c r="S1056">
        <v>16</v>
      </c>
    </row>
    <row r="1057" spans="1:19" x14ac:dyDescent="0.35">
      <c r="A1057">
        <v>8513</v>
      </c>
      <c r="B1057" t="s">
        <v>551</v>
      </c>
      <c r="C1057" t="s">
        <v>42</v>
      </c>
      <c r="D1057" t="s">
        <v>4130</v>
      </c>
      <c r="E1057" t="e" cm="1">
        <f t="array" ref="E1057">- POVIDONE-IODINE</f>
        <v>#NAME?</v>
      </c>
      <c r="F1057" t="s">
        <v>4131</v>
      </c>
      <c r="J1057" t="s">
        <v>4132</v>
      </c>
      <c r="M1057" t="s">
        <v>554</v>
      </c>
      <c r="N1057" t="s">
        <v>555</v>
      </c>
      <c r="P1057" t="s">
        <v>4133</v>
      </c>
      <c r="Q1057" t="s">
        <v>4134</v>
      </c>
      <c r="R1057">
        <v>6</v>
      </c>
      <c r="S1057">
        <v>16</v>
      </c>
    </row>
    <row r="1058" spans="1:19" x14ac:dyDescent="0.35">
      <c r="A1058">
        <v>2279</v>
      </c>
      <c r="B1058" t="s">
        <v>2614</v>
      </c>
      <c r="C1058" t="s">
        <v>42</v>
      </c>
      <c r="D1058" t="s">
        <v>2615</v>
      </c>
      <c r="E1058" t="e" cm="1">
        <f t="array" ref="E1058">- FLUNARIZINE HYDROCHLORIDE</f>
        <v>#NAME?</v>
      </c>
      <c r="F1058" t="s">
        <v>2616</v>
      </c>
      <c r="G1058" t="s">
        <v>2617</v>
      </c>
      <c r="H1058" t="s">
        <v>2618</v>
      </c>
      <c r="I1058" t="s">
        <v>2619</v>
      </c>
      <c r="J1058" t="s">
        <v>2620</v>
      </c>
      <c r="K1058" t="s">
        <v>2621</v>
      </c>
      <c r="L1058" t="s">
        <v>2622</v>
      </c>
      <c r="M1058" t="s">
        <v>46</v>
      </c>
      <c r="N1058" t="s">
        <v>4516</v>
      </c>
      <c r="O1058" t="s">
        <v>2624</v>
      </c>
      <c r="P1058" t="s">
        <v>2623</v>
      </c>
      <c r="Q1058" t="s">
        <v>4803</v>
      </c>
      <c r="R1058">
        <v>6</v>
      </c>
      <c r="S1058">
        <v>16</v>
      </c>
    </row>
    <row r="1059" spans="1:19" x14ac:dyDescent="0.35">
      <c r="A1059">
        <v>8484</v>
      </c>
      <c r="B1059" t="s">
        <v>551</v>
      </c>
      <c r="C1059" t="s">
        <v>42</v>
      </c>
      <c r="D1059" t="s">
        <v>4804</v>
      </c>
      <c r="E1059" t="e" cm="1">
        <f t="array" ref="E1059">- POVIDONE-IODINE</f>
        <v>#NAME?</v>
      </c>
      <c r="F1059" t="s">
        <v>4805</v>
      </c>
      <c r="J1059" t="s">
        <v>4132</v>
      </c>
      <c r="M1059" t="s">
        <v>554</v>
      </c>
      <c r="N1059" t="s">
        <v>555</v>
      </c>
      <c r="P1059" t="s">
        <v>4760</v>
      </c>
      <c r="Q1059" t="s">
        <v>4761</v>
      </c>
      <c r="R1059">
        <v>6</v>
      </c>
      <c r="S1059">
        <v>16</v>
      </c>
    </row>
    <row r="1060" spans="1:19" x14ac:dyDescent="0.35">
      <c r="A1060">
        <v>8485</v>
      </c>
      <c r="B1060" t="s">
        <v>551</v>
      </c>
      <c r="C1060" t="s">
        <v>42</v>
      </c>
      <c r="D1060" t="s">
        <v>4804</v>
      </c>
      <c r="E1060" t="e" cm="1">
        <f t="array" ref="E1060">- POVIDONE-IODINE</f>
        <v>#NAME?</v>
      </c>
      <c r="F1060" t="s">
        <v>4805</v>
      </c>
      <c r="J1060" t="s">
        <v>4132</v>
      </c>
      <c r="M1060" t="s">
        <v>554</v>
      </c>
      <c r="N1060" t="s">
        <v>555</v>
      </c>
      <c r="P1060" t="s">
        <v>4760</v>
      </c>
      <c r="Q1060" t="s">
        <v>4761</v>
      </c>
      <c r="R1060">
        <v>6</v>
      </c>
      <c r="S1060">
        <v>16</v>
      </c>
    </row>
    <row r="1061" spans="1:19" x14ac:dyDescent="0.35">
      <c r="A1061">
        <v>7778</v>
      </c>
      <c r="B1061" t="s">
        <v>4806</v>
      </c>
      <c r="C1061" t="s">
        <v>20</v>
      </c>
      <c r="D1061" t="s">
        <v>4807</v>
      </c>
      <c r="E1061" t="s">
        <v>4808</v>
      </c>
      <c r="F1061" t="s">
        <v>4809</v>
      </c>
      <c r="G1061" t="s">
        <v>4810</v>
      </c>
      <c r="H1061" t="s">
        <v>4811</v>
      </c>
      <c r="I1061" t="s">
        <v>4812</v>
      </c>
      <c r="J1061" t="s">
        <v>4813</v>
      </c>
      <c r="K1061" t="s">
        <v>4814</v>
      </c>
      <c r="L1061" t="s">
        <v>4815</v>
      </c>
      <c r="M1061" t="s">
        <v>63</v>
      </c>
      <c r="N1061" t="s">
        <v>4816</v>
      </c>
      <c r="O1061" t="s">
        <v>4817</v>
      </c>
      <c r="P1061" t="s">
        <v>4816</v>
      </c>
      <c r="Q1061" t="s">
        <v>4818</v>
      </c>
      <c r="R1061">
        <v>6</v>
      </c>
      <c r="S1061">
        <v>16</v>
      </c>
    </row>
    <row r="1062" spans="1:19" x14ac:dyDescent="0.35">
      <c r="A1062">
        <v>152</v>
      </c>
      <c r="B1062" t="s">
        <v>2902</v>
      </c>
      <c r="C1062" t="s">
        <v>42</v>
      </c>
      <c r="D1062" t="s">
        <v>4819</v>
      </c>
      <c r="E1062" t="e" cm="1">
        <f t="array" ref="E1062">- SILDENAFIL CITRATE</f>
        <v>#NAME?</v>
      </c>
      <c r="F1062" t="s">
        <v>4820</v>
      </c>
      <c r="G1062" t="s">
        <v>3853</v>
      </c>
      <c r="H1062" t="s">
        <v>1322</v>
      </c>
      <c r="I1062" t="s">
        <v>3855</v>
      </c>
      <c r="J1062" t="s">
        <v>4821</v>
      </c>
      <c r="L1062" t="s">
        <v>3857</v>
      </c>
      <c r="M1062" t="s">
        <v>46</v>
      </c>
      <c r="N1062" t="s">
        <v>2519</v>
      </c>
      <c r="O1062" t="s">
        <v>3858</v>
      </c>
      <c r="P1062" t="s">
        <v>3859</v>
      </c>
      <c r="Q1062" t="s">
        <v>3860</v>
      </c>
      <c r="R1062">
        <v>6</v>
      </c>
      <c r="S1062">
        <v>16</v>
      </c>
    </row>
    <row r="1063" spans="1:19" x14ac:dyDescent="0.35">
      <c r="A1063">
        <v>8486</v>
      </c>
      <c r="B1063" t="s">
        <v>551</v>
      </c>
      <c r="C1063" t="s">
        <v>42</v>
      </c>
      <c r="D1063" t="s">
        <v>4822</v>
      </c>
      <c r="E1063" t="e" cm="1">
        <f t="array" ref="E1063">- POVIDONE-IODINE</f>
        <v>#NAME?</v>
      </c>
      <c r="F1063" t="s">
        <v>4823</v>
      </c>
      <c r="J1063" t="s">
        <v>4132</v>
      </c>
      <c r="M1063" t="s">
        <v>554</v>
      </c>
      <c r="N1063" t="s">
        <v>555</v>
      </c>
      <c r="P1063" t="s">
        <v>4824</v>
      </c>
      <c r="Q1063" t="s">
        <v>4825</v>
      </c>
      <c r="R1063">
        <v>6</v>
      </c>
      <c r="S1063">
        <v>16</v>
      </c>
    </row>
    <row r="1064" spans="1:19" x14ac:dyDescent="0.35">
      <c r="A1064">
        <v>8487</v>
      </c>
      <c r="B1064" t="s">
        <v>551</v>
      </c>
      <c r="C1064" t="s">
        <v>42</v>
      </c>
      <c r="D1064" t="s">
        <v>4822</v>
      </c>
      <c r="E1064" t="e" cm="1">
        <f t="array" ref="E1064">- POVIDONE-IODINE</f>
        <v>#NAME?</v>
      </c>
      <c r="F1064" t="s">
        <v>4823</v>
      </c>
      <c r="J1064" t="s">
        <v>4132</v>
      </c>
      <c r="M1064" t="s">
        <v>554</v>
      </c>
      <c r="N1064" t="s">
        <v>555</v>
      </c>
      <c r="P1064" t="s">
        <v>4824</v>
      </c>
      <c r="Q1064" t="s">
        <v>4825</v>
      </c>
      <c r="R1064">
        <v>6</v>
      </c>
      <c r="S1064">
        <v>16</v>
      </c>
    </row>
    <row r="1065" spans="1:19" x14ac:dyDescent="0.35">
      <c r="A1065">
        <v>721</v>
      </c>
      <c r="B1065" t="s">
        <v>4690</v>
      </c>
      <c r="C1065" t="s">
        <v>20</v>
      </c>
      <c r="D1065" t="s">
        <v>4826</v>
      </c>
      <c r="E1065" t="s">
        <v>4692</v>
      </c>
      <c r="F1065" t="s">
        <v>4827</v>
      </c>
      <c r="J1065" t="s">
        <v>3275</v>
      </c>
      <c r="M1065" t="s">
        <v>2115</v>
      </c>
      <c r="N1065" t="s">
        <v>4694</v>
      </c>
      <c r="P1065" t="s">
        <v>4695</v>
      </c>
      <c r="Q1065" t="s">
        <v>4696</v>
      </c>
      <c r="R1065">
        <v>6</v>
      </c>
      <c r="S1065">
        <v>16</v>
      </c>
    </row>
    <row r="1066" spans="1:19" x14ac:dyDescent="0.35">
      <c r="A1066">
        <v>8500</v>
      </c>
      <c r="B1066" t="s">
        <v>551</v>
      </c>
      <c r="C1066" t="s">
        <v>42</v>
      </c>
      <c r="D1066" t="s">
        <v>4828</v>
      </c>
      <c r="E1066" t="e" cm="1">
        <f t="array" ref="E1066">- POVIDONE-IODINE</f>
        <v>#NAME?</v>
      </c>
      <c r="F1066" t="s">
        <v>4829</v>
      </c>
      <c r="J1066" t="s">
        <v>4830</v>
      </c>
      <c r="M1066" t="s">
        <v>554</v>
      </c>
      <c r="N1066" t="s">
        <v>555</v>
      </c>
      <c r="P1066" t="s">
        <v>4831</v>
      </c>
      <c r="Q1066" t="s">
        <v>4832</v>
      </c>
      <c r="R1066">
        <v>6</v>
      </c>
      <c r="S1066">
        <v>16</v>
      </c>
    </row>
    <row r="1067" spans="1:19" x14ac:dyDescent="0.35">
      <c r="A1067">
        <v>8501</v>
      </c>
      <c r="B1067" t="s">
        <v>551</v>
      </c>
      <c r="C1067" t="s">
        <v>42</v>
      </c>
      <c r="D1067" t="s">
        <v>4828</v>
      </c>
      <c r="E1067" t="e" cm="1">
        <f t="array" ref="E1067">- POVIDONE-IODINE</f>
        <v>#NAME?</v>
      </c>
      <c r="F1067" t="s">
        <v>4829</v>
      </c>
      <c r="J1067" t="s">
        <v>4830</v>
      </c>
      <c r="M1067" t="s">
        <v>554</v>
      </c>
      <c r="N1067" t="s">
        <v>555</v>
      </c>
      <c r="P1067" t="s">
        <v>4831</v>
      </c>
      <c r="Q1067" t="s">
        <v>4832</v>
      </c>
      <c r="R1067">
        <v>6</v>
      </c>
      <c r="S1067">
        <v>16</v>
      </c>
    </row>
    <row r="1068" spans="1:19" x14ac:dyDescent="0.35">
      <c r="A1068">
        <v>8637</v>
      </c>
      <c r="B1068" t="s">
        <v>4833</v>
      </c>
      <c r="C1068" t="s">
        <v>42</v>
      </c>
      <c r="D1068" t="s">
        <v>4834</v>
      </c>
      <c r="E1068" t="e" cm="1">
        <f t="array" ref="E1068">- GLIBENCLAMIDE</f>
        <v>#NAME?</v>
      </c>
      <c r="F1068" t="s">
        <v>4835</v>
      </c>
      <c r="G1068" t="s">
        <v>4836</v>
      </c>
      <c r="H1068" t="s">
        <v>4837</v>
      </c>
      <c r="I1068" t="s">
        <v>4838</v>
      </c>
      <c r="J1068" t="s">
        <v>4839</v>
      </c>
      <c r="L1068" t="s">
        <v>270</v>
      </c>
      <c r="M1068" t="s">
        <v>291</v>
      </c>
      <c r="N1068" t="s">
        <v>1260</v>
      </c>
      <c r="O1068" t="s">
        <v>4840</v>
      </c>
      <c r="P1068" t="s">
        <v>4841</v>
      </c>
      <c r="Q1068" t="s">
        <v>4842</v>
      </c>
      <c r="R1068">
        <v>6</v>
      </c>
      <c r="S1068">
        <v>16</v>
      </c>
    </row>
    <row r="1069" spans="1:19" x14ac:dyDescent="0.35">
      <c r="A1069">
        <v>8511</v>
      </c>
      <c r="B1069" t="s">
        <v>551</v>
      </c>
      <c r="C1069" t="s">
        <v>42</v>
      </c>
      <c r="D1069" t="s">
        <v>4843</v>
      </c>
      <c r="E1069" t="e" cm="1">
        <f t="array" ref="E1069">- POVIDONE-IODINE</f>
        <v>#NAME?</v>
      </c>
      <c r="F1069" s="1">
        <v>1153600</v>
      </c>
      <c r="J1069" t="s">
        <v>4132</v>
      </c>
      <c r="M1069" t="s">
        <v>554</v>
      </c>
      <c r="N1069" t="s">
        <v>555</v>
      </c>
      <c r="P1069" t="s">
        <v>4844</v>
      </c>
      <c r="Q1069" t="s">
        <v>4845</v>
      </c>
      <c r="R1069">
        <v>6</v>
      </c>
      <c r="S1069">
        <v>16</v>
      </c>
    </row>
    <row r="1070" spans="1:19" x14ac:dyDescent="0.35">
      <c r="A1070">
        <v>8436</v>
      </c>
      <c r="B1070" t="s">
        <v>551</v>
      </c>
      <c r="C1070" t="s">
        <v>42</v>
      </c>
      <c r="D1070" t="s">
        <v>4711</v>
      </c>
      <c r="E1070" t="e" cm="1">
        <f t="array" ref="E1070">- POVIDONE-IODINE</f>
        <v>#NAME?</v>
      </c>
      <c r="F1070" t="s">
        <v>4712</v>
      </c>
      <c r="J1070" t="s">
        <v>4132</v>
      </c>
      <c r="M1070" t="s">
        <v>554</v>
      </c>
      <c r="N1070" t="s">
        <v>555</v>
      </c>
      <c r="P1070" t="s">
        <v>4713</v>
      </c>
      <c r="Q1070" t="s">
        <v>4714</v>
      </c>
      <c r="R1070">
        <v>6</v>
      </c>
      <c r="S1070">
        <v>16</v>
      </c>
    </row>
    <row r="1071" spans="1:19" x14ac:dyDescent="0.35">
      <c r="A1071">
        <v>6666</v>
      </c>
      <c r="B1071" t="s">
        <v>4846</v>
      </c>
      <c r="C1071" t="s">
        <v>42</v>
      </c>
      <c r="D1071" t="s">
        <v>4847</v>
      </c>
      <c r="E1071" t="e" cm="1">
        <f t="array" ref="E1071">- LAMIVUDINE</f>
        <v>#NAME?</v>
      </c>
      <c r="F1071" t="s">
        <v>4848</v>
      </c>
      <c r="G1071" t="s">
        <v>4849</v>
      </c>
      <c r="H1071" t="s">
        <v>4850</v>
      </c>
      <c r="I1071" t="s">
        <v>4851</v>
      </c>
      <c r="J1071" t="s">
        <v>2694</v>
      </c>
      <c r="K1071" t="s">
        <v>2726</v>
      </c>
      <c r="L1071" t="s">
        <v>4852</v>
      </c>
      <c r="M1071" t="s">
        <v>46</v>
      </c>
      <c r="N1071" t="s">
        <v>4853</v>
      </c>
      <c r="O1071" t="s">
        <v>4854</v>
      </c>
      <c r="P1071" t="s">
        <v>4855</v>
      </c>
      <c r="Q1071" t="s">
        <v>4856</v>
      </c>
      <c r="R1071">
        <v>6</v>
      </c>
      <c r="S1071">
        <v>16</v>
      </c>
    </row>
    <row r="1072" spans="1:19" x14ac:dyDescent="0.35">
      <c r="A1072">
        <v>3470</v>
      </c>
      <c r="B1072" t="s">
        <v>1754</v>
      </c>
      <c r="C1072" t="s">
        <v>42</v>
      </c>
      <c r="D1072" t="s">
        <v>1755</v>
      </c>
      <c r="E1072" t="s">
        <v>4857</v>
      </c>
      <c r="F1072" s="1">
        <v>202800</v>
      </c>
      <c r="J1072" t="s">
        <v>1756</v>
      </c>
      <c r="M1072" t="s">
        <v>46</v>
      </c>
      <c r="N1072" t="s">
        <v>4858</v>
      </c>
      <c r="P1072" t="s">
        <v>1758</v>
      </c>
      <c r="Q1072" t="s">
        <v>4859</v>
      </c>
      <c r="R1072">
        <v>6</v>
      </c>
      <c r="S1072">
        <v>16</v>
      </c>
    </row>
    <row r="1073" spans="1:19" x14ac:dyDescent="0.35">
      <c r="A1073">
        <v>2226</v>
      </c>
      <c r="B1073" t="s">
        <v>4777</v>
      </c>
      <c r="C1073" t="s">
        <v>42</v>
      </c>
      <c r="D1073" t="s">
        <v>4778</v>
      </c>
      <c r="E1073" t="e" cm="1">
        <f t="array" ref="E1073">- KETOPROFEN</f>
        <v>#NAME?</v>
      </c>
      <c r="F1073" t="s">
        <v>4779</v>
      </c>
      <c r="G1073" t="s">
        <v>4780</v>
      </c>
      <c r="H1073" t="s">
        <v>4781</v>
      </c>
      <c r="I1073" t="s">
        <v>4782</v>
      </c>
      <c r="J1073" t="s">
        <v>4783</v>
      </c>
      <c r="K1073" t="s">
        <v>4784</v>
      </c>
    </row>
    <row r="1074" spans="1:19" x14ac:dyDescent="0.35">
      <c r="A1074">
        <v>2566</v>
      </c>
      <c r="B1074" t="s">
        <v>4860</v>
      </c>
      <c r="C1074" t="s">
        <v>42</v>
      </c>
      <c r="D1074" t="s">
        <v>4861</v>
      </c>
      <c r="E1074" t="e" cm="1">
        <f t="array" ref="E1074">- MELOXICAM</f>
        <v>#NAME?</v>
      </c>
      <c r="F1074" t="s">
        <v>4862</v>
      </c>
      <c r="G1074" t="s">
        <v>60</v>
      </c>
      <c r="H1074" t="s">
        <v>2643</v>
      </c>
      <c r="I1074" t="s">
        <v>4863</v>
      </c>
      <c r="J1074" t="s">
        <v>4864</v>
      </c>
      <c r="K1074" t="s">
        <v>4865</v>
      </c>
      <c r="L1074" t="s">
        <v>4866</v>
      </c>
      <c r="M1074" t="s">
        <v>46</v>
      </c>
      <c r="N1074" t="s">
        <v>412</v>
      </c>
      <c r="O1074" t="s">
        <v>4867</v>
      </c>
      <c r="P1074" t="s">
        <v>4868</v>
      </c>
      <c r="Q1074" t="s">
        <v>4869</v>
      </c>
      <c r="R1074">
        <v>6</v>
      </c>
      <c r="S1074">
        <v>16</v>
      </c>
    </row>
    <row r="1075" spans="1:19" x14ac:dyDescent="0.35">
      <c r="A1075">
        <v>9187</v>
      </c>
      <c r="B1075" t="s">
        <v>4311</v>
      </c>
      <c r="C1075" t="s">
        <v>42</v>
      </c>
      <c r="D1075" t="s">
        <v>4312</v>
      </c>
      <c r="E1075" t="e" cm="1">
        <f t="array" ref="E1075">- HYDROCHLOROTHIAZIDE</f>
        <v>#NAME?</v>
      </c>
      <c r="F1075" t="s">
        <v>4313</v>
      </c>
      <c r="G1075" t="s">
        <v>60</v>
      </c>
      <c r="H1075" t="s">
        <v>4314</v>
      </c>
      <c r="I1075" t="s">
        <v>2917</v>
      </c>
      <c r="J1075" t="s">
        <v>4315</v>
      </c>
      <c r="K1075" t="s">
        <v>4316</v>
      </c>
      <c r="L1075" t="s">
        <v>4317</v>
      </c>
      <c r="M1075" t="s">
        <v>291</v>
      </c>
      <c r="N1075" t="s">
        <v>2647</v>
      </c>
      <c r="O1075" t="s">
        <v>2271</v>
      </c>
      <c r="P1075" t="s">
        <v>4318</v>
      </c>
      <c r="Q1075" t="s">
        <v>4319</v>
      </c>
      <c r="R1075">
        <v>6</v>
      </c>
      <c r="S1075">
        <v>16</v>
      </c>
    </row>
    <row r="1076" spans="1:19" x14ac:dyDescent="0.35">
      <c r="A1076">
        <v>8249</v>
      </c>
      <c r="B1076" t="s">
        <v>551</v>
      </c>
      <c r="C1076" t="s">
        <v>42</v>
      </c>
      <c r="D1076" t="s">
        <v>4870</v>
      </c>
      <c r="E1076" t="e" cm="1">
        <f t="array" ref="E1076">- POVIDONE-IODINE</f>
        <v>#NAME?</v>
      </c>
      <c r="F1076" t="s">
        <v>4871</v>
      </c>
      <c r="J1076" t="s">
        <v>4872</v>
      </c>
      <c r="L1076" t="s">
        <v>4873</v>
      </c>
      <c r="M1076" t="s">
        <v>554</v>
      </c>
      <c r="N1076" t="s">
        <v>555</v>
      </c>
      <c r="P1076" t="s">
        <v>4874</v>
      </c>
      <c r="Q1076" t="s">
        <v>4875</v>
      </c>
      <c r="R1076">
        <v>6</v>
      </c>
      <c r="S1076">
        <v>16</v>
      </c>
    </row>
    <row r="1077" spans="1:19" x14ac:dyDescent="0.35">
      <c r="A1077">
        <v>6753</v>
      </c>
      <c r="B1077" t="s">
        <v>4876</v>
      </c>
      <c r="C1077" t="s">
        <v>42</v>
      </c>
      <c r="D1077" t="s">
        <v>4877</v>
      </c>
      <c r="E1077" t="e" cm="1">
        <f t="array" ref="E1077">- FEBUXOSTAT</f>
        <v>#NAME?</v>
      </c>
      <c r="F1077" t="s">
        <v>4878</v>
      </c>
      <c r="G1077" t="s">
        <v>4879</v>
      </c>
      <c r="H1077" t="s">
        <v>4880</v>
      </c>
      <c r="I1077" t="s">
        <v>3641</v>
      </c>
      <c r="J1077" t="s">
        <v>2478</v>
      </c>
      <c r="K1077" t="s">
        <v>4881</v>
      </c>
      <c r="L1077" t="s">
        <v>4882</v>
      </c>
      <c r="M1077" t="s">
        <v>46</v>
      </c>
      <c r="N1077" t="s">
        <v>3642</v>
      </c>
      <c r="O1077" t="s">
        <v>3643</v>
      </c>
      <c r="P1077" t="s">
        <v>4883</v>
      </c>
      <c r="Q1077" t="s">
        <v>4884</v>
      </c>
      <c r="R1077">
        <v>6</v>
      </c>
      <c r="S1077">
        <v>16</v>
      </c>
    </row>
    <row r="1078" spans="1:19" x14ac:dyDescent="0.35">
      <c r="A1078">
        <v>8250</v>
      </c>
      <c r="B1078" t="s">
        <v>551</v>
      </c>
      <c r="C1078" t="s">
        <v>42</v>
      </c>
      <c r="D1078" t="s">
        <v>4885</v>
      </c>
      <c r="E1078" t="e" cm="1">
        <f t="array" ref="E1078">- POVIDONE-IODINE</f>
        <v>#NAME?</v>
      </c>
      <c r="F1078" t="s">
        <v>4886</v>
      </c>
      <c r="H1078" t="s">
        <v>1322</v>
      </c>
      <c r="J1078" t="s">
        <v>4887</v>
      </c>
      <c r="M1078" t="s">
        <v>554</v>
      </c>
      <c r="N1078" t="s">
        <v>555</v>
      </c>
      <c r="P1078" t="s">
        <v>4874</v>
      </c>
      <c r="Q1078" t="s">
        <v>4875</v>
      </c>
      <c r="R1078">
        <v>6</v>
      </c>
      <c r="S1078">
        <v>16</v>
      </c>
    </row>
    <row r="1079" spans="1:19" x14ac:dyDescent="0.35">
      <c r="A1079">
        <v>8964</v>
      </c>
      <c r="B1079" t="s">
        <v>4748</v>
      </c>
      <c r="C1079" t="s">
        <v>42</v>
      </c>
      <c r="D1079" t="s">
        <v>4749</v>
      </c>
      <c r="E1079" t="e" cm="1">
        <f t="array" ref="E1079">- INDAPAMIDE</f>
        <v>#NAME?</v>
      </c>
      <c r="F1079" t="s">
        <v>4750</v>
      </c>
      <c r="G1079" t="s">
        <v>2241</v>
      </c>
      <c r="H1079" t="s">
        <v>4751</v>
      </c>
      <c r="I1079" t="s">
        <v>2917</v>
      </c>
      <c r="J1079" t="s">
        <v>4752</v>
      </c>
      <c r="K1079" t="s">
        <v>4753</v>
      </c>
      <c r="L1079" t="s">
        <v>4754</v>
      </c>
      <c r="M1079" t="s">
        <v>46</v>
      </c>
      <c r="N1079" t="s">
        <v>4755</v>
      </c>
      <c r="O1079" t="s">
        <v>2271</v>
      </c>
      <c r="P1079" t="s">
        <v>4756</v>
      </c>
      <c r="Q1079" t="s">
        <v>4757</v>
      </c>
      <c r="R1079">
        <v>6</v>
      </c>
      <c r="S1079">
        <v>16</v>
      </c>
    </row>
    <row r="1080" spans="1:19" x14ac:dyDescent="0.35">
      <c r="A1080">
        <v>6755</v>
      </c>
      <c r="B1080" t="s">
        <v>4888</v>
      </c>
      <c r="C1080" t="s">
        <v>42</v>
      </c>
      <c r="D1080" t="s">
        <v>4889</v>
      </c>
      <c r="E1080" t="e" cm="1">
        <f t="array" ref="E1080">- FEBUXOSTAT</f>
        <v>#NAME?</v>
      </c>
      <c r="F1080" t="s">
        <v>4890</v>
      </c>
      <c r="G1080" t="s">
        <v>4879</v>
      </c>
      <c r="H1080" t="s">
        <v>4880</v>
      </c>
      <c r="I1080" t="s">
        <v>3641</v>
      </c>
      <c r="J1080" t="s">
        <v>4891</v>
      </c>
      <c r="K1080" t="s">
        <v>4707</v>
      </c>
      <c r="L1080" t="s">
        <v>4882</v>
      </c>
      <c r="M1080" t="s">
        <v>46</v>
      </c>
      <c r="N1080" t="s">
        <v>3642</v>
      </c>
      <c r="O1080" t="s">
        <v>3643</v>
      </c>
      <c r="P1080" t="s">
        <v>4892</v>
      </c>
      <c r="Q1080" t="s">
        <v>4893</v>
      </c>
      <c r="R1080">
        <v>6</v>
      </c>
      <c r="S1080">
        <v>16</v>
      </c>
    </row>
    <row r="1081" spans="1:19" x14ac:dyDescent="0.35">
      <c r="A1081">
        <v>6759</v>
      </c>
      <c r="B1081" t="s">
        <v>4894</v>
      </c>
      <c r="C1081" t="s">
        <v>42</v>
      </c>
      <c r="D1081" t="s">
        <v>4895</v>
      </c>
      <c r="E1081" t="e" cm="1">
        <f t="array" ref="E1081">- ALLOPURINOL</f>
        <v>#NAME?</v>
      </c>
      <c r="F1081" t="s">
        <v>4896</v>
      </c>
      <c r="G1081" t="s">
        <v>4545</v>
      </c>
      <c r="H1081" t="s">
        <v>4897</v>
      </c>
      <c r="I1081" t="s">
        <v>4898</v>
      </c>
      <c r="J1081" t="s">
        <v>381</v>
      </c>
      <c r="K1081" t="s">
        <v>4899</v>
      </c>
      <c r="L1081" t="s">
        <v>4900</v>
      </c>
      <c r="M1081" t="s">
        <v>291</v>
      </c>
      <c r="N1081" t="s">
        <v>424</v>
      </c>
      <c r="O1081" t="s">
        <v>4901</v>
      </c>
      <c r="P1081" t="s">
        <v>4902</v>
      </c>
      <c r="Q1081" t="s">
        <v>4903</v>
      </c>
      <c r="R1081">
        <v>6</v>
      </c>
      <c r="S1081">
        <v>16</v>
      </c>
    </row>
    <row r="1082" spans="1:19" x14ac:dyDescent="0.35">
      <c r="A1082">
        <v>6760</v>
      </c>
      <c r="B1082" t="s">
        <v>4894</v>
      </c>
      <c r="C1082" t="s">
        <v>42</v>
      </c>
      <c r="D1082" t="s">
        <v>4895</v>
      </c>
      <c r="E1082" t="e" cm="1">
        <f t="array" ref="E1082">- ALLOPURINOL</f>
        <v>#NAME?</v>
      </c>
      <c r="F1082" t="s">
        <v>4896</v>
      </c>
      <c r="G1082" t="s">
        <v>4545</v>
      </c>
      <c r="H1082" t="s">
        <v>4897</v>
      </c>
      <c r="I1082" t="s">
        <v>4898</v>
      </c>
      <c r="J1082" t="s">
        <v>381</v>
      </c>
      <c r="K1082" t="s">
        <v>4899</v>
      </c>
      <c r="L1082" t="s">
        <v>4900</v>
      </c>
      <c r="M1082" t="s">
        <v>291</v>
      </c>
      <c r="N1082" t="s">
        <v>424</v>
      </c>
      <c r="O1082" t="s">
        <v>4901</v>
      </c>
      <c r="P1082" t="s">
        <v>4902</v>
      </c>
      <c r="Q1082" t="s">
        <v>4903</v>
      </c>
      <c r="R1082">
        <v>6</v>
      </c>
      <c r="S1082">
        <v>16</v>
      </c>
    </row>
    <row r="1083" spans="1:19" x14ac:dyDescent="0.35">
      <c r="A1083">
        <v>6764</v>
      </c>
      <c r="B1083" t="s">
        <v>4904</v>
      </c>
      <c r="C1083" t="s">
        <v>42</v>
      </c>
      <c r="D1083" t="s">
        <v>4905</v>
      </c>
      <c r="E1083" t="e" cm="1">
        <f t="array" ref="E1083">- FEBUXOSTAT</f>
        <v>#NAME?</v>
      </c>
      <c r="F1083" s="1">
        <v>120800</v>
      </c>
      <c r="G1083" t="s">
        <v>4879</v>
      </c>
      <c r="H1083" t="s">
        <v>4880</v>
      </c>
      <c r="I1083" t="s">
        <v>3641</v>
      </c>
      <c r="J1083" t="s">
        <v>599</v>
      </c>
      <c r="M1083" t="s">
        <v>46</v>
      </c>
      <c r="N1083" t="s">
        <v>3642</v>
      </c>
      <c r="O1083" t="s">
        <v>3643</v>
      </c>
      <c r="P1083" t="s">
        <v>4892</v>
      </c>
      <c r="Q1083" t="s">
        <v>4893</v>
      </c>
      <c r="R1083">
        <v>6</v>
      </c>
      <c r="S1083">
        <v>16</v>
      </c>
    </row>
    <row r="1084" spans="1:19" x14ac:dyDescent="0.35">
      <c r="A1084">
        <v>8248</v>
      </c>
      <c r="B1084" t="s">
        <v>551</v>
      </c>
      <c r="C1084" t="s">
        <v>42</v>
      </c>
      <c r="D1084" t="s">
        <v>4870</v>
      </c>
      <c r="E1084" t="e" cm="1">
        <f t="array" ref="E1084">- POVIDONE-IODINE</f>
        <v>#NAME?</v>
      </c>
      <c r="F1084" t="s">
        <v>4871</v>
      </c>
      <c r="J1084" t="s">
        <v>4872</v>
      </c>
      <c r="L1084" t="s">
        <v>4873</v>
      </c>
      <c r="M1084" t="s">
        <v>554</v>
      </c>
      <c r="N1084" t="s">
        <v>555</v>
      </c>
      <c r="P1084" t="s">
        <v>4874</v>
      </c>
      <c r="Q1084" t="s">
        <v>4875</v>
      </c>
      <c r="R1084">
        <v>6</v>
      </c>
      <c r="S1084">
        <v>16</v>
      </c>
    </row>
    <row r="1085" spans="1:19" x14ac:dyDescent="0.35">
      <c r="A1085">
        <v>6784</v>
      </c>
      <c r="B1085" t="s">
        <v>4906</v>
      </c>
      <c r="C1085" t="s">
        <v>42</v>
      </c>
      <c r="D1085" t="s">
        <v>4907</v>
      </c>
      <c r="E1085" t="e" cm="1">
        <f t="array" ref="E1085">- FEBUXOSTAT</f>
        <v>#NAME?</v>
      </c>
      <c r="F1085" s="1">
        <v>56400</v>
      </c>
      <c r="G1085" t="s">
        <v>3639</v>
      </c>
      <c r="H1085" t="s">
        <v>3640</v>
      </c>
      <c r="I1085" t="s">
        <v>3641</v>
      </c>
      <c r="J1085" t="s">
        <v>2100</v>
      </c>
      <c r="K1085" t="s">
        <v>4707</v>
      </c>
      <c r="L1085" t="s">
        <v>4708</v>
      </c>
      <c r="M1085" t="s">
        <v>46</v>
      </c>
      <c r="N1085" t="s">
        <v>3642</v>
      </c>
      <c r="O1085" t="s">
        <v>3643</v>
      </c>
      <c r="P1085" t="s">
        <v>4709</v>
      </c>
      <c r="Q1085" t="s">
        <v>4710</v>
      </c>
      <c r="R1085">
        <v>6</v>
      </c>
      <c r="S1085">
        <v>16</v>
      </c>
    </row>
    <row r="1086" spans="1:19" x14ac:dyDescent="0.35">
      <c r="A1086">
        <v>6754</v>
      </c>
      <c r="B1086" t="s">
        <v>4876</v>
      </c>
      <c r="C1086" t="s">
        <v>42</v>
      </c>
      <c r="D1086" t="s">
        <v>4877</v>
      </c>
      <c r="E1086" t="e" cm="1">
        <f t="array" ref="E1086">- FEBUXOSTAT</f>
        <v>#NAME?</v>
      </c>
      <c r="F1086" t="s">
        <v>4878</v>
      </c>
      <c r="G1086" t="s">
        <v>4879</v>
      </c>
      <c r="H1086" t="s">
        <v>4880</v>
      </c>
      <c r="I1086" t="s">
        <v>3641</v>
      </c>
      <c r="J1086" t="s">
        <v>2478</v>
      </c>
      <c r="K1086" t="s">
        <v>4881</v>
      </c>
      <c r="L1086" t="s">
        <v>4882</v>
      </c>
      <c r="M1086" t="s">
        <v>46</v>
      </c>
      <c r="N1086" t="s">
        <v>3642</v>
      </c>
      <c r="O1086" t="s">
        <v>3643</v>
      </c>
      <c r="P1086" t="s">
        <v>4883</v>
      </c>
      <c r="Q1086" t="s">
        <v>4884</v>
      </c>
      <c r="R1086">
        <v>6</v>
      </c>
      <c r="S1086">
        <v>16</v>
      </c>
    </row>
    <row r="1087" spans="1:19" x14ac:dyDescent="0.35">
      <c r="A1087">
        <v>8251</v>
      </c>
      <c r="B1087" t="s">
        <v>551</v>
      </c>
      <c r="C1087" t="s">
        <v>42</v>
      </c>
      <c r="D1087" t="s">
        <v>4885</v>
      </c>
      <c r="E1087" t="e" cm="1">
        <f t="array" ref="E1087">- POVIDONE-IODINE</f>
        <v>#NAME?</v>
      </c>
      <c r="F1087" t="s">
        <v>4886</v>
      </c>
      <c r="H1087" t="s">
        <v>1322</v>
      </c>
      <c r="J1087" t="s">
        <v>4887</v>
      </c>
      <c r="M1087" t="s">
        <v>554</v>
      </c>
      <c r="N1087" t="s">
        <v>555</v>
      </c>
      <c r="P1087" t="s">
        <v>4874</v>
      </c>
      <c r="Q1087" t="s">
        <v>4875</v>
      </c>
      <c r="R1087">
        <v>6</v>
      </c>
      <c r="S1087">
        <v>16</v>
      </c>
    </row>
    <row r="1088" spans="1:19" x14ac:dyDescent="0.35">
      <c r="A1088">
        <v>8510</v>
      </c>
      <c r="B1088" t="s">
        <v>551</v>
      </c>
      <c r="C1088" t="s">
        <v>42</v>
      </c>
      <c r="D1088" t="s">
        <v>4843</v>
      </c>
      <c r="E1088" t="e" cm="1">
        <f t="array" ref="E1088">- POVIDONE-IODINE</f>
        <v>#NAME?</v>
      </c>
      <c r="F1088" s="1">
        <v>1153600</v>
      </c>
      <c r="J1088" t="s">
        <v>4132</v>
      </c>
      <c r="M1088" t="s">
        <v>554</v>
      </c>
      <c r="N1088" t="s">
        <v>555</v>
      </c>
      <c r="P1088" t="s">
        <v>4844</v>
      </c>
      <c r="Q1088" t="s">
        <v>4845</v>
      </c>
      <c r="R1088">
        <v>6</v>
      </c>
      <c r="S1088">
        <v>16</v>
      </c>
    </row>
    <row r="1089" spans="1:19" x14ac:dyDescent="0.35">
      <c r="A1089">
        <v>1616</v>
      </c>
      <c r="B1089" t="s">
        <v>3137</v>
      </c>
      <c r="C1089" t="s">
        <v>42</v>
      </c>
      <c r="D1089" t="s">
        <v>3138</v>
      </c>
      <c r="E1089" t="e" cm="1">
        <f t="array" ref="E1089">- GUAIFENESIN. BROMHEXINE HYDROCHLORIDE</f>
        <v>#NAME?</v>
      </c>
      <c r="F1089" t="s">
        <v>3139</v>
      </c>
      <c r="J1089" t="s">
        <v>334</v>
      </c>
      <c r="M1089" t="s">
        <v>271</v>
      </c>
      <c r="N1089" t="s">
        <v>4908</v>
      </c>
      <c r="P1089" t="s">
        <v>3140</v>
      </c>
      <c r="Q1089" t="s">
        <v>4909</v>
      </c>
      <c r="R1089">
        <v>6</v>
      </c>
      <c r="S1089">
        <v>16</v>
      </c>
    </row>
    <row r="1090" spans="1:19" x14ac:dyDescent="0.35">
      <c r="A1090">
        <v>3763</v>
      </c>
      <c r="B1090" t="s">
        <v>4910</v>
      </c>
      <c r="C1090" t="s">
        <v>42</v>
      </c>
      <c r="D1090" t="s">
        <v>4911</v>
      </c>
      <c r="E1090" t="e" cm="1">
        <f t="array" ref="E1090">- ATTAPULGITE</f>
        <v>#NAME?</v>
      </c>
      <c r="F1090" t="s">
        <v>4912</v>
      </c>
      <c r="G1090" t="s">
        <v>4913</v>
      </c>
      <c r="H1090" t="s">
        <v>4914</v>
      </c>
      <c r="I1090" t="s">
        <v>4915</v>
      </c>
      <c r="J1090" t="s">
        <v>4916</v>
      </c>
      <c r="K1090" t="s">
        <v>4917</v>
      </c>
      <c r="L1090" t="s">
        <v>4918</v>
      </c>
      <c r="M1090" t="s">
        <v>46</v>
      </c>
      <c r="N1090" t="s">
        <v>1450</v>
      </c>
      <c r="O1090" t="s">
        <v>4919</v>
      </c>
      <c r="P1090" t="s">
        <v>4920</v>
      </c>
      <c r="Q1090" t="s">
        <v>4921</v>
      </c>
      <c r="R1090">
        <v>6</v>
      </c>
      <c r="S1090">
        <v>16</v>
      </c>
    </row>
    <row r="1091" spans="1:19" x14ac:dyDescent="0.35">
      <c r="A1091">
        <v>8435</v>
      </c>
      <c r="B1091" t="s">
        <v>551</v>
      </c>
      <c r="C1091" t="s">
        <v>42</v>
      </c>
      <c r="D1091" t="s">
        <v>4922</v>
      </c>
      <c r="E1091" t="e" cm="1">
        <f t="array" ref="E1091">- POVIDONE-IODINE</f>
        <v>#NAME?</v>
      </c>
      <c r="F1091" t="s">
        <v>4923</v>
      </c>
      <c r="J1091" t="s">
        <v>4132</v>
      </c>
      <c r="M1091" t="s">
        <v>554</v>
      </c>
      <c r="N1091" t="s">
        <v>555</v>
      </c>
      <c r="P1091" t="s">
        <v>4924</v>
      </c>
      <c r="Q1091" t="s">
        <v>4925</v>
      </c>
      <c r="R1091">
        <v>6</v>
      </c>
      <c r="S1091">
        <v>16</v>
      </c>
    </row>
    <row r="1092" spans="1:19" x14ac:dyDescent="0.35">
      <c r="A1092">
        <v>8434</v>
      </c>
      <c r="B1092" t="s">
        <v>551</v>
      </c>
      <c r="C1092" t="s">
        <v>42</v>
      </c>
      <c r="D1092" t="s">
        <v>4922</v>
      </c>
      <c r="E1092" t="e" cm="1">
        <f t="array" ref="E1092">- POVIDONE-IODINE</f>
        <v>#NAME?</v>
      </c>
      <c r="F1092" t="s">
        <v>4923</v>
      </c>
      <c r="J1092" t="s">
        <v>4132</v>
      </c>
      <c r="M1092" t="s">
        <v>554</v>
      </c>
      <c r="N1092" t="s">
        <v>555</v>
      </c>
      <c r="P1092" t="s">
        <v>4924</v>
      </c>
      <c r="Q1092" t="s">
        <v>4925</v>
      </c>
      <c r="R1092">
        <v>6</v>
      </c>
      <c r="S1092">
        <v>16</v>
      </c>
    </row>
    <row r="1093" spans="1:19" x14ac:dyDescent="0.35">
      <c r="A1093">
        <v>1340</v>
      </c>
      <c r="B1093" t="s">
        <v>1932</v>
      </c>
      <c r="C1093" t="s">
        <v>42</v>
      </c>
      <c r="D1093" t="s">
        <v>1933</v>
      </c>
      <c r="E1093" t="e" cm="1">
        <f t="array" ref="E1093">- PSEUDOEPHEDRINE HYDROCHLORIDE. CHLORPHENAMINE MALEATE</f>
        <v>#NAME?</v>
      </c>
      <c r="F1093" t="s">
        <v>1934</v>
      </c>
      <c r="J1093" t="s">
        <v>334</v>
      </c>
      <c r="M1093" t="s">
        <v>271</v>
      </c>
      <c r="N1093" t="s">
        <v>4926</v>
      </c>
      <c r="P1093" t="s">
        <v>1935</v>
      </c>
      <c r="Q1093" t="s">
        <v>4927</v>
      </c>
      <c r="R1093">
        <v>6</v>
      </c>
      <c r="S1093">
        <v>16</v>
      </c>
    </row>
    <row r="1094" spans="1:19" x14ac:dyDescent="0.35">
      <c r="A1094">
        <v>8296</v>
      </c>
      <c r="B1094" t="s">
        <v>551</v>
      </c>
      <c r="C1094" t="s">
        <v>42</v>
      </c>
      <c r="D1094" t="s">
        <v>4928</v>
      </c>
      <c r="E1094" t="e" cm="1">
        <f t="array" ref="E1094">- POVIDONE-IODINE</f>
        <v>#NAME?</v>
      </c>
      <c r="F1094" s="1">
        <v>20100</v>
      </c>
      <c r="J1094" t="s">
        <v>4929</v>
      </c>
      <c r="M1094" t="s">
        <v>554</v>
      </c>
      <c r="N1094" t="s">
        <v>555</v>
      </c>
      <c r="P1094" t="s">
        <v>4930</v>
      </c>
      <c r="Q1094" t="s">
        <v>4931</v>
      </c>
      <c r="R1094">
        <v>6</v>
      </c>
      <c r="S1094">
        <v>16</v>
      </c>
    </row>
    <row r="1095" spans="1:19" x14ac:dyDescent="0.35">
      <c r="A1095">
        <v>8297</v>
      </c>
      <c r="B1095" t="s">
        <v>551</v>
      </c>
      <c r="C1095" t="s">
        <v>42</v>
      </c>
      <c r="D1095" t="s">
        <v>4928</v>
      </c>
      <c r="E1095" t="e" cm="1">
        <f t="array" ref="E1095">- POVIDONE-IODINE</f>
        <v>#NAME?</v>
      </c>
      <c r="F1095" s="1">
        <v>20100</v>
      </c>
      <c r="J1095" t="s">
        <v>4929</v>
      </c>
      <c r="M1095" t="s">
        <v>554</v>
      </c>
      <c r="N1095" t="s">
        <v>555</v>
      </c>
      <c r="P1095" t="s">
        <v>4930</v>
      </c>
      <c r="Q1095" t="s">
        <v>4931</v>
      </c>
      <c r="R1095">
        <v>6</v>
      </c>
      <c r="S1095">
        <v>16</v>
      </c>
    </row>
    <row r="1096" spans="1:19" x14ac:dyDescent="0.35">
      <c r="A1096">
        <v>8357</v>
      </c>
      <c r="B1096" t="s">
        <v>551</v>
      </c>
      <c r="C1096" t="s">
        <v>42</v>
      </c>
      <c r="D1096" t="s">
        <v>4932</v>
      </c>
      <c r="E1096" t="e" cm="1">
        <f t="array" ref="E1096">- POVIDONE-IODINE</f>
        <v>#NAME?</v>
      </c>
      <c r="F1096" t="s">
        <v>4933</v>
      </c>
      <c r="J1096" t="s">
        <v>4934</v>
      </c>
      <c r="M1096" t="s">
        <v>554</v>
      </c>
      <c r="N1096" t="s">
        <v>555</v>
      </c>
      <c r="P1096" t="s">
        <v>4935</v>
      </c>
      <c r="Q1096" t="s">
        <v>4936</v>
      </c>
      <c r="R1096">
        <v>6</v>
      </c>
      <c r="S1096">
        <v>16</v>
      </c>
    </row>
    <row r="1097" spans="1:19" x14ac:dyDescent="0.35">
      <c r="A1097">
        <v>6571</v>
      </c>
      <c r="B1097" t="s">
        <v>4937</v>
      </c>
      <c r="C1097" t="s">
        <v>42</v>
      </c>
      <c r="D1097" t="s">
        <v>4938</v>
      </c>
      <c r="E1097" t="e" cm="1">
        <f t="array" ref="E1097">- NYSTATIN</f>
        <v>#NAME?</v>
      </c>
      <c r="F1097" s="1">
        <v>59700</v>
      </c>
      <c r="G1097" t="s">
        <v>4939</v>
      </c>
      <c r="H1097" t="s">
        <v>4940</v>
      </c>
      <c r="I1097" t="s">
        <v>4941</v>
      </c>
      <c r="J1097" t="s">
        <v>4942</v>
      </c>
      <c r="K1097" t="s">
        <v>4943</v>
      </c>
      <c r="L1097" t="s">
        <v>4944</v>
      </c>
      <c r="M1097" t="s">
        <v>340</v>
      </c>
      <c r="N1097" t="s">
        <v>1818</v>
      </c>
      <c r="O1097" t="s">
        <v>4945</v>
      </c>
      <c r="P1097" t="s">
        <v>4946</v>
      </c>
      <c r="Q1097" t="s">
        <v>4947</v>
      </c>
      <c r="R1097">
        <v>6</v>
      </c>
      <c r="S1097">
        <v>16</v>
      </c>
    </row>
    <row r="1098" spans="1:19" x14ac:dyDescent="0.35">
      <c r="A1098">
        <v>6665</v>
      </c>
      <c r="B1098" t="s">
        <v>4846</v>
      </c>
      <c r="C1098" t="s">
        <v>42</v>
      </c>
      <c r="D1098" t="s">
        <v>4847</v>
      </c>
      <c r="E1098" t="e" cm="1">
        <f t="array" ref="E1098">- LAMIVUDINE</f>
        <v>#NAME?</v>
      </c>
      <c r="F1098" t="s">
        <v>4848</v>
      </c>
      <c r="G1098" t="s">
        <v>4849</v>
      </c>
      <c r="H1098" t="s">
        <v>4850</v>
      </c>
      <c r="I1098" t="s">
        <v>4851</v>
      </c>
      <c r="J1098" t="s">
        <v>2694</v>
      </c>
      <c r="K1098" t="s">
        <v>2726</v>
      </c>
      <c r="L1098" t="s">
        <v>4852</v>
      </c>
      <c r="M1098" t="s">
        <v>46</v>
      </c>
      <c r="N1098" t="s">
        <v>4853</v>
      </c>
      <c r="O1098" t="s">
        <v>4854</v>
      </c>
      <c r="P1098" t="s">
        <v>4855</v>
      </c>
      <c r="Q1098" t="s">
        <v>4856</v>
      </c>
      <c r="R1098">
        <v>6</v>
      </c>
      <c r="S1098">
        <v>16</v>
      </c>
    </row>
    <row r="1099" spans="1:19" x14ac:dyDescent="0.35">
      <c r="A1099">
        <v>6570</v>
      </c>
      <c r="B1099" t="s">
        <v>4937</v>
      </c>
      <c r="C1099" t="s">
        <v>42</v>
      </c>
      <c r="D1099" t="s">
        <v>4938</v>
      </c>
      <c r="E1099" t="e" cm="1">
        <f t="array" ref="E1099">- NYSTATIN</f>
        <v>#NAME?</v>
      </c>
      <c r="F1099" s="1">
        <v>59700</v>
      </c>
      <c r="G1099" t="s">
        <v>4939</v>
      </c>
      <c r="H1099" t="s">
        <v>4940</v>
      </c>
      <c r="I1099" t="s">
        <v>4941</v>
      </c>
      <c r="J1099" t="s">
        <v>4942</v>
      </c>
      <c r="K1099" t="s">
        <v>4943</v>
      </c>
      <c r="L1099" t="s">
        <v>4944</v>
      </c>
      <c r="M1099" t="s">
        <v>340</v>
      </c>
      <c r="N1099" t="s">
        <v>1818</v>
      </c>
      <c r="O1099" t="s">
        <v>4945</v>
      </c>
      <c r="P1099" t="s">
        <v>4946</v>
      </c>
      <c r="Q1099" t="s">
        <v>4947</v>
      </c>
      <c r="R1099">
        <v>6</v>
      </c>
      <c r="S1099">
        <v>16</v>
      </c>
    </row>
    <row r="1100" spans="1:19" x14ac:dyDescent="0.35">
      <c r="A1100">
        <v>6558</v>
      </c>
      <c r="B1100" t="s">
        <v>4948</v>
      </c>
      <c r="C1100" t="s">
        <v>42</v>
      </c>
      <c r="D1100" t="s">
        <v>4949</v>
      </c>
      <c r="E1100" t="e" cm="1">
        <f t="array" ref="E1100">- NYSTATIN</f>
        <v>#NAME?</v>
      </c>
      <c r="F1100" t="s">
        <v>4950</v>
      </c>
      <c r="G1100" t="s">
        <v>2241</v>
      </c>
      <c r="H1100" t="s">
        <v>4951</v>
      </c>
      <c r="I1100" t="s">
        <v>4952</v>
      </c>
      <c r="J1100" t="s">
        <v>1824</v>
      </c>
      <c r="K1100" t="s">
        <v>4677</v>
      </c>
      <c r="L1100" t="s">
        <v>321</v>
      </c>
      <c r="M1100" t="s">
        <v>340</v>
      </c>
      <c r="N1100" t="s">
        <v>1818</v>
      </c>
      <c r="O1100" t="s">
        <v>4953</v>
      </c>
      <c r="P1100" t="s">
        <v>4954</v>
      </c>
      <c r="Q1100" t="s">
        <v>4955</v>
      </c>
      <c r="R1100">
        <v>6</v>
      </c>
      <c r="S1100">
        <v>16</v>
      </c>
    </row>
    <row r="1101" spans="1:19" x14ac:dyDescent="0.35">
      <c r="A1101">
        <v>8356</v>
      </c>
      <c r="B1101" t="s">
        <v>551</v>
      </c>
      <c r="C1101" t="s">
        <v>42</v>
      </c>
      <c r="D1101" t="s">
        <v>4932</v>
      </c>
      <c r="E1101" t="e" cm="1">
        <f t="array" ref="E1101">- POVIDONE-IODINE</f>
        <v>#NAME?</v>
      </c>
      <c r="F1101" t="s">
        <v>4933</v>
      </c>
      <c r="J1101" t="s">
        <v>4934</v>
      </c>
      <c r="M1101" t="s">
        <v>554</v>
      </c>
      <c r="N1101" t="s">
        <v>555</v>
      </c>
      <c r="P1101" t="s">
        <v>4935</v>
      </c>
      <c r="Q1101" t="s">
        <v>4936</v>
      </c>
      <c r="R1101">
        <v>6</v>
      </c>
      <c r="S1101">
        <v>16</v>
      </c>
    </row>
    <row r="1102" spans="1:19" x14ac:dyDescent="0.35">
      <c r="A1102">
        <v>2565</v>
      </c>
      <c r="B1102" t="s">
        <v>4956</v>
      </c>
      <c r="C1102" t="s">
        <v>42</v>
      </c>
      <c r="D1102" t="s">
        <v>4957</v>
      </c>
      <c r="E1102" t="e" cm="1">
        <f t="array" ref="E1102">- MELOXICAM</f>
        <v>#NAME?</v>
      </c>
      <c r="F1102" t="s">
        <v>4958</v>
      </c>
      <c r="G1102" t="s">
        <v>60</v>
      </c>
      <c r="H1102" t="s">
        <v>2643</v>
      </c>
      <c r="I1102" t="s">
        <v>4863</v>
      </c>
      <c r="J1102" t="s">
        <v>4959</v>
      </c>
      <c r="K1102" t="s">
        <v>4865</v>
      </c>
      <c r="L1102" t="s">
        <v>4866</v>
      </c>
      <c r="M1102" t="s">
        <v>46</v>
      </c>
      <c r="N1102" t="s">
        <v>412</v>
      </c>
      <c r="O1102" t="s">
        <v>4867</v>
      </c>
      <c r="P1102" t="s">
        <v>4868</v>
      </c>
      <c r="Q1102" t="s">
        <v>4869</v>
      </c>
      <c r="R1102">
        <v>6</v>
      </c>
      <c r="S1102">
        <v>16</v>
      </c>
    </row>
    <row r="1103" spans="1:19" x14ac:dyDescent="0.35">
      <c r="A1103">
        <v>1493</v>
      </c>
      <c r="B1103" t="s">
        <v>4960</v>
      </c>
      <c r="C1103" t="s">
        <v>42</v>
      </c>
      <c r="D1103" t="s">
        <v>4961</v>
      </c>
      <c r="E1103" t="e" cm="1">
        <f t="array" ref="E1103">- AMMONIUM CHLORIDE</f>
        <v>#NAME?</v>
      </c>
      <c r="F1103" t="s">
        <v>4962</v>
      </c>
      <c r="G1103" t="s">
        <v>4913</v>
      </c>
      <c r="H1103" t="s">
        <v>4963</v>
      </c>
      <c r="I1103" t="s">
        <v>4964</v>
      </c>
      <c r="J1103" t="s">
        <v>334</v>
      </c>
      <c r="K1103" t="s">
        <v>4965</v>
      </c>
      <c r="L1103" t="s">
        <v>4966</v>
      </c>
      <c r="M1103" t="s">
        <v>271</v>
      </c>
      <c r="N1103" t="s">
        <v>1672</v>
      </c>
      <c r="O1103" t="s">
        <v>4967</v>
      </c>
      <c r="P1103" t="s">
        <v>4968</v>
      </c>
      <c r="Q1103" t="s">
        <v>4969</v>
      </c>
      <c r="R1103">
        <v>7</v>
      </c>
      <c r="S1103">
        <v>16</v>
      </c>
    </row>
    <row r="1104" spans="1:19" x14ac:dyDescent="0.35">
      <c r="A1104">
        <v>1857</v>
      </c>
      <c r="B1104" t="s">
        <v>4970</v>
      </c>
      <c r="C1104" t="s">
        <v>42</v>
      </c>
      <c r="D1104" t="s">
        <v>4971</v>
      </c>
      <c r="E1104" t="e" cm="1">
        <f t="array" ref="E1104">- CHLORPHENAMINE MALEATE</f>
        <v>#NAME?</v>
      </c>
      <c r="F1104" t="s">
        <v>4972</v>
      </c>
      <c r="G1104" t="s">
        <v>2241</v>
      </c>
      <c r="H1104" t="s">
        <v>4973</v>
      </c>
      <c r="I1104" t="s">
        <v>4974</v>
      </c>
      <c r="J1104" t="s">
        <v>334</v>
      </c>
      <c r="K1104" t="s">
        <v>4975</v>
      </c>
      <c r="L1104" t="s">
        <v>4976</v>
      </c>
      <c r="M1104" t="s">
        <v>271</v>
      </c>
      <c r="N1104" t="s">
        <v>1354</v>
      </c>
      <c r="O1104" t="s">
        <v>4977</v>
      </c>
      <c r="P1104" t="s">
        <v>4978</v>
      </c>
      <c r="Q1104" t="s">
        <v>4979</v>
      </c>
      <c r="R1104">
        <v>7</v>
      </c>
      <c r="S1104">
        <v>16</v>
      </c>
    </row>
    <row r="1105" spans="1:19" x14ac:dyDescent="0.35">
      <c r="A1105">
        <v>1451</v>
      </c>
      <c r="B1105" t="s">
        <v>4980</v>
      </c>
      <c r="C1105" t="s">
        <v>42</v>
      </c>
      <c r="D1105" t="s">
        <v>4981</v>
      </c>
      <c r="E1105" t="e" cm="1">
        <f t="array" ref="E1105">- LEVODROPROPIZINE</f>
        <v>#NAME?</v>
      </c>
      <c r="F1105" t="s">
        <v>4982</v>
      </c>
      <c r="G1105" t="s">
        <v>2241</v>
      </c>
      <c r="H1105" t="s">
        <v>4983</v>
      </c>
      <c r="I1105" t="s">
        <v>4984</v>
      </c>
      <c r="J1105" t="s">
        <v>4985</v>
      </c>
      <c r="M1105" t="s">
        <v>271</v>
      </c>
      <c r="N1105" t="s">
        <v>459</v>
      </c>
      <c r="O1105" t="s">
        <v>4986</v>
      </c>
      <c r="P1105" t="s">
        <v>4987</v>
      </c>
      <c r="Q1105" t="s">
        <v>4988</v>
      </c>
      <c r="R1105">
        <v>7</v>
      </c>
      <c r="S1105">
        <v>16</v>
      </c>
    </row>
    <row r="1106" spans="1:19" x14ac:dyDescent="0.35">
      <c r="A1106">
        <v>1622</v>
      </c>
      <c r="B1106" t="s">
        <v>2969</v>
      </c>
      <c r="C1106" t="s">
        <v>42</v>
      </c>
      <c r="D1106" t="s">
        <v>2970</v>
      </c>
      <c r="E1106" t="e" cm="1">
        <f t="array" ref="E1106">- DIPHENHYDRAMINE HYDROCHLORIDE. AMMONIUM CHLORIDE</f>
        <v>#NAME?</v>
      </c>
      <c r="F1106" t="s">
        <v>2971</v>
      </c>
      <c r="J1106" t="s">
        <v>320</v>
      </c>
      <c r="M1106" t="s">
        <v>271</v>
      </c>
      <c r="N1106" t="s">
        <v>4607</v>
      </c>
      <c r="P1106" t="s">
        <v>2972</v>
      </c>
      <c r="Q1106" t="s">
        <v>4989</v>
      </c>
      <c r="R1106">
        <v>7</v>
      </c>
      <c r="S1106">
        <v>16</v>
      </c>
    </row>
    <row r="1107" spans="1:19" x14ac:dyDescent="0.35">
      <c r="A1107">
        <v>1859</v>
      </c>
      <c r="B1107" t="s">
        <v>4970</v>
      </c>
      <c r="C1107" t="s">
        <v>42</v>
      </c>
      <c r="D1107" t="s">
        <v>4990</v>
      </c>
      <c r="E1107" t="e" cm="1">
        <f t="array" ref="E1107">- CHLORPHENAMINE MALEATE</f>
        <v>#NAME?</v>
      </c>
      <c r="F1107" t="s">
        <v>4991</v>
      </c>
      <c r="G1107" t="s">
        <v>2241</v>
      </c>
      <c r="H1107" t="s">
        <v>4992</v>
      </c>
      <c r="I1107" t="s">
        <v>4974</v>
      </c>
      <c r="J1107" t="s">
        <v>829</v>
      </c>
      <c r="K1107" t="s">
        <v>4993</v>
      </c>
      <c r="L1107" t="s">
        <v>4976</v>
      </c>
      <c r="M1107" t="s">
        <v>271</v>
      </c>
      <c r="N1107" t="s">
        <v>1354</v>
      </c>
      <c r="O1107" t="s">
        <v>4977</v>
      </c>
      <c r="P1107" t="s">
        <v>4978</v>
      </c>
      <c r="Q1107" t="s">
        <v>4979</v>
      </c>
      <c r="R1107">
        <v>7</v>
      </c>
      <c r="S1107">
        <v>16</v>
      </c>
    </row>
    <row r="1108" spans="1:19" x14ac:dyDescent="0.35">
      <c r="A1108">
        <v>1862</v>
      </c>
      <c r="B1108" t="s">
        <v>4994</v>
      </c>
      <c r="C1108" t="s">
        <v>42</v>
      </c>
      <c r="D1108" t="s">
        <v>4995</v>
      </c>
      <c r="E1108" t="e" cm="1">
        <f t="array" ref="E1108">- NOSCAPINE</f>
        <v>#NAME?</v>
      </c>
      <c r="F1108" t="s">
        <v>4996</v>
      </c>
      <c r="G1108" t="s">
        <v>60</v>
      </c>
      <c r="H1108" t="s">
        <v>4997</v>
      </c>
      <c r="I1108" t="s">
        <v>4998</v>
      </c>
      <c r="J1108" t="s">
        <v>1389</v>
      </c>
      <c r="K1108" t="s">
        <v>4999</v>
      </c>
    </row>
    <row r="1109" spans="1:19" x14ac:dyDescent="0.35">
      <c r="A1109">
        <v>1635</v>
      </c>
      <c r="B1109" t="s">
        <v>3034</v>
      </c>
      <c r="C1109" t="s">
        <v>42</v>
      </c>
      <c r="D1109" t="s">
        <v>3035</v>
      </c>
      <c r="E1109" t="e" cm="1">
        <f t="array" ref="E1109">- DEXTROMETHORPHAN HYDROBROMIDE. DIPHENHYDRAMINE HYDROCHLORIDE</f>
        <v>#NAME?</v>
      </c>
      <c r="F1109" t="s">
        <v>3036</v>
      </c>
      <c r="J1109" t="s">
        <v>3037</v>
      </c>
      <c r="M1109" t="s">
        <v>271</v>
      </c>
      <c r="N1109" t="s">
        <v>5000</v>
      </c>
      <c r="P1109" t="s">
        <v>3038</v>
      </c>
      <c r="Q1109" t="s">
        <v>5001</v>
      </c>
      <c r="R1109">
        <v>7</v>
      </c>
      <c r="S1109">
        <v>16</v>
      </c>
    </row>
    <row r="1110" spans="1:19" x14ac:dyDescent="0.35">
      <c r="A1110">
        <v>2046</v>
      </c>
      <c r="B1110" t="s">
        <v>5002</v>
      </c>
      <c r="C1110" t="s">
        <v>20</v>
      </c>
      <c r="D1110" t="s">
        <v>5003</v>
      </c>
      <c r="E1110" t="s">
        <v>5004</v>
      </c>
      <c r="F1110" t="s">
        <v>5005</v>
      </c>
      <c r="G1110" t="s">
        <v>5006</v>
      </c>
      <c r="H1110" t="s">
        <v>5007</v>
      </c>
      <c r="I1110" t="s">
        <v>5008</v>
      </c>
      <c r="J1110" t="s">
        <v>3731</v>
      </c>
      <c r="M1110" t="s">
        <v>818</v>
      </c>
      <c r="N1110" t="s">
        <v>5009</v>
      </c>
      <c r="O1110" t="s">
        <v>5010</v>
      </c>
      <c r="P1110" t="s">
        <v>5009</v>
      </c>
      <c r="Q1110" t="s">
        <v>5011</v>
      </c>
      <c r="R1110">
        <v>7</v>
      </c>
      <c r="S1110">
        <v>16</v>
      </c>
    </row>
    <row r="1111" spans="1:19" x14ac:dyDescent="0.35">
      <c r="A1111">
        <v>1770</v>
      </c>
      <c r="B1111" t="s">
        <v>5012</v>
      </c>
      <c r="C1111" t="s">
        <v>850</v>
      </c>
      <c r="D1111" t="s">
        <v>5013</v>
      </c>
      <c r="E1111" t="e" cm="1">
        <f t="array" ref="E1111">- Mentholum</f>
        <v>#NAME?</v>
      </c>
      <c r="F1111" t="s">
        <v>5014</v>
      </c>
      <c r="J1111" t="s">
        <v>5015</v>
      </c>
      <c r="N1111" t="s">
        <v>5016</v>
      </c>
      <c r="P1111" t="s">
        <v>5017</v>
      </c>
      <c r="Q1111" t="s">
        <v>5018</v>
      </c>
      <c r="R1111">
        <v>7</v>
      </c>
      <c r="S1111">
        <v>16</v>
      </c>
    </row>
    <row r="1112" spans="1:19" x14ac:dyDescent="0.35">
      <c r="A1112">
        <v>3784</v>
      </c>
      <c r="B1112" t="s">
        <v>5019</v>
      </c>
      <c r="C1112" t="s">
        <v>42</v>
      </c>
      <c r="D1112" t="s">
        <v>5020</v>
      </c>
      <c r="E1112" t="e" cm="1">
        <f t="array" ref="E1112">- BISMUTH SUBSALICYLATE</f>
        <v>#NAME?</v>
      </c>
      <c r="F1112" t="s">
        <v>5021</v>
      </c>
      <c r="G1112" t="s">
        <v>3098</v>
      </c>
      <c r="H1112" t="s">
        <v>5022</v>
      </c>
      <c r="I1112" t="s">
        <v>5023</v>
      </c>
      <c r="J1112" t="s">
        <v>5024</v>
      </c>
      <c r="K1112" t="s">
        <v>5025</v>
      </c>
      <c r="L1112" t="s">
        <v>5026</v>
      </c>
      <c r="M1112" t="s">
        <v>46</v>
      </c>
      <c r="N1112" t="s">
        <v>2791</v>
      </c>
      <c r="O1112" t="s">
        <v>5027</v>
      </c>
      <c r="P1112" t="s">
        <v>5028</v>
      </c>
      <c r="Q1112" t="s">
        <v>5029</v>
      </c>
      <c r="R1112">
        <v>7</v>
      </c>
      <c r="S1112">
        <v>16</v>
      </c>
    </row>
    <row r="1113" spans="1:19" x14ac:dyDescent="0.35">
      <c r="A1113">
        <v>4116</v>
      </c>
      <c r="B1113" t="s">
        <v>5030</v>
      </c>
      <c r="C1113" t="s">
        <v>42</v>
      </c>
      <c r="D1113" t="s">
        <v>5031</v>
      </c>
      <c r="E1113" t="e" cm="1">
        <f t="array" ref="E1113">- MEBHYDROLIN NAPADISILATE</f>
        <v>#NAME?</v>
      </c>
      <c r="F1113" t="s">
        <v>5032</v>
      </c>
      <c r="G1113" t="s">
        <v>5033</v>
      </c>
      <c r="H1113" t="s">
        <v>5034</v>
      </c>
      <c r="I1113" t="s">
        <v>5035</v>
      </c>
      <c r="J1113" t="s">
        <v>381</v>
      </c>
      <c r="K1113" t="s">
        <v>5036</v>
      </c>
      <c r="L1113" t="s">
        <v>5037</v>
      </c>
      <c r="M1113" t="s">
        <v>291</v>
      </c>
      <c r="N1113" t="s">
        <v>5038</v>
      </c>
      <c r="O1113" t="s">
        <v>5039</v>
      </c>
      <c r="P1113" t="s">
        <v>5040</v>
      </c>
      <c r="Q1113" t="s">
        <v>5041</v>
      </c>
      <c r="R1113">
        <v>7</v>
      </c>
      <c r="S1113">
        <v>16</v>
      </c>
    </row>
    <row r="1114" spans="1:19" x14ac:dyDescent="0.35">
      <c r="A1114">
        <v>3762</v>
      </c>
      <c r="B1114" t="s">
        <v>4910</v>
      </c>
      <c r="C1114" t="s">
        <v>42</v>
      </c>
      <c r="D1114" t="s">
        <v>4911</v>
      </c>
      <c r="E1114" t="e" cm="1">
        <f t="array" ref="E1114">- ATTAPULGITE. PECTIN</f>
        <v>#NAME?</v>
      </c>
      <c r="F1114" t="s">
        <v>4912</v>
      </c>
      <c r="G1114" t="s">
        <v>4913</v>
      </c>
      <c r="H1114" t="s">
        <v>4914</v>
      </c>
      <c r="I1114" t="s">
        <v>4915</v>
      </c>
      <c r="J1114" t="s">
        <v>4916</v>
      </c>
      <c r="K1114" t="s">
        <v>4917</v>
      </c>
      <c r="L1114" t="s">
        <v>4918</v>
      </c>
      <c r="M1114" t="s">
        <v>46</v>
      </c>
      <c r="N1114" t="s">
        <v>5042</v>
      </c>
      <c r="O1114" t="s">
        <v>4919</v>
      </c>
      <c r="P1114" t="s">
        <v>4920</v>
      </c>
      <c r="Q1114" t="s">
        <v>5043</v>
      </c>
      <c r="R1114">
        <v>7</v>
      </c>
      <c r="S1114">
        <v>16</v>
      </c>
    </row>
    <row r="1115" spans="1:19" x14ac:dyDescent="0.35">
      <c r="A1115">
        <v>3797</v>
      </c>
      <c r="B1115" t="s">
        <v>5044</v>
      </c>
      <c r="C1115" t="s">
        <v>42</v>
      </c>
      <c r="D1115" t="s">
        <v>5045</v>
      </c>
      <c r="E1115" t="e" cm="1">
        <f t="array" ref="E1115">- LOPERAMIDE HYDROCHLORIDE</f>
        <v>#NAME?</v>
      </c>
      <c r="F1115" t="s">
        <v>5046</v>
      </c>
      <c r="G1115" t="s">
        <v>3098</v>
      </c>
      <c r="H1115" t="s">
        <v>5047</v>
      </c>
      <c r="I1115" t="s">
        <v>5048</v>
      </c>
      <c r="J1115" t="s">
        <v>5049</v>
      </c>
      <c r="K1115" t="s">
        <v>5050</v>
      </c>
      <c r="L1115" t="s">
        <v>5051</v>
      </c>
      <c r="M1115" t="s">
        <v>291</v>
      </c>
      <c r="N1115" t="s">
        <v>1461</v>
      </c>
      <c r="O1115" t="s">
        <v>5052</v>
      </c>
      <c r="P1115" t="s">
        <v>5053</v>
      </c>
      <c r="Q1115" t="s">
        <v>5054</v>
      </c>
      <c r="R1115">
        <v>7</v>
      </c>
      <c r="S1115">
        <v>16</v>
      </c>
    </row>
    <row r="1116" spans="1:19" x14ac:dyDescent="0.35">
      <c r="A1116">
        <v>3739</v>
      </c>
      <c r="B1116" t="s">
        <v>5055</v>
      </c>
      <c r="C1116" t="s">
        <v>42</v>
      </c>
      <c r="D1116" t="s">
        <v>5056</v>
      </c>
      <c r="E1116" t="e" cm="1">
        <f t="array" ref="E1116">- ATTAPULGITE</f>
        <v>#NAME?</v>
      </c>
      <c r="F1116" t="s">
        <v>5057</v>
      </c>
      <c r="G1116" t="s">
        <v>3098</v>
      </c>
      <c r="H1116" t="s">
        <v>5058</v>
      </c>
      <c r="I1116" t="s">
        <v>5059</v>
      </c>
      <c r="J1116" t="s">
        <v>2951</v>
      </c>
      <c r="K1116" t="s">
        <v>5060</v>
      </c>
      <c r="L1116" t="s">
        <v>5061</v>
      </c>
      <c r="M1116" t="s">
        <v>46</v>
      </c>
      <c r="N1116" t="s">
        <v>1450</v>
      </c>
      <c r="O1116" t="s">
        <v>5062</v>
      </c>
      <c r="P1116" t="s">
        <v>5063</v>
      </c>
      <c r="Q1116" t="s">
        <v>5064</v>
      </c>
      <c r="R1116">
        <v>7</v>
      </c>
      <c r="S1116">
        <v>16</v>
      </c>
    </row>
    <row r="1117" spans="1:19" x14ac:dyDescent="0.35">
      <c r="A1117">
        <v>4115</v>
      </c>
      <c r="B1117" t="s">
        <v>5030</v>
      </c>
      <c r="C1117" t="s">
        <v>42</v>
      </c>
      <c r="D1117" t="s">
        <v>5031</v>
      </c>
      <c r="E1117" t="e" cm="1">
        <f t="array" ref="E1117">- MEBHYDROLIN NAPADISILATE</f>
        <v>#NAME?</v>
      </c>
      <c r="F1117" t="s">
        <v>5032</v>
      </c>
      <c r="G1117" t="s">
        <v>5033</v>
      </c>
      <c r="H1117" t="s">
        <v>5034</v>
      </c>
      <c r="I1117" t="s">
        <v>5035</v>
      </c>
      <c r="J1117" t="s">
        <v>381</v>
      </c>
      <c r="K1117" t="s">
        <v>5036</v>
      </c>
      <c r="L1117" t="s">
        <v>5037</v>
      </c>
      <c r="M1117" t="s">
        <v>291</v>
      </c>
      <c r="N1117" t="s">
        <v>5038</v>
      </c>
      <c r="O1117" t="s">
        <v>5039</v>
      </c>
      <c r="P1117" t="s">
        <v>5040</v>
      </c>
      <c r="Q1117" t="s">
        <v>5041</v>
      </c>
      <c r="R1117">
        <v>7</v>
      </c>
      <c r="S1117">
        <v>16</v>
      </c>
    </row>
    <row r="1118" spans="1:19" x14ac:dyDescent="0.35">
      <c r="A1118">
        <v>3798</v>
      </c>
      <c r="B1118" t="s">
        <v>5044</v>
      </c>
      <c r="C1118" t="s">
        <v>42</v>
      </c>
      <c r="D1118" t="s">
        <v>5045</v>
      </c>
      <c r="E1118" t="e" cm="1">
        <f t="array" ref="E1118">- LOPERAMIDE HYDROCHLORIDE</f>
        <v>#NAME?</v>
      </c>
      <c r="F1118" t="s">
        <v>5046</v>
      </c>
      <c r="G1118" t="s">
        <v>3098</v>
      </c>
      <c r="H1118" t="s">
        <v>5047</v>
      </c>
      <c r="I1118" t="s">
        <v>5048</v>
      </c>
      <c r="J1118" t="s">
        <v>5049</v>
      </c>
      <c r="K1118" t="s">
        <v>5050</v>
      </c>
      <c r="L1118" t="s">
        <v>5051</v>
      </c>
      <c r="M1118" t="s">
        <v>291</v>
      </c>
      <c r="N1118" t="s">
        <v>1461</v>
      </c>
      <c r="O1118" t="s">
        <v>5052</v>
      </c>
      <c r="P1118" t="s">
        <v>5053</v>
      </c>
      <c r="Q1118" t="s">
        <v>5054</v>
      </c>
      <c r="R1118">
        <v>7</v>
      </c>
      <c r="S1118">
        <v>16</v>
      </c>
    </row>
    <row r="1119" spans="1:19" x14ac:dyDescent="0.35">
      <c r="A1119">
        <v>3724</v>
      </c>
      <c r="B1119" t="s">
        <v>5065</v>
      </c>
      <c r="C1119" t="s">
        <v>20</v>
      </c>
      <c r="D1119" t="s">
        <v>5066</v>
      </c>
      <c r="E1119" t="s">
        <v>5067</v>
      </c>
      <c r="F1119" t="s">
        <v>5068</v>
      </c>
      <c r="G1119" t="s">
        <v>2453</v>
      </c>
      <c r="H1119" t="s">
        <v>5069</v>
      </c>
      <c r="I1119" t="s">
        <v>5070</v>
      </c>
      <c r="J1119" t="s">
        <v>5071</v>
      </c>
      <c r="K1119" t="s">
        <v>2858</v>
      </c>
      <c r="L1119" t="s">
        <v>5072</v>
      </c>
      <c r="M1119" t="s">
        <v>38</v>
      </c>
      <c r="N1119" t="s">
        <v>5073</v>
      </c>
      <c r="O1119" t="s">
        <v>5074</v>
      </c>
      <c r="P1119" t="s">
        <v>5073</v>
      </c>
      <c r="Q1119" t="s">
        <v>5075</v>
      </c>
      <c r="R1119">
        <v>7</v>
      </c>
      <c r="S1119">
        <v>16</v>
      </c>
    </row>
    <row r="1120" spans="1:19" x14ac:dyDescent="0.35">
      <c r="A1120">
        <v>1634</v>
      </c>
      <c r="B1120" t="s">
        <v>3034</v>
      </c>
      <c r="C1120" t="s">
        <v>42</v>
      </c>
      <c r="D1120" t="s">
        <v>3035</v>
      </c>
      <c r="E1120" t="e" cm="1">
        <f t="array" ref="E1120">- DEXTROMETHORPHAN HYDROBROMIDE. DIPHENHYDRAMINE HYDROCHLORIDE</f>
        <v>#NAME?</v>
      </c>
      <c r="F1120" t="s">
        <v>3036</v>
      </c>
      <c r="J1120" t="s">
        <v>3037</v>
      </c>
      <c r="M1120" t="s">
        <v>271</v>
      </c>
      <c r="N1120" t="s">
        <v>5000</v>
      </c>
      <c r="P1120" t="s">
        <v>3038</v>
      </c>
      <c r="Q1120" t="s">
        <v>5001</v>
      </c>
      <c r="R1120">
        <v>7</v>
      </c>
      <c r="S1120">
        <v>16</v>
      </c>
    </row>
    <row r="1121" spans="1:19" x14ac:dyDescent="0.35">
      <c r="A1121">
        <v>4079</v>
      </c>
      <c r="B1121" t="s">
        <v>5076</v>
      </c>
      <c r="C1121" t="s">
        <v>42</v>
      </c>
      <c r="D1121" t="s">
        <v>5077</v>
      </c>
      <c r="E1121" t="e" cm="1">
        <f t="array" ref="E1121">- MEBHYDROLIN NAPADISILATE</f>
        <v>#NAME?</v>
      </c>
      <c r="F1121" t="s">
        <v>5078</v>
      </c>
      <c r="G1121" t="s">
        <v>5033</v>
      </c>
      <c r="H1121" t="s">
        <v>5034</v>
      </c>
      <c r="I1121" t="s">
        <v>5035</v>
      </c>
      <c r="J1121" t="s">
        <v>381</v>
      </c>
      <c r="K1121" t="s">
        <v>5036</v>
      </c>
      <c r="L1121" t="s">
        <v>5079</v>
      </c>
      <c r="M1121" t="s">
        <v>46</v>
      </c>
      <c r="N1121" t="s">
        <v>5038</v>
      </c>
      <c r="O1121" t="s">
        <v>5039</v>
      </c>
      <c r="P1121" t="s">
        <v>5080</v>
      </c>
      <c r="Q1121" t="s">
        <v>5081</v>
      </c>
      <c r="R1121">
        <v>7</v>
      </c>
      <c r="S1121">
        <v>16</v>
      </c>
    </row>
    <row r="1122" spans="1:19" x14ac:dyDescent="0.35">
      <c r="A1122">
        <v>4059</v>
      </c>
      <c r="B1122" t="s">
        <v>5082</v>
      </c>
      <c r="C1122" t="s">
        <v>42</v>
      </c>
      <c r="D1122" t="s">
        <v>5083</v>
      </c>
      <c r="E1122" t="e" cm="1">
        <f t="array" ref="E1122">- DEXAMETHASONE</f>
        <v>#NAME?</v>
      </c>
      <c r="F1122" t="s">
        <v>5084</v>
      </c>
      <c r="G1122" t="s">
        <v>3774</v>
      </c>
      <c r="H1122" t="s">
        <v>3775</v>
      </c>
      <c r="I1122" t="s">
        <v>3776</v>
      </c>
      <c r="J1122" t="s">
        <v>5085</v>
      </c>
      <c r="K1122" t="s">
        <v>3777</v>
      </c>
      <c r="L1122" t="s">
        <v>5086</v>
      </c>
      <c r="M1122" t="s">
        <v>46</v>
      </c>
      <c r="N1122" t="s">
        <v>3779</v>
      </c>
      <c r="O1122" t="s">
        <v>3780</v>
      </c>
      <c r="P1122" t="s">
        <v>5087</v>
      </c>
      <c r="Q1122" t="s">
        <v>5088</v>
      </c>
      <c r="R1122">
        <v>7</v>
      </c>
      <c r="S1122">
        <v>16</v>
      </c>
    </row>
    <row r="1123" spans="1:19" x14ac:dyDescent="0.35">
      <c r="A1123">
        <v>1286</v>
      </c>
      <c r="B1123" t="s">
        <v>5089</v>
      </c>
      <c r="C1123" t="s">
        <v>42</v>
      </c>
      <c r="D1123" t="s">
        <v>5090</v>
      </c>
      <c r="E1123" t="e" cm="1">
        <f t="array" ref="E1123">- AMMONIUM CHLORIDE</f>
        <v>#NAME?</v>
      </c>
      <c r="F1123" t="s">
        <v>5091</v>
      </c>
      <c r="G1123" t="s">
        <v>2241</v>
      </c>
      <c r="H1123" t="s">
        <v>5092</v>
      </c>
      <c r="I1123" t="s">
        <v>5093</v>
      </c>
      <c r="J1123" t="s">
        <v>5094</v>
      </c>
      <c r="K1123" t="s">
        <v>5095</v>
      </c>
      <c r="L1123" t="s">
        <v>5096</v>
      </c>
      <c r="M1123" t="s">
        <v>271</v>
      </c>
      <c r="N1123" t="s">
        <v>1672</v>
      </c>
      <c r="O1123" t="s">
        <v>5097</v>
      </c>
      <c r="P1123" t="s">
        <v>5098</v>
      </c>
      <c r="Q1123" t="s">
        <v>5099</v>
      </c>
      <c r="R1123">
        <v>7</v>
      </c>
      <c r="S1123">
        <v>16</v>
      </c>
    </row>
    <row r="1124" spans="1:19" x14ac:dyDescent="0.35">
      <c r="A1124">
        <v>1464</v>
      </c>
      <c r="B1124" t="s">
        <v>5100</v>
      </c>
      <c r="C1124" t="s">
        <v>42</v>
      </c>
      <c r="D1124" t="s">
        <v>5101</v>
      </c>
      <c r="E1124" t="e" cm="1">
        <f t="array" ref="E1124">- GUAIFENESIN. PROMETHAZINE HYDROCHLORIDE. IPECACUANHA Extract</f>
        <v>#NAME?</v>
      </c>
      <c r="F1124" t="s">
        <v>5102</v>
      </c>
      <c r="M1124" t="s">
        <v>271</v>
      </c>
      <c r="N1124" t="s">
        <v>5103</v>
      </c>
      <c r="P1124" t="s">
        <v>5104</v>
      </c>
      <c r="Q1124" t="s">
        <v>5105</v>
      </c>
      <c r="R1124">
        <v>7</v>
      </c>
      <c r="S1124">
        <v>16</v>
      </c>
    </row>
    <row r="1125" spans="1:19" x14ac:dyDescent="0.35">
      <c r="A1125">
        <v>1633</v>
      </c>
      <c r="B1125" t="s">
        <v>3034</v>
      </c>
      <c r="C1125" t="s">
        <v>42</v>
      </c>
      <c r="D1125" t="s">
        <v>3035</v>
      </c>
      <c r="E1125" t="e" cm="1">
        <f t="array" ref="E1125">- DEXTROMETHORPHAN HYDROBROMIDE. DIPHENHYDRAMINE HYDROCHLORIDE</f>
        <v>#NAME?</v>
      </c>
      <c r="F1125" t="s">
        <v>3036</v>
      </c>
      <c r="J1125" t="s">
        <v>3037</v>
      </c>
      <c r="M1125" t="s">
        <v>271</v>
      </c>
      <c r="N1125" t="s">
        <v>5000</v>
      </c>
      <c r="P1125" t="s">
        <v>3038</v>
      </c>
      <c r="Q1125" t="s">
        <v>5001</v>
      </c>
      <c r="R1125">
        <v>7</v>
      </c>
      <c r="S1125">
        <v>16</v>
      </c>
    </row>
    <row r="1126" spans="1:19" x14ac:dyDescent="0.35">
      <c r="A1126">
        <v>1489</v>
      </c>
      <c r="B1126" t="s">
        <v>5106</v>
      </c>
      <c r="C1126" t="s">
        <v>42</v>
      </c>
      <c r="D1126" t="s">
        <v>5107</v>
      </c>
      <c r="E1126" t="e" cm="1">
        <f t="array" ref="E1126">- DIPHENHYDRAMINE HYDROCHLORIDE. AMMONIUM CHLORIDE</f>
        <v>#NAME?</v>
      </c>
      <c r="F1126" t="s">
        <v>5108</v>
      </c>
      <c r="J1126" t="s">
        <v>334</v>
      </c>
      <c r="M1126" t="s">
        <v>271</v>
      </c>
      <c r="N1126" t="s">
        <v>4607</v>
      </c>
      <c r="P1126" t="s">
        <v>5109</v>
      </c>
      <c r="Q1126" t="s">
        <v>5110</v>
      </c>
      <c r="R1126">
        <v>7</v>
      </c>
      <c r="S1126">
        <v>16</v>
      </c>
    </row>
    <row r="1127" spans="1:19" x14ac:dyDescent="0.35">
      <c r="A1127">
        <v>3723</v>
      </c>
      <c r="B1127" t="s">
        <v>5065</v>
      </c>
      <c r="C1127" t="s">
        <v>20</v>
      </c>
      <c r="D1127" t="s">
        <v>5066</v>
      </c>
      <c r="E1127" t="s">
        <v>5067</v>
      </c>
      <c r="F1127" t="s">
        <v>5068</v>
      </c>
      <c r="G1127" t="s">
        <v>2453</v>
      </c>
      <c r="H1127" t="s">
        <v>5069</v>
      </c>
      <c r="I1127" t="s">
        <v>5070</v>
      </c>
      <c r="J1127" t="s">
        <v>5071</v>
      </c>
      <c r="K1127" t="s">
        <v>2858</v>
      </c>
      <c r="L1127" t="s">
        <v>5072</v>
      </c>
      <c r="M1127" t="s">
        <v>38</v>
      </c>
      <c r="N1127" t="s">
        <v>5073</v>
      </c>
      <c r="O1127" t="s">
        <v>5074</v>
      </c>
      <c r="P1127" t="s">
        <v>5073</v>
      </c>
      <c r="Q1127" t="s">
        <v>5075</v>
      </c>
      <c r="R1127">
        <v>7</v>
      </c>
      <c r="S1127">
        <v>16</v>
      </c>
    </row>
    <row r="1128" spans="1:19" x14ac:dyDescent="0.35">
      <c r="A1128">
        <v>2045</v>
      </c>
      <c r="B1128" t="s">
        <v>5002</v>
      </c>
      <c r="C1128" t="s">
        <v>20</v>
      </c>
      <c r="D1128" t="s">
        <v>5003</v>
      </c>
      <c r="E1128" t="s">
        <v>5004</v>
      </c>
      <c r="F1128" t="s">
        <v>5005</v>
      </c>
      <c r="G1128" t="s">
        <v>5006</v>
      </c>
      <c r="H1128" t="s">
        <v>5007</v>
      </c>
      <c r="I1128" t="s">
        <v>5008</v>
      </c>
      <c r="J1128" t="s">
        <v>3731</v>
      </c>
      <c r="M1128" t="s">
        <v>818</v>
      </c>
      <c r="N1128" t="s">
        <v>5009</v>
      </c>
      <c r="O1128" t="s">
        <v>5010</v>
      </c>
      <c r="P1128" t="s">
        <v>5009</v>
      </c>
      <c r="Q1128" t="s">
        <v>5011</v>
      </c>
      <c r="R1128">
        <v>7</v>
      </c>
      <c r="S1128">
        <v>16</v>
      </c>
    </row>
    <row r="1129" spans="1:19" x14ac:dyDescent="0.35">
      <c r="A1129">
        <v>1450</v>
      </c>
      <c r="B1129" t="s">
        <v>5111</v>
      </c>
      <c r="C1129" t="s">
        <v>42</v>
      </c>
      <c r="D1129" t="s">
        <v>5112</v>
      </c>
      <c r="E1129" t="e" cm="1">
        <f t="array" ref="E1129">- LEVODROPROPIZINE</f>
        <v>#NAME?</v>
      </c>
      <c r="F1129" t="s">
        <v>5113</v>
      </c>
      <c r="G1129" t="s">
        <v>737</v>
      </c>
      <c r="H1129" t="s">
        <v>4983</v>
      </c>
      <c r="I1129" t="s">
        <v>4984</v>
      </c>
      <c r="J1129" t="s">
        <v>1144</v>
      </c>
      <c r="K1129" t="s">
        <v>5114</v>
      </c>
      <c r="L1129" t="s">
        <v>5115</v>
      </c>
      <c r="M1129" t="s">
        <v>271</v>
      </c>
      <c r="N1129" t="s">
        <v>459</v>
      </c>
      <c r="O1129" t="s">
        <v>4986</v>
      </c>
      <c r="P1129" t="s">
        <v>5116</v>
      </c>
      <c r="Q1129" t="s">
        <v>5117</v>
      </c>
      <c r="R1129">
        <v>7</v>
      </c>
      <c r="S1129">
        <v>16</v>
      </c>
    </row>
    <row r="1130" spans="1:19" x14ac:dyDescent="0.35">
      <c r="A1130">
        <v>1593</v>
      </c>
      <c r="B1130" t="s">
        <v>3054</v>
      </c>
      <c r="C1130" t="s">
        <v>42</v>
      </c>
      <c r="D1130" t="s">
        <v>3055</v>
      </c>
      <c r="E1130" t="e" cm="1">
        <f t="array" ref="E1130">- PARACETAMOL. GUAIFENESIN. CHLORPHENAMINE MALEATE</f>
        <v>#NAME?</v>
      </c>
      <c r="F1130" t="s">
        <v>3056</v>
      </c>
      <c r="J1130" t="s">
        <v>334</v>
      </c>
      <c r="M1130" t="s">
        <v>340</v>
      </c>
      <c r="N1130" t="s">
        <v>5118</v>
      </c>
      <c r="P1130" t="s">
        <v>3057</v>
      </c>
      <c r="Q1130" t="s">
        <v>5119</v>
      </c>
      <c r="R1130">
        <v>7</v>
      </c>
      <c r="S1130">
        <v>16</v>
      </c>
    </row>
    <row r="1131" spans="1:19" x14ac:dyDescent="0.35">
      <c r="A1131">
        <v>1896</v>
      </c>
      <c r="B1131" t="s">
        <v>5120</v>
      </c>
      <c r="C1131" t="s">
        <v>42</v>
      </c>
      <c r="D1131" t="s">
        <v>5121</v>
      </c>
      <c r="E1131" t="e" cm="1">
        <f t="array" ref="E1131">- CHLORPHENAMINE MALEATE</f>
        <v>#NAME?</v>
      </c>
      <c r="F1131" t="s">
        <v>5122</v>
      </c>
      <c r="J1131" t="s">
        <v>334</v>
      </c>
      <c r="M1131" t="s">
        <v>271</v>
      </c>
      <c r="N1131" t="s">
        <v>1354</v>
      </c>
      <c r="P1131" t="s">
        <v>5123</v>
      </c>
      <c r="Q1131" t="s">
        <v>5124</v>
      </c>
      <c r="R1131">
        <v>7</v>
      </c>
      <c r="S1131">
        <v>16</v>
      </c>
    </row>
    <row r="1132" spans="1:19" x14ac:dyDescent="0.35">
      <c r="A1132">
        <v>3975</v>
      </c>
      <c r="B1132" t="s">
        <v>5125</v>
      </c>
      <c r="C1132" t="s">
        <v>42</v>
      </c>
      <c r="D1132" t="s">
        <v>5126</v>
      </c>
      <c r="E1132" t="e" cm="1">
        <f t="array" ref="E1132">- LACTULOSE</f>
        <v>#NAME?</v>
      </c>
      <c r="F1132" s="1">
        <v>98600</v>
      </c>
      <c r="G1132" t="s">
        <v>5127</v>
      </c>
      <c r="H1132" t="s">
        <v>5128</v>
      </c>
    </row>
    <row r="1133" spans="1:19" x14ac:dyDescent="0.35">
      <c r="A1133">
        <v>3964</v>
      </c>
      <c r="B1133" t="s">
        <v>5129</v>
      </c>
      <c r="C1133" t="s">
        <v>42</v>
      </c>
      <c r="D1133" t="s">
        <v>5130</v>
      </c>
      <c r="E1133" t="e" cm="1">
        <f t="array" ref="E1133">- BISMUTH SUBGALLATE</f>
        <v>#NAME?</v>
      </c>
      <c r="F1133" t="s">
        <v>5131</v>
      </c>
      <c r="G1133" t="s">
        <v>3204</v>
      </c>
    </row>
    <row r="1134" spans="1:19" x14ac:dyDescent="0.35">
      <c r="A1134">
        <v>1653</v>
      </c>
      <c r="B1134" t="s">
        <v>2437</v>
      </c>
      <c r="C1134" t="s">
        <v>42</v>
      </c>
      <c r="D1134" t="s">
        <v>2438</v>
      </c>
      <c r="E1134" t="e" cm="1">
        <f t="array" ref="E1134">- PARACETAMOL. PSEUDOEPHEDRINE HYDROCHLORIDE. CHLORPHENAMINE MALEATE</f>
        <v>#NAME?</v>
      </c>
      <c r="F1134" t="s">
        <v>2439</v>
      </c>
      <c r="J1134" t="s">
        <v>2440</v>
      </c>
      <c r="M1134" t="s">
        <v>271</v>
      </c>
      <c r="N1134" t="s">
        <v>5132</v>
      </c>
      <c r="P1134" t="s">
        <v>2441</v>
      </c>
      <c r="Q1134" t="s">
        <v>5133</v>
      </c>
      <c r="R1134">
        <v>7</v>
      </c>
      <c r="S1134">
        <v>16</v>
      </c>
    </row>
    <row r="1135" spans="1:19" x14ac:dyDescent="0.35">
      <c r="A1135">
        <v>1519</v>
      </c>
      <c r="B1135" t="s">
        <v>3306</v>
      </c>
      <c r="C1135" t="s">
        <v>42</v>
      </c>
      <c r="D1135" t="s">
        <v>3307</v>
      </c>
      <c r="E1135" t="e" cm="1">
        <f t="array" ref="E1135">- SUCCUS LIQUIRITIAE. AMMONIUM CHLORIDE</f>
        <v>#NAME?</v>
      </c>
      <c r="F1135" t="s">
        <v>3308</v>
      </c>
      <c r="J1135" t="s">
        <v>3309</v>
      </c>
      <c r="M1135" t="s">
        <v>271</v>
      </c>
      <c r="N1135" t="s">
        <v>5134</v>
      </c>
      <c r="P1135" t="s">
        <v>3310</v>
      </c>
      <c r="Q1135" t="s">
        <v>5135</v>
      </c>
      <c r="R1135">
        <v>7</v>
      </c>
      <c r="S1135">
        <v>16</v>
      </c>
    </row>
    <row r="1136" spans="1:19" x14ac:dyDescent="0.35">
      <c r="A1136">
        <v>1410</v>
      </c>
      <c r="B1136" t="s">
        <v>1993</v>
      </c>
      <c r="C1136" t="s">
        <v>42</v>
      </c>
      <c r="D1136" t="s">
        <v>1994</v>
      </c>
      <c r="E1136" t="e" cm="1">
        <f t="array" ref="E1136">- PSEUDOEPHEDRINE HYDROCHLORIDE. GUAIFENESIN. DEXCHLORPHENIRAMINE MALEATE</f>
        <v>#NAME?</v>
      </c>
      <c r="F1136" t="s">
        <v>1995</v>
      </c>
      <c r="J1136" t="s">
        <v>334</v>
      </c>
      <c r="M1136" t="s">
        <v>271</v>
      </c>
      <c r="N1136" t="s">
        <v>5136</v>
      </c>
      <c r="P1136" t="s">
        <v>1996</v>
      </c>
      <c r="Q1136" t="s">
        <v>5137</v>
      </c>
      <c r="R1136">
        <v>7</v>
      </c>
      <c r="S1136">
        <v>16</v>
      </c>
    </row>
    <row r="1137" spans="1:19" x14ac:dyDescent="0.35">
      <c r="A1137">
        <v>2043</v>
      </c>
      <c r="B1137" t="s">
        <v>5138</v>
      </c>
      <c r="C1137" t="s">
        <v>20</v>
      </c>
      <c r="D1137" t="s">
        <v>5139</v>
      </c>
      <c r="E1137" t="s">
        <v>5140</v>
      </c>
      <c r="F1137" s="1">
        <v>56300</v>
      </c>
      <c r="G1137" t="s">
        <v>2241</v>
      </c>
      <c r="H1137" t="s">
        <v>5141</v>
      </c>
      <c r="I1137" t="s">
        <v>5142</v>
      </c>
      <c r="J1137" t="s">
        <v>846</v>
      </c>
      <c r="M1137" t="s">
        <v>271</v>
      </c>
      <c r="N1137" t="s">
        <v>5143</v>
      </c>
      <c r="O1137" t="s">
        <v>5144</v>
      </c>
      <c r="P1137" t="s">
        <v>5143</v>
      </c>
      <c r="Q1137" t="s">
        <v>5145</v>
      </c>
      <c r="R1137">
        <v>7</v>
      </c>
      <c r="S1137">
        <v>16</v>
      </c>
    </row>
    <row r="1138" spans="1:19" x14ac:dyDescent="0.35">
      <c r="A1138">
        <v>1574</v>
      </c>
      <c r="B1138" t="s">
        <v>5146</v>
      </c>
      <c r="C1138" t="s">
        <v>42</v>
      </c>
      <c r="D1138" t="s">
        <v>5147</v>
      </c>
      <c r="E1138" t="e" cm="1">
        <f t="array" ref="E1138">- CHLORPHENAMINE MALEATE</f>
        <v>#NAME?</v>
      </c>
      <c r="F1138" t="s">
        <v>5148</v>
      </c>
      <c r="M1138" t="s">
        <v>340</v>
      </c>
      <c r="N1138" t="s">
        <v>1354</v>
      </c>
      <c r="P1138" t="s">
        <v>5149</v>
      </c>
      <c r="Q1138" t="s">
        <v>5150</v>
      </c>
      <c r="R1138">
        <v>7</v>
      </c>
      <c r="S1138">
        <v>16</v>
      </c>
    </row>
    <row r="1139" spans="1:19" x14ac:dyDescent="0.35">
      <c r="A1139">
        <v>2042</v>
      </c>
      <c r="B1139" t="s">
        <v>5151</v>
      </c>
      <c r="C1139" t="s">
        <v>20</v>
      </c>
      <c r="D1139" t="s">
        <v>5152</v>
      </c>
      <c r="E1139" t="s">
        <v>5153</v>
      </c>
      <c r="F1139" t="s">
        <v>5154</v>
      </c>
      <c r="G1139" t="s">
        <v>2241</v>
      </c>
      <c r="H1139" t="s">
        <v>5155</v>
      </c>
      <c r="I1139" t="s">
        <v>5156</v>
      </c>
      <c r="J1139" t="s">
        <v>5157</v>
      </c>
      <c r="M1139" t="s">
        <v>271</v>
      </c>
      <c r="N1139" t="s">
        <v>5158</v>
      </c>
      <c r="O1139" t="s">
        <v>5159</v>
      </c>
      <c r="P1139" t="s">
        <v>5158</v>
      </c>
      <c r="Q1139" t="s">
        <v>5160</v>
      </c>
      <c r="R1139">
        <v>7</v>
      </c>
      <c r="S1139">
        <v>16</v>
      </c>
    </row>
    <row r="1140" spans="1:19" x14ac:dyDescent="0.35">
      <c r="A1140">
        <v>3235</v>
      </c>
      <c r="B1140" t="s">
        <v>5161</v>
      </c>
      <c r="C1140" t="s">
        <v>42</v>
      </c>
      <c r="D1140" t="s">
        <v>5162</v>
      </c>
      <c r="E1140" t="e" cm="1">
        <f t="array" ref="E1140">- DRIED ALUMINIUM HYDROXIDE GEL</f>
        <v>#NAME?</v>
      </c>
      <c r="F1140" t="s">
        <v>5163</v>
      </c>
      <c r="J1140" t="s">
        <v>885</v>
      </c>
      <c r="M1140" t="s">
        <v>46</v>
      </c>
      <c r="N1140" t="s">
        <v>4172</v>
      </c>
      <c r="P1140" t="s">
        <v>5164</v>
      </c>
      <c r="Q1140" t="s">
        <v>5165</v>
      </c>
      <c r="R1140">
        <v>7</v>
      </c>
      <c r="S1140">
        <v>16</v>
      </c>
    </row>
    <row r="1141" spans="1:19" x14ac:dyDescent="0.35">
      <c r="A1141">
        <v>3832</v>
      </c>
      <c r="B1141" t="s">
        <v>5166</v>
      </c>
      <c r="C1141" t="s">
        <v>42</v>
      </c>
      <c r="D1141" t="s">
        <v>5167</v>
      </c>
      <c r="E1141" t="e" cm="1">
        <f t="array" ref="E1141">- KAOLIN</f>
        <v>#NAME?</v>
      </c>
      <c r="F1141" t="s">
        <v>5168</v>
      </c>
      <c r="G1141" t="s">
        <v>60</v>
      </c>
      <c r="H1141" t="s">
        <v>5169</v>
      </c>
      <c r="I1141" t="s">
        <v>5170</v>
      </c>
      <c r="J1141" t="s">
        <v>945</v>
      </c>
      <c r="K1141" t="s">
        <v>5171</v>
      </c>
      <c r="L1141" t="s">
        <v>5172</v>
      </c>
      <c r="M1141" t="s">
        <v>340</v>
      </c>
      <c r="N1141" t="s">
        <v>1194</v>
      </c>
      <c r="O1141" t="s">
        <v>4919</v>
      </c>
      <c r="P1141" t="s">
        <v>5173</v>
      </c>
      <c r="Q1141" t="s">
        <v>5174</v>
      </c>
      <c r="R1141">
        <v>7</v>
      </c>
      <c r="S1141">
        <v>16</v>
      </c>
    </row>
    <row r="1142" spans="1:19" x14ac:dyDescent="0.35">
      <c r="A1142">
        <v>3652</v>
      </c>
      <c r="B1142" t="s">
        <v>5175</v>
      </c>
      <c r="C1142" t="s">
        <v>42</v>
      </c>
      <c r="D1142" t="s">
        <v>5176</v>
      </c>
      <c r="E1142" t="e" cm="1">
        <f t="array" ref="E1142">- DOMPERIDONE</f>
        <v>#NAME?</v>
      </c>
      <c r="F1142" t="s">
        <v>5177</v>
      </c>
      <c r="G1142" t="s">
        <v>5178</v>
      </c>
      <c r="H1142" t="s">
        <v>5179</v>
      </c>
      <c r="I1142" t="s">
        <v>5180</v>
      </c>
      <c r="J1142" t="s">
        <v>945</v>
      </c>
      <c r="K1142" t="s">
        <v>5181</v>
      </c>
      <c r="L1142" t="s">
        <v>5182</v>
      </c>
      <c r="M1142" t="s">
        <v>340</v>
      </c>
      <c r="N1142" t="s">
        <v>341</v>
      </c>
      <c r="O1142" t="s">
        <v>5183</v>
      </c>
      <c r="P1142" t="s">
        <v>5184</v>
      </c>
      <c r="Q1142" t="s">
        <v>5185</v>
      </c>
      <c r="R1142">
        <v>7</v>
      </c>
      <c r="S1142">
        <v>16</v>
      </c>
    </row>
    <row r="1143" spans="1:19" x14ac:dyDescent="0.35">
      <c r="A1143">
        <v>2041</v>
      </c>
      <c r="B1143" t="s">
        <v>5151</v>
      </c>
      <c r="C1143" t="s">
        <v>20</v>
      </c>
      <c r="D1143" t="s">
        <v>5152</v>
      </c>
      <c r="E1143" t="s">
        <v>5153</v>
      </c>
      <c r="F1143" t="s">
        <v>5154</v>
      </c>
      <c r="G1143" t="s">
        <v>2241</v>
      </c>
      <c r="H1143" t="s">
        <v>5155</v>
      </c>
      <c r="I1143" t="s">
        <v>5156</v>
      </c>
      <c r="J1143" t="s">
        <v>5157</v>
      </c>
      <c r="M1143" t="s">
        <v>271</v>
      </c>
      <c r="N1143" t="s">
        <v>5158</v>
      </c>
      <c r="O1143" t="s">
        <v>5159</v>
      </c>
      <c r="P1143" t="s">
        <v>5158</v>
      </c>
      <c r="Q1143" t="s">
        <v>5160</v>
      </c>
      <c r="R1143">
        <v>7</v>
      </c>
      <c r="S1143">
        <v>16</v>
      </c>
    </row>
    <row r="1144" spans="1:19" x14ac:dyDescent="0.35">
      <c r="A1144">
        <v>1395</v>
      </c>
      <c r="B1144" t="s">
        <v>3681</v>
      </c>
      <c r="C1144" t="s">
        <v>42</v>
      </c>
      <c r="D1144" t="s">
        <v>3682</v>
      </c>
      <c r="E1144" t="e" cm="1">
        <f t="array" ref="E1144">- DIPHENHYDRAMINE HYDROCHLORIDE. AMMONIUM CHLORIDE</f>
        <v>#NAME?</v>
      </c>
      <c r="F1144" t="s">
        <v>3683</v>
      </c>
      <c r="J1144" t="s">
        <v>334</v>
      </c>
      <c r="M1144" t="s">
        <v>271</v>
      </c>
      <c r="N1144" t="s">
        <v>4607</v>
      </c>
      <c r="P1144" t="s">
        <v>3684</v>
      </c>
      <c r="Q1144" t="s">
        <v>5186</v>
      </c>
      <c r="R1144">
        <v>7</v>
      </c>
      <c r="S1144">
        <v>16</v>
      </c>
    </row>
    <row r="1145" spans="1:19" x14ac:dyDescent="0.35">
      <c r="A1145">
        <v>1259</v>
      </c>
      <c r="B1145" t="s">
        <v>1435</v>
      </c>
      <c r="C1145" t="s">
        <v>42</v>
      </c>
      <c r="D1145" t="s">
        <v>1436</v>
      </c>
      <c r="E1145" t="e" cm="1">
        <f t="array" ref="E1145">- GUAIFENESIN. PHENYLPROPANOLAMINE HYDROCHLORIDE. DEXTROMETHORPHAN HYDROBROMIDE</f>
        <v>#NAME?</v>
      </c>
      <c r="F1145" t="s">
        <v>1437</v>
      </c>
      <c r="J1145" t="s">
        <v>1438</v>
      </c>
      <c r="M1145" t="s">
        <v>38</v>
      </c>
      <c r="N1145" t="s">
        <v>5187</v>
      </c>
      <c r="P1145" t="s">
        <v>1439</v>
      </c>
      <c r="Q1145" t="s">
        <v>5188</v>
      </c>
      <c r="R1145">
        <v>7</v>
      </c>
      <c r="S1145">
        <v>16</v>
      </c>
    </row>
    <row r="1146" spans="1:19" x14ac:dyDescent="0.35">
      <c r="A1146">
        <v>2591</v>
      </c>
      <c r="B1146" t="s">
        <v>5189</v>
      </c>
      <c r="C1146" t="s">
        <v>42</v>
      </c>
      <c r="D1146" t="s">
        <v>5190</v>
      </c>
      <c r="E1146" t="e" cm="1">
        <f t="array" ref="E1146">- CYANOCOBALAMIN</f>
        <v>#NAME?</v>
      </c>
      <c r="F1146" t="s">
        <v>5191</v>
      </c>
      <c r="G1146" t="s">
        <v>5192</v>
      </c>
      <c r="H1146" t="s">
        <v>5193</v>
      </c>
      <c r="I1146" t="s">
        <v>5194</v>
      </c>
      <c r="J1146" t="s">
        <v>5195</v>
      </c>
      <c r="K1146" t="s">
        <v>5196</v>
      </c>
      <c r="L1146" t="s">
        <v>5197</v>
      </c>
      <c r="M1146" t="s">
        <v>291</v>
      </c>
      <c r="N1146" t="s">
        <v>677</v>
      </c>
      <c r="O1146" t="s">
        <v>5198</v>
      </c>
      <c r="P1146" t="s">
        <v>5199</v>
      </c>
      <c r="Q1146" t="s">
        <v>5200</v>
      </c>
      <c r="R1146">
        <v>7</v>
      </c>
      <c r="S1146">
        <v>16</v>
      </c>
    </row>
    <row r="1147" spans="1:19" x14ac:dyDescent="0.35">
      <c r="A1147">
        <v>2568</v>
      </c>
      <c r="B1147" t="s">
        <v>5201</v>
      </c>
      <c r="C1147" t="s">
        <v>20</v>
      </c>
      <c r="D1147" t="s">
        <v>5202</v>
      </c>
      <c r="E1147" t="s">
        <v>5203</v>
      </c>
      <c r="F1147" s="1">
        <v>18900</v>
      </c>
      <c r="I1147" t="s">
        <v>5204</v>
      </c>
      <c r="J1147" t="s">
        <v>5205</v>
      </c>
      <c r="M1147" t="s">
        <v>818</v>
      </c>
      <c r="N1147" t="s">
        <v>5206</v>
      </c>
      <c r="O1147" t="s">
        <v>5207</v>
      </c>
      <c r="P1147" t="s">
        <v>5206</v>
      </c>
      <c r="Q1147" t="s">
        <v>5208</v>
      </c>
      <c r="R1147">
        <v>7</v>
      </c>
      <c r="S1147">
        <v>16</v>
      </c>
    </row>
    <row r="1148" spans="1:19" x14ac:dyDescent="0.35">
      <c r="A1148">
        <v>3858</v>
      </c>
      <c r="B1148" t="s">
        <v>5209</v>
      </c>
      <c r="C1148" t="s">
        <v>42</v>
      </c>
      <c r="D1148" t="s">
        <v>5210</v>
      </c>
      <c r="E1148" t="e" cm="1">
        <f t="array" ref="E1148">- LOPERAMIDE HYDROCHLORIDE</f>
        <v>#NAME?</v>
      </c>
      <c r="F1148" t="s">
        <v>5211</v>
      </c>
      <c r="G1148" t="s">
        <v>3098</v>
      </c>
      <c r="H1148" t="s">
        <v>5212</v>
      </c>
      <c r="I1148" t="s">
        <v>5048</v>
      </c>
      <c r="J1148" t="s">
        <v>381</v>
      </c>
      <c r="K1148" t="s">
        <v>5213</v>
      </c>
      <c r="L1148" t="s">
        <v>5214</v>
      </c>
      <c r="M1148" t="s">
        <v>46</v>
      </c>
      <c r="N1148" t="s">
        <v>1461</v>
      </c>
      <c r="O1148" t="s">
        <v>5052</v>
      </c>
      <c r="P1148" t="s">
        <v>5215</v>
      </c>
      <c r="Q1148" t="s">
        <v>5216</v>
      </c>
      <c r="R1148">
        <v>7</v>
      </c>
      <c r="S1148">
        <v>16</v>
      </c>
    </row>
    <row r="1149" spans="1:19" x14ac:dyDescent="0.35">
      <c r="A1149">
        <v>3976</v>
      </c>
      <c r="B1149" t="s">
        <v>5125</v>
      </c>
      <c r="C1149" t="s">
        <v>42</v>
      </c>
      <c r="D1149" t="s">
        <v>5126</v>
      </c>
      <c r="E1149" t="e" cm="1">
        <f t="array" ref="E1149">- LACTULOSE</f>
        <v>#NAME?</v>
      </c>
      <c r="F1149" s="1">
        <v>98600</v>
      </c>
      <c r="G1149" t="s">
        <v>5127</v>
      </c>
      <c r="H1149" t="s">
        <v>5128</v>
      </c>
    </row>
    <row r="1150" spans="1:19" x14ac:dyDescent="0.35">
      <c r="A1150">
        <v>1449</v>
      </c>
      <c r="B1150" t="s">
        <v>5111</v>
      </c>
      <c r="C1150" t="s">
        <v>42</v>
      </c>
      <c r="D1150" t="s">
        <v>5112</v>
      </c>
      <c r="E1150" t="e" cm="1">
        <f t="array" ref="E1150">- LEVODROPROPIZINE</f>
        <v>#NAME?</v>
      </c>
      <c r="F1150" t="s">
        <v>5113</v>
      </c>
      <c r="G1150" t="s">
        <v>737</v>
      </c>
      <c r="H1150" t="s">
        <v>4983</v>
      </c>
      <c r="I1150" t="s">
        <v>4984</v>
      </c>
      <c r="J1150" t="s">
        <v>1144</v>
      </c>
      <c r="K1150" t="s">
        <v>5114</v>
      </c>
      <c r="L1150" t="s">
        <v>5115</v>
      </c>
      <c r="M1150" t="s">
        <v>271</v>
      </c>
      <c r="N1150" t="s">
        <v>459</v>
      </c>
      <c r="O1150" t="s">
        <v>4986</v>
      </c>
      <c r="P1150" t="s">
        <v>5116</v>
      </c>
      <c r="Q1150" t="s">
        <v>5117</v>
      </c>
      <c r="R1150">
        <v>7</v>
      </c>
      <c r="S1150">
        <v>16</v>
      </c>
    </row>
    <row r="1151" spans="1:19" x14ac:dyDescent="0.35">
      <c r="A1151">
        <v>2429</v>
      </c>
      <c r="B1151" t="s">
        <v>5217</v>
      </c>
      <c r="C1151" t="s">
        <v>42</v>
      </c>
      <c r="D1151" t="s">
        <v>5218</v>
      </c>
      <c r="E1151" t="e" cm="1">
        <f t="array" ref="E1151">- CYANOCOBALAMIN</f>
        <v>#NAME?</v>
      </c>
      <c r="F1151" s="1">
        <v>18300</v>
      </c>
      <c r="G1151" t="s">
        <v>5033</v>
      </c>
      <c r="H1151" t="s">
        <v>5219</v>
      </c>
      <c r="I1151" t="s">
        <v>5220</v>
      </c>
      <c r="J1151" t="s">
        <v>5221</v>
      </c>
      <c r="K1151" t="s">
        <v>5222</v>
      </c>
      <c r="L1151" t="s">
        <v>5223</v>
      </c>
      <c r="M1151" t="s">
        <v>291</v>
      </c>
      <c r="N1151" t="s">
        <v>677</v>
      </c>
      <c r="O1151" t="s">
        <v>5224</v>
      </c>
      <c r="P1151" t="s">
        <v>5225</v>
      </c>
      <c r="Q1151" t="s">
        <v>5226</v>
      </c>
      <c r="R1151">
        <v>7</v>
      </c>
      <c r="S1151">
        <v>16</v>
      </c>
    </row>
    <row r="1152" spans="1:19" x14ac:dyDescent="0.35">
      <c r="A1152">
        <v>3977</v>
      </c>
      <c r="B1152" t="s">
        <v>5125</v>
      </c>
      <c r="C1152" t="s">
        <v>42</v>
      </c>
      <c r="D1152" t="s">
        <v>5126</v>
      </c>
      <c r="E1152" t="e" cm="1">
        <f t="array" ref="E1152">- LACTULOSE</f>
        <v>#NAME?</v>
      </c>
      <c r="F1152" s="1">
        <v>98600</v>
      </c>
      <c r="G1152" t="s">
        <v>5127</v>
      </c>
      <c r="H1152" t="s">
        <v>5128</v>
      </c>
    </row>
    <row r="1153" spans="1:19" x14ac:dyDescent="0.35">
      <c r="A1153">
        <v>3722</v>
      </c>
      <c r="B1153" t="s">
        <v>5065</v>
      </c>
      <c r="C1153" t="s">
        <v>20</v>
      </c>
      <c r="D1153" t="s">
        <v>5227</v>
      </c>
      <c r="E1153" t="s">
        <v>5067</v>
      </c>
      <c r="F1153" t="s">
        <v>2627</v>
      </c>
      <c r="G1153" t="s">
        <v>60</v>
      </c>
      <c r="H1153" t="s">
        <v>5069</v>
      </c>
      <c r="I1153" t="s">
        <v>5070</v>
      </c>
      <c r="J1153" t="s">
        <v>754</v>
      </c>
      <c r="K1153" t="s">
        <v>5228</v>
      </c>
      <c r="L1153" t="s">
        <v>5072</v>
      </c>
      <c r="M1153" t="s">
        <v>38</v>
      </c>
      <c r="N1153" t="s">
        <v>5073</v>
      </c>
      <c r="O1153" t="s">
        <v>5074</v>
      </c>
      <c r="P1153" t="s">
        <v>5073</v>
      </c>
      <c r="Q1153" t="s">
        <v>5075</v>
      </c>
      <c r="R1153">
        <v>7</v>
      </c>
      <c r="S1153">
        <v>16</v>
      </c>
    </row>
    <row r="1154" spans="1:19" x14ac:dyDescent="0.35">
      <c r="A1154">
        <v>1927</v>
      </c>
      <c r="B1154" t="s">
        <v>5229</v>
      </c>
      <c r="C1154" t="s">
        <v>20</v>
      </c>
      <c r="D1154" t="s">
        <v>5230</v>
      </c>
      <c r="E1154" t="s">
        <v>5231</v>
      </c>
      <c r="F1154" t="s">
        <v>5232</v>
      </c>
      <c r="G1154" t="s">
        <v>5233</v>
      </c>
      <c r="H1154" t="s">
        <v>5234</v>
      </c>
      <c r="I1154" t="s">
        <v>5235</v>
      </c>
      <c r="J1154" t="s">
        <v>374</v>
      </c>
      <c r="L1154" t="s">
        <v>5236</v>
      </c>
      <c r="M1154" t="s">
        <v>271</v>
      </c>
      <c r="N1154" t="s">
        <v>5237</v>
      </c>
      <c r="O1154" t="s">
        <v>5238</v>
      </c>
      <c r="P1154" t="s">
        <v>5237</v>
      </c>
      <c r="Q1154" t="s">
        <v>5239</v>
      </c>
      <c r="R1154">
        <v>7</v>
      </c>
      <c r="S1154">
        <v>16</v>
      </c>
    </row>
    <row r="1155" spans="1:19" x14ac:dyDescent="0.35">
      <c r="A1155">
        <v>1929</v>
      </c>
      <c r="B1155" t="s">
        <v>5229</v>
      </c>
      <c r="C1155" t="s">
        <v>20</v>
      </c>
      <c r="D1155" t="s">
        <v>5230</v>
      </c>
      <c r="E1155" t="s">
        <v>5231</v>
      </c>
      <c r="F1155" t="s">
        <v>5232</v>
      </c>
      <c r="G1155" t="s">
        <v>5233</v>
      </c>
      <c r="H1155" t="s">
        <v>5234</v>
      </c>
      <c r="I1155" t="s">
        <v>5235</v>
      </c>
      <c r="J1155" t="s">
        <v>374</v>
      </c>
      <c r="L1155" t="s">
        <v>5236</v>
      </c>
      <c r="M1155" t="s">
        <v>271</v>
      </c>
      <c r="N1155" t="s">
        <v>5237</v>
      </c>
      <c r="O1155" t="s">
        <v>5238</v>
      </c>
      <c r="P1155" t="s">
        <v>5237</v>
      </c>
      <c r="Q1155" t="s">
        <v>5239</v>
      </c>
      <c r="R1155">
        <v>7</v>
      </c>
      <c r="S1155">
        <v>16</v>
      </c>
    </row>
    <row r="1156" spans="1:19" x14ac:dyDescent="0.35">
      <c r="A1156">
        <v>1961</v>
      </c>
      <c r="B1156" t="s">
        <v>5240</v>
      </c>
      <c r="C1156" t="s">
        <v>20</v>
      </c>
      <c r="D1156" t="s">
        <v>5241</v>
      </c>
      <c r="E1156" t="s">
        <v>5242</v>
      </c>
      <c r="F1156" t="s">
        <v>5243</v>
      </c>
      <c r="G1156" t="s">
        <v>5244</v>
      </c>
      <c r="H1156" t="s">
        <v>4385</v>
      </c>
      <c r="I1156" t="s">
        <v>5245</v>
      </c>
      <c r="J1156" t="s">
        <v>5246</v>
      </c>
      <c r="K1156" t="s">
        <v>5247</v>
      </c>
      <c r="L1156" t="s">
        <v>5248</v>
      </c>
      <c r="M1156" t="s">
        <v>38</v>
      </c>
      <c r="N1156" t="s">
        <v>5249</v>
      </c>
      <c r="O1156" t="s">
        <v>5250</v>
      </c>
      <c r="P1156" t="s">
        <v>5251</v>
      </c>
      <c r="Q1156" t="s">
        <v>5252</v>
      </c>
      <c r="R1156">
        <v>7</v>
      </c>
      <c r="S1156">
        <v>16</v>
      </c>
    </row>
    <row r="1157" spans="1:19" x14ac:dyDescent="0.35">
      <c r="A1157">
        <v>1615</v>
      </c>
      <c r="B1157" t="s">
        <v>5253</v>
      </c>
      <c r="C1157" t="s">
        <v>42</v>
      </c>
      <c r="D1157" t="s">
        <v>5254</v>
      </c>
      <c r="E1157" t="e" cm="1">
        <f t="array" ref="E1157">- BROMHEXINE HYDROCHLORIDE</f>
        <v>#NAME?</v>
      </c>
      <c r="F1157" t="s">
        <v>5255</v>
      </c>
      <c r="G1157" t="s">
        <v>2241</v>
      </c>
      <c r="H1157" t="s">
        <v>5256</v>
      </c>
      <c r="I1157" t="s">
        <v>5257</v>
      </c>
      <c r="J1157" t="s">
        <v>5258</v>
      </c>
      <c r="K1157" t="s">
        <v>2726</v>
      </c>
      <c r="L1157" t="s">
        <v>5259</v>
      </c>
      <c r="M1157" t="s">
        <v>46</v>
      </c>
      <c r="N1157" t="s">
        <v>1342</v>
      </c>
      <c r="O1157" t="s">
        <v>3675</v>
      </c>
      <c r="P1157" t="s">
        <v>5260</v>
      </c>
      <c r="Q1157" t="s">
        <v>5261</v>
      </c>
      <c r="R1157">
        <v>7</v>
      </c>
      <c r="S1157">
        <v>16</v>
      </c>
    </row>
    <row r="1158" spans="1:19" x14ac:dyDescent="0.35">
      <c r="A1158">
        <v>2044</v>
      </c>
      <c r="B1158" t="s">
        <v>5138</v>
      </c>
      <c r="C1158" t="s">
        <v>20</v>
      </c>
      <c r="D1158" t="s">
        <v>5139</v>
      </c>
      <c r="E1158" t="s">
        <v>5140</v>
      </c>
      <c r="F1158" s="1">
        <v>56300</v>
      </c>
      <c r="G1158" t="s">
        <v>2241</v>
      </c>
      <c r="H1158" t="s">
        <v>5141</v>
      </c>
      <c r="I1158" t="s">
        <v>5142</v>
      </c>
      <c r="J1158" t="s">
        <v>846</v>
      </c>
      <c r="M1158" t="s">
        <v>271</v>
      </c>
      <c r="N1158" t="s">
        <v>5143</v>
      </c>
      <c r="O1158" t="s">
        <v>5144</v>
      </c>
      <c r="P1158" t="s">
        <v>5143</v>
      </c>
      <c r="Q1158" t="s">
        <v>5145</v>
      </c>
      <c r="R1158">
        <v>7</v>
      </c>
      <c r="S1158">
        <v>16</v>
      </c>
    </row>
    <row r="1159" spans="1:19" x14ac:dyDescent="0.35">
      <c r="A1159">
        <v>4023</v>
      </c>
      <c r="B1159" t="s">
        <v>5262</v>
      </c>
      <c r="C1159" t="s">
        <v>20</v>
      </c>
      <c r="D1159" t="s">
        <v>5263</v>
      </c>
      <c r="E1159" t="s">
        <v>5264</v>
      </c>
      <c r="F1159" t="s">
        <v>5265</v>
      </c>
      <c r="I1159" t="s">
        <v>4003</v>
      </c>
      <c r="J1159" t="s">
        <v>5266</v>
      </c>
      <c r="M1159" t="s">
        <v>38</v>
      </c>
      <c r="N1159" t="s">
        <v>5267</v>
      </c>
      <c r="O1159" t="s">
        <v>4005</v>
      </c>
      <c r="P1159" t="s">
        <v>5268</v>
      </c>
      <c r="Q1159" t="s">
        <v>5269</v>
      </c>
      <c r="R1159">
        <v>7</v>
      </c>
      <c r="S1159">
        <v>16</v>
      </c>
    </row>
    <row r="1160" spans="1:19" x14ac:dyDescent="0.35">
      <c r="A1160">
        <v>3827</v>
      </c>
      <c r="B1160" t="s">
        <v>5270</v>
      </c>
      <c r="C1160" t="s">
        <v>42</v>
      </c>
      <c r="D1160" t="s">
        <v>5271</v>
      </c>
      <c r="E1160" t="e" cm="1">
        <f t="array" ref="E1160">- LOPERAMIDE</f>
        <v>#NAME?</v>
      </c>
      <c r="F1160" t="s">
        <v>5272</v>
      </c>
      <c r="G1160" t="s">
        <v>5273</v>
      </c>
      <c r="H1160" t="s">
        <v>5274</v>
      </c>
      <c r="I1160" t="s">
        <v>5275</v>
      </c>
      <c r="J1160" t="s">
        <v>5276</v>
      </c>
      <c r="K1160" t="s">
        <v>5277</v>
      </c>
      <c r="L1160" t="s">
        <v>5278</v>
      </c>
      <c r="M1160" t="s">
        <v>46</v>
      </c>
      <c r="N1160" t="s">
        <v>1094</v>
      </c>
      <c r="O1160" t="s">
        <v>5279</v>
      </c>
      <c r="P1160" t="s">
        <v>5280</v>
      </c>
      <c r="Q1160" t="s">
        <v>5281</v>
      </c>
      <c r="R1160">
        <v>7</v>
      </c>
      <c r="S1160">
        <v>16</v>
      </c>
    </row>
    <row r="1161" spans="1:19" x14ac:dyDescent="0.35">
      <c r="A1161">
        <v>3721</v>
      </c>
      <c r="B1161" t="s">
        <v>5065</v>
      </c>
      <c r="C1161" t="s">
        <v>20</v>
      </c>
      <c r="D1161" t="s">
        <v>5227</v>
      </c>
      <c r="E1161" t="s">
        <v>5067</v>
      </c>
      <c r="F1161" t="s">
        <v>2627</v>
      </c>
      <c r="G1161" t="s">
        <v>60</v>
      </c>
      <c r="H1161" t="s">
        <v>5069</v>
      </c>
      <c r="I1161" t="s">
        <v>5070</v>
      </c>
      <c r="J1161" t="s">
        <v>754</v>
      </c>
      <c r="K1161" t="s">
        <v>5228</v>
      </c>
      <c r="L1161" t="s">
        <v>5072</v>
      </c>
      <c r="M1161" t="s">
        <v>38</v>
      </c>
      <c r="N1161" t="s">
        <v>5073</v>
      </c>
      <c r="O1161" t="s">
        <v>5074</v>
      </c>
      <c r="P1161" t="s">
        <v>5073</v>
      </c>
      <c r="Q1161" t="s">
        <v>5075</v>
      </c>
      <c r="R1161">
        <v>7</v>
      </c>
      <c r="S1161">
        <v>16</v>
      </c>
    </row>
    <row r="1162" spans="1:19" x14ac:dyDescent="0.35">
      <c r="A1162">
        <v>1962</v>
      </c>
      <c r="B1162" t="s">
        <v>5240</v>
      </c>
      <c r="C1162" t="s">
        <v>20</v>
      </c>
      <c r="D1162" t="s">
        <v>5282</v>
      </c>
      <c r="E1162" t="s">
        <v>5242</v>
      </c>
      <c r="F1162" t="s">
        <v>5283</v>
      </c>
      <c r="G1162" t="s">
        <v>5244</v>
      </c>
      <c r="H1162" t="s">
        <v>4385</v>
      </c>
      <c r="I1162" t="s">
        <v>5245</v>
      </c>
      <c r="J1162" t="s">
        <v>5284</v>
      </c>
      <c r="K1162" t="s">
        <v>5247</v>
      </c>
      <c r="L1162" t="s">
        <v>5248</v>
      </c>
      <c r="M1162" t="s">
        <v>38</v>
      </c>
      <c r="N1162" t="s">
        <v>5249</v>
      </c>
      <c r="O1162" t="s">
        <v>5250</v>
      </c>
      <c r="P1162" t="s">
        <v>5251</v>
      </c>
      <c r="Q1162" t="s">
        <v>5252</v>
      </c>
      <c r="R1162">
        <v>7</v>
      </c>
      <c r="S1162">
        <v>16</v>
      </c>
    </row>
    <row r="1163" spans="1:19" x14ac:dyDescent="0.35">
      <c r="A1163">
        <v>1963</v>
      </c>
      <c r="B1163" t="s">
        <v>5240</v>
      </c>
      <c r="C1163" t="s">
        <v>20</v>
      </c>
      <c r="D1163" t="s">
        <v>5241</v>
      </c>
      <c r="E1163" t="s">
        <v>5242</v>
      </c>
      <c r="F1163" t="s">
        <v>5243</v>
      </c>
      <c r="G1163" t="s">
        <v>5244</v>
      </c>
      <c r="H1163" t="s">
        <v>4385</v>
      </c>
      <c r="I1163" t="s">
        <v>5245</v>
      </c>
      <c r="J1163" t="s">
        <v>5246</v>
      </c>
      <c r="K1163" t="s">
        <v>5247</v>
      </c>
      <c r="L1163" t="s">
        <v>5248</v>
      </c>
      <c r="M1163" t="s">
        <v>38</v>
      </c>
      <c r="N1163" t="s">
        <v>5249</v>
      </c>
      <c r="O1163" t="s">
        <v>5250</v>
      </c>
      <c r="P1163" t="s">
        <v>5251</v>
      </c>
      <c r="Q1163" t="s">
        <v>5252</v>
      </c>
      <c r="R1163">
        <v>7</v>
      </c>
      <c r="S1163">
        <v>16</v>
      </c>
    </row>
    <row r="1164" spans="1:19" x14ac:dyDescent="0.35">
      <c r="A1164">
        <v>1964</v>
      </c>
      <c r="B1164" t="s">
        <v>5240</v>
      </c>
      <c r="C1164" t="s">
        <v>20</v>
      </c>
      <c r="D1164" t="s">
        <v>5282</v>
      </c>
      <c r="E1164" t="s">
        <v>5242</v>
      </c>
      <c r="F1164" t="s">
        <v>5283</v>
      </c>
      <c r="G1164" t="s">
        <v>5244</v>
      </c>
      <c r="H1164" t="s">
        <v>4385</v>
      </c>
      <c r="I1164" t="s">
        <v>5245</v>
      </c>
      <c r="J1164" t="s">
        <v>5284</v>
      </c>
      <c r="K1164" t="s">
        <v>5247</v>
      </c>
      <c r="L1164" t="s">
        <v>5248</v>
      </c>
      <c r="M1164" t="s">
        <v>38</v>
      </c>
      <c r="N1164" t="s">
        <v>5249</v>
      </c>
      <c r="O1164" t="s">
        <v>5250</v>
      </c>
      <c r="P1164" t="s">
        <v>5251</v>
      </c>
      <c r="Q1164" t="s">
        <v>5252</v>
      </c>
      <c r="R1164">
        <v>7</v>
      </c>
      <c r="S1164">
        <v>16</v>
      </c>
    </row>
    <row r="1165" spans="1:19" x14ac:dyDescent="0.35">
      <c r="A1165">
        <v>3980</v>
      </c>
      <c r="B1165" t="s">
        <v>5125</v>
      </c>
      <c r="C1165" t="s">
        <v>42</v>
      </c>
      <c r="D1165" t="s">
        <v>5285</v>
      </c>
      <c r="E1165" t="e" cm="1">
        <f t="array" ref="E1165">- LACTULOSE</f>
        <v>#NAME?</v>
      </c>
      <c r="F1165" s="1">
        <v>77500</v>
      </c>
      <c r="G1165" t="s">
        <v>5127</v>
      </c>
      <c r="H1165" t="s">
        <v>5128</v>
      </c>
    </row>
    <row r="1166" spans="1:19" x14ac:dyDescent="0.35">
      <c r="A1166">
        <v>1208</v>
      </c>
      <c r="B1166" t="s">
        <v>5286</v>
      </c>
      <c r="C1166" t="s">
        <v>42</v>
      </c>
      <c r="D1166" t="s">
        <v>5287</v>
      </c>
      <c r="E1166" t="e" cm="1">
        <f t="array" ref="E1166">- CHLORPHENAMINE MALEATE</f>
        <v>#NAME?</v>
      </c>
      <c r="F1166" t="s">
        <v>5288</v>
      </c>
      <c r="I1166" t="s">
        <v>4974</v>
      </c>
      <c r="J1166" t="s">
        <v>727</v>
      </c>
      <c r="M1166" t="s">
        <v>291</v>
      </c>
      <c r="N1166" t="s">
        <v>1354</v>
      </c>
      <c r="O1166" t="s">
        <v>4977</v>
      </c>
      <c r="P1166" t="s">
        <v>5289</v>
      </c>
      <c r="Q1166" t="s">
        <v>5290</v>
      </c>
      <c r="R1166">
        <v>7</v>
      </c>
      <c r="S1166">
        <v>16</v>
      </c>
    </row>
    <row r="1167" spans="1:19" x14ac:dyDescent="0.35">
      <c r="A1167">
        <v>2687</v>
      </c>
      <c r="B1167" t="s">
        <v>5291</v>
      </c>
      <c r="C1167" t="s">
        <v>42</v>
      </c>
      <c r="D1167" t="s">
        <v>5292</v>
      </c>
      <c r="E1167" t="e" cm="1">
        <f t="array" ref="E1167">- IBUPROFEN</f>
        <v>#NAME?</v>
      </c>
      <c r="F1167" t="s">
        <v>5293</v>
      </c>
      <c r="G1167" t="s">
        <v>539</v>
      </c>
      <c r="H1167" t="s">
        <v>269</v>
      </c>
      <c r="I1167" t="s">
        <v>5294</v>
      </c>
      <c r="L1167" t="s">
        <v>1616</v>
      </c>
      <c r="M1167" t="s">
        <v>291</v>
      </c>
      <c r="N1167" t="s">
        <v>383</v>
      </c>
      <c r="O1167" t="s">
        <v>5295</v>
      </c>
      <c r="P1167" t="s">
        <v>5296</v>
      </c>
      <c r="Q1167" t="s">
        <v>5297</v>
      </c>
      <c r="R1167">
        <v>7</v>
      </c>
      <c r="S1167">
        <v>16</v>
      </c>
    </row>
    <row r="1168" spans="1:19" x14ac:dyDescent="0.35">
      <c r="A1168">
        <v>3979</v>
      </c>
      <c r="B1168" t="s">
        <v>5125</v>
      </c>
      <c r="C1168" t="s">
        <v>42</v>
      </c>
      <c r="D1168" t="s">
        <v>5285</v>
      </c>
      <c r="E1168" t="e" cm="1">
        <f t="array" ref="E1168">- LACTULOSE</f>
        <v>#NAME?</v>
      </c>
      <c r="F1168" s="1">
        <v>77500</v>
      </c>
      <c r="G1168" t="s">
        <v>5127</v>
      </c>
      <c r="H1168" t="s">
        <v>5128</v>
      </c>
    </row>
    <row r="1169" spans="1:19" x14ac:dyDescent="0.35">
      <c r="A1169">
        <v>3978</v>
      </c>
      <c r="B1169" t="s">
        <v>5125</v>
      </c>
      <c r="C1169" t="s">
        <v>42</v>
      </c>
      <c r="D1169" t="s">
        <v>5285</v>
      </c>
      <c r="E1169" t="e" cm="1">
        <f t="array" ref="E1169">- LACTULOSE</f>
        <v>#NAME?</v>
      </c>
      <c r="F1169" s="1">
        <v>77500</v>
      </c>
      <c r="G1169" t="s">
        <v>5127</v>
      </c>
      <c r="H1169" t="s">
        <v>5128</v>
      </c>
    </row>
    <row r="1170" spans="1:19" x14ac:dyDescent="0.35">
      <c r="A1170">
        <v>1588</v>
      </c>
      <c r="B1170" t="s">
        <v>5298</v>
      </c>
      <c r="C1170" t="s">
        <v>42</v>
      </c>
      <c r="D1170" t="s">
        <v>5299</v>
      </c>
      <c r="E1170" t="e" cm="1">
        <f t="array" ref="E1170">- PROMETHAZINE HYDROCHLORIDE</f>
        <v>#NAME?</v>
      </c>
      <c r="F1170" t="s">
        <v>5300</v>
      </c>
      <c r="G1170" t="s">
        <v>5301</v>
      </c>
      <c r="H1170" t="s">
        <v>5302</v>
      </c>
      <c r="I1170" t="s">
        <v>5303</v>
      </c>
      <c r="J1170" t="s">
        <v>5304</v>
      </c>
      <c r="M1170" t="s">
        <v>271</v>
      </c>
      <c r="N1170" t="s">
        <v>1290</v>
      </c>
      <c r="O1170" t="s">
        <v>5305</v>
      </c>
      <c r="P1170" t="s">
        <v>5306</v>
      </c>
      <c r="Q1170" t="s">
        <v>5307</v>
      </c>
      <c r="R1170">
        <v>7</v>
      </c>
      <c r="S1170">
        <v>16</v>
      </c>
    </row>
    <row r="1171" spans="1:19" x14ac:dyDescent="0.35">
      <c r="A1171">
        <v>3785</v>
      </c>
      <c r="B1171" t="s">
        <v>5019</v>
      </c>
      <c r="C1171" t="s">
        <v>42</v>
      </c>
      <c r="D1171" t="s">
        <v>5020</v>
      </c>
      <c r="E1171" t="e" cm="1">
        <f t="array" ref="E1171">- BISMUTH SUBSALICYLATE</f>
        <v>#NAME?</v>
      </c>
      <c r="F1171" t="s">
        <v>5021</v>
      </c>
      <c r="G1171" t="s">
        <v>3098</v>
      </c>
      <c r="H1171" t="s">
        <v>5022</v>
      </c>
      <c r="I1171" t="s">
        <v>5023</v>
      </c>
      <c r="J1171" t="s">
        <v>5024</v>
      </c>
      <c r="K1171" t="s">
        <v>5025</v>
      </c>
      <c r="L1171" t="s">
        <v>5026</v>
      </c>
      <c r="M1171" t="s">
        <v>46</v>
      </c>
      <c r="N1171" t="s">
        <v>2791</v>
      </c>
      <c r="O1171" t="s">
        <v>5027</v>
      </c>
      <c r="P1171" t="s">
        <v>5028</v>
      </c>
      <c r="Q1171" t="s">
        <v>5029</v>
      </c>
      <c r="R1171">
        <v>7</v>
      </c>
      <c r="S1171">
        <v>16</v>
      </c>
    </row>
    <row r="1172" spans="1:19" x14ac:dyDescent="0.35">
      <c r="A1172">
        <v>10057</v>
      </c>
      <c r="B1172" t="s">
        <v>5308</v>
      </c>
      <c r="C1172" t="s">
        <v>20</v>
      </c>
      <c r="D1172" t="s">
        <v>5309</v>
      </c>
      <c r="E1172" t="s">
        <v>5310</v>
      </c>
      <c r="F1172" t="s">
        <v>5311</v>
      </c>
      <c r="G1172" t="s">
        <v>2241</v>
      </c>
      <c r="H1172" t="s">
        <v>5312</v>
      </c>
      <c r="I1172" t="s">
        <v>5313</v>
      </c>
      <c r="J1172" t="s">
        <v>3964</v>
      </c>
      <c r="M1172" t="s">
        <v>2374</v>
      </c>
      <c r="N1172" t="s">
        <v>5314</v>
      </c>
      <c r="O1172" t="s">
        <v>5315</v>
      </c>
      <c r="P1172" t="s">
        <v>5314</v>
      </c>
      <c r="Q1172" t="s">
        <v>5316</v>
      </c>
      <c r="R1172">
        <v>7</v>
      </c>
      <c r="S1172">
        <v>16</v>
      </c>
    </row>
    <row r="1173" spans="1:19" x14ac:dyDescent="0.35">
      <c r="A1173">
        <v>1746</v>
      </c>
      <c r="B1173" t="s">
        <v>5317</v>
      </c>
      <c r="C1173" t="s">
        <v>850</v>
      </c>
      <c r="D1173" t="s">
        <v>5318</v>
      </c>
      <c r="E1173" t="e" cm="1">
        <f t="array" ref="E1173">- Camphor</f>
        <v>#NAME?</v>
      </c>
      <c r="F1173" t="s">
        <v>5319</v>
      </c>
      <c r="J1173" t="s">
        <v>5320</v>
      </c>
      <c r="M1173" t="s">
        <v>3338</v>
      </c>
      <c r="N1173" t="s">
        <v>853</v>
      </c>
      <c r="P1173" t="s">
        <v>5321</v>
      </c>
      <c r="Q1173" t="s">
        <v>5322</v>
      </c>
      <c r="R1173">
        <v>7</v>
      </c>
      <c r="S1173">
        <v>16</v>
      </c>
    </row>
    <row r="1174" spans="1:19" x14ac:dyDescent="0.35">
      <c r="A1174">
        <v>7039</v>
      </c>
      <c r="B1174" t="s">
        <v>1803</v>
      </c>
      <c r="C1174" t="s">
        <v>42</v>
      </c>
      <c r="D1174" t="s">
        <v>5323</v>
      </c>
      <c r="E1174" t="e" cm="1">
        <f t="array" ref="E1174">- TIZANIDINE HYDROCHLORIDE</f>
        <v>#NAME?</v>
      </c>
      <c r="F1174" t="s">
        <v>5324</v>
      </c>
      <c r="H1174" t="s">
        <v>5325</v>
      </c>
      <c r="J1174" t="s">
        <v>5326</v>
      </c>
      <c r="M1174" t="s">
        <v>46</v>
      </c>
      <c r="N1174" t="s">
        <v>1806</v>
      </c>
      <c r="P1174" t="s">
        <v>5327</v>
      </c>
      <c r="Q1174" t="s">
        <v>5328</v>
      </c>
      <c r="R1174">
        <v>7</v>
      </c>
      <c r="S1174">
        <v>16</v>
      </c>
    </row>
    <row r="1175" spans="1:19" x14ac:dyDescent="0.35">
      <c r="A1175">
        <v>7018</v>
      </c>
      <c r="B1175" t="s">
        <v>1803</v>
      </c>
      <c r="C1175" t="s">
        <v>42</v>
      </c>
      <c r="D1175" t="s">
        <v>5329</v>
      </c>
      <c r="E1175" t="e" cm="1">
        <f t="array" ref="E1175">- TIZANIDINE HYDROCHLORIDE</f>
        <v>#NAME?</v>
      </c>
      <c r="F1175" t="s">
        <v>5330</v>
      </c>
      <c r="J1175" t="s">
        <v>5331</v>
      </c>
      <c r="M1175" t="s">
        <v>46</v>
      </c>
      <c r="N1175" t="s">
        <v>1806</v>
      </c>
      <c r="P1175" t="s">
        <v>5332</v>
      </c>
      <c r="Q1175" t="s">
        <v>5333</v>
      </c>
      <c r="R1175">
        <v>7</v>
      </c>
      <c r="S1175">
        <v>16</v>
      </c>
    </row>
    <row r="1176" spans="1:19" x14ac:dyDescent="0.35">
      <c r="A1176">
        <v>7017</v>
      </c>
      <c r="B1176" t="s">
        <v>1803</v>
      </c>
      <c r="C1176" t="s">
        <v>42</v>
      </c>
      <c r="D1176" t="s">
        <v>5334</v>
      </c>
      <c r="E1176" t="e" cm="1">
        <f t="array" ref="E1176">- TIZANIDINE HYDROCHLORIDE</f>
        <v>#NAME?</v>
      </c>
      <c r="F1176" s="1">
        <v>35000</v>
      </c>
      <c r="J1176" t="s">
        <v>5335</v>
      </c>
      <c r="M1176" t="s">
        <v>46</v>
      </c>
      <c r="N1176" t="s">
        <v>1806</v>
      </c>
      <c r="P1176" t="s">
        <v>5336</v>
      </c>
      <c r="Q1176" t="s">
        <v>5337</v>
      </c>
      <c r="R1176">
        <v>7</v>
      </c>
      <c r="S1176">
        <v>16</v>
      </c>
    </row>
    <row r="1177" spans="1:19" x14ac:dyDescent="0.35">
      <c r="A1177">
        <v>7016</v>
      </c>
      <c r="B1177" t="s">
        <v>1803</v>
      </c>
      <c r="C1177" t="s">
        <v>42</v>
      </c>
      <c r="D1177" t="s">
        <v>5338</v>
      </c>
      <c r="E1177" t="e" cm="1">
        <f t="array" ref="E1177">- TIZANIDINE HYDROCHLORIDE</f>
        <v>#NAME?</v>
      </c>
      <c r="F1177" t="s">
        <v>5330</v>
      </c>
      <c r="J1177" t="s">
        <v>5339</v>
      </c>
      <c r="M1177" t="s">
        <v>46</v>
      </c>
      <c r="N1177" t="s">
        <v>1806</v>
      </c>
      <c r="P1177" t="s">
        <v>5340</v>
      </c>
      <c r="Q1177" t="s">
        <v>5341</v>
      </c>
      <c r="R1177">
        <v>7</v>
      </c>
      <c r="S1177">
        <v>16</v>
      </c>
    </row>
    <row r="1178" spans="1:19" x14ac:dyDescent="0.35">
      <c r="A1178">
        <v>8490</v>
      </c>
      <c r="B1178" t="s">
        <v>551</v>
      </c>
      <c r="C1178" t="s">
        <v>42</v>
      </c>
      <c r="D1178" t="s">
        <v>5342</v>
      </c>
      <c r="E1178" t="e" cm="1">
        <f t="array" ref="E1178">- POVIDONE-IODINE</f>
        <v>#NAME?</v>
      </c>
      <c r="F1178" s="1">
        <v>22000</v>
      </c>
      <c r="G1178" t="s">
        <v>5343</v>
      </c>
      <c r="I1178" t="s">
        <v>5344</v>
      </c>
      <c r="J1178" t="s">
        <v>5345</v>
      </c>
      <c r="M1178" t="s">
        <v>554</v>
      </c>
      <c r="N1178" t="s">
        <v>555</v>
      </c>
      <c r="O1178" t="s">
        <v>5346</v>
      </c>
      <c r="P1178" t="s">
        <v>5347</v>
      </c>
      <c r="Q1178" t="s">
        <v>5348</v>
      </c>
      <c r="R1178">
        <v>7</v>
      </c>
      <c r="S1178">
        <v>16</v>
      </c>
    </row>
    <row r="1179" spans="1:19" x14ac:dyDescent="0.35">
      <c r="A1179">
        <v>8491</v>
      </c>
      <c r="B1179" t="s">
        <v>551</v>
      </c>
      <c r="C1179" t="s">
        <v>42</v>
      </c>
      <c r="D1179" t="s">
        <v>5342</v>
      </c>
      <c r="E1179" t="e" cm="1">
        <f t="array" ref="E1179">- POVIDONE-IODINE</f>
        <v>#NAME?</v>
      </c>
      <c r="F1179" s="1">
        <v>22000</v>
      </c>
      <c r="G1179" t="s">
        <v>5343</v>
      </c>
      <c r="I1179" t="s">
        <v>5344</v>
      </c>
      <c r="J1179" t="s">
        <v>5345</v>
      </c>
      <c r="M1179" t="s">
        <v>554</v>
      </c>
      <c r="N1179" t="s">
        <v>555</v>
      </c>
      <c r="O1179" t="s">
        <v>5346</v>
      </c>
      <c r="P1179" t="s">
        <v>5347</v>
      </c>
      <c r="Q1179" t="s">
        <v>5348</v>
      </c>
      <c r="R1179">
        <v>7</v>
      </c>
      <c r="S1179">
        <v>16</v>
      </c>
    </row>
    <row r="1180" spans="1:19" x14ac:dyDescent="0.35">
      <c r="A1180">
        <v>7001</v>
      </c>
      <c r="B1180" t="s">
        <v>1803</v>
      </c>
      <c r="C1180" t="s">
        <v>42</v>
      </c>
      <c r="D1180" t="s">
        <v>5349</v>
      </c>
      <c r="E1180" t="e" cm="1">
        <f t="array" ref="E1180">- TIZANIDINE HYDROCHLORIDE</f>
        <v>#NAME?</v>
      </c>
      <c r="F1180" t="s">
        <v>5350</v>
      </c>
      <c r="J1180" t="s">
        <v>5351</v>
      </c>
      <c r="M1180" t="s">
        <v>46</v>
      </c>
      <c r="N1180" t="s">
        <v>1806</v>
      </c>
      <c r="P1180" t="s">
        <v>5327</v>
      </c>
      <c r="Q1180" t="s">
        <v>5328</v>
      </c>
      <c r="R1180">
        <v>7</v>
      </c>
      <c r="S1180">
        <v>16</v>
      </c>
    </row>
    <row r="1181" spans="1:19" x14ac:dyDescent="0.35">
      <c r="A1181">
        <v>7000</v>
      </c>
      <c r="B1181" t="s">
        <v>1803</v>
      </c>
      <c r="C1181" t="s">
        <v>42</v>
      </c>
      <c r="D1181" t="s">
        <v>5352</v>
      </c>
      <c r="E1181" t="e" cm="1">
        <f t="array" ref="E1181">- TIZANIDINE HYDROCHLORIDE</f>
        <v>#NAME?</v>
      </c>
      <c r="F1181" t="s">
        <v>5353</v>
      </c>
      <c r="J1181" t="s">
        <v>5354</v>
      </c>
      <c r="M1181" t="s">
        <v>46</v>
      </c>
      <c r="N1181" t="s">
        <v>1806</v>
      </c>
      <c r="P1181" t="s">
        <v>5327</v>
      </c>
      <c r="Q1181" t="s">
        <v>5328</v>
      </c>
      <c r="R1181">
        <v>7</v>
      </c>
      <c r="S1181">
        <v>16</v>
      </c>
    </row>
    <row r="1182" spans="1:19" x14ac:dyDescent="0.35">
      <c r="A1182">
        <v>6989</v>
      </c>
      <c r="B1182" t="s">
        <v>1803</v>
      </c>
      <c r="C1182" t="s">
        <v>42</v>
      </c>
      <c r="D1182" t="s">
        <v>5355</v>
      </c>
      <c r="E1182" t="e" cm="1">
        <f t="array" ref="E1182">- TIZANIDINE HYDROCHLORIDE</f>
        <v>#NAME?</v>
      </c>
      <c r="F1182" t="s">
        <v>5356</v>
      </c>
      <c r="J1182" t="s">
        <v>5357</v>
      </c>
      <c r="M1182" t="s">
        <v>46</v>
      </c>
      <c r="N1182" t="s">
        <v>1806</v>
      </c>
      <c r="P1182" t="s">
        <v>5358</v>
      </c>
      <c r="Q1182" t="s">
        <v>5359</v>
      </c>
      <c r="R1182">
        <v>7</v>
      </c>
      <c r="S1182">
        <v>16</v>
      </c>
    </row>
    <row r="1183" spans="1:19" x14ac:dyDescent="0.35">
      <c r="A1183">
        <v>222</v>
      </c>
      <c r="B1183" t="s">
        <v>2902</v>
      </c>
      <c r="C1183" t="s">
        <v>42</v>
      </c>
      <c r="D1183" t="s">
        <v>5360</v>
      </c>
      <c r="E1183" t="e" cm="1">
        <f t="array" ref="E1183">- SILDENAFIL CITRATE</f>
        <v>#NAME?</v>
      </c>
      <c r="F1183" t="s">
        <v>5361</v>
      </c>
      <c r="J1183" t="s">
        <v>5362</v>
      </c>
      <c r="M1183" t="s">
        <v>46</v>
      </c>
      <c r="N1183" t="s">
        <v>2519</v>
      </c>
      <c r="P1183" t="s">
        <v>5363</v>
      </c>
      <c r="Q1183" t="s">
        <v>5364</v>
      </c>
      <c r="R1183">
        <v>7</v>
      </c>
      <c r="S1183">
        <v>16</v>
      </c>
    </row>
    <row r="1184" spans="1:19" x14ac:dyDescent="0.35">
      <c r="A1184">
        <v>6978</v>
      </c>
      <c r="B1184" t="s">
        <v>1803</v>
      </c>
      <c r="C1184" t="s">
        <v>42</v>
      </c>
      <c r="D1184" t="s">
        <v>5365</v>
      </c>
      <c r="E1184" t="e" cm="1">
        <f t="array" ref="E1184">- TIZANIDINE HYDROCHLORIDE</f>
        <v>#NAME?</v>
      </c>
      <c r="F1184" t="s">
        <v>5366</v>
      </c>
      <c r="J1184" t="s">
        <v>4166</v>
      </c>
      <c r="M1184" t="s">
        <v>46</v>
      </c>
      <c r="N1184" t="s">
        <v>1806</v>
      </c>
      <c r="P1184" t="s">
        <v>5367</v>
      </c>
      <c r="Q1184" t="s">
        <v>5368</v>
      </c>
      <c r="R1184">
        <v>7</v>
      </c>
      <c r="S1184">
        <v>16</v>
      </c>
    </row>
    <row r="1185" spans="1:19" x14ac:dyDescent="0.35">
      <c r="A1185">
        <v>6977</v>
      </c>
      <c r="B1185" t="s">
        <v>1803</v>
      </c>
      <c r="C1185" t="s">
        <v>42</v>
      </c>
      <c r="D1185" t="s">
        <v>5369</v>
      </c>
      <c r="E1185" t="e" cm="1">
        <f t="array" ref="E1185">- TIZANIDINE HYDROCHLORIDE</f>
        <v>#NAME?</v>
      </c>
      <c r="F1185" t="s">
        <v>5370</v>
      </c>
      <c r="M1185" t="s">
        <v>46</v>
      </c>
      <c r="N1185" t="s">
        <v>1806</v>
      </c>
      <c r="P1185" t="s">
        <v>5371</v>
      </c>
      <c r="Q1185" t="s">
        <v>5372</v>
      </c>
      <c r="R1185">
        <v>7</v>
      </c>
      <c r="S1185">
        <v>16</v>
      </c>
    </row>
    <row r="1186" spans="1:19" x14ac:dyDescent="0.35">
      <c r="A1186">
        <v>8498</v>
      </c>
      <c r="B1186" t="s">
        <v>551</v>
      </c>
      <c r="C1186" t="s">
        <v>42</v>
      </c>
      <c r="D1186" t="s">
        <v>5373</v>
      </c>
      <c r="E1186" t="e" cm="1">
        <f t="array" ref="E1186">- POVIDONE-IODINE</f>
        <v>#NAME?</v>
      </c>
      <c r="F1186" t="s">
        <v>5374</v>
      </c>
      <c r="J1186" t="s">
        <v>5362</v>
      </c>
      <c r="M1186" t="s">
        <v>554</v>
      </c>
      <c r="N1186" t="s">
        <v>555</v>
      </c>
      <c r="P1186" t="s">
        <v>5375</v>
      </c>
      <c r="Q1186" t="s">
        <v>5376</v>
      </c>
      <c r="R1186">
        <v>7</v>
      </c>
      <c r="S1186">
        <v>16</v>
      </c>
    </row>
    <row r="1187" spans="1:19" x14ac:dyDescent="0.35">
      <c r="A1187">
        <v>6968</v>
      </c>
      <c r="B1187" t="s">
        <v>1803</v>
      </c>
      <c r="C1187" t="s">
        <v>42</v>
      </c>
      <c r="D1187" t="s">
        <v>5377</v>
      </c>
      <c r="E1187" t="e" cm="1">
        <f t="array" ref="E1187">- TIZANIDINE HYDROCHLORIDE</f>
        <v>#NAME?</v>
      </c>
      <c r="F1187" t="s">
        <v>787</v>
      </c>
      <c r="J1187" t="s">
        <v>5378</v>
      </c>
      <c r="M1187" t="s">
        <v>46</v>
      </c>
      <c r="N1187" t="s">
        <v>1806</v>
      </c>
      <c r="P1187" t="s">
        <v>5379</v>
      </c>
      <c r="Q1187" t="s">
        <v>5380</v>
      </c>
      <c r="R1187">
        <v>7</v>
      </c>
      <c r="S1187">
        <v>16</v>
      </c>
    </row>
    <row r="1188" spans="1:19" x14ac:dyDescent="0.35">
      <c r="A1188">
        <v>8499</v>
      </c>
      <c r="B1188" t="s">
        <v>551</v>
      </c>
      <c r="C1188" t="s">
        <v>42</v>
      </c>
      <c r="D1188" t="s">
        <v>5373</v>
      </c>
      <c r="E1188" t="e" cm="1">
        <f t="array" ref="E1188">- POVIDONE-IODINE</f>
        <v>#NAME?</v>
      </c>
      <c r="F1188" t="s">
        <v>5374</v>
      </c>
      <c r="J1188" t="s">
        <v>5362</v>
      </c>
      <c r="M1188" t="s">
        <v>554</v>
      </c>
      <c r="N1188" t="s">
        <v>555</v>
      </c>
      <c r="P1188" t="s">
        <v>5375</v>
      </c>
      <c r="Q1188" t="s">
        <v>5376</v>
      </c>
      <c r="R1188">
        <v>7</v>
      </c>
      <c r="S1188">
        <v>16</v>
      </c>
    </row>
    <row r="1189" spans="1:19" x14ac:dyDescent="0.35">
      <c r="A1189">
        <v>8473</v>
      </c>
      <c r="B1189" t="s">
        <v>551</v>
      </c>
      <c r="C1189" t="s">
        <v>42</v>
      </c>
      <c r="D1189" t="s">
        <v>5381</v>
      </c>
      <c r="E1189" t="e" cm="1">
        <f t="array" ref="E1189">- POVIDONE-IODINE</f>
        <v>#NAME?</v>
      </c>
      <c r="F1189" s="1">
        <v>1035800</v>
      </c>
      <c r="J1189" t="s">
        <v>4132</v>
      </c>
      <c r="M1189" t="s">
        <v>554</v>
      </c>
      <c r="N1189" t="s">
        <v>555</v>
      </c>
      <c r="P1189" t="s">
        <v>5382</v>
      </c>
      <c r="Q1189" t="s">
        <v>5383</v>
      </c>
      <c r="R1189">
        <v>7</v>
      </c>
      <c r="S1189">
        <v>16</v>
      </c>
    </row>
    <row r="1190" spans="1:19" x14ac:dyDescent="0.35">
      <c r="A1190">
        <v>6961</v>
      </c>
      <c r="B1190" t="s">
        <v>1803</v>
      </c>
      <c r="C1190" t="s">
        <v>42</v>
      </c>
      <c r="D1190" t="s">
        <v>5384</v>
      </c>
      <c r="E1190" t="e" cm="1">
        <f t="array" ref="E1190">- TIZANIDINE HYDROCHLORIDE</f>
        <v>#NAME?</v>
      </c>
      <c r="F1190" t="s">
        <v>5385</v>
      </c>
      <c r="J1190" t="s">
        <v>5386</v>
      </c>
      <c r="M1190" t="s">
        <v>46</v>
      </c>
      <c r="N1190" t="s">
        <v>1806</v>
      </c>
      <c r="P1190" t="s">
        <v>5387</v>
      </c>
      <c r="Q1190" t="s">
        <v>5388</v>
      </c>
      <c r="R1190">
        <v>7</v>
      </c>
      <c r="S1190">
        <v>16</v>
      </c>
    </row>
    <row r="1191" spans="1:19" x14ac:dyDescent="0.35">
      <c r="A1191">
        <v>8472</v>
      </c>
      <c r="B1191" t="s">
        <v>551</v>
      </c>
      <c r="C1191" t="s">
        <v>42</v>
      </c>
      <c r="D1191" t="s">
        <v>5381</v>
      </c>
      <c r="E1191" t="e" cm="1">
        <f t="array" ref="E1191">- POVIDONE-IODINE</f>
        <v>#NAME?</v>
      </c>
      <c r="F1191" s="1">
        <v>1035800</v>
      </c>
      <c r="J1191" t="s">
        <v>4132</v>
      </c>
      <c r="M1191" t="s">
        <v>554</v>
      </c>
      <c r="N1191" t="s">
        <v>555</v>
      </c>
      <c r="P1191" t="s">
        <v>5382</v>
      </c>
      <c r="Q1191" t="s">
        <v>5383</v>
      </c>
      <c r="R1191">
        <v>7</v>
      </c>
      <c r="S1191">
        <v>16</v>
      </c>
    </row>
    <row r="1192" spans="1:19" x14ac:dyDescent="0.35">
      <c r="A1192">
        <v>7095</v>
      </c>
      <c r="B1192" t="s">
        <v>5389</v>
      </c>
      <c r="C1192" t="s">
        <v>850</v>
      </c>
      <c r="D1192" t="s">
        <v>5390</v>
      </c>
      <c r="E1192" t="e" cm="1">
        <f t="array" ref="E1192">- Camphor</f>
        <v>#NAME?</v>
      </c>
      <c r="F1192" s="1">
        <v>95400</v>
      </c>
      <c r="H1192" t="s">
        <v>5391</v>
      </c>
      <c r="I1192" t="s">
        <v>5392</v>
      </c>
      <c r="J1192" t="s">
        <v>5393</v>
      </c>
      <c r="M1192" t="s">
        <v>1289</v>
      </c>
      <c r="N1192" t="s">
        <v>853</v>
      </c>
      <c r="O1192" t="s">
        <v>5394</v>
      </c>
      <c r="P1192" t="s">
        <v>5395</v>
      </c>
      <c r="Q1192" t="s">
        <v>5396</v>
      </c>
      <c r="R1192">
        <v>7</v>
      </c>
      <c r="S1192">
        <v>16</v>
      </c>
    </row>
    <row r="1193" spans="1:19" x14ac:dyDescent="0.35">
      <c r="A1193">
        <v>7404</v>
      </c>
      <c r="B1193" t="s">
        <v>922</v>
      </c>
      <c r="C1193" t="s">
        <v>42</v>
      </c>
      <c r="D1193" t="s">
        <v>923</v>
      </c>
      <c r="E1193" t="e" cm="1">
        <f t="array" ref="E1193">- THIAMINE HYDROCHLORIDE. PYRIDOXINE HYDROCHLORIDE. CYANOCOBALAMIN</f>
        <v>#NAME?</v>
      </c>
      <c r="F1193" t="s">
        <v>924</v>
      </c>
      <c r="M1193" t="s">
        <v>46</v>
      </c>
      <c r="N1193" t="s">
        <v>5397</v>
      </c>
      <c r="P1193" t="s">
        <v>925</v>
      </c>
      <c r="Q1193" t="s">
        <v>5398</v>
      </c>
      <c r="R1193">
        <v>7</v>
      </c>
      <c r="S1193">
        <v>16</v>
      </c>
    </row>
    <row r="1194" spans="1:19" x14ac:dyDescent="0.35">
      <c r="A1194">
        <v>7398</v>
      </c>
      <c r="B1194" t="s">
        <v>5399</v>
      </c>
      <c r="C1194" t="s">
        <v>42</v>
      </c>
      <c r="D1194" t="s">
        <v>5400</v>
      </c>
      <c r="E1194" t="e" cm="1">
        <f t="array" ref="E1194">- COBAMAMIDE</f>
        <v>#NAME?</v>
      </c>
      <c r="F1194" t="s">
        <v>5401</v>
      </c>
      <c r="G1194" t="s">
        <v>2241</v>
      </c>
      <c r="H1194" t="s">
        <v>5402</v>
      </c>
      <c r="I1194" t="s">
        <v>5403</v>
      </c>
      <c r="J1194" t="s">
        <v>5404</v>
      </c>
      <c r="K1194" t="s">
        <v>2858</v>
      </c>
      <c r="L1194" t="s">
        <v>5405</v>
      </c>
      <c r="M1194" t="s">
        <v>38</v>
      </c>
      <c r="N1194" t="s">
        <v>5406</v>
      </c>
      <c r="O1194" t="s">
        <v>5407</v>
      </c>
      <c r="P1194" t="s">
        <v>5408</v>
      </c>
      <c r="Q1194" t="s">
        <v>5409</v>
      </c>
      <c r="R1194">
        <v>7</v>
      </c>
      <c r="S1194">
        <v>16</v>
      </c>
    </row>
    <row r="1195" spans="1:19" x14ac:dyDescent="0.35">
      <c r="A1195">
        <v>7397</v>
      </c>
      <c r="B1195" t="s">
        <v>5399</v>
      </c>
      <c r="C1195" t="s">
        <v>42</v>
      </c>
      <c r="D1195" t="s">
        <v>5400</v>
      </c>
      <c r="E1195" t="e" cm="1">
        <f t="array" ref="E1195">- COBAMAMIDE</f>
        <v>#NAME?</v>
      </c>
      <c r="F1195" t="s">
        <v>5401</v>
      </c>
      <c r="G1195" t="s">
        <v>2241</v>
      </c>
      <c r="H1195" t="s">
        <v>5402</v>
      </c>
      <c r="I1195" t="s">
        <v>5403</v>
      </c>
      <c r="J1195" t="s">
        <v>5404</v>
      </c>
      <c r="K1195" t="s">
        <v>2858</v>
      </c>
      <c r="L1195" t="s">
        <v>5405</v>
      </c>
      <c r="M1195" t="s">
        <v>38</v>
      </c>
      <c r="N1195" t="s">
        <v>5406</v>
      </c>
      <c r="O1195" t="s">
        <v>5407</v>
      </c>
      <c r="P1195" t="s">
        <v>5408</v>
      </c>
      <c r="Q1195" t="s">
        <v>5409</v>
      </c>
      <c r="R1195">
        <v>7</v>
      </c>
      <c r="S1195">
        <v>16</v>
      </c>
    </row>
    <row r="1196" spans="1:19" x14ac:dyDescent="0.35">
      <c r="A1196">
        <v>7335</v>
      </c>
      <c r="B1196" t="s">
        <v>5410</v>
      </c>
      <c r="C1196" t="s">
        <v>20</v>
      </c>
      <c r="D1196" t="s">
        <v>5411</v>
      </c>
      <c r="E1196" t="s">
        <v>5412</v>
      </c>
      <c r="F1196" t="s">
        <v>5413</v>
      </c>
      <c r="G1196" t="s">
        <v>60</v>
      </c>
      <c r="H1196" t="s">
        <v>5414</v>
      </c>
      <c r="I1196" t="s">
        <v>5415</v>
      </c>
      <c r="J1196" t="s">
        <v>3032</v>
      </c>
      <c r="K1196" t="s">
        <v>2726</v>
      </c>
      <c r="L1196" t="s">
        <v>5416</v>
      </c>
      <c r="M1196" t="s">
        <v>46</v>
      </c>
      <c r="N1196" t="s">
        <v>5417</v>
      </c>
      <c r="O1196" t="s">
        <v>5418</v>
      </c>
      <c r="P1196" t="s">
        <v>5417</v>
      </c>
      <c r="Q1196" t="s">
        <v>5419</v>
      </c>
      <c r="R1196">
        <v>7</v>
      </c>
      <c r="S1196">
        <v>16</v>
      </c>
    </row>
    <row r="1197" spans="1:19" x14ac:dyDescent="0.35">
      <c r="A1197">
        <v>7333</v>
      </c>
      <c r="B1197" t="s">
        <v>5420</v>
      </c>
      <c r="C1197" t="s">
        <v>42</v>
      </c>
      <c r="D1197" t="s">
        <v>5421</v>
      </c>
      <c r="E1197" t="e" cm="1">
        <f t="array" ref="E1197">- ETHINYLESTRADIOL</f>
        <v>#NAME?</v>
      </c>
      <c r="F1197" t="s">
        <v>5422</v>
      </c>
      <c r="H1197" t="s">
        <v>5423</v>
      </c>
      <c r="I1197" t="s">
        <v>5424</v>
      </c>
      <c r="J1197" t="s">
        <v>5425</v>
      </c>
      <c r="K1197" t="s">
        <v>5426</v>
      </c>
      <c r="L1197" t="s">
        <v>5427</v>
      </c>
      <c r="M1197" t="s">
        <v>46</v>
      </c>
      <c r="N1197" t="s">
        <v>5428</v>
      </c>
      <c r="O1197" t="s">
        <v>5429</v>
      </c>
      <c r="P1197" t="s">
        <v>5430</v>
      </c>
      <c r="Q1197" t="s">
        <v>5431</v>
      </c>
      <c r="R1197">
        <v>7</v>
      </c>
      <c r="S1197">
        <v>16</v>
      </c>
    </row>
    <row r="1198" spans="1:19" x14ac:dyDescent="0.35">
      <c r="A1198">
        <v>7317</v>
      </c>
      <c r="B1198" t="s">
        <v>5432</v>
      </c>
      <c r="C1198" t="s">
        <v>42</v>
      </c>
      <c r="D1198" t="s">
        <v>5433</v>
      </c>
      <c r="E1198" t="e" cm="1">
        <f t="array" ref="E1198">- FINASTERIDE</f>
        <v>#NAME?</v>
      </c>
      <c r="F1198" t="s">
        <v>5434</v>
      </c>
      <c r="G1198" t="s">
        <v>546</v>
      </c>
      <c r="H1198" t="s">
        <v>5435</v>
      </c>
      <c r="I1198" t="s">
        <v>5436</v>
      </c>
      <c r="J1198" t="s">
        <v>5437</v>
      </c>
      <c r="K1198" t="s">
        <v>5438</v>
      </c>
      <c r="L1198" t="s">
        <v>5439</v>
      </c>
      <c r="M1198" t="s">
        <v>38</v>
      </c>
      <c r="N1198" t="s">
        <v>5440</v>
      </c>
      <c r="O1198" t="s">
        <v>5441</v>
      </c>
      <c r="P1198" t="s">
        <v>5442</v>
      </c>
      <c r="Q1198" t="s">
        <v>5443</v>
      </c>
      <c r="R1198">
        <v>7</v>
      </c>
      <c r="S1198">
        <v>16</v>
      </c>
    </row>
    <row r="1199" spans="1:19" x14ac:dyDescent="0.35">
      <c r="A1199">
        <v>7316</v>
      </c>
      <c r="B1199" t="s">
        <v>5432</v>
      </c>
      <c r="C1199" t="s">
        <v>42</v>
      </c>
      <c r="D1199" t="s">
        <v>5433</v>
      </c>
      <c r="E1199" t="e" cm="1">
        <f t="array" ref="E1199">- FINASTERIDE</f>
        <v>#NAME?</v>
      </c>
      <c r="F1199" t="s">
        <v>5434</v>
      </c>
      <c r="G1199" t="s">
        <v>546</v>
      </c>
      <c r="H1199" t="s">
        <v>5435</v>
      </c>
      <c r="I1199" t="s">
        <v>5436</v>
      </c>
      <c r="J1199" t="s">
        <v>5437</v>
      </c>
      <c r="K1199" t="s">
        <v>5438</v>
      </c>
      <c r="L1199" t="s">
        <v>5439</v>
      </c>
      <c r="M1199" t="s">
        <v>38</v>
      </c>
      <c r="N1199" t="s">
        <v>5440</v>
      </c>
      <c r="O1199" t="s">
        <v>5441</v>
      </c>
      <c r="P1199" t="s">
        <v>5442</v>
      </c>
      <c r="Q1199" t="s">
        <v>5443</v>
      </c>
      <c r="R1199">
        <v>7</v>
      </c>
      <c r="S1199">
        <v>16</v>
      </c>
    </row>
    <row r="1200" spans="1:19" x14ac:dyDescent="0.35">
      <c r="A1200">
        <v>7262</v>
      </c>
      <c r="B1200" t="s">
        <v>5444</v>
      </c>
      <c r="C1200" t="s">
        <v>20</v>
      </c>
      <c r="D1200" t="s">
        <v>5445</v>
      </c>
      <c r="E1200" t="s">
        <v>5446</v>
      </c>
      <c r="F1200" t="s">
        <v>5447</v>
      </c>
      <c r="J1200" t="s">
        <v>829</v>
      </c>
      <c r="M1200" t="s">
        <v>2115</v>
      </c>
      <c r="N1200" t="s">
        <v>5448</v>
      </c>
      <c r="P1200" t="s">
        <v>5449</v>
      </c>
      <c r="Q1200" t="s">
        <v>5450</v>
      </c>
      <c r="R1200">
        <v>7</v>
      </c>
      <c r="S1200">
        <v>16</v>
      </c>
    </row>
    <row r="1201" spans="1:19" x14ac:dyDescent="0.35">
      <c r="A1201">
        <v>7261</v>
      </c>
      <c r="B1201" t="s">
        <v>5444</v>
      </c>
      <c r="C1201" t="s">
        <v>20</v>
      </c>
      <c r="D1201" t="s">
        <v>5451</v>
      </c>
      <c r="E1201" t="s">
        <v>5446</v>
      </c>
      <c r="F1201" t="s">
        <v>5452</v>
      </c>
      <c r="J1201" t="s">
        <v>1144</v>
      </c>
      <c r="M1201" t="s">
        <v>2115</v>
      </c>
      <c r="N1201" t="s">
        <v>5448</v>
      </c>
      <c r="P1201" t="s">
        <v>5449</v>
      </c>
      <c r="Q1201" t="s">
        <v>5450</v>
      </c>
      <c r="R1201">
        <v>7</v>
      </c>
      <c r="S1201">
        <v>16</v>
      </c>
    </row>
    <row r="1202" spans="1:19" x14ac:dyDescent="0.35">
      <c r="A1202">
        <v>647</v>
      </c>
      <c r="B1202" t="s">
        <v>5453</v>
      </c>
      <c r="C1202" t="s">
        <v>42</v>
      </c>
      <c r="D1202" t="s">
        <v>5454</v>
      </c>
      <c r="E1202" t="e" cm="1">
        <f t="array" ref="E1202">- DEXPANTHENOL</f>
        <v>#NAME?</v>
      </c>
      <c r="F1202" t="s">
        <v>5455</v>
      </c>
      <c r="G1202" t="s">
        <v>5456</v>
      </c>
      <c r="H1202" t="s">
        <v>5457</v>
      </c>
      <c r="I1202" t="s">
        <v>5458</v>
      </c>
      <c r="J1202" t="s">
        <v>5459</v>
      </c>
      <c r="M1202" t="s">
        <v>1289</v>
      </c>
      <c r="N1202" t="s">
        <v>5460</v>
      </c>
      <c r="O1202" t="s">
        <v>5461</v>
      </c>
      <c r="P1202" t="s">
        <v>5462</v>
      </c>
      <c r="Q1202" t="s">
        <v>5463</v>
      </c>
      <c r="R1202">
        <v>7</v>
      </c>
      <c r="S1202">
        <v>16</v>
      </c>
    </row>
    <row r="1203" spans="1:19" x14ac:dyDescent="0.35">
      <c r="A1203">
        <v>648</v>
      </c>
      <c r="B1203" t="s">
        <v>5453</v>
      </c>
      <c r="C1203" t="s">
        <v>42</v>
      </c>
      <c r="D1203" t="s">
        <v>5454</v>
      </c>
      <c r="E1203" t="e" cm="1">
        <f t="array" ref="E1203">- DEXPANTHENOL</f>
        <v>#NAME?</v>
      </c>
      <c r="F1203" t="s">
        <v>5455</v>
      </c>
      <c r="G1203" t="s">
        <v>5456</v>
      </c>
      <c r="H1203" t="s">
        <v>5457</v>
      </c>
      <c r="I1203" t="s">
        <v>5458</v>
      </c>
      <c r="J1203" t="s">
        <v>5459</v>
      </c>
      <c r="M1203" t="s">
        <v>1289</v>
      </c>
      <c r="N1203" t="s">
        <v>5460</v>
      </c>
      <c r="O1203" t="s">
        <v>5461</v>
      </c>
      <c r="P1203" t="s">
        <v>5462</v>
      </c>
      <c r="Q1203" t="s">
        <v>5463</v>
      </c>
      <c r="R1203">
        <v>7</v>
      </c>
      <c r="S1203">
        <v>16</v>
      </c>
    </row>
    <row r="1204" spans="1:19" x14ac:dyDescent="0.35">
      <c r="A1204">
        <v>7248</v>
      </c>
      <c r="B1204" t="s">
        <v>5464</v>
      </c>
      <c r="C1204" t="s">
        <v>850</v>
      </c>
      <c r="D1204" t="s">
        <v>5465</v>
      </c>
      <c r="E1204" t="e" cm="1">
        <f t="array" ref="E1204">- Menthol</f>
        <v>#NAME?</v>
      </c>
      <c r="F1204" t="s">
        <v>5466</v>
      </c>
      <c r="J1204" t="s">
        <v>5467</v>
      </c>
      <c r="M1204" t="s">
        <v>1289</v>
      </c>
      <c r="N1204" t="s">
        <v>2034</v>
      </c>
      <c r="P1204" t="s">
        <v>5468</v>
      </c>
      <c r="Q1204" t="s">
        <v>5469</v>
      </c>
      <c r="R1204">
        <v>7</v>
      </c>
      <c r="S1204">
        <v>16</v>
      </c>
    </row>
    <row r="1205" spans="1:19" x14ac:dyDescent="0.35">
      <c r="A1205">
        <v>7247</v>
      </c>
      <c r="B1205" t="s">
        <v>5464</v>
      </c>
      <c r="C1205" t="s">
        <v>850</v>
      </c>
      <c r="D1205" t="s">
        <v>5465</v>
      </c>
      <c r="E1205" t="e" cm="1">
        <f t="array" ref="E1205">- Menthol</f>
        <v>#NAME?</v>
      </c>
      <c r="F1205" t="s">
        <v>5466</v>
      </c>
      <c r="J1205" t="s">
        <v>5467</v>
      </c>
      <c r="M1205" t="s">
        <v>1289</v>
      </c>
      <c r="N1205" t="s">
        <v>2034</v>
      </c>
      <c r="P1205" t="s">
        <v>5468</v>
      </c>
      <c r="Q1205" t="s">
        <v>5469</v>
      </c>
      <c r="R1205">
        <v>7</v>
      </c>
      <c r="S1205">
        <v>16</v>
      </c>
    </row>
    <row r="1206" spans="1:19" x14ac:dyDescent="0.35">
      <c r="A1206">
        <v>8460</v>
      </c>
      <c r="B1206" t="s">
        <v>551</v>
      </c>
      <c r="C1206" t="s">
        <v>42</v>
      </c>
      <c r="D1206" t="s">
        <v>5470</v>
      </c>
      <c r="E1206" t="e" cm="1">
        <f t="array" ref="E1206">- POVIDONE-IODINE</f>
        <v>#NAME?</v>
      </c>
      <c r="F1206" s="1">
        <v>2571500</v>
      </c>
      <c r="J1206" t="s">
        <v>4132</v>
      </c>
      <c r="M1206" t="s">
        <v>554</v>
      </c>
      <c r="N1206" t="s">
        <v>555</v>
      </c>
      <c r="P1206" t="s">
        <v>5471</v>
      </c>
      <c r="Q1206" t="s">
        <v>5472</v>
      </c>
      <c r="R1206">
        <v>7</v>
      </c>
      <c r="S1206">
        <v>16</v>
      </c>
    </row>
    <row r="1207" spans="1:19" x14ac:dyDescent="0.35">
      <c r="A1207">
        <v>8461</v>
      </c>
      <c r="B1207" t="s">
        <v>551</v>
      </c>
      <c r="C1207" t="s">
        <v>42</v>
      </c>
      <c r="D1207" t="s">
        <v>5470</v>
      </c>
      <c r="E1207" t="e" cm="1">
        <f t="array" ref="E1207">- POVIDONE-IODINE</f>
        <v>#NAME?</v>
      </c>
      <c r="F1207" s="1">
        <v>2571500</v>
      </c>
      <c r="J1207" t="s">
        <v>4132</v>
      </c>
      <c r="M1207" t="s">
        <v>554</v>
      </c>
      <c r="N1207" t="s">
        <v>555</v>
      </c>
      <c r="P1207" t="s">
        <v>5471</v>
      </c>
      <c r="Q1207" t="s">
        <v>5472</v>
      </c>
      <c r="R1207">
        <v>7</v>
      </c>
      <c r="S1207">
        <v>16</v>
      </c>
    </row>
    <row r="1208" spans="1:19" x14ac:dyDescent="0.35">
      <c r="A1208">
        <v>7094</v>
      </c>
      <c r="B1208" t="s">
        <v>5389</v>
      </c>
      <c r="C1208" t="s">
        <v>850</v>
      </c>
      <c r="D1208" t="s">
        <v>5473</v>
      </c>
      <c r="E1208" t="e" cm="1">
        <f t="array" ref="E1208">- Camphor</f>
        <v>#NAME?</v>
      </c>
      <c r="F1208" t="s">
        <v>5474</v>
      </c>
      <c r="H1208" t="s">
        <v>5391</v>
      </c>
      <c r="I1208" t="s">
        <v>5392</v>
      </c>
      <c r="J1208" t="s">
        <v>5475</v>
      </c>
      <c r="M1208" t="s">
        <v>1289</v>
      </c>
      <c r="N1208" t="s">
        <v>853</v>
      </c>
      <c r="O1208" t="s">
        <v>5394</v>
      </c>
      <c r="P1208" t="s">
        <v>5395</v>
      </c>
      <c r="Q1208" t="s">
        <v>5396</v>
      </c>
      <c r="R1208">
        <v>7</v>
      </c>
      <c r="S1208">
        <v>16</v>
      </c>
    </row>
    <row r="1209" spans="1:19" x14ac:dyDescent="0.35">
      <c r="A1209">
        <v>7413</v>
      </c>
      <c r="B1209" t="s">
        <v>5476</v>
      </c>
      <c r="C1209" t="s">
        <v>42</v>
      </c>
      <c r="D1209" t="s">
        <v>5477</v>
      </c>
      <c r="E1209" t="e" cm="1">
        <f t="array" ref="E1209">- THIAMINE NITRATE. PYRIDOXINE HYDROCHLORIDE. CYANOCOBALAMIN</f>
        <v>#NAME?</v>
      </c>
      <c r="F1209" t="s">
        <v>5478</v>
      </c>
      <c r="J1209" t="s">
        <v>908</v>
      </c>
      <c r="M1209" t="s">
        <v>291</v>
      </c>
      <c r="N1209" t="s">
        <v>5479</v>
      </c>
      <c r="P1209" t="s">
        <v>5480</v>
      </c>
      <c r="Q1209" t="s">
        <v>5481</v>
      </c>
      <c r="R1209">
        <v>7</v>
      </c>
      <c r="S1209">
        <v>16</v>
      </c>
    </row>
    <row r="1210" spans="1:19" x14ac:dyDescent="0.35">
      <c r="A1210">
        <v>8518</v>
      </c>
      <c r="B1210" t="s">
        <v>551</v>
      </c>
      <c r="C1210" t="s">
        <v>42</v>
      </c>
      <c r="D1210" t="s">
        <v>5482</v>
      </c>
      <c r="E1210" t="e" cm="1">
        <f t="array" ref="E1210">- POVIDONE-IODINE</f>
        <v>#NAME?</v>
      </c>
      <c r="F1210" t="s">
        <v>5483</v>
      </c>
      <c r="J1210" t="s">
        <v>5484</v>
      </c>
      <c r="M1210" t="s">
        <v>554</v>
      </c>
      <c r="N1210" t="s">
        <v>555</v>
      </c>
      <c r="P1210" t="s">
        <v>5485</v>
      </c>
      <c r="Q1210" t="s">
        <v>5486</v>
      </c>
      <c r="R1210">
        <v>7</v>
      </c>
      <c r="S1210">
        <v>16</v>
      </c>
    </row>
    <row r="1211" spans="1:19" x14ac:dyDescent="0.35">
      <c r="A1211">
        <v>8772</v>
      </c>
      <c r="B1211" t="s">
        <v>2388</v>
      </c>
      <c r="C1211" t="s">
        <v>42</v>
      </c>
      <c r="D1211" t="s">
        <v>5487</v>
      </c>
      <c r="E1211" t="e" cm="1">
        <f t="array" ref="E1211">- PIOGLITAZONE HYDROCHLORIDE</f>
        <v>#NAME?</v>
      </c>
      <c r="F1211" t="s">
        <v>5488</v>
      </c>
      <c r="J1211" t="s">
        <v>5489</v>
      </c>
      <c r="M1211" t="s">
        <v>46</v>
      </c>
      <c r="N1211" t="s">
        <v>2389</v>
      </c>
      <c r="P1211" t="s">
        <v>5490</v>
      </c>
      <c r="Q1211" t="s">
        <v>5491</v>
      </c>
      <c r="R1211">
        <v>7</v>
      </c>
      <c r="S1211">
        <v>16</v>
      </c>
    </row>
    <row r="1212" spans="1:19" x14ac:dyDescent="0.35">
      <c r="A1212">
        <v>6595</v>
      </c>
      <c r="B1212" t="s">
        <v>5492</v>
      </c>
      <c r="C1212" t="s">
        <v>42</v>
      </c>
      <c r="D1212" t="s">
        <v>5493</v>
      </c>
      <c r="E1212" t="e" cm="1">
        <f t="array" ref="E1212">- NYSTATIN</f>
        <v>#NAME?</v>
      </c>
      <c r="F1212" t="s">
        <v>5494</v>
      </c>
      <c r="G1212" t="s">
        <v>5495</v>
      </c>
      <c r="H1212" t="s">
        <v>5496</v>
      </c>
      <c r="I1212" t="s">
        <v>5497</v>
      </c>
      <c r="L1212" t="s">
        <v>270</v>
      </c>
      <c r="M1212" t="s">
        <v>340</v>
      </c>
      <c r="N1212" t="s">
        <v>1818</v>
      </c>
      <c r="O1212" t="s">
        <v>5498</v>
      </c>
      <c r="P1212" t="s">
        <v>5499</v>
      </c>
      <c r="Q1212" t="s">
        <v>5500</v>
      </c>
      <c r="R1212">
        <v>7</v>
      </c>
      <c r="S1212">
        <v>16</v>
      </c>
    </row>
    <row r="1213" spans="1:19" x14ac:dyDescent="0.35">
      <c r="A1213">
        <v>8842</v>
      </c>
      <c r="B1213" t="s">
        <v>3149</v>
      </c>
      <c r="C1213" t="s">
        <v>42</v>
      </c>
      <c r="D1213" t="s">
        <v>3150</v>
      </c>
      <c r="E1213" t="e" cm="1">
        <f t="array" ref="E1213">- DAPAGLIFLOZIN PROPANEDIOL. METFORMIN HYDROCHLORIDE</f>
        <v>#NAME?</v>
      </c>
      <c r="F1213" t="s">
        <v>3151</v>
      </c>
      <c r="J1213" t="s">
        <v>3145</v>
      </c>
      <c r="M1213" t="s">
        <v>46</v>
      </c>
      <c r="N1213" t="s">
        <v>5501</v>
      </c>
      <c r="P1213" t="s">
        <v>3147</v>
      </c>
      <c r="Q1213" t="s">
        <v>5502</v>
      </c>
      <c r="R1213">
        <v>7</v>
      </c>
      <c r="S1213">
        <v>16</v>
      </c>
    </row>
    <row r="1214" spans="1:19" x14ac:dyDescent="0.35">
      <c r="A1214">
        <v>8846</v>
      </c>
      <c r="B1214" t="s">
        <v>3142</v>
      </c>
      <c r="C1214" t="s">
        <v>42</v>
      </c>
      <c r="D1214" t="s">
        <v>3143</v>
      </c>
      <c r="E1214" t="e" cm="1">
        <f t="array" ref="E1214">- DAPAGLIFLOZIN PROPANEDIOL. METFORMIN HYDROCHLORIDE</f>
        <v>#NAME?</v>
      </c>
      <c r="F1214" t="s">
        <v>3144</v>
      </c>
      <c r="J1214" t="s">
        <v>3145</v>
      </c>
      <c r="M1214" t="s">
        <v>46</v>
      </c>
      <c r="N1214" t="s">
        <v>5501</v>
      </c>
      <c r="P1214" t="s">
        <v>3147</v>
      </c>
      <c r="Q1214" t="s">
        <v>5502</v>
      </c>
      <c r="R1214">
        <v>7</v>
      </c>
      <c r="S1214">
        <v>16</v>
      </c>
    </row>
    <row r="1215" spans="1:19" x14ac:dyDescent="0.35">
      <c r="A1215">
        <v>6580</v>
      </c>
      <c r="B1215" t="s">
        <v>5503</v>
      </c>
      <c r="C1215" t="s">
        <v>42</v>
      </c>
      <c r="D1215" t="s">
        <v>5504</v>
      </c>
      <c r="E1215" t="e" cm="1">
        <f t="array" ref="E1215">- ITRACONAZOLE</f>
        <v>#NAME?</v>
      </c>
      <c r="F1215" t="s">
        <v>5505</v>
      </c>
      <c r="G1215" t="s">
        <v>5506</v>
      </c>
      <c r="H1215" t="s">
        <v>5507</v>
      </c>
      <c r="I1215" t="s">
        <v>5508</v>
      </c>
      <c r="J1215" t="s">
        <v>5509</v>
      </c>
      <c r="K1215" t="s">
        <v>5510</v>
      </c>
      <c r="L1215" t="s">
        <v>5511</v>
      </c>
      <c r="M1215" t="s">
        <v>38</v>
      </c>
      <c r="N1215" t="s">
        <v>5512</v>
      </c>
      <c r="O1215" t="s">
        <v>5513</v>
      </c>
      <c r="P1215" t="s">
        <v>5514</v>
      </c>
      <c r="Q1215" t="s">
        <v>5515</v>
      </c>
      <c r="R1215">
        <v>7</v>
      </c>
      <c r="S1215">
        <v>16</v>
      </c>
    </row>
    <row r="1216" spans="1:19" x14ac:dyDescent="0.35">
      <c r="A1216">
        <v>8855</v>
      </c>
      <c r="B1216" t="s">
        <v>5516</v>
      </c>
      <c r="C1216" t="s">
        <v>20</v>
      </c>
      <c r="D1216" t="s">
        <v>5517</v>
      </c>
      <c r="E1216" t="s">
        <v>5518</v>
      </c>
      <c r="F1216" t="s">
        <v>5519</v>
      </c>
      <c r="G1216" t="s">
        <v>5520</v>
      </c>
      <c r="H1216" t="s">
        <v>5521</v>
      </c>
      <c r="I1216" t="s">
        <v>5522</v>
      </c>
      <c r="J1216" t="s">
        <v>374</v>
      </c>
      <c r="N1216" t="s">
        <v>5523</v>
      </c>
      <c r="O1216" t="s">
        <v>5524</v>
      </c>
      <c r="P1216" t="s">
        <v>5523</v>
      </c>
      <c r="Q1216" t="s">
        <v>5525</v>
      </c>
      <c r="R1216">
        <v>7</v>
      </c>
      <c r="S1216">
        <v>16</v>
      </c>
    </row>
    <row r="1217" spans="1:19" x14ac:dyDescent="0.35">
      <c r="A1217">
        <v>8857</v>
      </c>
      <c r="B1217" t="s">
        <v>5526</v>
      </c>
      <c r="C1217" t="s">
        <v>20</v>
      </c>
      <c r="D1217" t="s">
        <v>5527</v>
      </c>
      <c r="E1217" t="s">
        <v>5528</v>
      </c>
      <c r="F1217" t="s">
        <v>5529</v>
      </c>
      <c r="G1217" t="s">
        <v>60</v>
      </c>
      <c r="H1217" t="s">
        <v>5530</v>
      </c>
      <c r="I1217" t="s">
        <v>5531</v>
      </c>
      <c r="J1217" t="s">
        <v>5532</v>
      </c>
      <c r="K1217" t="s">
        <v>5533</v>
      </c>
      <c r="M1217" t="s">
        <v>38</v>
      </c>
      <c r="N1217" t="s">
        <v>5534</v>
      </c>
      <c r="O1217" t="s">
        <v>5535</v>
      </c>
      <c r="P1217" t="s">
        <v>5534</v>
      </c>
      <c r="Q1217" t="s">
        <v>5536</v>
      </c>
      <c r="R1217">
        <v>7</v>
      </c>
      <c r="S1217">
        <v>16</v>
      </c>
    </row>
    <row r="1218" spans="1:19" x14ac:dyDescent="0.35">
      <c r="A1218">
        <v>8858</v>
      </c>
      <c r="B1218" t="s">
        <v>5537</v>
      </c>
      <c r="C1218" t="s">
        <v>20</v>
      </c>
      <c r="D1218" t="s">
        <v>5538</v>
      </c>
      <c r="E1218" t="s">
        <v>5539</v>
      </c>
      <c r="F1218" t="s">
        <v>5540</v>
      </c>
      <c r="I1218" t="s">
        <v>5541</v>
      </c>
      <c r="J1218" t="s">
        <v>5542</v>
      </c>
      <c r="M1218" t="s">
        <v>38</v>
      </c>
      <c r="N1218" t="s">
        <v>5543</v>
      </c>
      <c r="O1218" t="s">
        <v>5544</v>
      </c>
      <c r="P1218" t="s">
        <v>5543</v>
      </c>
      <c r="Q1218" t="s">
        <v>5545</v>
      </c>
      <c r="R1218">
        <v>7</v>
      </c>
      <c r="S1218">
        <v>16</v>
      </c>
    </row>
    <row r="1219" spans="1:19" x14ac:dyDescent="0.35">
      <c r="A1219">
        <v>180</v>
      </c>
      <c r="B1219" t="s">
        <v>2902</v>
      </c>
      <c r="C1219" t="s">
        <v>42</v>
      </c>
      <c r="D1219" t="s">
        <v>5329</v>
      </c>
      <c r="E1219" t="e" cm="1">
        <f t="array" ref="E1219">- SILDENAFIL CITRATE</f>
        <v>#NAME?</v>
      </c>
      <c r="F1219" t="s">
        <v>5330</v>
      </c>
      <c r="J1219" t="s">
        <v>5331</v>
      </c>
      <c r="M1219" t="s">
        <v>46</v>
      </c>
      <c r="N1219" t="s">
        <v>2519</v>
      </c>
      <c r="P1219" t="s">
        <v>5332</v>
      </c>
      <c r="Q1219" t="s">
        <v>5546</v>
      </c>
      <c r="R1219">
        <v>7</v>
      </c>
      <c r="S1219">
        <v>16</v>
      </c>
    </row>
    <row r="1220" spans="1:19" x14ac:dyDescent="0.35">
      <c r="A1220">
        <v>179</v>
      </c>
      <c r="B1220" t="s">
        <v>2902</v>
      </c>
      <c r="C1220" t="s">
        <v>42</v>
      </c>
      <c r="D1220" t="s">
        <v>5334</v>
      </c>
      <c r="E1220" t="e" cm="1">
        <f t="array" ref="E1220">- SILDENAFIL CITRATE</f>
        <v>#NAME?</v>
      </c>
      <c r="F1220" s="1">
        <v>35000</v>
      </c>
      <c r="J1220" t="s">
        <v>5335</v>
      </c>
      <c r="M1220" t="s">
        <v>46</v>
      </c>
      <c r="N1220" t="s">
        <v>2519</v>
      </c>
      <c r="P1220" t="s">
        <v>5336</v>
      </c>
      <c r="Q1220" t="s">
        <v>5547</v>
      </c>
      <c r="R1220">
        <v>7</v>
      </c>
      <c r="S1220">
        <v>16</v>
      </c>
    </row>
    <row r="1221" spans="1:19" x14ac:dyDescent="0.35">
      <c r="A1221">
        <v>178</v>
      </c>
      <c r="B1221" t="s">
        <v>2902</v>
      </c>
      <c r="C1221" t="s">
        <v>42</v>
      </c>
      <c r="D1221" t="s">
        <v>5338</v>
      </c>
      <c r="E1221" t="e" cm="1">
        <f t="array" ref="E1221">- SILDENAFIL CITRATE</f>
        <v>#NAME?</v>
      </c>
      <c r="F1221" t="s">
        <v>5330</v>
      </c>
      <c r="J1221" t="s">
        <v>5339</v>
      </c>
      <c r="M1221" t="s">
        <v>46</v>
      </c>
      <c r="N1221" t="s">
        <v>2519</v>
      </c>
      <c r="P1221" t="s">
        <v>5340</v>
      </c>
      <c r="Q1221" t="s">
        <v>5548</v>
      </c>
      <c r="R1221">
        <v>7</v>
      </c>
      <c r="S1221">
        <v>16</v>
      </c>
    </row>
    <row r="1222" spans="1:19" x14ac:dyDescent="0.35">
      <c r="A1222">
        <v>8967</v>
      </c>
      <c r="B1222" t="s">
        <v>5549</v>
      </c>
      <c r="C1222" t="s">
        <v>42</v>
      </c>
      <c r="D1222" t="s">
        <v>5550</v>
      </c>
      <c r="E1222" t="e" cm="1">
        <f t="array" ref="E1222">- NEBIVOLOL</f>
        <v>#NAME?</v>
      </c>
      <c r="F1222" t="s">
        <v>5551</v>
      </c>
      <c r="G1222" t="s">
        <v>5552</v>
      </c>
      <c r="H1222" t="s">
        <v>5553</v>
      </c>
      <c r="I1222" t="s">
        <v>5554</v>
      </c>
      <c r="J1222" t="s">
        <v>599</v>
      </c>
      <c r="K1222" t="s">
        <v>5555</v>
      </c>
    </row>
    <row r="1223" spans="1:19" x14ac:dyDescent="0.35">
      <c r="A1223">
        <v>8969</v>
      </c>
      <c r="B1223" t="s">
        <v>5556</v>
      </c>
      <c r="C1223" t="s">
        <v>42</v>
      </c>
      <c r="D1223" t="s">
        <v>5557</v>
      </c>
      <c r="E1223" t="e" cm="1">
        <f t="array" ref="E1223">- SPIRONOLACTONE</f>
        <v>#NAME?</v>
      </c>
      <c r="F1223" t="s">
        <v>5558</v>
      </c>
      <c r="G1223" t="s">
        <v>5559</v>
      </c>
      <c r="H1223" t="s">
        <v>319</v>
      </c>
      <c r="I1223" t="s">
        <v>5560</v>
      </c>
      <c r="J1223" t="s">
        <v>5085</v>
      </c>
      <c r="K1223" t="s">
        <v>5561</v>
      </c>
      <c r="L1223" t="s">
        <v>321</v>
      </c>
      <c r="M1223" t="s">
        <v>46</v>
      </c>
      <c r="N1223" t="s">
        <v>2538</v>
      </c>
      <c r="O1223" t="s">
        <v>5562</v>
      </c>
      <c r="P1223" t="s">
        <v>2538</v>
      </c>
      <c r="Q1223" t="s">
        <v>5563</v>
      </c>
      <c r="R1223">
        <v>7</v>
      </c>
      <c r="S1223">
        <v>16</v>
      </c>
    </row>
    <row r="1224" spans="1:19" x14ac:dyDescent="0.35">
      <c r="A1224">
        <v>163</v>
      </c>
      <c r="B1224" t="s">
        <v>2902</v>
      </c>
      <c r="C1224" t="s">
        <v>42</v>
      </c>
      <c r="D1224" t="s">
        <v>5349</v>
      </c>
      <c r="E1224" t="e" cm="1">
        <f t="array" ref="E1224">- SILDENAFIL CITRATE</f>
        <v>#NAME?</v>
      </c>
      <c r="F1224" t="s">
        <v>5350</v>
      </c>
      <c r="J1224" t="s">
        <v>5351</v>
      </c>
      <c r="M1224" t="s">
        <v>46</v>
      </c>
      <c r="N1224" t="s">
        <v>2519</v>
      </c>
      <c r="P1224" t="s">
        <v>5327</v>
      </c>
      <c r="Q1224" t="s">
        <v>5564</v>
      </c>
      <c r="R1224">
        <v>7</v>
      </c>
      <c r="S1224">
        <v>16</v>
      </c>
    </row>
    <row r="1225" spans="1:19" x14ac:dyDescent="0.35">
      <c r="A1225">
        <v>162</v>
      </c>
      <c r="B1225" t="s">
        <v>2902</v>
      </c>
      <c r="C1225" t="s">
        <v>42</v>
      </c>
      <c r="D1225" t="s">
        <v>5352</v>
      </c>
      <c r="E1225" t="e" cm="1">
        <f t="array" ref="E1225">- SILDENAFIL CITRATE</f>
        <v>#NAME?</v>
      </c>
      <c r="F1225" t="s">
        <v>5353</v>
      </c>
      <c r="J1225" t="s">
        <v>5354</v>
      </c>
      <c r="M1225" t="s">
        <v>46</v>
      </c>
      <c r="N1225" t="s">
        <v>2519</v>
      </c>
      <c r="P1225" t="s">
        <v>5327</v>
      </c>
      <c r="Q1225" t="s">
        <v>5564</v>
      </c>
      <c r="R1225">
        <v>7</v>
      </c>
      <c r="S1225">
        <v>16</v>
      </c>
    </row>
    <row r="1226" spans="1:19" x14ac:dyDescent="0.35">
      <c r="A1226">
        <v>6449</v>
      </c>
      <c r="B1226" t="s">
        <v>5565</v>
      </c>
      <c r="C1226" t="s">
        <v>42</v>
      </c>
      <c r="D1226" t="s">
        <v>5566</v>
      </c>
      <c r="E1226" t="e" cm="1">
        <f t="array" ref="E1226">- THIAMPHENICOL</f>
        <v>#NAME?</v>
      </c>
      <c r="F1226" t="s">
        <v>5567</v>
      </c>
      <c r="G1226" t="s">
        <v>5568</v>
      </c>
      <c r="H1226" t="s">
        <v>5569</v>
      </c>
      <c r="I1226" t="s">
        <v>5570</v>
      </c>
      <c r="J1226" t="s">
        <v>5571</v>
      </c>
      <c r="K1226" t="s">
        <v>5572</v>
      </c>
      <c r="L1226" t="s">
        <v>5573</v>
      </c>
      <c r="M1226" t="s">
        <v>340</v>
      </c>
      <c r="N1226" t="s">
        <v>272</v>
      </c>
      <c r="O1226" t="s">
        <v>5574</v>
      </c>
      <c r="P1226" t="s">
        <v>5575</v>
      </c>
      <c r="Q1226" t="s">
        <v>5576</v>
      </c>
      <c r="R1226">
        <v>7</v>
      </c>
      <c r="S1226">
        <v>16</v>
      </c>
    </row>
    <row r="1227" spans="1:19" x14ac:dyDescent="0.35">
      <c r="A1227">
        <v>8813</v>
      </c>
      <c r="B1227" t="s">
        <v>2388</v>
      </c>
      <c r="C1227" t="s">
        <v>42</v>
      </c>
      <c r="D1227" t="s">
        <v>5577</v>
      </c>
      <c r="E1227" t="e" cm="1">
        <f t="array" ref="E1227">- PIOGLITAZONE HYDROCHLORIDE</f>
        <v>#NAME?</v>
      </c>
      <c r="F1227" t="s">
        <v>5578</v>
      </c>
      <c r="J1227" t="s">
        <v>5579</v>
      </c>
      <c r="M1227" t="s">
        <v>46</v>
      </c>
      <c r="N1227" t="s">
        <v>2389</v>
      </c>
      <c r="P1227" t="s">
        <v>5580</v>
      </c>
      <c r="Q1227" t="s">
        <v>5581</v>
      </c>
      <c r="R1227">
        <v>7</v>
      </c>
      <c r="S1227">
        <v>16</v>
      </c>
    </row>
    <row r="1228" spans="1:19" x14ac:dyDescent="0.35">
      <c r="A1228">
        <v>8519</v>
      </c>
      <c r="B1228" t="s">
        <v>551</v>
      </c>
      <c r="C1228" t="s">
        <v>42</v>
      </c>
      <c r="D1228" t="s">
        <v>5482</v>
      </c>
      <c r="E1228" t="e" cm="1">
        <f t="array" ref="E1228">- POVIDONE-IODINE</f>
        <v>#NAME?</v>
      </c>
      <c r="F1228" t="s">
        <v>5483</v>
      </c>
      <c r="J1228" t="s">
        <v>5484</v>
      </c>
      <c r="M1228" t="s">
        <v>554</v>
      </c>
      <c r="N1228" t="s">
        <v>555</v>
      </c>
      <c r="P1228" t="s">
        <v>5485</v>
      </c>
      <c r="Q1228" t="s">
        <v>5486</v>
      </c>
      <c r="R1228">
        <v>7</v>
      </c>
      <c r="S1228">
        <v>16</v>
      </c>
    </row>
    <row r="1229" spans="1:19" x14ac:dyDescent="0.35">
      <c r="A1229">
        <v>6685</v>
      </c>
      <c r="B1229" t="s">
        <v>5582</v>
      </c>
      <c r="C1229" t="s">
        <v>42</v>
      </c>
      <c r="D1229" t="s">
        <v>5583</v>
      </c>
      <c r="E1229" t="e" cm="1">
        <f t="array" ref="E1229">- NIRMATRELVIR. RITONAVIR</f>
        <v>#NAME?</v>
      </c>
      <c r="F1229" s="1">
        <v>6017700</v>
      </c>
      <c r="G1229" t="s">
        <v>5584</v>
      </c>
      <c r="H1229" t="s">
        <v>5585</v>
      </c>
      <c r="I1229" t="s">
        <v>5586</v>
      </c>
      <c r="J1229" t="s">
        <v>5587</v>
      </c>
      <c r="K1229" t="s">
        <v>5588</v>
      </c>
    </row>
    <row r="1230" spans="1:19" x14ac:dyDescent="0.35">
      <c r="A1230">
        <v>8812</v>
      </c>
      <c r="B1230" t="s">
        <v>2388</v>
      </c>
      <c r="C1230" t="s">
        <v>42</v>
      </c>
      <c r="D1230" t="s">
        <v>5589</v>
      </c>
      <c r="E1230" t="e" cm="1">
        <f t="array" ref="E1230">- PIOGLITAZONE HYDROCHLORIDE</f>
        <v>#NAME?</v>
      </c>
      <c r="F1230" t="s">
        <v>5590</v>
      </c>
      <c r="M1230" t="s">
        <v>46</v>
      </c>
      <c r="N1230" t="s">
        <v>2389</v>
      </c>
      <c r="P1230" t="s">
        <v>5591</v>
      </c>
      <c r="Q1230" t="s">
        <v>5592</v>
      </c>
      <c r="R1230">
        <v>7</v>
      </c>
      <c r="S1230">
        <v>16</v>
      </c>
    </row>
    <row r="1231" spans="1:19" x14ac:dyDescent="0.35">
      <c r="A1231">
        <v>8780</v>
      </c>
      <c r="B1231" t="s">
        <v>2388</v>
      </c>
      <c r="C1231" t="s">
        <v>42</v>
      </c>
      <c r="D1231" t="s">
        <v>5593</v>
      </c>
      <c r="E1231" t="e" cm="1">
        <f t="array" ref="E1231">- PIOGLITAZONE HYDROCHLORIDE</f>
        <v>#NAME?</v>
      </c>
      <c r="F1231" t="s">
        <v>5594</v>
      </c>
      <c r="H1231" t="s">
        <v>1322</v>
      </c>
      <c r="J1231" t="s">
        <v>5595</v>
      </c>
      <c r="M1231" t="s">
        <v>46</v>
      </c>
      <c r="N1231" t="s">
        <v>2389</v>
      </c>
      <c r="P1231" t="s">
        <v>5596</v>
      </c>
      <c r="Q1231" t="s">
        <v>5597</v>
      </c>
      <c r="R1231">
        <v>7</v>
      </c>
      <c r="S1231">
        <v>16</v>
      </c>
    </row>
    <row r="1232" spans="1:19" x14ac:dyDescent="0.35">
      <c r="A1232">
        <v>6910</v>
      </c>
      <c r="B1232" t="s">
        <v>1803</v>
      </c>
      <c r="C1232" t="s">
        <v>42</v>
      </c>
      <c r="D1232" t="s">
        <v>5598</v>
      </c>
      <c r="E1232" t="e" cm="1">
        <f t="array" ref="E1232">- TIZANIDINE HYDROCHLORIDE</f>
        <v>#NAME?</v>
      </c>
      <c r="F1232" t="s">
        <v>5599</v>
      </c>
      <c r="G1232" t="s">
        <v>5600</v>
      </c>
      <c r="H1232" t="s">
        <v>1322</v>
      </c>
      <c r="I1232" t="s">
        <v>5601</v>
      </c>
      <c r="J1232" t="s">
        <v>5602</v>
      </c>
      <c r="M1232" t="s">
        <v>46</v>
      </c>
      <c r="N1232" t="s">
        <v>1806</v>
      </c>
      <c r="O1232" t="s">
        <v>5603</v>
      </c>
      <c r="P1232" t="s">
        <v>5604</v>
      </c>
      <c r="Q1232" t="s">
        <v>5605</v>
      </c>
      <c r="R1232">
        <v>7</v>
      </c>
      <c r="S1232">
        <v>16</v>
      </c>
    </row>
    <row r="1233" spans="1:19" x14ac:dyDescent="0.35">
      <c r="A1233">
        <v>6796</v>
      </c>
      <c r="B1233" t="s">
        <v>5606</v>
      </c>
      <c r="C1233" t="s">
        <v>20</v>
      </c>
      <c r="D1233" t="s">
        <v>5607</v>
      </c>
      <c r="E1233" t="s">
        <v>5608</v>
      </c>
      <c r="F1233" t="s">
        <v>5609</v>
      </c>
      <c r="G1233" t="s">
        <v>5610</v>
      </c>
      <c r="H1233" t="s">
        <v>5611</v>
      </c>
      <c r="I1233" t="s">
        <v>5612</v>
      </c>
      <c r="J1233" t="s">
        <v>5613</v>
      </c>
      <c r="K1233" t="s">
        <v>3473</v>
      </c>
      <c r="M1233" t="s">
        <v>38</v>
      </c>
      <c r="N1233" t="s">
        <v>5614</v>
      </c>
      <c r="O1233" t="s">
        <v>5615</v>
      </c>
      <c r="P1233" t="s">
        <v>5614</v>
      </c>
      <c r="Q1233" t="s">
        <v>5616</v>
      </c>
      <c r="R1233">
        <v>7</v>
      </c>
      <c r="S1233">
        <v>16</v>
      </c>
    </row>
    <row r="1234" spans="1:19" x14ac:dyDescent="0.35">
      <c r="A1234">
        <v>6778</v>
      </c>
      <c r="B1234" t="s">
        <v>5617</v>
      </c>
      <c r="C1234" t="s">
        <v>42</v>
      </c>
      <c r="D1234" t="s">
        <v>5618</v>
      </c>
      <c r="E1234" t="e" cm="1">
        <f t="array" ref="E1234">- LEFLUNOMIDE</f>
        <v>#NAME?</v>
      </c>
      <c r="F1234" t="s">
        <v>5619</v>
      </c>
      <c r="G1234" t="s">
        <v>1691</v>
      </c>
      <c r="H1234" t="s">
        <v>5620</v>
      </c>
      <c r="I1234" t="s">
        <v>5621</v>
      </c>
      <c r="J1234" t="s">
        <v>5622</v>
      </c>
      <c r="K1234" t="s">
        <v>5623</v>
      </c>
      <c r="L1234" t="s">
        <v>5624</v>
      </c>
      <c r="M1234" t="s">
        <v>46</v>
      </c>
      <c r="N1234" t="s">
        <v>5625</v>
      </c>
      <c r="O1234" t="s">
        <v>5626</v>
      </c>
      <c r="P1234" t="s">
        <v>5627</v>
      </c>
      <c r="Q1234" t="s">
        <v>5628</v>
      </c>
      <c r="R1234">
        <v>7</v>
      </c>
      <c r="S1234">
        <v>16</v>
      </c>
    </row>
    <row r="1235" spans="1:19" x14ac:dyDescent="0.35">
      <c r="A1235">
        <v>6777</v>
      </c>
      <c r="B1235" t="s">
        <v>5617</v>
      </c>
      <c r="C1235" t="s">
        <v>42</v>
      </c>
      <c r="D1235" t="s">
        <v>5618</v>
      </c>
      <c r="E1235" t="e" cm="1">
        <f t="array" ref="E1235">- LEFLUNOMIDE</f>
        <v>#NAME?</v>
      </c>
      <c r="F1235" t="s">
        <v>5619</v>
      </c>
      <c r="G1235" t="s">
        <v>1691</v>
      </c>
      <c r="H1235" t="s">
        <v>5620</v>
      </c>
      <c r="I1235" t="s">
        <v>5621</v>
      </c>
      <c r="J1235" t="s">
        <v>5622</v>
      </c>
      <c r="K1235" t="s">
        <v>5623</v>
      </c>
      <c r="L1235" t="s">
        <v>5624</v>
      </c>
      <c r="M1235" t="s">
        <v>46</v>
      </c>
      <c r="N1235" t="s">
        <v>5625</v>
      </c>
      <c r="O1235" t="s">
        <v>5626</v>
      </c>
      <c r="P1235" t="s">
        <v>5627</v>
      </c>
      <c r="Q1235" t="s">
        <v>5628</v>
      </c>
      <c r="R1235">
        <v>7</v>
      </c>
      <c r="S1235">
        <v>16</v>
      </c>
    </row>
    <row r="1236" spans="1:19" x14ac:dyDescent="0.35">
      <c r="A1236">
        <v>6776</v>
      </c>
      <c r="B1236" t="s">
        <v>5617</v>
      </c>
      <c r="C1236" t="s">
        <v>42</v>
      </c>
      <c r="D1236" t="s">
        <v>5618</v>
      </c>
      <c r="E1236" t="e" cm="1">
        <f t="array" ref="E1236">- LEFLUNOMIDE</f>
        <v>#NAME?</v>
      </c>
      <c r="F1236" t="s">
        <v>5619</v>
      </c>
      <c r="G1236" t="s">
        <v>1691</v>
      </c>
      <c r="H1236" t="s">
        <v>5620</v>
      </c>
      <c r="I1236" t="s">
        <v>5621</v>
      </c>
      <c r="J1236" t="s">
        <v>5622</v>
      </c>
      <c r="K1236" t="s">
        <v>5623</v>
      </c>
      <c r="L1236" t="s">
        <v>5624</v>
      </c>
      <c r="M1236" t="s">
        <v>46</v>
      </c>
      <c r="N1236" t="s">
        <v>5625</v>
      </c>
      <c r="O1236" t="s">
        <v>5626</v>
      </c>
      <c r="P1236" t="s">
        <v>5627</v>
      </c>
      <c r="Q1236" t="s">
        <v>5628</v>
      </c>
      <c r="R1236">
        <v>7</v>
      </c>
      <c r="S1236">
        <v>16</v>
      </c>
    </row>
    <row r="1237" spans="1:19" x14ac:dyDescent="0.35">
      <c r="A1237">
        <v>6719</v>
      </c>
      <c r="B1237" t="s">
        <v>351</v>
      </c>
      <c r="C1237" t="s">
        <v>20</v>
      </c>
      <c r="D1237" t="s">
        <v>5629</v>
      </c>
      <c r="E1237" t="s">
        <v>353</v>
      </c>
      <c r="F1237" t="s">
        <v>5630</v>
      </c>
      <c r="I1237" t="s">
        <v>5631</v>
      </c>
      <c r="J1237" t="s">
        <v>107</v>
      </c>
      <c r="M1237" t="s">
        <v>38</v>
      </c>
      <c r="N1237" t="s">
        <v>356</v>
      </c>
      <c r="O1237" t="s">
        <v>5632</v>
      </c>
      <c r="P1237" t="s">
        <v>356</v>
      </c>
      <c r="Q1237" t="s">
        <v>5633</v>
      </c>
      <c r="R1237">
        <v>7</v>
      </c>
      <c r="S1237">
        <v>16</v>
      </c>
    </row>
    <row r="1238" spans="1:19" x14ac:dyDescent="0.35">
      <c r="A1238">
        <v>201</v>
      </c>
      <c r="B1238" t="s">
        <v>2902</v>
      </c>
      <c r="C1238" t="s">
        <v>42</v>
      </c>
      <c r="D1238" t="s">
        <v>5323</v>
      </c>
      <c r="E1238" t="e" cm="1">
        <f t="array" ref="E1238">- SILDENAFIL CITRATE</f>
        <v>#NAME?</v>
      </c>
      <c r="F1238" t="s">
        <v>5324</v>
      </c>
      <c r="H1238" t="s">
        <v>5325</v>
      </c>
      <c r="J1238" t="s">
        <v>5326</v>
      </c>
      <c r="M1238" t="s">
        <v>46</v>
      </c>
      <c r="N1238" t="s">
        <v>2519</v>
      </c>
      <c r="P1238" t="s">
        <v>5327</v>
      </c>
      <c r="Q1238" t="s">
        <v>5564</v>
      </c>
      <c r="R1238">
        <v>7</v>
      </c>
      <c r="S1238">
        <v>16</v>
      </c>
    </row>
    <row r="1239" spans="1:19" x14ac:dyDescent="0.35">
      <c r="A1239">
        <v>8809</v>
      </c>
      <c r="B1239" t="s">
        <v>2388</v>
      </c>
      <c r="C1239" t="s">
        <v>42</v>
      </c>
      <c r="D1239" t="s">
        <v>5634</v>
      </c>
      <c r="E1239" t="e" cm="1">
        <f t="array" ref="E1239">- PIOGLITAZONE HYDROCHLORIDE</f>
        <v>#NAME?</v>
      </c>
      <c r="F1239" t="s">
        <v>5635</v>
      </c>
      <c r="J1239" t="s">
        <v>5636</v>
      </c>
      <c r="M1239" t="s">
        <v>46</v>
      </c>
      <c r="N1239" t="s">
        <v>2389</v>
      </c>
      <c r="P1239" t="s">
        <v>5637</v>
      </c>
      <c r="Q1239" t="s">
        <v>5638</v>
      </c>
      <c r="R1239">
        <v>7</v>
      </c>
      <c r="S1239">
        <v>16</v>
      </c>
    </row>
    <row r="1240" spans="1:19" x14ac:dyDescent="0.35">
      <c r="A1240">
        <v>8810</v>
      </c>
      <c r="B1240" t="s">
        <v>2388</v>
      </c>
      <c r="C1240" t="s">
        <v>42</v>
      </c>
      <c r="D1240" t="s">
        <v>5639</v>
      </c>
      <c r="E1240" t="e" cm="1">
        <f t="array" ref="E1240">- PIOGLITAZONE HYDROCHLORIDE</f>
        <v>#NAME?</v>
      </c>
      <c r="F1240" t="s">
        <v>5640</v>
      </c>
      <c r="M1240" t="s">
        <v>46</v>
      </c>
      <c r="N1240" t="s">
        <v>2389</v>
      </c>
      <c r="P1240" t="s">
        <v>5591</v>
      </c>
      <c r="Q1240" t="s">
        <v>5592</v>
      </c>
      <c r="R1240">
        <v>7</v>
      </c>
      <c r="S1240">
        <v>16</v>
      </c>
    </row>
    <row r="1241" spans="1:19" x14ac:dyDescent="0.35">
      <c r="A1241">
        <v>8811</v>
      </c>
      <c r="B1241" t="s">
        <v>2388</v>
      </c>
      <c r="C1241" t="s">
        <v>42</v>
      </c>
      <c r="D1241" t="s">
        <v>5641</v>
      </c>
      <c r="E1241" t="e" cm="1">
        <f t="array" ref="E1241">- PIOGLITAZONE HYDROCHLORIDE</f>
        <v>#NAME?</v>
      </c>
      <c r="F1241" t="s">
        <v>5642</v>
      </c>
      <c r="M1241" t="s">
        <v>46</v>
      </c>
      <c r="N1241" t="s">
        <v>2389</v>
      </c>
      <c r="P1241" t="s">
        <v>5591</v>
      </c>
      <c r="Q1241" t="s">
        <v>5592</v>
      </c>
      <c r="R1241">
        <v>7</v>
      </c>
      <c r="S1241">
        <v>16</v>
      </c>
    </row>
    <row r="1242" spans="1:19" x14ac:dyDescent="0.35">
      <c r="A1242">
        <v>6699</v>
      </c>
      <c r="B1242" t="s">
        <v>5643</v>
      </c>
      <c r="C1242" t="s">
        <v>42</v>
      </c>
      <c r="D1242" t="s">
        <v>5644</v>
      </c>
      <c r="E1242" t="e" cm="1">
        <f t="array" ref="E1242">- METHISOPRINOL</f>
        <v>#NAME?</v>
      </c>
      <c r="F1242" t="s">
        <v>5645</v>
      </c>
      <c r="G1242" t="s">
        <v>5646</v>
      </c>
      <c r="H1242" t="s">
        <v>5647</v>
      </c>
      <c r="I1242" t="s">
        <v>5648</v>
      </c>
      <c r="J1242" t="s">
        <v>334</v>
      </c>
      <c r="L1242" t="s">
        <v>5649</v>
      </c>
      <c r="M1242" t="s">
        <v>271</v>
      </c>
      <c r="N1242" t="s">
        <v>322</v>
      </c>
      <c r="O1242" t="s">
        <v>5650</v>
      </c>
      <c r="P1242" t="s">
        <v>5651</v>
      </c>
      <c r="Q1242" t="s">
        <v>5652</v>
      </c>
      <c r="R1242">
        <v>7</v>
      </c>
      <c r="S1242">
        <v>16</v>
      </c>
    </row>
    <row r="1243" spans="1:19" x14ac:dyDescent="0.35">
      <c r="A1243">
        <v>6698</v>
      </c>
      <c r="B1243" t="s">
        <v>5643</v>
      </c>
      <c r="C1243" t="s">
        <v>42</v>
      </c>
      <c r="D1243" t="s">
        <v>5644</v>
      </c>
      <c r="E1243" t="e" cm="1">
        <f t="array" ref="E1243">- METHISOPRINOL</f>
        <v>#NAME?</v>
      </c>
      <c r="F1243" t="s">
        <v>5645</v>
      </c>
      <c r="G1243" t="s">
        <v>5646</v>
      </c>
      <c r="H1243" t="s">
        <v>5647</v>
      </c>
      <c r="I1243" t="s">
        <v>5648</v>
      </c>
      <c r="J1243" t="s">
        <v>334</v>
      </c>
      <c r="L1243" t="s">
        <v>5649</v>
      </c>
      <c r="M1243" t="s">
        <v>271</v>
      </c>
      <c r="N1243" t="s">
        <v>322</v>
      </c>
      <c r="O1243" t="s">
        <v>5650</v>
      </c>
      <c r="P1243" t="s">
        <v>5651</v>
      </c>
      <c r="Q1243" t="s">
        <v>5652</v>
      </c>
      <c r="R1243">
        <v>7</v>
      </c>
      <c r="S1243">
        <v>16</v>
      </c>
    </row>
    <row r="1244" spans="1:19" x14ac:dyDescent="0.35">
      <c r="A1244">
        <v>6697</v>
      </c>
      <c r="B1244" t="s">
        <v>5643</v>
      </c>
      <c r="C1244" t="s">
        <v>42</v>
      </c>
      <c r="D1244" t="s">
        <v>5644</v>
      </c>
      <c r="E1244" t="e" cm="1">
        <f t="array" ref="E1244">- METHISOPRINOL</f>
        <v>#NAME?</v>
      </c>
      <c r="F1244" t="s">
        <v>5645</v>
      </c>
      <c r="G1244" t="s">
        <v>5646</v>
      </c>
      <c r="H1244" t="s">
        <v>5647</v>
      </c>
      <c r="I1244" t="s">
        <v>5648</v>
      </c>
      <c r="J1244" t="s">
        <v>334</v>
      </c>
      <c r="L1244" t="s">
        <v>5649</v>
      </c>
      <c r="M1244" t="s">
        <v>271</v>
      </c>
      <c r="N1244" t="s">
        <v>322</v>
      </c>
      <c r="O1244" t="s">
        <v>5650</v>
      </c>
      <c r="P1244" t="s">
        <v>5651</v>
      </c>
      <c r="Q1244" t="s">
        <v>5652</v>
      </c>
      <c r="R1244">
        <v>7</v>
      </c>
      <c r="S1244">
        <v>16</v>
      </c>
    </row>
    <row r="1245" spans="1:19" x14ac:dyDescent="0.35">
      <c r="A1245">
        <v>8170</v>
      </c>
      <c r="B1245" t="s">
        <v>551</v>
      </c>
      <c r="C1245" t="s">
        <v>42</v>
      </c>
      <c r="D1245" t="s">
        <v>5653</v>
      </c>
      <c r="E1245" t="e" cm="1">
        <f t="array" ref="E1245">- POVIDONE-IODINE</f>
        <v>#NAME?</v>
      </c>
      <c r="F1245" s="1">
        <v>96800</v>
      </c>
      <c r="G1245" t="s">
        <v>5654</v>
      </c>
      <c r="H1245" t="s">
        <v>1322</v>
      </c>
      <c r="I1245" t="s">
        <v>5655</v>
      </c>
      <c r="J1245" t="s">
        <v>5656</v>
      </c>
      <c r="M1245" t="s">
        <v>554</v>
      </c>
      <c r="N1245" t="s">
        <v>555</v>
      </c>
      <c r="O1245" t="s">
        <v>5657</v>
      </c>
      <c r="P1245" t="s">
        <v>2689</v>
      </c>
      <c r="Q1245" t="s">
        <v>5658</v>
      </c>
      <c r="R1245">
        <v>7</v>
      </c>
      <c r="S1245">
        <v>16</v>
      </c>
    </row>
    <row r="1246" spans="1:19" x14ac:dyDescent="0.35">
      <c r="A1246">
        <v>6686</v>
      </c>
      <c r="B1246" t="s">
        <v>5582</v>
      </c>
      <c r="C1246" t="s">
        <v>42</v>
      </c>
      <c r="D1246" t="s">
        <v>5583</v>
      </c>
      <c r="E1246" t="e" cm="1">
        <f t="array" ref="E1246">- NIRMATRELVIR. RITONAVIR</f>
        <v>#NAME?</v>
      </c>
      <c r="F1246" s="1">
        <v>6017700</v>
      </c>
      <c r="G1246" t="s">
        <v>5584</v>
      </c>
      <c r="H1246" t="s">
        <v>5585</v>
      </c>
      <c r="I1246" t="s">
        <v>5586</v>
      </c>
      <c r="J1246" t="s">
        <v>5587</v>
      </c>
      <c r="K1246" t="s">
        <v>5588</v>
      </c>
    </row>
    <row r="1247" spans="1:19" x14ac:dyDescent="0.35">
      <c r="A1247">
        <v>6448</v>
      </c>
      <c r="B1247" t="s">
        <v>5659</v>
      </c>
      <c r="C1247" t="s">
        <v>42</v>
      </c>
      <c r="D1247" t="s">
        <v>5660</v>
      </c>
      <c r="E1247" t="e" cm="1">
        <f t="array" ref="E1247">- THIAMPHENICOL</f>
        <v>#NAME?</v>
      </c>
      <c r="F1247" t="s">
        <v>5661</v>
      </c>
      <c r="G1247" t="s">
        <v>737</v>
      </c>
      <c r="H1247" t="s">
        <v>5662</v>
      </c>
      <c r="I1247" t="s">
        <v>5570</v>
      </c>
      <c r="J1247" t="s">
        <v>5663</v>
      </c>
      <c r="K1247" t="s">
        <v>5572</v>
      </c>
      <c r="L1247" t="s">
        <v>5664</v>
      </c>
      <c r="M1247" t="s">
        <v>38</v>
      </c>
      <c r="N1247" t="s">
        <v>272</v>
      </c>
      <c r="O1247" t="s">
        <v>5574</v>
      </c>
      <c r="P1247" t="s">
        <v>5575</v>
      </c>
      <c r="Q1247" t="s">
        <v>5665</v>
      </c>
      <c r="R1247">
        <v>7</v>
      </c>
      <c r="S1247">
        <v>16</v>
      </c>
    </row>
    <row r="1248" spans="1:19" x14ac:dyDescent="0.35">
      <c r="A1248">
        <v>7426</v>
      </c>
      <c r="B1248" t="s">
        <v>5666</v>
      </c>
      <c r="C1248" t="s">
        <v>42</v>
      </c>
      <c r="D1248" t="s">
        <v>5667</v>
      </c>
      <c r="E1248" t="e" cm="1">
        <f t="array" ref="E1248">- THIAMINE HYDROCHLORIDE. PYRIDOXINE HYDROCHLORIDE. CYANOCOBALAMIN</f>
        <v>#NAME?</v>
      </c>
      <c r="F1248" t="s">
        <v>5668</v>
      </c>
      <c r="M1248" t="s">
        <v>291</v>
      </c>
      <c r="N1248" t="s">
        <v>5397</v>
      </c>
      <c r="P1248" t="s">
        <v>5669</v>
      </c>
      <c r="Q1248" t="s">
        <v>5670</v>
      </c>
      <c r="R1248">
        <v>7</v>
      </c>
      <c r="S1248">
        <v>16</v>
      </c>
    </row>
    <row r="1249" spans="1:19" x14ac:dyDescent="0.35">
      <c r="A1249">
        <v>7444</v>
      </c>
      <c r="B1249" t="s">
        <v>5671</v>
      </c>
      <c r="C1249" t="s">
        <v>20</v>
      </c>
      <c r="D1249" t="s">
        <v>5672</v>
      </c>
      <c r="E1249" t="s">
        <v>5673</v>
      </c>
      <c r="F1249" t="s">
        <v>5674</v>
      </c>
      <c r="G1249" t="s">
        <v>2241</v>
      </c>
      <c r="H1249" t="s">
        <v>5675</v>
      </c>
      <c r="I1249" t="s">
        <v>5142</v>
      </c>
      <c r="J1249" t="s">
        <v>846</v>
      </c>
      <c r="M1249" t="s">
        <v>271</v>
      </c>
      <c r="N1249" t="s">
        <v>5676</v>
      </c>
      <c r="O1249" t="s">
        <v>5144</v>
      </c>
      <c r="P1249" t="s">
        <v>5677</v>
      </c>
      <c r="Q1249" t="s">
        <v>5678</v>
      </c>
      <c r="R1249">
        <v>7</v>
      </c>
      <c r="S1249">
        <v>16</v>
      </c>
    </row>
    <row r="1250" spans="1:19" x14ac:dyDescent="0.35">
      <c r="A1250">
        <v>7937</v>
      </c>
      <c r="B1250" t="s">
        <v>5679</v>
      </c>
      <c r="C1250" t="s">
        <v>20</v>
      </c>
      <c r="D1250" t="s">
        <v>5680</v>
      </c>
      <c r="E1250" t="s">
        <v>5681</v>
      </c>
      <c r="F1250" t="s">
        <v>5682</v>
      </c>
      <c r="J1250" t="s">
        <v>5284</v>
      </c>
      <c r="M1250" t="s">
        <v>38</v>
      </c>
      <c r="N1250" t="s">
        <v>5683</v>
      </c>
      <c r="P1250" t="s">
        <v>5684</v>
      </c>
      <c r="Q1250" t="s">
        <v>5685</v>
      </c>
      <c r="R1250">
        <v>7</v>
      </c>
      <c r="S1250">
        <v>16</v>
      </c>
    </row>
    <row r="1251" spans="1:19" x14ac:dyDescent="0.35">
      <c r="A1251">
        <v>363</v>
      </c>
      <c r="B1251" t="s">
        <v>5686</v>
      </c>
      <c r="C1251" t="s">
        <v>42</v>
      </c>
      <c r="D1251" t="s">
        <v>5687</v>
      </c>
      <c r="E1251" t="e" cm="1">
        <f t="array" ref="E1251">- ALLYLESTRENOL</f>
        <v>#NAME?</v>
      </c>
      <c r="F1251" s="1">
        <v>49300</v>
      </c>
      <c r="G1251" t="s">
        <v>2241</v>
      </c>
      <c r="H1251" t="s">
        <v>5688</v>
      </c>
      <c r="I1251" t="s">
        <v>5689</v>
      </c>
      <c r="J1251" t="s">
        <v>599</v>
      </c>
      <c r="K1251" t="s">
        <v>3952</v>
      </c>
      <c r="L1251" t="s">
        <v>5690</v>
      </c>
      <c r="M1251" t="s">
        <v>46</v>
      </c>
      <c r="N1251" t="s">
        <v>368</v>
      </c>
      <c r="O1251" t="s">
        <v>5691</v>
      </c>
      <c r="P1251" t="s">
        <v>5692</v>
      </c>
      <c r="Q1251" t="s">
        <v>5693</v>
      </c>
      <c r="R1251">
        <v>7</v>
      </c>
      <c r="S1251">
        <v>16</v>
      </c>
    </row>
    <row r="1252" spans="1:19" x14ac:dyDescent="0.35">
      <c r="A1252">
        <v>7922</v>
      </c>
      <c r="B1252" t="s">
        <v>5694</v>
      </c>
      <c r="C1252" t="s">
        <v>20</v>
      </c>
      <c r="D1252" t="s">
        <v>5695</v>
      </c>
      <c r="E1252" t="s">
        <v>5696</v>
      </c>
      <c r="F1252" t="s">
        <v>5697</v>
      </c>
      <c r="G1252" t="s">
        <v>5698</v>
      </c>
      <c r="H1252" t="s">
        <v>5699</v>
      </c>
      <c r="I1252" t="s">
        <v>5700</v>
      </c>
      <c r="J1252" t="s">
        <v>5701</v>
      </c>
      <c r="M1252" t="s">
        <v>38</v>
      </c>
      <c r="N1252" t="s">
        <v>5702</v>
      </c>
      <c r="O1252" t="s">
        <v>5703</v>
      </c>
      <c r="P1252" t="s">
        <v>5702</v>
      </c>
      <c r="Q1252" t="s">
        <v>5704</v>
      </c>
      <c r="R1252">
        <v>7</v>
      </c>
      <c r="S1252">
        <v>16</v>
      </c>
    </row>
    <row r="1253" spans="1:19" x14ac:dyDescent="0.35">
      <c r="A1253">
        <v>362</v>
      </c>
      <c r="B1253" t="s">
        <v>5686</v>
      </c>
      <c r="C1253" t="s">
        <v>42</v>
      </c>
      <c r="D1253" t="s">
        <v>5687</v>
      </c>
      <c r="E1253" t="e" cm="1">
        <f t="array" ref="E1253">- ALLYLESTRENOL</f>
        <v>#NAME?</v>
      </c>
      <c r="F1253" s="1">
        <v>49300</v>
      </c>
      <c r="G1253" t="s">
        <v>2241</v>
      </c>
      <c r="H1253" t="s">
        <v>5688</v>
      </c>
      <c r="I1253" t="s">
        <v>5689</v>
      </c>
      <c r="J1253" t="s">
        <v>599</v>
      </c>
      <c r="K1253" t="s">
        <v>3952</v>
      </c>
      <c r="L1253" t="s">
        <v>5690</v>
      </c>
      <c r="M1253" t="s">
        <v>46</v>
      </c>
      <c r="N1253" t="s">
        <v>368</v>
      </c>
      <c r="O1253" t="s">
        <v>5691</v>
      </c>
      <c r="P1253" t="s">
        <v>5692</v>
      </c>
      <c r="Q1253" t="s">
        <v>5693</v>
      </c>
      <c r="R1253">
        <v>7</v>
      </c>
      <c r="S1253">
        <v>16</v>
      </c>
    </row>
    <row r="1254" spans="1:19" x14ac:dyDescent="0.35">
      <c r="A1254">
        <v>361</v>
      </c>
      <c r="B1254" t="s">
        <v>5686</v>
      </c>
      <c r="C1254" t="s">
        <v>42</v>
      </c>
      <c r="D1254" t="s">
        <v>5687</v>
      </c>
      <c r="E1254" t="e" cm="1">
        <f t="array" ref="E1254">- ALLYLESTRENOL</f>
        <v>#NAME?</v>
      </c>
      <c r="F1254" s="1">
        <v>49300</v>
      </c>
      <c r="G1254" t="s">
        <v>2241</v>
      </c>
      <c r="H1254" t="s">
        <v>5688</v>
      </c>
      <c r="I1254" t="s">
        <v>5689</v>
      </c>
      <c r="J1254" t="s">
        <v>599</v>
      </c>
      <c r="K1254" t="s">
        <v>3952</v>
      </c>
      <c r="L1254" t="s">
        <v>5690</v>
      </c>
      <c r="M1254" t="s">
        <v>46</v>
      </c>
      <c r="N1254" t="s">
        <v>368</v>
      </c>
      <c r="O1254" t="s">
        <v>5691</v>
      </c>
      <c r="P1254" t="s">
        <v>5692</v>
      </c>
      <c r="Q1254" t="s">
        <v>5693</v>
      </c>
      <c r="R1254">
        <v>7</v>
      </c>
      <c r="S1254">
        <v>16</v>
      </c>
    </row>
    <row r="1255" spans="1:19" x14ac:dyDescent="0.35">
      <c r="A1255">
        <v>7916</v>
      </c>
      <c r="B1255" t="s">
        <v>5705</v>
      </c>
      <c r="C1255" t="s">
        <v>20</v>
      </c>
      <c r="D1255" t="s">
        <v>5706</v>
      </c>
      <c r="E1255" t="s">
        <v>5707</v>
      </c>
      <c r="F1255" t="s">
        <v>5708</v>
      </c>
      <c r="G1255" t="s">
        <v>5709</v>
      </c>
      <c r="H1255" t="s">
        <v>5710</v>
      </c>
      <c r="I1255" t="s">
        <v>5711</v>
      </c>
      <c r="J1255" t="s">
        <v>5712</v>
      </c>
      <c r="M1255" t="s">
        <v>46</v>
      </c>
      <c r="N1255" t="s">
        <v>5713</v>
      </c>
      <c r="O1255" t="s">
        <v>5714</v>
      </c>
      <c r="P1255" t="s">
        <v>5713</v>
      </c>
      <c r="Q1255" t="s">
        <v>5715</v>
      </c>
      <c r="R1255">
        <v>7</v>
      </c>
      <c r="S1255">
        <v>16</v>
      </c>
    </row>
    <row r="1256" spans="1:19" x14ac:dyDescent="0.35">
      <c r="A1256">
        <v>360</v>
      </c>
      <c r="B1256" t="s">
        <v>5686</v>
      </c>
      <c r="C1256" t="s">
        <v>42</v>
      </c>
      <c r="D1256" t="s">
        <v>5687</v>
      </c>
      <c r="E1256" t="e" cm="1">
        <f t="array" ref="E1256">- ALLYLESTRENOL</f>
        <v>#NAME?</v>
      </c>
      <c r="F1256" s="1">
        <v>49300</v>
      </c>
      <c r="G1256" t="s">
        <v>2241</v>
      </c>
      <c r="H1256" t="s">
        <v>5688</v>
      </c>
      <c r="I1256" t="s">
        <v>5689</v>
      </c>
      <c r="J1256" t="s">
        <v>599</v>
      </c>
      <c r="K1256" t="s">
        <v>3952</v>
      </c>
      <c r="L1256" t="s">
        <v>5690</v>
      </c>
      <c r="M1256" t="s">
        <v>46</v>
      </c>
      <c r="N1256" t="s">
        <v>368</v>
      </c>
      <c r="O1256" t="s">
        <v>5691</v>
      </c>
      <c r="P1256" t="s">
        <v>5692</v>
      </c>
      <c r="Q1256" t="s">
        <v>5693</v>
      </c>
      <c r="R1256">
        <v>7</v>
      </c>
      <c r="S1256">
        <v>16</v>
      </c>
    </row>
    <row r="1257" spans="1:19" x14ac:dyDescent="0.35">
      <c r="A1257">
        <v>7901</v>
      </c>
      <c r="B1257" t="s">
        <v>5716</v>
      </c>
      <c r="C1257" t="s">
        <v>20</v>
      </c>
      <c r="D1257" t="s">
        <v>5717</v>
      </c>
      <c r="E1257" t="s">
        <v>5718</v>
      </c>
      <c r="F1257" t="s">
        <v>5719</v>
      </c>
      <c r="I1257" t="s">
        <v>5720</v>
      </c>
      <c r="J1257" t="s">
        <v>107</v>
      </c>
      <c r="M1257" t="s">
        <v>38</v>
      </c>
      <c r="N1257" t="s">
        <v>5721</v>
      </c>
      <c r="O1257" t="s">
        <v>4005</v>
      </c>
      <c r="P1257" t="s">
        <v>5721</v>
      </c>
      <c r="Q1257" t="s">
        <v>5722</v>
      </c>
      <c r="R1257">
        <v>7</v>
      </c>
      <c r="S1257">
        <v>16</v>
      </c>
    </row>
    <row r="1258" spans="1:19" x14ac:dyDescent="0.35">
      <c r="A1258">
        <v>453</v>
      </c>
      <c r="B1258" t="s">
        <v>5723</v>
      </c>
      <c r="C1258" t="s">
        <v>20</v>
      </c>
      <c r="D1258" t="s">
        <v>5724</v>
      </c>
      <c r="E1258" t="s">
        <v>5725</v>
      </c>
      <c r="F1258" t="s">
        <v>5726</v>
      </c>
      <c r="G1258" t="s">
        <v>3970</v>
      </c>
      <c r="H1258" t="s">
        <v>5727</v>
      </c>
      <c r="I1258" t="s">
        <v>3408</v>
      </c>
      <c r="J1258" t="s">
        <v>70</v>
      </c>
      <c r="M1258" t="s">
        <v>38</v>
      </c>
      <c r="N1258" t="s">
        <v>5728</v>
      </c>
      <c r="O1258" t="s">
        <v>3411</v>
      </c>
      <c r="P1258" t="s">
        <v>5728</v>
      </c>
      <c r="Q1258" t="s">
        <v>5729</v>
      </c>
      <c r="R1258">
        <v>7</v>
      </c>
      <c r="S1258">
        <v>16</v>
      </c>
    </row>
    <row r="1259" spans="1:19" x14ac:dyDescent="0.35">
      <c r="A1259">
        <v>454</v>
      </c>
      <c r="B1259" t="s">
        <v>5723</v>
      </c>
      <c r="C1259" t="s">
        <v>20</v>
      </c>
      <c r="D1259" t="s">
        <v>5724</v>
      </c>
      <c r="E1259" t="s">
        <v>5725</v>
      </c>
      <c r="F1259" t="s">
        <v>5726</v>
      </c>
      <c r="G1259" t="s">
        <v>3970</v>
      </c>
      <c r="H1259" t="s">
        <v>5727</v>
      </c>
      <c r="I1259" t="s">
        <v>3408</v>
      </c>
      <c r="J1259" t="s">
        <v>70</v>
      </c>
      <c r="M1259" t="s">
        <v>38</v>
      </c>
      <c r="N1259" t="s">
        <v>5728</v>
      </c>
      <c r="O1259" t="s">
        <v>3411</v>
      </c>
      <c r="P1259" t="s">
        <v>5728</v>
      </c>
      <c r="Q1259" t="s">
        <v>5729</v>
      </c>
      <c r="R1259">
        <v>7</v>
      </c>
      <c r="S1259">
        <v>16</v>
      </c>
    </row>
    <row r="1260" spans="1:19" x14ac:dyDescent="0.35">
      <c r="A1260">
        <v>337</v>
      </c>
      <c r="B1260" t="s">
        <v>5730</v>
      </c>
      <c r="C1260" t="s">
        <v>42</v>
      </c>
      <c r="D1260" t="s">
        <v>5731</v>
      </c>
      <c r="E1260" t="e" cm="1">
        <f t="array" ref="E1260">- CLOMIFENE CITRATE</f>
        <v>#NAME?</v>
      </c>
      <c r="F1260" t="s">
        <v>5732</v>
      </c>
      <c r="G1260" t="s">
        <v>1691</v>
      </c>
      <c r="H1260" t="s">
        <v>5733</v>
      </c>
      <c r="I1260" t="s">
        <v>5734</v>
      </c>
      <c r="J1260" t="s">
        <v>5735</v>
      </c>
      <c r="K1260" t="s">
        <v>5736</v>
      </c>
      <c r="L1260" t="s">
        <v>5737</v>
      </c>
      <c r="M1260" t="s">
        <v>46</v>
      </c>
      <c r="N1260" t="s">
        <v>5738</v>
      </c>
      <c r="O1260" t="s">
        <v>5739</v>
      </c>
      <c r="P1260" t="s">
        <v>5740</v>
      </c>
      <c r="Q1260" t="s">
        <v>5741</v>
      </c>
      <c r="R1260">
        <v>7</v>
      </c>
      <c r="S1260">
        <v>16</v>
      </c>
    </row>
    <row r="1261" spans="1:19" x14ac:dyDescent="0.35">
      <c r="A1261">
        <v>7870</v>
      </c>
      <c r="B1261" t="s">
        <v>5742</v>
      </c>
      <c r="C1261" t="s">
        <v>20</v>
      </c>
      <c r="D1261" t="s">
        <v>5743</v>
      </c>
      <c r="E1261" t="s">
        <v>5744</v>
      </c>
      <c r="F1261" t="s">
        <v>5745</v>
      </c>
      <c r="G1261" t="s">
        <v>5746</v>
      </c>
      <c r="H1261" t="s">
        <v>5747</v>
      </c>
      <c r="I1261" t="s">
        <v>5748</v>
      </c>
      <c r="J1261" t="s">
        <v>75</v>
      </c>
      <c r="M1261" t="s">
        <v>38</v>
      </c>
      <c r="N1261" t="s">
        <v>5749</v>
      </c>
      <c r="O1261" t="s">
        <v>5703</v>
      </c>
      <c r="P1261" t="s">
        <v>5749</v>
      </c>
      <c r="Q1261" t="s">
        <v>5750</v>
      </c>
      <c r="R1261">
        <v>7</v>
      </c>
      <c r="S1261">
        <v>16</v>
      </c>
    </row>
    <row r="1262" spans="1:19" x14ac:dyDescent="0.35">
      <c r="A1262">
        <v>336</v>
      </c>
      <c r="B1262" t="s">
        <v>5730</v>
      </c>
      <c r="C1262" t="s">
        <v>42</v>
      </c>
      <c r="D1262" t="s">
        <v>5731</v>
      </c>
      <c r="E1262" t="e" cm="1">
        <f t="array" ref="E1262">- CLOMIFENE CITRATE</f>
        <v>#NAME?</v>
      </c>
      <c r="F1262" t="s">
        <v>5732</v>
      </c>
      <c r="G1262" t="s">
        <v>1691</v>
      </c>
      <c r="H1262" t="s">
        <v>5733</v>
      </c>
      <c r="I1262" t="s">
        <v>5734</v>
      </c>
      <c r="J1262" t="s">
        <v>5735</v>
      </c>
      <c r="K1262" t="s">
        <v>5736</v>
      </c>
      <c r="L1262" t="s">
        <v>5737</v>
      </c>
      <c r="M1262" t="s">
        <v>46</v>
      </c>
      <c r="N1262" t="s">
        <v>5738</v>
      </c>
      <c r="O1262" t="s">
        <v>5739</v>
      </c>
      <c r="P1262" t="s">
        <v>5740</v>
      </c>
      <c r="Q1262" t="s">
        <v>5741</v>
      </c>
      <c r="R1262">
        <v>7</v>
      </c>
      <c r="S1262">
        <v>16</v>
      </c>
    </row>
    <row r="1263" spans="1:19" x14ac:dyDescent="0.35">
      <c r="A1263">
        <v>335</v>
      </c>
      <c r="B1263" t="s">
        <v>5730</v>
      </c>
      <c r="C1263" t="s">
        <v>42</v>
      </c>
      <c r="D1263" t="s">
        <v>5731</v>
      </c>
      <c r="E1263" t="e" cm="1">
        <f t="array" ref="E1263">- CLOMIFENE CITRATE</f>
        <v>#NAME?</v>
      </c>
      <c r="F1263" t="s">
        <v>5732</v>
      </c>
      <c r="G1263" t="s">
        <v>1691</v>
      </c>
      <c r="H1263" t="s">
        <v>5733</v>
      </c>
      <c r="I1263" t="s">
        <v>5734</v>
      </c>
      <c r="J1263" t="s">
        <v>5735</v>
      </c>
      <c r="K1263" t="s">
        <v>5736</v>
      </c>
      <c r="L1263" t="s">
        <v>5737</v>
      </c>
      <c r="M1263" t="s">
        <v>46</v>
      </c>
      <c r="N1263" t="s">
        <v>5738</v>
      </c>
      <c r="O1263" t="s">
        <v>5739</v>
      </c>
      <c r="P1263" t="s">
        <v>5740</v>
      </c>
      <c r="Q1263" t="s">
        <v>5741</v>
      </c>
      <c r="R1263">
        <v>7</v>
      </c>
      <c r="S1263">
        <v>16</v>
      </c>
    </row>
    <row r="1264" spans="1:19" x14ac:dyDescent="0.35">
      <c r="A1264">
        <v>7844</v>
      </c>
      <c r="B1264" t="s">
        <v>5751</v>
      </c>
      <c r="C1264" t="s">
        <v>20</v>
      </c>
      <c r="D1264" t="s">
        <v>5752</v>
      </c>
      <c r="E1264" t="s">
        <v>5753</v>
      </c>
      <c r="F1264" t="s">
        <v>5754</v>
      </c>
      <c r="G1264" t="s">
        <v>60</v>
      </c>
      <c r="H1264" t="s">
        <v>5755</v>
      </c>
      <c r="I1264" t="s">
        <v>5756</v>
      </c>
      <c r="J1264" t="s">
        <v>5757</v>
      </c>
      <c r="K1264" t="s">
        <v>3473</v>
      </c>
      <c r="M1264" t="s">
        <v>38</v>
      </c>
      <c r="N1264" t="s">
        <v>5758</v>
      </c>
      <c r="O1264" t="s">
        <v>5759</v>
      </c>
      <c r="P1264" t="s">
        <v>5758</v>
      </c>
      <c r="Q1264" t="s">
        <v>5760</v>
      </c>
      <c r="R1264">
        <v>7</v>
      </c>
      <c r="S1264">
        <v>16</v>
      </c>
    </row>
    <row r="1265" spans="1:19" x14ac:dyDescent="0.35">
      <c r="A1265">
        <v>7945</v>
      </c>
      <c r="B1265" t="s">
        <v>5761</v>
      </c>
      <c r="C1265" t="s">
        <v>20</v>
      </c>
      <c r="D1265" t="s">
        <v>5762</v>
      </c>
      <c r="E1265" t="s">
        <v>5763</v>
      </c>
      <c r="F1265" t="s">
        <v>5764</v>
      </c>
      <c r="J1265" t="s">
        <v>5765</v>
      </c>
      <c r="M1265" t="s">
        <v>38</v>
      </c>
      <c r="N1265" t="s">
        <v>5766</v>
      </c>
      <c r="P1265" t="s">
        <v>5767</v>
      </c>
      <c r="Q1265" t="s">
        <v>5768</v>
      </c>
      <c r="R1265">
        <v>7</v>
      </c>
      <c r="S1265">
        <v>16</v>
      </c>
    </row>
    <row r="1266" spans="1:19" x14ac:dyDescent="0.35">
      <c r="A1266">
        <v>7839</v>
      </c>
      <c r="B1266" t="s">
        <v>5769</v>
      </c>
      <c r="C1266" t="s">
        <v>20</v>
      </c>
      <c r="D1266" t="s">
        <v>5770</v>
      </c>
      <c r="E1266" t="s">
        <v>5771</v>
      </c>
      <c r="F1266" t="s">
        <v>5772</v>
      </c>
      <c r="H1266" t="s">
        <v>5773</v>
      </c>
      <c r="I1266" t="s">
        <v>5700</v>
      </c>
      <c r="J1266" t="s">
        <v>5774</v>
      </c>
      <c r="M1266" t="s">
        <v>38</v>
      </c>
      <c r="N1266" t="s">
        <v>5775</v>
      </c>
      <c r="O1266" t="s">
        <v>5703</v>
      </c>
      <c r="P1266" t="s">
        <v>5775</v>
      </c>
      <c r="Q1266" t="s">
        <v>5776</v>
      </c>
      <c r="R1266">
        <v>7</v>
      </c>
      <c r="S1266">
        <v>16</v>
      </c>
    </row>
    <row r="1267" spans="1:19" x14ac:dyDescent="0.35">
      <c r="A1267">
        <v>7957</v>
      </c>
      <c r="B1267" t="s">
        <v>5777</v>
      </c>
      <c r="C1267" t="s">
        <v>20</v>
      </c>
      <c r="D1267" t="s">
        <v>5778</v>
      </c>
      <c r="E1267" t="s">
        <v>5779</v>
      </c>
      <c r="F1267" t="s">
        <v>5780</v>
      </c>
      <c r="J1267" t="s">
        <v>197</v>
      </c>
      <c r="M1267" t="s">
        <v>38</v>
      </c>
      <c r="N1267" t="s">
        <v>5781</v>
      </c>
      <c r="P1267" t="s">
        <v>5782</v>
      </c>
      <c r="Q1267" t="s">
        <v>5783</v>
      </c>
      <c r="R1267">
        <v>7</v>
      </c>
      <c r="S1267">
        <v>16</v>
      </c>
    </row>
    <row r="1268" spans="1:19" x14ac:dyDescent="0.35">
      <c r="A1268">
        <v>7961</v>
      </c>
      <c r="B1268" t="s">
        <v>5784</v>
      </c>
      <c r="C1268" t="s">
        <v>20</v>
      </c>
      <c r="D1268" t="s">
        <v>5785</v>
      </c>
      <c r="E1268" t="s">
        <v>5786</v>
      </c>
      <c r="F1268" t="s">
        <v>5787</v>
      </c>
      <c r="J1268" t="s">
        <v>5788</v>
      </c>
      <c r="M1268" t="s">
        <v>38</v>
      </c>
      <c r="N1268" t="s">
        <v>5789</v>
      </c>
      <c r="P1268" t="s">
        <v>5790</v>
      </c>
      <c r="Q1268" t="s">
        <v>5791</v>
      </c>
      <c r="R1268">
        <v>7</v>
      </c>
      <c r="S1268">
        <v>16</v>
      </c>
    </row>
    <row r="1269" spans="1:19" x14ac:dyDescent="0.35">
      <c r="A1269">
        <v>8109</v>
      </c>
      <c r="B1269" t="s">
        <v>551</v>
      </c>
      <c r="C1269" t="s">
        <v>42</v>
      </c>
      <c r="D1269" t="s">
        <v>5792</v>
      </c>
      <c r="E1269" t="e" cm="1">
        <f t="array" ref="E1269">- POVIDONE-IODINE</f>
        <v>#NAME?</v>
      </c>
      <c r="F1269" s="1">
        <v>21900</v>
      </c>
      <c r="J1269" t="s">
        <v>5793</v>
      </c>
      <c r="M1269" t="s">
        <v>554</v>
      </c>
      <c r="N1269" t="s">
        <v>555</v>
      </c>
      <c r="P1269" t="s">
        <v>5794</v>
      </c>
      <c r="Q1269" t="s">
        <v>5795</v>
      </c>
      <c r="R1269">
        <v>7</v>
      </c>
      <c r="S1269">
        <v>16</v>
      </c>
    </row>
    <row r="1270" spans="1:19" x14ac:dyDescent="0.35">
      <c r="A1270">
        <v>8108</v>
      </c>
      <c r="B1270" t="s">
        <v>551</v>
      </c>
      <c r="C1270" t="s">
        <v>42</v>
      </c>
      <c r="D1270" t="s">
        <v>5792</v>
      </c>
      <c r="E1270" t="e" cm="1">
        <f t="array" ref="E1270">- POVIDONE-IODINE</f>
        <v>#NAME?</v>
      </c>
      <c r="F1270" s="1">
        <v>21900</v>
      </c>
      <c r="J1270" t="s">
        <v>5793</v>
      </c>
      <c r="M1270" t="s">
        <v>554</v>
      </c>
      <c r="N1270" t="s">
        <v>555</v>
      </c>
      <c r="P1270" t="s">
        <v>5794</v>
      </c>
      <c r="Q1270" t="s">
        <v>5795</v>
      </c>
      <c r="R1270">
        <v>7</v>
      </c>
      <c r="S1270">
        <v>16</v>
      </c>
    </row>
    <row r="1271" spans="1:19" x14ac:dyDescent="0.35">
      <c r="A1271">
        <v>365</v>
      </c>
      <c r="B1271" t="s">
        <v>5686</v>
      </c>
      <c r="C1271" t="s">
        <v>42</v>
      </c>
      <c r="D1271" t="s">
        <v>5687</v>
      </c>
      <c r="E1271" t="e" cm="1">
        <f t="array" ref="E1271">- ALLYLESTRENOL</f>
        <v>#NAME?</v>
      </c>
      <c r="F1271" s="1">
        <v>49300</v>
      </c>
      <c r="G1271" t="s">
        <v>2241</v>
      </c>
      <c r="H1271" t="s">
        <v>5688</v>
      </c>
      <c r="I1271" t="s">
        <v>5689</v>
      </c>
      <c r="J1271" t="s">
        <v>599</v>
      </c>
      <c r="K1271" t="s">
        <v>3952</v>
      </c>
      <c r="L1271" t="s">
        <v>5690</v>
      </c>
      <c r="M1271" t="s">
        <v>46</v>
      </c>
      <c r="N1271" t="s">
        <v>368</v>
      </c>
      <c r="O1271" t="s">
        <v>5691</v>
      </c>
      <c r="P1271" t="s">
        <v>5692</v>
      </c>
      <c r="Q1271" t="s">
        <v>5693</v>
      </c>
      <c r="R1271">
        <v>7</v>
      </c>
      <c r="S1271">
        <v>16</v>
      </c>
    </row>
    <row r="1272" spans="1:19" x14ac:dyDescent="0.35">
      <c r="A1272">
        <v>374</v>
      </c>
      <c r="B1272" t="s">
        <v>5796</v>
      </c>
      <c r="C1272" t="s">
        <v>42</v>
      </c>
      <c r="D1272" t="s">
        <v>5797</v>
      </c>
      <c r="E1272" t="e" cm="1">
        <f t="array" ref="E1272">- Methyl ESTRENOLONE</f>
        <v>#NAME?</v>
      </c>
      <c r="F1272" t="s">
        <v>5798</v>
      </c>
      <c r="H1272" t="s">
        <v>5799</v>
      </c>
      <c r="I1272" t="s">
        <v>5800</v>
      </c>
      <c r="J1272" t="s">
        <v>5801</v>
      </c>
      <c r="L1272" t="s">
        <v>321</v>
      </c>
      <c r="M1272" t="s">
        <v>46</v>
      </c>
      <c r="N1272" t="s">
        <v>5802</v>
      </c>
      <c r="O1272" t="s">
        <v>5803</v>
      </c>
      <c r="P1272" t="s">
        <v>5804</v>
      </c>
      <c r="Q1272" t="s">
        <v>5805</v>
      </c>
      <c r="R1272">
        <v>7</v>
      </c>
      <c r="S1272">
        <v>16</v>
      </c>
    </row>
    <row r="1273" spans="1:19" x14ac:dyDescent="0.35">
      <c r="A1273">
        <v>375</v>
      </c>
      <c r="B1273" t="s">
        <v>5796</v>
      </c>
      <c r="C1273" t="s">
        <v>42</v>
      </c>
      <c r="D1273" t="s">
        <v>5797</v>
      </c>
      <c r="E1273" t="e" cm="1">
        <f t="array" ref="E1273">- Methyl ESTRENOLONE</f>
        <v>#NAME?</v>
      </c>
      <c r="F1273" t="s">
        <v>5798</v>
      </c>
      <c r="H1273" t="s">
        <v>5799</v>
      </c>
      <c r="I1273" t="s">
        <v>5800</v>
      </c>
      <c r="J1273" t="s">
        <v>5801</v>
      </c>
      <c r="L1273" t="s">
        <v>321</v>
      </c>
      <c r="M1273" t="s">
        <v>46</v>
      </c>
      <c r="N1273" t="s">
        <v>5802</v>
      </c>
      <c r="O1273" t="s">
        <v>5803</v>
      </c>
      <c r="P1273" t="s">
        <v>5804</v>
      </c>
      <c r="Q1273" t="s">
        <v>5805</v>
      </c>
      <c r="R1273">
        <v>7</v>
      </c>
      <c r="S1273">
        <v>16</v>
      </c>
    </row>
    <row r="1274" spans="1:19" x14ac:dyDescent="0.35">
      <c r="A1274">
        <v>8101</v>
      </c>
      <c r="B1274" t="s">
        <v>551</v>
      </c>
      <c r="C1274" t="s">
        <v>42</v>
      </c>
      <c r="D1274" t="s">
        <v>5806</v>
      </c>
      <c r="E1274" t="e" cm="1">
        <f t="array" ref="E1274">- POVIDONE-IODINE</f>
        <v>#NAME?</v>
      </c>
      <c r="F1274" s="1">
        <v>10800</v>
      </c>
      <c r="M1274" t="s">
        <v>554</v>
      </c>
      <c r="N1274" t="s">
        <v>555</v>
      </c>
      <c r="P1274" t="s">
        <v>5807</v>
      </c>
      <c r="Q1274" t="s">
        <v>5808</v>
      </c>
      <c r="R1274">
        <v>7</v>
      </c>
      <c r="S1274">
        <v>16</v>
      </c>
    </row>
    <row r="1275" spans="1:19" x14ac:dyDescent="0.35">
      <c r="A1275">
        <v>8100</v>
      </c>
      <c r="B1275" t="s">
        <v>551</v>
      </c>
      <c r="C1275" t="s">
        <v>42</v>
      </c>
      <c r="D1275" t="s">
        <v>5806</v>
      </c>
      <c r="E1275" t="e" cm="1">
        <f t="array" ref="E1275">- POVIDONE-IODINE</f>
        <v>#NAME?</v>
      </c>
      <c r="F1275" s="1">
        <v>10800</v>
      </c>
      <c r="M1275" t="s">
        <v>554</v>
      </c>
      <c r="N1275" t="s">
        <v>555</v>
      </c>
      <c r="P1275" t="s">
        <v>5807</v>
      </c>
      <c r="Q1275" t="s">
        <v>5808</v>
      </c>
      <c r="R1275">
        <v>7</v>
      </c>
      <c r="S1275">
        <v>16</v>
      </c>
    </row>
    <row r="1276" spans="1:19" x14ac:dyDescent="0.35">
      <c r="A1276">
        <v>8039</v>
      </c>
      <c r="B1276" t="s">
        <v>5809</v>
      </c>
      <c r="C1276" t="s">
        <v>20</v>
      </c>
      <c r="D1276" t="s">
        <v>5810</v>
      </c>
      <c r="E1276" t="s">
        <v>5811</v>
      </c>
      <c r="F1276" t="s">
        <v>5812</v>
      </c>
      <c r="G1276" t="s">
        <v>737</v>
      </c>
      <c r="H1276" t="s">
        <v>5813</v>
      </c>
      <c r="I1276" t="s">
        <v>5814</v>
      </c>
      <c r="J1276" t="s">
        <v>3393</v>
      </c>
      <c r="M1276" t="s">
        <v>38</v>
      </c>
      <c r="N1276" t="s">
        <v>5815</v>
      </c>
      <c r="O1276" t="s">
        <v>5816</v>
      </c>
      <c r="P1276" t="s">
        <v>5815</v>
      </c>
      <c r="Q1276" t="s">
        <v>5817</v>
      </c>
      <c r="R1276">
        <v>7</v>
      </c>
      <c r="S1276">
        <v>16</v>
      </c>
    </row>
    <row r="1277" spans="1:19" x14ac:dyDescent="0.35">
      <c r="A1277">
        <v>8006</v>
      </c>
      <c r="B1277" t="s">
        <v>5818</v>
      </c>
      <c r="C1277" t="s">
        <v>20</v>
      </c>
      <c r="D1277" t="s">
        <v>5819</v>
      </c>
      <c r="E1277" t="s">
        <v>5820</v>
      </c>
      <c r="F1277" t="s">
        <v>5821</v>
      </c>
      <c r="G1277" t="s">
        <v>2241</v>
      </c>
      <c r="H1277" t="s">
        <v>5822</v>
      </c>
      <c r="I1277" t="s">
        <v>5823</v>
      </c>
      <c r="J1277" t="s">
        <v>5824</v>
      </c>
      <c r="M1277" t="s">
        <v>38</v>
      </c>
      <c r="N1277" t="s">
        <v>5825</v>
      </c>
      <c r="O1277" t="s">
        <v>5826</v>
      </c>
      <c r="P1277" t="s">
        <v>5825</v>
      </c>
      <c r="Q1277" t="s">
        <v>5827</v>
      </c>
      <c r="R1277">
        <v>7</v>
      </c>
      <c r="S1277">
        <v>16</v>
      </c>
    </row>
    <row r="1278" spans="1:19" x14ac:dyDescent="0.35">
      <c r="A1278">
        <v>364</v>
      </c>
      <c r="B1278" t="s">
        <v>5686</v>
      </c>
      <c r="C1278" t="s">
        <v>42</v>
      </c>
      <c r="D1278" t="s">
        <v>5687</v>
      </c>
      <c r="E1278" t="e" cm="1">
        <f t="array" ref="E1278">- ALLYLESTRENOL</f>
        <v>#NAME?</v>
      </c>
      <c r="F1278" s="1">
        <v>49300</v>
      </c>
      <c r="G1278" t="s">
        <v>2241</v>
      </c>
      <c r="H1278" t="s">
        <v>5688</v>
      </c>
      <c r="I1278" t="s">
        <v>5689</v>
      </c>
      <c r="J1278" t="s">
        <v>599</v>
      </c>
      <c r="K1278" t="s">
        <v>3952</v>
      </c>
      <c r="L1278" t="s">
        <v>5690</v>
      </c>
      <c r="M1278" t="s">
        <v>46</v>
      </c>
      <c r="N1278" t="s">
        <v>368</v>
      </c>
      <c r="O1278" t="s">
        <v>5691</v>
      </c>
      <c r="P1278" t="s">
        <v>5692</v>
      </c>
      <c r="Q1278" t="s">
        <v>5693</v>
      </c>
      <c r="R1278">
        <v>7</v>
      </c>
      <c r="S1278">
        <v>16</v>
      </c>
    </row>
    <row r="1279" spans="1:19" x14ac:dyDescent="0.35">
      <c r="A1279">
        <v>7987</v>
      </c>
      <c r="B1279" t="s">
        <v>5828</v>
      </c>
      <c r="C1279" t="s">
        <v>20</v>
      </c>
      <c r="D1279" t="s">
        <v>5829</v>
      </c>
      <c r="E1279" t="s">
        <v>5830</v>
      </c>
      <c r="F1279" t="s">
        <v>5831</v>
      </c>
      <c r="J1279" t="s">
        <v>5832</v>
      </c>
      <c r="M1279" t="s">
        <v>2374</v>
      </c>
      <c r="N1279" t="s">
        <v>5833</v>
      </c>
      <c r="P1279" t="s">
        <v>5834</v>
      </c>
      <c r="Q1279" t="s">
        <v>5835</v>
      </c>
      <c r="R1279">
        <v>7</v>
      </c>
      <c r="S1279">
        <v>16</v>
      </c>
    </row>
    <row r="1280" spans="1:19" x14ac:dyDescent="0.35">
      <c r="A1280">
        <v>400</v>
      </c>
      <c r="B1280" t="s">
        <v>5836</v>
      </c>
      <c r="C1280" t="s">
        <v>20</v>
      </c>
      <c r="D1280" t="s">
        <v>5837</v>
      </c>
      <c r="E1280" t="s">
        <v>5838</v>
      </c>
      <c r="F1280" s="1">
        <v>19100</v>
      </c>
      <c r="G1280" t="s">
        <v>5839</v>
      </c>
      <c r="H1280" t="s">
        <v>5840</v>
      </c>
      <c r="I1280" t="s">
        <v>4507</v>
      </c>
      <c r="J1280" t="s">
        <v>5841</v>
      </c>
      <c r="L1280" t="s">
        <v>5842</v>
      </c>
      <c r="M1280" t="s">
        <v>38</v>
      </c>
      <c r="N1280" t="s">
        <v>5843</v>
      </c>
      <c r="O1280" t="s">
        <v>4510</v>
      </c>
      <c r="P1280" t="s">
        <v>5843</v>
      </c>
      <c r="Q1280" t="s">
        <v>5844</v>
      </c>
      <c r="R1280">
        <v>7</v>
      </c>
      <c r="S1280">
        <v>16</v>
      </c>
    </row>
    <row r="1281" spans="1:19" x14ac:dyDescent="0.35">
      <c r="A1281">
        <v>401</v>
      </c>
      <c r="B1281" t="s">
        <v>5836</v>
      </c>
      <c r="C1281" t="s">
        <v>20</v>
      </c>
      <c r="D1281" t="s">
        <v>5837</v>
      </c>
      <c r="E1281" t="s">
        <v>5838</v>
      </c>
      <c r="F1281" s="1">
        <v>19100</v>
      </c>
      <c r="G1281" t="s">
        <v>5839</v>
      </c>
      <c r="H1281" t="s">
        <v>5840</v>
      </c>
      <c r="I1281" t="s">
        <v>4507</v>
      </c>
      <c r="J1281" t="s">
        <v>5841</v>
      </c>
      <c r="L1281" t="s">
        <v>5842</v>
      </c>
      <c r="M1281" t="s">
        <v>38</v>
      </c>
      <c r="N1281" t="s">
        <v>5843</v>
      </c>
      <c r="O1281" t="s">
        <v>4510</v>
      </c>
      <c r="P1281" t="s">
        <v>5843</v>
      </c>
      <c r="Q1281" t="s">
        <v>5844</v>
      </c>
      <c r="R1281">
        <v>7</v>
      </c>
      <c r="S1281">
        <v>16</v>
      </c>
    </row>
    <row r="1282" spans="1:19" x14ac:dyDescent="0.35">
      <c r="A1282">
        <v>7966</v>
      </c>
      <c r="B1282" t="s">
        <v>5845</v>
      </c>
      <c r="C1282" t="s">
        <v>20</v>
      </c>
      <c r="D1282" t="s">
        <v>5846</v>
      </c>
      <c r="E1282" t="s">
        <v>5847</v>
      </c>
      <c r="F1282" t="s">
        <v>5848</v>
      </c>
      <c r="J1282" t="s">
        <v>5849</v>
      </c>
      <c r="M1282" t="s">
        <v>38</v>
      </c>
      <c r="N1282" t="s">
        <v>5850</v>
      </c>
      <c r="P1282" t="s">
        <v>5851</v>
      </c>
      <c r="Q1282" t="s">
        <v>5852</v>
      </c>
      <c r="R1282">
        <v>7</v>
      </c>
      <c r="S1282">
        <v>16</v>
      </c>
    </row>
    <row r="1283" spans="1:19" x14ac:dyDescent="0.35">
      <c r="A1283">
        <v>7962</v>
      </c>
      <c r="B1283" t="s">
        <v>5853</v>
      </c>
      <c r="C1283" t="s">
        <v>20</v>
      </c>
      <c r="D1283" t="s">
        <v>5854</v>
      </c>
      <c r="E1283" t="s">
        <v>5855</v>
      </c>
      <c r="F1283" t="s">
        <v>5856</v>
      </c>
      <c r="J1283" t="s">
        <v>5788</v>
      </c>
      <c r="M1283" t="s">
        <v>38</v>
      </c>
      <c r="N1283" t="s">
        <v>5857</v>
      </c>
      <c r="P1283" t="s">
        <v>5858</v>
      </c>
      <c r="Q1283" t="s">
        <v>5859</v>
      </c>
      <c r="R1283">
        <v>7</v>
      </c>
      <c r="S1283">
        <v>16</v>
      </c>
    </row>
    <row r="1284" spans="1:19" x14ac:dyDescent="0.35">
      <c r="A1284">
        <v>7958</v>
      </c>
      <c r="B1284" t="s">
        <v>5777</v>
      </c>
      <c r="C1284" t="s">
        <v>20</v>
      </c>
      <c r="D1284" t="s">
        <v>5778</v>
      </c>
      <c r="E1284" t="s">
        <v>5779</v>
      </c>
      <c r="F1284" t="s">
        <v>5780</v>
      </c>
      <c r="J1284" t="s">
        <v>197</v>
      </c>
      <c r="M1284" t="s">
        <v>38</v>
      </c>
      <c r="N1284" t="s">
        <v>5781</v>
      </c>
      <c r="P1284" t="s">
        <v>5782</v>
      </c>
      <c r="Q1284" t="s">
        <v>5783</v>
      </c>
      <c r="R1284">
        <v>7</v>
      </c>
      <c r="S1284">
        <v>16</v>
      </c>
    </row>
    <row r="1285" spans="1:19" x14ac:dyDescent="0.35">
      <c r="A1285">
        <v>7443</v>
      </c>
      <c r="B1285" t="s">
        <v>5671</v>
      </c>
      <c r="C1285" t="s">
        <v>20</v>
      </c>
      <c r="D1285" t="s">
        <v>5860</v>
      </c>
      <c r="E1285" t="s">
        <v>5673</v>
      </c>
      <c r="F1285" t="s">
        <v>5861</v>
      </c>
      <c r="G1285" t="s">
        <v>2241</v>
      </c>
      <c r="H1285" t="s">
        <v>5675</v>
      </c>
      <c r="I1285" t="s">
        <v>5142</v>
      </c>
      <c r="J1285" t="s">
        <v>636</v>
      </c>
      <c r="M1285" t="s">
        <v>271</v>
      </c>
      <c r="N1285" t="s">
        <v>5676</v>
      </c>
      <c r="O1285" t="s">
        <v>5144</v>
      </c>
      <c r="P1285" t="s">
        <v>5677</v>
      </c>
      <c r="Q1285" t="s">
        <v>5678</v>
      </c>
      <c r="R1285">
        <v>7</v>
      </c>
      <c r="S1285">
        <v>16</v>
      </c>
    </row>
    <row r="1286" spans="1:19" x14ac:dyDescent="0.35">
      <c r="A1286">
        <v>334</v>
      </c>
      <c r="B1286" t="s">
        <v>5730</v>
      </c>
      <c r="C1286" t="s">
        <v>42</v>
      </c>
      <c r="D1286" t="s">
        <v>5731</v>
      </c>
      <c r="E1286" t="e" cm="1">
        <f t="array" ref="E1286">- CLOMIFENE CITRATE</f>
        <v>#NAME?</v>
      </c>
      <c r="F1286" t="s">
        <v>5732</v>
      </c>
      <c r="G1286" t="s">
        <v>1691</v>
      </c>
      <c r="H1286" t="s">
        <v>5733</v>
      </c>
      <c r="I1286" t="s">
        <v>5734</v>
      </c>
      <c r="J1286" t="s">
        <v>5735</v>
      </c>
      <c r="K1286" t="s">
        <v>5736</v>
      </c>
      <c r="L1286" t="s">
        <v>5737</v>
      </c>
      <c r="M1286" t="s">
        <v>46</v>
      </c>
      <c r="N1286" t="s">
        <v>5738</v>
      </c>
      <c r="O1286" t="s">
        <v>5739</v>
      </c>
      <c r="P1286" t="s">
        <v>5740</v>
      </c>
      <c r="Q1286" t="s">
        <v>5741</v>
      </c>
      <c r="R1286">
        <v>7</v>
      </c>
      <c r="S1286">
        <v>16</v>
      </c>
    </row>
    <row r="1287" spans="1:19" x14ac:dyDescent="0.35">
      <c r="A1287">
        <v>7799</v>
      </c>
      <c r="B1287" t="s">
        <v>5862</v>
      </c>
      <c r="C1287" t="s">
        <v>20</v>
      </c>
      <c r="D1287" t="s">
        <v>5863</v>
      </c>
      <c r="E1287" t="s">
        <v>5864</v>
      </c>
      <c r="F1287" t="s">
        <v>5865</v>
      </c>
      <c r="G1287" t="s">
        <v>5866</v>
      </c>
      <c r="H1287" t="s">
        <v>5867</v>
      </c>
      <c r="I1287" t="s">
        <v>3392</v>
      </c>
      <c r="J1287" t="s">
        <v>5868</v>
      </c>
      <c r="L1287" t="s">
        <v>5869</v>
      </c>
      <c r="M1287" t="s">
        <v>38</v>
      </c>
      <c r="N1287" t="s">
        <v>5870</v>
      </c>
      <c r="O1287" t="s">
        <v>3396</v>
      </c>
      <c r="P1287" t="s">
        <v>5870</v>
      </c>
      <c r="Q1287" t="s">
        <v>5871</v>
      </c>
      <c r="R1287">
        <v>7</v>
      </c>
      <c r="S1287">
        <v>16</v>
      </c>
    </row>
    <row r="1288" spans="1:19" x14ac:dyDescent="0.35">
      <c r="A1288">
        <v>7691</v>
      </c>
      <c r="B1288" t="s">
        <v>5872</v>
      </c>
      <c r="C1288" t="s">
        <v>20</v>
      </c>
      <c r="D1288" t="s">
        <v>5873</v>
      </c>
      <c r="E1288" t="s">
        <v>5874</v>
      </c>
      <c r="F1288" t="s">
        <v>5875</v>
      </c>
      <c r="J1288" t="s">
        <v>355</v>
      </c>
      <c r="M1288" t="s">
        <v>38</v>
      </c>
      <c r="N1288" t="s">
        <v>5876</v>
      </c>
      <c r="P1288" t="s">
        <v>5877</v>
      </c>
      <c r="Q1288" t="s">
        <v>5878</v>
      </c>
      <c r="R1288">
        <v>7</v>
      </c>
      <c r="S1288">
        <v>16</v>
      </c>
    </row>
    <row r="1289" spans="1:19" x14ac:dyDescent="0.35">
      <c r="A1289">
        <v>7645</v>
      </c>
      <c r="B1289" t="s">
        <v>5879</v>
      </c>
      <c r="C1289" t="s">
        <v>20</v>
      </c>
      <c r="D1289" t="s">
        <v>5880</v>
      </c>
      <c r="E1289" t="s">
        <v>5881</v>
      </c>
      <c r="F1289" t="s">
        <v>5882</v>
      </c>
      <c r="J1289" t="s">
        <v>4376</v>
      </c>
      <c r="M1289" t="s">
        <v>38</v>
      </c>
      <c r="N1289" t="s">
        <v>5883</v>
      </c>
      <c r="P1289" t="s">
        <v>5884</v>
      </c>
      <c r="Q1289" t="s">
        <v>5885</v>
      </c>
      <c r="R1289">
        <v>7</v>
      </c>
      <c r="S1289">
        <v>16</v>
      </c>
    </row>
    <row r="1290" spans="1:19" x14ac:dyDescent="0.35">
      <c r="A1290">
        <v>1170</v>
      </c>
      <c r="B1290" t="s">
        <v>5886</v>
      </c>
      <c r="C1290" t="s">
        <v>42</v>
      </c>
      <c r="D1290" t="s">
        <v>5887</v>
      </c>
      <c r="E1290" t="e" cm="1">
        <f t="array" ref="E1290">- GUAIFENESIN. CHLORPHENAMINE MALEATE. DEXTROMETHORPHAN HYDROBROMIDE</f>
        <v>#NAME?</v>
      </c>
      <c r="F1290" s="1">
        <v>11900</v>
      </c>
      <c r="M1290" t="s">
        <v>46</v>
      </c>
      <c r="N1290" t="s">
        <v>5888</v>
      </c>
      <c r="P1290" t="s">
        <v>5889</v>
      </c>
      <c r="Q1290" t="s">
        <v>5890</v>
      </c>
      <c r="R1290">
        <v>7</v>
      </c>
      <c r="S1290">
        <v>16</v>
      </c>
    </row>
    <row r="1291" spans="1:19" x14ac:dyDescent="0.35">
      <c r="A1291">
        <v>7625</v>
      </c>
      <c r="B1291" t="s">
        <v>5891</v>
      </c>
      <c r="C1291" t="s">
        <v>20</v>
      </c>
      <c r="D1291" t="s">
        <v>5892</v>
      </c>
      <c r="E1291" t="s">
        <v>5893</v>
      </c>
      <c r="F1291" t="s">
        <v>5894</v>
      </c>
      <c r="G1291" t="s">
        <v>3431</v>
      </c>
      <c r="H1291" t="s">
        <v>5895</v>
      </c>
      <c r="I1291" t="s">
        <v>5896</v>
      </c>
      <c r="J1291" t="s">
        <v>70</v>
      </c>
      <c r="L1291" t="s">
        <v>5897</v>
      </c>
      <c r="M1291" t="s">
        <v>38</v>
      </c>
      <c r="N1291" t="s">
        <v>5898</v>
      </c>
      <c r="O1291" t="s">
        <v>5899</v>
      </c>
      <c r="P1291" t="s">
        <v>5898</v>
      </c>
      <c r="Q1291" t="s">
        <v>5900</v>
      </c>
      <c r="R1291">
        <v>7</v>
      </c>
      <c r="S1291">
        <v>16</v>
      </c>
    </row>
    <row r="1292" spans="1:19" x14ac:dyDescent="0.35">
      <c r="A1292">
        <v>7612</v>
      </c>
      <c r="B1292" t="s">
        <v>5901</v>
      </c>
      <c r="C1292" t="s">
        <v>20</v>
      </c>
      <c r="D1292" t="s">
        <v>5902</v>
      </c>
      <c r="E1292" t="s">
        <v>5903</v>
      </c>
      <c r="F1292" t="s">
        <v>5904</v>
      </c>
      <c r="G1292" t="s">
        <v>5006</v>
      </c>
      <c r="H1292" t="s">
        <v>5905</v>
      </c>
      <c r="I1292" t="s">
        <v>5906</v>
      </c>
      <c r="J1292" t="s">
        <v>355</v>
      </c>
      <c r="L1292" t="s">
        <v>5907</v>
      </c>
      <c r="M1292" t="s">
        <v>38</v>
      </c>
      <c r="N1292" t="s">
        <v>5908</v>
      </c>
      <c r="O1292" t="s">
        <v>5909</v>
      </c>
      <c r="P1292" t="s">
        <v>5908</v>
      </c>
      <c r="Q1292" t="s">
        <v>5910</v>
      </c>
      <c r="R1292">
        <v>7</v>
      </c>
      <c r="S1292">
        <v>16</v>
      </c>
    </row>
    <row r="1293" spans="1:19" x14ac:dyDescent="0.35">
      <c r="A1293">
        <v>574</v>
      </c>
      <c r="B1293" t="s">
        <v>5911</v>
      </c>
      <c r="C1293" t="s">
        <v>42</v>
      </c>
      <c r="D1293" t="s">
        <v>5912</v>
      </c>
      <c r="E1293" t="e" cm="1">
        <f t="array" ref="E1293">- BUDESONIDE</f>
        <v>#NAME?</v>
      </c>
      <c r="F1293" t="s">
        <v>5913</v>
      </c>
      <c r="G1293" t="s">
        <v>4673</v>
      </c>
      <c r="H1293" t="s">
        <v>5914</v>
      </c>
      <c r="I1293" t="s">
        <v>5915</v>
      </c>
      <c r="J1293" t="s">
        <v>4676</v>
      </c>
      <c r="K1293" t="s">
        <v>3952</v>
      </c>
      <c r="L1293" t="s">
        <v>5916</v>
      </c>
      <c r="M1293" t="s">
        <v>3423</v>
      </c>
      <c r="N1293" t="s">
        <v>1281</v>
      </c>
      <c r="O1293" t="s">
        <v>5917</v>
      </c>
      <c r="P1293" t="s">
        <v>4680</v>
      </c>
      <c r="Q1293" t="s">
        <v>5918</v>
      </c>
      <c r="R1293">
        <v>7</v>
      </c>
      <c r="S1293">
        <v>16</v>
      </c>
    </row>
    <row r="1294" spans="1:19" x14ac:dyDescent="0.35">
      <c r="A1294">
        <v>575</v>
      </c>
      <c r="B1294" t="s">
        <v>5911</v>
      </c>
      <c r="C1294" t="s">
        <v>42</v>
      </c>
      <c r="D1294" t="s">
        <v>5912</v>
      </c>
      <c r="E1294" t="e" cm="1">
        <f t="array" ref="E1294">- BUDESONIDE</f>
        <v>#NAME?</v>
      </c>
      <c r="F1294" t="s">
        <v>5913</v>
      </c>
      <c r="G1294" t="s">
        <v>4673</v>
      </c>
      <c r="H1294" t="s">
        <v>5914</v>
      </c>
      <c r="I1294" t="s">
        <v>5915</v>
      </c>
      <c r="J1294" t="s">
        <v>4676</v>
      </c>
      <c r="K1294" t="s">
        <v>3952</v>
      </c>
      <c r="L1294" t="s">
        <v>5916</v>
      </c>
      <c r="M1294" t="s">
        <v>3423</v>
      </c>
      <c r="N1294" t="s">
        <v>1281</v>
      </c>
      <c r="O1294" t="s">
        <v>5917</v>
      </c>
      <c r="P1294" t="s">
        <v>4680</v>
      </c>
      <c r="Q1294" t="s">
        <v>5918</v>
      </c>
      <c r="R1294">
        <v>7</v>
      </c>
      <c r="S1294">
        <v>16</v>
      </c>
    </row>
    <row r="1295" spans="1:19" x14ac:dyDescent="0.35">
      <c r="A1295">
        <v>7544</v>
      </c>
      <c r="B1295" t="s">
        <v>5919</v>
      </c>
      <c r="C1295" t="s">
        <v>20</v>
      </c>
      <c r="D1295" t="s">
        <v>5920</v>
      </c>
      <c r="E1295" t="s">
        <v>5921</v>
      </c>
      <c r="F1295" t="s">
        <v>5922</v>
      </c>
      <c r="G1295" t="s">
        <v>5923</v>
      </c>
      <c r="H1295" t="s">
        <v>5924</v>
      </c>
      <c r="I1295" t="s">
        <v>5925</v>
      </c>
      <c r="J1295" t="s">
        <v>5926</v>
      </c>
      <c r="M1295" t="s">
        <v>291</v>
      </c>
      <c r="N1295" t="s">
        <v>5927</v>
      </c>
      <c r="O1295" t="s">
        <v>4668</v>
      </c>
      <c r="P1295" t="s">
        <v>5927</v>
      </c>
      <c r="Q1295" t="s">
        <v>5928</v>
      </c>
      <c r="R1295">
        <v>7</v>
      </c>
      <c r="S1295">
        <v>16</v>
      </c>
    </row>
    <row r="1296" spans="1:19" x14ac:dyDescent="0.35">
      <c r="A1296">
        <v>7538</v>
      </c>
      <c r="B1296" t="s">
        <v>5929</v>
      </c>
      <c r="C1296" t="s">
        <v>42</v>
      </c>
      <c r="D1296" t="s">
        <v>5930</v>
      </c>
      <c r="E1296" t="e" cm="1">
        <f t="array" ref="E1296">- CYANOCOBALAMIN</f>
        <v>#NAME?</v>
      </c>
      <c r="F1296" t="s">
        <v>5931</v>
      </c>
      <c r="G1296" t="s">
        <v>60</v>
      </c>
      <c r="H1296" t="s">
        <v>5932</v>
      </c>
      <c r="I1296" t="s">
        <v>5933</v>
      </c>
      <c r="J1296" t="s">
        <v>5934</v>
      </c>
      <c r="K1296" t="s">
        <v>5935</v>
      </c>
      <c r="L1296" t="s">
        <v>321</v>
      </c>
      <c r="M1296" t="s">
        <v>46</v>
      </c>
      <c r="N1296" t="s">
        <v>677</v>
      </c>
      <c r="O1296" t="s">
        <v>5936</v>
      </c>
      <c r="P1296" t="s">
        <v>5937</v>
      </c>
      <c r="Q1296" t="s">
        <v>5938</v>
      </c>
      <c r="R1296">
        <v>7</v>
      </c>
      <c r="S1296">
        <v>16</v>
      </c>
    </row>
    <row r="1297" spans="1:19" x14ac:dyDescent="0.35">
      <c r="A1297">
        <v>7495</v>
      </c>
      <c r="B1297" t="s">
        <v>5939</v>
      </c>
      <c r="C1297" t="s">
        <v>20</v>
      </c>
      <c r="D1297" t="s">
        <v>5940</v>
      </c>
      <c r="E1297" t="s">
        <v>5941</v>
      </c>
      <c r="F1297" t="s">
        <v>5942</v>
      </c>
      <c r="G1297" t="s">
        <v>4649</v>
      </c>
      <c r="H1297" t="s">
        <v>5943</v>
      </c>
      <c r="I1297" t="s">
        <v>5944</v>
      </c>
      <c r="J1297" t="s">
        <v>5945</v>
      </c>
      <c r="L1297" t="s">
        <v>5946</v>
      </c>
      <c r="M1297" t="s">
        <v>38</v>
      </c>
      <c r="N1297" t="s">
        <v>5947</v>
      </c>
      <c r="O1297" t="s">
        <v>5948</v>
      </c>
      <c r="P1297" t="s">
        <v>5947</v>
      </c>
      <c r="Q1297" t="s">
        <v>5949</v>
      </c>
      <c r="R1297">
        <v>7</v>
      </c>
      <c r="S1297">
        <v>16</v>
      </c>
    </row>
    <row r="1298" spans="1:19" x14ac:dyDescent="0.35">
      <c r="A1298">
        <v>7485</v>
      </c>
      <c r="B1298" t="s">
        <v>5950</v>
      </c>
      <c r="C1298" t="s">
        <v>20</v>
      </c>
      <c r="D1298" t="s">
        <v>5951</v>
      </c>
      <c r="E1298" t="s">
        <v>5952</v>
      </c>
      <c r="F1298" t="s">
        <v>5953</v>
      </c>
      <c r="G1298" t="s">
        <v>2241</v>
      </c>
      <c r="H1298" t="s">
        <v>5954</v>
      </c>
      <c r="I1298" t="s">
        <v>5748</v>
      </c>
      <c r="J1298" t="s">
        <v>5955</v>
      </c>
      <c r="M1298" t="s">
        <v>38</v>
      </c>
      <c r="N1298" t="s">
        <v>5956</v>
      </c>
      <c r="O1298" t="s">
        <v>5703</v>
      </c>
      <c r="P1298" t="s">
        <v>5956</v>
      </c>
      <c r="Q1298" t="s">
        <v>5957</v>
      </c>
      <c r="R1298">
        <v>7</v>
      </c>
      <c r="S1298">
        <v>16</v>
      </c>
    </row>
    <row r="1299" spans="1:19" x14ac:dyDescent="0.35">
      <c r="A1299">
        <v>7476</v>
      </c>
      <c r="B1299" t="s">
        <v>5958</v>
      </c>
      <c r="C1299" t="s">
        <v>20</v>
      </c>
      <c r="D1299" t="s">
        <v>5959</v>
      </c>
      <c r="E1299" t="s">
        <v>5960</v>
      </c>
      <c r="F1299" t="s">
        <v>5961</v>
      </c>
      <c r="G1299" t="s">
        <v>3098</v>
      </c>
      <c r="H1299" t="s">
        <v>5962</v>
      </c>
      <c r="I1299" t="s">
        <v>4507</v>
      </c>
      <c r="J1299" t="s">
        <v>5963</v>
      </c>
      <c r="M1299" t="s">
        <v>38</v>
      </c>
      <c r="N1299" t="s">
        <v>5964</v>
      </c>
      <c r="O1299" t="s">
        <v>4510</v>
      </c>
      <c r="P1299" t="s">
        <v>5964</v>
      </c>
      <c r="Q1299" t="s">
        <v>5965</v>
      </c>
      <c r="R1299">
        <v>7</v>
      </c>
      <c r="S1299">
        <v>16</v>
      </c>
    </row>
    <row r="1300" spans="1:19" x14ac:dyDescent="0.35">
      <c r="A1300">
        <v>7462</v>
      </c>
      <c r="B1300" t="s">
        <v>5966</v>
      </c>
      <c r="C1300" t="s">
        <v>20</v>
      </c>
      <c r="D1300" t="s">
        <v>5967</v>
      </c>
      <c r="E1300" t="s">
        <v>5968</v>
      </c>
      <c r="F1300" t="s">
        <v>5969</v>
      </c>
      <c r="G1300" t="s">
        <v>5970</v>
      </c>
      <c r="H1300" t="s">
        <v>5971</v>
      </c>
      <c r="I1300" t="s">
        <v>5972</v>
      </c>
      <c r="J1300" t="s">
        <v>5973</v>
      </c>
      <c r="L1300" t="s">
        <v>5974</v>
      </c>
      <c r="M1300" t="s">
        <v>46</v>
      </c>
      <c r="N1300" t="s">
        <v>5975</v>
      </c>
      <c r="O1300" t="s">
        <v>5976</v>
      </c>
      <c r="P1300" t="s">
        <v>5975</v>
      </c>
      <c r="Q1300" t="s">
        <v>5977</v>
      </c>
      <c r="R1300">
        <v>7</v>
      </c>
      <c r="S1300">
        <v>16</v>
      </c>
    </row>
    <row r="1301" spans="1:19" x14ac:dyDescent="0.35">
      <c r="A1301">
        <v>607</v>
      </c>
      <c r="B1301" t="s">
        <v>1276</v>
      </c>
      <c r="C1301" t="s">
        <v>42</v>
      </c>
      <c r="D1301" t="s">
        <v>5978</v>
      </c>
      <c r="E1301" t="e" cm="1">
        <f t="array" ref="E1301">- BUDESONIDE</f>
        <v>#NAME?</v>
      </c>
      <c r="F1301" t="s">
        <v>5979</v>
      </c>
      <c r="G1301" t="s">
        <v>5980</v>
      </c>
      <c r="H1301" t="s">
        <v>5981</v>
      </c>
      <c r="I1301" t="s">
        <v>5982</v>
      </c>
      <c r="J1301" t="s">
        <v>1279</v>
      </c>
      <c r="L1301" t="s">
        <v>5983</v>
      </c>
      <c r="M1301" t="s">
        <v>340</v>
      </c>
      <c r="N1301" t="s">
        <v>1281</v>
      </c>
      <c r="O1301" t="s">
        <v>5984</v>
      </c>
      <c r="P1301" t="s">
        <v>1282</v>
      </c>
      <c r="Q1301" t="s">
        <v>5985</v>
      </c>
      <c r="R1301">
        <v>7</v>
      </c>
      <c r="S1301">
        <v>16</v>
      </c>
    </row>
    <row r="1302" spans="1:19" x14ac:dyDescent="0.35">
      <c r="A1302">
        <v>608</v>
      </c>
      <c r="B1302" t="s">
        <v>1276</v>
      </c>
      <c r="C1302" t="s">
        <v>42</v>
      </c>
      <c r="D1302" t="s">
        <v>5978</v>
      </c>
      <c r="E1302" t="e" cm="1">
        <f t="array" ref="E1302">- BUDESONIDE</f>
        <v>#NAME?</v>
      </c>
      <c r="F1302" t="s">
        <v>5979</v>
      </c>
      <c r="G1302" t="s">
        <v>5980</v>
      </c>
      <c r="H1302" t="s">
        <v>5981</v>
      </c>
      <c r="I1302" t="s">
        <v>5982</v>
      </c>
      <c r="J1302" t="s">
        <v>1279</v>
      </c>
      <c r="L1302" t="s">
        <v>5983</v>
      </c>
      <c r="M1302" t="s">
        <v>1280</v>
      </c>
      <c r="N1302" t="s">
        <v>1281</v>
      </c>
      <c r="O1302" t="s">
        <v>5984</v>
      </c>
      <c r="P1302" t="s">
        <v>1282</v>
      </c>
      <c r="Q1302" t="s">
        <v>5986</v>
      </c>
      <c r="R1302">
        <v>7</v>
      </c>
      <c r="S1302">
        <v>16</v>
      </c>
    </row>
    <row r="1303" spans="1:19" x14ac:dyDescent="0.35">
      <c r="A1303">
        <v>7703</v>
      </c>
      <c r="B1303" t="s">
        <v>5987</v>
      </c>
      <c r="C1303" t="s">
        <v>20</v>
      </c>
      <c r="D1303" t="s">
        <v>5988</v>
      </c>
      <c r="E1303" t="s">
        <v>5989</v>
      </c>
      <c r="F1303" t="s">
        <v>5990</v>
      </c>
      <c r="I1303" t="s">
        <v>5756</v>
      </c>
      <c r="J1303" t="s">
        <v>334</v>
      </c>
      <c r="M1303" t="s">
        <v>271</v>
      </c>
      <c r="N1303" t="s">
        <v>5991</v>
      </c>
      <c r="O1303" t="s">
        <v>5759</v>
      </c>
      <c r="P1303" t="s">
        <v>5991</v>
      </c>
      <c r="Q1303" t="s">
        <v>5992</v>
      </c>
      <c r="R1303">
        <v>7</v>
      </c>
      <c r="S1303">
        <v>16</v>
      </c>
    </row>
    <row r="1304" spans="1:19" x14ac:dyDescent="0.35">
      <c r="A1304">
        <v>8238</v>
      </c>
      <c r="B1304" t="s">
        <v>551</v>
      </c>
      <c r="C1304" t="s">
        <v>42</v>
      </c>
      <c r="D1304" t="s">
        <v>5993</v>
      </c>
      <c r="E1304" t="e" cm="1">
        <f t="array" ref="E1304">- POVIDONE-IODINE</f>
        <v>#NAME?</v>
      </c>
      <c r="F1304" s="1">
        <v>11500</v>
      </c>
      <c r="G1304" t="s">
        <v>5994</v>
      </c>
      <c r="J1304" t="s">
        <v>5995</v>
      </c>
      <c r="M1304" t="s">
        <v>554</v>
      </c>
      <c r="N1304" t="s">
        <v>555</v>
      </c>
      <c r="P1304" t="s">
        <v>5996</v>
      </c>
      <c r="Q1304" t="s">
        <v>5997</v>
      </c>
      <c r="R1304">
        <v>7</v>
      </c>
      <c r="S1304">
        <v>16</v>
      </c>
    </row>
    <row r="1305" spans="1:19" x14ac:dyDescent="0.35">
      <c r="A1305">
        <v>7707</v>
      </c>
      <c r="B1305" t="s">
        <v>5998</v>
      </c>
      <c r="C1305" t="s">
        <v>20</v>
      </c>
      <c r="D1305" t="s">
        <v>5999</v>
      </c>
      <c r="E1305" t="s">
        <v>6000</v>
      </c>
      <c r="F1305" t="s">
        <v>6001</v>
      </c>
      <c r="H1305" t="s">
        <v>6002</v>
      </c>
      <c r="I1305" t="s">
        <v>6003</v>
      </c>
      <c r="J1305" t="s">
        <v>6004</v>
      </c>
      <c r="M1305" t="s">
        <v>46</v>
      </c>
      <c r="N1305" t="s">
        <v>6005</v>
      </c>
      <c r="O1305" t="s">
        <v>6006</v>
      </c>
      <c r="P1305" t="s">
        <v>6007</v>
      </c>
      <c r="Q1305" t="s">
        <v>6008</v>
      </c>
      <c r="R1305">
        <v>7</v>
      </c>
      <c r="S1305">
        <v>16</v>
      </c>
    </row>
    <row r="1306" spans="1:19" x14ac:dyDescent="0.35">
      <c r="A1306">
        <v>284</v>
      </c>
      <c r="B1306" t="s">
        <v>6009</v>
      </c>
      <c r="C1306" t="s">
        <v>42</v>
      </c>
      <c r="D1306" t="s">
        <v>6010</v>
      </c>
      <c r="E1306" t="e" cm="1">
        <f t="array" ref="E1306">- SILDENAFIL CITRATE</f>
        <v>#NAME?</v>
      </c>
      <c r="F1306" t="s">
        <v>6011</v>
      </c>
      <c r="G1306" t="s">
        <v>539</v>
      </c>
      <c r="H1306" t="s">
        <v>269</v>
      </c>
      <c r="I1306" t="s">
        <v>6012</v>
      </c>
      <c r="L1306" t="s">
        <v>270</v>
      </c>
      <c r="M1306" t="s">
        <v>291</v>
      </c>
      <c r="N1306" t="s">
        <v>2519</v>
      </c>
      <c r="O1306" t="s">
        <v>6012</v>
      </c>
      <c r="P1306" t="s">
        <v>6013</v>
      </c>
      <c r="Q1306" t="s">
        <v>6014</v>
      </c>
      <c r="R1306">
        <v>7</v>
      </c>
      <c r="S1306">
        <v>16</v>
      </c>
    </row>
    <row r="1307" spans="1:19" x14ac:dyDescent="0.35">
      <c r="A1307">
        <v>498</v>
      </c>
      <c r="B1307" t="s">
        <v>6015</v>
      </c>
      <c r="C1307" t="s">
        <v>42</v>
      </c>
      <c r="D1307" t="s">
        <v>6016</v>
      </c>
      <c r="E1307" t="e" cm="1">
        <f t="array" ref="E1307">- THEOPHYLLINE</f>
        <v>#NAME?</v>
      </c>
      <c r="F1307" t="s">
        <v>6017</v>
      </c>
      <c r="G1307" t="s">
        <v>2960</v>
      </c>
      <c r="H1307" t="s">
        <v>6018</v>
      </c>
      <c r="I1307" t="s">
        <v>6019</v>
      </c>
      <c r="J1307" t="s">
        <v>810</v>
      </c>
      <c r="K1307" t="s">
        <v>6020</v>
      </c>
      <c r="L1307" t="s">
        <v>6021</v>
      </c>
      <c r="M1307" t="s">
        <v>38</v>
      </c>
      <c r="N1307" t="s">
        <v>4449</v>
      </c>
      <c r="O1307" t="s">
        <v>6022</v>
      </c>
      <c r="P1307" t="s">
        <v>6023</v>
      </c>
      <c r="Q1307" t="s">
        <v>6024</v>
      </c>
      <c r="R1307">
        <v>7</v>
      </c>
      <c r="S1307">
        <v>16</v>
      </c>
    </row>
    <row r="1308" spans="1:19" x14ac:dyDescent="0.35">
      <c r="A1308">
        <v>499</v>
      </c>
      <c r="B1308" t="s">
        <v>6015</v>
      </c>
      <c r="C1308" t="s">
        <v>42</v>
      </c>
      <c r="D1308" t="s">
        <v>6016</v>
      </c>
      <c r="E1308" t="e" cm="1">
        <f t="array" ref="E1308">- THEOPHYLLINE</f>
        <v>#NAME?</v>
      </c>
      <c r="F1308" t="s">
        <v>6017</v>
      </c>
      <c r="G1308" t="s">
        <v>2960</v>
      </c>
      <c r="H1308" t="s">
        <v>6018</v>
      </c>
      <c r="I1308" t="s">
        <v>6019</v>
      </c>
      <c r="J1308" t="s">
        <v>810</v>
      </c>
      <c r="K1308" t="s">
        <v>6020</v>
      </c>
      <c r="L1308" t="s">
        <v>6021</v>
      </c>
      <c r="M1308" t="s">
        <v>38</v>
      </c>
      <c r="N1308" t="s">
        <v>4449</v>
      </c>
      <c r="O1308" t="s">
        <v>6022</v>
      </c>
      <c r="P1308" t="s">
        <v>6023</v>
      </c>
      <c r="Q1308" t="s">
        <v>6024</v>
      </c>
      <c r="R1308">
        <v>7</v>
      </c>
      <c r="S1308">
        <v>16</v>
      </c>
    </row>
    <row r="1309" spans="1:19" x14ac:dyDescent="0.35">
      <c r="A1309">
        <v>500</v>
      </c>
      <c r="B1309" t="s">
        <v>6015</v>
      </c>
      <c r="C1309" t="s">
        <v>42</v>
      </c>
      <c r="D1309" t="s">
        <v>6025</v>
      </c>
      <c r="E1309" t="e" cm="1">
        <f t="array" ref="E1309">- THEOPHYLLINE</f>
        <v>#NAME?</v>
      </c>
      <c r="F1309" t="s">
        <v>6026</v>
      </c>
      <c r="G1309" t="s">
        <v>2960</v>
      </c>
      <c r="H1309" t="s">
        <v>6018</v>
      </c>
      <c r="I1309" t="s">
        <v>6019</v>
      </c>
      <c r="J1309" t="s">
        <v>6027</v>
      </c>
      <c r="K1309" t="s">
        <v>6020</v>
      </c>
      <c r="L1309" t="s">
        <v>6021</v>
      </c>
      <c r="M1309" t="s">
        <v>38</v>
      </c>
      <c r="N1309" t="s">
        <v>4449</v>
      </c>
      <c r="O1309" t="s">
        <v>6022</v>
      </c>
      <c r="P1309" t="s">
        <v>6023</v>
      </c>
      <c r="Q1309" t="s">
        <v>6024</v>
      </c>
      <c r="R1309">
        <v>7</v>
      </c>
      <c r="S1309">
        <v>16</v>
      </c>
    </row>
    <row r="1310" spans="1:19" x14ac:dyDescent="0.35">
      <c r="A1310">
        <v>8239</v>
      </c>
      <c r="B1310" t="s">
        <v>551</v>
      </c>
      <c r="C1310" t="s">
        <v>42</v>
      </c>
      <c r="D1310" t="s">
        <v>5993</v>
      </c>
      <c r="E1310" t="e" cm="1">
        <f t="array" ref="E1310">- POVIDONE-IODINE</f>
        <v>#NAME?</v>
      </c>
      <c r="F1310" s="1">
        <v>11500</v>
      </c>
      <c r="G1310" t="s">
        <v>5994</v>
      </c>
      <c r="J1310" t="s">
        <v>5995</v>
      </c>
      <c r="M1310" t="s">
        <v>554</v>
      </c>
      <c r="N1310" t="s">
        <v>555</v>
      </c>
      <c r="P1310" t="s">
        <v>5996</v>
      </c>
      <c r="Q1310" t="s">
        <v>5997</v>
      </c>
      <c r="R1310">
        <v>7</v>
      </c>
      <c r="S1310">
        <v>16</v>
      </c>
    </row>
    <row r="1311" spans="1:19" x14ac:dyDescent="0.35">
      <c r="A1311">
        <v>501</v>
      </c>
      <c r="B1311" t="s">
        <v>6015</v>
      </c>
      <c r="C1311" t="s">
        <v>42</v>
      </c>
      <c r="D1311" t="s">
        <v>6025</v>
      </c>
      <c r="E1311" t="e" cm="1">
        <f t="array" ref="E1311">- THEOPHYLLINE</f>
        <v>#NAME?</v>
      </c>
      <c r="F1311" t="s">
        <v>6026</v>
      </c>
      <c r="G1311" t="s">
        <v>2960</v>
      </c>
      <c r="H1311" t="s">
        <v>6018</v>
      </c>
      <c r="I1311" t="s">
        <v>6019</v>
      </c>
      <c r="J1311" t="s">
        <v>6027</v>
      </c>
      <c r="K1311" t="s">
        <v>6020</v>
      </c>
      <c r="L1311" t="s">
        <v>6021</v>
      </c>
      <c r="M1311" t="s">
        <v>38</v>
      </c>
      <c r="N1311" t="s">
        <v>4449</v>
      </c>
      <c r="O1311" t="s">
        <v>6022</v>
      </c>
      <c r="P1311" t="s">
        <v>6023</v>
      </c>
      <c r="Q1311" t="s">
        <v>6024</v>
      </c>
      <c r="R1311">
        <v>7</v>
      </c>
      <c r="S1311">
        <v>16</v>
      </c>
    </row>
    <row r="1312" spans="1:19" x14ac:dyDescent="0.35">
      <c r="A1312">
        <v>7792</v>
      </c>
      <c r="B1312" t="s">
        <v>6028</v>
      </c>
      <c r="C1312" t="s">
        <v>20</v>
      </c>
      <c r="D1312" t="s">
        <v>6029</v>
      </c>
      <c r="E1312" t="s">
        <v>6030</v>
      </c>
      <c r="F1312" t="s">
        <v>6031</v>
      </c>
      <c r="J1312" t="s">
        <v>6032</v>
      </c>
      <c r="M1312" t="s">
        <v>63</v>
      </c>
      <c r="N1312" t="s">
        <v>6033</v>
      </c>
      <c r="P1312" t="s">
        <v>6034</v>
      </c>
      <c r="Q1312" t="s">
        <v>6035</v>
      </c>
      <c r="R1312">
        <v>7</v>
      </c>
      <c r="S1312">
        <v>16</v>
      </c>
    </row>
    <row r="1313" spans="1:19" x14ac:dyDescent="0.35">
      <c r="A1313">
        <v>510</v>
      </c>
      <c r="B1313" t="s">
        <v>735</v>
      </c>
      <c r="C1313" t="s">
        <v>42</v>
      </c>
      <c r="D1313" t="s">
        <v>6036</v>
      </c>
      <c r="E1313" t="e" cm="1">
        <f t="array" ref="E1313">- AMINOPHYLLINE</f>
        <v>#NAME?</v>
      </c>
      <c r="F1313" t="s">
        <v>6037</v>
      </c>
      <c r="J1313" t="s">
        <v>6038</v>
      </c>
      <c r="M1313" t="s">
        <v>46</v>
      </c>
      <c r="N1313" t="s">
        <v>2551</v>
      </c>
      <c r="P1313" t="s">
        <v>6039</v>
      </c>
      <c r="Q1313" t="s">
        <v>6040</v>
      </c>
      <c r="R1313">
        <v>7</v>
      </c>
      <c r="S1313">
        <v>16</v>
      </c>
    </row>
    <row r="1314" spans="1:19" x14ac:dyDescent="0.35">
      <c r="A1314">
        <v>7779</v>
      </c>
      <c r="B1314" t="s">
        <v>6041</v>
      </c>
      <c r="C1314" t="s">
        <v>20</v>
      </c>
      <c r="D1314" t="s">
        <v>6042</v>
      </c>
      <c r="E1314" t="s">
        <v>4808</v>
      </c>
      <c r="F1314" t="s">
        <v>6043</v>
      </c>
      <c r="G1314" t="s">
        <v>6044</v>
      </c>
      <c r="H1314" t="s">
        <v>4811</v>
      </c>
      <c r="I1314" t="s">
        <v>4812</v>
      </c>
      <c r="J1314" t="s">
        <v>6045</v>
      </c>
      <c r="K1314" t="s">
        <v>4814</v>
      </c>
      <c r="L1314" t="s">
        <v>4815</v>
      </c>
      <c r="N1314" t="s">
        <v>4816</v>
      </c>
      <c r="O1314" t="s">
        <v>4817</v>
      </c>
      <c r="P1314" t="s">
        <v>6046</v>
      </c>
      <c r="Q1314" t="s">
        <v>6047</v>
      </c>
      <c r="R1314">
        <v>7</v>
      </c>
      <c r="S1314">
        <v>16</v>
      </c>
    </row>
    <row r="1315" spans="1:19" x14ac:dyDescent="0.35">
      <c r="A1315">
        <v>513</v>
      </c>
      <c r="B1315" t="s">
        <v>735</v>
      </c>
      <c r="C1315" t="s">
        <v>42</v>
      </c>
      <c r="D1315" t="s">
        <v>6048</v>
      </c>
      <c r="E1315" t="e" cm="1">
        <f t="array" ref="E1315">- AMINOPHYLLINE</f>
        <v>#NAME?</v>
      </c>
      <c r="F1315" t="s">
        <v>6049</v>
      </c>
      <c r="M1315" t="s">
        <v>46</v>
      </c>
      <c r="N1315" t="s">
        <v>2551</v>
      </c>
      <c r="P1315" t="s">
        <v>6050</v>
      </c>
      <c r="Q1315" t="s">
        <v>6051</v>
      </c>
      <c r="R1315">
        <v>7</v>
      </c>
      <c r="S1315">
        <v>16</v>
      </c>
    </row>
    <row r="1316" spans="1:19" x14ac:dyDescent="0.35">
      <c r="A1316">
        <v>514</v>
      </c>
      <c r="B1316" t="s">
        <v>735</v>
      </c>
      <c r="C1316" t="s">
        <v>42</v>
      </c>
      <c r="D1316" t="s">
        <v>6052</v>
      </c>
      <c r="E1316" t="e" cm="1">
        <f t="array" ref="E1316">- AMINOPHYLLINE</f>
        <v>#NAME?</v>
      </c>
      <c r="F1316" t="s">
        <v>6053</v>
      </c>
      <c r="M1316" t="s">
        <v>46</v>
      </c>
      <c r="N1316" t="s">
        <v>2551</v>
      </c>
      <c r="P1316" t="s">
        <v>6054</v>
      </c>
      <c r="Q1316" t="s">
        <v>6055</v>
      </c>
      <c r="R1316">
        <v>7</v>
      </c>
      <c r="S1316">
        <v>16</v>
      </c>
    </row>
    <row r="1317" spans="1:19" x14ac:dyDescent="0.35">
      <c r="A1317">
        <v>314</v>
      </c>
      <c r="B1317" t="s">
        <v>6056</v>
      </c>
      <c r="C1317" t="s">
        <v>42</v>
      </c>
      <c r="D1317" t="s">
        <v>6057</v>
      </c>
      <c r="E1317" t="e" cm="1">
        <f t="array" ref="E1317">- MEDROXYPROGESTERONE ACETATE</f>
        <v>#NAME?</v>
      </c>
      <c r="J1317" t="s">
        <v>6058</v>
      </c>
      <c r="M1317" t="s">
        <v>2403</v>
      </c>
      <c r="N1317" t="s">
        <v>6059</v>
      </c>
      <c r="P1317" t="s">
        <v>6060</v>
      </c>
      <c r="Q1317" t="s">
        <v>6061</v>
      </c>
      <c r="R1317">
        <v>7</v>
      </c>
      <c r="S1317">
        <v>16</v>
      </c>
    </row>
    <row r="1318" spans="1:19" x14ac:dyDescent="0.35">
      <c r="A1318">
        <v>313</v>
      </c>
      <c r="B1318" t="s">
        <v>6056</v>
      </c>
      <c r="C1318" t="s">
        <v>42</v>
      </c>
      <c r="D1318" t="s">
        <v>6057</v>
      </c>
      <c r="E1318" t="e" cm="1">
        <f t="array" ref="E1318">- MEDROXYPROGESTERONE ACETATE</f>
        <v>#NAME?</v>
      </c>
      <c r="J1318" t="s">
        <v>6058</v>
      </c>
      <c r="M1318" t="s">
        <v>2403</v>
      </c>
      <c r="N1318" t="s">
        <v>6059</v>
      </c>
      <c r="P1318" t="s">
        <v>6060</v>
      </c>
      <c r="Q1318" t="s">
        <v>6061</v>
      </c>
      <c r="R1318">
        <v>7</v>
      </c>
      <c r="S1318">
        <v>16</v>
      </c>
    </row>
    <row r="1319" spans="1:19" x14ac:dyDescent="0.35">
      <c r="A1319">
        <v>285</v>
      </c>
      <c r="B1319" t="s">
        <v>6009</v>
      </c>
      <c r="C1319" t="s">
        <v>42</v>
      </c>
      <c r="D1319" t="s">
        <v>6010</v>
      </c>
      <c r="E1319" t="e" cm="1">
        <f t="array" ref="E1319">- SILDENAFIL CITRATE</f>
        <v>#NAME?</v>
      </c>
      <c r="F1319" t="s">
        <v>6011</v>
      </c>
      <c r="G1319" t="s">
        <v>539</v>
      </c>
      <c r="H1319" t="s">
        <v>269</v>
      </c>
      <c r="I1319" t="s">
        <v>6012</v>
      </c>
      <c r="L1319" t="s">
        <v>270</v>
      </c>
      <c r="M1319" t="s">
        <v>291</v>
      </c>
      <c r="N1319" t="s">
        <v>2519</v>
      </c>
      <c r="O1319" t="s">
        <v>6012</v>
      </c>
      <c r="P1319" t="s">
        <v>6013</v>
      </c>
      <c r="Q1319" t="s">
        <v>6014</v>
      </c>
      <c r="R1319">
        <v>7</v>
      </c>
      <c r="S1319">
        <v>16</v>
      </c>
    </row>
    <row r="1320" spans="1:19" x14ac:dyDescent="0.35">
      <c r="A1320">
        <v>7745</v>
      </c>
      <c r="B1320" t="s">
        <v>6062</v>
      </c>
      <c r="C1320" t="s">
        <v>20</v>
      </c>
      <c r="D1320" t="s">
        <v>6063</v>
      </c>
      <c r="E1320" t="s">
        <v>6064</v>
      </c>
      <c r="F1320" t="s">
        <v>6065</v>
      </c>
      <c r="G1320" t="s">
        <v>6066</v>
      </c>
      <c r="H1320" t="s">
        <v>6067</v>
      </c>
      <c r="I1320" t="s">
        <v>6068</v>
      </c>
      <c r="J1320" t="s">
        <v>6069</v>
      </c>
      <c r="M1320" t="s">
        <v>38</v>
      </c>
      <c r="N1320" t="s">
        <v>6070</v>
      </c>
      <c r="O1320" t="s">
        <v>6071</v>
      </c>
      <c r="P1320" t="s">
        <v>6070</v>
      </c>
      <c r="Q1320" t="s">
        <v>6072</v>
      </c>
      <c r="R1320">
        <v>7</v>
      </c>
      <c r="S1320">
        <v>16</v>
      </c>
    </row>
    <row r="1321" spans="1:19" x14ac:dyDescent="0.35">
      <c r="A1321">
        <v>7735</v>
      </c>
      <c r="B1321" t="s">
        <v>6073</v>
      </c>
      <c r="C1321" t="s">
        <v>20</v>
      </c>
      <c r="D1321" t="s">
        <v>6074</v>
      </c>
      <c r="E1321" t="s">
        <v>6075</v>
      </c>
      <c r="F1321" t="s">
        <v>6076</v>
      </c>
      <c r="G1321" t="s">
        <v>6077</v>
      </c>
      <c r="H1321" t="s">
        <v>5414</v>
      </c>
      <c r="I1321" t="s">
        <v>6068</v>
      </c>
      <c r="J1321" t="s">
        <v>6078</v>
      </c>
      <c r="K1321" t="s">
        <v>6079</v>
      </c>
      <c r="L1321" t="s">
        <v>6080</v>
      </c>
      <c r="M1321" t="s">
        <v>46</v>
      </c>
      <c r="N1321" t="s">
        <v>6081</v>
      </c>
      <c r="O1321" t="s">
        <v>6071</v>
      </c>
      <c r="P1321" t="s">
        <v>6081</v>
      </c>
      <c r="Q1321" t="s">
        <v>6082</v>
      </c>
      <c r="R1321">
        <v>7</v>
      </c>
      <c r="S1321">
        <v>16</v>
      </c>
    </row>
    <row r="1322" spans="1:19" x14ac:dyDescent="0.35">
      <c r="A1322">
        <v>7709</v>
      </c>
      <c r="B1322" t="s">
        <v>6083</v>
      </c>
      <c r="C1322" t="s">
        <v>20</v>
      </c>
      <c r="D1322" t="s">
        <v>6084</v>
      </c>
      <c r="E1322" t="s">
        <v>6085</v>
      </c>
      <c r="F1322" t="s">
        <v>6086</v>
      </c>
      <c r="H1322" t="s">
        <v>6087</v>
      </c>
      <c r="I1322" t="s">
        <v>6088</v>
      </c>
      <c r="J1322" t="s">
        <v>3409</v>
      </c>
      <c r="M1322" t="s">
        <v>38</v>
      </c>
      <c r="N1322" t="s">
        <v>6089</v>
      </c>
      <c r="O1322" t="s">
        <v>6090</v>
      </c>
      <c r="P1322" t="s">
        <v>6089</v>
      </c>
      <c r="Q1322" t="s">
        <v>6091</v>
      </c>
      <c r="R1322">
        <v>7</v>
      </c>
      <c r="S1322">
        <v>16</v>
      </c>
    </row>
    <row r="1323" spans="1:19" x14ac:dyDescent="0.35">
      <c r="A1323">
        <v>6447</v>
      </c>
      <c r="B1323" t="s">
        <v>5659</v>
      </c>
      <c r="C1323" t="s">
        <v>42</v>
      </c>
      <c r="D1323" t="s">
        <v>5660</v>
      </c>
      <c r="E1323" t="e" cm="1">
        <f t="array" ref="E1323">- THIAMPHENICOL</f>
        <v>#NAME?</v>
      </c>
      <c r="F1323" t="s">
        <v>5661</v>
      </c>
      <c r="G1323" t="s">
        <v>737</v>
      </c>
      <c r="H1323" t="s">
        <v>5662</v>
      </c>
      <c r="I1323" t="s">
        <v>5570</v>
      </c>
      <c r="J1323" t="s">
        <v>5663</v>
      </c>
      <c r="K1323" t="s">
        <v>5572</v>
      </c>
      <c r="L1323" t="s">
        <v>5664</v>
      </c>
      <c r="M1323" t="s">
        <v>38</v>
      </c>
      <c r="N1323" t="s">
        <v>272</v>
      </c>
      <c r="O1323" t="s">
        <v>5574</v>
      </c>
      <c r="P1323" t="s">
        <v>5575</v>
      </c>
      <c r="Q1323" t="s">
        <v>5665</v>
      </c>
      <c r="R1323">
        <v>7</v>
      </c>
      <c r="S1323">
        <v>16</v>
      </c>
    </row>
    <row r="1324" spans="1:19" x14ac:dyDescent="0.35">
      <c r="A1324">
        <v>6696</v>
      </c>
      <c r="B1324" t="s">
        <v>5643</v>
      </c>
      <c r="C1324" t="s">
        <v>42</v>
      </c>
      <c r="D1324" t="s">
        <v>5644</v>
      </c>
      <c r="E1324" t="e" cm="1">
        <f t="array" ref="E1324">- METHISOPRINOL</f>
        <v>#NAME?</v>
      </c>
      <c r="F1324" t="s">
        <v>5645</v>
      </c>
      <c r="G1324" t="s">
        <v>5646</v>
      </c>
      <c r="H1324" t="s">
        <v>5647</v>
      </c>
      <c r="I1324" t="s">
        <v>5648</v>
      </c>
      <c r="J1324" t="s">
        <v>334</v>
      </c>
      <c r="L1324" t="s">
        <v>5649</v>
      </c>
      <c r="M1324" t="s">
        <v>271</v>
      </c>
      <c r="N1324" t="s">
        <v>322</v>
      </c>
      <c r="O1324" t="s">
        <v>5650</v>
      </c>
      <c r="P1324" t="s">
        <v>5651</v>
      </c>
      <c r="Q1324" t="s">
        <v>5652</v>
      </c>
      <c r="R1324">
        <v>7</v>
      </c>
      <c r="S1324">
        <v>16</v>
      </c>
    </row>
    <row r="1325" spans="1:19" x14ac:dyDescent="0.35">
      <c r="A1325">
        <v>8171</v>
      </c>
      <c r="B1325" t="s">
        <v>551</v>
      </c>
      <c r="C1325" t="s">
        <v>42</v>
      </c>
      <c r="D1325" t="s">
        <v>5653</v>
      </c>
      <c r="E1325" t="e" cm="1">
        <f t="array" ref="E1325">- POVIDONE-IODINE</f>
        <v>#NAME?</v>
      </c>
      <c r="F1325" s="1">
        <v>96800</v>
      </c>
      <c r="G1325" t="s">
        <v>5654</v>
      </c>
      <c r="H1325" t="s">
        <v>1322</v>
      </c>
      <c r="I1325" t="s">
        <v>5655</v>
      </c>
      <c r="J1325" t="s">
        <v>5656</v>
      </c>
      <c r="M1325" t="s">
        <v>554</v>
      </c>
      <c r="N1325" t="s">
        <v>555</v>
      </c>
      <c r="O1325" t="s">
        <v>5657</v>
      </c>
      <c r="P1325" t="s">
        <v>2689</v>
      </c>
      <c r="Q1325" t="s">
        <v>5658</v>
      </c>
      <c r="R1325">
        <v>7</v>
      </c>
      <c r="S1325">
        <v>16</v>
      </c>
    </row>
    <row r="1326" spans="1:19" x14ac:dyDescent="0.35">
      <c r="A1326">
        <v>9863</v>
      </c>
      <c r="B1326" t="s">
        <v>6092</v>
      </c>
      <c r="C1326" t="s">
        <v>42</v>
      </c>
      <c r="D1326" t="s">
        <v>6093</v>
      </c>
      <c r="E1326" t="e" cm="1">
        <f t="array" ref="E1326">- ROSUVASTATIN CALCIUM</f>
        <v>#NAME?</v>
      </c>
      <c r="F1326" s="1">
        <v>123600</v>
      </c>
      <c r="G1326" t="s">
        <v>6094</v>
      </c>
      <c r="H1326" t="s">
        <v>6095</v>
      </c>
      <c r="I1326" t="s">
        <v>6096</v>
      </c>
      <c r="J1326" t="s">
        <v>2100</v>
      </c>
      <c r="K1326" t="s">
        <v>6097</v>
      </c>
      <c r="L1326" t="s">
        <v>6098</v>
      </c>
      <c r="M1326" t="s">
        <v>46</v>
      </c>
      <c r="N1326" t="s">
        <v>2308</v>
      </c>
      <c r="O1326" t="s">
        <v>6099</v>
      </c>
      <c r="P1326" t="s">
        <v>6100</v>
      </c>
      <c r="Q1326" t="s">
        <v>6101</v>
      </c>
      <c r="R1326">
        <v>7</v>
      </c>
      <c r="S1326">
        <v>16</v>
      </c>
    </row>
    <row r="1327" spans="1:19" x14ac:dyDescent="0.35">
      <c r="A1327">
        <v>9864</v>
      </c>
      <c r="B1327" t="s">
        <v>6092</v>
      </c>
      <c r="C1327" t="s">
        <v>42</v>
      </c>
      <c r="D1327" t="s">
        <v>6093</v>
      </c>
      <c r="E1327" t="e" cm="1">
        <f t="array" ref="E1327">- ROSUVASTATIN CALCIUM</f>
        <v>#NAME?</v>
      </c>
      <c r="F1327" s="1">
        <v>123600</v>
      </c>
      <c r="G1327" t="s">
        <v>6094</v>
      </c>
      <c r="H1327" t="s">
        <v>6095</v>
      </c>
      <c r="I1327" t="s">
        <v>6096</v>
      </c>
      <c r="J1327" t="s">
        <v>2100</v>
      </c>
      <c r="K1327" t="s">
        <v>6097</v>
      </c>
      <c r="L1327" t="s">
        <v>6098</v>
      </c>
      <c r="M1327" t="s">
        <v>46</v>
      </c>
      <c r="N1327" t="s">
        <v>2308</v>
      </c>
      <c r="O1327" t="s">
        <v>6099</v>
      </c>
      <c r="P1327" t="s">
        <v>6100</v>
      </c>
      <c r="Q1327" t="s">
        <v>6101</v>
      </c>
      <c r="R1327">
        <v>7</v>
      </c>
      <c r="S1327">
        <v>16</v>
      </c>
    </row>
    <row r="1328" spans="1:19" x14ac:dyDescent="0.35">
      <c r="A1328">
        <v>9865</v>
      </c>
      <c r="B1328" t="s">
        <v>6102</v>
      </c>
      <c r="C1328" t="s">
        <v>42</v>
      </c>
      <c r="D1328" t="s">
        <v>6103</v>
      </c>
      <c r="E1328" t="e" cm="1">
        <f t="array" ref="E1328">- ROSUVASTATIN CALCIUM</f>
        <v>#NAME?</v>
      </c>
      <c r="F1328" t="s">
        <v>6104</v>
      </c>
      <c r="G1328" t="s">
        <v>6105</v>
      </c>
      <c r="H1328" t="s">
        <v>6106</v>
      </c>
    </row>
    <row r="1329" spans="1:19" x14ac:dyDescent="0.35">
      <c r="A1329">
        <v>5365</v>
      </c>
      <c r="B1329" t="s">
        <v>2794</v>
      </c>
      <c r="C1329" t="s">
        <v>42</v>
      </c>
      <c r="D1329" t="s">
        <v>2795</v>
      </c>
      <c r="E1329" t="e" cm="1">
        <f t="array" ref="E1329">- BETAMETHASONE VALERATE. GENTAMICIN SULFATE</f>
        <v>#NAME?</v>
      </c>
      <c r="F1329" t="s">
        <v>2796</v>
      </c>
      <c r="M1329" t="s">
        <v>1289</v>
      </c>
      <c r="N1329" t="s">
        <v>6107</v>
      </c>
      <c r="P1329" t="s">
        <v>2797</v>
      </c>
      <c r="Q1329" t="s">
        <v>6108</v>
      </c>
      <c r="R1329">
        <v>7</v>
      </c>
      <c r="S1329">
        <v>16</v>
      </c>
    </row>
    <row r="1330" spans="1:19" x14ac:dyDescent="0.35">
      <c r="A1330">
        <v>9866</v>
      </c>
      <c r="B1330" t="s">
        <v>6102</v>
      </c>
      <c r="C1330" t="s">
        <v>42</v>
      </c>
      <c r="D1330" t="s">
        <v>6103</v>
      </c>
      <c r="E1330" t="e" cm="1">
        <f t="array" ref="E1330">- ROSUVASTATIN CALCIUM</f>
        <v>#NAME?</v>
      </c>
      <c r="F1330" t="s">
        <v>6104</v>
      </c>
      <c r="G1330" t="s">
        <v>6105</v>
      </c>
      <c r="H1330" t="s">
        <v>6106</v>
      </c>
    </row>
    <row r="1331" spans="1:19" x14ac:dyDescent="0.35">
      <c r="A1331">
        <v>4902</v>
      </c>
      <c r="B1331" t="s">
        <v>6109</v>
      </c>
      <c r="C1331" t="s">
        <v>42</v>
      </c>
      <c r="D1331" t="s">
        <v>6110</v>
      </c>
      <c r="E1331" t="e" cm="1">
        <f t="array" ref="E1331">- CLINDAMYCIN PHOSPHATE</f>
        <v>#NAME?</v>
      </c>
      <c r="F1331" t="s">
        <v>6111</v>
      </c>
      <c r="G1331" t="s">
        <v>6112</v>
      </c>
      <c r="H1331" t="s">
        <v>6113</v>
      </c>
      <c r="I1331" t="s">
        <v>6114</v>
      </c>
      <c r="J1331" t="s">
        <v>1367</v>
      </c>
      <c r="K1331" t="s">
        <v>2726</v>
      </c>
      <c r="L1331" t="s">
        <v>6115</v>
      </c>
      <c r="M1331" t="s">
        <v>87</v>
      </c>
      <c r="N1331" t="s">
        <v>1370</v>
      </c>
      <c r="O1331" t="s">
        <v>6116</v>
      </c>
      <c r="P1331" t="s">
        <v>6117</v>
      </c>
      <c r="Q1331" t="s">
        <v>6118</v>
      </c>
      <c r="R1331">
        <v>7</v>
      </c>
      <c r="S1331">
        <v>16</v>
      </c>
    </row>
    <row r="1332" spans="1:19" x14ac:dyDescent="0.35">
      <c r="A1332">
        <v>5380</v>
      </c>
      <c r="B1332" t="s">
        <v>3908</v>
      </c>
      <c r="C1332" t="s">
        <v>42</v>
      </c>
      <c r="D1332" t="s">
        <v>3909</v>
      </c>
      <c r="E1332" t="e" cm="1">
        <f t="array" ref="E1332">- GENTAMICIN SULFATE</f>
        <v>#NAME?</v>
      </c>
      <c r="F1332" t="s">
        <v>3910</v>
      </c>
      <c r="H1332" t="s">
        <v>3911</v>
      </c>
      <c r="I1332" t="s">
        <v>3912</v>
      </c>
      <c r="J1332" t="s">
        <v>2765</v>
      </c>
      <c r="L1332" t="s">
        <v>270</v>
      </c>
      <c r="M1332" t="s">
        <v>1289</v>
      </c>
      <c r="N1332" t="s">
        <v>6119</v>
      </c>
      <c r="O1332" t="s">
        <v>3914</v>
      </c>
      <c r="P1332" t="s">
        <v>3915</v>
      </c>
      <c r="Q1332" t="s">
        <v>6120</v>
      </c>
      <c r="R1332">
        <v>7</v>
      </c>
      <c r="S1332">
        <v>16</v>
      </c>
    </row>
    <row r="1333" spans="1:19" x14ac:dyDescent="0.35">
      <c r="A1333">
        <v>87</v>
      </c>
      <c r="B1333" t="s">
        <v>2902</v>
      </c>
      <c r="C1333" t="s">
        <v>42</v>
      </c>
      <c r="D1333" t="s">
        <v>5598</v>
      </c>
      <c r="E1333" t="e" cm="1">
        <f t="array" ref="E1333">- SILDENAFIL CITRATE</f>
        <v>#NAME?</v>
      </c>
      <c r="F1333" t="s">
        <v>5599</v>
      </c>
      <c r="G1333" t="s">
        <v>5600</v>
      </c>
      <c r="H1333" t="s">
        <v>1322</v>
      </c>
      <c r="I1333" t="s">
        <v>5601</v>
      </c>
      <c r="J1333" t="s">
        <v>5602</v>
      </c>
      <c r="M1333" t="s">
        <v>46</v>
      </c>
      <c r="N1333" t="s">
        <v>2519</v>
      </c>
      <c r="O1333" t="s">
        <v>5603</v>
      </c>
      <c r="P1333" t="s">
        <v>5604</v>
      </c>
      <c r="Q1333" t="s">
        <v>6121</v>
      </c>
      <c r="R1333">
        <v>7</v>
      </c>
      <c r="S1333">
        <v>16</v>
      </c>
    </row>
    <row r="1334" spans="1:19" x14ac:dyDescent="0.35">
      <c r="A1334">
        <v>5406</v>
      </c>
      <c r="B1334" t="s">
        <v>6122</v>
      </c>
      <c r="C1334" t="s">
        <v>42</v>
      </c>
      <c r="D1334" t="s">
        <v>6123</v>
      </c>
      <c r="E1334" t="e" cm="1">
        <f t="array" ref="E1334">- CHLORAMPHENICOL</f>
        <v>#NAME?</v>
      </c>
      <c r="F1334" t="s">
        <v>6124</v>
      </c>
      <c r="G1334" t="s">
        <v>6125</v>
      </c>
      <c r="H1334" t="s">
        <v>6126</v>
      </c>
      <c r="I1334" t="s">
        <v>6127</v>
      </c>
      <c r="J1334" t="s">
        <v>2765</v>
      </c>
      <c r="K1334" t="s">
        <v>2726</v>
      </c>
      <c r="L1334" t="s">
        <v>6128</v>
      </c>
      <c r="M1334" t="s">
        <v>1289</v>
      </c>
      <c r="N1334" t="s">
        <v>1188</v>
      </c>
      <c r="O1334" t="s">
        <v>6129</v>
      </c>
      <c r="P1334" t="s">
        <v>6130</v>
      </c>
      <c r="Q1334" t="s">
        <v>6131</v>
      </c>
      <c r="R1334">
        <v>7</v>
      </c>
      <c r="S1334">
        <v>16</v>
      </c>
    </row>
    <row r="1335" spans="1:19" x14ac:dyDescent="0.35">
      <c r="A1335">
        <v>4301</v>
      </c>
      <c r="B1335" t="s">
        <v>6132</v>
      </c>
      <c r="C1335" t="s">
        <v>42</v>
      </c>
      <c r="D1335" t="s">
        <v>6133</v>
      </c>
      <c r="E1335" t="e" cm="1">
        <f t="array" ref="E1335">- MEBHYDROLIN NAPADISILATE</f>
        <v>#NAME?</v>
      </c>
      <c r="F1335" t="s">
        <v>6134</v>
      </c>
      <c r="G1335" t="s">
        <v>6135</v>
      </c>
      <c r="H1335" t="s">
        <v>6136</v>
      </c>
    </row>
    <row r="1336" spans="1:19" x14ac:dyDescent="0.35">
      <c r="A1336">
        <v>88</v>
      </c>
      <c r="B1336" t="s">
        <v>2902</v>
      </c>
      <c r="C1336" t="s">
        <v>42</v>
      </c>
      <c r="D1336" t="s">
        <v>6137</v>
      </c>
      <c r="E1336" t="e" cm="1">
        <f t="array" ref="E1336">- SILDENAFIL CITRATE</f>
        <v>#NAME?</v>
      </c>
      <c r="F1336" t="s">
        <v>6138</v>
      </c>
      <c r="M1336" t="s">
        <v>46</v>
      </c>
      <c r="N1336" t="s">
        <v>2519</v>
      </c>
      <c r="P1336" t="s">
        <v>6139</v>
      </c>
      <c r="Q1336" t="s">
        <v>6140</v>
      </c>
      <c r="R1336">
        <v>7</v>
      </c>
      <c r="S1336">
        <v>16</v>
      </c>
    </row>
    <row r="1337" spans="1:19" x14ac:dyDescent="0.35">
      <c r="A1337">
        <v>91</v>
      </c>
      <c r="B1337" t="s">
        <v>2902</v>
      </c>
      <c r="C1337" t="s">
        <v>42</v>
      </c>
      <c r="D1337" t="s">
        <v>6141</v>
      </c>
      <c r="E1337" t="e" cm="1">
        <f t="array" ref="E1337">- SILDENAFIL CITRATE</f>
        <v>#NAME?</v>
      </c>
      <c r="F1337" t="s">
        <v>6142</v>
      </c>
      <c r="J1337" t="s">
        <v>6143</v>
      </c>
      <c r="M1337" t="s">
        <v>46</v>
      </c>
      <c r="N1337" t="s">
        <v>2519</v>
      </c>
      <c r="P1337" t="s">
        <v>6144</v>
      </c>
      <c r="Q1337" t="s">
        <v>6145</v>
      </c>
      <c r="R1337">
        <v>7</v>
      </c>
      <c r="S1337">
        <v>16</v>
      </c>
    </row>
    <row r="1338" spans="1:19" x14ac:dyDescent="0.35">
      <c r="A1338">
        <v>92</v>
      </c>
      <c r="B1338" t="s">
        <v>2902</v>
      </c>
      <c r="C1338" t="s">
        <v>42</v>
      </c>
      <c r="D1338" t="s">
        <v>6146</v>
      </c>
      <c r="E1338" t="e" cm="1">
        <f t="array" ref="E1338">- SILDENAFIL CITRATE</f>
        <v>#NAME?</v>
      </c>
      <c r="F1338" t="s">
        <v>6147</v>
      </c>
      <c r="J1338" t="s">
        <v>6148</v>
      </c>
      <c r="M1338" t="s">
        <v>46</v>
      </c>
      <c r="N1338" t="s">
        <v>2519</v>
      </c>
      <c r="P1338" t="s">
        <v>6144</v>
      </c>
      <c r="Q1338" t="s">
        <v>6145</v>
      </c>
      <c r="R1338">
        <v>7</v>
      </c>
      <c r="S1338">
        <v>16</v>
      </c>
    </row>
    <row r="1339" spans="1:19" x14ac:dyDescent="0.35">
      <c r="A1339">
        <v>5506</v>
      </c>
      <c r="B1339" t="s">
        <v>6149</v>
      </c>
      <c r="C1339" t="s">
        <v>42</v>
      </c>
      <c r="D1339" t="s">
        <v>6150</v>
      </c>
      <c r="E1339" t="e" cm="1">
        <f t="array" ref="E1339">- SELENIUM SULFIDE</f>
        <v>#NAME?</v>
      </c>
      <c r="F1339" t="s">
        <v>6151</v>
      </c>
      <c r="H1339" t="s">
        <v>6152</v>
      </c>
      <c r="I1339" t="s">
        <v>6153</v>
      </c>
      <c r="L1339" t="s">
        <v>270</v>
      </c>
      <c r="M1339" t="s">
        <v>554</v>
      </c>
      <c r="N1339" t="s">
        <v>6154</v>
      </c>
      <c r="O1339" t="s">
        <v>6155</v>
      </c>
      <c r="P1339" t="s">
        <v>6156</v>
      </c>
      <c r="Q1339" t="s">
        <v>6157</v>
      </c>
      <c r="R1339">
        <v>7</v>
      </c>
      <c r="S1339">
        <v>16</v>
      </c>
    </row>
    <row r="1340" spans="1:19" x14ac:dyDescent="0.35">
      <c r="A1340">
        <v>93</v>
      </c>
      <c r="B1340" t="s">
        <v>2902</v>
      </c>
      <c r="C1340" t="s">
        <v>42</v>
      </c>
      <c r="D1340" t="s">
        <v>6158</v>
      </c>
      <c r="E1340" t="e" cm="1">
        <f t="array" ref="E1340">- SILDENAFIL CITRATE</f>
        <v>#NAME?</v>
      </c>
      <c r="F1340" t="s">
        <v>6159</v>
      </c>
      <c r="J1340" t="s">
        <v>6160</v>
      </c>
      <c r="M1340" t="s">
        <v>46</v>
      </c>
      <c r="N1340" t="s">
        <v>2519</v>
      </c>
      <c r="P1340" t="s">
        <v>6161</v>
      </c>
      <c r="Q1340" t="s">
        <v>6162</v>
      </c>
      <c r="R1340">
        <v>7</v>
      </c>
      <c r="S1340">
        <v>16</v>
      </c>
    </row>
    <row r="1341" spans="1:19" x14ac:dyDescent="0.35">
      <c r="A1341">
        <v>965</v>
      </c>
      <c r="B1341" t="s">
        <v>6163</v>
      </c>
      <c r="C1341" t="s">
        <v>42</v>
      </c>
      <c r="D1341" t="s">
        <v>6164</v>
      </c>
      <c r="E1341" t="e" cm="1">
        <f t="array" ref="E1341">- CHLORPHENAMINE MALEATE</f>
        <v>#NAME?</v>
      </c>
      <c r="F1341" t="s">
        <v>6165</v>
      </c>
      <c r="G1341" t="s">
        <v>6166</v>
      </c>
      <c r="H1341" t="s">
        <v>6167</v>
      </c>
      <c r="I1341" t="s">
        <v>6168</v>
      </c>
      <c r="J1341" t="s">
        <v>6169</v>
      </c>
      <c r="K1341" t="s">
        <v>6170</v>
      </c>
      <c r="L1341" t="s">
        <v>6171</v>
      </c>
      <c r="M1341" t="s">
        <v>46</v>
      </c>
      <c r="N1341" t="s">
        <v>1354</v>
      </c>
      <c r="O1341" t="s">
        <v>6172</v>
      </c>
      <c r="P1341" t="s">
        <v>6173</v>
      </c>
      <c r="Q1341" t="s">
        <v>6174</v>
      </c>
      <c r="R1341">
        <v>7</v>
      </c>
      <c r="S1341">
        <v>16</v>
      </c>
    </row>
    <row r="1342" spans="1:19" x14ac:dyDescent="0.35">
      <c r="A1342">
        <v>964</v>
      </c>
      <c r="B1342" t="s">
        <v>6163</v>
      </c>
      <c r="C1342" t="s">
        <v>42</v>
      </c>
      <c r="D1342" t="s">
        <v>6164</v>
      </c>
      <c r="E1342" t="e" cm="1">
        <f t="array" ref="E1342">- CHLORPHENAMINE MALEATE</f>
        <v>#NAME?</v>
      </c>
      <c r="F1342" t="s">
        <v>6165</v>
      </c>
      <c r="G1342" t="s">
        <v>6166</v>
      </c>
      <c r="H1342" t="s">
        <v>6167</v>
      </c>
      <c r="I1342" t="s">
        <v>6168</v>
      </c>
      <c r="J1342" t="s">
        <v>6169</v>
      </c>
      <c r="K1342" t="s">
        <v>6170</v>
      </c>
      <c r="L1342" t="s">
        <v>6171</v>
      </c>
      <c r="M1342" t="s">
        <v>46</v>
      </c>
      <c r="N1342" t="s">
        <v>1354</v>
      </c>
      <c r="O1342" t="s">
        <v>6172</v>
      </c>
      <c r="P1342" t="s">
        <v>6173</v>
      </c>
      <c r="Q1342" t="s">
        <v>6174</v>
      </c>
      <c r="R1342">
        <v>7</v>
      </c>
      <c r="S1342">
        <v>16</v>
      </c>
    </row>
    <row r="1343" spans="1:19" x14ac:dyDescent="0.35">
      <c r="A1343">
        <v>9212</v>
      </c>
      <c r="B1343" t="s">
        <v>6175</v>
      </c>
      <c r="C1343" t="s">
        <v>42</v>
      </c>
      <c r="D1343" t="s">
        <v>6176</v>
      </c>
      <c r="E1343" t="e" cm="1">
        <f t="array" ref="E1343">- BISOPROLOL FUMARATE</f>
        <v>#NAME?</v>
      </c>
      <c r="F1343" t="s">
        <v>6177</v>
      </c>
      <c r="G1343" t="s">
        <v>2880</v>
      </c>
      <c r="H1343" t="s">
        <v>6178</v>
      </c>
      <c r="I1343" t="s">
        <v>6179</v>
      </c>
      <c r="J1343" t="s">
        <v>2100</v>
      </c>
      <c r="K1343" t="s">
        <v>6180</v>
      </c>
      <c r="L1343" t="s">
        <v>6181</v>
      </c>
      <c r="M1343" t="s">
        <v>46</v>
      </c>
      <c r="N1343" t="s">
        <v>6182</v>
      </c>
      <c r="O1343" t="s">
        <v>6183</v>
      </c>
      <c r="P1343" t="s">
        <v>6184</v>
      </c>
      <c r="Q1343" t="s">
        <v>6185</v>
      </c>
      <c r="R1343">
        <v>7</v>
      </c>
      <c r="S1343">
        <v>16</v>
      </c>
    </row>
    <row r="1344" spans="1:19" x14ac:dyDescent="0.35">
      <c r="A1344">
        <v>4287</v>
      </c>
      <c r="B1344" t="s">
        <v>6186</v>
      </c>
      <c r="C1344" t="s">
        <v>42</v>
      </c>
      <c r="D1344" t="s">
        <v>6187</v>
      </c>
      <c r="E1344" t="e" cm="1">
        <f t="array" ref="E1344">- BEPOTASTINE BESILATE</f>
        <v>#NAME?</v>
      </c>
      <c r="F1344" t="s">
        <v>6188</v>
      </c>
      <c r="G1344" t="s">
        <v>2266</v>
      </c>
      <c r="H1344" t="s">
        <v>6189</v>
      </c>
      <c r="I1344" t="s">
        <v>6190</v>
      </c>
      <c r="J1344" t="s">
        <v>2100</v>
      </c>
      <c r="K1344" t="s">
        <v>6191</v>
      </c>
      <c r="L1344" t="s">
        <v>6192</v>
      </c>
      <c r="M1344" t="s">
        <v>46</v>
      </c>
      <c r="N1344" t="s">
        <v>6193</v>
      </c>
      <c r="O1344" t="s">
        <v>6194</v>
      </c>
      <c r="P1344" t="s">
        <v>6195</v>
      </c>
      <c r="Q1344" t="s">
        <v>6196</v>
      </c>
      <c r="R1344">
        <v>7</v>
      </c>
      <c r="S1344">
        <v>16</v>
      </c>
    </row>
    <row r="1345" spans="1:19" x14ac:dyDescent="0.35">
      <c r="A1345">
        <v>5364</v>
      </c>
      <c r="B1345" t="s">
        <v>2794</v>
      </c>
      <c r="C1345" t="s">
        <v>42</v>
      </c>
      <c r="D1345" t="s">
        <v>2795</v>
      </c>
      <c r="E1345" t="e" cm="1">
        <f t="array" ref="E1345">- BETAMETHASONE VALERATE. GENTAMICIN SULFATE</f>
        <v>#NAME?</v>
      </c>
      <c r="F1345" t="s">
        <v>2796</v>
      </c>
      <c r="M1345" t="s">
        <v>1289</v>
      </c>
      <c r="N1345" t="s">
        <v>6107</v>
      </c>
      <c r="P1345" t="s">
        <v>2797</v>
      </c>
      <c r="Q1345" t="s">
        <v>6108</v>
      </c>
      <c r="R1345">
        <v>7</v>
      </c>
      <c r="S1345">
        <v>16</v>
      </c>
    </row>
    <row r="1346" spans="1:19" x14ac:dyDescent="0.35">
      <c r="A1346">
        <v>82</v>
      </c>
      <c r="B1346" t="s">
        <v>2902</v>
      </c>
      <c r="C1346" t="s">
        <v>42</v>
      </c>
      <c r="D1346" t="s">
        <v>6197</v>
      </c>
      <c r="E1346" t="e" cm="1">
        <f t="array" ref="E1346">- SILDENAFIL CITRATE</f>
        <v>#NAME?</v>
      </c>
      <c r="F1346" s="1">
        <v>19800</v>
      </c>
      <c r="H1346" t="s">
        <v>1322</v>
      </c>
      <c r="J1346" t="s">
        <v>6198</v>
      </c>
      <c r="M1346" t="s">
        <v>46</v>
      </c>
      <c r="N1346" t="s">
        <v>2519</v>
      </c>
      <c r="P1346" t="s">
        <v>6199</v>
      </c>
      <c r="Q1346" t="s">
        <v>6200</v>
      </c>
      <c r="R1346">
        <v>7</v>
      </c>
      <c r="S1346">
        <v>16</v>
      </c>
    </row>
    <row r="1347" spans="1:19" x14ac:dyDescent="0.35">
      <c r="A1347">
        <v>9862</v>
      </c>
      <c r="B1347" t="s">
        <v>6092</v>
      </c>
      <c r="C1347" t="s">
        <v>42</v>
      </c>
      <c r="D1347" t="s">
        <v>6093</v>
      </c>
      <c r="E1347" t="e" cm="1">
        <f t="array" ref="E1347">- ROSUVASTATIN CALCIUM</f>
        <v>#NAME?</v>
      </c>
      <c r="F1347" s="1">
        <v>123600</v>
      </c>
      <c r="G1347" t="s">
        <v>6094</v>
      </c>
      <c r="H1347" t="s">
        <v>6095</v>
      </c>
      <c r="I1347" t="s">
        <v>6096</v>
      </c>
      <c r="J1347" t="s">
        <v>2100</v>
      </c>
      <c r="K1347" t="s">
        <v>6097</v>
      </c>
      <c r="L1347" t="s">
        <v>6098</v>
      </c>
      <c r="M1347" t="s">
        <v>46</v>
      </c>
      <c r="N1347" t="s">
        <v>2308</v>
      </c>
      <c r="O1347" t="s">
        <v>6099</v>
      </c>
      <c r="P1347" t="s">
        <v>6100</v>
      </c>
      <c r="Q1347" t="s">
        <v>6101</v>
      </c>
      <c r="R1347">
        <v>7</v>
      </c>
      <c r="S1347">
        <v>16</v>
      </c>
    </row>
    <row r="1348" spans="1:19" x14ac:dyDescent="0.35">
      <c r="A1348">
        <v>9287</v>
      </c>
      <c r="B1348" t="s">
        <v>6201</v>
      </c>
      <c r="C1348" t="s">
        <v>42</v>
      </c>
      <c r="D1348" t="s">
        <v>6202</v>
      </c>
      <c r="E1348" t="e" cm="1">
        <f t="array" ref="E1348">- ENALAPRIL MALEATE</f>
        <v>#NAME?</v>
      </c>
      <c r="F1348" t="s">
        <v>6203</v>
      </c>
      <c r="G1348" t="s">
        <v>2734</v>
      </c>
      <c r="H1348" t="s">
        <v>2735</v>
      </c>
      <c r="I1348" t="s">
        <v>6204</v>
      </c>
      <c r="J1348" t="s">
        <v>6205</v>
      </c>
      <c r="K1348" t="s">
        <v>6206</v>
      </c>
      <c r="L1348" t="s">
        <v>6207</v>
      </c>
      <c r="M1348" t="s">
        <v>46</v>
      </c>
      <c r="N1348" t="s">
        <v>2739</v>
      </c>
      <c r="O1348" t="s">
        <v>6208</v>
      </c>
      <c r="P1348" t="s">
        <v>2740</v>
      </c>
      <c r="Q1348" t="s">
        <v>6209</v>
      </c>
      <c r="R1348">
        <v>7</v>
      </c>
      <c r="S1348">
        <v>16</v>
      </c>
    </row>
    <row r="1349" spans="1:19" x14ac:dyDescent="0.35">
      <c r="A1349">
        <v>4892</v>
      </c>
      <c r="B1349" t="s">
        <v>6210</v>
      </c>
      <c r="C1349" t="s">
        <v>42</v>
      </c>
      <c r="D1349" t="s">
        <v>6211</v>
      </c>
      <c r="E1349" t="e" cm="1">
        <f t="array" ref="E1349">- TIMOLOL MALEATE</f>
        <v>#NAME?</v>
      </c>
      <c r="F1349" t="s">
        <v>6212</v>
      </c>
      <c r="G1349" t="s">
        <v>6213</v>
      </c>
      <c r="H1349" t="s">
        <v>6214</v>
      </c>
      <c r="I1349" t="s">
        <v>6215</v>
      </c>
      <c r="J1349" t="s">
        <v>6216</v>
      </c>
      <c r="K1349" t="s">
        <v>6217</v>
      </c>
      <c r="L1349" t="s">
        <v>6218</v>
      </c>
      <c r="M1349" t="s">
        <v>824</v>
      </c>
      <c r="N1349" t="s">
        <v>6219</v>
      </c>
      <c r="O1349" t="s">
        <v>6220</v>
      </c>
      <c r="P1349" t="s">
        <v>6221</v>
      </c>
      <c r="Q1349" t="s">
        <v>6222</v>
      </c>
      <c r="R1349">
        <v>7</v>
      </c>
      <c r="S1349">
        <v>16</v>
      </c>
    </row>
    <row r="1350" spans="1:19" x14ac:dyDescent="0.35">
      <c r="A1350">
        <v>4891</v>
      </c>
      <c r="B1350" t="s">
        <v>6210</v>
      </c>
      <c r="C1350" t="s">
        <v>42</v>
      </c>
      <c r="D1350" t="s">
        <v>6211</v>
      </c>
      <c r="E1350" t="e" cm="1">
        <f t="array" ref="E1350">- TIMOLOL MALEATE</f>
        <v>#NAME?</v>
      </c>
      <c r="F1350" t="s">
        <v>6212</v>
      </c>
      <c r="G1350" t="s">
        <v>6213</v>
      </c>
      <c r="H1350" t="s">
        <v>6214</v>
      </c>
      <c r="I1350" t="s">
        <v>6215</v>
      </c>
      <c r="J1350" t="s">
        <v>6216</v>
      </c>
      <c r="K1350" t="s">
        <v>6217</v>
      </c>
      <c r="L1350" t="s">
        <v>6218</v>
      </c>
      <c r="M1350" t="s">
        <v>824</v>
      </c>
      <c r="N1350" t="s">
        <v>6219</v>
      </c>
      <c r="O1350" t="s">
        <v>6220</v>
      </c>
      <c r="P1350" t="s">
        <v>6221</v>
      </c>
      <c r="Q1350" t="s">
        <v>6222</v>
      </c>
      <c r="R1350">
        <v>7</v>
      </c>
      <c r="S1350">
        <v>16</v>
      </c>
    </row>
    <row r="1351" spans="1:19" x14ac:dyDescent="0.35">
      <c r="A1351">
        <v>4927</v>
      </c>
      <c r="B1351" t="s">
        <v>6223</v>
      </c>
      <c r="C1351" t="s">
        <v>42</v>
      </c>
      <c r="D1351" t="s">
        <v>6224</v>
      </c>
      <c r="E1351" t="e" cm="1">
        <f t="array" ref="E1351">- BENZOYL PEROXIDE</f>
        <v>#NAME?</v>
      </c>
      <c r="F1351" t="s">
        <v>6225</v>
      </c>
      <c r="G1351" t="s">
        <v>6226</v>
      </c>
      <c r="H1351" t="s">
        <v>6227</v>
      </c>
      <c r="I1351" t="s">
        <v>6228</v>
      </c>
      <c r="J1351" t="s">
        <v>6229</v>
      </c>
      <c r="K1351" t="s">
        <v>6230</v>
      </c>
      <c r="L1351" t="s">
        <v>6231</v>
      </c>
      <c r="M1351" t="s">
        <v>87</v>
      </c>
      <c r="N1351" t="s">
        <v>6232</v>
      </c>
      <c r="O1351" t="s">
        <v>6233</v>
      </c>
      <c r="P1351" t="s">
        <v>6234</v>
      </c>
      <c r="Q1351" t="s">
        <v>6235</v>
      </c>
      <c r="R1351">
        <v>7</v>
      </c>
      <c r="S1351">
        <v>16</v>
      </c>
    </row>
    <row r="1352" spans="1:19" x14ac:dyDescent="0.35">
      <c r="A1352">
        <v>4936</v>
      </c>
      <c r="B1352" t="s">
        <v>6236</v>
      </c>
      <c r="C1352" t="s">
        <v>42</v>
      </c>
      <c r="D1352" t="s">
        <v>6237</v>
      </c>
      <c r="E1352" t="e" cm="1">
        <f t="array" ref="E1352">- TRETINOIN</f>
        <v>#NAME?</v>
      </c>
      <c r="F1352" t="s">
        <v>6238</v>
      </c>
      <c r="G1352" t="s">
        <v>6239</v>
      </c>
      <c r="H1352" t="s">
        <v>3950</v>
      </c>
      <c r="I1352" t="s">
        <v>6240</v>
      </c>
      <c r="J1352" t="s">
        <v>3197</v>
      </c>
      <c r="K1352" t="s">
        <v>6241</v>
      </c>
      <c r="L1352" t="s">
        <v>6242</v>
      </c>
      <c r="M1352" t="s">
        <v>1289</v>
      </c>
      <c r="N1352" t="s">
        <v>6243</v>
      </c>
      <c r="O1352" t="s">
        <v>6244</v>
      </c>
      <c r="P1352" t="s">
        <v>6245</v>
      </c>
      <c r="Q1352" t="s">
        <v>6246</v>
      </c>
      <c r="R1352">
        <v>7</v>
      </c>
      <c r="S1352">
        <v>16</v>
      </c>
    </row>
    <row r="1353" spans="1:19" x14ac:dyDescent="0.35">
      <c r="A1353">
        <v>4937</v>
      </c>
      <c r="B1353" t="s">
        <v>6236</v>
      </c>
      <c r="C1353" t="s">
        <v>42</v>
      </c>
      <c r="D1353" t="s">
        <v>6237</v>
      </c>
      <c r="E1353" t="e" cm="1">
        <f t="array" ref="E1353">- TRETINOIN</f>
        <v>#NAME?</v>
      </c>
      <c r="F1353" t="s">
        <v>6238</v>
      </c>
      <c r="G1353" t="s">
        <v>6239</v>
      </c>
      <c r="H1353" t="s">
        <v>3950</v>
      </c>
      <c r="I1353" t="s">
        <v>6240</v>
      </c>
      <c r="J1353" t="s">
        <v>3197</v>
      </c>
      <c r="K1353" t="s">
        <v>6241</v>
      </c>
      <c r="L1353" t="s">
        <v>6242</v>
      </c>
      <c r="M1353" t="s">
        <v>1289</v>
      </c>
      <c r="N1353" t="s">
        <v>6243</v>
      </c>
      <c r="O1353" t="s">
        <v>6244</v>
      </c>
      <c r="P1353" t="s">
        <v>6245</v>
      </c>
      <c r="Q1353" t="s">
        <v>6246</v>
      </c>
      <c r="R1353">
        <v>7</v>
      </c>
      <c r="S1353">
        <v>16</v>
      </c>
    </row>
    <row r="1354" spans="1:19" x14ac:dyDescent="0.35">
      <c r="A1354">
        <v>9689</v>
      </c>
      <c r="B1354" t="s">
        <v>6247</v>
      </c>
      <c r="C1354" t="s">
        <v>42</v>
      </c>
      <c r="D1354" t="s">
        <v>6248</v>
      </c>
      <c r="E1354" t="e" cm="1">
        <f t="array" ref="E1354">- GEMFIBROZIL</f>
        <v>#NAME?</v>
      </c>
      <c r="F1354" t="s">
        <v>6249</v>
      </c>
      <c r="G1354" t="s">
        <v>6250</v>
      </c>
      <c r="H1354" t="s">
        <v>6251</v>
      </c>
      <c r="I1354" t="s">
        <v>6252</v>
      </c>
      <c r="J1354" t="s">
        <v>4102</v>
      </c>
      <c r="K1354" t="s">
        <v>6253</v>
      </c>
      <c r="L1354" t="s">
        <v>6254</v>
      </c>
      <c r="M1354" t="s">
        <v>38</v>
      </c>
      <c r="N1354" t="s">
        <v>6255</v>
      </c>
      <c r="O1354" t="s">
        <v>6256</v>
      </c>
      <c r="P1354" t="s">
        <v>6257</v>
      </c>
      <c r="Q1354" t="s">
        <v>6258</v>
      </c>
      <c r="R1354">
        <v>7</v>
      </c>
      <c r="S1354">
        <v>16</v>
      </c>
    </row>
    <row r="1355" spans="1:19" x14ac:dyDescent="0.35">
      <c r="A1355">
        <v>4942</v>
      </c>
      <c r="B1355" t="s">
        <v>6259</v>
      </c>
      <c r="C1355" t="s">
        <v>42</v>
      </c>
      <c r="D1355" t="s">
        <v>6260</v>
      </c>
      <c r="E1355" t="e" cm="1">
        <f t="array" ref="E1355">- BENZOYL PEROXIDE</f>
        <v>#NAME?</v>
      </c>
      <c r="F1355" s="1">
        <v>35500</v>
      </c>
      <c r="G1355" t="s">
        <v>6261</v>
      </c>
      <c r="I1355" t="s">
        <v>6262</v>
      </c>
      <c r="J1355" t="s">
        <v>6263</v>
      </c>
      <c r="L1355" t="s">
        <v>6264</v>
      </c>
      <c r="M1355" t="s">
        <v>87</v>
      </c>
      <c r="N1355" t="s">
        <v>6232</v>
      </c>
      <c r="O1355" t="s">
        <v>6265</v>
      </c>
      <c r="P1355" t="s">
        <v>6266</v>
      </c>
      <c r="Q1355" t="s">
        <v>6267</v>
      </c>
      <c r="R1355">
        <v>7</v>
      </c>
      <c r="S1355">
        <v>16</v>
      </c>
    </row>
    <row r="1356" spans="1:19" x14ac:dyDescent="0.35">
      <c r="A1356">
        <v>9654</v>
      </c>
      <c r="B1356" t="s">
        <v>6268</v>
      </c>
      <c r="C1356" t="s">
        <v>42</v>
      </c>
      <c r="D1356" t="s">
        <v>6269</v>
      </c>
      <c r="E1356" t="e" cm="1">
        <f t="array" ref="E1356">- LERCANIDIPINE HYDROCHLORIDE</f>
        <v>#NAME?</v>
      </c>
      <c r="F1356" t="s">
        <v>6270</v>
      </c>
      <c r="G1356" t="s">
        <v>6271</v>
      </c>
      <c r="H1356" t="s">
        <v>6272</v>
      </c>
      <c r="I1356" t="s">
        <v>6273</v>
      </c>
      <c r="J1356" t="s">
        <v>6274</v>
      </c>
      <c r="K1356" t="s">
        <v>6275</v>
      </c>
      <c r="L1356" t="s">
        <v>6276</v>
      </c>
      <c r="M1356" t="s">
        <v>46</v>
      </c>
      <c r="N1356" t="s">
        <v>6277</v>
      </c>
      <c r="O1356" t="s">
        <v>6278</v>
      </c>
      <c r="P1356" t="s">
        <v>6279</v>
      </c>
      <c r="Q1356" t="s">
        <v>6280</v>
      </c>
      <c r="R1356">
        <v>7</v>
      </c>
      <c r="S1356">
        <v>16</v>
      </c>
    </row>
    <row r="1357" spans="1:19" x14ac:dyDescent="0.35">
      <c r="A1357">
        <v>1035</v>
      </c>
      <c r="B1357" t="s">
        <v>6281</v>
      </c>
      <c r="C1357" t="s">
        <v>42</v>
      </c>
      <c r="D1357" t="s">
        <v>6282</v>
      </c>
      <c r="E1357" t="e" cm="1">
        <f t="array" ref="E1357">- GUAIFENESIN</f>
        <v>#NAME?</v>
      </c>
      <c r="F1357" t="s">
        <v>6283</v>
      </c>
      <c r="G1357" t="s">
        <v>60</v>
      </c>
      <c r="H1357" t="s">
        <v>6284</v>
      </c>
      <c r="I1357" t="s">
        <v>6285</v>
      </c>
      <c r="J1357" t="s">
        <v>374</v>
      </c>
      <c r="K1357" t="s">
        <v>6286</v>
      </c>
      <c r="L1357" t="s">
        <v>6287</v>
      </c>
      <c r="M1357" t="s">
        <v>271</v>
      </c>
      <c r="N1357" t="s">
        <v>361</v>
      </c>
      <c r="O1357" t="s">
        <v>6288</v>
      </c>
      <c r="P1357" t="s">
        <v>6289</v>
      </c>
      <c r="Q1357" t="s">
        <v>6290</v>
      </c>
      <c r="R1357">
        <v>7</v>
      </c>
      <c r="S1357">
        <v>16</v>
      </c>
    </row>
    <row r="1358" spans="1:19" x14ac:dyDescent="0.35">
      <c r="A1358">
        <v>4286</v>
      </c>
      <c r="B1358" t="s">
        <v>6186</v>
      </c>
      <c r="C1358" t="s">
        <v>42</v>
      </c>
      <c r="D1358" t="s">
        <v>6187</v>
      </c>
      <c r="E1358" t="e" cm="1">
        <f t="array" ref="E1358">- BEPOTASTINE BESILATE</f>
        <v>#NAME?</v>
      </c>
      <c r="F1358" t="s">
        <v>6188</v>
      </c>
      <c r="G1358" t="s">
        <v>2266</v>
      </c>
      <c r="H1358" t="s">
        <v>6189</v>
      </c>
      <c r="I1358" t="s">
        <v>6190</v>
      </c>
      <c r="J1358" t="s">
        <v>2100</v>
      </c>
      <c r="K1358" t="s">
        <v>6191</v>
      </c>
      <c r="L1358" t="s">
        <v>6192</v>
      </c>
      <c r="M1358" t="s">
        <v>46</v>
      </c>
      <c r="N1358" t="s">
        <v>6193</v>
      </c>
      <c r="O1358" t="s">
        <v>6194</v>
      </c>
      <c r="P1358" t="s">
        <v>6195</v>
      </c>
      <c r="Q1358" t="s">
        <v>6196</v>
      </c>
      <c r="R1358">
        <v>7</v>
      </c>
      <c r="S1358">
        <v>16</v>
      </c>
    </row>
    <row r="1359" spans="1:19" x14ac:dyDescent="0.35">
      <c r="A1359">
        <v>9766</v>
      </c>
      <c r="B1359" t="s">
        <v>6291</v>
      </c>
      <c r="C1359" t="s">
        <v>42</v>
      </c>
      <c r="D1359" t="s">
        <v>6292</v>
      </c>
      <c r="E1359" t="e" cm="1">
        <f t="array" ref="E1359">- PITAVASTATIN CALCIUM</f>
        <v>#NAME?</v>
      </c>
      <c r="F1359" t="s">
        <v>6293</v>
      </c>
      <c r="G1359" t="s">
        <v>4649</v>
      </c>
      <c r="H1359" t="s">
        <v>6294</v>
      </c>
      <c r="I1359" t="s">
        <v>6096</v>
      </c>
      <c r="J1359" t="s">
        <v>6295</v>
      </c>
      <c r="K1359" t="s">
        <v>6296</v>
      </c>
      <c r="L1359" t="s">
        <v>6297</v>
      </c>
      <c r="M1359" t="s">
        <v>46</v>
      </c>
      <c r="N1359" t="s">
        <v>6298</v>
      </c>
      <c r="O1359" t="s">
        <v>6099</v>
      </c>
      <c r="P1359" t="s">
        <v>6299</v>
      </c>
      <c r="Q1359" t="s">
        <v>6300</v>
      </c>
      <c r="R1359">
        <v>7</v>
      </c>
      <c r="S1359">
        <v>16</v>
      </c>
    </row>
    <row r="1360" spans="1:19" x14ac:dyDescent="0.35">
      <c r="A1360">
        <v>9626</v>
      </c>
      <c r="B1360" t="s">
        <v>6301</v>
      </c>
      <c r="C1360" t="s">
        <v>42</v>
      </c>
      <c r="D1360" t="s">
        <v>6302</v>
      </c>
      <c r="E1360" t="s">
        <v>6303</v>
      </c>
      <c r="F1360" s="1">
        <v>33000</v>
      </c>
      <c r="J1360" t="s">
        <v>3275</v>
      </c>
      <c r="M1360" t="s">
        <v>46</v>
      </c>
      <c r="N1360" t="s">
        <v>6304</v>
      </c>
      <c r="P1360" t="s">
        <v>6305</v>
      </c>
      <c r="Q1360" t="s">
        <v>6306</v>
      </c>
      <c r="R1360">
        <v>7</v>
      </c>
      <c r="S1360">
        <v>16</v>
      </c>
    </row>
    <row r="1361" spans="1:19" x14ac:dyDescent="0.35">
      <c r="A1361">
        <v>9767</v>
      </c>
      <c r="B1361" t="s">
        <v>6307</v>
      </c>
      <c r="C1361" t="s">
        <v>42</v>
      </c>
      <c r="D1361" t="s">
        <v>6308</v>
      </c>
      <c r="E1361" t="e" cm="1">
        <f t="array" ref="E1361">- PITAVASTATIN CALCIUM</f>
        <v>#NAME?</v>
      </c>
      <c r="F1361" t="s">
        <v>6309</v>
      </c>
      <c r="G1361" t="s">
        <v>6310</v>
      </c>
      <c r="H1361" t="s">
        <v>6294</v>
      </c>
      <c r="I1361" t="s">
        <v>6096</v>
      </c>
      <c r="J1361" t="s">
        <v>6295</v>
      </c>
      <c r="K1361" t="s">
        <v>6311</v>
      </c>
      <c r="L1361" t="s">
        <v>6312</v>
      </c>
      <c r="M1361" t="s">
        <v>46</v>
      </c>
      <c r="N1361" t="s">
        <v>6298</v>
      </c>
      <c r="O1361" t="s">
        <v>6099</v>
      </c>
      <c r="P1361" t="s">
        <v>6299</v>
      </c>
      <c r="Q1361" t="s">
        <v>6300</v>
      </c>
      <c r="R1361">
        <v>7</v>
      </c>
      <c r="S1361">
        <v>16</v>
      </c>
    </row>
    <row r="1362" spans="1:19" x14ac:dyDescent="0.35">
      <c r="A1362">
        <v>9768</v>
      </c>
      <c r="B1362" t="s">
        <v>6307</v>
      </c>
      <c r="C1362" t="s">
        <v>42</v>
      </c>
      <c r="D1362" t="s">
        <v>6308</v>
      </c>
      <c r="E1362" t="e" cm="1">
        <f t="array" ref="E1362">- PITAVASTATIN CALCIUM</f>
        <v>#NAME?</v>
      </c>
      <c r="F1362" t="s">
        <v>6309</v>
      </c>
      <c r="G1362" t="s">
        <v>6310</v>
      </c>
      <c r="H1362" t="s">
        <v>6294</v>
      </c>
      <c r="I1362" t="s">
        <v>6096</v>
      </c>
      <c r="J1362" t="s">
        <v>6295</v>
      </c>
      <c r="K1362" t="s">
        <v>6311</v>
      </c>
      <c r="L1362" t="s">
        <v>6312</v>
      </c>
      <c r="M1362" t="s">
        <v>46</v>
      </c>
      <c r="N1362" t="s">
        <v>6298</v>
      </c>
      <c r="O1362" t="s">
        <v>6099</v>
      </c>
      <c r="P1362" t="s">
        <v>6299</v>
      </c>
      <c r="Q1362" t="s">
        <v>6300</v>
      </c>
      <c r="R1362">
        <v>7</v>
      </c>
      <c r="S1362">
        <v>16</v>
      </c>
    </row>
    <row r="1363" spans="1:19" x14ac:dyDescent="0.35">
      <c r="A1363">
        <v>4739</v>
      </c>
      <c r="B1363" t="s">
        <v>6313</v>
      </c>
      <c r="C1363" t="s">
        <v>42</v>
      </c>
      <c r="D1363" t="s">
        <v>6314</v>
      </c>
      <c r="E1363" t="e" cm="1">
        <f t="array" ref="E1363">- TETRYZOLINE</f>
        <v>#NAME?</v>
      </c>
      <c r="F1363" t="s">
        <v>6315</v>
      </c>
      <c r="H1363" t="s">
        <v>6316</v>
      </c>
      <c r="I1363" t="s">
        <v>6317</v>
      </c>
      <c r="J1363" t="s">
        <v>1647</v>
      </c>
      <c r="K1363" t="s">
        <v>6318</v>
      </c>
      <c r="L1363" t="s">
        <v>321</v>
      </c>
      <c r="M1363" t="s">
        <v>824</v>
      </c>
      <c r="N1363" t="s">
        <v>6319</v>
      </c>
      <c r="O1363" t="s">
        <v>6320</v>
      </c>
      <c r="P1363" t="s">
        <v>6321</v>
      </c>
      <c r="Q1363" t="s">
        <v>6322</v>
      </c>
      <c r="R1363">
        <v>7</v>
      </c>
      <c r="S1363">
        <v>16</v>
      </c>
    </row>
    <row r="1364" spans="1:19" x14ac:dyDescent="0.35">
      <c r="A1364">
        <v>4734</v>
      </c>
      <c r="B1364" t="s">
        <v>6323</v>
      </c>
      <c r="C1364" t="s">
        <v>42</v>
      </c>
      <c r="D1364" t="s">
        <v>6324</v>
      </c>
      <c r="E1364" t="e" cm="1">
        <f t="array" ref="E1364">- BETAMETHASONE SODIUM PHOSPHATE</f>
        <v>#NAME?</v>
      </c>
      <c r="F1364" t="s">
        <v>6325</v>
      </c>
      <c r="H1364" t="s">
        <v>269</v>
      </c>
      <c r="J1364" t="s">
        <v>6326</v>
      </c>
      <c r="L1364" t="s">
        <v>270</v>
      </c>
      <c r="M1364" t="s">
        <v>824</v>
      </c>
      <c r="N1364" t="s">
        <v>6327</v>
      </c>
      <c r="P1364" t="s">
        <v>6328</v>
      </c>
      <c r="Q1364" t="s">
        <v>6329</v>
      </c>
      <c r="R1364">
        <v>7</v>
      </c>
      <c r="S1364">
        <v>16</v>
      </c>
    </row>
    <row r="1365" spans="1:19" x14ac:dyDescent="0.35">
      <c r="A1365">
        <v>4733</v>
      </c>
      <c r="B1365" t="s">
        <v>6323</v>
      </c>
      <c r="C1365" t="s">
        <v>42</v>
      </c>
      <c r="D1365" t="s">
        <v>6324</v>
      </c>
      <c r="E1365" t="e" cm="1">
        <f t="array" ref="E1365">- BETAMETHASONE SODIUM PHOSPHATE</f>
        <v>#NAME?</v>
      </c>
      <c r="F1365" t="s">
        <v>6325</v>
      </c>
      <c r="H1365" t="s">
        <v>269</v>
      </c>
      <c r="J1365" t="s">
        <v>6326</v>
      </c>
      <c r="L1365" t="s">
        <v>270</v>
      </c>
      <c r="M1365" t="s">
        <v>824</v>
      </c>
      <c r="N1365" t="s">
        <v>6327</v>
      </c>
      <c r="P1365" t="s">
        <v>6328</v>
      </c>
      <c r="Q1365" t="s">
        <v>6329</v>
      </c>
      <c r="R1365">
        <v>7</v>
      </c>
      <c r="S1365">
        <v>16</v>
      </c>
    </row>
    <row r="1366" spans="1:19" x14ac:dyDescent="0.35">
      <c r="A1366">
        <v>72</v>
      </c>
      <c r="B1366" t="s">
        <v>2902</v>
      </c>
      <c r="C1366" t="s">
        <v>42</v>
      </c>
      <c r="D1366" t="s">
        <v>6197</v>
      </c>
      <c r="E1366" t="e" cm="1">
        <f t="array" ref="E1366">- SILDENAFIL CITRATE</f>
        <v>#NAME?</v>
      </c>
      <c r="F1366" s="1">
        <v>19800</v>
      </c>
      <c r="H1366" t="s">
        <v>1322</v>
      </c>
      <c r="J1366" t="s">
        <v>6198</v>
      </c>
      <c r="M1366" t="s">
        <v>46</v>
      </c>
      <c r="N1366" t="s">
        <v>2519</v>
      </c>
      <c r="P1366" t="s">
        <v>6199</v>
      </c>
      <c r="Q1366" t="s">
        <v>6200</v>
      </c>
      <c r="R1366">
        <v>7</v>
      </c>
      <c r="S1366">
        <v>16</v>
      </c>
    </row>
    <row r="1367" spans="1:19" x14ac:dyDescent="0.35">
      <c r="A1367">
        <v>4520</v>
      </c>
      <c r="B1367" t="s">
        <v>6330</v>
      </c>
      <c r="C1367" t="s">
        <v>42</v>
      </c>
      <c r="D1367" t="s">
        <v>6331</v>
      </c>
      <c r="E1367" t="e" cm="1">
        <f t="array" ref="E1367">- HYPROMELLOSE</f>
        <v>#NAME?</v>
      </c>
      <c r="F1367" t="s">
        <v>6332</v>
      </c>
      <c r="H1367" t="s">
        <v>6333</v>
      </c>
      <c r="I1367" t="s">
        <v>6334</v>
      </c>
      <c r="J1367" t="s">
        <v>6335</v>
      </c>
      <c r="L1367" t="s">
        <v>2726</v>
      </c>
      <c r="M1367" t="s">
        <v>824</v>
      </c>
      <c r="N1367" t="s">
        <v>6336</v>
      </c>
      <c r="O1367" t="s">
        <v>6337</v>
      </c>
      <c r="P1367" t="s">
        <v>6338</v>
      </c>
      <c r="Q1367" t="s">
        <v>6339</v>
      </c>
      <c r="R1367">
        <v>7</v>
      </c>
      <c r="S1367">
        <v>16</v>
      </c>
    </row>
    <row r="1368" spans="1:19" x14ac:dyDescent="0.35">
      <c r="A1368">
        <v>9288</v>
      </c>
      <c r="B1368" t="s">
        <v>6201</v>
      </c>
      <c r="C1368" t="s">
        <v>42</v>
      </c>
      <c r="D1368" t="s">
        <v>6202</v>
      </c>
      <c r="E1368" t="e" cm="1">
        <f t="array" ref="E1368">- ENALAPRIL MALEATE</f>
        <v>#NAME?</v>
      </c>
      <c r="F1368" t="s">
        <v>6203</v>
      </c>
      <c r="G1368" t="s">
        <v>2734</v>
      </c>
      <c r="H1368" t="s">
        <v>2735</v>
      </c>
      <c r="I1368" t="s">
        <v>6204</v>
      </c>
      <c r="J1368" t="s">
        <v>6205</v>
      </c>
      <c r="K1368" t="s">
        <v>6206</v>
      </c>
      <c r="L1368" t="s">
        <v>6207</v>
      </c>
      <c r="M1368" t="s">
        <v>46</v>
      </c>
      <c r="N1368" t="s">
        <v>2739</v>
      </c>
      <c r="O1368" t="s">
        <v>6208</v>
      </c>
      <c r="P1368" t="s">
        <v>2740</v>
      </c>
      <c r="Q1368" t="s">
        <v>6209</v>
      </c>
      <c r="R1368">
        <v>7</v>
      </c>
      <c r="S1368">
        <v>16</v>
      </c>
    </row>
    <row r="1369" spans="1:19" x14ac:dyDescent="0.35">
      <c r="A1369">
        <v>8983</v>
      </c>
      <c r="B1369" t="s">
        <v>6340</v>
      </c>
      <c r="C1369" t="s">
        <v>42</v>
      </c>
      <c r="D1369" t="s">
        <v>6341</v>
      </c>
      <c r="E1369" t="e" cm="1">
        <f t="array" ref="E1369">- LERCANIDIPINE HYDROCHLORIDE</f>
        <v>#NAME?</v>
      </c>
      <c r="F1369" t="s">
        <v>6342</v>
      </c>
      <c r="G1369" t="s">
        <v>6271</v>
      </c>
      <c r="H1369" t="s">
        <v>6272</v>
      </c>
      <c r="I1369" t="s">
        <v>6343</v>
      </c>
      <c r="J1369" t="s">
        <v>6344</v>
      </c>
      <c r="K1369" t="s">
        <v>6275</v>
      </c>
      <c r="L1369" t="s">
        <v>6276</v>
      </c>
      <c r="M1369" t="s">
        <v>46</v>
      </c>
      <c r="N1369" t="s">
        <v>6277</v>
      </c>
      <c r="O1369" t="s">
        <v>6345</v>
      </c>
      <c r="P1369" t="s">
        <v>6279</v>
      </c>
      <c r="Q1369" t="s">
        <v>6346</v>
      </c>
      <c r="R1369">
        <v>7</v>
      </c>
      <c r="S1369">
        <v>16</v>
      </c>
    </row>
    <row r="1370" spans="1:19" x14ac:dyDescent="0.35">
      <c r="A1370">
        <v>5532</v>
      </c>
      <c r="B1370" t="s">
        <v>6347</v>
      </c>
      <c r="C1370" t="s">
        <v>42</v>
      </c>
      <c r="D1370" t="s">
        <v>6348</v>
      </c>
      <c r="E1370" t="e" cm="1">
        <f t="array" ref="E1370">- MINOXIDIL</f>
        <v>#NAME?</v>
      </c>
      <c r="F1370" t="s">
        <v>6349</v>
      </c>
      <c r="G1370" t="s">
        <v>6350</v>
      </c>
      <c r="H1370" t="s">
        <v>3826</v>
      </c>
      <c r="I1370" t="s">
        <v>3827</v>
      </c>
      <c r="J1370" t="s">
        <v>829</v>
      </c>
      <c r="K1370" t="s">
        <v>6351</v>
      </c>
      <c r="L1370" t="s">
        <v>6352</v>
      </c>
      <c r="M1370" t="s">
        <v>554</v>
      </c>
      <c r="N1370" t="s">
        <v>6353</v>
      </c>
      <c r="O1370" t="s">
        <v>3829</v>
      </c>
      <c r="P1370" t="s">
        <v>6354</v>
      </c>
      <c r="Q1370" t="s">
        <v>6355</v>
      </c>
      <c r="R1370">
        <v>7</v>
      </c>
      <c r="S1370">
        <v>16</v>
      </c>
    </row>
    <row r="1371" spans="1:19" x14ac:dyDescent="0.35">
      <c r="A1371">
        <v>9867</v>
      </c>
      <c r="B1371" t="s">
        <v>6102</v>
      </c>
      <c r="C1371" t="s">
        <v>42</v>
      </c>
      <c r="D1371" t="s">
        <v>6103</v>
      </c>
      <c r="E1371" t="e" cm="1">
        <f t="array" ref="E1371">- ROSUVASTATIN CALCIUM</f>
        <v>#NAME?</v>
      </c>
      <c r="F1371" t="s">
        <v>6104</v>
      </c>
      <c r="G1371" t="s">
        <v>6105</v>
      </c>
      <c r="H1371" t="s">
        <v>6106</v>
      </c>
    </row>
    <row r="1372" spans="1:19" x14ac:dyDescent="0.35">
      <c r="A1372">
        <v>4903</v>
      </c>
      <c r="B1372" t="s">
        <v>6109</v>
      </c>
      <c r="C1372" t="s">
        <v>42</v>
      </c>
      <c r="D1372" t="s">
        <v>6110</v>
      </c>
      <c r="E1372" t="e" cm="1">
        <f t="array" ref="E1372">- CLINDAMYCIN PHOSPHATE</f>
        <v>#NAME?</v>
      </c>
      <c r="F1372" t="s">
        <v>6111</v>
      </c>
      <c r="G1372" t="s">
        <v>6112</v>
      </c>
      <c r="H1372" t="s">
        <v>6113</v>
      </c>
      <c r="I1372" t="s">
        <v>6114</v>
      </c>
      <c r="J1372" t="s">
        <v>1367</v>
      </c>
      <c r="K1372" t="s">
        <v>2726</v>
      </c>
      <c r="L1372" t="s">
        <v>6115</v>
      </c>
      <c r="M1372" t="s">
        <v>87</v>
      </c>
      <c r="N1372" t="s">
        <v>1370</v>
      </c>
      <c r="O1372" t="s">
        <v>6116</v>
      </c>
      <c r="P1372" t="s">
        <v>6117</v>
      </c>
      <c r="Q1372" t="s">
        <v>6118</v>
      </c>
      <c r="R1372">
        <v>7</v>
      </c>
      <c r="S1372">
        <v>16</v>
      </c>
    </row>
    <row r="1373" spans="1:19" x14ac:dyDescent="0.35">
      <c r="A1373">
        <v>9990</v>
      </c>
      <c r="B1373" t="s">
        <v>6356</v>
      </c>
      <c r="C1373" t="s">
        <v>42</v>
      </c>
      <c r="D1373" t="s">
        <v>6357</v>
      </c>
      <c r="E1373" t="e" cm="1">
        <f t="array" ref="E1373">- CIPROFIBRATE</f>
        <v>#NAME?</v>
      </c>
      <c r="F1373" t="s">
        <v>6358</v>
      </c>
      <c r="G1373" t="s">
        <v>60</v>
      </c>
      <c r="H1373" t="s">
        <v>6359</v>
      </c>
      <c r="I1373" t="s">
        <v>6360</v>
      </c>
      <c r="J1373" t="s">
        <v>6361</v>
      </c>
      <c r="K1373" t="s">
        <v>6362</v>
      </c>
      <c r="L1373" t="s">
        <v>6363</v>
      </c>
      <c r="M1373" t="s">
        <v>291</v>
      </c>
      <c r="N1373" t="s">
        <v>6364</v>
      </c>
      <c r="O1373" t="s">
        <v>6365</v>
      </c>
      <c r="P1373" t="s">
        <v>6366</v>
      </c>
      <c r="Q1373" t="s">
        <v>6367</v>
      </c>
      <c r="R1373">
        <v>7</v>
      </c>
      <c r="S1373">
        <v>16</v>
      </c>
    </row>
    <row r="1374" spans="1:19" x14ac:dyDescent="0.35">
      <c r="A1374">
        <v>1761</v>
      </c>
      <c r="B1374" t="s">
        <v>6368</v>
      </c>
      <c r="C1374" t="s">
        <v>850</v>
      </c>
      <c r="D1374" t="s">
        <v>6369</v>
      </c>
      <c r="E1374" t="s">
        <v>2069</v>
      </c>
      <c r="F1374" t="s">
        <v>6370</v>
      </c>
      <c r="H1374" t="s">
        <v>1322</v>
      </c>
      <c r="J1374" t="s">
        <v>6371</v>
      </c>
      <c r="M1374" t="s">
        <v>3632</v>
      </c>
      <c r="N1374" t="s">
        <v>2071</v>
      </c>
      <c r="P1374" t="s">
        <v>6372</v>
      </c>
      <c r="Q1374" t="s">
        <v>6373</v>
      </c>
      <c r="R1374">
        <v>7</v>
      </c>
      <c r="S1374">
        <v>16</v>
      </c>
    </row>
    <row r="1375" spans="1:19" x14ac:dyDescent="0.35">
      <c r="A1375">
        <v>6303</v>
      </c>
      <c r="B1375" t="s">
        <v>6374</v>
      </c>
      <c r="C1375" t="s">
        <v>42</v>
      </c>
      <c r="D1375" t="s">
        <v>6375</v>
      </c>
      <c r="E1375" t="e" cm="1">
        <f t="array" ref="E1375">- PYRAZINAMIDE</f>
        <v>#NAME?</v>
      </c>
      <c r="F1375" t="s">
        <v>6376</v>
      </c>
      <c r="G1375" t="s">
        <v>4649</v>
      </c>
      <c r="H1375" t="s">
        <v>6377</v>
      </c>
      <c r="I1375" t="s">
        <v>6378</v>
      </c>
      <c r="J1375" t="s">
        <v>381</v>
      </c>
      <c r="K1375" t="s">
        <v>6379</v>
      </c>
      <c r="L1375" t="s">
        <v>6380</v>
      </c>
      <c r="M1375" t="s">
        <v>46</v>
      </c>
      <c r="N1375" t="s">
        <v>1839</v>
      </c>
      <c r="O1375" t="s">
        <v>6381</v>
      </c>
      <c r="P1375" t="s">
        <v>6382</v>
      </c>
      <c r="Q1375" t="s">
        <v>6383</v>
      </c>
      <c r="R1375">
        <v>7</v>
      </c>
      <c r="S1375">
        <v>16</v>
      </c>
    </row>
    <row r="1376" spans="1:19" x14ac:dyDescent="0.35">
      <c r="A1376">
        <v>9991</v>
      </c>
      <c r="B1376" t="s">
        <v>6356</v>
      </c>
      <c r="C1376" t="s">
        <v>42</v>
      </c>
      <c r="D1376" t="s">
        <v>6357</v>
      </c>
      <c r="E1376" t="e" cm="1">
        <f t="array" ref="E1376">- CIPROFIBRATE</f>
        <v>#NAME?</v>
      </c>
      <c r="F1376" t="s">
        <v>6358</v>
      </c>
      <c r="G1376" t="s">
        <v>60</v>
      </c>
      <c r="H1376" t="s">
        <v>6359</v>
      </c>
      <c r="I1376" t="s">
        <v>6360</v>
      </c>
      <c r="J1376" t="s">
        <v>6361</v>
      </c>
      <c r="K1376" t="s">
        <v>6362</v>
      </c>
      <c r="L1376" t="s">
        <v>6363</v>
      </c>
      <c r="M1376" t="s">
        <v>291</v>
      </c>
      <c r="N1376" t="s">
        <v>6364</v>
      </c>
      <c r="O1376" t="s">
        <v>6365</v>
      </c>
      <c r="P1376" t="s">
        <v>6366</v>
      </c>
      <c r="Q1376" t="s">
        <v>6367</v>
      </c>
      <c r="R1376">
        <v>7</v>
      </c>
      <c r="S1376">
        <v>16</v>
      </c>
    </row>
    <row r="1377" spans="1:19" x14ac:dyDescent="0.35">
      <c r="A1377">
        <v>4182</v>
      </c>
      <c r="B1377" t="s">
        <v>6384</v>
      </c>
      <c r="C1377" t="s">
        <v>42</v>
      </c>
      <c r="D1377" t="s">
        <v>6385</v>
      </c>
      <c r="E1377" t="e" cm="1">
        <f t="array" ref="E1377">- CETIRIZINE HYDROCHLORIDE</f>
        <v>#NAME?</v>
      </c>
      <c r="F1377" t="s">
        <v>6386</v>
      </c>
      <c r="G1377" t="s">
        <v>2453</v>
      </c>
      <c r="I1377" t="s">
        <v>6387</v>
      </c>
      <c r="J1377" t="s">
        <v>630</v>
      </c>
      <c r="M1377" t="s">
        <v>271</v>
      </c>
      <c r="N1377" t="s">
        <v>1390</v>
      </c>
      <c r="O1377" t="s">
        <v>6388</v>
      </c>
      <c r="P1377" t="s">
        <v>6389</v>
      </c>
      <c r="Q1377" t="s">
        <v>6390</v>
      </c>
      <c r="R1377">
        <v>7</v>
      </c>
      <c r="S1377">
        <v>16</v>
      </c>
    </row>
    <row r="1378" spans="1:19" x14ac:dyDescent="0.35">
      <c r="A1378">
        <v>6011</v>
      </c>
      <c r="B1378" t="s">
        <v>6391</v>
      </c>
      <c r="C1378" t="s">
        <v>42</v>
      </c>
      <c r="D1378" t="s">
        <v>6392</v>
      </c>
      <c r="E1378" t="e" cm="1">
        <f t="array" ref="E1378">- ETHAMBUTOL HYDROCHLORIDE</f>
        <v>#NAME?</v>
      </c>
      <c r="F1378" t="s">
        <v>6393</v>
      </c>
      <c r="G1378" t="s">
        <v>6135</v>
      </c>
      <c r="H1378" t="s">
        <v>6394</v>
      </c>
      <c r="I1378" t="s">
        <v>6395</v>
      </c>
      <c r="J1378" t="s">
        <v>727</v>
      </c>
      <c r="L1378" t="s">
        <v>321</v>
      </c>
      <c r="M1378" t="s">
        <v>291</v>
      </c>
      <c r="N1378" t="s">
        <v>3130</v>
      </c>
      <c r="O1378" t="s">
        <v>2954</v>
      </c>
      <c r="P1378" t="s">
        <v>6396</v>
      </c>
      <c r="Q1378" t="s">
        <v>6397</v>
      </c>
      <c r="R1378">
        <v>7</v>
      </c>
      <c r="S1378">
        <v>16</v>
      </c>
    </row>
    <row r="1379" spans="1:19" x14ac:dyDescent="0.35">
      <c r="A1379">
        <v>909</v>
      </c>
      <c r="B1379" t="s">
        <v>6398</v>
      </c>
      <c r="C1379" t="s">
        <v>42</v>
      </c>
      <c r="D1379" t="s">
        <v>6399</v>
      </c>
      <c r="E1379" t="e" cm="1">
        <f t="array" ref="E1379">- BROMHEXINE HYDROCHLORIDE</f>
        <v>#NAME?</v>
      </c>
      <c r="F1379" t="s">
        <v>6400</v>
      </c>
      <c r="G1379" t="s">
        <v>4649</v>
      </c>
      <c r="H1379" t="s">
        <v>6401</v>
      </c>
      <c r="I1379" t="s">
        <v>6402</v>
      </c>
      <c r="J1379" t="s">
        <v>6403</v>
      </c>
      <c r="K1379" t="s">
        <v>6404</v>
      </c>
      <c r="L1379" t="s">
        <v>6405</v>
      </c>
      <c r="M1379" t="s">
        <v>46</v>
      </c>
      <c r="N1379" t="s">
        <v>1342</v>
      </c>
      <c r="O1379" t="s">
        <v>6406</v>
      </c>
      <c r="P1379" t="s">
        <v>6407</v>
      </c>
      <c r="Q1379" t="s">
        <v>6408</v>
      </c>
      <c r="R1379">
        <v>7</v>
      </c>
      <c r="S1379">
        <v>16</v>
      </c>
    </row>
    <row r="1380" spans="1:19" x14ac:dyDescent="0.35">
      <c r="A1380">
        <v>5533</v>
      </c>
      <c r="B1380" t="s">
        <v>6347</v>
      </c>
      <c r="C1380" t="s">
        <v>42</v>
      </c>
      <c r="D1380" t="s">
        <v>6348</v>
      </c>
      <c r="E1380" t="e" cm="1">
        <f t="array" ref="E1380">- MINOXIDIL</f>
        <v>#NAME?</v>
      </c>
      <c r="F1380" t="s">
        <v>6349</v>
      </c>
      <c r="G1380" t="s">
        <v>6350</v>
      </c>
      <c r="H1380" t="s">
        <v>3826</v>
      </c>
      <c r="I1380" t="s">
        <v>3827</v>
      </c>
      <c r="J1380" t="s">
        <v>829</v>
      </c>
      <c r="K1380" t="s">
        <v>6351</v>
      </c>
      <c r="L1380" t="s">
        <v>6352</v>
      </c>
      <c r="M1380" t="s">
        <v>554</v>
      </c>
      <c r="N1380" t="s">
        <v>6353</v>
      </c>
      <c r="O1380" t="s">
        <v>3829</v>
      </c>
      <c r="P1380" t="s">
        <v>6354</v>
      </c>
      <c r="Q1380" t="s">
        <v>6355</v>
      </c>
      <c r="R1380">
        <v>7</v>
      </c>
      <c r="S1380">
        <v>16</v>
      </c>
    </row>
    <row r="1381" spans="1:19" x14ac:dyDescent="0.35">
      <c r="A1381">
        <v>4224</v>
      </c>
      <c r="B1381" t="s">
        <v>6409</v>
      </c>
      <c r="C1381" t="s">
        <v>42</v>
      </c>
      <c r="D1381" t="s">
        <v>6410</v>
      </c>
      <c r="E1381" t="e" cm="1">
        <f t="array" ref="E1381">- MEBHYDROLIN NAPADISILATE</f>
        <v>#NAME?</v>
      </c>
      <c r="F1381" t="s">
        <v>6411</v>
      </c>
      <c r="G1381" t="s">
        <v>4545</v>
      </c>
      <c r="H1381" t="s">
        <v>6412</v>
      </c>
    </row>
    <row r="1382" spans="1:19" x14ac:dyDescent="0.35">
      <c r="A1382">
        <v>910</v>
      </c>
      <c r="B1382" t="s">
        <v>6398</v>
      </c>
      <c r="C1382" t="s">
        <v>42</v>
      </c>
      <c r="D1382" t="s">
        <v>6399</v>
      </c>
      <c r="E1382" t="e" cm="1">
        <f t="array" ref="E1382">- BROMHEXINE HYDROCHLORIDE</f>
        <v>#NAME?</v>
      </c>
      <c r="F1382" t="s">
        <v>6400</v>
      </c>
      <c r="G1382" t="s">
        <v>4649</v>
      </c>
      <c r="H1382" t="s">
        <v>6401</v>
      </c>
      <c r="I1382" t="s">
        <v>6402</v>
      </c>
      <c r="J1382" t="s">
        <v>6403</v>
      </c>
      <c r="K1382" t="s">
        <v>6404</v>
      </c>
      <c r="L1382" t="s">
        <v>6405</v>
      </c>
      <c r="M1382" t="s">
        <v>46</v>
      </c>
      <c r="N1382" t="s">
        <v>1342</v>
      </c>
      <c r="O1382" t="s">
        <v>6406</v>
      </c>
      <c r="P1382" t="s">
        <v>6407</v>
      </c>
      <c r="Q1382" t="s">
        <v>6408</v>
      </c>
      <c r="R1382">
        <v>7</v>
      </c>
      <c r="S1382">
        <v>16</v>
      </c>
    </row>
    <row r="1383" spans="1:19" x14ac:dyDescent="0.35">
      <c r="A1383">
        <v>911</v>
      </c>
      <c r="B1383" t="s">
        <v>6398</v>
      </c>
      <c r="C1383" t="s">
        <v>42</v>
      </c>
      <c r="D1383" t="s">
        <v>6399</v>
      </c>
      <c r="E1383" t="e" cm="1">
        <f t="array" ref="E1383">- BROMHEXINE HYDROCHLORIDE</f>
        <v>#NAME?</v>
      </c>
      <c r="F1383" t="s">
        <v>6400</v>
      </c>
      <c r="G1383" t="s">
        <v>4649</v>
      </c>
      <c r="H1383" t="s">
        <v>6401</v>
      </c>
      <c r="I1383" t="s">
        <v>6402</v>
      </c>
      <c r="J1383" t="s">
        <v>6403</v>
      </c>
      <c r="K1383" t="s">
        <v>6404</v>
      </c>
      <c r="L1383" t="s">
        <v>6405</v>
      </c>
      <c r="M1383" t="s">
        <v>46</v>
      </c>
      <c r="N1383" t="s">
        <v>1342</v>
      </c>
      <c r="O1383" t="s">
        <v>6406</v>
      </c>
      <c r="P1383" t="s">
        <v>6407</v>
      </c>
      <c r="Q1383" t="s">
        <v>6408</v>
      </c>
      <c r="R1383">
        <v>7</v>
      </c>
      <c r="S1383">
        <v>16</v>
      </c>
    </row>
    <row r="1384" spans="1:19" x14ac:dyDescent="0.35">
      <c r="A1384">
        <v>912</v>
      </c>
      <c r="B1384" t="s">
        <v>6398</v>
      </c>
      <c r="C1384" t="s">
        <v>42</v>
      </c>
      <c r="D1384" t="s">
        <v>6399</v>
      </c>
      <c r="E1384" t="e" cm="1">
        <f t="array" ref="E1384">- BROMHEXINE HYDROCHLORIDE</f>
        <v>#NAME?</v>
      </c>
      <c r="F1384" t="s">
        <v>6400</v>
      </c>
      <c r="G1384" t="s">
        <v>4649</v>
      </c>
      <c r="H1384" t="s">
        <v>6401</v>
      </c>
      <c r="I1384" t="s">
        <v>6402</v>
      </c>
      <c r="J1384" t="s">
        <v>6403</v>
      </c>
      <c r="K1384" t="s">
        <v>6404</v>
      </c>
      <c r="L1384" t="s">
        <v>6405</v>
      </c>
      <c r="M1384" t="s">
        <v>46</v>
      </c>
      <c r="N1384" t="s">
        <v>1342</v>
      </c>
      <c r="O1384" t="s">
        <v>6406</v>
      </c>
      <c r="P1384" t="s">
        <v>6407</v>
      </c>
      <c r="Q1384" t="s">
        <v>6408</v>
      </c>
      <c r="R1384">
        <v>7</v>
      </c>
      <c r="S1384">
        <v>16</v>
      </c>
    </row>
    <row r="1385" spans="1:19" x14ac:dyDescent="0.35">
      <c r="A1385">
        <v>9112</v>
      </c>
      <c r="B1385" t="s">
        <v>6413</v>
      </c>
      <c r="C1385" t="s">
        <v>42</v>
      </c>
      <c r="D1385" t="s">
        <v>6414</v>
      </c>
      <c r="E1385" t="e" cm="1">
        <f t="array" ref="E1385">- ATENOLOL</f>
        <v>#NAME?</v>
      </c>
      <c r="F1385" t="s">
        <v>6415</v>
      </c>
      <c r="G1385" t="s">
        <v>60</v>
      </c>
      <c r="H1385" t="s">
        <v>6416</v>
      </c>
      <c r="I1385" t="s">
        <v>6417</v>
      </c>
      <c r="J1385" t="s">
        <v>381</v>
      </c>
      <c r="K1385" t="s">
        <v>6418</v>
      </c>
      <c r="L1385" t="s">
        <v>6419</v>
      </c>
      <c r="M1385" t="s">
        <v>46</v>
      </c>
      <c r="N1385" t="s">
        <v>6420</v>
      </c>
      <c r="O1385" t="s">
        <v>6421</v>
      </c>
      <c r="P1385" t="s">
        <v>6422</v>
      </c>
      <c r="Q1385" t="s">
        <v>6423</v>
      </c>
      <c r="R1385">
        <v>7</v>
      </c>
      <c r="S1385">
        <v>16</v>
      </c>
    </row>
    <row r="1386" spans="1:19" x14ac:dyDescent="0.35">
      <c r="A1386">
        <v>9955</v>
      </c>
      <c r="B1386" t="s">
        <v>6424</v>
      </c>
      <c r="C1386" t="s">
        <v>42</v>
      </c>
      <c r="D1386" t="s">
        <v>6425</v>
      </c>
      <c r="E1386" t="e" cm="1">
        <f t="array" ref="E1386">- DIGOXIN</f>
        <v>#NAME?</v>
      </c>
      <c r="F1386" t="s">
        <v>6426</v>
      </c>
      <c r="G1386" t="s">
        <v>3098</v>
      </c>
      <c r="H1386" t="s">
        <v>6427</v>
      </c>
      <c r="I1386" t="s">
        <v>6428</v>
      </c>
      <c r="J1386" t="s">
        <v>754</v>
      </c>
      <c r="K1386" t="s">
        <v>6429</v>
      </c>
      <c r="L1386" t="s">
        <v>6430</v>
      </c>
      <c r="M1386" t="s">
        <v>46</v>
      </c>
      <c r="N1386" t="s">
        <v>6431</v>
      </c>
      <c r="O1386" t="s">
        <v>6432</v>
      </c>
      <c r="P1386" t="s">
        <v>6431</v>
      </c>
      <c r="Q1386" t="s">
        <v>6433</v>
      </c>
      <c r="R1386">
        <v>7</v>
      </c>
      <c r="S1386">
        <v>16</v>
      </c>
    </row>
    <row r="1387" spans="1:19" x14ac:dyDescent="0.35">
      <c r="A1387">
        <v>5804</v>
      </c>
      <c r="B1387" t="s">
        <v>6434</v>
      </c>
      <c r="C1387" t="s">
        <v>42</v>
      </c>
      <c r="D1387" t="s">
        <v>6435</v>
      </c>
      <c r="E1387" t="e" cm="1">
        <f t="array" ref="E1387">- ETHAMBUTOL HYDROCHLORIDE</f>
        <v>#NAME?</v>
      </c>
      <c r="F1387" t="s">
        <v>6436</v>
      </c>
      <c r="G1387" t="s">
        <v>4649</v>
      </c>
      <c r="H1387" t="s">
        <v>6437</v>
      </c>
      <c r="I1387" t="s">
        <v>6438</v>
      </c>
      <c r="J1387" t="s">
        <v>381</v>
      </c>
      <c r="K1387" t="s">
        <v>6439</v>
      </c>
      <c r="L1387" t="s">
        <v>6440</v>
      </c>
      <c r="M1387" t="s">
        <v>46</v>
      </c>
      <c r="N1387" t="s">
        <v>3130</v>
      </c>
      <c r="O1387" t="s">
        <v>2954</v>
      </c>
      <c r="P1387" t="s">
        <v>6441</v>
      </c>
      <c r="Q1387" t="s">
        <v>6442</v>
      </c>
      <c r="R1387">
        <v>7</v>
      </c>
      <c r="S1387">
        <v>16</v>
      </c>
    </row>
    <row r="1388" spans="1:19" x14ac:dyDescent="0.35">
      <c r="A1388">
        <v>9111</v>
      </c>
      <c r="B1388" t="s">
        <v>6413</v>
      </c>
      <c r="C1388" t="s">
        <v>42</v>
      </c>
      <c r="D1388" t="s">
        <v>6414</v>
      </c>
      <c r="E1388" t="e" cm="1">
        <f t="array" ref="E1388">- ATENOLOL</f>
        <v>#NAME?</v>
      </c>
      <c r="F1388" t="s">
        <v>6415</v>
      </c>
      <c r="G1388" t="s">
        <v>60</v>
      </c>
      <c r="H1388" t="s">
        <v>6416</v>
      </c>
      <c r="I1388" t="s">
        <v>6417</v>
      </c>
      <c r="J1388" t="s">
        <v>381</v>
      </c>
      <c r="K1388" t="s">
        <v>6418</v>
      </c>
      <c r="L1388" t="s">
        <v>6419</v>
      </c>
      <c r="M1388" t="s">
        <v>46</v>
      </c>
      <c r="N1388" t="s">
        <v>6420</v>
      </c>
      <c r="O1388" t="s">
        <v>6421</v>
      </c>
      <c r="P1388" t="s">
        <v>6422</v>
      </c>
      <c r="Q1388" t="s">
        <v>6423</v>
      </c>
      <c r="R1388">
        <v>7</v>
      </c>
      <c r="S1388">
        <v>16</v>
      </c>
    </row>
    <row r="1389" spans="1:19" x14ac:dyDescent="0.35">
      <c r="A1389">
        <v>6393</v>
      </c>
      <c r="B1389" t="s">
        <v>6443</v>
      </c>
      <c r="C1389" t="s">
        <v>42</v>
      </c>
      <c r="D1389" t="s">
        <v>6444</v>
      </c>
      <c r="E1389" t="e" cm="1">
        <f t="array" ref="E1389">- PYRAZINAMIDE</f>
        <v>#NAME?</v>
      </c>
      <c r="F1389" t="s">
        <v>6445</v>
      </c>
      <c r="H1389" t="s">
        <v>6446</v>
      </c>
      <c r="I1389" t="s">
        <v>6447</v>
      </c>
      <c r="J1389" t="s">
        <v>3019</v>
      </c>
      <c r="K1389" t="s">
        <v>6448</v>
      </c>
      <c r="L1389" t="s">
        <v>6449</v>
      </c>
      <c r="M1389" t="s">
        <v>291</v>
      </c>
      <c r="N1389" t="s">
        <v>1839</v>
      </c>
      <c r="O1389" t="s">
        <v>6450</v>
      </c>
      <c r="P1389" t="s">
        <v>6451</v>
      </c>
      <c r="Q1389" t="s">
        <v>6452</v>
      </c>
      <c r="R1389">
        <v>7</v>
      </c>
      <c r="S1389">
        <v>16</v>
      </c>
    </row>
    <row r="1390" spans="1:19" x14ac:dyDescent="0.35">
      <c r="A1390">
        <v>9954</v>
      </c>
      <c r="B1390" t="s">
        <v>6424</v>
      </c>
      <c r="C1390" t="s">
        <v>42</v>
      </c>
      <c r="D1390" t="s">
        <v>6425</v>
      </c>
      <c r="E1390" t="e" cm="1">
        <f t="array" ref="E1390">- DIGOXIN</f>
        <v>#NAME?</v>
      </c>
      <c r="F1390" t="s">
        <v>6426</v>
      </c>
      <c r="G1390" t="s">
        <v>3098</v>
      </c>
      <c r="H1390" t="s">
        <v>6427</v>
      </c>
      <c r="I1390" t="s">
        <v>6428</v>
      </c>
      <c r="J1390" t="s">
        <v>754</v>
      </c>
      <c r="K1390" t="s">
        <v>6429</v>
      </c>
      <c r="L1390" t="s">
        <v>6430</v>
      </c>
      <c r="M1390" t="s">
        <v>46</v>
      </c>
      <c r="N1390" t="s">
        <v>6431</v>
      </c>
      <c r="O1390" t="s">
        <v>6432</v>
      </c>
      <c r="P1390" t="s">
        <v>6431</v>
      </c>
      <c r="Q1390" t="s">
        <v>6433</v>
      </c>
      <c r="R1390">
        <v>7</v>
      </c>
      <c r="S1390">
        <v>16</v>
      </c>
    </row>
    <row r="1391" spans="1:19" x14ac:dyDescent="0.35">
      <c r="A1391">
        <v>10055</v>
      </c>
      <c r="B1391" t="s">
        <v>6453</v>
      </c>
      <c r="C1391" t="s">
        <v>20</v>
      </c>
      <c r="D1391" t="s">
        <v>6454</v>
      </c>
      <c r="E1391" t="s">
        <v>6455</v>
      </c>
      <c r="F1391" s="1">
        <v>174000</v>
      </c>
      <c r="G1391" t="s">
        <v>2241</v>
      </c>
      <c r="H1391" t="s">
        <v>5312</v>
      </c>
      <c r="I1391" t="s">
        <v>5245</v>
      </c>
      <c r="J1391" t="s">
        <v>3964</v>
      </c>
      <c r="M1391" t="s">
        <v>2374</v>
      </c>
      <c r="N1391" t="s">
        <v>6456</v>
      </c>
      <c r="O1391" t="s">
        <v>5250</v>
      </c>
      <c r="P1391" t="s">
        <v>6456</v>
      </c>
      <c r="Q1391" t="s">
        <v>6457</v>
      </c>
      <c r="R1391">
        <v>7</v>
      </c>
      <c r="S1391">
        <v>16</v>
      </c>
    </row>
    <row r="1392" spans="1:19" x14ac:dyDescent="0.35">
      <c r="A1392">
        <v>5556</v>
      </c>
      <c r="B1392" t="s">
        <v>6458</v>
      </c>
      <c r="C1392" t="s">
        <v>42</v>
      </c>
      <c r="D1392" t="s">
        <v>6459</v>
      </c>
      <c r="E1392" t="e" cm="1">
        <f t="array" ref="E1392">- HYDROQUINONE</f>
        <v>#NAME?</v>
      </c>
      <c r="F1392" t="s">
        <v>6460</v>
      </c>
      <c r="G1392" t="s">
        <v>6461</v>
      </c>
      <c r="H1392" t="s">
        <v>6462</v>
      </c>
      <c r="I1392" t="s">
        <v>6463</v>
      </c>
      <c r="J1392" t="s">
        <v>6464</v>
      </c>
      <c r="L1392" t="s">
        <v>6465</v>
      </c>
      <c r="M1392" t="s">
        <v>1289</v>
      </c>
      <c r="N1392" t="s">
        <v>6466</v>
      </c>
      <c r="O1392" t="s">
        <v>6467</v>
      </c>
      <c r="P1392" t="s">
        <v>6468</v>
      </c>
      <c r="Q1392" t="s">
        <v>6469</v>
      </c>
      <c r="R1392">
        <v>7</v>
      </c>
      <c r="S1392">
        <v>16</v>
      </c>
    </row>
    <row r="1393" spans="1:19" x14ac:dyDescent="0.35">
      <c r="A1393">
        <v>9016</v>
      </c>
      <c r="B1393" t="s">
        <v>6470</v>
      </c>
      <c r="C1393" t="s">
        <v>42</v>
      </c>
      <c r="D1393" t="s">
        <v>6471</v>
      </c>
      <c r="E1393" t="e" cm="1">
        <f t="array" ref="E1393">- BISOPROLOL FUMARATE</f>
        <v>#NAME?</v>
      </c>
      <c r="F1393" t="s">
        <v>6472</v>
      </c>
      <c r="G1393" t="s">
        <v>6473</v>
      </c>
      <c r="H1393" t="s">
        <v>6474</v>
      </c>
      <c r="I1393" t="s">
        <v>6475</v>
      </c>
      <c r="J1393" t="s">
        <v>6476</v>
      </c>
      <c r="K1393" t="s">
        <v>6097</v>
      </c>
      <c r="L1393" t="s">
        <v>6477</v>
      </c>
      <c r="M1393" t="s">
        <v>46</v>
      </c>
      <c r="N1393" t="s">
        <v>6182</v>
      </c>
      <c r="O1393" t="s">
        <v>6478</v>
      </c>
      <c r="P1393" t="s">
        <v>6479</v>
      </c>
      <c r="Q1393" t="s">
        <v>6480</v>
      </c>
      <c r="R1393">
        <v>7</v>
      </c>
      <c r="S1393">
        <v>16</v>
      </c>
    </row>
    <row r="1394" spans="1:19" x14ac:dyDescent="0.35">
      <c r="A1394">
        <v>5555</v>
      </c>
      <c r="B1394" t="s">
        <v>6458</v>
      </c>
      <c r="C1394" t="s">
        <v>42</v>
      </c>
      <c r="D1394" t="s">
        <v>6459</v>
      </c>
      <c r="E1394" t="e" cm="1">
        <f t="array" ref="E1394">- HYDROQUINONE</f>
        <v>#NAME?</v>
      </c>
      <c r="F1394" t="s">
        <v>6460</v>
      </c>
      <c r="G1394" t="s">
        <v>6461</v>
      </c>
      <c r="H1394" t="s">
        <v>6462</v>
      </c>
      <c r="I1394" t="s">
        <v>6463</v>
      </c>
      <c r="J1394" t="s">
        <v>6464</v>
      </c>
      <c r="L1394" t="s">
        <v>6465</v>
      </c>
      <c r="M1394" t="s">
        <v>1289</v>
      </c>
      <c r="N1394" t="s">
        <v>6466</v>
      </c>
      <c r="O1394" t="s">
        <v>6467</v>
      </c>
      <c r="P1394" t="s">
        <v>6468</v>
      </c>
      <c r="Q1394" t="s">
        <v>6469</v>
      </c>
      <c r="R1394">
        <v>7</v>
      </c>
      <c r="S1394">
        <v>16</v>
      </c>
    </row>
    <row r="1395" spans="1:19" x14ac:dyDescent="0.35">
      <c r="A1395">
        <v>9196</v>
      </c>
      <c r="B1395" t="s">
        <v>6481</v>
      </c>
      <c r="C1395" t="s">
        <v>42</v>
      </c>
      <c r="D1395" t="s">
        <v>6482</v>
      </c>
      <c r="E1395" t="e" cm="1">
        <f t="array" ref="E1395">- AMLODIPINE BESILATE</f>
        <v>#NAME?</v>
      </c>
      <c r="F1395" t="s">
        <v>6483</v>
      </c>
      <c r="G1395" t="s">
        <v>6484</v>
      </c>
      <c r="H1395" t="s">
        <v>6485</v>
      </c>
      <c r="I1395" t="s">
        <v>6486</v>
      </c>
      <c r="J1395" t="s">
        <v>6487</v>
      </c>
      <c r="K1395" t="s">
        <v>6488</v>
      </c>
      <c r="L1395" t="s">
        <v>6489</v>
      </c>
      <c r="M1395" t="s">
        <v>46</v>
      </c>
      <c r="N1395" t="s">
        <v>2484</v>
      </c>
      <c r="O1395" t="s">
        <v>6490</v>
      </c>
      <c r="P1395" t="s">
        <v>6491</v>
      </c>
      <c r="Q1395" t="s">
        <v>6492</v>
      </c>
      <c r="R1395">
        <v>7</v>
      </c>
      <c r="S1395">
        <v>16</v>
      </c>
    </row>
    <row r="1396" spans="1:19" x14ac:dyDescent="0.35">
      <c r="A1396">
        <v>5569</v>
      </c>
      <c r="B1396" t="s">
        <v>6493</v>
      </c>
      <c r="C1396" t="s">
        <v>20</v>
      </c>
      <c r="D1396" t="s">
        <v>6494</v>
      </c>
      <c r="E1396" t="s">
        <v>6495</v>
      </c>
      <c r="F1396" t="s">
        <v>6496</v>
      </c>
      <c r="G1396" t="s">
        <v>5301</v>
      </c>
      <c r="H1396" t="s">
        <v>6497</v>
      </c>
      <c r="I1396" t="s">
        <v>6498</v>
      </c>
      <c r="J1396" t="s">
        <v>727</v>
      </c>
      <c r="K1396" t="s">
        <v>6499</v>
      </c>
      <c r="L1396" t="s">
        <v>6500</v>
      </c>
      <c r="M1396" t="s">
        <v>291</v>
      </c>
      <c r="N1396" t="s">
        <v>6501</v>
      </c>
      <c r="O1396" t="s">
        <v>6502</v>
      </c>
      <c r="P1396" t="s">
        <v>6501</v>
      </c>
      <c r="Q1396" t="s">
        <v>6503</v>
      </c>
      <c r="R1396">
        <v>7</v>
      </c>
      <c r="S1396">
        <v>16</v>
      </c>
    </row>
    <row r="1397" spans="1:19" x14ac:dyDescent="0.35">
      <c r="A1397">
        <v>5558</v>
      </c>
      <c r="B1397" t="s">
        <v>6504</v>
      </c>
      <c r="C1397" t="s">
        <v>850</v>
      </c>
      <c r="D1397" t="s">
        <v>6505</v>
      </c>
      <c r="E1397" t="s">
        <v>6506</v>
      </c>
      <c r="F1397" t="s">
        <v>6507</v>
      </c>
      <c r="J1397" t="s">
        <v>1367</v>
      </c>
      <c r="M1397" t="s">
        <v>87</v>
      </c>
      <c r="N1397" t="s">
        <v>6508</v>
      </c>
      <c r="P1397" t="s">
        <v>6509</v>
      </c>
      <c r="Q1397" t="s">
        <v>6510</v>
      </c>
      <c r="R1397">
        <v>7</v>
      </c>
      <c r="S1397">
        <v>16</v>
      </c>
    </row>
    <row r="1398" spans="1:19" x14ac:dyDescent="0.35">
      <c r="A1398">
        <v>9953</v>
      </c>
      <c r="B1398" t="s">
        <v>6424</v>
      </c>
      <c r="C1398" t="s">
        <v>42</v>
      </c>
      <c r="D1398" t="s">
        <v>6425</v>
      </c>
      <c r="E1398" t="e" cm="1">
        <f t="array" ref="E1398">- DIGOXIN</f>
        <v>#NAME?</v>
      </c>
      <c r="F1398" t="s">
        <v>6426</v>
      </c>
      <c r="G1398" t="s">
        <v>3098</v>
      </c>
      <c r="H1398" t="s">
        <v>6427</v>
      </c>
      <c r="I1398" t="s">
        <v>6428</v>
      </c>
      <c r="J1398" t="s">
        <v>754</v>
      </c>
      <c r="K1398" t="s">
        <v>6429</v>
      </c>
      <c r="L1398" t="s">
        <v>6430</v>
      </c>
      <c r="M1398" t="s">
        <v>46</v>
      </c>
      <c r="N1398" t="s">
        <v>6431</v>
      </c>
      <c r="O1398" t="s">
        <v>6432</v>
      </c>
      <c r="P1398" t="s">
        <v>6431</v>
      </c>
      <c r="Q1398" t="s">
        <v>6433</v>
      </c>
      <c r="R1398">
        <v>7</v>
      </c>
      <c r="S1398">
        <v>16</v>
      </c>
    </row>
    <row r="1399" spans="1:19" x14ac:dyDescent="0.35">
      <c r="A1399">
        <v>6394</v>
      </c>
      <c r="B1399" t="s">
        <v>6443</v>
      </c>
      <c r="C1399" t="s">
        <v>42</v>
      </c>
      <c r="D1399" t="s">
        <v>6444</v>
      </c>
      <c r="E1399" t="e" cm="1">
        <f t="array" ref="E1399">- PYRAZINAMIDE</f>
        <v>#NAME?</v>
      </c>
      <c r="F1399" t="s">
        <v>6445</v>
      </c>
      <c r="H1399" t="s">
        <v>6446</v>
      </c>
      <c r="I1399" t="s">
        <v>6447</v>
      </c>
      <c r="J1399" t="s">
        <v>3019</v>
      </c>
      <c r="K1399" t="s">
        <v>6448</v>
      </c>
      <c r="L1399" t="s">
        <v>6449</v>
      </c>
      <c r="M1399" t="s">
        <v>291</v>
      </c>
      <c r="N1399" t="s">
        <v>1839</v>
      </c>
      <c r="O1399" t="s">
        <v>6450</v>
      </c>
      <c r="P1399" t="s">
        <v>6451</v>
      </c>
      <c r="Q1399" t="s">
        <v>6452</v>
      </c>
      <c r="R1399">
        <v>7</v>
      </c>
      <c r="S1399">
        <v>16</v>
      </c>
    </row>
    <row r="1400" spans="1:19" x14ac:dyDescent="0.35">
      <c r="A1400">
        <v>9186</v>
      </c>
      <c r="B1400" t="s">
        <v>4311</v>
      </c>
      <c r="C1400" t="s">
        <v>42</v>
      </c>
      <c r="D1400" t="s">
        <v>4312</v>
      </c>
      <c r="E1400" t="e" cm="1">
        <f t="array" ref="E1400">- HYDROCHLOROTHIAZIDE. IRBESARTAN</f>
        <v>#NAME?</v>
      </c>
      <c r="F1400" t="s">
        <v>4313</v>
      </c>
      <c r="G1400" t="s">
        <v>60</v>
      </c>
      <c r="H1400" t="s">
        <v>4314</v>
      </c>
      <c r="I1400" t="s">
        <v>2917</v>
      </c>
      <c r="J1400" t="s">
        <v>4315</v>
      </c>
      <c r="K1400" t="s">
        <v>4316</v>
      </c>
      <c r="L1400" t="s">
        <v>4317</v>
      </c>
      <c r="M1400" t="s">
        <v>291</v>
      </c>
      <c r="N1400" t="s">
        <v>6511</v>
      </c>
      <c r="O1400" t="s">
        <v>2271</v>
      </c>
      <c r="P1400" t="s">
        <v>4318</v>
      </c>
      <c r="Q1400" t="s">
        <v>6512</v>
      </c>
      <c r="R1400">
        <v>7</v>
      </c>
      <c r="S1400">
        <v>16</v>
      </c>
    </row>
    <row r="1401" spans="1:19" x14ac:dyDescent="0.35">
      <c r="A1401">
        <v>9117</v>
      </c>
      <c r="B1401" t="s">
        <v>6513</v>
      </c>
      <c r="C1401" t="s">
        <v>42</v>
      </c>
      <c r="D1401" t="s">
        <v>6514</v>
      </c>
      <c r="E1401" t="e" cm="1">
        <f t="array" ref="E1401">- CAPTOPRIL</f>
        <v>#NAME?</v>
      </c>
      <c r="F1401" t="s">
        <v>6515</v>
      </c>
      <c r="G1401" t="s">
        <v>4728</v>
      </c>
      <c r="H1401" t="s">
        <v>6516</v>
      </c>
      <c r="I1401" t="s">
        <v>6517</v>
      </c>
      <c r="J1401" t="s">
        <v>6518</v>
      </c>
      <c r="K1401" t="s">
        <v>6519</v>
      </c>
      <c r="L1401" t="s">
        <v>6520</v>
      </c>
      <c r="M1401" t="s">
        <v>46</v>
      </c>
      <c r="N1401" t="s">
        <v>4734</v>
      </c>
      <c r="O1401" t="s">
        <v>6521</v>
      </c>
      <c r="P1401" t="s">
        <v>6522</v>
      </c>
      <c r="Q1401" t="s">
        <v>6523</v>
      </c>
      <c r="R1401">
        <v>7</v>
      </c>
      <c r="S1401">
        <v>16</v>
      </c>
    </row>
    <row r="1402" spans="1:19" x14ac:dyDescent="0.35">
      <c r="A1402">
        <v>5543</v>
      </c>
      <c r="B1402" t="s">
        <v>6524</v>
      </c>
      <c r="C1402" t="s">
        <v>42</v>
      </c>
      <c r="D1402" t="s">
        <v>6525</v>
      </c>
      <c r="E1402" t="e" cm="1">
        <f t="array" ref="E1402">- PERMETHRIN</f>
        <v>#NAME?</v>
      </c>
      <c r="F1402" t="s">
        <v>6526</v>
      </c>
      <c r="G1402" t="s">
        <v>6527</v>
      </c>
      <c r="H1402" t="s">
        <v>6528</v>
      </c>
      <c r="I1402" t="s">
        <v>6529</v>
      </c>
      <c r="J1402" t="s">
        <v>3856</v>
      </c>
      <c r="K1402" t="s">
        <v>2858</v>
      </c>
      <c r="L1402" t="s">
        <v>6530</v>
      </c>
      <c r="M1402" t="s">
        <v>554</v>
      </c>
      <c r="N1402" t="s">
        <v>2942</v>
      </c>
      <c r="O1402" t="s">
        <v>6531</v>
      </c>
      <c r="P1402" t="s">
        <v>6532</v>
      </c>
      <c r="Q1402" t="s">
        <v>6533</v>
      </c>
      <c r="R1402">
        <v>7</v>
      </c>
      <c r="S1402">
        <v>16</v>
      </c>
    </row>
    <row r="1403" spans="1:19" x14ac:dyDescent="0.35">
      <c r="A1403">
        <v>5542</v>
      </c>
      <c r="B1403" t="s">
        <v>6534</v>
      </c>
      <c r="C1403" t="s">
        <v>42</v>
      </c>
      <c r="D1403" t="s">
        <v>6535</v>
      </c>
      <c r="E1403" t="e" cm="1">
        <f t="array" ref="E1403">- HYDROQUINONE</f>
        <v>#NAME?</v>
      </c>
      <c r="F1403" t="s">
        <v>6536</v>
      </c>
      <c r="G1403" t="s">
        <v>6537</v>
      </c>
      <c r="H1403" t="s">
        <v>6538</v>
      </c>
      <c r="I1403" t="s">
        <v>6539</v>
      </c>
      <c r="J1403" t="s">
        <v>1028</v>
      </c>
      <c r="K1403" t="s">
        <v>6540</v>
      </c>
      <c r="L1403" t="s">
        <v>6541</v>
      </c>
      <c r="M1403" t="s">
        <v>1289</v>
      </c>
      <c r="N1403" t="s">
        <v>6466</v>
      </c>
      <c r="O1403" t="s">
        <v>6542</v>
      </c>
      <c r="P1403" t="s">
        <v>6543</v>
      </c>
      <c r="Q1403" t="s">
        <v>6544</v>
      </c>
      <c r="R1403">
        <v>7</v>
      </c>
      <c r="S1403">
        <v>16</v>
      </c>
    </row>
    <row r="1404" spans="1:19" x14ac:dyDescent="0.35">
      <c r="A1404">
        <v>151</v>
      </c>
      <c r="B1404" t="s">
        <v>2902</v>
      </c>
      <c r="C1404" t="s">
        <v>42</v>
      </c>
      <c r="D1404" t="s">
        <v>6545</v>
      </c>
      <c r="E1404" t="e" cm="1">
        <f t="array" ref="E1404">- SILDENAFIL CITRATE</f>
        <v>#NAME?</v>
      </c>
      <c r="F1404" t="s">
        <v>6546</v>
      </c>
      <c r="J1404" t="s">
        <v>6547</v>
      </c>
      <c r="M1404" t="s">
        <v>46</v>
      </c>
      <c r="N1404" t="s">
        <v>2519</v>
      </c>
      <c r="P1404" t="s">
        <v>6548</v>
      </c>
      <c r="Q1404" t="s">
        <v>6549</v>
      </c>
      <c r="R1404">
        <v>7</v>
      </c>
      <c r="S1404">
        <v>16</v>
      </c>
    </row>
    <row r="1405" spans="1:19" x14ac:dyDescent="0.35">
      <c r="A1405">
        <v>1983</v>
      </c>
      <c r="B1405" t="s">
        <v>6550</v>
      </c>
      <c r="C1405" t="s">
        <v>20</v>
      </c>
      <c r="D1405" t="s">
        <v>6551</v>
      </c>
      <c r="E1405" t="s">
        <v>6552</v>
      </c>
      <c r="F1405" t="s">
        <v>6553</v>
      </c>
      <c r="M1405" t="s">
        <v>271</v>
      </c>
      <c r="N1405" t="s">
        <v>6554</v>
      </c>
      <c r="P1405" t="s">
        <v>6555</v>
      </c>
      <c r="Q1405" t="s">
        <v>6556</v>
      </c>
      <c r="R1405">
        <v>8</v>
      </c>
      <c r="S1405">
        <v>16</v>
      </c>
    </row>
    <row r="1406" spans="1:19" x14ac:dyDescent="0.35">
      <c r="A1406">
        <v>8382</v>
      </c>
      <c r="B1406" t="s">
        <v>551</v>
      </c>
      <c r="C1406" t="s">
        <v>42</v>
      </c>
      <c r="D1406" t="s">
        <v>6557</v>
      </c>
      <c r="E1406" t="e" cm="1">
        <f t="array" ref="E1406">- POVIDONE-IODINE</f>
        <v>#NAME?</v>
      </c>
      <c r="F1406" t="s">
        <v>6558</v>
      </c>
      <c r="J1406" t="s">
        <v>5484</v>
      </c>
      <c r="M1406" t="s">
        <v>554</v>
      </c>
      <c r="N1406" t="s">
        <v>555</v>
      </c>
      <c r="P1406" t="s">
        <v>6559</v>
      </c>
      <c r="Q1406" t="s">
        <v>6560</v>
      </c>
      <c r="R1406">
        <v>8</v>
      </c>
      <c r="S1406">
        <v>16</v>
      </c>
    </row>
    <row r="1407" spans="1:19" x14ac:dyDescent="0.35">
      <c r="A1407">
        <v>9752</v>
      </c>
      <c r="B1407" t="s">
        <v>6561</v>
      </c>
      <c r="C1407" t="s">
        <v>42</v>
      </c>
      <c r="D1407" t="s">
        <v>6562</v>
      </c>
      <c r="E1407" t="e" cm="1">
        <f t="array" ref="E1407">- PRAVASTATIN SODIUM</f>
        <v>#NAME?</v>
      </c>
      <c r="F1407" t="s">
        <v>6563</v>
      </c>
      <c r="G1407" t="s">
        <v>60</v>
      </c>
      <c r="H1407" t="s">
        <v>6564</v>
      </c>
      <c r="I1407" t="s">
        <v>6565</v>
      </c>
      <c r="J1407" t="s">
        <v>6566</v>
      </c>
      <c r="K1407" t="s">
        <v>6567</v>
      </c>
      <c r="L1407" t="s">
        <v>6568</v>
      </c>
      <c r="M1407" t="s">
        <v>291</v>
      </c>
      <c r="N1407" t="s">
        <v>2396</v>
      </c>
      <c r="O1407" t="s">
        <v>6569</v>
      </c>
      <c r="P1407" t="s">
        <v>6570</v>
      </c>
      <c r="Q1407" t="s">
        <v>6571</v>
      </c>
      <c r="R1407">
        <v>8</v>
      </c>
      <c r="S1407">
        <v>16</v>
      </c>
    </row>
    <row r="1408" spans="1:19" x14ac:dyDescent="0.35">
      <c r="A1408">
        <v>8387</v>
      </c>
      <c r="B1408" t="s">
        <v>551</v>
      </c>
      <c r="C1408" t="s">
        <v>42</v>
      </c>
      <c r="D1408" t="s">
        <v>6572</v>
      </c>
      <c r="E1408" t="e" cm="1">
        <f t="array" ref="E1408">- POVIDONE-IODINE</f>
        <v>#NAME?</v>
      </c>
      <c r="F1408" t="s">
        <v>6573</v>
      </c>
      <c r="J1408" t="s">
        <v>5484</v>
      </c>
      <c r="M1408" t="s">
        <v>554</v>
      </c>
      <c r="N1408" t="s">
        <v>555</v>
      </c>
      <c r="P1408" t="s">
        <v>6574</v>
      </c>
      <c r="Q1408" t="s">
        <v>6575</v>
      </c>
      <c r="R1408">
        <v>8</v>
      </c>
      <c r="S1408">
        <v>16</v>
      </c>
    </row>
    <row r="1409" spans="1:19" x14ac:dyDescent="0.35">
      <c r="A1409">
        <v>10039</v>
      </c>
      <c r="B1409" t="s">
        <v>6576</v>
      </c>
      <c r="C1409" t="s">
        <v>20</v>
      </c>
      <c r="D1409" t="s">
        <v>6577</v>
      </c>
      <c r="E1409" t="s">
        <v>6578</v>
      </c>
      <c r="F1409" t="s">
        <v>6579</v>
      </c>
      <c r="G1409" t="s">
        <v>2241</v>
      </c>
      <c r="H1409" t="s">
        <v>6580</v>
      </c>
      <c r="I1409" t="s">
        <v>6581</v>
      </c>
      <c r="J1409" t="s">
        <v>2013</v>
      </c>
      <c r="M1409" t="s">
        <v>38</v>
      </c>
      <c r="N1409" t="s">
        <v>6582</v>
      </c>
      <c r="O1409" t="s">
        <v>6090</v>
      </c>
      <c r="P1409" t="s">
        <v>6583</v>
      </c>
      <c r="Q1409" t="s">
        <v>6584</v>
      </c>
      <c r="R1409">
        <v>8</v>
      </c>
      <c r="S1409">
        <v>16</v>
      </c>
    </row>
    <row r="1410" spans="1:19" x14ac:dyDescent="0.35">
      <c r="A1410">
        <v>8383</v>
      </c>
      <c r="B1410" t="s">
        <v>551</v>
      </c>
      <c r="C1410" t="s">
        <v>42</v>
      </c>
      <c r="D1410" t="s">
        <v>6557</v>
      </c>
      <c r="E1410" t="e" cm="1">
        <f t="array" ref="E1410">- POVIDONE-IODINE</f>
        <v>#NAME?</v>
      </c>
      <c r="F1410" t="s">
        <v>6558</v>
      </c>
      <c r="J1410" t="s">
        <v>5484</v>
      </c>
      <c r="M1410" t="s">
        <v>554</v>
      </c>
      <c r="N1410" t="s">
        <v>555</v>
      </c>
      <c r="P1410" t="s">
        <v>6559</v>
      </c>
      <c r="Q1410" t="s">
        <v>6560</v>
      </c>
      <c r="R1410">
        <v>8</v>
      </c>
      <c r="S1410">
        <v>16</v>
      </c>
    </row>
    <row r="1411" spans="1:19" x14ac:dyDescent="0.35">
      <c r="A1411">
        <v>8384</v>
      </c>
      <c r="B1411" t="s">
        <v>551</v>
      </c>
      <c r="C1411" t="s">
        <v>42</v>
      </c>
      <c r="D1411" t="s">
        <v>6585</v>
      </c>
      <c r="E1411" t="e" cm="1">
        <f t="array" ref="E1411">- POVIDONE-IODINE</f>
        <v>#NAME?</v>
      </c>
      <c r="F1411" t="s">
        <v>6558</v>
      </c>
      <c r="J1411" t="s">
        <v>5484</v>
      </c>
      <c r="M1411" t="s">
        <v>554</v>
      </c>
      <c r="N1411" t="s">
        <v>555</v>
      </c>
      <c r="P1411" t="s">
        <v>6586</v>
      </c>
      <c r="Q1411" t="s">
        <v>6587</v>
      </c>
      <c r="R1411">
        <v>8</v>
      </c>
      <c r="S1411">
        <v>16</v>
      </c>
    </row>
    <row r="1412" spans="1:19" x14ac:dyDescent="0.35">
      <c r="A1412">
        <v>10041</v>
      </c>
      <c r="B1412" t="s">
        <v>6588</v>
      </c>
      <c r="C1412" t="s">
        <v>20</v>
      </c>
      <c r="D1412" t="s">
        <v>6589</v>
      </c>
      <c r="E1412" t="s">
        <v>6590</v>
      </c>
      <c r="F1412" s="1">
        <v>7300</v>
      </c>
      <c r="H1412" t="s">
        <v>6591</v>
      </c>
      <c r="I1412" t="s">
        <v>6592</v>
      </c>
      <c r="J1412" t="s">
        <v>5542</v>
      </c>
      <c r="M1412" t="s">
        <v>818</v>
      </c>
      <c r="N1412" t="s">
        <v>6593</v>
      </c>
      <c r="O1412" t="s">
        <v>6594</v>
      </c>
      <c r="P1412" t="s">
        <v>6595</v>
      </c>
      <c r="Q1412" t="s">
        <v>6596</v>
      </c>
      <c r="R1412">
        <v>8</v>
      </c>
      <c r="S1412">
        <v>16</v>
      </c>
    </row>
    <row r="1413" spans="1:19" x14ac:dyDescent="0.35">
      <c r="A1413">
        <v>10048</v>
      </c>
      <c r="B1413" t="s">
        <v>6597</v>
      </c>
      <c r="C1413" t="s">
        <v>20</v>
      </c>
      <c r="D1413" t="s">
        <v>6598</v>
      </c>
      <c r="E1413" t="s">
        <v>6599</v>
      </c>
      <c r="F1413" t="s">
        <v>6600</v>
      </c>
      <c r="G1413" t="s">
        <v>4469</v>
      </c>
      <c r="H1413" t="s">
        <v>6601</v>
      </c>
      <c r="I1413" t="s">
        <v>5756</v>
      </c>
      <c r="J1413" t="s">
        <v>355</v>
      </c>
      <c r="M1413" t="s">
        <v>38</v>
      </c>
      <c r="N1413" t="s">
        <v>6602</v>
      </c>
      <c r="O1413" t="s">
        <v>5759</v>
      </c>
      <c r="P1413" t="s">
        <v>6602</v>
      </c>
      <c r="Q1413" t="s">
        <v>6603</v>
      </c>
      <c r="R1413">
        <v>8</v>
      </c>
      <c r="S1413">
        <v>16</v>
      </c>
    </row>
    <row r="1414" spans="1:19" x14ac:dyDescent="0.35">
      <c r="A1414">
        <v>1989</v>
      </c>
      <c r="B1414" t="s">
        <v>6604</v>
      </c>
      <c r="C1414" t="s">
        <v>20</v>
      </c>
      <c r="D1414" t="s">
        <v>6605</v>
      </c>
      <c r="E1414" t="s">
        <v>5231</v>
      </c>
      <c r="F1414" t="s">
        <v>6606</v>
      </c>
      <c r="G1414" t="s">
        <v>2241</v>
      </c>
      <c r="H1414" t="s">
        <v>6607</v>
      </c>
      <c r="I1414" t="s">
        <v>6608</v>
      </c>
      <c r="J1414" t="s">
        <v>6609</v>
      </c>
      <c r="L1414" t="s">
        <v>6610</v>
      </c>
      <c r="M1414" t="s">
        <v>46</v>
      </c>
      <c r="N1414" t="s">
        <v>5237</v>
      </c>
      <c r="O1414" t="s">
        <v>6611</v>
      </c>
      <c r="P1414" t="s">
        <v>5237</v>
      </c>
      <c r="Q1414" t="s">
        <v>6612</v>
      </c>
      <c r="R1414">
        <v>8</v>
      </c>
      <c r="S1414">
        <v>16</v>
      </c>
    </row>
    <row r="1415" spans="1:19" x14ac:dyDescent="0.35">
      <c r="A1415">
        <v>8385</v>
      </c>
      <c r="B1415" t="s">
        <v>551</v>
      </c>
      <c r="C1415" t="s">
        <v>42</v>
      </c>
      <c r="D1415" t="s">
        <v>6585</v>
      </c>
      <c r="E1415" t="e" cm="1">
        <f t="array" ref="E1415">- POVIDONE-IODINE</f>
        <v>#NAME?</v>
      </c>
      <c r="F1415" t="s">
        <v>6558</v>
      </c>
      <c r="J1415" t="s">
        <v>5484</v>
      </c>
      <c r="M1415" t="s">
        <v>554</v>
      </c>
      <c r="N1415" t="s">
        <v>555</v>
      </c>
      <c r="P1415" t="s">
        <v>6586</v>
      </c>
      <c r="Q1415" t="s">
        <v>6587</v>
      </c>
      <c r="R1415">
        <v>8</v>
      </c>
      <c r="S1415">
        <v>16</v>
      </c>
    </row>
    <row r="1416" spans="1:19" x14ac:dyDescent="0.35">
      <c r="A1416">
        <v>1981</v>
      </c>
      <c r="B1416" t="s">
        <v>6550</v>
      </c>
      <c r="C1416" t="s">
        <v>20</v>
      </c>
      <c r="D1416" t="s">
        <v>6551</v>
      </c>
      <c r="E1416" t="s">
        <v>6552</v>
      </c>
      <c r="F1416" t="s">
        <v>6553</v>
      </c>
      <c r="M1416" t="s">
        <v>271</v>
      </c>
      <c r="N1416" t="s">
        <v>6554</v>
      </c>
      <c r="P1416" t="s">
        <v>6555</v>
      </c>
      <c r="Q1416" t="s">
        <v>6556</v>
      </c>
      <c r="R1416">
        <v>8</v>
      </c>
      <c r="S1416">
        <v>16</v>
      </c>
    </row>
    <row r="1417" spans="1:19" x14ac:dyDescent="0.35">
      <c r="A1417">
        <v>1990</v>
      </c>
      <c r="B1417" t="s">
        <v>6604</v>
      </c>
      <c r="C1417" t="s">
        <v>20</v>
      </c>
      <c r="D1417" t="s">
        <v>6613</v>
      </c>
      <c r="E1417" t="s">
        <v>5231</v>
      </c>
      <c r="F1417" t="s">
        <v>6614</v>
      </c>
      <c r="G1417" t="s">
        <v>2241</v>
      </c>
      <c r="H1417" t="s">
        <v>6607</v>
      </c>
      <c r="I1417" t="s">
        <v>6608</v>
      </c>
      <c r="J1417" t="s">
        <v>6615</v>
      </c>
      <c r="L1417" t="s">
        <v>6610</v>
      </c>
      <c r="M1417" t="s">
        <v>46</v>
      </c>
      <c r="N1417" t="s">
        <v>5237</v>
      </c>
      <c r="O1417" t="s">
        <v>6611</v>
      </c>
      <c r="P1417" t="s">
        <v>5237</v>
      </c>
      <c r="Q1417" t="s">
        <v>6612</v>
      </c>
      <c r="R1417">
        <v>8</v>
      </c>
      <c r="S1417">
        <v>16</v>
      </c>
    </row>
    <row r="1418" spans="1:19" x14ac:dyDescent="0.35">
      <c r="A1418">
        <v>2536</v>
      </c>
      <c r="B1418" t="s">
        <v>6616</v>
      </c>
      <c r="C1418" t="s">
        <v>42</v>
      </c>
      <c r="D1418" t="s">
        <v>6617</v>
      </c>
      <c r="E1418" t="e" cm="1">
        <f t="array" ref="E1418">- KETOPROFEN</f>
        <v>#NAME?</v>
      </c>
      <c r="F1418" t="s">
        <v>6618</v>
      </c>
      <c r="G1418" t="s">
        <v>6619</v>
      </c>
      <c r="H1418" t="s">
        <v>6620</v>
      </c>
      <c r="I1418" t="s">
        <v>6621</v>
      </c>
      <c r="J1418" t="s">
        <v>6622</v>
      </c>
      <c r="K1418" t="s">
        <v>6623</v>
      </c>
      <c r="L1418" t="s">
        <v>6624</v>
      </c>
      <c r="M1418" t="s">
        <v>46</v>
      </c>
      <c r="N1418" t="s">
        <v>721</v>
      </c>
      <c r="O1418" t="s">
        <v>6625</v>
      </c>
      <c r="P1418" t="s">
        <v>2322</v>
      </c>
      <c r="Q1418" t="s">
        <v>6626</v>
      </c>
      <c r="R1418">
        <v>8</v>
      </c>
      <c r="S1418">
        <v>16</v>
      </c>
    </row>
    <row r="1419" spans="1:19" x14ac:dyDescent="0.35">
      <c r="A1419">
        <v>8386</v>
      </c>
      <c r="B1419" t="s">
        <v>551</v>
      </c>
      <c r="C1419" t="s">
        <v>42</v>
      </c>
      <c r="D1419" t="s">
        <v>6572</v>
      </c>
      <c r="E1419" t="e" cm="1">
        <f t="array" ref="E1419">- POVIDONE-IODINE</f>
        <v>#NAME?</v>
      </c>
      <c r="F1419" t="s">
        <v>6573</v>
      </c>
      <c r="J1419" t="s">
        <v>5484</v>
      </c>
      <c r="M1419" t="s">
        <v>554</v>
      </c>
      <c r="N1419" t="s">
        <v>555</v>
      </c>
      <c r="P1419" t="s">
        <v>6574</v>
      </c>
      <c r="Q1419" t="s">
        <v>6575</v>
      </c>
      <c r="R1419">
        <v>8</v>
      </c>
      <c r="S1419">
        <v>16</v>
      </c>
    </row>
    <row r="1420" spans="1:19" x14ac:dyDescent="0.35">
      <c r="A1420">
        <v>9709</v>
      </c>
      <c r="B1420" t="s">
        <v>6627</v>
      </c>
      <c r="C1420" t="s">
        <v>20</v>
      </c>
      <c r="D1420" t="s">
        <v>6628</v>
      </c>
      <c r="E1420" t="s">
        <v>6629</v>
      </c>
      <c r="F1420" t="s">
        <v>6630</v>
      </c>
      <c r="G1420" t="s">
        <v>5244</v>
      </c>
      <c r="H1420" t="s">
        <v>6631</v>
      </c>
      <c r="I1420" t="s">
        <v>6581</v>
      </c>
      <c r="J1420" t="s">
        <v>6632</v>
      </c>
      <c r="K1420" t="s">
        <v>6633</v>
      </c>
      <c r="L1420" t="s">
        <v>6634</v>
      </c>
      <c r="M1420" t="s">
        <v>46</v>
      </c>
      <c r="N1420" t="s">
        <v>6635</v>
      </c>
      <c r="O1420" t="s">
        <v>6090</v>
      </c>
      <c r="P1420" t="s">
        <v>6636</v>
      </c>
      <c r="Q1420" t="s">
        <v>6637</v>
      </c>
      <c r="R1420">
        <v>8</v>
      </c>
      <c r="S1420">
        <v>16</v>
      </c>
    </row>
    <row r="1421" spans="1:19" x14ac:dyDescent="0.35">
      <c r="A1421">
        <v>1978</v>
      </c>
      <c r="B1421" t="s">
        <v>6638</v>
      </c>
      <c r="C1421" t="s">
        <v>20</v>
      </c>
      <c r="D1421" t="s">
        <v>6639</v>
      </c>
      <c r="E1421" t="s">
        <v>6640</v>
      </c>
      <c r="F1421" t="s">
        <v>6641</v>
      </c>
      <c r="G1421" t="s">
        <v>2241</v>
      </c>
      <c r="H1421" t="s">
        <v>6642</v>
      </c>
      <c r="I1421" t="s">
        <v>6643</v>
      </c>
      <c r="J1421" t="s">
        <v>334</v>
      </c>
      <c r="L1421" t="s">
        <v>6644</v>
      </c>
      <c r="N1421" t="s">
        <v>6645</v>
      </c>
      <c r="O1421" t="s">
        <v>5250</v>
      </c>
      <c r="P1421" t="s">
        <v>6645</v>
      </c>
      <c r="Q1421" t="s">
        <v>6646</v>
      </c>
      <c r="R1421">
        <v>8</v>
      </c>
      <c r="S1421">
        <v>16</v>
      </c>
    </row>
    <row r="1422" spans="1:19" x14ac:dyDescent="0.35">
      <c r="A1422">
        <v>9890</v>
      </c>
      <c r="B1422" t="s">
        <v>6647</v>
      </c>
      <c r="C1422" t="s">
        <v>42</v>
      </c>
      <c r="D1422" t="s">
        <v>6648</v>
      </c>
      <c r="E1422" t="e" cm="1">
        <f t="array" ref="E1422">- TRIMETAZIDINE DIHYDROCHLORIDE</f>
        <v>#NAME?</v>
      </c>
      <c r="F1422" t="s">
        <v>6649</v>
      </c>
      <c r="G1422" t="s">
        <v>6650</v>
      </c>
      <c r="H1422" t="s">
        <v>6651</v>
      </c>
      <c r="I1422" t="s">
        <v>6652</v>
      </c>
      <c r="J1422" t="s">
        <v>4095</v>
      </c>
      <c r="K1422" t="s">
        <v>6653</v>
      </c>
      <c r="L1422" t="s">
        <v>6654</v>
      </c>
      <c r="M1422" t="s">
        <v>46</v>
      </c>
      <c r="N1422" t="s">
        <v>6655</v>
      </c>
      <c r="O1422" t="s">
        <v>6656</v>
      </c>
      <c r="P1422" t="s">
        <v>6657</v>
      </c>
      <c r="Q1422" t="s">
        <v>6658</v>
      </c>
      <c r="R1422">
        <v>8</v>
      </c>
      <c r="S1422">
        <v>16</v>
      </c>
    </row>
    <row r="1423" spans="1:19" x14ac:dyDescent="0.35">
      <c r="A1423">
        <v>1968</v>
      </c>
      <c r="B1423" t="s">
        <v>6659</v>
      </c>
      <c r="C1423" t="s">
        <v>20</v>
      </c>
      <c r="D1423" t="s">
        <v>6660</v>
      </c>
      <c r="E1423" t="s">
        <v>6661</v>
      </c>
      <c r="F1423" t="s">
        <v>6662</v>
      </c>
      <c r="G1423" t="s">
        <v>6663</v>
      </c>
      <c r="H1423" t="s">
        <v>6664</v>
      </c>
      <c r="I1423" t="s">
        <v>6643</v>
      </c>
      <c r="J1423" t="s">
        <v>3504</v>
      </c>
      <c r="M1423" t="s">
        <v>271</v>
      </c>
      <c r="N1423" t="s">
        <v>6665</v>
      </c>
      <c r="O1423" t="s">
        <v>5250</v>
      </c>
      <c r="P1423" t="s">
        <v>6666</v>
      </c>
      <c r="Q1423" t="s">
        <v>6667</v>
      </c>
      <c r="R1423">
        <v>8</v>
      </c>
      <c r="S1423">
        <v>16</v>
      </c>
    </row>
    <row r="1424" spans="1:19" x14ac:dyDescent="0.35">
      <c r="A1424">
        <v>1851</v>
      </c>
      <c r="B1424" t="s">
        <v>6668</v>
      </c>
      <c r="C1424" t="s">
        <v>42</v>
      </c>
      <c r="D1424" t="s">
        <v>6669</v>
      </c>
      <c r="E1424" t="e" cm="1">
        <f t="array" ref="E1424">- AMMONIUM CHLORIDE</f>
        <v>#NAME?</v>
      </c>
      <c r="F1424" t="s">
        <v>770</v>
      </c>
      <c r="G1424" t="s">
        <v>2241</v>
      </c>
      <c r="H1424" t="s">
        <v>6670</v>
      </c>
      <c r="I1424" t="s">
        <v>4974</v>
      </c>
      <c r="J1424" t="s">
        <v>852</v>
      </c>
      <c r="K1424" t="s">
        <v>6671</v>
      </c>
      <c r="L1424" t="s">
        <v>6672</v>
      </c>
      <c r="M1424" t="s">
        <v>271</v>
      </c>
      <c r="N1424" t="s">
        <v>1672</v>
      </c>
      <c r="O1424" t="s">
        <v>4977</v>
      </c>
      <c r="P1424" t="s">
        <v>6673</v>
      </c>
      <c r="Q1424" t="s">
        <v>6674</v>
      </c>
      <c r="R1424">
        <v>8</v>
      </c>
      <c r="S1424">
        <v>16</v>
      </c>
    </row>
    <row r="1425" spans="1:19" x14ac:dyDescent="0.35">
      <c r="A1425">
        <v>1850</v>
      </c>
      <c r="B1425" t="s">
        <v>6668</v>
      </c>
      <c r="C1425" t="s">
        <v>42</v>
      </c>
      <c r="D1425" t="s">
        <v>6669</v>
      </c>
      <c r="E1425" t="e" cm="1">
        <f t="array" ref="E1425">- AMMONIUM CHLORIDE</f>
        <v>#NAME?</v>
      </c>
      <c r="F1425" t="s">
        <v>770</v>
      </c>
      <c r="G1425" t="s">
        <v>2241</v>
      </c>
      <c r="H1425" t="s">
        <v>6670</v>
      </c>
      <c r="I1425" t="s">
        <v>4974</v>
      </c>
      <c r="J1425" t="s">
        <v>852</v>
      </c>
      <c r="K1425" t="s">
        <v>6671</v>
      </c>
      <c r="L1425" t="s">
        <v>6672</v>
      </c>
      <c r="M1425" t="s">
        <v>271</v>
      </c>
      <c r="N1425" t="s">
        <v>1672</v>
      </c>
      <c r="O1425" t="s">
        <v>4977</v>
      </c>
      <c r="P1425" t="s">
        <v>6673</v>
      </c>
      <c r="Q1425" t="s">
        <v>6674</v>
      </c>
      <c r="R1425">
        <v>8</v>
      </c>
      <c r="S1425">
        <v>16</v>
      </c>
    </row>
    <row r="1426" spans="1:19" x14ac:dyDescent="0.35">
      <c r="A1426">
        <v>1849</v>
      </c>
      <c r="B1426" t="s">
        <v>6668</v>
      </c>
      <c r="C1426" t="s">
        <v>42</v>
      </c>
      <c r="D1426" t="s">
        <v>6669</v>
      </c>
      <c r="E1426" t="e" cm="1">
        <f t="array" ref="E1426">- AMMONIUM CHLORIDE</f>
        <v>#NAME?</v>
      </c>
      <c r="F1426" t="s">
        <v>770</v>
      </c>
      <c r="G1426" t="s">
        <v>2241</v>
      </c>
      <c r="H1426" t="s">
        <v>6670</v>
      </c>
      <c r="I1426" t="s">
        <v>4974</v>
      </c>
      <c r="J1426" t="s">
        <v>852</v>
      </c>
      <c r="K1426" t="s">
        <v>6671</v>
      </c>
      <c r="L1426" t="s">
        <v>6672</v>
      </c>
      <c r="M1426" t="s">
        <v>271</v>
      </c>
      <c r="N1426" t="s">
        <v>1672</v>
      </c>
      <c r="O1426" t="s">
        <v>4977</v>
      </c>
      <c r="P1426" t="s">
        <v>6673</v>
      </c>
      <c r="Q1426" t="s">
        <v>6674</v>
      </c>
      <c r="R1426">
        <v>8</v>
      </c>
      <c r="S1426">
        <v>16</v>
      </c>
    </row>
    <row r="1427" spans="1:19" x14ac:dyDescent="0.35">
      <c r="A1427">
        <v>1832</v>
      </c>
      <c r="B1427" t="s">
        <v>6675</v>
      </c>
      <c r="C1427" t="s">
        <v>42</v>
      </c>
      <c r="D1427" t="s">
        <v>6676</v>
      </c>
      <c r="E1427" t="e" cm="1">
        <f t="array" ref="E1427">- BROMHEXINE HYDROCHLORIDE</f>
        <v>#NAME?</v>
      </c>
      <c r="F1427" t="s">
        <v>6677</v>
      </c>
      <c r="G1427" t="s">
        <v>4649</v>
      </c>
      <c r="H1427" t="s">
        <v>6678</v>
      </c>
      <c r="I1427" t="s">
        <v>6402</v>
      </c>
      <c r="J1427" t="s">
        <v>6679</v>
      </c>
      <c r="K1427" t="s">
        <v>6680</v>
      </c>
      <c r="L1427" t="s">
        <v>6681</v>
      </c>
      <c r="M1427" t="s">
        <v>554</v>
      </c>
      <c r="N1427" t="s">
        <v>1342</v>
      </c>
      <c r="O1427" t="s">
        <v>6406</v>
      </c>
      <c r="P1427" t="s">
        <v>6682</v>
      </c>
      <c r="Q1427" t="s">
        <v>6683</v>
      </c>
      <c r="R1427">
        <v>8</v>
      </c>
      <c r="S1427">
        <v>16</v>
      </c>
    </row>
    <row r="1428" spans="1:19" x14ac:dyDescent="0.35">
      <c r="A1428">
        <v>9891</v>
      </c>
      <c r="B1428" t="s">
        <v>6647</v>
      </c>
      <c r="C1428" t="s">
        <v>42</v>
      </c>
      <c r="D1428" t="s">
        <v>6648</v>
      </c>
      <c r="E1428" t="e" cm="1">
        <f t="array" ref="E1428">- TRIMETAZIDINE HYDROCHLORIDE</f>
        <v>#NAME?</v>
      </c>
      <c r="F1428" t="s">
        <v>6649</v>
      </c>
      <c r="G1428" t="s">
        <v>6650</v>
      </c>
      <c r="H1428" t="s">
        <v>6651</v>
      </c>
      <c r="I1428" t="s">
        <v>6652</v>
      </c>
      <c r="J1428" t="s">
        <v>4095</v>
      </c>
      <c r="K1428" t="s">
        <v>6653</v>
      </c>
      <c r="L1428" t="s">
        <v>6654</v>
      </c>
      <c r="M1428" t="s">
        <v>46</v>
      </c>
      <c r="N1428" t="s">
        <v>6684</v>
      </c>
      <c r="O1428" t="s">
        <v>6656</v>
      </c>
      <c r="P1428" t="s">
        <v>6657</v>
      </c>
      <c r="Q1428" t="s">
        <v>6685</v>
      </c>
      <c r="R1428">
        <v>8</v>
      </c>
      <c r="S1428">
        <v>16</v>
      </c>
    </row>
    <row r="1429" spans="1:19" x14ac:dyDescent="0.35">
      <c r="A1429">
        <v>8196</v>
      </c>
      <c r="B1429" t="s">
        <v>551</v>
      </c>
      <c r="C1429" t="s">
        <v>42</v>
      </c>
      <c r="D1429" t="s">
        <v>6686</v>
      </c>
      <c r="E1429" t="e" cm="1">
        <f t="array" ref="E1429">- POVIDONE-IODINE</f>
        <v>#NAME?</v>
      </c>
      <c r="F1429" t="s">
        <v>6687</v>
      </c>
      <c r="I1429" t="s">
        <v>6688</v>
      </c>
      <c r="J1429" t="s">
        <v>6689</v>
      </c>
      <c r="M1429" t="s">
        <v>554</v>
      </c>
      <c r="N1429" t="s">
        <v>555</v>
      </c>
      <c r="O1429" t="s">
        <v>6690</v>
      </c>
      <c r="P1429" t="s">
        <v>6691</v>
      </c>
      <c r="Q1429" t="s">
        <v>6692</v>
      </c>
      <c r="R1429">
        <v>8</v>
      </c>
      <c r="S1429">
        <v>16</v>
      </c>
    </row>
    <row r="1430" spans="1:19" x14ac:dyDescent="0.35">
      <c r="A1430">
        <v>8197</v>
      </c>
      <c r="B1430" t="s">
        <v>551</v>
      </c>
      <c r="C1430" t="s">
        <v>42</v>
      </c>
      <c r="D1430" t="s">
        <v>6686</v>
      </c>
      <c r="E1430" t="e" cm="1">
        <f t="array" ref="E1430">- POVIDONE-IODINE</f>
        <v>#NAME?</v>
      </c>
      <c r="F1430" t="s">
        <v>6687</v>
      </c>
      <c r="I1430" t="s">
        <v>6688</v>
      </c>
      <c r="J1430" t="s">
        <v>6689</v>
      </c>
      <c r="M1430" t="s">
        <v>554</v>
      </c>
      <c r="N1430" t="s">
        <v>555</v>
      </c>
      <c r="O1430" t="s">
        <v>6690</v>
      </c>
      <c r="P1430" t="s">
        <v>6691</v>
      </c>
      <c r="Q1430" t="s">
        <v>6692</v>
      </c>
      <c r="R1430">
        <v>8</v>
      </c>
      <c r="S1430">
        <v>16</v>
      </c>
    </row>
    <row r="1431" spans="1:19" x14ac:dyDescent="0.35">
      <c r="A1431">
        <v>1816</v>
      </c>
      <c r="B1431" t="s">
        <v>6693</v>
      </c>
      <c r="C1431" t="s">
        <v>850</v>
      </c>
      <c r="D1431" t="s">
        <v>6694</v>
      </c>
      <c r="E1431" t="e" cm="1">
        <f t="array" ref="E1431">- Champora Crystal</f>
        <v>#NAME?</v>
      </c>
      <c r="F1431" t="s">
        <v>6695</v>
      </c>
      <c r="J1431" t="s">
        <v>3751</v>
      </c>
      <c r="M1431" t="s">
        <v>3338</v>
      </c>
      <c r="N1431" t="s">
        <v>6696</v>
      </c>
      <c r="P1431" t="s">
        <v>6697</v>
      </c>
      <c r="Q1431" t="s">
        <v>6698</v>
      </c>
      <c r="R1431">
        <v>8</v>
      </c>
      <c r="S1431">
        <v>16</v>
      </c>
    </row>
    <row r="1432" spans="1:19" x14ac:dyDescent="0.35">
      <c r="A1432">
        <v>1814</v>
      </c>
      <c r="B1432" t="s">
        <v>6699</v>
      </c>
      <c r="C1432" t="s">
        <v>850</v>
      </c>
      <c r="D1432" t="s">
        <v>6700</v>
      </c>
      <c r="E1432" t="e" cm="1">
        <f t="array" ref="E1432">- Cajuput Oil</f>
        <v>#NAME?</v>
      </c>
      <c r="F1432" t="s">
        <v>3768</v>
      </c>
      <c r="J1432" t="s">
        <v>3751</v>
      </c>
      <c r="M1432" t="s">
        <v>3338</v>
      </c>
      <c r="N1432" t="s">
        <v>3752</v>
      </c>
      <c r="P1432" t="s">
        <v>6701</v>
      </c>
      <c r="Q1432" t="s">
        <v>6702</v>
      </c>
      <c r="R1432">
        <v>8</v>
      </c>
      <c r="S1432">
        <v>16</v>
      </c>
    </row>
    <row r="1433" spans="1:19" x14ac:dyDescent="0.35">
      <c r="A1433">
        <v>1910</v>
      </c>
      <c r="B1433" t="s">
        <v>6703</v>
      </c>
      <c r="C1433" t="s">
        <v>20</v>
      </c>
      <c r="D1433" t="s">
        <v>6704</v>
      </c>
      <c r="E1433" t="s">
        <v>6705</v>
      </c>
      <c r="F1433" t="s">
        <v>6706</v>
      </c>
      <c r="G1433" t="s">
        <v>6707</v>
      </c>
      <c r="H1433" t="s">
        <v>6708</v>
      </c>
      <c r="I1433" t="s">
        <v>6709</v>
      </c>
      <c r="J1433" t="s">
        <v>6710</v>
      </c>
      <c r="L1433" t="s">
        <v>6711</v>
      </c>
      <c r="M1433" t="s">
        <v>63</v>
      </c>
      <c r="N1433" t="s">
        <v>6712</v>
      </c>
      <c r="O1433" t="s">
        <v>5144</v>
      </c>
      <c r="P1433" t="s">
        <v>6712</v>
      </c>
      <c r="Q1433" t="s">
        <v>6713</v>
      </c>
      <c r="R1433">
        <v>8</v>
      </c>
      <c r="S1433">
        <v>16</v>
      </c>
    </row>
    <row r="1434" spans="1:19" x14ac:dyDescent="0.35">
      <c r="A1434">
        <v>1912</v>
      </c>
      <c r="B1434" t="s">
        <v>6703</v>
      </c>
      <c r="C1434" t="s">
        <v>20</v>
      </c>
      <c r="D1434" t="s">
        <v>6704</v>
      </c>
      <c r="E1434" t="s">
        <v>6705</v>
      </c>
      <c r="F1434" t="s">
        <v>6706</v>
      </c>
      <c r="G1434" t="s">
        <v>6707</v>
      </c>
      <c r="H1434" t="s">
        <v>6708</v>
      </c>
      <c r="I1434" t="s">
        <v>6709</v>
      </c>
      <c r="J1434" t="s">
        <v>6710</v>
      </c>
      <c r="L1434" t="s">
        <v>6711</v>
      </c>
      <c r="M1434" t="s">
        <v>63</v>
      </c>
      <c r="N1434" t="s">
        <v>6712</v>
      </c>
      <c r="O1434" t="s">
        <v>5144</v>
      </c>
      <c r="P1434" t="s">
        <v>6712</v>
      </c>
      <c r="Q1434" t="s">
        <v>6713</v>
      </c>
      <c r="R1434">
        <v>8</v>
      </c>
      <c r="S1434">
        <v>16</v>
      </c>
    </row>
    <row r="1435" spans="1:19" x14ac:dyDescent="0.35">
      <c r="A1435">
        <v>9821</v>
      </c>
      <c r="B1435" t="s">
        <v>6714</v>
      </c>
      <c r="C1435" t="s">
        <v>42</v>
      </c>
      <c r="D1435" t="s">
        <v>6715</v>
      </c>
      <c r="E1435" t="e" cm="1">
        <f t="array" ref="E1435">- SIMVASTATIN</f>
        <v>#NAME?</v>
      </c>
      <c r="F1435" t="s">
        <v>6716</v>
      </c>
      <c r="G1435" t="s">
        <v>6717</v>
      </c>
      <c r="H1435" t="s">
        <v>6718</v>
      </c>
      <c r="I1435" t="s">
        <v>6719</v>
      </c>
      <c r="J1435" t="s">
        <v>599</v>
      </c>
      <c r="K1435" t="s">
        <v>6720</v>
      </c>
      <c r="L1435" t="s">
        <v>6721</v>
      </c>
      <c r="M1435" t="s">
        <v>46</v>
      </c>
      <c r="N1435" t="s">
        <v>1150</v>
      </c>
      <c r="O1435" t="s">
        <v>6722</v>
      </c>
      <c r="P1435" t="s">
        <v>6723</v>
      </c>
      <c r="Q1435" t="s">
        <v>6724</v>
      </c>
      <c r="R1435">
        <v>8</v>
      </c>
      <c r="S1435">
        <v>16</v>
      </c>
    </row>
    <row r="1436" spans="1:19" x14ac:dyDescent="0.35">
      <c r="A1436">
        <v>9965</v>
      </c>
      <c r="B1436" t="s">
        <v>6725</v>
      </c>
      <c r="C1436" t="s">
        <v>42</v>
      </c>
      <c r="D1436" t="s">
        <v>6726</v>
      </c>
      <c r="E1436" t="e" cm="1">
        <f t="array" ref="E1436">- ISOSORBIDE DINITRATE</f>
        <v>#NAME?</v>
      </c>
      <c r="F1436" t="s">
        <v>6727</v>
      </c>
      <c r="G1436" t="s">
        <v>6728</v>
      </c>
      <c r="H1436" t="s">
        <v>6729</v>
      </c>
      <c r="I1436" t="s">
        <v>6730</v>
      </c>
      <c r="J1436" t="s">
        <v>381</v>
      </c>
      <c r="K1436" t="s">
        <v>6731</v>
      </c>
      <c r="L1436" t="s">
        <v>6732</v>
      </c>
      <c r="M1436" t="s">
        <v>46</v>
      </c>
      <c r="N1436" t="s">
        <v>6733</v>
      </c>
      <c r="O1436" t="s">
        <v>6734</v>
      </c>
      <c r="P1436" t="s">
        <v>6735</v>
      </c>
      <c r="Q1436" t="s">
        <v>6736</v>
      </c>
      <c r="R1436">
        <v>8</v>
      </c>
      <c r="S1436">
        <v>16</v>
      </c>
    </row>
    <row r="1437" spans="1:19" x14ac:dyDescent="0.35">
      <c r="A1437">
        <v>9815</v>
      </c>
      <c r="B1437" t="s">
        <v>6737</v>
      </c>
      <c r="C1437" t="s">
        <v>42</v>
      </c>
      <c r="D1437" t="s">
        <v>6738</v>
      </c>
      <c r="E1437" t="e" cm="1">
        <f t="array" ref="E1437">- ROSUVASTATIN CALCIUM</f>
        <v>#NAME?</v>
      </c>
      <c r="F1437" t="s">
        <v>6739</v>
      </c>
      <c r="G1437" t="s">
        <v>6740</v>
      </c>
      <c r="H1437" t="s">
        <v>6741</v>
      </c>
      <c r="I1437" t="s">
        <v>6742</v>
      </c>
      <c r="J1437" t="s">
        <v>2928</v>
      </c>
      <c r="K1437" t="s">
        <v>6743</v>
      </c>
      <c r="L1437" t="s">
        <v>6744</v>
      </c>
      <c r="M1437" t="s">
        <v>46</v>
      </c>
      <c r="N1437" t="s">
        <v>2308</v>
      </c>
      <c r="O1437" t="s">
        <v>6745</v>
      </c>
      <c r="P1437" t="s">
        <v>6746</v>
      </c>
      <c r="Q1437" t="s">
        <v>6747</v>
      </c>
      <c r="R1437">
        <v>8</v>
      </c>
      <c r="S1437">
        <v>16</v>
      </c>
    </row>
    <row r="1438" spans="1:19" x14ac:dyDescent="0.35">
      <c r="A1438">
        <v>9814</v>
      </c>
      <c r="B1438" t="s">
        <v>6737</v>
      </c>
      <c r="C1438" t="s">
        <v>42</v>
      </c>
      <c r="D1438" t="s">
        <v>6738</v>
      </c>
      <c r="E1438" t="e" cm="1">
        <f t="array" ref="E1438">- ROSUVASTATIN CALCIUM</f>
        <v>#NAME?</v>
      </c>
      <c r="F1438" t="s">
        <v>6739</v>
      </c>
      <c r="G1438" t="s">
        <v>6740</v>
      </c>
      <c r="H1438" t="s">
        <v>6741</v>
      </c>
      <c r="I1438" t="s">
        <v>6742</v>
      </c>
      <c r="J1438" t="s">
        <v>2928</v>
      </c>
      <c r="K1438" t="s">
        <v>6743</v>
      </c>
      <c r="L1438" t="s">
        <v>6744</v>
      </c>
      <c r="M1438" t="s">
        <v>46</v>
      </c>
      <c r="N1438" t="s">
        <v>2308</v>
      </c>
      <c r="O1438" t="s">
        <v>6745</v>
      </c>
      <c r="P1438" t="s">
        <v>6746</v>
      </c>
      <c r="Q1438" t="s">
        <v>6747</v>
      </c>
      <c r="R1438">
        <v>8</v>
      </c>
      <c r="S1438">
        <v>16</v>
      </c>
    </row>
    <row r="1439" spans="1:19" x14ac:dyDescent="0.35">
      <c r="A1439">
        <v>8232</v>
      </c>
      <c r="B1439" t="s">
        <v>551</v>
      </c>
      <c r="C1439" t="s">
        <v>42</v>
      </c>
      <c r="D1439" t="s">
        <v>6748</v>
      </c>
      <c r="E1439" t="e" cm="1">
        <f t="array" ref="E1439">- POVIDONE-IODINE</f>
        <v>#NAME?</v>
      </c>
      <c r="F1439" t="s">
        <v>6749</v>
      </c>
      <c r="J1439" t="s">
        <v>6750</v>
      </c>
      <c r="M1439" t="s">
        <v>554</v>
      </c>
      <c r="N1439" t="s">
        <v>555</v>
      </c>
      <c r="P1439" t="s">
        <v>6751</v>
      </c>
      <c r="Q1439" t="s">
        <v>6752</v>
      </c>
      <c r="R1439">
        <v>8</v>
      </c>
      <c r="S1439">
        <v>16</v>
      </c>
    </row>
    <row r="1440" spans="1:19" x14ac:dyDescent="0.35">
      <c r="A1440">
        <v>8233</v>
      </c>
      <c r="B1440" t="s">
        <v>551</v>
      </c>
      <c r="C1440" t="s">
        <v>42</v>
      </c>
      <c r="D1440" t="s">
        <v>6748</v>
      </c>
      <c r="E1440" t="e" cm="1">
        <f t="array" ref="E1440">- POVIDONE-IODINE</f>
        <v>#NAME?</v>
      </c>
      <c r="F1440" t="s">
        <v>6749</v>
      </c>
      <c r="J1440" t="s">
        <v>6750</v>
      </c>
      <c r="M1440" t="s">
        <v>554</v>
      </c>
      <c r="N1440" t="s">
        <v>555</v>
      </c>
      <c r="P1440" t="s">
        <v>6751</v>
      </c>
      <c r="Q1440" t="s">
        <v>6752</v>
      </c>
      <c r="R1440">
        <v>8</v>
      </c>
      <c r="S1440">
        <v>16</v>
      </c>
    </row>
    <row r="1441" spans="1:19" x14ac:dyDescent="0.35">
      <c r="A1441">
        <v>1928</v>
      </c>
      <c r="B1441" t="s">
        <v>5229</v>
      </c>
      <c r="C1441" t="s">
        <v>20</v>
      </c>
      <c r="D1441" t="s">
        <v>6753</v>
      </c>
      <c r="E1441" t="s">
        <v>5231</v>
      </c>
      <c r="F1441" t="s">
        <v>4210</v>
      </c>
      <c r="G1441" t="s">
        <v>6754</v>
      </c>
      <c r="H1441" t="s">
        <v>6755</v>
      </c>
      <c r="I1441" t="s">
        <v>6608</v>
      </c>
      <c r="J1441" t="s">
        <v>6756</v>
      </c>
      <c r="L1441" t="s">
        <v>5236</v>
      </c>
      <c r="M1441" t="s">
        <v>271</v>
      </c>
      <c r="N1441" t="s">
        <v>5237</v>
      </c>
      <c r="O1441" t="s">
        <v>6611</v>
      </c>
      <c r="P1441" t="s">
        <v>5237</v>
      </c>
      <c r="Q1441" t="s">
        <v>6757</v>
      </c>
      <c r="R1441">
        <v>8</v>
      </c>
      <c r="S1441">
        <v>16</v>
      </c>
    </row>
    <row r="1442" spans="1:19" x14ac:dyDescent="0.35">
      <c r="A1442">
        <v>9813</v>
      </c>
      <c r="B1442" t="s">
        <v>6758</v>
      </c>
      <c r="C1442" t="s">
        <v>42</v>
      </c>
      <c r="D1442" t="s">
        <v>6759</v>
      </c>
      <c r="E1442" t="e" cm="1">
        <f t="array" ref="E1442">- ROSUVASTATIN CALCIUM</f>
        <v>#NAME?</v>
      </c>
      <c r="F1442" t="s">
        <v>6760</v>
      </c>
      <c r="G1442" t="s">
        <v>6740</v>
      </c>
      <c r="H1442" t="s">
        <v>6741</v>
      </c>
      <c r="I1442" t="s">
        <v>6742</v>
      </c>
      <c r="J1442" t="s">
        <v>45</v>
      </c>
      <c r="K1442" t="s">
        <v>6743</v>
      </c>
      <c r="L1442" t="s">
        <v>6761</v>
      </c>
      <c r="M1442" t="s">
        <v>46</v>
      </c>
      <c r="N1442" t="s">
        <v>2308</v>
      </c>
      <c r="O1442" t="s">
        <v>6745</v>
      </c>
      <c r="P1442" t="s">
        <v>6746</v>
      </c>
      <c r="Q1442" t="s">
        <v>6747</v>
      </c>
      <c r="R1442">
        <v>8</v>
      </c>
      <c r="S1442">
        <v>16</v>
      </c>
    </row>
    <row r="1443" spans="1:19" x14ac:dyDescent="0.35">
      <c r="A1443">
        <v>9812</v>
      </c>
      <c r="B1443" t="s">
        <v>6758</v>
      </c>
      <c r="C1443" t="s">
        <v>42</v>
      </c>
      <c r="D1443" t="s">
        <v>6759</v>
      </c>
      <c r="E1443" t="e" cm="1">
        <f t="array" ref="E1443">- ROSUVASTATIN CALCIUM</f>
        <v>#NAME?</v>
      </c>
      <c r="F1443" t="s">
        <v>6760</v>
      </c>
      <c r="G1443" t="s">
        <v>6740</v>
      </c>
      <c r="H1443" t="s">
        <v>6741</v>
      </c>
      <c r="I1443" t="s">
        <v>6742</v>
      </c>
      <c r="J1443" t="s">
        <v>45</v>
      </c>
      <c r="K1443" t="s">
        <v>6743</v>
      </c>
      <c r="L1443" t="s">
        <v>6761</v>
      </c>
      <c r="M1443" t="s">
        <v>46</v>
      </c>
      <c r="N1443" t="s">
        <v>2308</v>
      </c>
      <c r="O1443" t="s">
        <v>6745</v>
      </c>
      <c r="P1443" t="s">
        <v>6746</v>
      </c>
      <c r="Q1443" t="s">
        <v>6747</v>
      </c>
      <c r="R1443">
        <v>8</v>
      </c>
      <c r="S1443">
        <v>16</v>
      </c>
    </row>
    <row r="1444" spans="1:19" x14ac:dyDescent="0.35">
      <c r="A1444">
        <v>2573</v>
      </c>
      <c r="B1444" t="s">
        <v>6762</v>
      </c>
      <c r="C1444" t="s">
        <v>42</v>
      </c>
      <c r="D1444" t="s">
        <v>6763</v>
      </c>
      <c r="E1444" t="e" cm="1">
        <f t="array" ref="E1444">- CAFFEINE</f>
        <v>#NAME?</v>
      </c>
      <c r="F1444" t="s">
        <v>6764</v>
      </c>
      <c r="G1444" t="s">
        <v>2241</v>
      </c>
      <c r="H1444" t="s">
        <v>6765</v>
      </c>
      <c r="I1444" t="s">
        <v>6766</v>
      </c>
      <c r="J1444" t="s">
        <v>5221</v>
      </c>
      <c r="K1444" t="s">
        <v>6767</v>
      </c>
      <c r="L1444" t="s">
        <v>2726</v>
      </c>
      <c r="M1444" t="s">
        <v>291</v>
      </c>
      <c r="N1444" t="s">
        <v>2359</v>
      </c>
      <c r="O1444" t="s">
        <v>6768</v>
      </c>
      <c r="P1444" t="s">
        <v>6769</v>
      </c>
      <c r="Q1444" t="s">
        <v>6770</v>
      </c>
      <c r="R1444">
        <v>8</v>
      </c>
      <c r="S1444">
        <v>16</v>
      </c>
    </row>
    <row r="1445" spans="1:19" x14ac:dyDescent="0.35">
      <c r="A1445">
        <v>9967</v>
      </c>
      <c r="B1445" t="s">
        <v>6771</v>
      </c>
      <c r="C1445" t="s">
        <v>42</v>
      </c>
      <c r="D1445" t="s">
        <v>6772</v>
      </c>
      <c r="E1445" t="e" cm="1">
        <f t="array" ref="E1445">- ISOSORBIDE DINITRATE</f>
        <v>#NAME?</v>
      </c>
      <c r="F1445" t="s">
        <v>6773</v>
      </c>
      <c r="G1445" t="s">
        <v>6774</v>
      </c>
      <c r="H1445" t="s">
        <v>6775</v>
      </c>
      <c r="I1445" t="s">
        <v>6776</v>
      </c>
      <c r="J1445" t="s">
        <v>6777</v>
      </c>
      <c r="K1445" t="s">
        <v>6731</v>
      </c>
      <c r="L1445" t="s">
        <v>6778</v>
      </c>
      <c r="M1445" t="s">
        <v>46</v>
      </c>
      <c r="N1445" t="s">
        <v>6733</v>
      </c>
      <c r="O1445" t="s">
        <v>6734</v>
      </c>
      <c r="P1445" t="s">
        <v>6735</v>
      </c>
      <c r="Q1445" t="s">
        <v>6736</v>
      </c>
      <c r="R1445">
        <v>8</v>
      </c>
      <c r="S1445">
        <v>16</v>
      </c>
    </row>
    <row r="1446" spans="1:19" x14ac:dyDescent="0.35">
      <c r="A1446">
        <v>9791</v>
      </c>
      <c r="B1446" t="s">
        <v>6779</v>
      </c>
      <c r="C1446" t="s">
        <v>42</v>
      </c>
      <c r="D1446" t="s">
        <v>6780</v>
      </c>
      <c r="E1446" t="e" cm="1">
        <f t="array" ref="E1446">- ROSUVASTATIN CALCIUM</f>
        <v>#NAME?</v>
      </c>
      <c r="F1446" t="s">
        <v>6781</v>
      </c>
      <c r="G1446" t="s">
        <v>6740</v>
      </c>
      <c r="H1446" t="s">
        <v>6741</v>
      </c>
      <c r="I1446" t="s">
        <v>6742</v>
      </c>
      <c r="J1446" t="s">
        <v>2100</v>
      </c>
      <c r="K1446" t="s">
        <v>6743</v>
      </c>
      <c r="L1446" t="s">
        <v>6744</v>
      </c>
      <c r="M1446" t="s">
        <v>46</v>
      </c>
      <c r="N1446" t="s">
        <v>2308</v>
      </c>
      <c r="O1446" t="s">
        <v>6745</v>
      </c>
      <c r="P1446" t="s">
        <v>6782</v>
      </c>
      <c r="Q1446" t="s">
        <v>6783</v>
      </c>
      <c r="R1446">
        <v>8</v>
      </c>
      <c r="S1446">
        <v>16</v>
      </c>
    </row>
    <row r="1447" spans="1:19" x14ac:dyDescent="0.35">
      <c r="A1447">
        <v>9969</v>
      </c>
      <c r="B1447" t="s">
        <v>3539</v>
      </c>
      <c r="C1447" t="s">
        <v>42</v>
      </c>
      <c r="D1447" t="s">
        <v>3540</v>
      </c>
      <c r="E1447" t="s">
        <v>6784</v>
      </c>
      <c r="F1447" t="s">
        <v>3541</v>
      </c>
      <c r="H1447">
        <v>0</v>
      </c>
      <c r="J1447" t="s">
        <v>3542</v>
      </c>
      <c r="M1447" t="s">
        <v>46</v>
      </c>
      <c r="N1447" t="s">
        <v>6785</v>
      </c>
      <c r="P1447" t="s">
        <v>3544</v>
      </c>
      <c r="Q1447" t="s">
        <v>6786</v>
      </c>
      <c r="R1447">
        <v>8</v>
      </c>
      <c r="S1447">
        <v>16</v>
      </c>
    </row>
    <row r="1448" spans="1:19" x14ac:dyDescent="0.35">
      <c r="A1448">
        <v>1967</v>
      </c>
      <c r="B1448" t="s">
        <v>6659</v>
      </c>
      <c r="C1448" t="s">
        <v>20</v>
      </c>
      <c r="D1448" t="s">
        <v>6660</v>
      </c>
      <c r="E1448" t="s">
        <v>6661</v>
      </c>
      <c r="F1448" t="s">
        <v>6662</v>
      </c>
      <c r="G1448" t="s">
        <v>6663</v>
      </c>
      <c r="H1448" t="s">
        <v>6664</v>
      </c>
      <c r="I1448" t="s">
        <v>6643</v>
      </c>
      <c r="J1448" t="s">
        <v>3504</v>
      </c>
      <c r="M1448" t="s">
        <v>271</v>
      </c>
      <c r="N1448" t="s">
        <v>6665</v>
      </c>
      <c r="O1448" t="s">
        <v>5250</v>
      </c>
      <c r="P1448" t="s">
        <v>6666</v>
      </c>
      <c r="Q1448" t="s">
        <v>6667</v>
      </c>
      <c r="R1448">
        <v>8</v>
      </c>
      <c r="S1448">
        <v>16</v>
      </c>
    </row>
    <row r="1449" spans="1:19" x14ac:dyDescent="0.35">
      <c r="A1449">
        <v>1977</v>
      </c>
      <c r="B1449" t="s">
        <v>6638</v>
      </c>
      <c r="C1449" t="s">
        <v>20</v>
      </c>
      <c r="D1449" t="s">
        <v>6639</v>
      </c>
      <c r="E1449" t="s">
        <v>6640</v>
      </c>
      <c r="F1449" t="s">
        <v>6641</v>
      </c>
      <c r="G1449" t="s">
        <v>2241</v>
      </c>
      <c r="H1449" t="s">
        <v>6642</v>
      </c>
      <c r="I1449" t="s">
        <v>6643</v>
      </c>
      <c r="J1449" t="s">
        <v>334</v>
      </c>
      <c r="L1449" t="s">
        <v>6644</v>
      </c>
      <c r="N1449" t="s">
        <v>6645</v>
      </c>
      <c r="O1449" t="s">
        <v>5250</v>
      </c>
      <c r="P1449" t="s">
        <v>6645</v>
      </c>
      <c r="Q1449" t="s">
        <v>6646</v>
      </c>
      <c r="R1449">
        <v>8</v>
      </c>
      <c r="S1449">
        <v>16</v>
      </c>
    </row>
    <row r="1450" spans="1:19" x14ac:dyDescent="0.35">
      <c r="A1450">
        <v>1930</v>
      </c>
      <c r="B1450" t="s">
        <v>5229</v>
      </c>
      <c r="C1450" t="s">
        <v>20</v>
      </c>
      <c r="D1450" t="s">
        <v>6753</v>
      </c>
      <c r="E1450" t="s">
        <v>5231</v>
      </c>
      <c r="F1450" t="s">
        <v>4210</v>
      </c>
      <c r="G1450" t="s">
        <v>6754</v>
      </c>
      <c r="H1450" t="s">
        <v>6755</v>
      </c>
      <c r="I1450" t="s">
        <v>6608</v>
      </c>
      <c r="J1450" t="s">
        <v>6756</v>
      </c>
      <c r="L1450" t="s">
        <v>5236</v>
      </c>
      <c r="M1450" t="s">
        <v>271</v>
      </c>
      <c r="N1450" t="s">
        <v>5237</v>
      </c>
      <c r="O1450" t="s">
        <v>6611</v>
      </c>
      <c r="P1450" t="s">
        <v>5237</v>
      </c>
      <c r="Q1450" t="s">
        <v>6757</v>
      </c>
      <c r="R1450">
        <v>8</v>
      </c>
      <c r="S1450">
        <v>16</v>
      </c>
    </row>
    <row r="1451" spans="1:19" x14ac:dyDescent="0.35">
      <c r="A1451">
        <v>8990</v>
      </c>
      <c r="B1451" t="s">
        <v>6787</v>
      </c>
      <c r="C1451" t="s">
        <v>42</v>
      </c>
      <c r="D1451" t="s">
        <v>6788</v>
      </c>
      <c r="E1451" t="e" cm="1">
        <f t="array" ref="E1451">- AMLODIPINE BESILATE</f>
        <v>#NAME?</v>
      </c>
      <c r="F1451" t="s">
        <v>6789</v>
      </c>
      <c r="G1451" t="s">
        <v>60</v>
      </c>
      <c r="H1451" t="s">
        <v>6790</v>
      </c>
      <c r="I1451" t="s">
        <v>6791</v>
      </c>
      <c r="J1451" t="s">
        <v>2478</v>
      </c>
      <c r="K1451" t="s">
        <v>6792</v>
      </c>
      <c r="L1451" t="s">
        <v>6793</v>
      </c>
      <c r="M1451" t="s">
        <v>46</v>
      </c>
      <c r="N1451" t="s">
        <v>2484</v>
      </c>
      <c r="O1451" t="s">
        <v>6794</v>
      </c>
      <c r="P1451" t="s">
        <v>6795</v>
      </c>
      <c r="Q1451" t="s">
        <v>6796</v>
      </c>
      <c r="R1451">
        <v>8</v>
      </c>
      <c r="S1451">
        <v>16</v>
      </c>
    </row>
    <row r="1452" spans="1:19" x14ac:dyDescent="0.35">
      <c r="A1452">
        <v>8388</v>
      </c>
      <c r="B1452" t="s">
        <v>551</v>
      </c>
      <c r="C1452" t="s">
        <v>42</v>
      </c>
      <c r="D1452" t="s">
        <v>6797</v>
      </c>
      <c r="E1452" t="e" cm="1">
        <f t="array" ref="E1452">- POVIDONE-IODINE</f>
        <v>#NAME?</v>
      </c>
      <c r="F1452" t="s">
        <v>6798</v>
      </c>
      <c r="J1452" t="s">
        <v>5484</v>
      </c>
      <c r="M1452" t="s">
        <v>554</v>
      </c>
      <c r="N1452" t="s">
        <v>555</v>
      </c>
      <c r="P1452" t="s">
        <v>6799</v>
      </c>
      <c r="Q1452" t="s">
        <v>6800</v>
      </c>
      <c r="R1452">
        <v>8</v>
      </c>
      <c r="S1452">
        <v>16</v>
      </c>
    </row>
    <row r="1453" spans="1:19" x14ac:dyDescent="0.35">
      <c r="A1453">
        <v>8773</v>
      </c>
      <c r="B1453" t="s">
        <v>2388</v>
      </c>
      <c r="C1453" t="s">
        <v>42</v>
      </c>
      <c r="D1453" t="s">
        <v>6801</v>
      </c>
      <c r="E1453" t="e" cm="1">
        <f t="array" ref="E1453">- PIOGLITAZONE HYDROCHLORIDE</f>
        <v>#NAME?</v>
      </c>
      <c r="F1453" t="s">
        <v>6802</v>
      </c>
      <c r="M1453" t="s">
        <v>46</v>
      </c>
      <c r="N1453" t="s">
        <v>2389</v>
      </c>
      <c r="P1453" t="s">
        <v>6803</v>
      </c>
      <c r="Q1453" t="s">
        <v>6804</v>
      </c>
      <c r="R1453">
        <v>8</v>
      </c>
      <c r="S1453">
        <v>16</v>
      </c>
    </row>
    <row r="1454" spans="1:19" x14ac:dyDescent="0.35">
      <c r="A1454">
        <v>9209</v>
      </c>
      <c r="B1454" t="s">
        <v>6175</v>
      </c>
      <c r="C1454" t="s">
        <v>42</v>
      </c>
      <c r="D1454" t="s">
        <v>6176</v>
      </c>
      <c r="E1454" t="e" cm="1">
        <f t="array" ref="E1454">- BISOPROLOL FUMARATE. HYDROCHLOROTHIAZIDE</f>
        <v>#NAME?</v>
      </c>
      <c r="F1454" t="s">
        <v>6177</v>
      </c>
      <c r="G1454" t="s">
        <v>2880</v>
      </c>
      <c r="H1454" t="s">
        <v>6178</v>
      </c>
      <c r="I1454" t="s">
        <v>6179</v>
      </c>
      <c r="J1454" t="s">
        <v>2100</v>
      </c>
      <c r="K1454" t="s">
        <v>6180</v>
      </c>
      <c r="L1454" t="s">
        <v>6181</v>
      </c>
      <c r="M1454" t="s">
        <v>46</v>
      </c>
      <c r="N1454" t="s">
        <v>6805</v>
      </c>
      <c r="O1454" t="s">
        <v>6183</v>
      </c>
      <c r="P1454" t="s">
        <v>6184</v>
      </c>
      <c r="Q1454" t="s">
        <v>6806</v>
      </c>
      <c r="R1454">
        <v>8</v>
      </c>
      <c r="S1454">
        <v>16</v>
      </c>
    </row>
    <row r="1455" spans="1:19" x14ac:dyDescent="0.35">
      <c r="A1455">
        <v>9210</v>
      </c>
      <c r="B1455" t="s">
        <v>6175</v>
      </c>
      <c r="C1455" t="s">
        <v>42</v>
      </c>
      <c r="D1455" t="s">
        <v>6176</v>
      </c>
      <c r="E1455" t="e" cm="1">
        <f t="array" ref="E1455">- BISOPROLOL FUMARATE. HYDROCHLOROTHIAZIDE</f>
        <v>#NAME?</v>
      </c>
      <c r="F1455" t="s">
        <v>6177</v>
      </c>
      <c r="G1455" t="s">
        <v>2880</v>
      </c>
      <c r="H1455" t="s">
        <v>6178</v>
      </c>
      <c r="I1455" t="s">
        <v>6179</v>
      </c>
      <c r="J1455" t="s">
        <v>2100</v>
      </c>
      <c r="K1455" t="s">
        <v>6180</v>
      </c>
      <c r="L1455" t="s">
        <v>6181</v>
      </c>
      <c r="M1455" t="s">
        <v>46</v>
      </c>
      <c r="N1455" t="s">
        <v>6805</v>
      </c>
      <c r="O1455" t="s">
        <v>6183</v>
      </c>
      <c r="P1455" t="s">
        <v>6184</v>
      </c>
      <c r="Q1455" t="s">
        <v>6806</v>
      </c>
      <c r="R1455">
        <v>8</v>
      </c>
      <c r="S1455">
        <v>16</v>
      </c>
    </row>
    <row r="1456" spans="1:19" x14ac:dyDescent="0.35">
      <c r="A1456">
        <v>9211</v>
      </c>
      <c r="B1456" t="s">
        <v>6175</v>
      </c>
      <c r="C1456" t="s">
        <v>42</v>
      </c>
      <c r="D1456" t="s">
        <v>6176</v>
      </c>
      <c r="E1456" t="e" cm="1">
        <f t="array" ref="E1456">- BISOPROLOL FUMARATE. HYDROCHLOROTHIAZIDE</f>
        <v>#NAME?</v>
      </c>
      <c r="F1456" t="s">
        <v>6177</v>
      </c>
      <c r="G1456" t="s">
        <v>2880</v>
      </c>
      <c r="H1456" t="s">
        <v>6178</v>
      </c>
      <c r="I1456" t="s">
        <v>6179</v>
      </c>
      <c r="J1456" t="s">
        <v>2100</v>
      </c>
      <c r="K1456" t="s">
        <v>6180</v>
      </c>
      <c r="L1456" t="s">
        <v>6181</v>
      </c>
      <c r="M1456" t="s">
        <v>46</v>
      </c>
      <c r="N1456" t="s">
        <v>6805</v>
      </c>
      <c r="O1456" t="s">
        <v>6183</v>
      </c>
      <c r="P1456" t="s">
        <v>6184</v>
      </c>
      <c r="Q1456" t="s">
        <v>6806</v>
      </c>
      <c r="R1456">
        <v>8</v>
      </c>
      <c r="S1456">
        <v>16</v>
      </c>
    </row>
    <row r="1457" spans="1:19" x14ac:dyDescent="0.35">
      <c r="A1457">
        <v>2412</v>
      </c>
      <c r="B1457" t="s">
        <v>6807</v>
      </c>
      <c r="C1457" t="s">
        <v>42</v>
      </c>
      <c r="D1457" t="s">
        <v>6808</v>
      </c>
      <c r="E1457" t="e" cm="1">
        <f t="array" ref="E1457">- MEFENAMIC ACID</f>
        <v>#NAME?</v>
      </c>
      <c r="F1457" t="s">
        <v>6809</v>
      </c>
      <c r="G1457" t="s">
        <v>5866</v>
      </c>
      <c r="H1457" t="s">
        <v>6810</v>
      </c>
      <c r="I1457" t="s">
        <v>6811</v>
      </c>
      <c r="J1457" t="s">
        <v>6812</v>
      </c>
      <c r="K1457" t="s">
        <v>2726</v>
      </c>
      <c r="L1457" t="s">
        <v>6813</v>
      </c>
      <c r="M1457" t="s">
        <v>291</v>
      </c>
      <c r="N1457" t="s">
        <v>2235</v>
      </c>
      <c r="O1457" t="s">
        <v>6814</v>
      </c>
      <c r="P1457" t="s">
        <v>6815</v>
      </c>
      <c r="Q1457" t="s">
        <v>6816</v>
      </c>
      <c r="R1457">
        <v>8</v>
      </c>
      <c r="S1457">
        <v>16</v>
      </c>
    </row>
    <row r="1458" spans="1:19" x14ac:dyDescent="0.35">
      <c r="A1458">
        <v>2413</v>
      </c>
      <c r="B1458" t="s">
        <v>6807</v>
      </c>
      <c r="C1458" t="s">
        <v>42</v>
      </c>
      <c r="D1458" t="s">
        <v>6808</v>
      </c>
      <c r="E1458" t="e" cm="1">
        <f t="array" ref="E1458">- MEFENAMIC ACID</f>
        <v>#NAME?</v>
      </c>
      <c r="F1458" t="s">
        <v>6809</v>
      </c>
      <c r="G1458" t="s">
        <v>5866</v>
      </c>
      <c r="H1458" t="s">
        <v>6810</v>
      </c>
      <c r="I1458" t="s">
        <v>6811</v>
      </c>
      <c r="J1458" t="s">
        <v>6812</v>
      </c>
      <c r="K1458" t="s">
        <v>2726</v>
      </c>
      <c r="L1458" t="s">
        <v>6813</v>
      </c>
      <c r="M1458" t="s">
        <v>291</v>
      </c>
      <c r="N1458" t="s">
        <v>2235</v>
      </c>
      <c r="O1458" t="s">
        <v>6814</v>
      </c>
      <c r="P1458" t="s">
        <v>6815</v>
      </c>
      <c r="Q1458" t="s">
        <v>6816</v>
      </c>
      <c r="R1458">
        <v>8</v>
      </c>
      <c r="S1458">
        <v>16</v>
      </c>
    </row>
    <row r="1459" spans="1:19" x14ac:dyDescent="0.35">
      <c r="A1459">
        <v>8483</v>
      </c>
      <c r="B1459" t="s">
        <v>551</v>
      </c>
      <c r="C1459" t="s">
        <v>42</v>
      </c>
      <c r="D1459" t="s">
        <v>6817</v>
      </c>
      <c r="E1459" t="e" cm="1">
        <f t="array" ref="E1459">- POVIDONE-IODINE</f>
        <v>#NAME?</v>
      </c>
      <c r="F1459" t="s">
        <v>6818</v>
      </c>
      <c r="J1459" t="s">
        <v>4132</v>
      </c>
      <c r="M1459" t="s">
        <v>554</v>
      </c>
      <c r="N1459" t="s">
        <v>555</v>
      </c>
      <c r="P1459" t="s">
        <v>6819</v>
      </c>
      <c r="Q1459" t="s">
        <v>6820</v>
      </c>
      <c r="R1459">
        <v>8</v>
      </c>
      <c r="S1459">
        <v>16</v>
      </c>
    </row>
    <row r="1460" spans="1:19" x14ac:dyDescent="0.35">
      <c r="A1460">
        <v>8482</v>
      </c>
      <c r="B1460" t="s">
        <v>551</v>
      </c>
      <c r="C1460" t="s">
        <v>42</v>
      </c>
      <c r="D1460" t="s">
        <v>6817</v>
      </c>
      <c r="E1460" t="e" cm="1">
        <f t="array" ref="E1460">- POVIDONE-IODINE</f>
        <v>#NAME?</v>
      </c>
      <c r="F1460" t="s">
        <v>6818</v>
      </c>
      <c r="J1460" t="s">
        <v>4132</v>
      </c>
      <c r="M1460" t="s">
        <v>554</v>
      </c>
      <c r="N1460" t="s">
        <v>555</v>
      </c>
      <c r="P1460" t="s">
        <v>6819</v>
      </c>
      <c r="Q1460" t="s">
        <v>6820</v>
      </c>
      <c r="R1460">
        <v>8</v>
      </c>
      <c r="S1460">
        <v>16</v>
      </c>
    </row>
    <row r="1461" spans="1:19" x14ac:dyDescent="0.35">
      <c r="A1461">
        <v>8481</v>
      </c>
      <c r="B1461" t="s">
        <v>551</v>
      </c>
      <c r="C1461" t="s">
        <v>42</v>
      </c>
      <c r="D1461" t="s">
        <v>6821</v>
      </c>
      <c r="E1461" t="e" cm="1">
        <f t="array" ref="E1461">- POVIDONE-IODINE</f>
        <v>#NAME?</v>
      </c>
      <c r="F1461" t="s">
        <v>6822</v>
      </c>
      <c r="J1461" t="s">
        <v>4132</v>
      </c>
      <c r="M1461" t="s">
        <v>554</v>
      </c>
      <c r="N1461" t="s">
        <v>555</v>
      </c>
      <c r="P1461" t="s">
        <v>6823</v>
      </c>
      <c r="Q1461" t="s">
        <v>6824</v>
      </c>
      <c r="R1461">
        <v>8</v>
      </c>
      <c r="S1461">
        <v>16</v>
      </c>
    </row>
    <row r="1462" spans="1:19" x14ac:dyDescent="0.35">
      <c r="A1462">
        <v>8480</v>
      </c>
      <c r="B1462" t="s">
        <v>551</v>
      </c>
      <c r="C1462" t="s">
        <v>42</v>
      </c>
      <c r="D1462" t="s">
        <v>6821</v>
      </c>
      <c r="E1462" t="e" cm="1">
        <f t="array" ref="E1462">- POVIDONE-IODINE</f>
        <v>#NAME?</v>
      </c>
      <c r="F1462" t="s">
        <v>6822</v>
      </c>
      <c r="J1462" t="s">
        <v>4132</v>
      </c>
      <c r="M1462" t="s">
        <v>554</v>
      </c>
      <c r="N1462" t="s">
        <v>555</v>
      </c>
      <c r="P1462" t="s">
        <v>6823</v>
      </c>
      <c r="Q1462" t="s">
        <v>6824</v>
      </c>
      <c r="R1462">
        <v>8</v>
      </c>
      <c r="S1462">
        <v>16</v>
      </c>
    </row>
    <row r="1463" spans="1:19" x14ac:dyDescent="0.35">
      <c r="A1463">
        <v>8479</v>
      </c>
      <c r="B1463" t="s">
        <v>551</v>
      </c>
      <c r="C1463" t="s">
        <v>42</v>
      </c>
      <c r="D1463" t="s">
        <v>6825</v>
      </c>
      <c r="E1463" t="e" cm="1">
        <f t="array" ref="E1463">- POVIDONE-IODINE</f>
        <v>#NAME?</v>
      </c>
      <c r="F1463" t="s">
        <v>6826</v>
      </c>
      <c r="J1463" t="s">
        <v>4132</v>
      </c>
      <c r="M1463" t="s">
        <v>554</v>
      </c>
      <c r="N1463" t="s">
        <v>555</v>
      </c>
      <c r="P1463" t="s">
        <v>6827</v>
      </c>
      <c r="Q1463" t="s">
        <v>6828</v>
      </c>
      <c r="R1463">
        <v>8</v>
      </c>
      <c r="S1463">
        <v>16</v>
      </c>
    </row>
    <row r="1464" spans="1:19" x14ac:dyDescent="0.35">
      <c r="A1464">
        <v>8478</v>
      </c>
      <c r="B1464" t="s">
        <v>551</v>
      </c>
      <c r="C1464" t="s">
        <v>42</v>
      </c>
      <c r="D1464" t="s">
        <v>6825</v>
      </c>
      <c r="E1464" t="e" cm="1">
        <f t="array" ref="E1464">- POVIDONE-IODINE</f>
        <v>#NAME?</v>
      </c>
      <c r="F1464" t="s">
        <v>6826</v>
      </c>
      <c r="J1464" t="s">
        <v>4132</v>
      </c>
      <c r="M1464" t="s">
        <v>554</v>
      </c>
      <c r="N1464" t="s">
        <v>555</v>
      </c>
      <c r="P1464" t="s">
        <v>6827</v>
      </c>
      <c r="Q1464" t="s">
        <v>6828</v>
      </c>
      <c r="R1464">
        <v>8</v>
      </c>
      <c r="S1464">
        <v>16</v>
      </c>
    </row>
    <row r="1465" spans="1:19" x14ac:dyDescent="0.35">
      <c r="A1465">
        <v>8469</v>
      </c>
      <c r="B1465" t="s">
        <v>551</v>
      </c>
      <c r="C1465" t="s">
        <v>42</v>
      </c>
      <c r="D1465" t="s">
        <v>6829</v>
      </c>
      <c r="E1465" t="e" cm="1">
        <f t="array" ref="E1465">- POVIDONE-IODINE</f>
        <v>#NAME?</v>
      </c>
      <c r="F1465" s="1">
        <v>1571500</v>
      </c>
      <c r="J1465" t="s">
        <v>4132</v>
      </c>
      <c r="M1465" t="s">
        <v>554</v>
      </c>
      <c r="N1465" t="s">
        <v>555</v>
      </c>
      <c r="P1465" t="s">
        <v>6830</v>
      </c>
      <c r="Q1465" t="s">
        <v>6831</v>
      </c>
      <c r="R1465">
        <v>8</v>
      </c>
      <c r="S1465">
        <v>16</v>
      </c>
    </row>
    <row r="1466" spans="1:19" x14ac:dyDescent="0.35">
      <c r="A1466">
        <v>2458</v>
      </c>
      <c r="B1466" t="s">
        <v>6832</v>
      </c>
      <c r="C1466" t="s">
        <v>42</v>
      </c>
      <c r="D1466" t="s">
        <v>6833</v>
      </c>
      <c r="E1466" t="e" cm="1">
        <f t="array" ref="E1466">- PIROXICAM</f>
        <v>#NAME?</v>
      </c>
      <c r="F1466" t="s">
        <v>6834</v>
      </c>
      <c r="H1466" t="s">
        <v>6835</v>
      </c>
      <c r="I1466" t="s">
        <v>6836</v>
      </c>
      <c r="J1466" t="s">
        <v>2765</v>
      </c>
      <c r="L1466" t="s">
        <v>270</v>
      </c>
      <c r="M1466" t="s">
        <v>87</v>
      </c>
      <c r="N1466" t="s">
        <v>605</v>
      </c>
      <c r="O1466" t="s">
        <v>6837</v>
      </c>
      <c r="P1466" t="s">
        <v>6838</v>
      </c>
      <c r="Q1466" t="s">
        <v>6839</v>
      </c>
      <c r="R1466">
        <v>8</v>
      </c>
      <c r="S1466">
        <v>16</v>
      </c>
    </row>
    <row r="1467" spans="1:19" x14ac:dyDescent="0.35">
      <c r="A1467">
        <v>8468</v>
      </c>
      <c r="B1467" t="s">
        <v>551</v>
      </c>
      <c r="C1467" t="s">
        <v>42</v>
      </c>
      <c r="D1467" t="s">
        <v>6829</v>
      </c>
      <c r="E1467" t="e" cm="1">
        <f t="array" ref="E1467">- POVIDONE-IODINE</f>
        <v>#NAME?</v>
      </c>
      <c r="F1467" s="1">
        <v>1571500</v>
      </c>
      <c r="J1467" t="s">
        <v>4132</v>
      </c>
      <c r="M1467" t="s">
        <v>554</v>
      </c>
      <c r="N1467" t="s">
        <v>555</v>
      </c>
      <c r="P1467" t="s">
        <v>6830</v>
      </c>
      <c r="Q1467" t="s">
        <v>6831</v>
      </c>
      <c r="R1467">
        <v>8</v>
      </c>
      <c r="S1467">
        <v>16</v>
      </c>
    </row>
    <row r="1468" spans="1:19" x14ac:dyDescent="0.35">
      <c r="A1468">
        <v>8779</v>
      </c>
      <c r="B1468" t="s">
        <v>2388</v>
      </c>
      <c r="C1468" t="s">
        <v>42</v>
      </c>
      <c r="D1468" t="s">
        <v>6840</v>
      </c>
      <c r="E1468" t="e" cm="1">
        <f t="array" ref="E1468">- PIOGLITAZONE HYDROCHLORIDE</f>
        <v>#NAME?</v>
      </c>
      <c r="F1468" t="s">
        <v>6841</v>
      </c>
      <c r="J1468" t="s">
        <v>6842</v>
      </c>
      <c r="M1468" t="s">
        <v>46</v>
      </c>
      <c r="N1468" t="s">
        <v>2389</v>
      </c>
      <c r="P1468" t="s">
        <v>6843</v>
      </c>
      <c r="Q1468" t="s">
        <v>6844</v>
      </c>
      <c r="R1468">
        <v>8</v>
      </c>
      <c r="S1468">
        <v>16</v>
      </c>
    </row>
    <row r="1469" spans="1:19" x14ac:dyDescent="0.35">
      <c r="A1469">
        <v>2138</v>
      </c>
      <c r="B1469" t="s">
        <v>6845</v>
      </c>
      <c r="C1469" t="s">
        <v>42</v>
      </c>
      <c r="D1469" t="s">
        <v>6846</v>
      </c>
      <c r="E1469" t="e" cm="1">
        <f t="array" ref="E1469">- PARACETAMOL</f>
        <v>#NAME?</v>
      </c>
      <c r="F1469" t="s">
        <v>6847</v>
      </c>
      <c r="G1469" t="s">
        <v>4780</v>
      </c>
      <c r="H1469" t="s">
        <v>6848</v>
      </c>
      <c r="I1469" t="s">
        <v>6849</v>
      </c>
      <c r="J1469" t="s">
        <v>6850</v>
      </c>
      <c r="K1469" t="s">
        <v>6851</v>
      </c>
      <c r="L1469" t="s">
        <v>6852</v>
      </c>
      <c r="M1469" t="s">
        <v>720</v>
      </c>
      <c r="N1469" t="s">
        <v>584</v>
      </c>
      <c r="O1469" t="s">
        <v>6853</v>
      </c>
      <c r="P1469" t="s">
        <v>6854</v>
      </c>
      <c r="Q1469" t="s">
        <v>6855</v>
      </c>
      <c r="R1469">
        <v>8</v>
      </c>
      <c r="S1469">
        <v>16</v>
      </c>
    </row>
    <row r="1470" spans="1:19" x14ac:dyDescent="0.35">
      <c r="A1470">
        <v>2139</v>
      </c>
      <c r="B1470" t="s">
        <v>6845</v>
      </c>
      <c r="C1470" t="s">
        <v>42</v>
      </c>
      <c r="D1470" t="s">
        <v>6846</v>
      </c>
      <c r="E1470" t="e" cm="1">
        <f t="array" ref="E1470">- PARACETAMOL</f>
        <v>#NAME?</v>
      </c>
      <c r="F1470" t="s">
        <v>6847</v>
      </c>
      <c r="G1470" t="s">
        <v>4780</v>
      </c>
      <c r="H1470" t="s">
        <v>6848</v>
      </c>
      <c r="I1470" t="s">
        <v>6849</v>
      </c>
      <c r="J1470" t="s">
        <v>6850</v>
      </c>
      <c r="K1470" t="s">
        <v>6851</v>
      </c>
      <c r="L1470" t="s">
        <v>6852</v>
      </c>
      <c r="M1470" t="s">
        <v>720</v>
      </c>
      <c r="N1470" t="s">
        <v>584</v>
      </c>
      <c r="O1470" t="s">
        <v>6853</v>
      </c>
      <c r="P1470" t="s">
        <v>6854</v>
      </c>
      <c r="Q1470" t="s">
        <v>6855</v>
      </c>
      <c r="R1470">
        <v>8</v>
      </c>
      <c r="S1470">
        <v>16</v>
      </c>
    </row>
    <row r="1471" spans="1:19" x14ac:dyDescent="0.35">
      <c r="A1471">
        <v>2157</v>
      </c>
      <c r="B1471" t="s">
        <v>6856</v>
      </c>
      <c r="C1471" t="s">
        <v>42</v>
      </c>
      <c r="D1471" t="s">
        <v>6857</v>
      </c>
      <c r="E1471" t="e" cm="1">
        <f t="array" ref="E1471">- CAFFEINE</f>
        <v>#NAME?</v>
      </c>
      <c r="F1471" t="s">
        <v>6858</v>
      </c>
      <c r="G1471" t="s">
        <v>2241</v>
      </c>
      <c r="H1471" t="s">
        <v>6859</v>
      </c>
      <c r="I1471" t="s">
        <v>6860</v>
      </c>
      <c r="J1471" t="s">
        <v>6169</v>
      </c>
      <c r="K1471" t="s">
        <v>6861</v>
      </c>
      <c r="L1471" t="s">
        <v>6862</v>
      </c>
      <c r="M1471" t="s">
        <v>46</v>
      </c>
      <c r="N1471" t="s">
        <v>2359</v>
      </c>
      <c r="O1471" t="s">
        <v>6863</v>
      </c>
      <c r="P1471" t="s">
        <v>6864</v>
      </c>
      <c r="Q1471" t="s">
        <v>6865</v>
      </c>
      <c r="R1471">
        <v>8</v>
      </c>
      <c r="S1471">
        <v>16</v>
      </c>
    </row>
    <row r="1472" spans="1:19" x14ac:dyDescent="0.35">
      <c r="A1472">
        <v>8980</v>
      </c>
      <c r="B1472" t="s">
        <v>6866</v>
      </c>
      <c r="C1472" t="s">
        <v>42</v>
      </c>
      <c r="D1472" t="s">
        <v>6867</v>
      </c>
      <c r="E1472" t="e" cm="1">
        <f t="array" ref="E1472">- VALSARTAN</f>
        <v>#NAME?</v>
      </c>
      <c r="F1472" t="s">
        <v>6868</v>
      </c>
      <c r="G1472" t="s">
        <v>6869</v>
      </c>
      <c r="H1472" t="s">
        <v>6870</v>
      </c>
      <c r="I1472" t="s">
        <v>6871</v>
      </c>
      <c r="J1472" t="s">
        <v>2100</v>
      </c>
      <c r="K1472" t="s">
        <v>6872</v>
      </c>
      <c r="L1472" t="s">
        <v>6873</v>
      </c>
      <c r="M1472" t="s">
        <v>46</v>
      </c>
      <c r="N1472" t="s">
        <v>6874</v>
      </c>
      <c r="O1472" t="s">
        <v>6875</v>
      </c>
      <c r="P1472" t="s">
        <v>6874</v>
      </c>
      <c r="Q1472" t="s">
        <v>6876</v>
      </c>
      <c r="R1472">
        <v>8</v>
      </c>
      <c r="S1472">
        <v>16</v>
      </c>
    </row>
    <row r="1473" spans="1:19" x14ac:dyDescent="0.35">
      <c r="A1473">
        <v>8979</v>
      </c>
      <c r="B1473" t="s">
        <v>6866</v>
      </c>
      <c r="C1473" t="s">
        <v>42</v>
      </c>
      <c r="D1473" t="s">
        <v>6867</v>
      </c>
      <c r="E1473" t="e" cm="1">
        <f t="array" ref="E1473">- VALSARTAN</f>
        <v>#NAME?</v>
      </c>
      <c r="F1473" t="s">
        <v>6868</v>
      </c>
      <c r="G1473" t="s">
        <v>6869</v>
      </c>
      <c r="H1473" t="s">
        <v>6870</v>
      </c>
      <c r="I1473" t="s">
        <v>6871</v>
      </c>
      <c r="J1473" t="s">
        <v>2100</v>
      </c>
      <c r="K1473" t="s">
        <v>6872</v>
      </c>
      <c r="L1473" t="s">
        <v>6873</v>
      </c>
      <c r="M1473" t="s">
        <v>46</v>
      </c>
      <c r="N1473" t="s">
        <v>6874</v>
      </c>
      <c r="O1473" t="s">
        <v>6875</v>
      </c>
      <c r="P1473" t="s">
        <v>6874</v>
      </c>
      <c r="Q1473" t="s">
        <v>6876</v>
      </c>
      <c r="R1473">
        <v>8</v>
      </c>
      <c r="S1473">
        <v>16</v>
      </c>
    </row>
    <row r="1474" spans="1:19" x14ac:dyDescent="0.35">
      <c r="A1474">
        <v>9028</v>
      </c>
      <c r="B1474" t="s">
        <v>6877</v>
      </c>
      <c r="C1474" t="s">
        <v>42</v>
      </c>
      <c r="D1474" t="s">
        <v>6878</v>
      </c>
      <c r="E1474" t="e" cm="1">
        <f t="array" ref="E1474">- CARVEDILOL</f>
        <v>#NAME?</v>
      </c>
      <c r="F1474" t="s">
        <v>6879</v>
      </c>
      <c r="G1474" t="s">
        <v>5970</v>
      </c>
      <c r="H1474" t="s">
        <v>6880</v>
      </c>
      <c r="I1474" t="s">
        <v>6881</v>
      </c>
      <c r="J1474" t="s">
        <v>2928</v>
      </c>
      <c r="K1474" t="s">
        <v>6882</v>
      </c>
      <c r="L1474" t="s">
        <v>6883</v>
      </c>
      <c r="M1474" t="s">
        <v>46</v>
      </c>
      <c r="N1474" t="s">
        <v>6884</v>
      </c>
      <c r="O1474" t="s">
        <v>6885</v>
      </c>
      <c r="P1474" t="s">
        <v>6886</v>
      </c>
      <c r="Q1474" t="s">
        <v>6887</v>
      </c>
      <c r="R1474">
        <v>8</v>
      </c>
      <c r="S1474">
        <v>16</v>
      </c>
    </row>
    <row r="1475" spans="1:19" x14ac:dyDescent="0.35">
      <c r="A1475">
        <v>9029</v>
      </c>
      <c r="B1475" t="s">
        <v>6888</v>
      </c>
      <c r="C1475" t="s">
        <v>20</v>
      </c>
      <c r="D1475" t="s">
        <v>6889</v>
      </c>
      <c r="E1475" t="s">
        <v>6890</v>
      </c>
      <c r="F1475" t="s">
        <v>6891</v>
      </c>
      <c r="G1475" t="s">
        <v>2241</v>
      </c>
      <c r="H1475" t="s">
        <v>6892</v>
      </c>
      <c r="I1475" t="s">
        <v>6893</v>
      </c>
      <c r="J1475" t="s">
        <v>3812</v>
      </c>
      <c r="L1475" t="s">
        <v>6894</v>
      </c>
      <c r="M1475" t="s">
        <v>38</v>
      </c>
      <c r="N1475" t="s">
        <v>6895</v>
      </c>
      <c r="O1475" t="s">
        <v>6896</v>
      </c>
      <c r="P1475" t="s">
        <v>6897</v>
      </c>
      <c r="Q1475" t="s">
        <v>6898</v>
      </c>
      <c r="R1475">
        <v>8</v>
      </c>
      <c r="S1475">
        <v>16</v>
      </c>
    </row>
    <row r="1476" spans="1:19" x14ac:dyDescent="0.35">
      <c r="A1476">
        <v>8966</v>
      </c>
      <c r="B1476" t="s">
        <v>5549</v>
      </c>
      <c r="C1476" t="s">
        <v>42</v>
      </c>
      <c r="D1476" t="s">
        <v>5550</v>
      </c>
      <c r="E1476" t="e" cm="1">
        <f t="array" ref="E1476">- NEBIVOLOL HYDROCHLORIDE</f>
        <v>#NAME?</v>
      </c>
      <c r="F1476" t="s">
        <v>5551</v>
      </c>
      <c r="G1476" t="s">
        <v>5552</v>
      </c>
      <c r="H1476" t="s">
        <v>5553</v>
      </c>
      <c r="I1476" t="s">
        <v>5554</v>
      </c>
      <c r="J1476" t="s">
        <v>599</v>
      </c>
      <c r="K1476" t="s">
        <v>5555</v>
      </c>
    </row>
    <row r="1477" spans="1:19" x14ac:dyDescent="0.35">
      <c r="A1477">
        <v>9064</v>
      </c>
      <c r="B1477" t="s">
        <v>6899</v>
      </c>
      <c r="C1477" t="s">
        <v>42</v>
      </c>
      <c r="D1477" t="s">
        <v>6900</v>
      </c>
      <c r="E1477" t="e" cm="1">
        <f t="array" ref="E1477">- CARVEDILOL</f>
        <v>#NAME?</v>
      </c>
      <c r="F1477" t="s">
        <v>6901</v>
      </c>
      <c r="G1477" t="s">
        <v>2241</v>
      </c>
      <c r="H1477" t="s">
        <v>6902</v>
      </c>
      <c r="I1477" t="s">
        <v>6881</v>
      </c>
      <c r="J1477" t="s">
        <v>367</v>
      </c>
      <c r="K1477" t="s">
        <v>6903</v>
      </c>
      <c r="L1477" t="s">
        <v>6883</v>
      </c>
      <c r="M1477" t="s">
        <v>46</v>
      </c>
      <c r="N1477" t="s">
        <v>6884</v>
      </c>
      <c r="O1477" t="s">
        <v>6885</v>
      </c>
      <c r="P1477" t="s">
        <v>6904</v>
      </c>
      <c r="Q1477" t="s">
        <v>6905</v>
      </c>
      <c r="R1477">
        <v>8</v>
      </c>
      <c r="S1477">
        <v>16</v>
      </c>
    </row>
    <row r="1478" spans="1:19" x14ac:dyDescent="0.35">
      <c r="A1478">
        <v>9065</v>
      </c>
      <c r="B1478" t="s">
        <v>6899</v>
      </c>
      <c r="C1478" t="s">
        <v>42</v>
      </c>
      <c r="D1478" t="s">
        <v>6900</v>
      </c>
      <c r="E1478" t="e" cm="1">
        <f t="array" ref="E1478">- CARVEDILOL</f>
        <v>#NAME?</v>
      </c>
      <c r="F1478" t="s">
        <v>6901</v>
      </c>
      <c r="G1478" t="s">
        <v>2241</v>
      </c>
      <c r="H1478" t="s">
        <v>6902</v>
      </c>
      <c r="I1478" t="s">
        <v>6881</v>
      </c>
      <c r="J1478" t="s">
        <v>367</v>
      </c>
      <c r="K1478" t="s">
        <v>6903</v>
      </c>
      <c r="L1478" t="s">
        <v>6883</v>
      </c>
      <c r="M1478" t="s">
        <v>46</v>
      </c>
      <c r="N1478" t="s">
        <v>6884</v>
      </c>
      <c r="O1478" t="s">
        <v>6885</v>
      </c>
      <c r="P1478" t="s">
        <v>6904</v>
      </c>
      <c r="Q1478" t="s">
        <v>6905</v>
      </c>
      <c r="R1478">
        <v>8</v>
      </c>
      <c r="S1478">
        <v>16</v>
      </c>
    </row>
    <row r="1479" spans="1:19" x14ac:dyDescent="0.35">
      <c r="A1479">
        <v>8467</v>
      </c>
      <c r="B1479" t="s">
        <v>551</v>
      </c>
      <c r="C1479" t="s">
        <v>42</v>
      </c>
      <c r="D1479" t="s">
        <v>6906</v>
      </c>
      <c r="E1479" t="e" cm="1">
        <f t="array" ref="E1479">- POVIDONE-IODINE</f>
        <v>#NAME?</v>
      </c>
      <c r="F1479" s="1">
        <v>1478600</v>
      </c>
      <c r="J1479" t="s">
        <v>4132</v>
      </c>
      <c r="M1479" t="s">
        <v>554</v>
      </c>
      <c r="N1479" t="s">
        <v>555</v>
      </c>
      <c r="P1479" t="s">
        <v>6907</v>
      </c>
      <c r="Q1479" t="s">
        <v>6908</v>
      </c>
      <c r="R1479">
        <v>8</v>
      </c>
      <c r="S1479">
        <v>16</v>
      </c>
    </row>
    <row r="1480" spans="1:19" x14ac:dyDescent="0.35">
      <c r="A1480">
        <v>9066</v>
      </c>
      <c r="B1480" t="s">
        <v>6909</v>
      </c>
      <c r="C1480" t="s">
        <v>42</v>
      </c>
      <c r="D1480" t="s">
        <v>6910</v>
      </c>
      <c r="E1480" t="e" cm="1">
        <f t="array" ref="E1480">- CARVEDILOL</f>
        <v>#NAME?</v>
      </c>
      <c r="F1480" t="s">
        <v>6911</v>
      </c>
      <c r="G1480" t="s">
        <v>2241</v>
      </c>
      <c r="H1480" t="s">
        <v>6912</v>
      </c>
      <c r="I1480" t="s">
        <v>6881</v>
      </c>
      <c r="J1480" t="s">
        <v>367</v>
      </c>
      <c r="K1480" t="s">
        <v>6913</v>
      </c>
      <c r="L1480" t="s">
        <v>6883</v>
      </c>
      <c r="M1480" t="s">
        <v>46</v>
      </c>
      <c r="N1480" t="s">
        <v>6884</v>
      </c>
      <c r="O1480" t="s">
        <v>6885</v>
      </c>
      <c r="P1480" t="s">
        <v>6904</v>
      </c>
      <c r="Q1480" t="s">
        <v>6905</v>
      </c>
      <c r="R1480">
        <v>8</v>
      </c>
      <c r="S1480">
        <v>16</v>
      </c>
    </row>
    <row r="1481" spans="1:19" x14ac:dyDescent="0.35">
      <c r="A1481">
        <v>9067</v>
      </c>
      <c r="B1481" t="s">
        <v>6909</v>
      </c>
      <c r="C1481" t="s">
        <v>42</v>
      </c>
      <c r="D1481" t="s">
        <v>6910</v>
      </c>
      <c r="E1481" t="e" cm="1">
        <f t="array" ref="E1481">- CARVEDILOL</f>
        <v>#NAME?</v>
      </c>
      <c r="F1481" t="s">
        <v>6911</v>
      </c>
      <c r="G1481" t="s">
        <v>2241</v>
      </c>
      <c r="H1481" t="s">
        <v>6912</v>
      </c>
      <c r="I1481" t="s">
        <v>6881</v>
      </c>
      <c r="J1481" t="s">
        <v>367</v>
      </c>
      <c r="K1481" t="s">
        <v>6913</v>
      </c>
      <c r="L1481" t="s">
        <v>6883</v>
      </c>
      <c r="M1481" t="s">
        <v>46</v>
      </c>
      <c r="N1481" t="s">
        <v>6884</v>
      </c>
      <c r="O1481" t="s">
        <v>6885</v>
      </c>
      <c r="P1481" t="s">
        <v>6904</v>
      </c>
      <c r="Q1481" t="s">
        <v>6905</v>
      </c>
      <c r="R1481">
        <v>8</v>
      </c>
      <c r="S1481">
        <v>16</v>
      </c>
    </row>
    <row r="1482" spans="1:19" x14ac:dyDescent="0.35">
      <c r="A1482">
        <v>9110</v>
      </c>
      <c r="B1482" t="s">
        <v>6914</v>
      </c>
      <c r="C1482" t="s">
        <v>42</v>
      </c>
      <c r="D1482" t="s">
        <v>6915</v>
      </c>
      <c r="E1482" t="e" cm="1">
        <f t="array" ref="E1482">- CAPTOPRIL</f>
        <v>#NAME?</v>
      </c>
      <c r="F1482" t="s">
        <v>6916</v>
      </c>
      <c r="G1482" t="s">
        <v>6917</v>
      </c>
      <c r="H1482" t="s">
        <v>6918</v>
      </c>
      <c r="I1482" t="s">
        <v>6919</v>
      </c>
      <c r="J1482" t="s">
        <v>381</v>
      </c>
      <c r="K1482" t="s">
        <v>6920</v>
      </c>
    </row>
    <row r="1483" spans="1:19" x14ac:dyDescent="0.35">
      <c r="A1483">
        <v>2267</v>
      </c>
      <c r="B1483" t="s">
        <v>4793</v>
      </c>
      <c r="C1483" t="s">
        <v>42</v>
      </c>
      <c r="D1483" t="s">
        <v>4794</v>
      </c>
      <c r="E1483" t="e" cm="1">
        <f t="array" ref="E1483">- ERGOTAMINE TARTRATE. CAFFEINE</f>
        <v>#NAME?</v>
      </c>
      <c r="G1483" t="s">
        <v>60</v>
      </c>
      <c r="H1483" t="s">
        <v>4795</v>
      </c>
      <c r="I1483" t="s">
        <v>4796</v>
      </c>
      <c r="J1483" t="s">
        <v>4797</v>
      </c>
      <c r="K1483" t="s">
        <v>4798</v>
      </c>
      <c r="L1483" t="s">
        <v>4799</v>
      </c>
      <c r="M1483" t="s">
        <v>46</v>
      </c>
      <c r="N1483" t="s">
        <v>6921</v>
      </c>
      <c r="O1483" t="s">
        <v>4800</v>
      </c>
      <c r="P1483" t="s">
        <v>4801</v>
      </c>
      <c r="Q1483" t="s">
        <v>6922</v>
      </c>
      <c r="R1483">
        <v>8</v>
      </c>
      <c r="S1483">
        <v>16</v>
      </c>
    </row>
    <row r="1484" spans="1:19" x14ac:dyDescent="0.35">
      <c r="A1484">
        <v>2257</v>
      </c>
      <c r="B1484" t="s">
        <v>6923</v>
      </c>
      <c r="C1484" t="s">
        <v>42</v>
      </c>
      <c r="D1484" t="s">
        <v>6924</v>
      </c>
      <c r="E1484" t="e" cm="1">
        <f t="array" ref="E1484">- DICLOFENAC SODIUM</f>
        <v>#NAME?</v>
      </c>
      <c r="F1484" t="s">
        <v>6925</v>
      </c>
      <c r="G1484" t="s">
        <v>2241</v>
      </c>
      <c r="H1484" t="s">
        <v>6926</v>
      </c>
      <c r="I1484" t="s">
        <v>6927</v>
      </c>
      <c r="J1484" t="s">
        <v>6928</v>
      </c>
      <c r="K1484" t="s">
        <v>6929</v>
      </c>
      <c r="L1484" t="s">
        <v>6930</v>
      </c>
      <c r="M1484" t="s">
        <v>824</v>
      </c>
      <c r="N1484" t="s">
        <v>2597</v>
      </c>
      <c r="O1484" t="s">
        <v>6931</v>
      </c>
      <c r="P1484" t="s">
        <v>6932</v>
      </c>
      <c r="Q1484" t="s">
        <v>6933</v>
      </c>
      <c r="R1484">
        <v>8</v>
      </c>
      <c r="S1484">
        <v>16</v>
      </c>
    </row>
    <row r="1485" spans="1:19" x14ac:dyDescent="0.35">
      <c r="A1485">
        <v>2256</v>
      </c>
      <c r="B1485" t="s">
        <v>6923</v>
      </c>
      <c r="C1485" t="s">
        <v>42</v>
      </c>
      <c r="D1485" t="s">
        <v>6924</v>
      </c>
      <c r="E1485" t="e" cm="1">
        <f t="array" ref="E1485">- DICLOFENAC RESINATE</f>
        <v>#NAME?</v>
      </c>
      <c r="F1485" t="s">
        <v>6925</v>
      </c>
      <c r="G1485" t="s">
        <v>2241</v>
      </c>
      <c r="H1485" t="s">
        <v>6926</v>
      </c>
      <c r="I1485" t="s">
        <v>6927</v>
      </c>
      <c r="J1485" t="s">
        <v>6928</v>
      </c>
      <c r="K1485" t="s">
        <v>6929</v>
      </c>
      <c r="L1485" t="s">
        <v>6930</v>
      </c>
      <c r="M1485" t="s">
        <v>824</v>
      </c>
      <c r="N1485" t="s">
        <v>6934</v>
      </c>
      <c r="O1485" t="s">
        <v>6931</v>
      </c>
      <c r="P1485" t="s">
        <v>6932</v>
      </c>
      <c r="Q1485" t="s">
        <v>6935</v>
      </c>
      <c r="R1485">
        <v>8</v>
      </c>
      <c r="S1485">
        <v>16</v>
      </c>
    </row>
    <row r="1486" spans="1:19" x14ac:dyDescent="0.35">
      <c r="A1486">
        <v>2244</v>
      </c>
      <c r="B1486" t="s">
        <v>6936</v>
      </c>
      <c r="C1486" t="s">
        <v>42</v>
      </c>
      <c r="D1486" t="s">
        <v>6937</v>
      </c>
      <c r="E1486" t="e" cm="1">
        <f t="array" ref="E1486">- CAFFEINE</f>
        <v>#NAME?</v>
      </c>
      <c r="F1486" t="s">
        <v>6938</v>
      </c>
      <c r="G1486" t="s">
        <v>2453</v>
      </c>
      <c r="H1486" t="s">
        <v>6939</v>
      </c>
      <c r="I1486" t="s">
        <v>6940</v>
      </c>
      <c r="J1486" t="s">
        <v>6941</v>
      </c>
      <c r="K1486" t="s">
        <v>6942</v>
      </c>
      <c r="L1486" t="s">
        <v>6943</v>
      </c>
      <c r="M1486" t="s">
        <v>291</v>
      </c>
      <c r="N1486" t="s">
        <v>2359</v>
      </c>
      <c r="O1486" t="s">
        <v>6944</v>
      </c>
      <c r="P1486" t="s">
        <v>6945</v>
      </c>
      <c r="Q1486" t="s">
        <v>6946</v>
      </c>
      <c r="R1486">
        <v>8</v>
      </c>
      <c r="S1486">
        <v>16</v>
      </c>
    </row>
    <row r="1487" spans="1:19" x14ac:dyDescent="0.35">
      <c r="A1487">
        <v>8787</v>
      </c>
      <c r="B1487" t="s">
        <v>2388</v>
      </c>
      <c r="C1487" t="s">
        <v>42</v>
      </c>
      <c r="D1487" t="s">
        <v>6947</v>
      </c>
      <c r="E1487" t="e" cm="1">
        <f t="array" ref="E1487">- PIOGLITAZONE HYDROCHLORIDE</f>
        <v>#NAME?</v>
      </c>
      <c r="F1487" t="s">
        <v>6948</v>
      </c>
      <c r="J1487" t="s">
        <v>6949</v>
      </c>
      <c r="M1487" t="s">
        <v>46</v>
      </c>
      <c r="N1487" t="s">
        <v>2389</v>
      </c>
      <c r="P1487" t="s">
        <v>6950</v>
      </c>
      <c r="Q1487" t="s">
        <v>6951</v>
      </c>
      <c r="R1487">
        <v>8</v>
      </c>
      <c r="S1487">
        <v>16</v>
      </c>
    </row>
    <row r="1488" spans="1:19" x14ac:dyDescent="0.35">
      <c r="A1488">
        <v>8856</v>
      </c>
      <c r="B1488" t="s">
        <v>6952</v>
      </c>
      <c r="C1488" t="s">
        <v>20</v>
      </c>
      <c r="D1488" t="s">
        <v>6953</v>
      </c>
      <c r="E1488" t="s">
        <v>6954</v>
      </c>
      <c r="F1488" t="s">
        <v>6955</v>
      </c>
      <c r="H1488" t="s">
        <v>6956</v>
      </c>
      <c r="I1488" t="s">
        <v>6957</v>
      </c>
      <c r="J1488" t="s">
        <v>6958</v>
      </c>
      <c r="M1488" t="s">
        <v>38</v>
      </c>
      <c r="N1488" t="s">
        <v>6959</v>
      </c>
      <c r="O1488" t="s">
        <v>6960</v>
      </c>
      <c r="P1488" t="s">
        <v>6959</v>
      </c>
      <c r="Q1488" t="s">
        <v>6961</v>
      </c>
      <c r="R1488">
        <v>8</v>
      </c>
      <c r="S1488">
        <v>16</v>
      </c>
    </row>
    <row r="1489" spans="1:19" x14ac:dyDescent="0.35">
      <c r="A1489">
        <v>1991</v>
      </c>
      <c r="B1489" t="s">
        <v>6604</v>
      </c>
      <c r="C1489" t="s">
        <v>20</v>
      </c>
      <c r="D1489" t="s">
        <v>6605</v>
      </c>
      <c r="E1489" t="s">
        <v>5231</v>
      </c>
      <c r="F1489" t="s">
        <v>6606</v>
      </c>
      <c r="G1489" t="s">
        <v>2241</v>
      </c>
      <c r="H1489" t="s">
        <v>6607</v>
      </c>
      <c r="I1489" t="s">
        <v>6608</v>
      </c>
      <c r="J1489" t="s">
        <v>6609</v>
      </c>
      <c r="L1489" t="s">
        <v>6610</v>
      </c>
      <c r="M1489" t="s">
        <v>46</v>
      </c>
      <c r="N1489" t="s">
        <v>5237</v>
      </c>
      <c r="O1489" t="s">
        <v>6611</v>
      </c>
      <c r="P1489" t="s">
        <v>5237</v>
      </c>
      <c r="Q1489" t="s">
        <v>6612</v>
      </c>
      <c r="R1489">
        <v>8</v>
      </c>
      <c r="S1489">
        <v>16</v>
      </c>
    </row>
    <row r="1490" spans="1:19" x14ac:dyDescent="0.35">
      <c r="A1490">
        <v>8466</v>
      </c>
      <c r="B1490" t="s">
        <v>551</v>
      </c>
      <c r="C1490" t="s">
        <v>42</v>
      </c>
      <c r="D1490" t="s">
        <v>6906</v>
      </c>
      <c r="E1490" t="e" cm="1">
        <f t="array" ref="E1490">- POVIDONE-IODINE</f>
        <v>#NAME?</v>
      </c>
      <c r="F1490" s="1">
        <v>1478600</v>
      </c>
      <c r="J1490" t="s">
        <v>4132</v>
      </c>
      <c r="M1490" t="s">
        <v>554</v>
      </c>
      <c r="N1490" t="s">
        <v>555</v>
      </c>
      <c r="P1490" t="s">
        <v>6907</v>
      </c>
      <c r="Q1490" t="s">
        <v>6908</v>
      </c>
      <c r="R1490">
        <v>8</v>
      </c>
      <c r="S1490">
        <v>16</v>
      </c>
    </row>
    <row r="1491" spans="1:19" x14ac:dyDescent="0.35">
      <c r="A1491">
        <v>8464</v>
      </c>
      <c r="B1491" t="s">
        <v>551</v>
      </c>
      <c r="C1491" t="s">
        <v>42</v>
      </c>
      <c r="D1491" t="s">
        <v>6962</v>
      </c>
      <c r="E1491" t="e" cm="1">
        <f t="array" ref="E1491">- POVIDONE-IODINE</f>
        <v>#NAME?</v>
      </c>
      <c r="F1491" s="1">
        <v>1264300</v>
      </c>
      <c r="J1491" t="s">
        <v>4132</v>
      </c>
      <c r="M1491" t="s">
        <v>554</v>
      </c>
      <c r="N1491" t="s">
        <v>555</v>
      </c>
      <c r="P1491" t="s">
        <v>6963</v>
      </c>
      <c r="Q1491" t="s">
        <v>6964</v>
      </c>
      <c r="R1491">
        <v>8</v>
      </c>
      <c r="S1491">
        <v>16</v>
      </c>
    </row>
    <row r="1492" spans="1:19" x14ac:dyDescent="0.35">
      <c r="A1492">
        <v>8417</v>
      </c>
      <c r="B1492" t="s">
        <v>551</v>
      </c>
      <c r="C1492" t="s">
        <v>42</v>
      </c>
      <c r="D1492" t="s">
        <v>6965</v>
      </c>
      <c r="E1492" t="e" cm="1">
        <f t="array" ref="E1492">- POVIDONE-IODINE</f>
        <v>#NAME?</v>
      </c>
      <c r="F1492" t="s">
        <v>6798</v>
      </c>
      <c r="J1492" t="s">
        <v>5484</v>
      </c>
      <c r="M1492" t="s">
        <v>554</v>
      </c>
      <c r="N1492" t="s">
        <v>555</v>
      </c>
      <c r="P1492" t="s">
        <v>6966</v>
      </c>
      <c r="Q1492" t="s">
        <v>6967</v>
      </c>
      <c r="R1492">
        <v>8</v>
      </c>
      <c r="S1492">
        <v>16</v>
      </c>
    </row>
    <row r="1493" spans="1:19" x14ac:dyDescent="0.35">
      <c r="A1493">
        <v>8416</v>
      </c>
      <c r="B1493" t="s">
        <v>551</v>
      </c>
      <c r="C1493" t="s">
        <v>42</v>
      </c>
      <c r="D1493" t="s">
        <v>6965</v>
      </c>
      <c r="E1493" t="e" cm="1">
        <f t="array" ref="E1493">- POVIDONE-IODINE</f>
        <v>#NAME?</v>
      </c>
      <c r="F1493" t="s">
        <v>6798</v>
      </c>
      <c r="J1493" t="s">
        <v>5484</v>
      </c>
      <c r="M1493" t="s">
        <v>554</v>
      </c>
      <c r="N1493" t="s">
        <v>555</v>
      </c>
      <c r="P1493" t="s">
        <v>6966</v>
      </c>
      <c r="Q1493" t="s">
        <v>6967</v>
      </c>
      <c r="R1493">
        <v>8</v>
      </c>
      <c r="S1493">
        <v>16</v>
      </c>
    </row>
    <row r="1494" spans="1:19" x14ac:dyDescent="0.35">
      <c r="A1494">
        <v>8415</v>
      </c>
      <c r="B1494" t="s">
        <v>551</v>
      </c>
      <c r="C1494" t="s">
        <v>42</v>
      </c>
      <c r="D1494" t="s">
        <v>6968</v>
      </c>
      <c r="E1494" t="e" cm="1">
        <f t="array" ref="E1494">- POVIDONE-IODINE</f>
        <v>#NAME?</v>
      </c>
      <c r="F1494" t="s">
        <v>6969</v>
      </c>
      <c r="J1494" t="s">
        <v>5484</v>
      </c>
      <c r="M1494" t="s">
        <v>554</v>
      </c>
      <c r="N1494" t="s">
        <v>555</v>
      </c>
      <c r="P1494" t="s">
        <v>6970</v>
      </c>
      <c r="Q1494" t="s">
        <v>6971</v>
      </c>
      <c r="R1494">
        <v>8</v>
      </c>
      <c r="S1494">
        <v>16</v>
      </c>
    </row>
    <row r="1495" spans="1:19" x14ac:dyDescent="0.35">
      <c r="A1495">
        <v>8414</v>
      </c>
      <c r="B1495" t="s">
        <v>551</v>
      </c>
      <c r="C1495" t="s">
        <v>42</v>
      </c>
      <c r="D1495" t="s">
        <v>6968</v>
      </c>
      <c r="E1495" t="e" cm="1">
        <f t="array" ref="E1495">- POVIDONE-IODINE</f>
        <v>#NAME?</v>
      </c>
      <c r="F1495" t="s">
        <v>6969</v>
      </c>
      <c r="J1495" t="s">
        <v>5484</v>
      </c>
      <c r="M1495" t="s">
        <v>554</v>
      </c>
      <c r="N1495" t="s">
        <v>555</v>
      </c>
      <c r="P1495" t="s">
        <v>6970</v>
      </c>
      <c r="Q1495" t="s">
        <v>6971</v>
      </c>
      <c r="R1495">
        <v>8</v>
      </c>
      <c r="S1495">
        <v>16</v>
      </c>
    </row>
    <row r="1496" spans="1:19" x14ac:dyDescent="0.35">
      <c r="A1496">
        <v>2009</v>
      </c>
      <c r="B1496" t="s">
        <v>6972</v>
      </c>
      <c r="C1496" t="s">
        <v>20</v>
      </c>
      <c r="D1496" t="s">
        <v>6973</v>
      </c>
      <c r="E1496" t="s">
        <v>6974</v>
      </c>
      <c r="F1496" t="s">
        <v>6975</v>
      </c>
      <c r="G1496" t="s">
        <v>60</v>
      </c>
      <c r="H1496" t="s">
        <v>6976</v>
      </c>
      <c r="I1496" t="s">
        <v>6977</v>
      </c>
      <c r="J1496" t="s">
        <v>6978</v>
      </c>
      <c r="K1496" t="s">
        <v>6979</v>
      </c>
      <c r="M1496" t="s">
        <v>46</v>
      </c>
      <c r="N1496" t="s">
        <v>6980</v>
      </c>
      <c r="O1496" t="s">
        <v>6981</v>
      </c>
      <c r="P1496" t="s">
        <v>6980</v>
      </c>
      <c r="Q1496" t="s">
        <v>6982</v>
      </c>
      <c r="R1496">
        <v>8</v>
      </c>
      <c r="S1496">
        <v>16</v>
      </c>
    </row>
    <row r="1497" spans="1:19" x14ac:dyDescent="0.35">
      <c r="A1497">
        <v>2008</v>
      </c>
      <c r="B1497" t="s">
        <v>6972</v>
      </c>
      <c r="C1497" t="s">
        <v>20</v>
      </c>
      <c r="D1497" t="s">
        <v>6973</v>
      </c>
      <c r="E1497" t="s">
        <v>6974</v>
      </c>
      <c r="F1497" t="s">
        <v>6975</v>
      </c>
      <c r="G1497" t="s">
        <v>60</v>
      </c>
      <c r="H1497" t="s">
        <v>6976</v>
      </c>
      <c r="I1497" t="s">
        <v>6977</v>
      </c>
      <c r="J1497" t="s">
        <v>6978</v>
      </c>
      <c r="K1497" t="s">
        <v>6979</v>
      </c>
      <c r="M1497" t="s">
        <v>46</v>
      </c>
      <c r="N1497" t="s">
        <v>6980</v>
      </c>
      <c r="O1497" t="s">
        <v>6981</v>
      </c>
      <c r="P1497" t="s">
        <v>6980</v>
      </c>
      <c r="Q1497" t="s">
        <v>6982</v>
      </c>
      <c r="R1497">
        <v>8</v>
      </c>
      <c r="S1497">
        <v>16</v>
      </c>
    </row>
    <row r="1498" spans="1:19" x14ac:dyDescent="0.35">
      <c r="A1498">
        <v>8413</v>
      </c>
      <c r="B1498" t="s">
        <v>551</v>
      </c>
      <c r="C1498" t="s">
        <v>42</v>
      </c>
      <c r="D1498" t="s">
        <v>6983</v>
      </c>
      <c r="E1498" t="e" cm="1">
        <f t="array" ref="E1498">- POVIDONE-IODINE</f>
        <v>#NAME?</v>
      </c>
      <c r="F1498" t="s">
        <v>6984</v>
      </c>
      <c r="J1498" t="s">
        <v>5484</v>
      </c>
      <c r="M1498" t="s">
        <v>554</v>
      </c>
      <c r="N1498" t="s">
        <v>555</v>
      </c>
      <c r="P1498" t="s">
        <v>6985</v>
      </c>
      <c r="Q1498" t="s">
        <v>6986</v>
      </c>
      <c r="R1498">
        <v>8</v>
      </c>
      <c r="S1498">
        <v>16</v>
      </c>
    </row>
    <row r="1499" spans="1:19" x14ac:dyDescent="0.35">
      <c r="A1499">
        <v>2007</v>
      </c>
      <c r="B1499" t="s">
        <v>6972</v>
      </c>
      <c r="C1499" t="s">
        <v>20</v>
      </c>
      <c r="D1499" t="s">
        <v>6973</v>
      </c>
      <c r="E1499" t="s">
        <v>6974</v>
      </c>
      <c r="F1499" t="s">
        <v>6975</v>
      </c>
      <c r="G1499" t="s">
        <v>60</v>
      </c>
      <c r="H1499" t="s">
        <v>6976</v>
      </c>
      <c r="I1499" t="s">
        <v>6977</v>
      </c>
      <c r="J1499" t="s">
        <v>6978</v>
      </c>
      <c r="K1499" t="s">
        <v>6979</v>
      </c>
      <c r="M1499" t="s">
        <v>46</v>
      </c>
      <c r="N1499" t="s">
        <v>6980</v>
      </c>
      <c r="O1499" t="s">
        <v>6981</v>
      </c>
      <c r="P1499" t="s">
        <v>6980</v>
      </c>
      <c r="Q1499" t="s">
        <v>6982</v>
      </c>
      <c r="R1499">
        <v>8</v>
      </c>
      <c r="S1499">
        <v>16</v>
      </c>
    </row>
    <row r="1500" spans="1:19" x14ac:dyDescent="0.35">
      <c r="A1500">
        <v>8412</v>
      </c>
      <c r="B1500" t="s">
        <v>551</v>
      </c>
      <c r="C1500" t="s">
        <v>42</v>
      </c>
      <c r="D1500" t="s">
        <v>6983</v>
      </c>
      <c r="E1500" t="e" cm="1">
        <f t="array" ref="E1500">- POVIDONE-IODINE</f>
        <v>#NAME?</v>
      </c>
      <c r="F1500" t="s">
        <v>6984</v>
      </c>
      <c r="J1500" t="s">
        <v>5484</v>
      </c>
      <c r="M1500" t="s">
        <v>554</v>
      </c>
      <c r="N1500" t="s">
        <v>555</v>
      </c>
      <c r="P1500" t="s">
        <v>6985</v>
      </c>
      <c r="Q1500" t="s">
        <v>6986</v>
      </c>
      <c r="R1500">
        <v>8</v>
      </c>
      <c r="S1500">
        <v>16</v>
      </c>
    </row>
    <row r="1501" spans="1:19" x14ac:dyDescent="0.35">
      <c r="A1501">
        <v>1998</v>
      </c>
      <c r="B1501" t="s">
        <v>6987</v>
      </c>
      <c r="C1501" t="s">
        <v>20</v>
      </c>
      <c r="D1501" t="s">
        <v>6988</v>
      </c>
      <c r="E1501" t="s">
        <v>6989</v>
      </c>
      <c r="F1501" t="s">
        <v>6990</v>
      </c>
      <c r="G1501" t="s">
        <v>6991</v>
      </c>
      <c r="H1501" t="s">
        <v>6992</v>
      </c>
      <c r="I1501" t="s">
        <v>6709</v>
      </c>
      <c r="J1501" t="s">
        <v>374</v>
      </c>
      <c r="M1501" t="s">
        <v>271</v>
      </c>
      <c r="N1501" t="s">
        <v>6993</v>
      </c>
      <c r="O1501" t="s">
        <v>5144</v>
      </c>
      <c r="P1501" t="s">
        <v>6994</v>
      </c>
      <c r="Q1501" t="s">
        <v>6995</v>
      </c>
      <c r="R1501">
        <v>8</v>
      </c>
      <c r="S1501">
        <v>16</v>
      </c>
    </row>
    <row r="1502" spans="1:19" x14ac:dyDescent="0.35">
      <c r="A1502">
        <v>8401</v>
      </c>
      <c r="B1502" t="s">
        <v>551</v>
      </c>
      <c r="C1502" t="s">
        <v>42</v>
      </c>
      <c r="D1502" t="s">
        <v>6996</v>
      </c>
      <c r="E1502" t="e" cm="1">
        <f t="array" ref="E1502">- POVIDONE-IODINE</f>
        <v>#NAME?</v>
      </c>
      <c r="F1502" t="s">
        <v>6997</v>
      </c>
      <c r="J1502" t="s">
        <v>6998</v>
      </c>
      <c r="M1502" t="s">
        <v>554</v>
      </c>
      <c r="N1502" t="s">
        <v>555</v>
      </c>
      <c r="P1502" t="s">
        <v>6999</v>
      </c>
      <c r="Q1502" t="s">
        <v>7000</v>
      </c>
      <c r="R1502">
        <v>8</v>
      </c>
      <c r="S1502">
        <v>16</v>
      </c>
    </row>
    <row r="1503" spans="1:19" x14ac:dyDescent="0.35">
      <c r="A1503">
        <v>8400</v>
      </c>
      <c r="B1503" t="s">
        <v>551</v>
      </c>
      <c r="C1503" t="s">
        <v>42</v>
      </c>
      <c r="D1503" t="s">
        <v>6996</v>
      </c>
      <c r="E1503" t="e" cm="1">
        <f t="array" ref="E1503">- POVIDONE-IODINE</f>
        <v>#NAME?</v>
      </c>
      <c r="F1503" t="s">
        <v>6997</v>
      </c>
      <c r="J1503" t="s">
        <v>6998</v>
      </c>
      <c r="M1503" t="s">
        <v>554</v>
      </c>
      <c r="N1503" t="s">
        <v>555</v>
      </c>
      <c r="P1503" t="s">
        <v>6999</v>
      </c>
      <c r="Q1503" t="s">
        <v>7000</v>
      </c>
      <c r="R1503">
        <v>8</v>
      </c>
      <c r="S1503">
        <v>16</v>
      </c>
    </row>
    <row r="1504" spans="1:19" x14ac:dyDescent="0.35">
      <c r="A1504">
        <v>1997</v>
      </c>
      <c r="B1504" t="s">
        <v>6987</v>
      </c>
      <c r="C1504" t="s">
        <v>20</v>
      </c>
      <c r="D1504" t="s">
        <v>6988</v>
      </c>
      <c r="E1504" t="s">
        <v>6989</v>
      </c>
      <c r="F1504" t="s">
        <v>6990</v>
      </c>
      <c r="G1504" t="s">
        <v>6991</v>
      </c>
      <c r="H1504" t="s">
        <v>6992</v>
      </c>
      <c r="I1504" t="s">
        <v>6709</v>
      </c>
      <c r="J1504" t="s">
        <v>374</v>
      </c>
      <c r="M1504" t="s">
        <v>271</v>
      </c>
      <c r="N1504" t="s">
        <v>6993</v>
      </c>
      <c r="O1504" t="s">
        <v>5144</v>
      </c>
      <c r="P1504" t="s">
        <v>6994</v>
      </c>
      <c r="Q1504" t="s">
        <v>6995</v>
      </c>
      <c r="R1504">
        <v>8</v>
      </c>
      <c r="S1504">
        <v>16</v>
      </c>
    </row>
    <row r="1505" spans="1:19" x14ac:dyDescent="0.35">
      <c r="A1505">
        <v>8389</v>
      </c>
      <c r="B1505" t="s">
        <v>551</v>
      </c>
      <c r="C1505" t="s">
        <v>42</v>
      </c>
      <c r="D1505" t="s">
        <v>6797</v>
      </c>
      <c r="E1505" t="e" cm="1">
        <f t="array" ref="E1505">- POVIDONE-IODINE</f>
        <v>#NAME?</v>
      </c>
      <c r="F1505" t="s">
        <v>6798</v>
      </c>
      <c r="J1505" t="s">
        <v>5484</v>
      </c>
      <c r="M1505" t="s">
        <v>554</v>
      </c>
      <c r="N1505" t="s">
        <v>555</v>
      </c>
      <c r="P1505" t="s">
        <v>6799</v>
      </c>
      <c r="Q1505" t="s">
        <v>6800</v>
      </c>
      <c r="R1505">
        <v>8</v>
      </c>
      <c r="S1505">
        <v>16</v>
      </c>
    </row>
    <row r="1506" spans="1:19" x14ac:dyDescent="0.35">
      <c r="A1506">
        <v>1992</v>
      </c>
      <c r="B1506" t="s">
        <v>6604</v>
      </c>
      <c r="C1506" t="s">
        <v>20</v>
      </c>
      <c r="D1506" t="s">
        <v>6613</v>
      </c>
      <c r="E1506" t="s">
        <v>5231</v>
      </c>
      <c r="F1506" t="s">
        <v>6614</v>
      </c>
      <c r="G1506" t="s">
        <v>2241</v>
      </c>
      <c r="H1506" t="s">
        <v>6607</v>
      </c>
      <c r="I1506" t="s">
        <v>6608</v>
      </c>
      <c r="J1506" t="s">
        <v>6615</v>
      </c>
      <c r="L1506" t="s">
        <v>6610</v>
      </c>
      <c r="M1506" t="s">
        <v>46</v>
      </c>
      <c r="N1506" t="s">
        <v>5237</v>
      </c>
      <c r="O1506" t="s">
        <v>6611</v>
      </c>
      <c r="P1506" t="s">
        <v>5237</v>
      </c>
      <c r="Q1506" t="s">
        <v>6612</v>
      </c>
      <c r="R1506">
        <v>8</v>
      </c>
      <c r="S1506">
        <v>16</v>
      </c>
    </row>
    <row r="1507" spans="1:19" x14ac:dyDescent="0.35">
      <c r="A1507">
        <v>9647</v>
      </c>
      <c r="B1507" t="s">
        <v>6301</v>
      </c>
      <c r="C1507" t="s">
        <v>42</v>
      </c>
      <c r="D1507" t="s">
        <v>4711</v>
      </c>
      <c r="E1507" t="s">
        <v>6303</v>
      </c>
      <c r="F1507" t="s">
        <v>4712</v>
      </c>
      <c r="J1507" t="s">
        <v>4132</v>
      </c>
      <c r="M1507" t="s">
        <v>46</v>
      </c>
      <c r="N1507" t="s">
        <v>6304</v>
      </c>
      <c r="P1507" t="s">
        <v>4713</v>
      </c>
      <c r="Q1507" t="s">
        <v>7001</v>
      </c>
      <c r="R1507">
        <v>8</v>
      </c>
      <c r="S1507">
        <v>16</v>
      </c>
    </row>
    <row r="1508" spans="1:19" x14ac:dyDescent="0.35">
      <c r="A1508">
        <v>2010</v>
      </c>
      <c r="B1508" t="s">
        <v>6972</v>
      </c>
      <c r="C1508" t="s">
        <v>20</v>
      </c>
      <c r="D1508" t="s">
        <v>6973</v>
      </c>
      <c r="E1508" t="s">
        <v>6974</v>
      </c>
      <c r="F1508" t="s">
        <v>6975</v>
      </c>
      <c r="G1508" t="s">
        <v>60</v>
      </c>
      <c r="H1508" t="s">
        <v>6976</v>
      </c>
      <c r="I1508" t="s">
        <v>6977</v>
      </c>
      <c r="J1508" t="s">
        <v>6978</v>
      </c>
      <c r="K1508" t="s">
        <v>6979</v>
      </c>
      <c r="M1508" t="s">
        <v>46</v>
      </c>
      <c r="N1508" t="s">
        <v>6980</v>
      </c>
      <c r="O1508" t="s">
        <v>6981</v>
      </c>
      <c r="P1508" t="s">
        <v>6980</v>
      </c>
      <c r="Q1508" t="s">
        <v>6982</v>
      </c>
      <c r="R1508">
        <v>8</v>
      </c>
      <c r="S1508">
        <v>16</v>
      </c>
    </row>
    <row r="1509" spans="1:19" x14ac:dyDescent="0.35">
      <c r="A1509">
        <v>9619</v>
      </c>
      <c r="B1509" t="s">
        <v>6301</v>
      </c>
      <c r="C1509" t="s">
        <v>42</v>
      </c>
      <c r="D1509" t="s">
        <v>7002</v>
      </c>
      <c r="E1509" t="s">
        <v>6303</v>
      </c>
      <c r="F1509" t="s">
        <v>7003</v>
      </c>
      <c r="J1509" t="s">
        <v>7004</v>
      </c>
      <c r="M1509" t="s">
        <v>46</v>
      </c>
      <c r="N1509" t="s">
        <v>6304</v>
      </c>
      <c r="P1509" t="s">
        <v>7005</v>
      </c>
      <c r="Q1509" t="s">
        <v>7006</v>
      </c>
      <c r="R1509">
        <v>8</v>
      </c>
      <c r="S1509">
        <v>16</v>
      </c>
    </row>
    <row r="1510" spans="1:19" x14ac:dyDescent="0.35">
      <c r="A1510">
        <v>8418</v>
      </c>
      <c r="B1510" t="s">
        <v>551</v>
      </c>
      <c r="C1510" t="s">
        <v>42</v>
      </c>
      <c r="D1510" t="s">
        <v>7007</v>
      </c>
      <c r="E1510" t="e" cm="1">
        <f t="array" ref="E1510">- POVIDONE-IODINE</f>
        <v>#NAME?</v>
      </c>
      <c r="F1510" t="s">
        <v>6798</v>
      </c>
      <c r="J1510" t="s">
        <v>5484</v>
      </c>
      <c r="M1510" t="s">
        <v>554</v>
      </c>
      <c r="N1510" t="s">
        <v>555</v>
      </c>
      <c r="P1510" t="s">
        <v>7008</v>
      </c>
      <c r="Q1510" t="s">
        <v>7009</v>
      </c>
      <c r="R1510">
        <v>8</v>
      </c>
      <c r="S1510">
        <v>16</v>
      </c>
    </row>
    <row r="1511" spans="1:19" x14ac:dyDescent="0.35">
      <c r="A1511">
        <v>8463</v>
      </c>
      <c r="B1511" t="s">
        <v>551</v>
      </c>
      <c r="C1511" t="s">
        <v>42</v>
      </c>
      <c r="D1511" t="s">
        <v>7010</v>
      </c>
      <c r="E1511" t="e" cm="1">
        <f t="array" ref="E1511">- POVIDONE-IODINE</f>
        <v>#NAME?</v>
      </c>
      <c r="F1511" s="1">
        <v>1235800</v>
      </c>
      <c r="J1511" t="s">
        <v>4132</v>
      </c>
      <c r="M1511" t="s">
        <v>554</v>
      </c>
      <c r="N1511" t="s">
        <v>555</v>
      </c>
      <c r="P1511" t="s">
        <v>7011</v>
      </c>
      <c r="Q1511" t="s">
        <v>7012</v>
      </c>
      <c r="R1511">
        <v>8</v>
      </c>
      <c r="S1511">
        <v>16</v>
      </c>
    </row>
    <row r="1512" spans="1:19" x14ac:dyDescent="0.35">
      <c r="A1512">
        <v>8462</v>
      </c>
      <c r="B1512" t="s">
        <v>551</v>
      </c>
      <c r="C1512" t="s">
        <v>42</v>
      </c>
      <c r="D1512" t="s">
        <v>7010</v>
      </c>
      <c r="E1512" t="e" cm="1">
        <f t="array" ref="E1512">- POVIDONE-IODINE</f>
        <v>#NAME?</v>
      </c>
      <c r="F1512" s="1">
        <v>1235800</v>
      </c>
      <c r="J1512" t="s">
        <v>4132</v>
      </c>
      <c r="M1512" t="s">
        <v>554</v>
      </c>
      <c r="N1512" t="s">
        <v>555</v>
      </c>
      <c r="P1512" t="s">
        <v>7011</v>
      </c>
      <c r="Q1512" t="s">
        <v>7012</v>
      </c>
      <c r="R1512">
        <v>8</v>
      </c>
      <c r="S1512">
        <v>16</v>
      </c>
    </row>
    <row r="1513" spans="1:19" x14ac:dyDescent="0.35">
      <c r="A1513">
        <v>9299</v>
      </c>
      <c r="B1513" t="s">
        <v>7013</v>
      </c>
      <c r="C1513" t="s">
        <v>42</v>
      </c>
      <c r="D1513" t="s">
        <v>7014</v>
      </c>
      <c r="E1513" t="e" cm="1">
        <f t="array" ref="E1513">- EPROSARTAN MESILATE</f>
        <v>#NAME?</v>
      </c>
      <c r="F1513" t="s">
        <v>7015</v>
      </c>
      <c r="G1513" t="s">
        <v>3098</v>
      </c>
      <c r="H1513" t="s">
        <v>7016</v>
      </c>
      <c r="I1513" t="s">
        <v>7017</v>
      </c>
      <c r="J1513" t="s">
        <v>7018</v>
      </c>
      <c r="K1513" t="s">
        <v>7019</v>
      </c>
      <c r="L1513" t="s">
        <v>7020</v>
      </c>
      <c r="M1513" t="s">
        <v>46</v>
      </c>
      <c r="N1513" t="s">
        <v>7021</v>
      </c>
      <c r="O1513" t="s">
        <v>7022</v>
      </c>
      <c r="P1513" t="s">
        <v>7023</v>
      </c>
      <c r="Q1513" t="s">
        <v>7024</v>
      </c>
      <c r="R1513">
        <v>8</v>
      </c>
      <c r="S1513">
        <v>16</v>
      </c>
    </row>
    <row r="1514" spans="1:19" x14ac:dyDescent="0.35">
      <c r="A1514">
        <v>9313</v>
      </c>
      <c r="B1514" t="s">
        <v>7025</v>
      </c>
      <c r="C1514" t="s">
        <v>42</v>
      </c>
      <c r="D1514" t="s">
        <v>7026</v>
      </c>
      <c r="E1514" t="e" cm="1">
        <f t="array" ref="E1514">- AMLODIPINE BESILATE</f>
        <v>#NAME?</v>
      </c>
      <c r="F1514" s="1">
        <v>191700</v>
      </c>
      <c r="G1514" t="s">
        <v>6869</v>
      </c>
      <c r="H1514" t="s">
        <v>2643</v>
      </c>
      <c r="I1514" t="s">
        <v>7027</v>
      </c>
      <c r="J1514" t="s">
        <v>7028</v>
      </c>
      <c r="K1514" t="s">
        <v>7029</v>
      </c>
      <c r="L1514" t="s">
        <v>7030</v>
      </c>
      <c r="M1514" t="s">
        <v>46</v>
      </c>
      <c r="N1514" t="s">
        <v>2484</v>
      </c>
      <c r="O1514" t="s">
        <v>7031</v>
      </c>
      <c r="P1514" t="s">
        <v>7032</v>
      </c>
      <c r="Q1514" t="s">
        <v>7033</v>
      </c>
      <c r="R1514">
        <v>8</v>
      </c>
      <c r="S1514">
        <v>16</v>
      </c>
    </row>
    <row r="1515" spans="1:19" x14ac:dyDescent="0.35">
      <c r="A1515">
        <v>9314</v>
      </c>
      <c r="B1515" t="s">
        <v>7025</v>
      </c>
      <c r="C1515" t="s">
        <v>42</v>
      </c>
      <c r="D1515" t="s">
        <v>7026</v>
      </c>
      <c r="E1515" t="e" cm="1">
        <f t="array" ref="E1515">- AMLODIPINE BESILATE</f>
        <v>#NAME?</v>
      </c>
      <c r="F1515" s="1">
        <v>191700</v>
      </c>
      <c r="G1515" t="s">
        <v>6869</v>
      </c>
      <c r="H1515" t="s">
        <v>2643</v>
      </c>
      <c r="I1515" t="s">
        <v>7027</v>
      </c>
      <c r="J1515" t="s">
        <v>7028</v>
      </c>
      <c r="K1515" t="s">
        <v>7029</v>
      </c>
      <c r="L1515" t="s">
        <v>7030</v>
      </c>
      <c r="M1515" t="s">
        <v>46</v>
      </c>
      <c r="N1515" t="s">
        <v>2484</v>
      </c>
      <c r="O1515" t="s">
        <v>7031</v>
      </c>
      <c r="P1515" t="s">
        <v>7032</v>
      </c>
      <c r="Q1515" t="s">
        <v>7033</v>
      </c>
      <c r="R1515">
        <v>8</v>
      </c>
      <c r="S1515">
        <v>16</v>
      </c>
    </row>
    <row r="1516" spans="1:19" x14ac:dyDescent="0.35">
      <c r="A1516">
        <v>2031</v>
      </c>
      <c r="B1516" t="s">
        <v>7034</v>
      </c>
      <c r="C1516" t="s">
        <v>20</v>
      </c>
      <c r="D1516" t="s">
        <v>7035</v>
      </c>
      <c r="E1516" t="s">
        <v>7036</v>
      </c>
      <c r="F1516" t="s">
        <v>7037</v>
      </c>
      <c r="J1516" t="s">
        <v>7038</v>
      </c>
      <c r="M1516" t="s">
        <v>63</v>
      </c>
      <c r="N1516" t="s">
        <v>7039</v>
      </c>
      <c r="P1516" t="s">
        <v>7040</v>
      </c>
      <c r="Q1516" t="s">
        <v>7041</v>
      </c>
      <c r="R1516">
        <v>8</v>
      </c>
      <c r="S1516">
        <v>16</v>
      </c>
    </row>
    <row r="1517" spans="1:19" x14ac:dyDescent="0.35">
      <c r="A1517">
        <v>2029</v>
      </c>
      <c r="B1517" t="s">
        <v>7034</v>
      </c>
      <c r="C1517" t="s">
        <v>20</v>
      </c>
      <c r="D1517" t="s">
        <v>7035</v>
      </c>
      <c r="E1517" t="s">
        <v>7036</v>
      </c>
      <c r="F1517" t="s">
        <v>7037</v>
      </c>
      <c r="J1517" t="s">
        <v>7038</v>
      </c>
      <c r="M1517" t="s">
        <v>63</v>
      </c>
      <c r="N1517" t="s">
        <v>7039</v>
      </c>
      <c r="P1517" t="s">
        <v>7040</v>
      </c>
      <c r="Q1517" t="s">
        <v>7041</v>
      </c>
      <c r="R1517">
        <v>8</v>
      </c>
      <c r="S1517">
        <v>16</v>
      </c>
    </row>
    <row r="1518" spans="1:19" x14ac:dyDescent="0.35">
      <c r="A1518">
        <v>8465</v>
      </c>
      <c r="B1518" t="s">
        <v>551</v>
      </c>
      <c r="C1518" t="s">
        <v>42</v>
      </c>
      <c r="D1518" t="s">
        <v>6962</v>
      </c>
      <c r="E1518" t="e" cm="1">
        <f t="array" ref="E1518">- POVIDONE-IODINE</f>
        <v>#NAME?</v>
      </c>
      <c r="F1518" s="1">
        <v>1264300</v>
      </c>
      <c r="J1518" t="s">
        <v>4132</v>
      </c>
      <c r="M1518" t="s">
        <v>554</v>
      </c>
      <c r="N1518" t="s">
        <v>555</v>
      </c>
      <c r="P1518" t="s">
        <v>6963</v>
      </c>
      <c r="Q1518" t="s">
        <v>6964</v>
      </c>
      <c r="R1518">
        <v>8</v>
      </c>
      <c r="S1518">
        <v>16</v>
      </c>
    </row>
    <row r="1519" spans="1:19" x14ac:dyDescent="0.35">
      <c r="A1519">
        <v>9339</v>
      </c>
      <c r="B1519" t="s">
        <v>7042</v>
      </c>
      <c r="C1519" t="s">
        <v>42</v>
      </c>
      <c r="D1519" t="s">
        <v>7043</v>
      </c>
      <c r="E1519" t="e" cm="1">
        <f t="array" ref="E1519">- VALSARTAN</f>
        <v>#NAME?</v>
      </c>
      <c r="F1519" t="s">
        <v>7044</v>
      </c>
      <c r="G1519" t="s">
        <v>6869</v>
      </c>
      <c r="H1519" t="s">
        <v>7045</v>
      </c>
      <c r="I1519" t="s">
        <v>6871</v>
      </c>
      <c r="J1519" t="s">
        <v>956</v>
      </c>
      <c r="K1519" t="s">
        <v>6872</v>
      </c>
      <c r="L1519" t="s">
        <v>6873</v>
      </c>
      <c r="M1519" t="s">
        <v>46</v>
      </c>
      <c r="N1519" t="s">
        <v>6874</v>
      </c>
      <c r="O1519" t="s">
        <v>6875</v>
      </c>
      <c r="P1519" t="s">
        <v>6874</v>
      </c>
      <c r="Q1519" t="s">
        <v>6876</v>
      </c>
      <c r="R1519">
        <v>8</v>
      </c>
      <c r="S1519">
        <v>16</v>
      </c>
    </row>
    <row r="1520" spans="1:19" x14ac:dyDescent="0.35">
      <c r="A1520">
        <v>8423</v>
      </c>
      <c r="B1520" t="s">
        <v>551</v>
      </c>
      <c r="C1520" t="s">
        <v>42</v>
      </c>
      <c r="D1520" t="s">
        <v>7046</v>
      </c>
      <c r="E1520" t="e" cm="1">
        <f t="array" ref="E1520">- POVIDONE-IODINE</f>
        <v>#NAME?</v>
      </c>
      <c r="F1520" t="s">
        <v>7047</v>
      </c>
      <c r="J1520" t="s">
        <v>5484</v>
      </c>
      <c r="M1520" t="s">
        <v>554</v>
      </c>
      <c r="N1520" t="s">
        <v>555</v>
      </c>
      <c r="P1520" t="s">
        <v>7048</v>
      </c>
      <c r="Q1520" t="s">
        <v>7049</v>
      </c>
      <c r="R1520">
        <v>8</v>
      </c>
      <c r="S1520">
        <v>16</v>
      </c>
    </row>
    <row r="1521" spans="1:19" x14ac:dyDescent="0.35">
      <c r="A1521">
        <v>8422</v>
      </c>
      <c r="B1521" t="s">
        <v>551</v>
      </c>
      <c r="C1521" t="s">
        <v>42</v>
      </c>
      <c r="D1521" t="s">
        <v>7046</v>
      </c>
      <c r="E1521" t="e" cm="1">
        <f t="array" ref="E1521">- POVIDONE-IODINE</f>
        <v>#NAME?</v>
      </c>
      <c r="F1521" t="s">
        <v>7047</v>
      </c>
      <c r="J1521" t="s">
        <v>5484</v>
      </c>
      <c r="M1521" t="s">
        <v>554</v>
      </c>
      <c r="N1521" t="s">
        <v>555</v>
      </c>
      <c r="P1521" t="s">
        <v>7048</v>
      </c>
      <c r="Q1521" t="s">
        <v>7049</v>
      </c>
      <c r="R1521">
        <v>8</v>
      </c>
      <c r="S1521">
        <v>16</v>
      </c>
    </row>
    <row r="1522" spans="1:19" x14ac:dyDescent="0.35">
      <c r="A1522">
        <v>8421</v>
      </c>
      <c r="B1522" t="s">
        <v>551</v>
      </c>
      <c r="C1522" t="s">
        <v>42</v>
      </c>
      <c r="D1522" t="s">
        <v>7050</v>
      </c>
      <c r="E1522" t="e" cm="1">
        <f t="array" ref="E1522">- POVIDONE-IODINE</f>
        <v>#NAME?</v>
      </c>
      <c r="F1522" t="s">
        <v>6984</v>
      </c>
      <c r="J1522" t="s">
        <v>5484</v>
      </c>
      <c r="M1522" t="s">
        <v>554</v>
      </c>
      <c r="N1522" t="s">
        <v>555</v>
      </c>
      <c r="P1522" t="s">
        <v>7051</v>
      </c>
      <c r="Q1522" t="s">
        <v>7052</v>
      </c>
      <c r="R1522">
        <v>8</v>
      </c>
      <c r="S1522">
        <v>16</v>
      </c>
    </row>
    <row r="1523" spans="1:19" x14ac:dyDescent="0.35">
      <c r="A1523">
        <v>8420</v>
      </c>
      <c r="B1523" t="s">
        <v>551</v>
      </c>
      <c r="C1523" t="s">
        <v>42</v>
      </c>
      <c r="D1523" t="s">
        <v>7050</v>
      </c>
      <c r="E1523" t="e" cm="1">
        <f t="array" ref="E1523">- POVIDONE-IODINE</f>
        <v>#NAME?</v>
      </c>
      <c r="F1523" t="s">
        <v>6984</v>
      </c>
      <c r="J1523" t="s">
        <v>5484</v>
      </c>
      <c r="M1523" t="s">
        <v>554</v>
      </c>
      <c r="N1523" t="s">
        <v>555</v>
      </c>
      <c r="P1523" t="s">
        <v>7051</v>
      </c>
      <c r="Q1523" t="s">
        <v>7052</v>
      </c>
      <c r="R1523">
        <v>8</v>
      </c>
      <c r="S1523">
        <v>16</v>
      </c>
    </row>
    <row r="1524" spans="1:19" x14ac:dyDescent="0.35">
      <c r="A1524">
        <v>9363</v>
      </c>
      <c r="B1524" t="s">
        <v>6301</v>
      </c>
      <c r="C1524" t="s">
        <v>42</v>
      </c>
      <c r="D1524" t="s">
        <v>5634</v>
      </c>
      <c r="E1524" t="s">
        <v>6303</v>
      </c>
      <c r="F1524" t="s">
        <v>5635</v>
      </c>
      <c r="J1524" t="s">
        <v>5636</v>
      </c>
      <c r="M1524" t="s">
        <v>46</v>
      </c>
      <c r="N1524" t="s">
        <v>6304</v>
      </c>
      <c r="P1524" t="s">
        <v>5637</v>
      </c>
      <c r="Q1524" t="s">
        <v>7053</v>
      </c>
      <c r="R1524">
        <v>8</v>
      </c>
      <c r="S1524">
        <v>16</v>
      </c>
    </row>
    <row r="1525" spans="1:19" x14ac:dyDescent="0.35">
      <c r="A1525">
        <v>9364</v>
      </c>
      <c r="B1525" t="s">
        <v>6301</v>
      </c>
      <c r="C1525" t="s">
        <v>42</v>
      </c>
      <c r="D1525" t="s">
        <v>5577</v>
      </c>
      <c r="E1525" t="s">
        <v>6303</v>
      </c>
      <c r="F1525" t="s">
        <v>5578</v>
      </c>
      <c r="J1525" t="s">
        <v>5579</v>
      </c>
      <c r="M1525" t="s">
        <v>46</v>
      </c>
      <c r="N1525" t="s">
        <v>6304</v>
      </c>
      <c r="P1525" t="s">
        <v>5580</v>
      </c>
      <c r="Q1525" t="s">
        <v>7054</v>
      </c>
      <c r="R1525">
        <v>8</v>
      </c>
      <c r="S1525">
        <v>16</v>
      </c>
    </row>
    <row r="1526" spans="1:19" x14ac:dyDescent="0.35">
      <c r="A1526">
        <v>8419</v>
      </c>
      <c r="B1526" t="s">
        <v>551</v>
      </c>
      <c r="C1526" t="s">
        <v>42</v>
      </c>
      <c r="D1526" t="s">
        <v>7007</v>
      </c>
      <c r="E1526" t="e" cm="1">
        <f t="array" ref="E1526">- POVIDONE-IODINE</f>
        <v>#NAME?</v>
      </c>
      <c r="F1526" t="s">
        <v>6798</v>
      </c>
      <c r="J1526" t="s">
        <v>5484</v>
      </c>
      <c r="M1526" t="s">
        <v>554</v>
      </c>
      <c r="N1526" t="s">
        <v>555</v>
      </c>
      <c r="P1526" t="s">
        <v>7008</v>
      </c>
      <c r="Q1526" t="s">
        <v>7009</v>
      </c>
      <c r="R1526">
        <v>8</v>
      </c>
      <c r="S1526">
        <v>16</v>
      </c>
    </row>
    <row r="1527" spans="1:19" x14ac:dyDescent="0.35">
      <c r="A1527">
        <v>9349</v>
      </c>
      <c r="B1527" t="s">
        <v>6301</v>
      </c>
      <c r="C1527" t="s">
        <v>42</v>
      </c>
      <c r="D1527" t="s">
        <v>7055</v>
      </c>
      <c r="E1527" t="s">
        <v>6303</v>
      </c>
      <c r="F1527" t="s">
        <v>7056</v>
      </c>
      <c r="M1527" t="s">
        <v>46</v>
      </c>
      <c r="N1527" t="s">
        <v>6304</v>
      </c>
      <c r="P1527" t="s">
        <v>7057</v>
      </c>
      <c r="Q1527" t="s">
        <v>7058</v>
      </c>
      <c r="R1527">
        <v>8</v>
      </c>
      <c r="S1527">
        <v>16</v>
      </c>
    </row>
    <row r="1528" spans="1:19" x14ac:dyDescent="0.35">
      <c r="A1528">
        <v>9646</v>
      </c>
      <c r="B1528" t="s">
        <v>6301</v>
      </c>
      <c r="C1528" t="s">
        <v>42</v>
      </c>
      <c r="D1528" t="s">
        <v>4922</v>
      </c>
      <c r="E1528" t="s">
        <v>6303</v>
      </c>
      <c r="F1528" t="s">
        <v>4923</v>
      </c>
      <c r="J1528" t="s">
        <v>4132</v>
      </c>
      <c r="M1528" t="s">
        <v>46</v>
      </c>
      <c r="N1528" t="s">
        <v>6304</v>
      </c>
      <c r="P1528" t="s">
        <v>4924</v>
      </c>
      <c r="Q1528" t="s">
        <v>7059</v>
      </c>
      <c r="R1528">
        <v>8</v>
      </c>
      <c r="S1528">
        <v>16</v>
      </c>
    </row>
    <row r="1529" spans="1:19" x14ac:dyDescent="0.35">
      <c r="A1529">
        <v>4170</v>
      </c>
      <c r="B1529" t="s">
        <v>7060</v>
      </c>
      <c r="C1529" t="s">
        <v>42</v>
      </c>
      <c r="D1529" t="s">
        <v>7061</v>
      </c>
      <c r="E1529" t="e" cm="1">
        <f t="array" ref="E1529">- BETAMETHASONE</f>
        <v>#NAME?</v>
      </c>
      <c r="F1529" s="1">
        <v>52100</v>
      </c>
      <c r="G1529" t="s">
        <v>5746</v>
      </c>
      <c r="H1529" t="s">
        <v>7062</v>
      </c>
      <c r="I1529" t="s">
        <v>7063</v>
      </c>
      <c r="J1529" t="s">
        <v>334</v>
      </c>
      <c r="M1529" t="s">
        <v>271</v>
      </c>
      <c r="N1529" t="s">
        <v>1118</v>
      </c>
      <c r="O1529" t="s">
        <v>7064</v>
      </c>
      <c r="P1529" t="s">
        <v>7065</v>
      </c>
      <c r="Q1529" t="s">
        <v>7066</v>
      </c>
      <c r="R1529">
        <v>8</v>
      </c>
      <c r="S1529">
        <v>16</v>
      </c>
    </row>
    <row r="1530" spans="1:19" x14ac:dyDescent="0.35">
      <c r="A1530">
        <v>7992</v>
      </c>
      <c r="B1530" t="s">
        <v>7067</v>
      </c>
      <c r="C1530" t="s">
        <v>20</v>
      </c>
      <c r="D1530" t="s">
        <v>7068</v>
      </c>
      <c r="E1530" t="s">
        <v>7069</v>
      </c>
      <c r="F1530" t="s">
        <v>7070</v>
      </c>
      <c r="H1530" t="s">
        <v>7071</v>
      </c>
      <c r="I1530" t="s">
        <v>3392</v>
      </c>
      <c r="J1530" t="s">
        <v>7072</v>
      </c>
      <c r="M1530" t="s">
        <v>2374</v>
      </c>
      <c r="N1530" t="s">
        <v>7073</v>
      </c>
      <c r="O1530" t="s">
        <v>3396</v>
      </c>
      <c r="P1530" t="s">
        <v>7073</v>
      </c>
      <c r="Q1530" t="s">
        <v>7074</v>
      </c>
      <c r="R1530">
        <v>8</v>
      </c>
      <c r="S1530">
        <v>16</v>
      </c>
    </row>
    <row r="1531" spans="1:19" x14ac:dyDescent="0.35">
      <c r="A1531">
        <v>5192</v>
      </c>
      <c r="B1531" t="s">
        <v>7075</v>
      </c>
      <c r="C1531" t="s">
        <v>42</v>
      </c>
      <c r="D1531" t="s">
        <v>7076</v>
      </c>
      <c r="E1531" t="e" cm="1">
        <f t="array" ref="E1531">- TERBINAFINE HYDROCHLORIDE</f>
        <v>#NAME?</v>
      </c>
      <c r="F1531" t="s">
        <v>7077</v>
      </c>
      <c r="G1531" t="s">
        <v>7078</v>
      </c>
      <c r="H1531" t="s">
        <v>7079</v>
      </c>
      <c r="I1531" t="s">
        <v>7080</v>
      </c>
      <c r="J1531" t="s">
        <v>2167</v>
      </c>
      <c r="K1531" t="s">
        <v>7081</v>
      </c>
      <c r="L1531" t="s">
        <v>7082</v>
      </c>
      <c r="M1531" t="s">
        <v>1289</v>
      </c>
      <c r="N1531" t="s">
        <v>7083</v>
      </c>
      <c r="O1531" t="s">
        <v>7084</v>
      </c>
      <c r="P1531" t="s">
        <v>7085</v>
      </c>
      <c r="Q1531" t="s">
        <v>7086</v>
      </c>
      <c r="R1531">
        <v>8</v>
      </c>
      <c r="S1531">
        <v>16</v>
      </c>
    </row>
    <row r="1532" spans="1:19" x14ac:dyDescent="0.35">
      <c r="A1532">
        <v>5179</v>
      </c>
      <c r="B1532" t="s">
        <v>7087</v>
      </c>
      <c r="C1532" t="s">
        <v>42</v>
      </c>
      <c r="D1532" t="s">
        <v>7088</v>
      </c>
      <c r="E1532" t="e" cm="1">
        <f t="array" ref="E1532">- FLUOCINOLONE ACETONIDE</f>
        <v>#NAME?</v>
      </c>
      <c r="F1532" t="s">
        <v>7089</v>
      </c>
      <c r="G1532" t="s">
        <v>7090</v>
      </c>
      <c r="H1532" t="s">
        <v>7091</v>
      </c>
      <c r="I1532" t="s">
        <v>7092</v>
      </c>
      <c r="J1532" t="s">
        <v>2040</v>
      </c>
      <c r="K1532" t="s">
        <v>7093</v>
      </c>
      <c r="L1532" t="s">
        <v>7094</v>
      </c>
      <c r="M1532" t="s">
        <v>1289</v>
      </c>
      <c r="N1532" t="s">
        <v>2766</v>
      </c>
      <c r="O1532" t="s">
        <v>7095</v>
      </c>
      <c r="P1532" t="s">
        <v>7096</v>
      </c>
      <c r="Q1532" t="s">
        <v>7097</v>
      </c>
      <c r="R1532">
        <v>8</v>
      </c>
      <c r="S1532">
        <v>16</v>
      </c>
    </row>
    <row r="1533" spans="1:19" x14ac:dyDescent="0.35">
      <c r="A1533">
        <v>3839</v>
      </c>
      <c r="B1533" t="s">
        <v>7098</v>
      </c>
      <c r="C1533" t="s">
        <v>42</v>
      </c>
      <c r="D1533" t="s">
        <v>7099</v>
      </c>
      <c r="E1533" t="e" cm="1">
        <f t="array" ref="E1533">- KAOLIN</f>
        <v>#NAME?</v>
      </c>
      <c r="F1533" t="s">
        <v>7100</v>
      </c>
      <c r="H1533" t="s">
        <v>7101</v>
      </c>
      <c r="I1533" t="s">
        <v>7102</v>
      </c>
      <c r="J1533" t="s">
        <v>334</v>
      </c>
      <c r="K1533" t="s">
        <v>7103</v>
      </c>
      <c r="L1533" t="s">
        <v>7104</v>
      </c>
      <c r="M1533" t="s">
        <v>340</v>
      </c>
      <c r="N1533" t="s">
        <v>1194</v>
      </c>
      <c r="O1533" t="s">
        <v>7105</v>
      </c>
      <c r="P1533" t="s">
        <v>7106</v>
      </c>
      <c r="Q1533" t="s">
        <v>7107</v>
      </c>
      <c r="R1533">
        <v>8</v>
      </c>
      <c r="S1533">
        <v>16</v>
      </c>
    </row>
    <row r="1534" spans="1:19" x14ac:dyDescent="0.35">
      <c r="A1534">
        <v>5141</v>
      </c>
      <c r="B1534" t="s">
        <v>7108</v>
      </c>
      <c r="C1534" t="s">
        <v>42</v>
      </c>
      <c r="D1534" t="s">
        <v>7109</v>
      </c>
      <c r="E1534" t="e" cm="1">
        <f t="array" ref="E1534">- DOXEPIN HYDROCHLORIDE</f>
        <v>#NAME?</v>
      </c>
      <c r="F1534" t="s">
        <v>7110</v>
      </c>
      <c r="G1534" t="s">
        <v>7111</v>
      </c>
      <c r="H1534" t="s">
        <v>7112</v>
      </c>
      <c r="I1534" t="s">
        <v>7113</v>
      </c>
      <c r="J1534" t="s">
        <v>7114</v>
      </c>
      <c r="K1534" t="s">
        <v>7115</v>
      </c>
      <c r="L1534" t="s">
        <v>7116</v>
      </c>
    </row>
    <row r="1535" spans="1:19" x14ac:dyDescent="0.35">
      <c r="A1535">
        <v>5061</v>
      </c>
      <c r="B1535" t="s">
        <v>7117</v>
      </c>
      <c r="C1535" t="s">
        <v>42</v>
      </c>
      <c r="D1535" t="s">
        <v>7118</v>
      </c>
      <c r="E1535" t="e" cm="1">
        <f t="array" ref="E1535">- PREDNICARBATE</f>
        <v>#NAME?</v>
      </c>
      <c r="F1535" t="s">
        <v>7119</v>
      </c>
      <c r="G1535" t="s">
        <v>7120</v>
      </c>
      <c r="H1535" t="s">
        <v>7121</v>
      </c>
      <c r="I1535" t="s">
        <v>7122</v>
      </c>
      <c r="J1535" t="s">
        <v>7123</v>
      </c>
      <c r="K1535" t="s">
        <v>7124</v>
      </c>
    </row>
    <row r="1536" spans="1:19" x14ac:dyDescent="0.35">
      <c r="A1536">
        <v>5060</v>
      </c>
      <c r="B1536" t="s">
        <v>7117</v>
      </c>
      <c r="C1536" t="s">
        <v>42</v>
      </c>
      <c r="D1536" t="s">
        <v>7118</v>
      </c>
      <c r="E1536" t="e" cm="1">
        <f t="array" ref="E1536">- PREDNICARBATE</f>
        <v>#NAME?</v>
      </c>
      <c r="F1536" t="s">
        <v>7119</v>
      </c>
      <c r="G1536" t="s">
        <v>7120</v>
      </c>
      <c r="H1536" t="s">
        <v>7121</v>
      </c>
      <c r="I1536" t="s">
        <v>7122</v>
      </c>
      <c r="J1536" t="s">
        <v>7123</v>
      </c>
      <c r="K1536" t="s">
        <v>7124</v>
      </c>
    </row>
    <row r="1537" spans="1:19" x14ac:dyDescent="0.35">
      <c r="A1537">
        <v>3841</v>
      </c>
      <c r="B1537" t="s">
        <v>7125</v>
      </c>
      <c r="C1537" t="s">
        <v>42</v>
      </c>
      <c r="D1537" t="s">
        <v>7126</v>
      </c>
      <c r="E1537" t="e" cm="1">
        <f t="array" ref="E1537">- KAOLIN</f>
        <v>#NAME?</v>
      </c>
      <c r="F1537" t="s">
        <v>7127</v>
      </c>
      <c r="G1537" t="s">
        <v>7128</v>
      </c>
      <c r="H1537" t="s">
        <v>7129</v>
      </c>
      <c r="I1537" t="s">
        <v>7130</v>
      </c>
      <c r="J1537" t="s">
        <v>7131</v>
      </c>
      <c r="K1537" t="s">
        <v>7132</v>
      </c>
      <c r="L1537" t="s">
        <v>7133</v>
      </c>
      <c r="M1537" t="s">
        <v>340</v>
      </c>
      <c r="N1537" t="s">
        <v>1194</v>
      </c>
      <c r="O1537" t="s">
        <v>7134</v>
      </c>
      <c r="P1537" t="s">
        <v>7135</v>
      </c>
      <c r="Q1537" t="s">
        <v>7136</v>
      </c>
      <c r="R1537">
        <v>8</v>
      </c>
      <c r="S1537">
        <v>16</v>
      </c>
    </row>
    <row r="1538" spans="1:19" x14ac:dyDescent="0.35">
      <c r="A1538">
        <v>3844</v>
      </c>
      <c r="B1538" t="s">
        <v>7137</v>
      </c>
      <c r="C1538" t="s">
        <v>42</v>
      </c>
      <c r="D1538" t="s">
        <v>7138</v>
      </c>
      <c r="E1538" t="e" cm="1">
        <f t="array" ref="E1538">- CETIRIZINE HYDROCHLORIDE</f>
        <v>#NAME?</v>
      </c>
      <c r="F1538" t="s">
        <v>7139</v>
      </c>
      <c r="G1538" t="s">
        <v>4913</v>
      </c>
      <c r="H1538" t="s">
        <v>7140</v>
      </c>
      <c r="I1538" t="s">
        <v>7141</v>
      </c>
      <c r="J1538" t="s">
        <v>7142</v>
      </c>
      <c r="K1538" t="s">
        <v>7143</v>
      </c>
      <c r="L1538" t="s">
        <v>7144</v>
      </c>
      <c r="M1538" t="s">
        <v>46</v>
      </c>
      <c r="N1538" t="s">
        <v>1390</v>
      </c>
      <c r="O1538" t="s">
        <v>7145</v>
      </c>
      <c r="P1538" t="s">
        <v>7146</v>
      </c>
      <c r="Q1538" t="s">
        <v>7147</v>
      </c>
      <c r="R1538">
        <v>8</v>
      </c>
      <c r="S1538">
        <v>16</v>
      </c>
    </row>
    <row r="1539" spans="1:19" x14ac:dyDescent="0.35">
      <c r="A1539">
        <v>5059</v>
      </c>
      <c r="B1539" t="s">
        <v>7117</v>
      </c>
      <c r="C1539" t="s">
        <v>42</v>
      </c>
      <c r="D1539" t="s">
        <v>7118</v>
      </c>
      <c r="E1539" t="e" cm="1">
        <f t="array" ref="E1539">- PREDNICARBATE</f>
        <v>#NAME?</v>
      </c>
      <c r="F1539" t="s">
        <v>7119</v>
      </c>
      <c r="G1539" t="s">
        <v>7120</v>
      </c>
      <c r="H1539" t="s">
        <v>7121</v>
      </c>
      <c r="I1539" t="s">
        <v>7122</v>
      </c>
      <c r="J1539" t="s">
        <v>7123</v>
      </c>
      <c r="K1539" t="s">
        <v>7124</v>
      </c>
    </row>
    <row r="1540" spans="1:19" x14ac:dyDescent="0.35">
      <c r="A1540">
        <v>5058</v>
      </c>
      <c r="B1540" t="s">
        <v>7117</v>
      </c>
      <c r="C1540" t="s">
        <v>42</v>
      </c>
      <c r="D1540" t="s">
        <v>7118</v>
      </c>
      <c r="E1540" t="e" cm="1">
        <f t="array" ref="E1540">- PREDNICARBATE</f>
        <v>#NAME?</v>
      </c>
      <c r="F1540" t="s">
        <v>7119</v>
      </c>
      <c r="G1540" t="s">
        <v>7120</v>
      </c>
      <c r="H1540" t="s">
        <v>7121</v>
      </c>
      <c r="I1540" t="s">
        <v>7122</v>
      </c>
      <c r="J1540" t="s">
        <v>7123</v>
      </c>
      <c r="K1540" t="s">
        <v>7124</v>
      </c>
    </row>
    <row r="1541" spans="1:19" x14ac:dyDescent="0.35">
      <c r="A1541">
        <v>5333</v>
      </c>
      <c r="B1541" t="s">
        <v>7148</v>
      </c>
      <c r="C1541" t="s">
        <v>42</v>
      </c>
      <c r="D1541" t="s">
        <v>7149</v>
      </c>
      <c r="E1541" t="e" cm="1">
        <f t="array" ref="E1541">- SULFADIAZINE SILVER</f>
        <v>#NAME?</v>
      </c>
      <c r="F1541" t="s">
        <v>7150</v>
      </c>
      <c r="H1541" t="s">
        <v>1322</v>
      </c>
      <c r="I1541" t="s">
        <v>7151</v>
      </c>
      <c r="J1541" t="s">
        <v>614</v>
      </c>
      <c r="L1541" t="s">
        <v>7152</v>
      </c>
      <c r="M1541" t="s">
        <v>1289</v>
      </c>
      <c r="N1541" t="s">
        <v>2849</v>
      </c>
      <c r="O1541" t="s">
        <v>7153</v>
      </c>
      <c r="P1541" t="s">
        <v>7154</v>
      </c>
      <c r="Q1541" t="s">
        <v>7155</v>
      </c>
      <c r="R1541">
        <v>8</v>
      </c>
      <c r="S1541">
        <v>16</v>
      </c>
    </row>
    <row r="1542" spans="1:19" x14ac:dyDescent="0.35">
      <c r="A1542">
        <v>5057</v>
      </c>
      <c r="B1542" t="s">
        <v>7117</v>
      </c>
      <c r="C1542" t="s">
        <v>42</v>
      </c>
      <c r="D1542" t="s">
        <v>7118</v>
      </c>
      <c r="E1542" t="e" cm="1">
        <f t="array" ref="E1542">- PREDNICARBATE</f>
        <v>#NAME?</v>
      </c>
      <c r="F1542" t="s">
        <v>7119</v>
      </c>
      <c r="G1542" t="s">
        <v>7120</v>
      </c>
      <c r="H1542" t="s">
        <v>7121</v>
      </c>
      <c r="I1542" t="s">
        <v>7122</v>
      </c>
      <c r="J1542" t="s">
        <v>7123</v>
      </c>
      <c r="K1542" t="s">
        <v>7124</v>
      </c>
    </row>
    <row r="1543" spans="1:19" x14ac:dyDescent="0.35">
      <c r="A1543">
        <v>5055</v>
      </c>
      <c r="B1543" t="s">
        <v>7117</v>
      </c>
      <c r="C1543" t="s">
        <v>42</v>
      </c>
      <c r="D1543" t="s">
        <v>7156</v>
      </c>
      <c r="E1543" t="e" cm="1">
        <f t="array" ref="E1543">- PREDNICARBATE</f>
        <v>#NAME?</v>
      </c>
      <c r="F1543" t="s">
        <v>7157</v>
      </c>
      <c r="G1543" t="s">
        <v>7120</v>
      </c>
      <c r="H1543" t="s">
        <v>7121</v>
      </c>
      <c r="I1543" t="s">
        <v>7158</v>
      </c>
      <c r="J1543" t="s">
        <v>7159</v>
      </c>
      <c r="K1543" t="s">
        <v>7124</v>
      </c>
    </row>
    <row r="1544" spans="1:19" x14ac:dyDescent="0.35">
      <c r="A1544">
        <v>5054</v>
      </c>
      <c r="B1544" t="s">
        <v>7117</v>
      </c>
      <c r="C1544" t="s">
        <v>42</v>
      </c>
      <c r="D1544" t="s">
        <v>7156</v>
      </c>
      <c r="E1544" t="e" cm="1">
        <f t="array" ref="E1544">- PREDNICARBATE</f>
        <v>#NAME?</v>
      </c>
      <c r="F1544" t="s">
        <v>7157</v>
      </c>
      <c r="G1544" t="s">
        <v>7120</v>
      </c>
      <c r="H1544" t="s">
        <v>7121</v>
      </c>
      <c r="I1544" t="s">
        <v>7158</v>
      </c>
      <c r="J1544" t="s">
        <v>7159</v>
      </c>
      <c r="K1544" t="s">
        <v>7124</v>
      </c>
    </row>
    <row r="1545" spans="1:19" x14ac:dyDescent="0.35">
      <c r="A1545">
        <v>5053</v>
      </c>
      <c r="B1545" t="s">
        <v>7117</v>
      </c>
      <c r="C1545" t="s">
        <v>42</v>
      </c>
      <c r="D1545" t="s">
        <v>7156</v>
      </c>
      <c r="E1545" t="e" cm="1">
        <f t="array" ref="E1545">- PREDNICARBATE</f>
        <v>#NAME?</v>
      </c>
      <c r="F1545" t="s">
        <v>7157</v>
      </c>
      <c r="G1545" t="s">
        <v>7120</v>
      </c>
      <c r="H1545" t="s">
        <v>7121</v>
      </c>
      <c r="I1545" t="s">
        <v>7158</v>
      </c>
      <c r="J1545" t="s">
        <v>7159</v>
      </c>
      <c r="K1545" t="s">
        <v>7124</v>
      </c>
    </row>
    <row r="1546" spans="1:19" x14ac:dyDescent="0.35">
      <c r="A1546">
        <v>5052</v>
      </c>
      <c r="B1546" t="s">
        <v>7117</v>
      </c>
      <c r="C1546" t="s">
        <v>42</v>
      </c>
      <c r="D1546" t="s">
        <v>7156</v>
      </c>
      <c r="E1546" t="e" cm="1">
        <f t="array" ref="E1546">- PREDNICARBATE</f>
        <v>#NAME?</v>
      </c>
      <c r="F1546" t="s">
        <v>7157</v>
      </c>
      <c r="G1546" t="s">
        <v>7120</v>
      </c>
      <c r="H1546" t="s">
        <v>7121</v>
      </c>
      <c r="I1546" t="s">
        <v>7158</v>
      </c>
      <c r="J1546" t="s">
        <v>7159</v>
      </c>
      <c r="K1546" t="s">
        <v>7124</v>
      </c>
    </row>
    <row r="1547" spans="1:19" x14ac:dyDescent="0.35">
      <c r="A1547">
        <v>4984</v>
      </c>
      <c r="B1547" t="s">
        <v>7160</v>
      </c>
      <c r="C1547" t="s">
        <v>42</v>
      </c>
      <c r="D1547" t="s">
        <v>7161</v>
      </c>
      <c r="E1547" t="e" cm="1">
        <f t="array" ref="E1547">- HYDROCORTISONE ACETATE</f>
        <v>#NAME?</v>
      </c>
      <c r="F1547" t="s">
        <v>7162</v>
      </c>
      <c r="G1547" t="s">
        <v>7163</v>
      </c>
      <c r="H1547" t="s">
        <v>7164</v>
      </c>
      <c r="I1547" t="s">
        <v>7165</v>
      </c>
      <c r="J1547" t="s">
        <v>2040</v>
      </c>
      <c r="K1547" t="s">
        <v>7166</v>
      </c>
      <c r="L1547" t="s">
        <v>7167</v>
      </c>
      <c r="M1547" t="s">
        <v>1289</v>
      </c>
      <c r="N1547" t="s">
        <v>7168</v>
      </c>
      <c r="O1547" t="s">
        <v>7169</v>
      </c>
      <c r="P1547" t="s">
        <v>7170</v>
      </c>
      <c r="Q1547" t="s">
        <v>7171</v>
      </c>
      <c r="R1547">
        <v>8</v>
      </c>
      <c r="S1547">
        <v>16</v>
      </c>
    </row>
    <row r="1548" spans="1:19" x14ac:dyDescent="0.35">
      <c r="A1548">
        <v>4954</v>
      </c>
      <c r="B1548" t="s">
        <v>7172</v>
      </c>
      <c r="C1548" t="s">
        <v>42</v>
      </c>
      <c r="D1548" t="s">
        <v>7173</v>
      </c>
      <c r="E1548" t="e" cm="1">
        <f t="array" ref="E1548">- TRETINOIN</f>
        <v>#NAME?</v>
      </c>
      <c r="F1548" s="1">
        <v>76700</v>
      </c>
      <c r="G1548" t="s">
        <v>1365</v>
      </c>
      <c r="H1548" t="s">
        <v>7174</v>
      </c>
      <c r="I1548" t="s">
        <v>7175</v>
      </c>
      <c r="J1548" t="s">
        <v>6679</v>
      </c>
      <c r="K1548" t="s">
        <v>7176</v>
      </c>
      <c r="L1548" t="s">
        <v>7177</v>
      </c>
      <c r="M1548" t="s">
        <v>554</v>
      </c>
      <c r="N1548" t="s">
        <v>6243</v>
      </c>
      <c r="O1548" t="s">
        <v>7178</v>
      </c>
      <c r="P1548" t="s">
        <v>7179</v>
      </c>
      <c r="Q1548" t="s">
        <v>7180</v>
      </c>
      <c r="R1548">
        <v>8</v>
      </c>
      <c r="S1548">
        <v>16</v>
      </c>
    </row>
    <row r="1549" spans="1:19" x14ac:dyDescent="0.35">
      <c r="A1549">
        <v>4941</v>
      </c>
      <c r="B1549" t="s">
        <v>7181</v>
      </c>
      <c r="C1549" t="s">
        <v>42</v>
      </c>
      <c r="D1549" t="s">
        <v>7182</v>
      </c>
      <c r="E1549" t="e" cm="1">
        <f t="array" ref="E1549">- CLINDAMYCIN PHOSPHATE</f>
        <v>#NAME?</v>
      </c>
      <c r="F1549" t="s">
        <v>7183</v>
      </c>
      <c r="G1549" t="s">
        <v>7184</v>
      </c>
      <c r="H1549" t="s">
        <v>7185</v>
      </c>
      <c r="I1549" t="s">
        <v>7186</v>
      </c>
      <c r="J1549" t="s">
        <v>7187</v>
      </c>
      <c r="K1549" t="s">
        <v>7188</v>
      </c>
      <c r="L1549" t="s">
        <v>7189</v>
      </c>
      <c r="M1549" t="s">
        <v>87</v>
      </c>
      <c r="N1549" t="s">
        <v>1370</v>
      </c>
      <c r="O1549" t="s">
        <v>7190</v>
      </c>
      <c r="P1549" t="s">
        <v>7191</v>
      </c>
      <c r="Q1549" t="s">
        <v>7192</v>
      </c>
      <c r="R1549">
        <v>8</v>
      </c>
      <c r="S1549">
        <v>16</v>
      </c>
    </row>
    <row r="1550" spans="1:19" x14ac:dyDescent="0.35">
      <c r="A1550">
        <v>4940</v>
      </c>
      <c r="B1550" t="s">
        <v>7181</v>
      </c>
      <c r="C1550" t="s">
        <v>42</v>
      </c>
      <c r="D1550" t="s">
        <v>7182</v>
      </c>
      <c r="E1550" t="e" cm="1">
        <f t="array" ref="E1550">- CLINDAMYCIN PHOSPHATE</f>
        <v>#NAME?</v>
      </c>
      <c r="F1550" t="s">
        <v>7183</v>
      </c>
      <c r="G1550" t="s">
        <v>7184</v>
      </c>
      <c r="H1550" t="s">
        <v>7185</v>
      </c>
      <c r="I1550" t="s">
        <v>7186</v>
      </c>
      <c r="J1550" t="s">
        <v>7187</v>
      </c>
      <c r="K1550" t="s">
        <v>7188</v>
      </c>
      <c r="L1550" t="s">
        <v>7189</v>
      </c>
      <c r="M1550" t="s">
        <v>87</v>
      </c>
      <c r="N1550" t="s">
        <v>1370</v>
      </c>
      <c r="O1550" t="s">
        <v>7190</v>
      </c>
      <c r="P1550" t="s">
        <v>7191</v>
      </c>
      <c r="Q1550" t="s">
        <v>7192</v>
      </c>
      <c r="R1550">
        <v>8</v>
      </c>
      <c r="S1550">
        <v>16</v>
      </c>
    </row>
    <row r="1551" spans="1:19" x14ac:dyDescent="0.35">
      <c r="A1551">
        <v>4939</v>
      </c>
      <c r="B1551" t="s">
        <v>7193</v>
      </c>
      <c r="C1551" t="s">
        <v>42</v>
      </c>
      <c r="D1551" t="s">
        <v>7194</v>
      </c>
      <c r="E1551" t="e" cm="1">
        <f t="array" ref="E1551">- AZELAIC ACID</f>
        <v>#NAME?</v>
      </c>
      <c r="F1551" s="1">
        <v>154000</v>
      </c>
      <c r="H1551">
        <v>0</v>
      </c>
      <c r="I1551" t="s">
        <v>7195</v>
      </c>
      <c r="J1551" t="s">
        <v>7196</v>
      </c>
      <c r="M1551" t="s">
        <v>87</v>
      </c>
      <c r="N1551" t="s">
        <v>7197</v>
      </c>
      <c r="O1551" t="s">
        <v>7198</v>
      </c>
      <c r="P1551" t="s">
        <v>7199</v>
      </c>
      <c r="Q1551" t="s">
        <v>7200</v>
      </c>
      <c r="R1551">
        <v>8</v>
      </c>
      <c r="S1551">
        <v>16</v>
      </c>
    </row>
    <row r="1552" spans="1:19" x14ac:dyDescent="0.35">
      <c r="A1552">
        <v>4922</v>
      </c>
      <c r="B1552" t="s">
        <v>7201</v>
      </c>
      <c r="C1552" t="s">
        <v>42</v>
      </c>
      <c r="D1552" t="s">
        <v>7202</v>
      </c>
      <c r="E1552" t="e" cm="1">
        <f t="array" ref="E1552">- TRETINOIN</f>
        <v>#NAME?</v>
      </c>
      <c r="F1552" t="s">
        <v>7203</v>
      </c>
      <c r="G1552" t="s">
        <v>7204</v>
      </c>
      <c r="H1552" t="s">
        <v>6538</v>
      </c>
      <c r="I1552" t="s">
        <v>7205</v>
      </c>
      <c r="J1552" t="s">
        <v>3197</v>
      </c>
      <c r="K1552" t="s">
        <v>6241</v>
      </c>
      <c r="L1552" t="s">
        <v>7177</v>
      </c>
      <c r="M1552" t="s">
        <v>1289</v>
      </c>
      <c r="N1552" t="s">
        <v>6243</v>
      </c>
      <c r="O1552" t="s">
        <v>7178</v>
      </c>
      <c r="P1552" t="s">
        <v>6245</v>
      </c>
      <c r="Q1552" t="s">
        <v>7206</v>
      </c>
      <c r="R1552">
        <v>8</v>
      </c>
      <c r="S1552">
        <v>16</v>
      </c>
    </row>
    <row r="1553" spans="1:19" x14ac:dyDescent="0.35">
      <c r="A1553">
        <v>5056</v>
      </c>
      <c r="B1553" t="s">
        <v>7117</v>
      </c>
      <c r="C1553" t="s">
        <v>42</v>
      </c>
      <c r="D1553" t="s">
        <v>7156</v>
      </c>
      <c r="E1553" t="e" cm="1">
        <f t="array" ref="E1553">- PREDNICARBATE</f>
        <v>#NAME?</v>
      </c>
      <c r="F1553" t="s">
        <v>7157</v>
      </c>
      <c r="G1553" t="s">
        <v>7120</v>
      </c>
      <c r="H1553" t="s">
        <v>7121</v>
      </c>
      <c r="I1553" t="s">
        <v>7158</v>
      </c>
      <c r="J1553" t="s">
        <v>7159</v>
      </c>
      <c r="K1553" t="s">
        <v>7124</v>
      </c>
    </row>
    <row r="1554" spans="1:19" x14ac:dyDescent="0.35">
      <c r="A1554">
        <v>4921</v>
      </c>
      <c r="B1554" t="s">
        <v>7201</v>
      </c>
      <c r="C1554" t="s">
        <v>42</v>
      </c>
      <c r="D1554" t="s">
        <v>7202</v>
      </c>
      <c r="E1554" t="e" cm="1">
        <f t="array" ref="E1554">- TRETINOIN</f>
        <v>#NAME?</v>
      </c>
      <c r="F1554" t="s">
        <v>7203</v>
      </c>
      <c r="G1554" t="s">
        <v>7204</v>
      </c>
      <c r="H1554" t="s">
        <v>6538</v>
      </c>
      <c r="I1554" t="s">
        <v>7205</v>
      </c>
      <c r="J1554" t="s">
        <v>3197</v>
      </c>
      <c r="K1554" t="s">
        <v>6241</v>
      </c>
      <c r="L1554" t="s">
        <v>7177</v>
      </c>
      <c r="M1554" t="s">
        <v>1289</v>
      </c>
      <c r="N1554" t="s">
        <v>6243</v>
      </c>
      <c r="O1554" t="s">
        <v>7178</v>
      </c>
      <c r="P1554" t="s">
        <v>6245</v>
      </c>
      <c r="Q1554" t="s">
        <v>7206</v>
      </c>
      <c r="R1554">
        <v>8</v>
      </c>
      <c r="S1554">
        <v>16</v>
      </c>
    </row>
    <row r="1555" spans="1:19" x14ac:dyDescent="0.35">
      <c r="A1555">
        <v>5334</v>
      </c>
      <c r="B1555" t="s">
        <v>7148</v>
      </c>
      <c r="C1555" t="s">
        <v>42</v>
      </c>
      <c r="D1555" t="s">
        <v>7149</v>
      </c>
      <c r="E1555" t="e" cm="1">
        <f t="array" ref="E1555">- SULFADIAZINE SILVER</f>
        <v>#NAME?</v>
      </c>
      <c r="F1555" t="s">
        <v>7150</v>
      </c>
      <c r="H1555" t="s">
        <v>1322</v>
      </c>
      <c r="I1555" t="s">
        <v>7151</v>
      </c>
      <c r="J1555" t="s">
        <v>614</v>
      </c>
      <c r="L1555" t="s">
        <v>7152</v>
      </c>
      <c r="M1555" t="s">
        <v>1289</v>
      </c>
      <c r="N1555" t="s">
        <v>2849</v>
      </c>
      <c r="O1555" t="s">
        <v>7153</v>
      </c>
      <c r="P1555" t="s">
        <v>7154</v>
      </c>
      <c r="Q1555" t="s">
        <v>7155</v>
      </c>
      <c r="R1555">
        <v>8</v>
      </c>
      <c r="S1555">
        <v>16</v>
      </c>
    </row>
    <row r="1556" spans="1:19" x14ac:dyDescent="0.35">
      <c r="A1556">
        <v>5486</v>
      </c>
      <c r="B1556" t="s">
        <v>7207</v>
      </c>
      <c r="C1556" t="s">
        <v>42</v>
      </c>
      <c r="D1556" t="s">
        <v>7208</v>
      </c>
      <c r="E1556" t="e" cm="1">
        <f t="array" ref="E1556">- GENTAMICIN SULFATE</f>
        <v>#NAME?</v>
      </c>
      <c r="F1556" t="s">
        <v>7209</v>
      </c>
      <c r="G1556" t="s">
        <v>7210</v>
      </c>
      <c r="H1556" t="s">
        <v>7211</v>
      </c>
      <c r="I1556" t="s">
        <v>7212</v>
      </c>
      <c r="J1556" t="s">
        <v>7213</v>
      </c>
      <c r="K1556" t="s">
        <v>7214</v>
      </c>
      <c r="L1556" t="s">
        <v>7215</v>
      </c>
    </row>
    <row r="1557" spans="1:19" x14ac:dyDescent="0.35">
      <c r="A1557">
        <v>6279</v>
      </c>
      <c r="B1557" t="s">
        <v>7216</v>
      </c>
      <c r="C1557" t="s">
        <v>42</v>
      </c>
      <c r="D1557" t="s">
        <v>7217</v>
      </c>
      <c r="E1557" t="e" cm="1">
        <f t="array" ref="E1557">- CLINDAMYCIN</f>
        <v>#NAME?</v>
      </c>
      <c r="F1557" t="s">
        <v>7218</v>
      </c>
      <c r="G1557" t="s">
        <v>7219</v>
      </c>
      <c r="H1557" t="s">
        <v>7220</v>
      </c>
      <c r="I1557" t="s">
        <v>7221</v>
      </c>
      <c r="J1557" t="s">
        <v>6069</v>
      </c>
      <c r="K1557" t="s">
        <v>2726</v>
      </c>
      <c r="L1557" t="s">
        <v>7222</v>
      </c>
      <c r="M1557" t="s">
        <v>38</v>
      </c>
      <c r="N1557" t="s">
        <v>7223</v>
      </c>
      <c r="O1557" t="s">
        <v>7224</v>
      </c>
      <c r="P1557" t="s">
        <v>7225</v>
      </c>
      <c r="Q1557" t="s">
        <v>7226</v>
      </c>
      <c r="R1557">
        <v>8</v>
      </c>
      <c r="S1557">
        <v>16</v>
      </c>
    </row>
    <row r="1558" spans="1:19" x14ac:dyDescent="0.35">
      <c r="A1558">
        <v>3738</v>
      </c>
      <c r="B1558" t="s">
        <v>5055</v>
      </c>
      <c r="C1558" t="s">
        <v>42</v>
      </c>
      <c r="D1558" t="s">
        <v>5056</v>
      </c>
      <c r="E1558" t="e" cm="1">
        <f t="array" ref="E1558">- ATTAPULGITE. PECTIN</f>
        <v>#NAME?</v>
      </c>
      <c r="F1558" t="s">
        <v>5057</v>
      </c>
      <c r="G1558" t="s">
        <v>3098</v>
      </c>
      <c r="H1558" t="s">
        <v>5058</v>
      </c>
      <c r="I1558" t="s">
        <v>5059</v>
      </c>
      <c r="J1558" t="s">
        <v>2951</v>
      </c>
      <c r="K1558" t="s">
        <v>5060</v>
      </c>
      <c r="L1558" t="s">
        <v>5061</v>
      </c>
      <c r="M1558" t="s">
        <v>46</v>
      </c>
      <c r="N1558" t="s">
        <v>5042</v>
      </c>
      <c r="O1558" t="s">
        <v>5062</v>
      </c>
      <c r="P1558" t="s">
        <v>5063</v>
      </c>
      <c r="Q1558" t="s">
        <v>7227</v>
      </c>
      <c r="R1558">
        <v>8</v>
      </c>
      <c r="S1558">
        <v>16</v>
      </c>
    </row>
    <row r="1559" spans="1:19" x14ac:dyDescent="0.35">
      <c r="A1559">
        <v>3755</v>
      </c>
      <c r="B1559" t="s">
        <v>7228</v>
      </c>
      <c r="C1559" t="s">
        <v>42</v>
      </c>
      <c r="D1559" t="s">
        <v>7229</v>
      </c>
      <c r="E1559" t="e" cm="1">
        <f t="array" ref="E1559">- ATTAPULGITE</f>
        <v>#NAME?</v>
      </c>
      <c r="F1559" s="1">
        <v>14100</v>
      </c>
      <c r="G1559" t="s">
        <v>60</v>
      </c>
      <c r="H1559" t="s">
        <v>5058</v>
      </c>
      <c r="I1559" t="s">
        <v>7230</v>
      </c>
      <c r="J1559" t="s">
        <v>7231</v>
      </c>
      <c r="K1559" t="s">
        <v>7232</v>
      </c>
      <c r="L1559" t="s">
        <v>7233</v>
      </c>
      <c r="M1559" t="s">
        <v>46</v>
      </c>
      <c r="N1559" t="s">
        <v>1450</v>
      </c>
      <c r="O1559" t="s">
        <v>7234</v>
      </c>
      <c r="P1559" t="s">
        <v>7235</v>
      </c>
      <c r="Q1559" t="s">
        <v>7236</v>
      </c>
      <c r="R1559">
        <v>8</v>
      </c>
      <c r="S1559">
        <v>16</v>
      </c>
    </row>
    <row r="1560" spans="1:19" x14ac:dyDescent="0.35">
      <c r="A1560">
        <v>5868</v>
      </c>
      <c r="B1560" t="s">
        <v>7237</v>
      </c>
      <c r="C1560" t="s">
        <v>42</v>
      </c>
      <c r="D1560" t="s">
        <v>7238</v>
      </c>
      <c r="E1560" t="e" cm="1">
        <f t="array" ref="E1560">- ETHAMBUTOL HYDROCHLORIDE</f>
        <v>#NAME?</v>
      </c>
      <c r="F1560" t="s">
        <v>7239</v>
      </c>
      <c r="G1560" t="s">
        <v>2241</v>
      </c>
      <c r="H1560" t="s">
        <v>7240</v>
      </c>
      <c r="I1560" t="s">
        <v>7241</v>
      </c>
      <c r="J1560" t="s">
        <v>7242</v>
      </c>
      <c r="K1560" t="s">
        <v>7243</v>
      </c>
      <c r="L1560" t="s">
        <v>7244</v>
      </c>
    </row>
    <row r="1561" spans="1:19" x14ac:dyDescent="0.35">
      <c r="A1561">
        <v>5867</v>
      </c>
      <c r="B1561" t="s">
        <v>7237</v>
      </c>
      <c r="C1561" t="s">
        <v>42</v>
      </c>
      <c r="D1561" t="s">
        <v>7245</v>
      </c>
      <c r="E1561" t="e" cm="1">
        <f t="array" ref="E1561">- ETHAMBUTOL HYDROCHLORIDE</f>
        <v>#NAME?</v>
      </c>
      <c r="F1561" t="s">
        <v>7246</v>
      </c>
      <c r="G1561" t="s">
        <v>4649</v>
      </c>
      <c r="H1561" t="s">
        <v>7247</v>
      </c>
      <c r="I1561" t="s">
        <v>7248</v>
      </c>
      <c r="J1561" t="s">
        <v>7249</v>
      </c>
      <c r="K1561" t="s">
        <v>7243</v>
      </c>
      <c r="L1561" t="s">
        <v>7244</v>
      </c>
    </row>
    <row r="1562" spans="1:19" x14ac:dyDescent="0.35">
      <c r="A1562">
        <v>3756</v>
      </c>
      <c r="B1562" t="s">
        <v>7228</v>
      </c>
      <c r="C1562" t="s">
        <v>42</v>
      </c>
      <c r="D1562" t="s">
        <v>7229</v>
      </c>
      <c r="E1562" t="e" cm="1">
        <f t="array" ref="E1562">- ATTAPULGITE</f>
        <v>#NAME?</v>
      </c>
      <c r="F1562" s="1">
        <v>14100</v>
      </c>
      <c r="G1562" t="s">
        <v>60</v>
      </c>
      <c r="H1562" t="s">
        <v>5058</v>
      </c>
      <c r="I1562" t="s">
        <v>7230</v>
      </c>
      <c r="J1562" t="s">
        <v>7231</v>
      </c>
      <c r="K1562" t="s">
        <v>7232</v>
      </c>
      <c r="L1562" t="s">
        <v>7233</v>
      </c>
      <c r="M1562" t="s">
        <v>46</v>
      </c>
      <c r="N1562" t="s">
        <v>1450</v>
      </c>
      <c r="O1562" t="s">
        <v>7234</v>
      </c>
      <c r="P1562" t="s">
        <v>7235</v>
      </c>
      <c r="Q1562" t="s">
        <v>7236</v>
      </c>
      <c r="R1562">
        <v>8</v>
      </c>
      <c r="S1562">
        <v>16</v>
      </c>
    </row>
    <row r="1563" spans="1:19" x14ac:dyDescent="0.35">
      <c r="A1563">
        <v>5815</v>
      </c>
      <c r="B1563" t="s">
        <v>7250</v>
      </c>
      <c r="C1563" t="s">
        <v>42</v>
      </c>
      <c r="D1563" t="s">
        <v>7251</v>
      </c>
      <c r="E1563" t="e" cm="1">
        <f t="array" ref="E1563">- CIPROFLOXACIN</f>
        <v>#NAME?</v>
      </c>
      <c r="F1563" t="s">
        <v>7252</v>
      </c>
      <c r="G1563" t="s">
        <v>2855</v>
      </c>
      <c r="H1563" t="s">
        <v>1055</v>
      </c>
      <c r="I1563" t="s">
        <v>7253</v>
      </c>
      <c r="J1563" t="s">
        <v>7254</v>
      </c>
      <c r="K1563" t="s">
        <v>7255</v>
      </c>
      <c r="L1563" t="s">
        <v>7256</v>
      </c>
      <c r="M1563" t="s">
        <v>46</v>
      </c>
      <c r="N1563" t="s">
        <v>1056</v>
      </c>
      <c r="O1563" t="s">
        <v>7257</v>
      </c>
      <c r="P1563" t="s">
        <v>7258</v>
      </c>
      <c r="Q1563" t="s">
        <v>7259</v>
      </c>
      <c r="R1563">
        <v>8</v>
      </c>
      <c r="S1563">
        <v>16</v>
      </c>
    </row>
    <row r="1564" spans="1:19" x14ac:dyDescent="0.35">
      <c r="A1564">
        <v>3765</v>
      </c>
      <c r="B1564" t="s">
        <v>7260</v>
      </c>
      <c r="C1564" t="s">
        <v>20</v>
      </c>
      <c r="D1564" t="s">
        <v>7261</v>
      </c>
      <c r="E1564" t="s">
        <v>7262</v>
      </c>
      <c r="F1564" t="s">
        <v>7263</v>
      </c>
      <c r="G1564" t="s">
        <v>7264</v>
      </c>
      <c r="H1564" t="s">
        <v>7265</v>
      </c>
      <c r="I1564" t="s">
        <v>5070</v>
      </c>
      <c r="J1564" t="s">
        <v>7266</v>
      </c>
      <c r="L1564" t="s">
        <v>7267</v>
      </c>
      <c r="M1564" t="s">
        <v>63</v>
      </c>
      <c r="N1564" t="s">
        <v>7268</v>
      </c>
      <c r="O1564" t="s">
        <v>5074</v>
      </c>
      <c r="P1564" t="s">
        <v>7268</v>
      </c>
      <c r="Q1564" t="s">
        <v>7269</v>
      </c>
      <c r="R1564">
        <v>8</v>
      </c>
      <c r="S1564">
        <v>16</v>
      </c>
    </row>
    <row r="1565" spans="1:19" x14ac:dyDescent="0.35">
      <c r="A1565">
        <v>3766</v>
      </c>
      <c r="B1565" t="s">
        <v>7270</v>
      </c>
      <c r="C1565" t="s">
        <v>20</v>
      </c>
      <c r="D1565" t="s">
        <v>7271</v>
      </c>
      <c r="E1565" t="s">
        <v>7262</v>
      </c>
      <c r="F1565" t="s">
        <v>7272</v>
      </c>
      <c r="G1565" t="s">
        <v>7264</v>
      </c>
      <c r="H1565" t="s">
        <v>7273</v>
      </c>
      <c r="I1565" t="s">
        <v>5070</v>
      </c>
      <c r="J1565" t="s">
        <v>334</v>
      </c>
      <c r="K1565" t="s">
        <v>3473</v>
      </c>
      <c r="L1565" t="s">
        <v>7267</v>
      </c>
      <c r="M1565" t="s">
        <v>271</v>
      </c>
      <c r="N1565" t="s">
        <v>7268</v>
      </c>
      <c r="O1565" t="s">
        <v>5074</v>
      </c>
      <c r="P1565" t="s">
        <v>7268</v>
      </c>
      <c r="Q1565" t="s">
        <v>7274</v>
      </c>
      <c r="R1565">
        <v>8</v>
      </c>
      <c r="S1565">
        <v>16</v>
      </c>
    </row>
    <row r="1566" spans="1:19" x14ac:dyDescent="0.35">
      <c r="A1566">
        <v>5797</v>
      </c>
      <c r="B1566" t="s">
        <v>7275</v>
      </c>
      <c r="C1566" t="s">
        <v>42</v>
      </c>
      <c r="D1566" t="s">
        <v>7276</v>
      </c>
      <c r="E1566" t="e" cm="1">
        <f t="array" ref="E1566">- ETHAMBUTOL</f>
        <v>#NAME?</v>
      </c>
      <c r="F1566" s="1">
        <v>196500</v>
      </c>
      <c r="G1566" t="s">
        <v>7277</v>
      </c>
      <c r="H1566" t="s">
        <v>7278</v>
      </c>
      <c r="I1566" t="s">
        <v>7279</v>
      </c>
      <c r="J1566" t="s">
        <v>7280</v>
      </c>
      <c r="K1566" t="s">
        <v>7281</v>
      </c>
      <c r="L1566" t="s">
        <v>7282</v>
      </c>
      <c r="M1566" t="s">
        <v>291</v>
      </c>
      <c r="N1566" t="s">
        <v>7283</v>
      </c>
      <c r="O1566" t="s">
        <v>7284</v>
      </c>
      <c r="P1566" t="s">
        <v>7285</v>
      </c>
      <c r="Q1566" t="s">
        <v>7286</v>
      </c>
      <c r="R1566">
        <v>8</v>
      </c>
      <c r="S1566">
        <v>16</v>
      </c>
    </row>
    <row r="1567" spans="1:19" x14ac:dyDescent="0.35">
      <c r="A1567">
        <v>5393</v>
      </c>
      <c r="B1567" t="s">
        <v>7287</v>
      </c>
      <c r="C1567" t="s">
        <v>42</v>
      </c>
      <c r="D1567" t="s">
        <v>7288</v>
      </c>
      <c r="E1567" t="e" cm="1">
        <f t="array" ref="E1567">- BACITRACIN ZINC</f>
        <v>#NAME?</v>
      </c>
      <c r="F1567" t="s">
        <v>7289</v>
      </c>
      <c r="G1567" t="s">
        <v>7290</v>
      </c>
      <c r="H1567" t="s">
        <v>7291</v>
      </c>
      <c r="I1567" t="s">
        <v>7292</v>
      </c>
      <c r="J1567" t="s">
        <v>7293</v>
      </c>
      <c r="K1567" t="s">
        <v>7294</v>
      </c>
      <c r="L1567" t="s">
        <v>4032</v>
      </c>
      <c r="M1567" t="s">
        <v>1280</v>
      </c>
      <c r="N1567" t="s">
        <v>7295</v>
      </c>
      <c r="O1567" t="s">
        <v>7296</v>
      </c>
      <c r="P1567" t="s">
        <v>7297</v>
      </c>
      <c r="Q1567" t="s">
        <v>7298</v>
      </c>
      <c r="R1567">
        <v>8</v>
      </c>
      <c r="S1567">
        <v>16</v>
      </c>
    </row>
    <row r="1568" spans="1:19" x14ac:dyDescent="0.35">
      <c r="A1568">
        <v>5712</v>
      </c>
      <c r="B1568" t="s">
        <v>7299</v>
      </c>
      <c r="C1568" t="s">
        <v>42</v>
      </c>
      <c r="D1568" t="s">
        <v>7300</v>
      </c>
      <c r="E1568" t="e" cm="1">
        <f t="array" ref="E1568">- ETHAMBUTOL</f>
        <v>#NAME?</v>
      </c>
      <c r="F1568" t="s">
        <v>7301</v>
      </c>
      <c r="G1568" t="s">
        <v>5970</v>
      </c>
      <c r="H1568" t="s">
        <v>7302</v>
      </c>
      <c r="I1568" t="s">
        <v>7303</v>
      </c>
      <c r="J1568" t="s">
        <v>1093</v>
      </c>
      <c r="K1568" t="s">
        <v>7304</v>
      </c>
      <c r="L1568" t="s">
        <v>7305</v>
      </c>
      <c r="M1568" t="s">
        <v>46</v>
      </c>
      <c r="N1568" t="s">
        <v>7283</v>
      </c>
      <c r="O1568" t="s">
        <v>7306</v>
      </c>
      <c r="P1568" t="s">
        <v>7283</v>
      </c>
      <c r="Q1568" t="s">
        <v>7307</v>
      </c>
      <c r="R1568">
        <v>8</v>
      </c>
      <c r="S1568">
        <v>16</v>
      </c>
    </row>
    <row r="1569" spans="1:19" x14ac:dyDescent="0.35">
      <c r="A1569">
        <v>5571</v>
      </c>
      <c r="B1569" t="s">
        <v>7308</v>
      </c>
      <c r="C1569" t="s">
        <v>42</v>
      </c>
      <c r="D1569" t="s">
        <v>7309</v>
      </c>
      <c r="E1569" t="e" cm="1">
        <f t="array" ref="E1569">- HYDROQUINONE</f>
        <v>#NAME?</v>
      </c>
      <c r="F1569" t="s">
        <v>7310</v>
      </c>
      <c r="G1569" t="s">
        <v>5456</v>
      </c>
      <c r="H1569" t="s">
        <v>3950</v>
      </c>
      <c r="I1569" t="s">
        <v>7311</v>
      </c>
      <c r="J1569" t="s">
        <v>7312</v>
      </c>
      <c r="L1569" t="s">
        <v>7313</v>
      </c>
      <c r="M1569" t="s">
        <v>1289</v>
      </c>
      <c r="N1569" t="s">
        <v>6466</v>
      </c>
      <c r="O1569" t="s">
        <v>7314</v>
      </c>
      <c r="P1569" t="s">
        <v>7315</v>
      </c>
      <c r="Q1569" t="s">
        <v>7316</v>
      </c>
      <c r="R1569">
        <v>8</v>
      </c>
      <c r="S1569">
        <v>16</v>
      </c>
    </row>
    <row r="1570" spans="1:19" x14ac:dyDescent="0.35">
      <c r="A1570">
        <v>5557</v>
      </c>
      <c r="B1570" t="s">
        <v>7317</v>
      </c>
      <c r="C1570" t="s">
        <v>42</v>
      </c>
      <c r="D1570" t="s">
        <v>7318</v>
      </c>
      <c r="E1570" t="e" cm="1">
        <f t="array" ref="E1570">- HYDROQUINIDINE</f>
        <v>#NAME?</v>
      </c>
      <c r="F1570" t="s">
        <v>7319</v>
      </c>
      <c r="G1570" t="s">
        <v>6461</v>
      </c>
      <c r="H1570" t="s">
        <v>7320</v>
      </c>
      <c r="I1570" t="s">
        <v>6463</v>
      </c>
      <c r="J1570" t="s">
        <v>7321</v>
      </c>
      <c r="L1570" t="s">
        <v>6465</v>
      </c>
      <c r="M1570" t="s">
        <v>1289</v>
      </c>
      <c r="N1570" t="s">
        <v>7322</v>
      </c>
      <c r="O1570" t="s">
        <v>6467</v>
      </c>
      <c r="P1570" t="s">
        <v>7323</v>
      </c>
      <c r="Q1570" t="s">
        <v>7324</v>
      </c>
      <c r="R1570">
        <v>8</v>
      </c>
      <c r="S1570">
        <v>16</v>
      </c>
    </row>
    <row r="1571" spans="1:19" x14ac:dyDescent="0.35">
      <c r="A1571">
        <v>5551</v>
      </c>
      <c r="B1571" t="s">
        <v>7325</v>
      </c>
      <c r="C1571" t="s">
        <v>20</v>
      </c>
      <c r="D1571" t="s">
        <v>7326</v>
      </c>
      <c r="E1571" t="s">
        <v>7327</v>
      </c>
      <c r="F1571" t="s">
        <v>7328</v>
      </c>
      <c r="G1571" t="s">
        <v>7329</v>
      </c>
      <c r="H1571" t="s">
        <v>7330</v>
      </c>
      <c r="I1571" t="s">
        <v>7331</v>
      </c>
      <c r="J1571" t="s">
        <v>3197</v>
      </c>
      <c r="N1571" t="s">
        <v>7332</v>
      </c>
      <c r="O1571" t="s">
        <v>7333</v>
      </c>
      <c r="P1571" t="s">
        <v>7334</v>
      </c>
      <c r="Q1571" t="s">
        <v>7335</v>
      </c>
      <c r="R1571">
        <v>8</v>
      </c>
      <c r="S1571">
        <v>16</v>
      </c>
    </row>
    <row r="1572" spans="1:19" x14ac:dyDescent="0.35">
      <c r="A1572">
        <v>5530</v>
      </c>
      <c r="B1572" t="s">
        <v>2933</v>
      </c>
      <c r="C1572" t="s">
        <v>42</v>
      </c>
      <c r="D1572" t="s">
        <v>7336</v>
      </c>
      <c r="E1572" t="e" cm="1">
        <f t="array" ref="E1572">- PERMETHRIN</f>
        <v>#NAME?</v>
      </c>
      <c r="F1572" t="s">
        <v>7337</v>
      </c>
      <c r="G1572" t="s">
        <v>7338</v>
      </c>
      <c r="H1572" t="s">
        <v>7339</v>
      </c>
      <c r="I1572" t="s">
        <v>7340</v>
      </c>
      <c r="J1572" t="s">
        <v>1367</v>
      </c>
      <c r="K1572" t="s">
        <v>2940</v>
      </c>
      <c r="L1572" t="s">
        <v>7341</v>
      </c>
      <c r="M1572" t="s">
        <v>1289</v>
      </c>
      <c r="N1572" t="s">
        <v>2942</v>
      </c>
      <c r="O1572" t="s">
        <v>7342</v>
      </c>
      <c r="P1572" t="s">
        <v>2944</v>
      </c>
      <c r="Q1572" t="s">
        <v>7343</v>
      </c>
      <c r="R1572">
        <v>8</v>
      </c>
      <c r="S1572">
        <v>16</v>
      </c>
    </row>
    <row r="1573" spans="1:19" x14ac:dyDescent="0.35">
      <c r="A1573">
        <v>5529</v>
      </c>
      <c r="B1573" t="s">
        <v>2933</v>
      </c>
      <c r="C1573" t="s">
        <v>42</v>
      </c>
      <c r="D1573" t="s">
        <v>7336</v>
      </c>
      <c r="E1573" t="e" cm="1">
        <f t="array" ref="E1573">- PERMETHRIN</f>
        <v>#NAME?</v>
      </c>
      <c r="F1573" t="s">
        <v>7337</v>
      </c>
      <c r="G1573" t="s">
        <v>7338</v>
      </c>
      <c r="H1573" t="s">
        <v>7339</v>
      </c>
      <c r="I1573" t="s">
        <v>7340</v>
      </c>
      <c r="J1573" t="s">
        <v>1367</v>
      </c>
      <c r="K1573" t="s">
        <v>2940</v>
      </c>
      <c r="L1573" t="s">
        <v>7341</v>
      </c>
      <c r="M1573" t="s">
        <v>1289</v>
      </c>
      <c r="N1573" t="s">
        <v>2942</v>
      </c>
      <c r="O1573" t="s">
        <v>7342</v>
      </c>
      <c r="P1573" t="s">
        <v>2944</v>
      </c>
      <c r="Q1573" t="s">
        <v>7343</v>
      </c>
      <c r="R1573">
        <v>8</v>
      </c>
      <c r="S1573">
        <v>16</v>
      </c>
    </row>
    <row r="1574" spans="1:19" x14ac:dyDescent="0.35">
      <c r="A1574">
        <v>5528</v>
      </c>
      <c r="B1574" t="s">
        <v>2933</v>
      </c>
      <c r="C1574" t="s">
        <v>42</v>
      </c>
      <c r="D1574" t="s">
        <v>7336</v>
      </c>
      <c r="E1574" t="e" cm="1">
        <f t="array" ref="E1574">- PERMETHRIN</f>
        <v>#NAME?</v>
      </c>
      <c r="F1574" t="s">
        <v>7337</v>
      </c>
      <c r="G1574" t="s">
        <v>7338</v>
      </c>
      <c r="H1574" t="s">
        <v>7339</v>
      </c>
      <c r="I1574" t="s">
        <v>7340</v>
      </c>
      <c r="J1574" t="s">
        <v>1367</v>
      </c>
      <c r="K1574" t="s">
        <v>2940</v>
      </c>
      <c r="L1574" t="s">
        <v>7341</v>
      </c>
      <c r="M1574" t="s">
        <v>1289</v>
      </c>
      <c r="N1574" t="s">
        <v>2942</v>
      </c>
      <c r="O1574" t="s">
        <v>7342</v>
      </c>
      <c r="P1574" t="s">
        <v>2944</v>
      </c>
      <c r="Q1574" t="s">
        <v>7343</v>
      </c>
      <c r="R1574">
        <v>8</v>
      </c>
      <c r="S1574">
        <v>16</v>
      </c>
    </row>
    <row r="1575" spans="1:19" x14ac:dyDescent="0.35">
      <c r="A1575">
        <v>5527</v>
      </c>
      <c r="B1575" t="s">
        <v>2933</v>
      </c>
      <c r="C1575" t="s">
        <v>42</v>
      </c>
      <c r="D1575" t="s">
        <v>7336</v>
      </c>
      <c r="E1575" t="e" cm="1">
        <f t="array" ref="E1575">- PERMETHRIN</f>
        <v>#NAME?</v>
      </c>
      <c r="F1575" t="s">
        <v>7337</v>
      </c>
      <c r="G1575" t="s">
        <v>7338</v>
      </c>
      <c r="H1575" t="s">
        <v>7339</v>
      </c>
      <c r="I1575" t="s">
        <v>7340</v>
      </c>
      <c r="J1575" t="s">
        <v>1367</v>
      </c>
      <c r="K1575" t="s">
        <v>2940</v>
      </c>
      <c r="L1575" t="s">
        <v>7341</v>
      </c>
      <c r="M1575" t="s">
        <v>1289</v>
      </c>
      <c r="N1575" t="s">
        <v>2942</v>
      </c>
      <c r="O1575" t="s">
        <v>7342</v>
      </c>
      <c r="P1575" t="s">
        <v>2944</v>
      </c>
      <c r="Q1575" t="s">
        <v>7343</v>
      </c>
      <c r="R1575">
        <v>8</v>
      </c>
      <c r="S1575">
        <v>16</v>
      </c>
    </row>
    <row r="1576" spans="1:19" x14ac:dyDescent="0.35">
      <c r="A1576">
        <v>5512</v>
      </c>
      <c r="B1576" t="s">
        <v>4013</v>
      </c>
      <c r="C1576" t="s">
        <v>42</v>
      </c>
      <c r="D1576" t="s">
        <v>4014</v>
      </c>
      <c r="E1576" t="e" cm="1">
        <f t="array" ref="E1576">- BETAMETHASONE VALERATE. NEOMYCIN SULFATE</f>
        <v>#NAME?</v>
      </c>
      <c r="F1576" t="s">
        <v>4015</v>
      </c>
      <c r="J1576" t="s">
        <v>1684</v>
      </c>
      <c r="M1576" t="s">
        <v>1289</v>
      </c>
      <c r="N1576" t="s">
        <v>4089</v>
      </c>
      <c r="P1576" t="s">
        <v>4016</v>
      </c>
      <c r="Q1576" t="s">
        <v>7344</v>
      </c>
      <c r="R1576">
        <v>8</v>
      </c>
      <c r="S1576">
        <v>16</v>
      </c>
    </row>
    <row r="1577" spans="1:19" x14ac:dyDescent="0.35">
      <c r="A1577">
        <v>5491</v>
      </c>
      <c r="B1577" t="s">
        <v>7345</v>
      </c>
      <c r="C1577" t="s">
        <v>42</v>
      </c>
      <c r="D1577" t="s">
        <v>7346</v>
      </c>
      <c r="E1577" t="e" cm="1">
        <f t="array" ref="E1577">- BETAMETHASONE VALERATE</f>
        <v>#NAME?</v>
      </c>
      <c r="F1577" t="s">
        <v>7347</v>
      </c>
      <c r="G1577" t="s">
        <v>7348</v>
      </c>
      <c r="H1577" t="s">
        <v>7349</v>
      </c>
      <c r="I1577" t="s">
        <v>7350</v>
      </c>
      <c r="J1577" t="s">
        <v>1367</v>
      </c>
      <c r="K1577" t="s">
        <v>7351</v>
      </c>
      <c r="L1577" t="s">
        <v>7352</v>
      </c>
      <c r="M1577" t="s">
        <v>1289</v>
      </c>
      <c r="N1577" t="s">
        <v>2059</v>
      </c>
      <c r="O1577" t="s">
        <v>7353</v>
      </c>
      <c r="P1577" t="s">
        <v>7354</v>
      </c>
      <c r="Q1577" t="s">
        <v>7355</v>
      </c>
      <c r="R1577">
        <v>8</v>
      </c>
      <c r="S1577">
        <v>16</v>
      </c>
    </row>
    <row r="1578" spans="1:19" x14ac:dyDescent="0.35">
      <c r="A1578">
        <v>5487</v>
      </c>
      <c r="B1578" t="s">
        <v>7207</v>
      </c>
      <c r="C1578" t="s">
        <v>42</v>
      </c>
      <c r="D1578" t="s">
        <v>7208</v>
      </c>
      <c r="E1578" t="e" cm="1">
        <f t="array" ref="E1578">- GENTAMICIN SULFATE</f>
        <v>#NAME?</v>
      </c>
      <c r="F1578" t="s">
        <v>7209</v>
      </c>
      <c r="G1578" t="s">
        <v>7210</v>
      </c>
      <c r="H1578" t="s">
        <v>7211</v>
      </c>
      <c r="I1578" t="s">
        <v>7212</v>
      </c>
      <c r="J1578" t="s">
        <v>7213</v>
      </c>
      <c r="K1578" t="s">
        <v>7214</v>
      </c>
      <c r="L1578" t="s">
        <v>7215</v>
      </c>
    </row>
    <row r="1579" spans="1:19" x14ac:dyDescent="0.35">
      <c r="A1579">
        <v>5572</v>
      </c>
      <c r="B1579" t="s">
        <v>7308</v>
      </c>
      <c r="C1579" t="s">
        <v>42</v>
      </c>
      <c r="D1579" t="s">
        <v>7309</v>
      </c>
      <c r="E1579" t="e" cm="1">
        <f t="array" ref="E1579">- HYDROQUINONE</f>
        <v>#NAME?</v>
      </c>
      <c r="F1579" t="s">
        <v>7310</v>
      </c>
      <c r="G1579" t="s">
        <v>5456</v>
      </c>
      <c r="H1579" t="s">
        <v>3950</v>
      </c>
      <c r="I1579" t="s">
        <v>7311</v>
      </c>
      <c r="J1579" t="s">
        <v>7312</v>
      </c>
      <c r="L1579" t="s">
        <v>7313</v>
      </c>
      <c r="M1579" t="s">
        <v>1289</v>
      </c>
      <c r="N1579" t="s">
        <v>6466</v>
      </c>
      <c r="O1579" t="s">
        <v>7314</v>
      </c>
      <c r="P1579" t="s">
        <v>7315</v>
      </c>
      <c r="Q1579" t="s">
        <v>7316</v>
      </c>
      <c r="R1579">
        <v>8</v>
      </c>
      <c r="S1579">
        <v>16</v>
      </c>
    </row>
    <row r="1580" spans="1:19" x14ac:dyDescent="0.35">
      <c r="A1580">
        <v>6282</v>
      </c>
      <c r="B1580" t="s">
        <v>7356</v>
      </c>
      <c r="C1580" t="s">
        <v>42</v>
      </c>
      <c r="D1580" t="s">
        <v>7357</v>
      </c>
      <c r="E1580" t="e" cm="1">
        <f t="array" ref="E1580">- AMOXICILLIN TRIHYDRATE</f>
        <v>#NAME?</v>
      </c>
      <c r="F1580" t="s">
        <v>7358</v>
      </c>
      <c r="G1580" t="s">
        <v>7359</v>
      </c>
      <c r="H1580" t="s">
        <v>7360</v>
      </c>
      <c r="I1580" t="s">
        <v>7361</v>
      </c>
      <c r="J1580" t="s">
        <v>945</v>
      </c>
      <c r="K1580" t="s">
        <v>2726</v>
      </c>
      <c r="L1580" t="s">
        <v>7362</v>
      </c>
      <c r="M1580" t="s">
        <v>271</v>
      </c>
      <c r="N1580" t="s">
        <v>1523</v>
      </c>
      <c r="O1580" t="s">
        <v>7363</v>
      </c>
      <c r="P1580" t="s">
        <v>7364</v>
      </c>
      <c r="Q1580" t="s">
        <v>7365</v>
      </c>
      <c r="R1580">
        <v>8</v>
      </c>
      <c r="S1580">
        <v>16</v>
      </c>
    </row>
    <row r="1581" spans="1:19" x14ac:dyDescent="0.35">
      <c r="A1581">
        <v>4917</v>
      </c>
      <c r="B1581" t="s">
        <v>7366</v>
      </c>
      <c r="C1581" t="s">
        <v>42</v>
      </c>
      <c r="D1581" t="s">
        <v>7367</v>
      </c>
      <c r="E1581" t="e" cm="1">
        <f t="array" ref="E1581">- ADAPALENE</f>
        <v>#NAME?</v>
      </c>
      <c r="F1581" t="s">
        <v>7368</v>
      </c>
      <c r="G1581" t="s">
        <v>7369</v>
      </c>
      <c r="H1581" t="s">
        <v>7370</v>
      </c>
      <c r="I1581" t="s">
        <v>7371</v>
      </c>
      <c r="J1581" t="s">
        <v>2167</v>
      </c>
      <c r="K1581" t="s">
        <v>7372</v>
      </c>
      <c r="L1581" t="s">
        <v>7373</v>
      </c>
      <c r="M1581" t="s">
        <v>1289</v>
      </c>
      <c r="N1581" t="s">
        <v>3954</v>
      </c>
      <c r="O1581" t="s">
        <v>7374</v>
      </c>
      <c r="P1581" t="s">
        <v>7375</v>
      </c>
      <c r="Q1581" t="s">
        <v>7376</v>
      </c>
      <c r="R1581">
        <v>8</v>
      </c>
      <c r="S1581">
        <v>16</v>
      </c>
    </row>
    <row r="1582" spans="1:19" x14ac:dyDescent="0.35">
      <c r="A1582">
        <v>4861</v>
      </c>
      <c r="B1582" t="s">
        <v>7377</v>
      </c>
      <c r="C1582" t="s">
        <v>42</v>
      </c>
      <c r="D1582" t="s">
        <v>7378</v>
      </c>
      <c r="E1582" t="e" cm="1">
        <f t="array" ref="E1582">- PIRENOXINE</f>
        <v>#NAME?</v>
      </c>
      <c r="F1582" t="s">
        <v>7379</v>
      </c>
      <c r="H1582" t="s">
        <v>7380</v>
      </c>
      <c r="I1582" t="s">
        <v>7381</v>
      </c>
      <c r="J1582" t="s">
        <v>7382</v>
      </c>
      <c r="L1582" t="s">
        <v>321</v>
      </c>
      <c r="M1582" t="s">
        <v>824</v>
      </c>
      <c r="N1582" t="s">
        <v>7383</v>
      </c>
      <c r="O1582" t="s">
        <v>7384</v>
      </c>
      <c r="P1582" t="s">
        <v>7385</v>
      </c>
      <c r="Q1582" t="s">
        <v>7386</v>
      </c>
      <c r="R1582">
        <v>8</v>
      </c>
      <c r="S1582">
        <v>16</v>
      </c>
    </row>
    <row r="1583" spans="1:19" x14ac:dyDescent="0.35">
      <c r="A1583">
        <v>4354</v>
      </c>
      <c r="B1583" t="s">
        <v>4018</v>
      </c>
      <c r="C1583" t="s">
        <v>42</v>
      </c>
      <c r="D1583" t="s">
        <v>4026</v>
      </c>
      <c r="E1583" t="e" cm="1">
        <f t="array" ref="E1583">- CHLORAMPHENICOL. LIDOCAINE HYDROCHLORIDE</f>
        <v>#NAME?</v>
      </c>
      <c r="F1583" t="s">
        <v>4027</v>
      </c>
      <c r="G1583" t="s">
        <v>4028</v>
      </c>
      <c r="H1583" t="s">
        <v>4029</v>
      </c>
      <c r="I1583" t="s">
        <v>4030</v>
      </c>
      <c r="J1583" t="s">
        <v>4031</v>
      </c>
      <c r="K1583" t="s">
        <v>2726</v>
      </c>
      <c r="L1583" t="s">
        <v>4032</v>
      </c>
      <c r="M1583" t="s">
        <v>824</v>
      </c>
      <c r="N1583" t="s">
        <v>7387</v>
      </c>
      <c r="O1583" t="s">
        <v>4033</v>
      </c>
      <c r="P1583" t="s">
        <v>4034</v>
      </c>
      <c r="Q1583" t="s">
        <v>7388</v>
      </c>
      <c r="R1583">
        <v>8</v>
      </c>
      <c r="S1583">
        <v>16</v>
      </c>
    </row>
    <row r="1584" spans="1:19" x14ac:dyDescent="0.35">
      <c r="A1584">
        <v>4352</v>
      </c>
      <c r="B1584" t="s">
        <v>4018</v>
      </c>
      <c r="C1584" t="s">
        <v>42</v>
      </c>
      <c r="D1584" t="s">
        <v>4019</v>
      </c>
      <c r="E1584" t="e" cm="1">
        <f t="array" ref="E1584">- CHLORAMPHENICOL. LIDOCAINE HYDROCHLORIDE</f>
        <v>#NAME?</v>
      </c>
      <c r="F1584" t="s">
        <v>4020</v>
      </c>
      <c r="G1584" t="s">
        <v>4021</v>
      </c>
      <c r="H1584" t="s">
        <v>4022</v>
      </c>
      <c r="I1584" t="s">
        <v>4023</v>
      </c>
      <c r="J1584" t="s">
        <v>4024</v>
      </c>
      <c r="K1584" t="s">
        <v>2858</v>
      </c>
      <c r="L1584" t="s">
        <v>4025</v>
      </c>
    </row>
    <row r="1585" spans="1:19" x14ac:dyDescent="0.35">
      <c r="A1585">
        <v>4280</v>
      </c>
      <c r="B1585" t="s">
        <v>7389</v>
      </c>
      <c r="C1585" t="s">
        <v>42</v>
      </c>
      <c r="D1585" t="s">
        <v>7390</v>
      </c>
      <c r="E1585" t="e" cm="1">
        <f t="array" ref="E1585">- DESLORATADINE</f>
        <v>#NAME?</v>
      </c>
      <c r="F1585" t="s">
        <v>7391</v>
      </c>
      <c r="G1585" t="s">
        <v>7392</v>
      </c>
      <c r="H1585" t="s">
        <v>7393</v>
      </c>
      <c r="I1585" t="e" cm="1">
        <f t="array" ref="I1585">- Rhinitis alergika - Urtikaria idiopatik kronis</f>
        <v>#NAME?</v>
      </c>
      <c r="J1585" t="s">
        <v>945</v>
      </c>
      <c r="K1585" t="s">
        <v>2726</v>
      </c>
      <c r="L1585" t="s">
        <v>7394</v>
      </c>
      <c r="M1585" t="s">
        <v>271</v>
      </c>
      <c r="N1585" t="s">
        <v>1107</v>
      </c>
      <c r="O1585" t="e" cm="1">
        <f t="array" ref="O1585">- Rhinitis alergika - Urtikaria idiopatik kronis</f>
        <v>#NAME?</v>
      </c>
      <c r="P1585" t="s">
        <v>7395</v>
      </c>
      <c r="Q1585" t="s">
        <v>7396</v>
      </c>
      <c r="R1585">
        <v>8</v>
      </c>
      <c r="S1585">
        <v>16</v>
      </c>
    </row>
    <row r="1586" spans="1:19" x14ac:dyDescent="0.35">
      <c r="A1586">
        <v>4279</v>
      </c>
      <c r="B1586" t="s">
        <v>7389</v>
      </c>
      <c r="C1586" t="s">
        <v>42</v>
      </c>
      <c r="D1586" t="s">
        <v>7390</v>
      </c>
      <c r="E1586" t="e" cm="1">
        <f t="array" ref="E1586">- DESLORATADINE</f>
        <v>#NAME?</v>
      </c>
      <c r="F1586" t="s">
        <v>7391</v>
      </c>
      <c r="G1586" t="s">
        <v>7392</v>
      </c>
      <c r="H1586" t="s">
        <v>7393</v>
      </c>
      <c r="I1586" t="e" cm="1">
        <f t="array" ref="I1586">- Rhinitis alergika - Urtikaria idiopatik kronis</f>
        <v>#NAME?</v>
      </c>
      <c r="J1586" t="s">
        <v>945</v>
      </c>
      <c r="K1586" t="s">
        <v>2726</v>
      </c>
      <c r="L1586" t="s">
        <v>7394</v>
      </c>
      <c r="M1586" t="s">
        <v>271</v>
      </c>
      <c r="N1586" t="s">
        <v>1107</v>
      </c>
      <c r="O1586" t="e" cm="1">
        <f t="array" ref="O1586">- Rhinitis alergika - Urtikaria idiopatik kronis</f>
        <v>#NAME?</v>
      </c>
      <c r="P1586" t="s">
        <v>7395</v>
      </c>
      <c r="Q1586" t="s">
        <v>7396</v>
      </c>
      <c r="R1586">
        <v>8</v>
      </c>
      <c r="S1586">
        <v>16</v>
      </c>
    </row>
    <row r="1587" spans="1:19" x14ac:dyDescent="0.35">
      <c r="A1587">
        <v>4261</v>
      </c>
      <c r="B1587" t="s">
        <v>7397</v>
      </c>
      <c r="C1587" t="s">
        <v>42</v>
      </c>
      <c r="D1587" t="s">
        <v>7398</v>
      </c>
      <c r="E1587" t="e" cm="1">
        <f t="array" ref="E1587">- BETAMETHASONE</f>
        <v>#NAME?</v>
      </c>
      <c r="F1587" t="s">
        <v>7399</v>
      </c>
      <c r="G1587" t="s">
        <v>7400</v>
      </c>
      <c r="H1587" t="s">
        <v>7401</v>
      </c>
    </row>
    <row r="1588" spans="1:19" x14ac:dyDescent="0.35">
      <c r="A1588">
        <v>4259</v>
      </c>
      <c r="B1588" t="s">
        <v>7402</v>
      </c>
      <c r="C1588" t="s">
        <v>42</v>
      </c>
      <c r="D1588" t="s">
        <v>7403</v>
      </c>
      <c r="E1588" t="e" cm="1">
        <f t="array" ref="E1588">- BETAMETHASONE</f>
        <v>#NAME?</v>
      </c>
      <c r="F1588" t="s">
        <v>7404</v>
      </c>
      <c r="G1588" t="s">
        <v>7400</v>
      </c>
      <c r="H1588" t="s">
        <v>7401</v>
      </c>
    </row>
    <row r="1589" spans="1:19" x14ac:dyDescent="0.35">
      <c r="A1589">
        <v>4248</v>
      </c>
      <c r="B1589" t="s">
        <v>7405</v>
      </c>
      <c r="C1589" t="s">
        <v>42</v>
      </c>
      <c r="D1589" t="s">
        <v>7406</v>
      </c>
      <c r="E1589" t="e" cm="1">
        <f t="array" ref="E1589">- MEBHYDROLIN NAPADISILATE</f>
        <v>#NAME?</v>
      </c>
      <c r="F1589" t="s">
        <v>7407</v>
      </c>
      <c r="G1589" t="s">
        <v>2241</v>
      </c>
      <c r="H1589" t="s">
        <v>7408</v>
      </c>
      <c r="I1589" t="s">
        <v>7409</v>
      </c>
      <c r="J1589" t="s">
        <v>727</v>
      </c>
      <c r="K1589" t="s">
        <v>7410</v>
      </c>
      <c r="L1589" t="s">
        <v>7411</v>
      </c>
      <c r="M1589" t="s">
        <v>291</v>
      </c>
      <c r="N1589" t="s">
        <v>5038</v>
      </c>
      <c r="O1589" t="s">
        <v>7412</v>
      </c>
      <c r="P1589" t="s">
        <v>7413</v>
      </c>
      <c r="Q1589" t="s">
        <v>7414</v>
      </c>
      <c r="R1589">
        <v>8</v>
      </c>
      <c r="S1589">
        <v>16</v>
      </c>
    </row>
    <row r="1590" spans="1:19" x14ac:dyDescent="0.35">
      <c r="A1590">
        <v>4247</v>
      </c>
      <c r="B1590" t="s">
        <v>7405</v>
      </c>
      <c r="C1590" t="s">
        <v>42</v>
      </c>
      <c r="D1590" t="s">
        <v>7406</v>
      </c>
      <c r="E1590" t="e" cm="1">
        <f t="array" ref="E1590">- MEBHYDROLIN NAPADISILATE</f>
        <v>#NAME?</v>
      </c>
      <c r="F1590" t="s">
        <v>7407</v>
      </c>
      <c r="G1590" t="s">
        <v>2241</v>
      </c>
      <c r="H1590" t="s">
        <v>7408</v>
      </c>
      <c r="I1590" t="s">
        <v>7409</v>
      </c>
      <c r="J1590" t="s">
        <v>727</v>
      </c>
      <c r="K1590" t="s">
        <v>7410</v>
      </c>
      <c r="L1590" t="s">
        <v>7411</v>
      </c>
      <c r="M1590" t="s">
        <v>291</v>
      </c>
      <c r="N1590" t="s">
        <v>5038</v>
      </c>
      <c r="O1590" t="s">
        <v>7412</v>
      </c>
      <c r="P1590" t="s">
        <v>7413</v>
      </c>
      <c r="Q1590" t="s">
        <v>7414</v>
      </c>
      <c r="R1590">
        <v>8</v>
      </c>
      <c r="S1590">
        <v>16</v>
      </c>
    </row>
    <row r="1591" spans="1:19" x14ac:dyDescent="0.35">
      <c r="A1591">
        <v>4246</v>
      </c>
      <c r="B1591" t="s">
        <v>7415</v>
      </c>
      <c r="C1591" t="s">
        <v>42</v>
      </c>
      <c r="D1591" t="s">
        <v>7416</v>
      </c>
      <c r="E1591" t="e" cm="1">
        <f t="array" ref="E1591">- BETAMETHASONE</f>
        <v>#NAME?</v>
      </c>
      <c r="F1591" t="s">
        <v>7417</v>
      </c>
      <c r="G1591" t="s">
        <v>6135</v>
      </c>
      <c r="H1591" t="s">
        <v>7418</v>
      </c>
      <c r="I1591" t="s">
        <v>7419</v>
      </c>
      <c r="J1591" t="s">
        <v>945</v>
      </c>
      <c r="K1591" t="s">
        <v>2858</v>
      </c>
      <c r="L1591" t="s">
        <v>7420</v>
      </c>
      <c r="M1591" t="s">
        <v>271</v>
      </c>
      <c r="N1591" t="s">
        <v>1118</v>
      </c>
      <c r="O1591" t="s">
        <v>7064</v>
      </c>
      <c r="P1591" t="s">
        <v>7421</v>
      </c>
      <c r="Q1591" t="s">
        <v>7422</v>
      </c>
      <c r="R1591">
        <v>8</v>
      </c>
      <c r="S1591">
        <v>16</v>
      </c>
    </row>
    <row r="1592" spans="1:19" x14ac:dyDescent="0.35">
      <c r="A1592">
        <v>4228</v>
      </c>
      <c r="B1592" t="s">
        <v>7423</v>
      </c>
      <c r="C1592" t="s">
        <v>42</v>
      </c>
      <c r="D1592" t="s">
        <v>7424</v>
      </c>
      <c r="E1592" t="e" cm="1">
        <f t="array" ref="E1592">- LEVOCETIRIZINE HYDROCHLORIDE</f>
        <v>#NAME?</v>
      </c>
      <c r="F1592" t="s">
        <v>7425</v>
      </c>
      <c r="H1592" t="s">
        <v>269</v>
      </c>
      <c r="I1592" t="s">
        <v>7426</v>
      </c>
      <c r="L1592" t="s">
        <v>270</v>
      </c>
      <c r="M1592" t="s">
        <v>46</v>
      </c>
      <c r="N1592" t="s">
        <v>3619</v>
      </c>
      <c r="O1592" t="s">
        <v>7427</v>
      </c>
      <c r="P1592" t="s">
        <v>7428</v>
      </c>
      <c r="Q1592" t="s">
        <v>7429</v>
      </c>
      <c r="R1592">
        <v>8</v>
      </c>
      <c r="S1592">
        <v>16</v>
      </c>
    </row>
    <row r="1593" spans="1:19" x14ac:dyDescent="0.35">
      <c r="A1593">
        <v>4404</v>
      </c>
      <c r="B1593" t="s">
        <v>7430</v>
      </c>
      <c r="C1593" t="s">
        <v>20</v>
      </c>
      <c r="D1593" t="s">
        <v>7431</v>
      </c>
      <c r="E1593" t="s">
        <v>7432</v>
      </c>
      <c r="F1593" s="1">
        <v>19800</v>
      </c>
      <c r="G1593" t="s">
        <v>7433</v>
      </c>
      <c r="H1593" t="s">
        <v>7434</v>
      </c>
      <c r="I1593" t="s">
        <v>7435</v>
      </c>
      <c r="J1593" t="s">
        <v>1144</v>
      </c>
      <c r="L1593" t="s">
        <v>7436</v>
      </c>
      <c r="N1593" t="s">
        <v>7437</v>
      </c>
      <c r="O1593" t="s">
        <v>7438</v>
      </c>
      <c r="P1593" t="s">
        <v>7437</v>
      </c>
      <c r="Q1593" t="s">
        <v>7439</v>
      </c>
      <c r="R1593">
        <v>8</v>
      </c>
      <c r="S1593">
        <v>16</v>
      </c>
    </row>
    <row r="1594" spans="1:19" x14ac:dyDescent="0.35">
      <c r="A1594">
        <v>4053</v>
      </c>
      <c r="B1594" t="s">
        <v>7440</v>
      </c>
      <c r="C1594" t="s">
        <v>42</v>
      </c>
      <c r="D1594" t="s">
        <v>7441</v>
      </c>
      <c r="E1594" t="e" cm="1">
        <f t="array" ref="E1594">- BETAMETHASONE</f>
        <v>#NAME?</v>
      </c>
      <c r="F1594" t="s">
        <v>7442</v>
      </c>
      <c r="G1594" t="s">
        <v>3970</v>
      </c>
      <c r="H1594" t="s">
        <v>7443</v>
      </c>
      <c r="I1594" t="s">
        <v>7444</v>
      </c>
      <c r="J1594" t="s">
        <v>334</v>
      </c>
      <c r="K1594" t="s">
        <v>7445</v>
      </c>
      <c r="L1594" t="s">
        <v>7446</v>
      </c>
    </row>
    <row r="1595" spans="1:19" x14ac:dyDescent="0.35">
      <c r="A1595">
        <v>4078</v>
      </c>
      <c r="B1595" t="s">
        <v>7447</v>
      </c>
      <c r="C1595" t="s">
        <v>42</v>
      </c>
      <c r="D1595" t="s">
        <v>7448</v>
      </c>
      <c r="E1595" t="e" cm="1">
        <f t="array" ref="E1595">- DEXAMETHASONE</f>
        <v>#NAME?</v>
      </c>
      <c r="F1595" t="s">
        <v>7449</v>
      </c>
      <c r="G1595" t="s">
        <v>5033</v>
      </c>
      <c r="H1595" t="s">
        <v>7450</v>
      </c>
      <c r="I1595" t="s">
        <v>7451</v>
      </c>
      <c r="J1595" t="s">
        <v>727</v>
      </c>
      <c r="K1595" t="s">
        <v>7452</v>
      </c>
      <c r="L1595" t="s">
        <v>7453</v>
      </c>
      <c r="M1595" t="s">
        <v>291</v>
      </c>
      <c r="N1595" t="s">
        <v>3779</v>
      </c>
      <c r="O1595" t="s">
        <v>7454</v>
      </c>
      <c r="P1595" t="s">
        <v>7455</v>
      </c>
      <c r="Q1595" t="s">
        <v>7456</v>
      </c>
      <c r="R1595">
        <v>8</v>
      </c>
      <c r="S1595">
        <v>16</v>
      </c>
    </row>
    <row r="1596" spans="1:19" x14ac:dyDescent="0.35">
      <c r="A1596">
        <v>4226</v>
      </c>
      <c r="B1596" t="s">
        <v>7423</v>
      </c>
      <c r="C1596" t="s">
        <v>42</v>
      </c>
      <c r="D1596" t="s">
        <v>7424</v>
      </c>
      <c r="E1596" t="e" cm="1">
        <f t="array" ref="E1596">- LEVOCETIRIZINE DIHYDROCHLORIDE</f>
        <v>#NAME?</v>
      </c>
      <c r="F1596" t="s">
        <v>7425</v>
      </c>
      <c r="H1596" t="s">
        <v>269</v>
      </c>
      <c r="I1596" t="s">
        <v>7426</v>
      </c>
      <c r="L1596" t="s">
        <v>270</v>
      </c>
      <c r="M1596" t="s">
        <v>46</v>
      </c>
      <c r="N1596" t="s">
        <v>3746</v>
      </c>
      <c r="O1596" t="s">
        <v>7427</v>
      </c>
      <c r="P1596" t="s">
        <v>7428</v>
      </c>
      <c r="Q1596" t="s">
        <v>7457</v>
      </c>
      <c r="R1596">
        <v>8</v>
      </c>
      <c r="S1596">
        <v>16</v>
      </c>
    </row>
    <row r="1597" spans="1:19" x14ac:dyDescent="0.35">
      <c r="A1597">
        <v>4106</v>
      </c>
      <c r="B1597" t="s">
        <v>7458</v>
      </c>
      <c r="C1597" t="s">
        <v>42</v>
      </c>
      <c r="D1597" t="s">
        <v>7459</v>
      </c>
      <c r="E1597" t="e" cm="1">
        <f t="array" ref="E1597">- DESLORATADINE</f>
        <v>#NAME?</v>
      </c>
      <c r="F1597" s="1">
        <v>129100</v>
      </c>
      <c r="G1597" t="s">
        <v>4649</v>
      </c>
      <c r="H1597" t="s">
        <v>7460</v>
      </c>
      <c r="I1597" t="s">
        <v>7461</v>
      </c>
      <c r="J1597" t="s">
        <v>945</v>
      </c>
      <c r="K1597" t="s">
        <v>2726</v>
      </c>
      <c r="L1597" t="s">
        <v>7462</v>
      </c>
      <c r="M1597" t="s">
        <v>271</v>
      </c>
      <c r="N1597" t="s">
        <v>1107</v>
      </c>
      <c r="O1597" t="s">
        <v>7463</v>
      </c>
      <c r="P1597" t="s">
        <v>7464</v>
      </c>
      <c r="Q1597" t="s">
        <v>7465</v>
      </c>
      <c r="R1597">
        <v>8</v>
      </c>
      <c r="S1597">
        <v>16</v>
      </c>
    </row>
    <row r="1598" spans="1:19" x14ac:dyDescent="0.35">
      <c r="A1598">
        <v>4107</v>
      </c>
      <c r="B1598" t="s">
        <v>7458</v>
      </c>
      <c r="C1598" t="s">
        <v>42</v>
      </c>
      <c r="D1598" t="s">
        <v>7459</v>
      </c>
      <c r="E1598" t="e" cm="1">
        <f t="array" ref="E1598">- DESLORATADINE</f>
        <v>#NAME?</v>
      </c>
      <c r="F1598" s="1">
        <v>129100</v>
      </c>
      <c r="G1598" t="s">
        <v>4649</v>
      </c>
      <c r="H1598" t="s">
        <v>7460</v>
      </c>
      <c r="I1598" t="s">
        <v>7461</v>
      </c>
      <c r="J1598" t="s">
        <v>945</v>
      </c>
      <c r="K1598" t="s">
        <v>2726</v>
      </c>
      <c r="L1598" t="s">
        <v>7462</v>
      </c>
      <c r="M1598" t="s">
        <v>271</v>
      </c>
      <c r="N1598" t="s">
        <v>1107</v>
      </c>
      <c r="O1598" t="s">
        <v>7463</v>
      </c>
      <c r="P1598" t="s">
        <v>7464</v>
      </c>
      <c r="Q1598" t="s">
        <v>7465</v>
      </c>
      <c r="R1598">
        <v>8</v>
      </c>
      <c r="S1598">
        <v>16</v>
      </c>
    </row>
    <row r="1599" spans="1:19" x14ac:dyDescent="0.35">
      <c r="A1599">
        <v>4108</v>
      </c>
      <c r="B1599" t="s">
        <v>7458</v>
      </c>
      <c r="C1599" t="s">
        <v>42</v>
      </c>
      <c r="D1599" t="s">
        <v>7459</v>
      </c>
      <c r="E1599" t="e" cm="1">
        <f t="array" ref="E1599">- DESLORATADINE</f>
        <v>#NAME?</v>
      </c>
      <c r="F1599" s="1">
        <v>129100</v>
      </c>
      <c r="G1599" t="s">
        <v>4649</v>
      </c>
      <c r="H1599" t="s">
        <v>7460</v>
      </c>
      <c r="I1599" t="s">
        <v>7461</v>
      </c>
      <c r="J1599" t="s">
        <v>945</v>
      </c>
      <c r="K1599" t="s">
        <v>2726</v>
      </c>
      <c r="L1599" t="s">
        <v>7462</v>
      </c>
      <c r="M1599" t="s">
        <v>271</v>
      </c>
      <c r="N1599" t="s">
        <v>1107</v>
      </c>
      <c r="O1599" t="s">
        <v>7463</v>
      </c>
      <c r="P1599" t="s">
        <v>7464</v>
      </c>
      <c r="Q1599" t="s">
        <v>7465</v>
      </c>
      <c r="R1599">
        <v>8</v>
      </c>
      <c r="S1599">
        <v>16</v>
      </c>
    </row>
    <row r="1600" spans="1:19" x14ac:dyDescent="0.35">
      <c r="A1600">
        <v>4210</v>
      </c>
      <c r="B1600" t="s">
        <v>7466</v>
      </c>
      <c r="C1600" t="s">
        <v>42</v>
      </c>
      <c r="D1600" t="s">
        <v>7467</v>
      </c>
      <c r="E1600" t="e" cm="1">
        <f t="array" ref="E1600">- CYPROHEPTADINE HYDROCHLORIDE</f>
        <v>#NAME?</v>
      </c>
      <c r="F1600" t="s">
        <v>7468</v>
      </c>
      <c r="H1600" t="s">
        <v>7469</v>
      </c>
      <c r="I1600" t="s">
        <v>7470</v>
      </c>
      <c r="J1600" t="s">
        <v>381</v>
      </c>
      <c r="K1600" t="s">
        <v>7471</v>
      </c>
      <c r="L1600" t="s">
        <v>382</v>
      </c>
      <c r="M1600" t="s">
        <v>46</v>
      </c>
      <c r="N1600" t="s">
        <v>1634</v>
      </c>
      <c r="O1600" t="s">
        <v>7472</v>
      </c>
      <c r="P1600" t="s">
        <v>7473</v>
      </c>
      <c r="Q1600" t="s">
        <v>7474</v>
      </c>
      <c r="R1600">
        <v>8</v>
      </c>
      <c r="S1600">
        <v>16</v>
      </c>
    </row>
    <row r="1601" spans="1:19" x14ac:dyDescent="0.35">
      <c r="A1601">
        <v>4132</v>
      </c>
      <c r="B1601" t="s">
        <v>7475</v>
      </c>
      <c r="C1601" t="s">
        <v>42</v>
      </c>
      <c r="D1601" t="s">
        <v>7476</v>
      </c>
      <c r="E1601" t="e" cm="1">
        <f t="array" ref="E1601">- MEBHYDROLIN NAPADISILATE</f>
        <v>#NAME?</v>
      </c>
      <c r="F1601" t="s">
        <v>7477</v>
      </c>
      <c r="G1601" t="s">
        <v>539</v>
      </c>
      <c r="H1601" t="s">
        <v>7408</v>
      </c>
      <c r="I1601" t="s">
        <v>7478</v>
      </c>
      <c r="J1601" t="s">
        <v>7479</v>
      </c>
      <c r="K1601" t="s">
        <v>2858</v>
      </c>
      <c r="L1601" t="s">
        <v>7480</v>
      </c>
      <c r="M1601" t="s">
        <v>46</v>
      </c>
      <c r="N1601" t="s">
        <v>5038</v>
      </c>
      <c r="O1601" t="s">
        <v>7481</v>
      </c>
      <c r="P1601" t="s">
        <v>7482</v>
      </c>
      <c r="Q1601" t="s">
        <v>7483</v>
      </c>
      <c r="R1601">
        <v>8</v>
      </c>
      <c r="S1601">
        <v>16</v>
      </c>
    </row>
    <row r="1602" spans="1:19" x14ac:dyDescent="0.35">
      <c r="A1602">
        <v>4133</v>
      </c>
      <c r="B1602" t="s">
        <v>7475</v>
      </c>
      <c r="C1602" t="s">
        <v>42</v>
      </c>
      <c r="D1602" t="s">
        <v>7476</v>
      </c>
      <c r="E1602" t="e" cm="1">
        <f t="array" ref="E1602">- MEBHYDROLIN NAPADISILATE</f>
        <v>#NAME?</v>
      </c>
      <c r="F1602" t="s">
        <v>7477</v>
      </c>
      <c r="G1602" t="s">
        <v>539</v>
      </c>
      <c r="H1602" t="s">
        <v>7408</v>
      </c>
      <c r="I1602" t="s">
        <v>7478</v>
      </c>
      <c r="J1602" t="s">
        <v>7479</v>
      </c>
      <c r="K1602" t="s">
        <v>2858</v>
      </c>
      <c r="L1602" t="s">
        <v>7480</v>
      </c>
      <c r="M1602" t="s">
        <v>46</v>
      </c>
      <c r="N1602" t="s">
        <v>5038</v>
      </c>
      <c r="O1602" t="s">
        <v>7481</v>
      </c>
      <c r="P1602" t="s">
        <v>7482</v>
      </c>
      <c r="Q1602" t="s">
        <v>7483</v>
      </c>
      <c r="R1602">
        <v>8</v>
      </c>
      <c r="S1602">
        <v>16</v>
      </c>
    </row>
    <row r="1603" spans="1:19" x14ac:dyDescent="0.35">
      <c r="A1603">
        <v>4134</v>
      </c>
      <c r="B1603" t="s">
        <v>7475</v>
      </c>
      <c r="C1603" t="s">
        <v>42</v>
      </c>
      <c r="D1603" t="s">
        <v>7476</v>
      </c>
      <c r="E1603" t="e" cm="1">
        <f t="array" ref="E1603">- MEBHYDROLIN NAPADISILATE</f>
        <v>#NAME?</v>
      </c>
      <c r="F1603" t="s">
        <v>7477</v>
      </c>
      <c r="G1603" t="s">
        <v>539</v>
      </c>
      <c r="H1603" t="s">
        <v>7408</v>
      </c>
      <c r="I1603" t="s">
        <v>7478</v>
      </c>
      <c r="J1603" t="s">
        <v>7479</v>
      </c>
      <c r="K1603" t="s">
        <v>2858</v>
      </c>
      <c r="L1603" t="s">
        <v>7480</v>
      </c>
      <c r="M1603" t="s">
        <v>46</v>
      </c>
      <c r="N1603" t="s">
        <v>5038</v>
      </c>
      <c r="O1603" t="s">
        <v>7481</v>
      </c>
      <c r="P1603" t="s">
        <v>7482</v>
      </c>
      <c r="Q1603" t="s">
        <v>7483</v>
      </c>
      <c r="R1603">
        <v>8</v>
      </c>
      <c r="S1603">
        <v>16</v>
      </c>
    </row>
    <row r="1604" spans="1:19" x14ac:dyDescent="0.35">
      <c r="A1604">
        <v>4154</v>
      </c>
      <c r="B1604" t="s">
        <v>7484</v>
      </c>
      <c r="C1604" t="s">
        <v>42</v>
      </c>
      <c r="D1604" t="s">
        <v>7485</v>
      </c>
      <c r="E1604" t="e" cm="1">
        <f t="array" ref="E1604">- DEXAMETHASONE</f>
        <v>#NAME?</v>
      </c>
      <c r="F1604" t="s">
        <v>7486</v>
      </c>
      <c r="G1604" t="s">
        <v>4545</v>
      </c>
      <c r="H1604" t="s">
        <v>7487</v>
      </c>
      <c r="I1604" t="s">
        <v>7488</v>
      </c>
      <c r="J1604" t="s">
        <v>727</v>
      </c>
      <c r="K1604" t="s">
        <v>7489</v>
      </c>
      <c r="L1604" t="s">
        <v>7490</v>
      </c>
      <c r="M1604" t="s">
        <v>291</v>
      </c>
      <c r="N1604" t="s">
        <v>3779</v>
      </c>
      <c r="O1604" t="s">
        <v>7491</v>
      </c>
      <c r="P1604" t="s">
        <v>7492</v>
      </c>
      <c r="Q1604" t="s">
        <v>7493</v>
      </c>
      <c r="R1604">
        <v>8</v>
      </c>
      <c r="S1604">
        <v>16</v>
      </c>
    </row>
    <row r="1605" spans="1:19" x14ac:dyDescent="0.35">
      <c r="A1605">
        <v>4227</v>
      </c>
      <c r="B1605" t="s">
        <v>7423</v>
      </c>
      <c r="C1605" t="s">
        <v>42</v>
      </c>
      <c r="D1605" t="s">
        <v>7424</v>
      </c>
      <c r="E1605" t="e" cm="1">
        <f t="array" ref="E1605">- LEVOCETIRIZINE DIHYDROCHLORIDE</f>
        <v>#NAME?</v>
      </c>
      <c r="F1605" t="s">
        <v>7425</v>
      </c>
      <c r="H1605" t="s">
        <v>269</v>
      </c>
      <c r="I1605" t="s">
        <v>7426</v>
      </c>
      <c r="L1605" t="s">
        <v>270</v>
      </c>
      <c r="M1605" t="s">
        <v>46</v>
      </c>
      <c r="N1605" t="s">
        <v>3746</v>
      </c>
      <c r="O1605" t="s">
        <v>7427</v>
      </c>
      <c r="P1605" t="s">
        <v>7428</v>
      </c>
      <c r="Q1605" t="s">
        <v>7457</v>
      </c>
      <c r="R1605">
        <v>8</v>
      </c>
      <c r="S1605">
        <v>16</v>
      </c>
    </row>
    <row r="1606" spans="1:19" x14ac:dyDescent="0.35">
      <c r="A1606">
        <v>4862</v>
      </c>
      <c r="B1606" t="s">
        <v>7377</v>
      </c>
      <c r="C1606" t="s">
        <v>42</v>
      </c>
      <c r="D1606" t="s">
        <v>7378</v>
      </c>
      <c r="E1606" t="e" cm="1">
        <f t="array" ref="E1606">- PIRENOXINE</f>
        <v>#NAME?</v>
      </c>
      <c r="F1606" t="s">
        <v>7379</v>
      </c>
      <c r="H1606" t="s">
        <v>7380</v>
      </c>
      <c r="I1606" t="s">
        <v>7381</v>
      </c>
      <c r="J1606" t="s">
        <v>7382</v>
      </c>
      <c r="L1606" t="s">
        <v>321</v>
      </c>
      <c r="M1606" t="s">
        <v>824</v>
      </c>
      <c r="N1606" t="s">
        <v>7383</v>
      </c>
      <c r="O1606" t="s">
        <v>7384</v>
      </c>
      <c r="P1606" t="s">
        <v>7385</v>
      </c>
      <c r="Q1606" t="s">
        <v>7386</v>
      </c>
      <c r="R1606">
        <v>8</v>
      </c>
      <c r="S1606">
        <v>16</v>
      </c>
    </row>
    <row r="1607" spans="1:19" x14ac:dyDescent="0.35">
      <c r="A1607">
        <v>4440</v>
      </c>
      <c r="B1607" t="s">
        <v>7494</v>
      </c>
      <c r="C1607" t="s">
        <v>850</v>
      </c>
      <c r="D1607" t="s">
        <v>7495</v>
      </c>
      <c r="E1607" t="e" cm="1">
        <f t="array" ref="E1607">- Amylmetacresol</f>
        <v>#NAME?</v>
      </c>
      <c r="F1607" t="s">
        <v>7496</v>
      </c>
      <c r="G1607" t="s">
        <v>7497</v>
      </c>
      <c r="H1607" t="s">
        <v>1322</v>
      </c>
      <c r="I1607" t="s">
        <v>7498</v>
      </c>
      <c r="J1607" t="s">
        <v>7499</v>
      </c>
      <c r="M1607" t="s">
        <v>46</v>
      </c>
      <c r="N1607" t="s">
        <v>7500</v>
      </c>
      <c r="O1607" t="s">
        <v>7501</v>
      </c>
      <c r="P1607" t="s">
        <v>7502</v>
      </c>
      <c r="Q1607" t="s">
        <v>7503</v>
      </c>
      <c r="R1607">
        <v>8</v>
      </c>
      <c r="S1607">
        <v>16</v>
      </c>
    </row>
    <row r="1608" spans="1:19" x14ac:dyDescent="0.35">
      <c r="A1608">
        <v>3996</v>
      </c>
      <c r="B1608" t="s">
        <v>7504</v>
      </c>
      <c r="C1608" t="s">
        <v>42</v>
      </c>
      <c r="D1608" t="s">
        <v>7505</v>
      </c>
      <c r="E1608" t="e" cm="1">
        <f t="array" ref="E1608">- LACTULOSE</f>
        <v>#NAME?</v>
      </c>
      <c r="F1608" s="1">
        <v>91800</v>
      </c>
      <c r="G1608" t="s">
        <v>2241</v>
      </c>
      <c r="H1608" t="s">
        <v>7506</v>
      </c>
      <c r="I1608" t="s">
        <v>7507</v>
      </c>
      <c r="J1608" t="s">
        <v>1144</v>
      </c>
      <c r="M1608" t="s">
        <v>271</v>
      </c>
      <c r="N1608" t="s">
        <v>1156</v>
      </c>
      <c r="O1608" t="s">
        <v>7508</v>
      </c>
      <c r="P1608" t="s">
        <v>7509</v>
      </c>
      <c r="Q1608" t="s">
        <v>7510</v>
      </c>
      <c r="R1608">
        <v>8</v>
      </c>
      <c r="S1608">
        <v>16</v>
      </c>
    </row>
    <row r="1609" spans="1:19" x14ac:dyDescent="0.35">
      <c r="A1609">
        <v>4777</v>
      </c>
      <c r="B1609" t="s">
        <v>7511</v>
      </c>
      <c r="C1609" t="s">
        <v>42</v>
      </c>
      <c r="D1609" t="s">
        <v>7512</v>
      </c>
      <c r="E1609" t="e" cm="1">
        <f t="array" ref="E1609">- MOXIFLOXACIN HYDROCHLORIDE</f>
        <v>#NAME?</v>
      </c>
      <c r="F1609" t="s">
        <v>7513</v>
      </c>
      <c r="H1609" t="s">
        <v>7514</v>
      </c>
      <c r="I1609" t="s">
        <v>7515</v>
      </c>
      <c r="J1609" t="s">
        <v>7516</v>
      </c>
      <c r="K1609" t="s">
        <v>3952</v>
      </c>
      <c r="M1609" t="s">
        <v>824</v>
      </c>
      <c r="N1609" t="s">
        <v>1856</v>
      </c>
      <c r="O1609" t="s">
        <v>7517</v>
      </c>
      <c r="P1609" t="s">
        <v>7518</v>
      </c>
      <c r="Q1609" t="s">
        <v>7519</v>
      </c>
      <c r="R1609">
        <v>8</v>
      </c>
      <c r="S1609">
        <v>16</v>
      </c>
    </row>
    <row r="1610" spans="1:19" x14ac:dyDescent="0.35">
      <c r="A1610">
        <v>3905</v>
      </c>
      <c r="B1610" t="s">
        <v>7520</v>
      </c>
      <c r="C1610" t="s">
        <v>42</v>
      </c>
      <c r="D1610" t="s">
        <v>7521</v>
      </c>
      <c r="E1610" t="e" cm="1">
        <f t="array" ref="E1610">- LACTULOSE</f>
        <v>#NAME?</v>
      </c>
      <c r="F1610" t="s">
        <v>7522</v>
      </c>
      <c r="G1610" t="s">
        <v>7523</v>
      </c>
      <c r="H1610" t="s">
        <v>7524</v>
      </c>
      <c r="I1610" t="s">
        <v>7525</v>
      </c>
      <c r="J1610" t="s">
        <v>1144</v>
      </c>
      <c r="K1610" t="s">
        <v>7526</v>
      </c>
      <c r="L1610" t="s">
        <v>7527</v>
      </c>
      <c r="M1610" t="s">
        <v>271</v>
      </c>
      <c r="N1610" t="s">
        <v>1156</v>
      </c>
      <c r="O1610" t="s">
        <v>7508</v>
      </c>
      <c r="P1610" t="s">
        <v>7528</v>
      </c>
      <c r="Q1610" t="s">
        <v>7529</v>
      </c>
      <c r="R1610">
        <v>8</v>
      </c>
      <c r="S1610">
        <v>16</v>
      </c>
    </row>
    <row r="1611" spans="1:19" x14ac:dyDescent="0.35">
      <c r="A1611">
        <v>3906</v>
      </c>
      <c r="B1611" t="s">
        <v>7520</v>
      </c>
      <c r="C1611" t="s">
        <v>42</v>
      </c>
      <c r="D1611" t="s">
        <v>7521</v>
      </c>
      <c r="E1611" t="e" cm="1">
        <f t="array" ref="E1611">- LACTULOSE</f>
        <v>#NAME?</v>
      </c>
      <c r="F1611" t="s">
        <v>7522</v>
      </c>
      <c r="G1611" t="s">
        <v>7523</v>
      </c>
      <c r="H1611" t="s">
        <v>7524</v>
      </c>
      <c r="I1611" t="s">
        <v>7525</v>
      </c>
      <c r="J1611" t="s">
        <v>1144</v>
      </c>
      <c r="K1611" t="s">
        <v>7526</v>
      </c>
      <c r="L1611" t="s">
        <v>7527</v>
      </c>
      <c r="M1611" t="s">
        <v>271</v>
      </c>
      <c r="N1611" t="s">
        <v>1156</v>
      </c>
      <c r="O1611" t="s">
        <v>7508</v>
      </c>
      <c r="P1611" t="s">
        <v>7528</v>
      </c>
      <c r="Q1611" t="s">
        <v>7529</v>
      </c>
      <c r="R1611">
        <v>8</v>
      </c>
      <c r="S1611">
        <v>16</v>
      </c>
    </row>
    <row r="1612" spans="1:19" x14ac:dyDescent="0.35">
      <c r="A1612">
        <v>3907</v>
      </c>
      <c r="B1612" t="s">
        <v>7520</v>
      </c>
      <c r="C1612" t="s">
        <v>42</v>
      </c>
      <c r="D1612" t="s">
        <v>7521</v>
      </c>
      <c r="E1612" t="e" cm="1">
        <f t="array" ref="E1612">- LACTULOSE</f>
        <v>#NAME?</v>
      </c>
      <c r="F1612" t="s">
        <v>7522</v>
      </c>
      <c r="G1612" t="s">
        <v>7523</v>
      </c>
      <c r="H1612" t="s">
        <v>7524</v>
      </c>
      <c r="I1612" t="s">
        <v>7525</v>
      </c>
      <c r="J1612" t="s">
        <v>1144</v>
      </c>
      <c r="K1612" t="s">
        <v>7526</v>
      </c>
      <c r="L1612" t="s">
        <v>7527</v>
      </c>
      <c r="M1612" t="s">
        <v>271</v>
      </c>
      <c r="N1612" t="s">
        <v>1156</v>
      </c>
      <c r="O1612" t="s">
        <v>7508</v>
      </c>
      <c r="P1612" t="s">
        <v>7528</v>
      </c>
      <c r="Q1612" t="s">
        <v>7529</v>
      </c>
      <c r="R1612">
        <v>8</v>
      </c>
      <c r="S1612">
        <v>16</v>
      </c>
    </row>
    <row r="1613" spans="1:19" x14ac:dyDescent="0.35">
      <c r="A1613">
        <v>3908</v>
      </c>
      <c r="B1613" t="s">
        <v>7520</v>
      </c>
      <c r="C1613" t="s">
        <v>42</v>
      </c>
      <c r="D1613" t="s">
        <v>7521</v>
      </c>
      <c r="E1613" t="e" cm="1">
        <f t="array" ref="E1613">- LACTULOSE</f>
        <v>#NAME?</v>
      </c>
      <c r="F1613" t="s">
        <v>7522</v>
      </c>
      <c r="G1613" t="s">
        <v>7523</v>
      </c>
      <c r="H1613" t="s">
        <v>7524</v>
      </c>
      <c r="I1613" t="s">
        <v>7525</v>
      </c>
      <c r="J1613" t="s">
        <v>1144</v>
      </c>
      <c r="K1613" t="s">
        <v>7526</v>
      </c>
      <c r="L1613" t="s">
        <v>7527</v>
      </c>
      <c r="M1613" t="s">
        <v>271</v>
      </c>
      <c r="N1613" t="s">
        <v>1156</v>
      </c>
      <c r="O1613" t="s">
        <v>7508</v>
      </c>
      <c r="P1613" t="s">
        <v>7528</v>
      </c>
      <c r="Q1613" t="s">
        <v>7529</v>
      </c>
      <c r="R1613">
        <v>8</v>
      </c>
      <c r="S1613">
        <v>16</v>
      </c>
    </row>
    <row r="1614" spans="1:19" x14ac:dyDescent="0.35">
      <c r="A1614">
        <v>4769</v>
      </c>
      <c r="B1614" t="s">
        <v>7530</v>
      </c>
      <c r="C1614" t="s">
        <v>42</v>
      </c>
      <c r="D1614" t="s">
        <v>7531</v>
      </c>
      <c r="E1614" t="e" cm="1">
        <f t="array" ref="E1614">- DIQUAFOSOL SODIUM</f>
        <v>#NAME?</v>
      </c>
      <c r="F1614" s="1">
        <v>151000</v>
      </c>
      <c r="G1614" t="s">
        <v>7532</v>
      </c>
      <c r="H1614" t="s">
        <v>7533</v>
      </c>
      <c r="I1614" t="s">
        <v>7534</v>
      </c>
      <c r="J1614" t="s">
        <v>3511</v>
      </c>
      <c r="M1614" t="s">
        <v>824</v>
      </c>
      <c r="N1614" t="s">
        <v>7535</v>
      </c>
      <c r="O1614" t="s">
        <v>7536</v>
      </c>
      <c r="P1614" t="s">
        <v>7537</v>
      </c>
      <c r="Q1614" t="s">
        <v>7538</v>
      </c>
      <c r="R1614">
        <v>8</v>
      </c>
      <c r="S1614">
        <v>16</v>
      </c>
    </row>
    <row r="1615" spans="1:19" x14ac:dyDescent="0.35">
      <c r="A1615">
        <v>4768</v>
      </c>
      <c r="B1615" t="s">
        <v>7530</v>
      </c>
      <c r="C1615" t="s">
        <v>42</v>
      </c>
      <c r="D1615" t="s">
        <v>7531</v>
      </c>
      <c r="E1615" t="e" cm="1">
        <f t="array" ref="E1615">- DIQUAFOSOL SODIUM</f>
        <v>#NAME?</v>
      </c>
      <c r="F1615" s="1">
        <v>151000</v>
      </c>
      <c r="G1615" t="s">
        <v>7532</v>
      </c>
      <c r="H1615" t="s">
        <v>7533</v>
      </c>
      <c r="I1615" t="s">
        <v>7534</v>
      </c>
      <c r="J1615" t="s">
        <v>3511</v>
      </c>
      <c r="M1615" t="s">
        <v>824</v>
      </c>
      <c r="N1615" t="s">
        <v>7535</v>
      </c>
      <c r="O1615" t="s">
        <v>7536</v>
      </c>
      <c r="P1615" t="s">
        <v>7537</v>
      </c>
      <c r="Q1615" t="s">
        <v>7538</v>
      </c>
      <c r="R1615">
        <v>8</v>
      </c>
      <c r="S1615">
        <v>16</v>
      </c>
    </row>
    <row r="1616" spans="1:19" x14ac:dyDescent="0.35">
      <c r="A1616">
        <v>4767</v>
      </c>
      <c r="B1616" t="s">
        <v>7530</v>
      </c>
      <c r="C1616" t="s">
        <v>42</v>
      </c>
      <c r="D1616" t="s">
        <v>7531</v>
      </c>
      <c r="E1616" t="e" cm="1">
        <f t="array" ref="E1616">- DIQUAFOSOL SODIUM</f>
        <v>#NAME?</v>
      </c>
      <c r="F1616" s="1">
        <v>151000</v>
      </c>
      <c r="G1616" t="s">
        <v>7532</v>
      </c>
      <c r="H1616" t="s">
        <v>7533</v>
      </c>
      <c r="I1616" t="s">
        <v>7534</v>
      </c>
      <c r="J1616" t="s">
        <v>3511</v>
      </c>
      <c r="M1616" t="s">
        <v>824</v>
      </c>
      <c r="N1616" t="s">
        <v>7535</v>
      </c>
      <c r="O1616" t="s">
        <v>7536</v>
      </c>
      <c r="P1616" t="s">
        <v>7537</v>
      </c>
      <c r="Q1616" t="s">
        <v>7538</v>
      </c>
      <c r="R1616">
        <v>8</v>
      </c>
      <c r="S1616">
        <v>16</v>
      </c>
    </row>
    <row r="1617" spans="1:19" x14ac:dyDescent="0.35">
      <c r="A1617">
        <v>4766</v>
      </c>
      <c r="B1617" t="s">
        <v>7530</v>
      </c>
      <c r="C1617" t="s">
        <v>42</v>
      </c>
      <c r="D1617" t="s">
        <v>7531</v>
      </c>
      <c r="E1617" t="e" cm="1">
        <f t="array" ref="E1617">- DIQUAFOSOL SODIUM</f>
        <v>#NAME?</v>
      </c>
      <c r="F1617" s="1">
        <v>151000</v>
      </c>
      <c r="G1617" t="s">
        <v>7532</v>
      </c>
      <c r="H1617" t="s">
        <v>7533</v>
      </c>
      <c r="I1617" t="s">
        <v>7534</v>
      </c>
      <c r="J1617" t="s">
        <v>3511</v>
      </c>
      <c r="M1617" t="s">
        <v>824</v>
      </c>
      <c r="N1617" t="s">
        <v>7535</v>
      </c>
      <c r="O1617" t="s">
        <v>7536</v>
      </c>
      <c r="P1617" t="s">
        <v>7537</v>
      </c>
      <c r="Q1617" t="s">
        <v>7538</v>
      </c>
      <c r="R1617">
        <v>8</v>
      </c>
      <c r="S1617">
        <v>16</v>
      </c>
    </row>
    <row r="1618" spans="1:19" x14ac:dyDescent="0.35">
      <c r="A1618">
        <v>4750</v>
      </c>
      <c r="B1618" t="s">
        <v>7539</v>
      </c>
      <c r="C1618" t="s">
        <v>42</v>
      </c>
      <c r="D1618" t="s">
        <v>7540</v>
      </c>
      <c r="E1618" t="e" cm="1">
        <f t="array" ref="E1618">- CHLORAMPHENICOL</f>
        <v>#NAME?</v>
      </c>
      <c r="F1618" t="s">
        <v>7541</v>
      </c>
      <c r="G1618" t="s">
        <v>6213</v>
      </c>
      <c r="H1618" t="s">
        <v>7542</v>
      </c>
      <c r="I1618" t="s">
        <v>7543</v>
      </c>
      <c r="J1618" t="s">
        <v>7544</v>
      </c>
      <c r="K1618" t="s">
        <v>7545</v>
      </c>
      <c r="L1618" t="s">
        <v>7546</v>
      </c>
      <c r="M1618" t="s">
        <v>1029</v>
      </c>
      <c r="N1618" t="s">
        <v>1188</v>
      </c>
      <c r="O1618" t="s">
        <v>7547</v>
      </c>
      <c r="P1618" t="s">
        <v>7548</v>
      </c>
      <c r="Q1618" t="s">
        <v>7549</v>
      </c>
      <c r="R1618">
        <v>8</v>
      </c>
      <c r="S1618">
        <v>16</v>
      </c>
    </row>
    <row r="1619" spans="1:19" x14ac:dyDescent="0.35">
      <c r="A1619">
        <v>4447</v>
      </c>
      <c r="B1619" t="s">
        <v>7550</v>
      </c>
      <c r="C1619" t="s">
        <v>850</v>
      </c>
      <c r="D1619" t="s">
        <v>7551</v>
      </c>
      <c r="E1619" t="e" cm="1">
        <f t="array" ref="E1619">- Amylmetacresol</f>
        <v>#NAME?</v>
      </c>
      <c r="F1619" t="s">
        <v>3688</v>
      </c>
      <c r="G1619" t="s">
        <v>7497</v>
      </c>
      <c r="H1619" t="s">
        <v>1322</v>
      </c>
      <c r="I1619" t="s">
        <v>7552</v>
      </c>
      <c r="J1619" t="s">
        <v>7553</v>
      </c>
      <c r="M1619" t="s">
        <v>46</v>
      </c>
      <c r="N1619" t="s">
        <v>7500</v>
      </c>
      <c r="O1619" t="s">
        <v>7554</v>
      </c>
      <c r="P1619" t="s">
        <v>7555</v>
      </c>
      <c r="Q1619" t="s">
        <v>7556</v>
      </c>
      <c r="R1619">
        <v>8</v>
      </c>
      <c r="S1619">
        <v>16</v>
      </c>
    </row>
    <row r="1620" spans="1:19" x14ac:dyDescent="0.35">
      <c r="A1620">
        <v>4749</v>
      </c>
      <c r="B1620" t="s">
        <v>7557</v>
      </c>
      <c r="C1620" t="s">
        <v>42</v>
      </c>
      <c r="D1620" t="s">
        <v>7558</v>
      </c>
      <c r="E1620" t="e" cm="1">
        <f t="array" ref="E1620">- CHLORAMPHENICOL</f>
        <v>#NAME?</v>
      </c>
      <c r="F1620" t="s">
        <v>7559</v>
      </c>
      <c r="G1620" t="s">
        <v>6213</v>
      </c>
      <c r="H1620" t="s">
        <v>7560</v>
      </c>
      <c r="I1620" t="s">
        <v>7543</v>
      </c>
      <c r="J1620" t="s">
        <v>7561</v>
      </c>
      <c r="K1620" t="s">
        <v>7545</v>
      </c>
      <c r="L1620" t="s">
        <v>7562</v>
      </c>
      <c r="M1620" t="s">
        <v>824</v>
      </c>
      <c r="N1620" t="s">
        <v>1188</v>
      </c>
      <c r="O1620" t="s">
        <v>7547</v>
      </c>
      <c r="P1620" t="s">
        <v>7563</v>
      </c>
      <c r="Q1620" t="s">
        <v>7564</v>
      </c>
      <c r="R1620">
        <v>8</v>
      </c>
      <c r="S1620">
        <v>16</v>
      </c>
    </row>
    <row r="1621" spans="1:19" x14ac:dyDescent="0.35">
      <c r="A1621">
        <v>4740</v>
      </c>
      <c r="B1621" t="s">
        <v>6313</v>
      </c>
      <c r="C1621" t="s">
        <v>42</v>
      </c>
      <c r="D1621" t="s">
        <v>6314</v>
      </c>
      <c r="E1621" t="e" cm="1">
        <f t="array" ref="E1621">- TETRAHYDROZOLINE HYDROCHLORIDE</f>
        <v>#NAME?</v>
      </c>
      <c r="F1621" t="s">
        <v>6315</v>
      </c>
      <c r="H1621" t="s">
        <v>6316</v>
      </c>
      <c r="I1621" t="s">
        <v>6317</v>
      </c>
      <c r="J1621" t="s">
        <v>1647</v>
      </c>
      <c r="K1621" t="s">
        <v>6318</v>
      </c>
      <c r="L1621" t="s">
        <v>321</v>
      </c>
      <c r="M1621" t="s">
        <v>824</v>
      </c>
      <c r="N1621" t="s">
        <v>3512</v>
      </c>
      <c r="O1621" t="s">
        <v>6320</v>
      </c>
      <c r="P1621" t="s">
        <v>6321</v>
      </c>
      <c r="Q1621" t="s">
        <v>7565</v>
      </c>
      <c r="R1621">
        <v>8</v>
      </c>
      <c r="S1621">
        <v>16</v>
      </c>
    </row>
    <row r="1622" spans="1:19" x14ac:dyDescent="0.35">
      <c r="A1622">
        <v>4738</v>
      </c>
      <c r="B1622" t="s">
        <v>6313</v>
      </c>
      <c r="C1622" t="s">
        <v>42</v>
      </c>
      <c r="D1622" t="s">
        <v>6314</v>
      </c>
      <c r="E1622" t="e" cm="1">
        <f t="array" ref="E1622">- TETRAHYDROZOLINE HYDROCHLORIDE</f>
        <v>#NAME?</v>
      </c>
      <c r="F1622" t="s">
        <v>6315</v>
      </c>
      <c r="H1622" t="s">
        <v>6316</v>
      </c>
      <c r="I1622" t="s">
        <v>6317</v>
      </c>
      <c r="J1622" t="s">
        <v>1647</v>
      </c>
      <c r="K1622" t="s">
        <v>6318</v>
      </c>
      <c r="L1622" t="s">
        <v>321</v>
      </c>
      <c r="M1622" t="s">
        <v>824</v>
      </c>
      <c r="N1622" t="s">
        <v>3512</v>
      </c>
      <c r="O1622" t="s">
        <v>6320</v>
      </c>
      <c r="P1622" t="s">
        <v>6321</v>
      </c>
      <c r="Q1622" t="s">
        <v>7565</v>
      </c>
      <c r="R1622">
        <v>8</v>
      </c>
      <c r="S1622">
        <v>16</v>
      </c>
    </row>
    <row r="1623" spans="1:19" x14ac:dyDescent="0.35">
      <c r="A1623">
        <v>4688</v>
      </c>
      <c r="B1623" t="s">
        <v>7566</v>
      </c>
      <c r="C1623" t="s">
        <v>42</v>
      </c>
      <c r="D1623" t="s">
        <v>7567</v>
      </c>
      <c r="E1623" t="e" cm="1">
        <f t="array" ref="E1623">- NATAMYCIN</f>
        <v>#NAME?</v>
      </c>
      <c r="F1623" t="s">
        <v>7568</v>
      </c>
      <c r="G1623" t="s">
        <v>7569</v>
      </c>
      <c r="H1623" t="s">
        <v>7570</v>
      </c>
      <c r="I1623" t="s">
        <v>7571</v>
      </c>
      <c r="J1623" t="s">
        <v>7572</v>
      </c>
      <c r="L1623" t="s">
        <v>270</v>
      </c>
      <c r="M1623" t="s">
        <v>824</v>
      </c>
      <c r="N1623" t="s">
        <v>7573</v>
      </c>
      <c r="O1623" t="s">
        <v>7574</v>
      </c>
      <c r="P1623" t="s">
        <v>7575</v>
      </c>
      <c r="Q1623" t="s">
        <v>7576</v>
      </c>
      <c r="R1623">
        <v>8</v>
      </c>
      <c r="S1623">
        <v>16</v>
      </c>
    </row>
    <row r="1624" spans="1:19" x14ac:dyDescent="0.35">
      <c r="A1624">
        <v>4687</v>
      </c>
      <c r="B1624" t="s">
        <v>7566</v>
      </c>
      <c r="C1624" t="s">
        <v>42</v>
      </c>
      <c r="D1624" t="s">
        <v>7567</v>
      </c>
      <c r="E1624" t="e" cm="1">
        <f t="array" ref="E1624">- NATAMYCIN</f>
        <v>#NAME?</v>
      </c>
      <c r="F1624" t="s">
        <v>7568</v>
      </c>
      <c r="G1624" t="s">
        <v>7569</v>
      </c>
      <c r="H1624" t="s">
        <v>7570</v>
      </c>
      <c r="I1624" t="s">
        <v>7571</v>
      </c>
      <c r="J1624" t="s">
        <v>7572</v>
      </c>
      <c r="L1624" t="s">
        <v>270</v>
      </c>
      <c r="M1624" t="s">
        <v>824</v>
      </c>
      <c r="N1624" t="s">
        <v>7573</v>
      </c>
      <c r="O1624" t="s">
        <v>7574</v>
      </c>
      <c r="P1624" t="s">
        <v>7575</v>
      </c>
      <c r="Q1624" t="s">
        <v>7576</v>
      </c>
      <c r="R1624">
        <v>8</v>
      </c>
      <c r="S1624">
        <v>16</v>
      </c>
    </row>
    <row r="1625" spans="1:19" x14ac:dyDescent="0.35">
      <c r="A1625">
        <v>4686</v>
      </c>
      <c r="B1625" t="s">
        <v>7566</v>
      </c>
      <c r="C1625" t="s">
        <v>42</v>
      </c>
      <c r="D1625" t="s">
        <v>7567</v>
      </c>
      <c r="E1625" t="e" cm="1">
        <f t="array" ref="E1625">- NATAMYCIN</f>
        <v>#NAME?</v>
      </c>
      <c r="F1625" t="s">
        <v>7568</v>
      </c>
      <c r="G1625" t="s">
        <v>7569</v>
      </c>
      <c r="H1625" t="s">
        <v>7570</v>
      </c>
      <c r="I1625" t="s">
        <v>7571</v>
      </c>
      <c r="J1625" t="s">
        <v>7572</v>
      </c>
      <c r="L1625" t="s">
        <v>270</v>
      </c>
      <c r="M1625" t="s">
        <v>824</v>
      </c>
      <c r="N1625" t="s">
        <v>7573</v>
      </c>
      <c r="O1625" t="s">
        <v>7574</v>
      </c>
      <c r="P1625" t="s">
        <v>7575</v>
      </c>
      <c r="Q1625" t="s">
        <v>7576</v>
      </c>
      <c r="R1625">
        <v>8</v>
      </c>
      <c r="S1625">
        <v>16</v>
      </c>
    </row>
    <row r="1626" spans="1:19" x14ac:dyDescent="0.35">
      <c r="A1626">
        <v>4519</v>
      </c>
      <c r="B1626" t="s">
        <v>6330</v>
      </c>
      <c r="C1626" t="s">
        <v>42</v>
      </c>
      <c r="D1626" t="s">
        <v>6331</v>
      </c>
      <c r="E1626" t="e" cm="1">
        <f t="array" ref="E1626">- OXYMETAZOLINE HYDROCHLORIDE</f>
        <v>#NAME?</v>
      </c>
      <c r="F1626" t="s">
        <v>6332</v>
      </c>
      <c r="H1626" t="s">
        <v>6333</v>
      </c>
      <c r="I1626" t="s">
        <v>6334</v>
      </c>
      <c r="J1626" t="s">
        <v>6335</v>
      </c>
      <c r="L1626" t="s">
        <v>2726</v>
      </c>
      <c r="M1626" t="s">
        <v>824</v>
      </c>
      <c r="N1626" t="s">
        <v>7577</v>
      </c>
      <c r="O1626" t="s">
        <v>6337</v>
      </c>
      <c r="P1626" t="s">
        <v>6338</v>
      </c>
      <c r="Q1626" t="s">
        <v>7578</v>
      </c>
      <c r="R1626">
        <v>8</v>
      </c>
      <c r="S1626">
        <v>16</v>
      </c>
    </row>
    <row r="1627" spans="1:19" x14ac:dyDescent="0.35">
      <c r="A1627">
        <v>4518</v>
      </c>
      <c r="B1627" t="s">
        <v>6330</v>
      </c>
      <c r="C1627" t="s">
        <v>42</v>
      </c>
      <c r="D1627" t="s">
        <v>6331</v>
      </c>
      <c r="E1627" t="e" cm="1">
        <f t="array" ref="E1627">- OXYMETAZOLINE HYDROCHLORIDE</f>
        <v>#NAME?</v>
      </c>
      <c r="F1627" t="s">
        <v>6332</v>
      </c>
      <c r="H1627" t="s">
        <v>6333</v>
      </c>
      <c r="I1627" t="s">
        <v>6334</v>
      </c>
      <c r="J1627" t="s">
        <v>6335</v>
      </c>
      <c r="L1627" t="s">
        <v>2726</v>
      </c>
      <c r="M1627" t="s">
        <v>824</v>
      </c>
      <c r="N1627" t="s">
        <v>7577</v>
      </c>
      <c r="O1627" t="s">
        <v>6337</v>
      </c>
      <c r="P1627" t="s">
        <v>6338</v>
      </c>
      <c r="Q1627" t="s">
        <v>7578</v>
      </c>
      <c r="R1627">
        <v>8</v>
      </c>
      <c r="S1627">
        <v>16</v>
      </c>
    </row>
    <row r="1628" spans="1:19" x14ac:dyDescent="0.35">
      <c r="A1628">
        <v>4517</v>
      </c>
      <c r="B1628" t="s">
        <v>6330</v>
      </c>
      <c r="C1628" t="s">
        <v>42</v>
      </c>
      <c r="D1628" t="s">
        <v>6331</v>
      </c>
      <c r="E1628" t="e" cm="1">
        <f t="array" ref="E1628">- OXYMETAZOLINE HYDROCHLORIDE</f>
        <v>#NAME?</v>
      </c>
      <c r="F1628" t="s">
        <v>6332</v>
      </c>
      <c r="H1628" t="s">
        <v>6333</v>
      </c>
      <c r="I1628" t="s">
        <v>6334</v>
      </c>
      <c r="J1628" t="s">
        <v>6335</v>
      </c>
      <c r="L1628" t="s">
        <v>2726</v>
      </c>
      <c r="M1628" t="s">
        <v>824</v>
      </c>
      <c r="N1628" t="s">
        <v>7577</v>
      </c>
      <c r="O1628" t="s">
        <v>6337</v>
      </c>
      <c r="P1628" t="s">
        <v>6338</v>
      </c>
      <c r="Q1628" t="s">
        <v>7578</v>
      </c>
      <c r="R1628">
        <v>8</v>
      </c>
      <c r="S1628">
        <v>16</v>
      </c>
    </row>
    <row r="1629" spans="1:19" x14ac:dyDescent="0.35">
      <c r="A1629">
        <v>3993</v>
      </c>
      <c r="B1629" t="s">
        <v>7579</v>
      </c>
      <c r="C1629" t="s">
        <v>42</v>
      </c>
      <c r="D1629" t="s">
        <v>7580</v>
      </c>
      <c r="E1629" t="e" cm="1">
        <f t="array" ref="E1629">- LACTULOSE</f>
        <v>#NAME?</v>
      </c>
      <c r="F1629" t="s">
        <v>7581</v>
      </c>
      <c r="H1629" t="s">
        <v>7582</v>
      </c>
      <c r="I1629" t="s">
        <v>7583</v>
      </c>
      <c r="J1629" t="s">
        <v>7584</v>
      </c>
      <c r="L1629" t="s">
        <v>270</v>
      </c>
      <c r="M1629" t="s">
        <v>271</v>
      </c>
      <c r="N1629" t="s">
        <v>1156</v>
      </c>
      <c r="O1629" t="s">
        <v>7585</v>
      </c>
      <c r="P1629" t="s">
        <v>7586</v>
      </c>
      <c r="Q1629" t="s">
        <v>7587</v>
      </c>
      <c r="R1629">
        <v>8</v>
      </c>
      <c r="S1629">
        <v>16</v>
      </c>
    </row>
    <row r="1630" spans="1:19" x14ac:dyDescent="0.35">
      <c r="A1630">
        <v>3994</v>
      </c>
      <c r="B1630" t="s">
        <v>7579</v>
      </c>
      <c r="C1630" t="s">
        <v>42</v>
      </c>
      <c r="D1630" t="s">
        <v>7580</v>
      </c>
      <c r="E1630" t="e" cm="1">
        <f t="array" ref="E1630">- LACTULOSE</f>
        <v>#NAME?</v>
      </c>
      <c r="F1630" t="s">
        <v>7581</v>
      </c>
      <c r="H1630" t="s">
        <v>7582</v>
      </c>
      <c r="I1630" t="s">
        <v>7583</v>
      </c>
      <c r="J1630" t="s">
        <v>7584</v>
      </c>
      <c r="L1630" t="s">
        <v>270</v>
      </c>
      <c r="M1630" t="s">
        <v>271</v>
      </c>
      <c r="N1630" t="s">
        <v>1156</v>
      </c>
      <c r="O1630" t="s">
        <v>7585</v>
      </c>
      <c r="P1630" t="s">
        <v>7586</v>
      </c>
      <c r="Q1630" t="s">
        <v>7587</v>
      </c>
      <c r="R1630">
        <v>8</v>
      </c>
      <c r="S1630">
        <v>16</v>
      </c>
    </row>
    <row r="1631" spans="1:19" x14ac:dyDescent="0.35">
      <c r="A1631">
        <v>4748</v>
      </c>
      <c r="B1631" t="s">
        <v>7557</v>
      </c>
      <c r="C1631" t="s">
        <v>42</v>
      </c>
      <c r="D1631" t="s">
        <v>7558</v>
      </c>
      <c r="E1631" t="e" cm="1">
        <f t="array" ref="E1631">- CHLORAMPHENICOL</f>
        <v>#NAME?</v>
      </c>
      <c r="F1631" t="s">
        <v>7559</v>
      </c>
      <c r="G1631" t="s">
        <v>6213</v>
      </c>
      <c r="H1631" t="s">
        <v>7560</v>
      </c>
      <c r="I1631" t="s">
        <v>7543</v>
      </c>
      <c r="J1631" t="s">
        <v>7561</v>
      </c>
      <c r="K1631" t="s">
        <v>7545</v>
      </c>
      <c r="L1631" t="s">
        <v>7562</v>
      </c>
      <c r="M1631" t="s">
        <v>824</v>
      </c>
      <c r="N1631" t="s">
        <v>1188</v>
      </c>
      <c r="O1631" t="s">
        <v>7547</v>
      </c>
      <c r="P1631" t="s">
        <v>7563</v>
      </c>
      <c r="Q1631" t="s">
        <v>7564</v>
      </c>
      <c r="R1631">
        <v>8</v>
      </c>
      <c r="S1631">
        <v>16</v>
      </c>
    </row>
    <row r="1632" spans="1:19" x14ac:dyDescent="0.35">
      <c r="A1632">
        <v>6313</v>
      </c>
      <c r="B1632" t="s">
        <v>7588</v>
      </c>
      <c r="C1632" t="s">
        <v>42</v>
      </c>
      <c r="D1632" t="s">
        <v>7589</v>
      </c>
      <c r="E1632" t="e" cm="1">
        <f t="array" ref="E1632">- ISONIAZID</f>
        <v>#NAME?</v>
      </c>
      <c r="F1632" t="s">
        <v>7590</v>
      </c>
      <c r="G1632" t="s">
        <v>7591</v>
      </c>
      <c r="H1632" t="s">
        <v>7592</v>
      </c>
    </row>
    <row r="1633" spans="1:19" x14ac:dyDescent="0.35">
      <c r="A1633">
        <v>6333</v>
      </c>
      <c r="B1633" t="s">
        <v>7593</v>
      </c>
      <c r="C1633" t="s">
        <v>42</v>
      </c>
      <c r="D1633" t="s">
        <v>7594</v>
      </c>
      <c r="E1633" t="e" cm="1">
        <f t="array" ref="E1633">- ISONIAZID</f>
        <v>#NAME?</v>
      </c>
      <c r="F1633" t="s">
        <v>7595</v>
      </c>
      <c r="G1633" t="s">
        <v>7596</v>
      </c>
      <c r="H1633" t="s">
        <v>7597</v>
      </c>
      <c r="I1633" t="s">
        <v>7598</v>
      </c>
      <c r="J1633" t="s">
        <v>3298</v>
      </c>
      <c r="L1633" t="s">
        <v>7599</v>
      </c>
      <c r="M1633" t="s">
        <v>271</v>
      </c>
      <c r="N1633" t="s">
        <v>1699</v>
      </c>
      <c r="O1633" t="s">
        <v>7600</v>
      </c>
      <c r="P1633" t="s">
        <v>7601</v>
      </c>
      <c r="Q1633" t="s">
        <v>7602</v>
      </c>
      <c r="R1633">
        <v>8</v>
      </c>
      <c r="S1633">
        <v>16</v>
      </c>
    </row>
    <row r="1634" spans="1:19" x14ac:dyDescent="0.35">
      <c r="A1634">
        <v>6334</v>
      </c>
      <c r="B1634" t="s">
        <v>7593</v>
      </c>
      <c r="C1634" t="s">
        <v>42</v>
      </c>
      <c r="D1634" t="s">
        <v>7594</v>
      </c>
      <c r="E1634" t="e" cm="1">
        <f t="array" ref="E1634">- ISONIAZID</f>
        <v>#NAME?</v>
      </c>
      <c r="F1634" t="s">
        <v>7595</v>
      </c>
      <c r="G1634" t="s">
        <v>7596</v>
      </c>
      <c r="H1634" t="s">
        <v>7597</v>
      </c>
      <c r="I1634" t="s">
        <v>7598</v>
      </c>
      <c r="J1634" t="s">
        <v>3298</v>
      </c>
      <c r="L1634" t="s">
        <v>7599</v>
      </c>
      <c r="M1634" t="s">
        <v>271</v>
      </c>
      <c r="N1634" t="s">
        <v>1699</v>
      </c>
      <c r="O1634" t="s">
        <v>7600</v>
      </c>
      <c r="P1634" t="s">
        <v>7601</v>
      </c>
      <c r="Q1634" t="s">
        <v>7602</v>
      </c>
      <c r="R1634">
        <v>8</v>
      </c>
      <c r="S1634">
        <v>16</v>
      </c>
    </row>
    <row r="1635" spans="1:19" x14ac:dyDescent="0.35">
      <c r="A1635">
        <v>7550</v>
      </c>
      <c r="B1635" t="s">
        <v>673</v>
      </c>
      <c r="C1635" t="s">
        <v>42</v>
      </c>
      <c r="D1635" t="s">
        <v>674</v>
      </c>
      <c r="E1635" t="e" cm="1">
        <f t="array" ref="E1635">- PLACENTA EXTRACT. CYANOCOBALAMIN. TRIBASIC CALCIUM PHOSPHATE</f>
        <v>#NAME?</v>
      </c>
      <c r="F1635" t="s">
        <v>675</v>
      </c>
      <c r="H1635" t="s">
        <v>319</v>
      </c>
      <c r="J1635" t="s">
        <v>676</v>
      </c>
      <c r="L1635" t="s">
        <v>321</v>
      </c>
      <c r="M1635" t="s">
        <v>46</v>
      </c>
      <c r="N1635" t="s">
        <v>7603</v>
      </c>
      <c r="P1635" t="s">
        <v>678</v>
      </c>
      <c r="Q1635" t="s">
        <v>7604</v>
      </c>
      <c r="R1635">
        <v>8</v>
      </c>
      <c r="S1635">
        <v>16</v>
      </c>
    </row>
    <row r="1636" spans="1:19" x14ac:dyDescent="0.35">
      <c r="A1636">
        <v>7541</v>
      </c>
      <c r="B1636" t="s">
        <v>7605</v>
      </c>
      <c r="C1636" t="s">
        <v>20</v>
      </c>
      <c r="D1636" t="s">
        <v>7606</v>
      </c>
      <c r="E1636" t="s">
        <v>7607</v>
      </c>
      <c r="F1636" t="s">
        <v>7608</v>
      </c>
      <c r="G1636" t="s">
        <v>2241</v>
      </c>
      <c r="H1636" t="s">
        <v>7609</v>
      </c>
      <c r="I1636" t="s">
        <v>5925</v>
      </c>
      <c r="J1636" t="s">
        <v>70</v>
      </c>
      <c r="L1636" t="s">
        <v>6644</v>
      </c>
      <c r="M1636" t="s">
        <v>38</v>
      </c>
      <c r="N1636" t="s">
        <v>7610</v>
      </c>
      <c r="O1636" t="s">
        <v>4668</v>
      </c>
      <c r="P1636" t="s">
        <v>7611</v>
      </c>
      <c r="Q1636" t="s">
        <v>7612</v>
      </c>
      <c r="R1636">
        <v>8</v>
      </c>
      <c r="S1636">
        <v>16</v>
      </c>
    </row>
    <row r="1637" spans="1:19" x14ac:dyDescent="0.35">
      <c r="A1637">
        <v>7475</v>
      </c>
      <c r="B1637" t="s">
        <v>7613</v>
      </c>
      <c r="C1637" t="s">
        <v>20</v>
      </c>
      <c r="D1637" t="s">
        <v>7614</v>
      </c>
      <c r="E1637" t="s">
        <v>7615</v>
      </c>
      <c r="F1637" s="1">
        <v>51700</v>
      </c>
      <c r="G1637" t="s">
        <v>2241</v>
      </c>
      <c r="H1637" t="s">
        <v>7616</v>
      </c>
      <c r="I1637" t="s">
        <v>7617</v>
      </c>
      <c r="J1637" t="s">
        <v>4547</v>
      </c>
      <c r="M1637" t="s">
        <v>38</v>
      </c>
      <c r="N1637" t="s">
        <v>7618</v>
      </c>
      <c r="O1637" t="s">
        <v>7619</v>
      </c>
      <c r="P1637" t="s">
        <v>7618</v>
      </c>
      <c r="Q1637" t="s">
        <v>7620</v>
      </c>
      <c r="R1637">
        <v>8</v>
      </c>
      <c r="S1637">
        <v>16</v>
      </c>
    </row>
    <row r="1638" spans="1:19" x14ac:dyDescent="0.35">
      <c r="A1638">
        <v>7463</v>
      </c>
      <c r="B1638" t="s">
        <v>7621</v>
      </c>
      <c r="C1638" t="s">
        <v>20</v>
      </c>
      <c r="D1638" t="s">
        <v>7622</v>
      </c>
      <c r="E1638" t="s">
        <v>7623</v>
      </c>
      <c r="F1638" s="1">
        <v>232300</v>
      </c>
      <c r="G1638" t="s">
        <v>5698</v>
      </c>
      <c r="H1638" t="s">
        <v>5699</v>
      </c>
      <c r="I1638" t="s">
        <v>5700</v>
      </c>
      <c r="J1638" t="s">
        <v>1603</v>
      </c>
      <c r="M1638" t="s">
        <v>38</v>
      </c>
      <c r="N1638" t="s">
        <v>7624</v>
      </c>
      <c r="O1638" t="s">
        <v>5703</v>
      </c>
      <c r="P1638" t="s">
        <v>5702</v>
      </c>
      <c r="Q1638" t="s">
        <v>7625</v>
      </c>
      <c r="R1638">
        <v>8</v>
      </c>
      <c r="S1638">
        <v>16</v>
      </c>
    </row>
    <row r="1639" spans="1:19" x14ac:dyDescent="0.35">
      <c r="A1639">
        <v>7450</v>
      </c>
      <c r="B1639" t="s">
        <v>7626</v>
      </c>
      <c r="C1639" t="s">
        <v>20</v>
      </c>
      <c r="D1639" t="s">
        <v>7627</v>
      </c>
      <c r="E1639" t="s">
        <v>7628</v>
      </c>
      <c r="F1639" t="s">
        <v>7629</v>
      </c>
      <c r="G1639" t="s">
        <v>2241</v>
      </c>
      <c r="H1639" t="s">
        <v>2961</v>
      </c>
      <c r="I1639" t="s">
        <v>7630</v>
      </c>
      <c r="L1639" t="s">
        <v>7631</v>
      </c>
      <c r="M1639" t="s">
        <v>38</v>
      </c>
      <c r="N1639" t="s">
        <v>7632</v>
      </c>
      <c r="O1639" t="s">
        <v>7633</v>
      </c>
      <c r="P1639" t="s">
        <v>7632</v>
      </c>
      <c r="Q1639" t="s">
        <v>7634</v>
      </c>
      <c r="R1639">
        <v>8</v>
      </c>
      <c r="S1639">
        <v>16</v>
      </c>
    </row>
    <row r="1640" spans="1:19" x14ac:dyDescent="0.35">
      <c r="A1640">
        <v>2945</v>
      </c>
      <c r="B1640" t="s">
        <v>7635</v>
      </c>
      <c r="C1640" t="s">
        <v>42</v>
      </c>
      <c r="D1640" t="s">
        <v>7636</v>
      </c>
      <c r="E1640" t="e" cm="1">
        <f t="array" ref="E1640">- PARACETAMOL</f>
        <v>#NAME?</v>
      </c>
      <c r="F1640" t="s">
        <v>7637</v>
      </c>
      <c r="G1640" t="s">
        <v>60</v>
      </c>
      <c r="H1640" t="s">
        <v>7638</v>
      </c>
      <c r="I1640" t="s">
        <v>7639</v>
      </c>
      <c r="J1640" t="s">
        <v>743</v>
      </c>
      <c r="K1640" t="s">
        <v>7640</v>
      </c>
      <c r="L1640" t="s">
        <v>7641</v>
      </c>
      <c r="M1640" t="s">
        <v>824</v>
      </c>
      <c r="N1640" t="s">
        <v>584</v>
      </c>
      <c r="O1640" t="s">
        <v>7642</v>
      </c>
      <c r="P1640" t="s">
        <v>7643</v>
      </c>
      <c r="Q1640" t="s">
        <v>7644</v>
      </c>
      <c r="R1640">
        <v>8</v>
      </c>
      <c r="S1640">
        <v>16</v>
      </c>
    </row>
    <row r="1641" spans="1:19" x14ac:dyDescent="0.35">
      <c r="A1641">
        <v>7428</v>
      </c>
      <c r="B1641" t="s">
        <v>7645</v>
      </c>
      <c r="C1641" t="s">
        <v>42</v>
      </c>
      <c r="D1641" t="s">
        <v>7646</v>
      </c>
      <c r="E1641" t="e" cm="1">
        <f t="array" ref="E1641">- CYANOCOBALAMIN</f>
        <v>#NAME?</v>
      </c>
      <c r="F1641" t="s">
        <v>7647</v>
      </c>
      <c r="G1641" t="s">
        <v>7648</v>
      </c>
      <c r="H1641" t="s">
        <v>7649</v>
      </c>
      <c r="I1641" t="s">
        <v>7650</v>
      </c>
      <c r="J1641" t="s">
        <v>7651</v>
      </c>
      <c r="M1641" t="s">
        <v>291</v>
      </c>
      <c r="N1641" t="s">
        <v>677</v>
      </c>
      <c r="O1641" t="s">
        <v>7652</v>
      </c>
      <c r="P1641" t="s">
        <v>7653</v>
      </c>
      <c r="Q1641" t="s">
        <v>7654</v>
      </c>
      <c r="R1641">
        <v>8</v>
      </c>
      <c r="S1641">
        <v>16</v>
      </c>
    </row>
    <row r="1642" spans="1:19" x14ac:dyDescent="0.35">
      <c r="A1642">
        <v>7416</v>
      </c>
      <c r="B1642" t="s">
        <v>7655</v>
      </c>
      <c r="C1642" t="s">
        <v>42</v>
      </c>
      <c r="D1642" t="s">
        <v>7656</v>
      </c>
      <c r="E1642" t="e" cm="1">
        <f t="array" ref="E1642">- CYANOCOBALAMIN</f>
        <v>#NAME?</v>
      </c>
      <c r="F1642" t="s">
        <v>1957</v>
      </c>
      <c r="G1642" t="s">
        <v>7657</v>
      </c>
      <c r="H1642" t="s">
        <v>7658</v>
      </c>
      <c r="I1642" t="s">
        <v>7659</v>
      </c>
      <c r="J1642" t="s">
        <v>7660</v>
      </c>
      <c r="L1642" t="s">
        <v>7661</v>
      </c>
      <c r="M1642" t="s">
        <v>291</v>
      </c>
      <c r="N1642" t="s">
        <v>677</v>
      </c>
      <c r="O1642" t="s">
        <v>7662</v>
      </c>
      <c r="P1642" t="s">
        <v>7663</v>
      </c>
      <c r="Q1642" t="s">
        <v>7664</v>
      </c>
      <c r="R1642">
        <v>8</v>
      </c>
      <c r="S1642">
        <v>16</v>
      </c>
    </row>
    <row r="1643" spans="1:19" x14ac:dyDescent="0.35">
      <c r="A1643">
        <v>2971</v>
      </c>
      <c r="B1643" t="s">
        <v>7665</v>
      </c>
      <c r="C1643" t="s">
        <v>42</v>
      </c>
      <c r="D1643" t="s">
        <v>7666</v>
      </c>
      <c r="E1643" t="e" cm="1">
        <f t="array" ref="E1643">- PARACETAMOL</f>
        <v>#NAME?</v>
      </c>
      <c r="F1643" s="1">
        <v>73600</v>
      </c>
      <c r="G1643" t="s">
        <v>2241</v>
      </c>
      <c r="H1643" t="s">
        <v>7667</v>
      </c>
      <c r="I1643" t="s">
        <v>7668</v>
      </c>
      <c r="J1643" t="s">
        <v>743</v>
      </c>
      <c r="K1643" t="s">
        <v>7669</v>
      </c>
      <c r="L1643" t="s">
        <v>7670</v>
      </c>
      <c r="M1643" t="s">
        <v>824</v>
      </c>
      <c r="N1643" t="s">
        <v>584</v>
      </c>
      <c r="O1643" t="s">
        <v>7671</v>
      </c>
      <c r="P1643" t="s">
        <v>7672</v>
      </c>
      <c r="Q1643" t="s">
        <v>7673</v>
      </c>
      <c r="R1643">
        <v>8</v>
      </c>
      <c r="S1643">
        <v>16</v>
      </c>
    </row>
    <row r="1644" spans="1:19" x14ac:dyDescent="0.35">
      <c r="A1644">
        <v>2972</v>
      </c>
      <c r="B1644" t="s">
        <v>7665</v>
      </c>
      <c r="C1644" t="s">
        <v>42</v>
      </c>
      <c r="D1644" t="s">
        <v>7666</v>
      </c>
      <c r="E1644" t="e" cm="1">
        <f t="array" ref="E1644">- PARACETAMOL</f>
        <v>#NAME?</v>
      </c>
      <c r="F1644" s="1">
        <v>73600</v>
      </c>
      <c r="G1644" t="s">
        <v>2241</v>
      </c>
      <c r="H1644" t="s">
        <v>7667</v>
      </c>
      <c r="I1644" t="s">
        <v>7668</v>
      </c>
      <c r="J1644" t="s">
        <v>743</v>
      </c>
      <c r="K1644" t="s">
        <v>7669</v>
      </c>
      <c r="L1644" t="s">
        <v>7670</v>
      </c>
      <c r="M1644" t="s">
        <v>824</v>
      </c>
      <c r="N1644" t="s">
        <v>584</v>
      </c>
      <c r="O1644" t="s">
        <v>7671</v>
      </c>
      <c r="P1644" t="s">
        <v>7672</v>
      </c>
      <c r="Q1644" t="s">
        <v>7673</v>
      </c>
      <c r="R1644">
        <v>8</v>
      </c>
      <c r="S1644">
        <v>16</v>
      </c>
    </row>
    <row r="1645" spans="1:19" x14ac:dyDescent="0.35">
      <c r="A1645">
        <v>7635</v>
      </c>
      <c r="B1645" t="s">
        <v>7674</v>
      </c>
      <c r="C1645" t="s">
        <v>20</v>
      </c>
      <c r="D1645" t="s">
        <v>7675</v>
      </c>
      <c r="E1645" t="s">
        <v>7676</v>
      </c>
      <c r="F1645" t="s">
        <v>7677</v>
      </c>
      <c r="G1645" t="s">
        <v>7678</v>
      </c>
      <c r="H1645" t="s">
        <v>7679</v>
      </c>
      <c r="I1645" t="s">
        <v>7680</v>
      </c>
      <c r="J1645" t="s">
        <v>7681</v>
      </c>
      <c r="L1645" t="s">
        <v>7682</v>
      </c>
      <c r="M1645" t="s">
        <v>818</v>
      </c>
      <c r="N1645" t="s">
        <v>7683</v>
      </c>
      <c r="O1645" t="s">
        <v>7684</v>
      </c>
      <c r="P1645" t="s">
        <v>7685</v>
      </c>
      <c r="Q1645" t="s">
        <v>7686</v>
      </c>
      <c r="R1645">
        <v>8</v>
      </c>
      <c r="S1645">
        <v>16</v>
      </c>
    </row>
    <row r="1646" spans="1:19" x14ac:dyDescent="0.35">
      <c r="A1646">
        <v>7332</v>
      </c>
      <c r="B1646" t="s">
        <v>5420</v>
      </c>
      <c r="C1646" t="s">
        <v>42</v>
      </c>
      <c r="D1646" t="s">
        <v>5421</v>
      </c>
      <c r="E1646" t="e" cm="1">
        <f t="array" ref="E1646">- LEVONORGESTREL. ETHINYLESTRADIOL</f>
        <v>#NAME?</v>
      </c>
      <c r="F1646" t="s">
        <v>5422</v>
      </c>
      <c r="H1646" t="s">
        <v>5423</v>
      </c>
      <c r="I1646" t="s">
        <v>5424</v>
      </c>
      <c r="J1646" t="s">
        <v>5425</v>
      </c>
      <c r="K1646" t="s">
        <v>5426</v>
      </c>
      <c r="L1646" t="s">
        <v>5427</v>
      </c>
      <c r="M1646" t="s">
        <v>46</v>
      </c>
      <c r="N1646" t="s">
        <v>7687</v>
      </c>
      <c r="O1646" t="s">
        <v>5429</v>
      </c>
      <c r="P1646" t="s">
        <v>5430</v>
      </c>
      <c r="Q1646" t="s">
        <v>7688</v>
      </c>
      <c r="R1646">
        <v>8</v>
      </c>
      <c r="S1646">
        <v>16</v>
      </c>
    </row>
    <row r="1647" spans="1:19" x14ac:dyDescent="0.35">
      <c r="A1647">
        <v>7289</v>
      </c>
      <c r="B1647" t="s">
        <v>7689</v>
      </c>
      <c r="C1647" t="s">
        <v>20</v>
      </c>
      <c r="D1647" t="s">
        <v>7690</v>
      </c>
      <c r="E1647" t="s">
        <v>7691</v>
      </c>
      <c r="F1647" t="s">
        <v>7692</v>
      </c>
      <c r="J1647" t="s">
        <v>846</v>
      </c>
      <c r="M1647" t="s">
        <v>2115</v>
      </c>
      <c r="N1647" t="s">
        <v>7693</v>
      </c>
      <c r="P1647" t="s">
        <v>7694</v>
      </c>
      <c r="Q1647" t="s">
        <v>7695</v>
      </c>
      <c r="R1647">
        <v>8</v>
      </c>
      <c r="S1647">
        <v>16</v>
      </c>
    </row>
    <row r="1648" spans="1:19" x14ac:dyDescent="0.35">
      <c r="A1648">
        <v>7288</v>
      </c>
      <c r="B1648" t="s">
        <v>7689</v>
      </c>
      <c r="C1648" t="s">
        <v>20</v>
      </c>
      <c r="D1648" t="s">
        <v>7696</v>
      </c>
      <c r="E1648" t="s">
        <v>7691</v>
      </c>
      <c r="F1648" t="s">
        <v>7697</v>
      </c>
      <c r="J1648" t="s">
        <v>3275</v>
      </c>
      <c r="M1648" t="s">
        <v>2115</v>
      </c>
      <c r="N1648" t="s">
        <v>7693</v>
      </c>
      <c r="P1648" t="s">
        <v>7694</v>
      </c>
      <c r="Q1648" t="s">
        <v>7695</v>
      </c>
      <c r="R1648">
        <v>8</v>
      </c>
      <c r="S1648">
        <v>16</v>
      </c>
    </row>
    <row r="1649" spans="1:19" x14ac:dyDescent="0.35">
      <c r="A1649">
        <v>7287</v>
      </c>
      <c r="B1649" t="s">
        <v>7689</v>
      </c>
      <c r="C1649" t="s">
        <v>20</v>
      </c>
      <c r="D1649" t="s">
        <v>7698</v>
      </c>
      <c r="E1649" t="s">
        <v>7691</v>
      </c>
      <c r="F1649" t="s">
        <v>7699</v>
      </c>
      <c r="J1649" t="s">
        <v>614</v>
      </c>
      <c r="M1649" t="s">
        <v>2115</v>
      </c>
      <c r="N1649" t="s">
        <v>7693</v>
      </c>
      <c r="P1649" t="s">
        <v>7694</v>
      </c>
      <c r="Q1649" t="s">
        <v>7695</v>
      </c>
      <c r="R1649">
        <v>8</v>
      </c>
      <c r="S1649">
        <v>16</v>
      </c>
    </row>
    <row r="1650" spans="1:19" x14ac:dyDescent="0.35">
      <c r="A1650">
        <v>7277</v>
      </c>
      <c r="B1650" t="s">
        <v>7700</v>
      </c>
      <c r="C1650" t="s">
        <v>850</v>
      </c>
      <c r="D1650" t="s">
        <v>7701</v>
      </c>
      <c r="E1650" t="e" cm="1">
        <f t="array" ref="E1650">- Cinnamomi Burmannii Cortex</f>
        <v>#NAME?</v>
      </c>
      <c r="F1650" t="s">
        <v>7702</v>
      </c>
      <c r="J1650" t="s">
        <v>334</v>
      </c>
      <c r="N1650" t="s">
        <v>7703</v>
      </c>
      <c r="P1650" t="s">
        <v>7704</v>
      </c>
      <c r="Q1650" t="s">
        <v>7705</v>
      </c>
      <c r="R1650">
        <v>8</v>
      </c>
      <c r="S1650">
        <v>16</v>
      </c>
    </row>
    <row r="1651" spans="1:19" x14ac:dyDescent="0.35">
      <c r="A1651">
        <v>7233</v>
      </c>
      <c r="B1651" t="s">
        <v>7706</v>
      </c>
      <c r="C1651" t="s">
        <v>850</v>
      </c>
      <c r="D1651" t="s">
        <v>7707</v>
      </c>
      <c r="E1651" t="s">
        <v>7708</v>
      </c>
      <c r="F1651" s="1">
        <v>24000</v>
      </c>
      <c r="J1651" t="s">
        <v>7709</v>
      </c>
      <c r="M1651" t="s">
        <v>3338</v>
      </c>
      <c r="N1651" t="s">
        <v>7710</v>
      </c>
      <c r="P1651" t="s">
        <v>7711</v>
      </c>
      <c r="Q1651" t="s">
        <v>7712</v>
      </c>
      <c r="R1651">
        <v>8</v>
      </c>
      <c r="S1651">
        <v>16</v>
      </c>
    </row>
    <row r="1652" spans="1:19" x14ac:dyDescent="0.35">
      <c r="A1652">
        <v>7221</v>
      </c>
      <c r="B1652" t="s">
        <v>7713</v>
      </c>
      <c r="C1652" t="s">
        <v>20</v>
      </c>
      <c r="D1652" t="s">
        <v>7714</v>
      </c>
      <c r="E1652" t="s">
        <v>7715</v>
      </c>
      <c r="F1652" t="s">
        <v>7716</v>
      </c>
      <c r="J1652" t="s">
        <v>846</v>
      </c>
      <c r="M1652" t="s">
        <v>2115</v>
      </c>
      <c r="N1652" t="s">
        <v>7717</v>
      </c>
      <c r="P1652" t="s">
        <v>7718</v>
      </c>
      <c r="Q1652" t="s">
        <v>7719</v>
      </c>
      <c r="R1652">
        <v>8</v>
      </c>
      <c r="S1652">
        <v>16</v>
      </c>
    </row>
    <row r="1653" spans="1:19" x14ac:dyDescent="0.35">
      <c r="A1653">
        <v>7220</v>
      </c>
      <c r="B1653" t="s">
        <v>7713</v>
      </c>
      <c r="C1653" t="s">
        <v>20</v>
      </c>
      <c r="D1653" t="s">
        <v>7720</v>
      </c>
      <c r="E1653" t="s">
        <v>7715</v>
      </c>
      <c r="F1653" s="1">
        <v>10000</v>
      </c>
      <c r="J1653" t="s">
        <v>3856</v>
      </c>
      <c r="M1653" t="s">
        <v>2115</v>
      </c>
      <c r="N1653" t="s">
        <v>7717</v>
      </c>
      <c r="P1653" t="s">
        <v>7718</v>
      </c>
      <c r="Q1653" t="s">
        <v>7719</v>
      </c>
      <c r="R1653">
        <v>8</v>
      </c>
      <c r="S1653">
        <v>16</v>
      </c>
    </row>
    <row r="1654" spans="1:19" x14ac:dyDescent="0.35">
      <c r="A1654">
        <v>7219</v>
      </c>
      <c r="B1654" t="s">
        <v>7713</v>
      </c>
      <c r="C1654" t="s">
        <v>20</v>
      </c>
      <c r="D1654" t="s">
        <v>7721</v>
      </c>
      <c r="E1654" t="s">
        <v>7715</v>
      </c>
      <c r="F1654" t="s">
        <v>7722</v>
      </c>
      <c r="J1654" t="s">
        <v>3275</v>
      </c>
      <c r="M1654" t="s">
        <v>2115</v>
      </c>
      <c r="N1654" t="s">
        <v>7717</v>
      </c>
      <c r="P1654" t="s">
        <v>7718</v>
      </c>
      <c r="Q1654" t="s">
        <v>7719</v>
      </c>
      <c r="R1654">
        <v>8</v>
      </c>
      <c r="S1654">
        <v>16</v>
      </c>
    </row>
    <row r="1655" spans="1:19" x14ac:dyDescent="0.35">
      <c r="A1655">
        <v>7218</v>
      </c>
      <c r="B1655" t="s">
        <v>7723</v>
      </c>
      <c r="C1655" t="s">
        <v>20</v>
      </c>
      <c r="D1655" t="s">
        <v>7724</v>
      </c>
      <c r="E1655" t="s">
        <v>7725</v>
      </c>
      <c r="F1655" t="s">
        <v>7726</v>
      </c>
      <c r="J1655" t="s">
        <v>3856</v>
      </c>
      <c r="M1655" t="s">
        <v>2115</v>
      </c>
      <c r="N1655" t="s">
        <v>7727</v>
      </c>
      <c r="P1655" t="s">
        <v>7728</v>
      </c>
      <c r="Q1655" t="s">
        <v>7729</v>
      </c>
      <c r="R1655">
        <v>8</v>
      </c>
      <c r="S1655">
        <v>16</v>
      </c>
    </row>
    <row r="1656" spans="1:19" x14ac:dyDescent="0.35">
      <c r="A1656">
        <v>7128</v>
      </c>
      <c r="B1656" t="s">
        <v>7730</v>
      </c>
      <c r="C1656" t="s">
        <v>42</v>
      </c>
      <c r="D1656" t="s">
        <v>7731</v>
      </c>
      <c r="E1656" t="e" cm="1">
        <f t="array" ref="E1656">- BACLOFEN</f>
        <v>#NAME?</v>
      </c>
      <c r="F1656" s="1">
        <v>101700</v>
      </c>
      <c r="G1656" t="s">
        <v>1258</v>
      </c>
      <c r="H1656" t="s">
        <v>7732</v>
      </c>
      <c r="I1656" t="s">
        <v>7733</v>
      </c>
      <c r="J1656" t="s">
        <v>532</v>
      </c>
      <c r="K1656" t="s">
        <v>7734</v>
      </c>
      <c r="L1656" t="s">
        <v>7735</v>
      </c>
      <c r="M1656" t="s">
        <v>46</v>
      </c>
      <c r="N1656" t="s">
        <v>7736</v>
      </c>
      <c r="O1656" t="s">
        <v>7737</v>
      </c>
      <c r="P1656" t="s">
        <v>7738</v>
      </c>
      <c r="Q1656" t="s">
        <v>7739</v>
      </c>
      <c r="R1656">
        <v>8</v>
      </c>
      <c r="S1656">
        <v>16</v>
      </c>
    </row>
    <row r="1657" spans="1:19" x14ac:dyDescent="0.35">
      <c r="A1657">
        <v>7331</v>
      </c>
      <c r="B1657" t="s">
        <v>5420</v>
      </c>
      <c r="C1657" t="s">
        <v>42</v>
      </c>
      <c r="D1657" t="s">
        <v>5421</v>
      </c>
      <c r="E1657" t="e" cm="1">
        <f t="array" ref="E1657">- LEVONORGESTREL. ETHINYLESTRADIOL</f>
        <v>#NAME?</v>
      </c>
      <c r="F1657" t="s">
        <v>5422</v>
      </c>
      <c r="H1657" t="s">
        <v>5423</v>
      </c>
      <c r="I1657" t="s">
        <v>5424</v>
      </c>
      <c r="J1657" t="s">
        <v>5425</v>
      </c>
      <c r="K1657" t="s">
        <v>5426</v>
      </c>
      <c r="L1657" t="s">
        <v>5427</v>
      </c>
      <c r="M1657" t="s">
        <v>46</v>
      </c>
      <c r="N1657" t="s">
        <v>7687</v>
      </c>
      <c r="O1657" t="s">
        <v>5429</v>
      </c>
      <c r="P1657" t="s">
        <v>5430</v>
      </c>
      <c r="Q1657" t="s">
        <v>7688</v>
      </c>
      <c r="R1657">
        <v>8</v>
      </c>
      <c r="S1657">
        <v>16</v>
      </c>
    </row>
    <row r="1658" spans="1:19" x14ac:dyDescent="0.35">
      <c r="A1658">
        <v>7099</v>
      </c>
      <c r="B1658" t="s">
        <v>7740</v>
      </c>
      <c r="C1658" t="s">
        <v>42</v>
      </c>
      <c r="D1658" t="s">
        <v>7741</v>
      </c>
      <c r="E1658" t="e" cm="1">
        <f t="array" ref="E1658">- EPERISONE HYDROCHLORIDE</f>
        <v>#NAME?</v>
      </c>
      <c r="F1658" t="s">
        <v>7742</v>
      </c>
      <c r="G1658" t="s">
        <v>2241</v>
      </c>
      <c r="H1658" t="s">
        <v>389</v>
      </c>
      <c r="I1658" t="s">
        <v>7743</v>
      </c>
      <c r="J1658" t="s">
        <v>571</v>
      </c>
      <c r="K1658" t="s">
        <v>2858</v>
      </c>
      <c r="L1658" t="s">
        <v>7744</v>
      </c>
      <c r="M1658" t="s">
        <v>46</v>
      </c>
      <c r="N1658" t="s">
        <v>7745</v>
      </c>
      <c r="O1658" t="s">
        <v>7746</v>
      </c>
      <c r="P1658" t="s">
        <v>7747</v>
      </c>
      <c r="Q1658" t="s">
        <v>7748</v>
      </c>
      <c r="R1658">
        <v>8</v>
      </c>
      <c r="S1658">
        <v>16</v>
      </c>
    </row>
    <row r="1659" spans="1:19" x14ac:dyDescent="0.35">
      <c r="A1659">
        <v>7638</v>
      </c>
      <c r="B1659" t="s">
        <v>7749</v>
      </c>
      <c r="C1659" t="s">
        <v>20</v>
      </c>
      <c r="D1659" t="s">
        <v>7750</v>
      </c>
      <c r="E1659" t="s">
        <v>7751</v>
      </c>
      <c r="F1659" t="s">
        <v>7752</v>
      </c>
      <c r="G1659" t="s">
        <v>7678</v>
      </c>
      <c r="H1659" t="s">
        <v>7753</v>
      </c>
      <c r="I1659" t="s">
        <v>4003</v>
      </c>
      <c r="J1659" t="s">
        <v>3812</v>
      </c>
      <c r="L1659" t="s">
        <v>7754</v>
      </c>
      <c r="M1659" t="s">
        <v>38</v>
      </c>
      <c r="N1659" t="s">
        <v>7755</v>
      </c>
      <c r="O1659" t="s">
        <v>4005</v>
      </c>
      <c r="P1659" t="s">
        <v>7756</v>
      </c>
      <c r="Q1659" t="s">
        <v>7757</v>
      </c>
      <c r="R1659">
        <v>8</v>
      </c>
      <c r="S1659">
        <v>16</v>
      </c>
    </row>
    <row r="1660" spans="1:19" x14ac:dyDescent="0.35">
      <c r="A1660">
        <v>7647</v>
      </c>
      <c r="B1660" t="s">
        <v>7758</v>
      </c>
      <c r="C1660" t="s">
        <v>20</v>
      </c>
      <c r="D1660" t="s">
        <v>7759</v>
      </c>
      <c r="E1660" t="s">
        <v>7760</v>
      </c>
      <c r="F1660" t="s">
        <v>7761</v>
      </c>
      <c r="G1660" t="s">
        <v>5244</v>
      </c>
      <c r="H1660" t="s">
        <v>6631</v>
      </c>
      <c r="I1660" t="s">
        <v>7762</v>
      </c>
      <c r="J1660" t="s">
        <v>7763</v>
      </c>
      <c r="K1660" t="s">
        <v>7764</v>
      </c>
      <c r="L1660" t="s">
        <v>7765</v>
      </c>
      <c r="M1660" t="s">
        <v>38</v>
      </c>
      <c r="N1660" t="s">
        <v>7766</v>
      </c>
      <c r="O1660" t="s">
        <v>7767</v>
      </c>
      <c r="P1660" t="s">
        <v>7768</v>
      </c>
      <c r="Q1660" t="s">
        <v>7769</v>
      </c>
      <c r="R1660">
        <v>8</v>
      </c>
      <c r="S1660">
        <v>16</v>
      </c>
    </row>
    <row r="1661" spans="1:19" x14ac:dyDescent="0.35">
      <c r="A1661">
        <v>7931</v>
      </c>
      <c r="B1661" t="s">
        <v>7770</v>
      </c>
      <c r="C1661" t="s">
        <v>20</v>
      </c>
      <c r="D1661" t="s">
        <v>7771</v>
      </c>
      <c r="E1661" t="s">
        <v>7772</v>
      </c>
      <c r="F1661" t="s">
        <v>7773</v>
      </c>
      <c r="M1661" t="s">
        <v>38</v>
      </c>
      <c r="N1661" t="s">
        <v>7774</v>
      </c>
      <c r="P1661" t="s">
        <v>7775</v>
      </c>
      <c r="Q1661" t="s">
        <v>7776</v>
      </c>
      <c r="R1661">
        <v>8</v>
      </c>
      <c r="S1661">
        <v>16</v>
      </c>
    </row>
    <row r="1662" spans="1:19" x14ac:dyDescent="0.35">
      <c r="A1662">
        <v>7920</v>
      </c>
      <c r="B1662" t="s">
        <v>7777</v>
      </c>
      <c r="C1662" t="s">
        <v>20</v>
      </c>
      <c r="D1662" t="s">
        <v>7778</v>
      </c>
      <c r="E1662" t="s">
        <v>7779</v>
      </c>
      <c r="F1662" t="s">
        <v>7780</v>
      </c>
      <c r="I1662" t="s">
        <v>7781</v>
      </c>
      <c r="J1662" t="s">
        <v>3433</v>
      </c>
      <c r="M1662" t="s">
        <v>38</v>
      </c>
      <c r="N1662" t="s">
        <v>7782</v>
      </c>
      <c r="O1662" t="s">
        <v>7783</v>
      </c>
      <c r="P1662" t="s">
        <v>7784</v>
      </c>
      <c r="Q1662" t="s">
        <v>7785</v>
      </c>
      <c r="R1662">
        <v>8</v>
      </c>
      <c r="S1662">
        <v>16</v>
      </c>
    </row>
    <row r="1663" spans="1:19" x14ac:dyDescent="0.35">
      <c r="A1663">
        <v>7919</v>
      </c>
      <c r="B1663" t="s">
        <v>7786</v>
      </c>
      <c r="C1663" t="s">
        <v>20</v>
      </c>
      <c r="D1663" t="s">
        <v>7787</v>
      </c>
      <c r="E1663" t="s">
        <v>7788</v>
      </c>
      <c r="F1663" t="s">
        <v>7789</v>
      </c>
      <c r="I1663" t="s">
        <v>7790</v>
      </c>
      <c r="J1663" t="s">
        <v>7791</v>
      </c>
      <c r="M1663" t="s">
        <v>291</v>
      </c>
      <c r="N1663" t="s">
        <v>7792</v>
      </c>
      <c r="O1663" t="s">
        <v>7793</v>
      </c>
      <c r="P1663" t="s">
        <v>7792</v>
      </c>
      <c r="Q1663" t="s">
        <v>7794</v>
      </c>
      <c r="R1663">
        <v>8</v>
      </c>
      <c r="S1663">
        <v>16</v>
      </c>
    </row>
    <row r="1664" spans="1:19" x14ac:dyDescent="0.35">
      <c r="A1664">
        <v>7905</v>
      </c>
      <c r="B1664" t="s">
        <v>7795</v>
      </c>
      <c r="C1664" t="s">
        <v>20</v>
      </c>
      <c r="D1664" t="s">
        <v>7796</v>
      </c>
      <c r="E1664" t="s">
        <v>7797</v>
      </c>
      <c r="F1664" t="s">
        <v>7798</v>
      </c>
      <c r="G1664" t="s">
        <v>5033</v>
      </c>
      <c r="H1664" t="s">
        <v>7799</v>
      </c>
      <c r="I1664" t="s">
        <v>3392</v>
      </c>
      <c r="J1664" t="s">
        <v>70</v>
      </c>
      <c r="K1664" t="s">
        <v>3952</v>
      </c>
      <c r="L1664" t="s">
        <v>7800</v>
      </c>
      <c r="M1664" t="s">
        <v>38</v>
      </c>
      <c r="N1664" t="s">
        <v>7801</v>
      </c>
      <c r="O1664" t="s">
        <v>3396</v>
      </c>
      <c r="P1664" t="s">
        <v>7801</v>
      </c>
      <c r="Q1664" t="s">
        <v>7802</v>
      </c>
      <c r="R1664">
        <v>8</v>
      </c>
      <c r="S1664">
        <v>16</v>
      </c>
    </row>
    <row r="1665" spans="1:19" x14ac:dyDescent="0.35">
      <c r="A1665">
        <v>7898</v>
      </c>
      <c r="B1665" t="s">
        <v>7803</v>
      </c>
      <c r="C1665" t="s">
        <v>20</v>
      </c>
      <c r="D1665" t="s">
        <v>7804</v>
      </c>
      <c r="E1665" t="s">
        <v>1510</v>
      </c>
      <c r="F1665" t="s">
        <v>7805</v>
      </c>
      <c r="G1665" t="s">
        <v>2241</v>
      </c>
      <c r="H1665" t="s">
        <v>2961</v>
      </c>
      <c r="I1665" t="s">
        <v>7806</v>
      </c>
      <c r="J1665" t="s">
        <v>7807</v>
      </c>
      <c r="M1665" t="s">
        <v>38</v>
      </c>
      <c r="N1665" t="s">
        <v>1513</v>
      </c>
      <c r="O1665" t="s">
        <v>4528</v>
      </c>
      <c r="P1665" t="s">
        <v>1514</v>
      </c>
      <c r="Q1665" t="s">
        <v>7808</v>
      </c>
      <c r="R1665">
        <v>8</v>
      </c>
      <c r="S1665">
        <v>16</v>
      </c>
    </row>
    <row r="1666" spans="1:19" x14ac:dyDescent="0.35">
      <c r="A1666">
        <v>7897</v>
      </c>
      <c r="B1666" t="s">
        <v>7809</v>
      </c>
      <c r="C1666" t="s">
        <v>20</v>
      </c>
      <c r="D1666" t="s">
        <v>7810</v>
      </c>
      <c r="E1666" t="s">
        <v>7811</v>
      </c>
      <c r="F1666" t="s">
        <v>7812</v>
      </c>
      <c r="I1666" t="s">
        <v>7813</v>
      </c>
      <c r="J1666" t="s">
        <v>107</v>
      </c>
      <c r="M1666" t="s">
        <v>38</v>
      </c>
      <c r="N1666" t="s">
        <v>7814</v>
      </c>
      <c r="O1666" t="s">
        <v>7815</v>
      </c>
      <c r="P1666" t="s">
        <v>7816</v>
      </c>
      <c r="Q1666" t="s">
        <v>7817</v>
      </c>
      <c r="R1666">
        <v>8</v>
      </c>
      <c r="S1666">
        <v>16</v>
      </c>
    </row>
    <row r="1667" spans="1:19" x14ac:dyDescent="0.35">
      <c r="A1667">
        <v>7895</v>
      </c>
      <c r="B1667" t="s">
        <v>7818</v>
      </c>
      <c r="C1667" t="s">
        <v>20</v>
      </c>
      <c r="D1667" t="s">
        <v>7819</v>
      </c>
      <c r="E1667" t="s">
        <v>7820</v>
      </c>
      <c r="F1667" t="s">
        <v>7821</v>
      </c>
      <c r="G1667" t="s">
        <v>2241</v>
      </c>
      <c r="H1667" t="s">
        <v>7822</v>
      </c>
      <c r="I1667" t="s">
        <v>3408</v>
      </c>
      <c r="J1667" t="s">
        <v>7823</v>
      </c>
      <c r="L1667" t="s">
        <v>7824</v>
      </c>
      <c r="M1667" t="s">
        <v>38</v>
      </c>
      <c r="N1667" t="s">
        <v>7825</v>
      </c>
      <c r="O1667" t="s">
        <v>3411</v>
      </c>
      <c r="P1667" t="s">
        <v>7825</v>
      </c>
      <c r="Q1667" t="s">
        <v>7826</v>
      </c>
      <c r="R1667">
        <v>8</v>
      </c>
      <c r="S1667">
        <v>16</v>
      </c>
    </row>
    <row r="1668" spans="1:19" x14ac:dyDescent="0.35">
      <c r="A1668">
        <v>7869</v>
      </c>
      <c r="B1668" t="s">
        <v>7827</v>
      </c>
      <c r="C1668" t="s">
        <v>20</v>
      </c>
      <c r="D1668" t="s">
        <v>7828</v>
      </c>
      <c r="E1668" t="s">
        <v>7829</v>
      </c>
      <c r="F1668" t="s">
        <v>7830</v>
      </c>
      <c r="J1668" t="s">
        <v>810</v>
      </c>
      <c r="M1668" t="s">
        <v>38</v>
      </c>
      <c r="N1668" t="s">
        <v>7831</v>
      </c>
      <c r="P1668" t="s">
        <v>7832</v>
      </c>
      <c r="Q1668" t="s">
        <v>7833</v>
      </c>
      <c r="R1668">
        <v>8</v>
      </c>
      <c r="S1668">
        <v>16</v>
      </c>
    </row>
    <row r="1669" spans="1:19" x14ac:dyDescent="0.35">
      <c r="A1669">
        <v>7855</v>
      </c>
      <c r="B1669" t="s">
        <v>7834</v>
      </c>
      <c r="C1669" t="s">
        <v>20</v>
      </c>
      <c r="D1669" t="s">
        <v>7835</v>
      </c>
      <c r="E1669" t="s">
        <v>7836</v>
      </c>
      <c r="F1669" t="s">
        <v>7837</v>
      </c>
      <c r="G1669" t="s">
        <v>2241</v>
      </c>
      <c r="H1669" t="s">
        <v>7838</v>
      </c>
      <c r="I1669" t="s">
        <v>7806</v>
      </c>
      <c r="J1669" t="s">
        <v>2013</v>
      </c>
      <c r="M1669" t="s">
        <v>38</v>
      </c>
      <c r="N1669" t="s">
        <v>7839</v>
      </c>
      <c r="O1669" t="s">
        <v>4528</v>
      </c>
      <c r="P1669" t="s">
        <v>7839</v>
      </c>
      <c r="Q1669" t="s">
        <v>7840</v>
      </c>
      <c r="R1669">
        <v>8</v>
      </c>
      <c r="S1669">
        <v>16</v>
      </c>
    </row>
    <row r="1670" spans="1:19" x14ac:dyDescent="0.35">
      <c r="A1670">
        <v>7828</v>
      </c>
      <c r="B1670" t="s">
        <v>7841</v>
      </c>
      <c r="C1670" t="s">
        <v>20</v>
      </c>
      <c r="D1670" t="s">
        <v>7842</v>
      </c>
      <c r="E1670" t="s">
        <v>7843</v>
      </c>
      <c r="F1670" t="s">
        <v>7844</v>
      </c>
      <c r="G1670" t="s">
        <v>7845</v>
      </c>
      <c r="H1670" t="s">
        <v>7846</v>
      </c>
      <c r="I1670" t="s">
        <v>7680</v>
      </c>
      <c r="J1670" t="s">
        <v>7847</v>
      </c>
      <c r="M1670" t="s">
        <v>63</v>
      </c>
      <c r="N1670" t="s">
        <v>7848</v>
      </c>
      <c r="O1670" t="s">
        <v>7684</v>
      </c>
      <c r="P1670" t="s">
        <v>7848</v>
      </c>
      <c r="Q1670" t="s">
        <v>7849</v>
      </c>
      <c r="R1670">
        <v>8</v>
      </c>
      <c r="S1670">
        <v>16</v>
      </c>
    </row>
    <row r="1671" spans="1:19" x14ac:dyDescent="0.35">
      <c r="A1671">
        <v>7641</v>
      </c>
      <c r="B1671" t="s">
        <v>7850</v>
      </c>
      <c r="C1671" t="s">
        <v>20</v>
      </c>
      <c r="D1671" t="s">
        <v>7851</v>
      </c>
      <c r="E1671" t="s">
        <v>7852</v>
      </c>
      <c r="F1671" t="s">
        <v>7853</v>
      </c>
      <c r="G1671" t="s">
        <v>7854</v>
      </c>
      <c r="H1671" t="s">
        <v>7855</v>
      </c>
      <c r="I1671" t="s">
        <v>7856</v>
      </c>
      <c r="J1671" t="s">
        <v>7857</v>
      </c>
      <c r="L1671" t="s">
        <v>7858</v>
      </c>
      <c r="M1671" t="s">
        <v>38</v>
      </c>
      <c r="N1671" t="s">
        <v>7859</v>
      </c>
      <c r="O1671" t="s">
        <v>7684</v>
      </c>
      <c r="P1671" t="s">
        <v>7859</v>
      </c>
      <c r="Q1671" t="s">
        <v>7860</v>
      </c>
      <c r="R1671">
        <v>8</v>
      </c>
      <c r="S1671">
        <v>16</v>
      </c>
    </row>
    <row r="1672" spans="1:19" x14ac:dyDescent="0.35">
      <c r="A1672">
        <v>7814</v>
      </c>
      <c r="B1672" t="s">
        <v>7861</v>
      </c>
      <c r="C1672" t="s">
        <v>20</v>
      </c>
      <c r="D1672" t="s">
        <v>7862</v>
      </c>
      <c r="E1672" t="s">
        <v>7863</v>
      </c>
      <c r="F1672" t="s">
        <v>7864</v>
      </c>
      <c r="G1672" t="s">
        <v>2241</v>
      </c>
      <c r="H1672" t="s">
        <v>7865</v>
      </c>
      <c r="I1672" t="s">
        <v>4525</v>
      </c>
      <c r="J1672" t="s">
        <v>355</v>
      </c>
      <c r="M1672" t="s">
        <v>38</v>
      </c>
      <c r="N1672" t="s">
        <v>7866</v>
      </c>
      <c r="O1672" t="s">
        <v>4528</v>
      </c>
      <c r="P1672" t="s">
        <v>7867</v>
      </c>
      <c r="Q1672" t="s">
        <v>7868</v>
      </c>
      <c r="R1672">
        <v>8</v>
      </c>
      <c r="S1672">
        <v>16</v>
      </c>
    </row>
    <row r="1673" spans="1:19" x14ac:dyDescent="0.35">
      <c r="A1673">
        <v>7812</v>
      </c>
      <c r="B1673" t="s">
        <v>7861</v>
      </c>
      <c r="C1673" t="s">
        <v>20</v>
      </c>
      <c r="D1673" t="s">
        <v>7869</v>
      </c>
      <c r="E1673" t="s">
        <v>7863</v>
      </c>
      <c r="F1673" t="s">
        <v>7870</v>
      </c>
      <c r="G1673" t="s">
        <v>2241</v>
      </c>
      <c r="H1673" t="s">
        <v>7865</v>
      </c>
      <c r="I1673" t="s">
        <v>4525</v>
      </c>
      <c r="J1673" t="s">
        <v>7871</v>
      </c>
      <c r="M1673" t="s">
        <v>38</v>
      </c>
      <c r="N1673" t="s">
        <v>7866</v>
      </c>
      <c r="O1673" t="s">
        <v>4528</v>
      </c>
      <c r="P1673" t="s">
        <v>7867</v>
      </c>
      <c r="Q1673" t="s">
        <v>7868</v>
      </c>
      <c r="R1673">
        <v>8</v>
      </c>
      <c r="S1673">
        <v>16</v>
      </c>
    </row>
    <row r="1674" spans="1:19" x14ac:dyDescent="0.35">
      <c r="A1674">
        <v>2760</v>
      </c>
      <c r="B1674" t="s">
        <v>7872</v>
      </c>
      <c r="C1674" t="s">
        <v>42</v>
      </c>
      <c r="D1674" t="s">
        <v>7873</v>
      </c>
      <c r="E1674" t="e" cm="1">
        <f t="array" ref="E1674">- MELOXICAM</f>
        <v>#NAME?</v>
      </c>
      <c r="F1674" t="s">
        <v>7874</v>
      </c>
      <c r="G1674" t="s">
        <v>539</v>
      </c>
      <c r="H1674" t="s">
        <v>269</v>
      </c>
      <c r="I1674" t="s">
        <v>7875</v>
      </c>
      <c r="L1674" t="s">
        <v>270</v>
      </c>
      <c r="M1674" t="s">
        <v>46</v>
      </c>
      <c r="N1674" t="s">
        <v>412</v>
      </c>
      <c r="O1674" t="s">
        <v>7876</v>
      </c>
      <c r="P1674" t="s">
        <v>750</v>
      </c>
      <c r="Q1674" t="s">
        <v>7877</v>
      </c>
      <c r="R1674">
        <v>8</v>
      </c>
      <c r="S1674">
        <v>16</v>
      </c>
    </row>
    <row r="1675" spans="1:19" x14ac:dyDescent="0.35">
      <c r="A1675">
        <v>7793</v>
      </c>
      <c r="B1675" t="s">
        <v>7878</v>
      </c>
      <c r="C1675" t="s">
        <v>20</v>
      </c>
      <c r="D1675" t="s">
        <v>7879</v>
      </c>
      <c r="E1675" t="s">
        <v>7880</v>
      </c>
      <c r="F1675" t="s">
        <v>7881</v>
      </c>
      <c r="G1675" t="s">
        <v>7882</v>
      </c>
      <c r="H1675" t="s">
        <v>7883</v>
      </c>
      <c r="I1675" t="s">
        <v>5748</v>
      </c>
      <c r="J1675" t="s">
        <v>7884</v>
      </c>
      <c r="M1675" t="s">
        <v>63</v>
      </c>
      <c r="N1675" t="s">
        <v>7885</v>
      </c>
      <c r="O1675" t="s">
        <v>5703</v>
      </c>
      <c r="P1675" t="s">
        <v>7885</v>
      </c>
      <c r="Q1675" t="s">
        <v>7886</v>
      </c>
      <c r="R1675">
        <v>8</v>
      </c>
      <c r="S1675">
        <v>16</v>
      </c>
    </row>
    <row r="1676" spans="1:19" x14ac:dyDescent="0.35">
      <c r="A1676">
        <v>7776</v>
      </c>
      <c r="B1676" t="s">
        <v>7887</v>
      </c>
      <c r="C1676" t="s">
        <v>20</v>
      </c>
      <c r="D1676" t="s">
        <v>7888</v>
      </c>
      <c r="E1676" t="s">
        <v>7889</v>
      </c>
      <c r="F1676" t="s">
        <v>7890</v>
      </c>
      <c r="G1676" t="s">
        <v>3970</v>
      </c>
      <c r="H1676" t="s">
        <v>7891</v>
      </c>
      <c r="I1676" t="s">
        <v>7892</v>
      </c>
      <c r="J1676" t="s">
        <v>7893</v>
      </c>
      <c r="M1676" t="s">
        <v>38</v>
      </c>
      <c r="N1676" t="s">
        <v>7894</v>
      </c>
      <c r="O1676" t="s">
        <v>7895</v>
      </c>
      <c r="P1676" t="s">
        <v>7896</v>
      </c>
      <c r="Q1676" t="s">
        <v>7897</v>
      </c>
      <c r="R1676">
        <v>8</v>
      </c>
      <c r="S1676">
        <v>16</v>
      </c>
    </row>
    <row r="1677" spans="1:19" x14ac:dyDescent="0.35">
      <c r="A1677">
        <v>7771</v>
      </c>
      <c r="B1677" t="s">
        <v>7898</v>
      </c>
      <c r="C1677" t="s">
        <v>20</v>
      </c>
      <c r="D1677" t="s">
        <v>7899</v>
      </c>
      <c r="E1677" t="s">
        <v>7900</v>
      </c>
      <c r="F1677" t="s">
        <v>7901</v>
      </c>
      <c r="J1677" t="s">
        <v>614</v>
      </c>
      <c r="N1677" t="s">
        <v>7902</v>
      </c>
      <c r="P1677" t="s">
        <v>7903</v>
      </c>
      <c r="Q1677" t="s">
        <v>7904</v>
      </c>
      <c r="R1677">
        <v>8</v>
      </c>
      <c r="S1677">
        <v>16</v>
      </c>
    </row>
    <row r="1678" spans="1:19" x14ac:dyDescent="0.35">
      <c r="A1678">
        <v>7766</v>
      </c>
      <c r="B1678" t="s">
        <v>7905</v>
      </c>
      <c r="C1678" t="s">
        <v>20</v>
      </c>
      <c r="D1678" t="s">
        <v>7906</v>
      </c>
      <c r="E1678" t="s">
        <v>7907</v>
      </c>
      <c r="F1678" t="s">
        <v>7908</v>
      </c>
      <c r="G1678" t="s">
        <v>2241</v>
      </c>
      <c r="H1678" t="s">
        <v>7909</v>
      </c>
      <c r="I1678" t="s">
        <v>7910</v>
      </c>
      <c r="J1678" t="s">
        <v>347</v>
      </c>
      <c r="M1678" t="s">
        <v>38</v>
      </c>
      <c r="N1678" t="s">
        <v>7911</v>
      </c>
      <c r="O1678" t="s">
        <v>7912</v>
      </c>
      <c r="P1678" t="s">
        <v>7911</v>
      </c>
      <c r="Q1678" t="s">
        <v>7913</v>
      </c>
      <c r="R1678">
        <v>8</v>
      </c>
      <c r="S1678">
        <v>16</v>
      </c>
    </row>
    <row r="1679" spans="1:19" x14ac:dyDescent="0.35">
      <c r="A1679">
        <v>7733</v>
      </c>
      <c r="B1679" t="s">
        <v>7914</v>
      </c>
      <c r="C1679" t="s">
        <v>20</v>
      </c>
      <c r="D1679" t="s">
        <v>7915</v>
      </c>
      <c r="E1679" t="s">
        <v>7916</v>
      </c>
      <c r="F1679" t="s">
        <v>7917</v>
      </c>
      <c r="G1679" t="s">
        <v>60</v>
      </c>
      <c r="H1679" t="s">
        <v>7918</v>
      </c>
      <c r="I1679" t="s">
        <v>7919</v>
      </c>
      <c r="J1679" t="s">
        <v>7920</v>
      </c>
      <c r="K1679" t="s">
        <v>7921</v>
      </c>
      <c r="L1679" t="s">
        <v>7922</v>
      </c>
      <c r="M1679" t="s">
        <v>46</v>
      </c>
      <c r="N1679" t="s">
        <v>7923</v>
      </c>
      <c r="O1679" t="s">
        <v>7924</v>
      </c>
      <c r="P1679" t="s">
        <v>7923</v>
      </c>
      <c r="Q1679" t="s">
        <v>7925</v>
      </c>
      <c r="R1679">
        <v>8</v>
      </c>
      <c r="S1679">
        <v>16</v>
      </c>
    </row>
    <row r="1680" spans="1:19" x14ac:dyDescent="0.35">
      <c r="A1680">
        <v>7719</v>
      </c>
      <c r="B1680" t="s">
        <v>7926</v>
      </c>
      <c r="C1680" t="s">
        <v>20</v>
      </c>
      <c r="D1680" t="s">
        <v>7927</v>
      </c>
      <c r="E1680" t="s">
        <v>7928</v>
      </c>
      <c r="F1680" t="s">
        <v>7929</v>
      </c>
      <c r="G1680" t="s">
        <v>7930</v>
      </c>
      <c r="H1680" t="s">
        <v>5895</v>
      </c>
      <c r="I1680" t="s">
        <v>5756</v>
      </c>
      <c r="J1680" t="s">
        <v>70</v>
      </c>
      <c r="M1680" t="s">
        <v>38</v>
      </c>
      <c r="N1680" t="s">
        <v>7931</v>
      </c>
      <c r="O1680" t="s">
        <v>5759</v>
      </c>
      <c r="P1680" t="s">
        <v>7931</v>
      </c>
      <c r="Q1680" t="s">
        <v>7932</v>
      </c>
      <c r="R1680">
        <v>8</v>
      </c>
      <c r="S1680">
        <v>16</v>
      </c>
    </row>
    <row r="1681" spans="1:19" x14ac:dyDescent="0.35">
      <c r="A1681">
        <v>7705</v>
      </c>
      <c r="B1681" t="s">
        <v>7933</v>
      </c>
      <c r="C1681" t="s">
        <v>20</v>
      </c>
      <c r="D1681" t="s">
        <v>7934</v>
      </c>
      <c r="E1681" t="s">
        <v>7935</v>
      </c>
      <c r="F1681" t="s">
        <v>7936</v>
      </c>
      <c r="G1681" t="s">
        <v>2241</v>
      </c>
      <c r="H1681" t="s">
        <v>7937</v>
      </c>
      <c r="I1681" t="s">
        <v>7938</v>
      </c>
      <c r="J1681" t="s">
        <v>5757</v>
      </c>
      <c r="L1681" t="s">
        <v>2919</v>
      </c>
      <c r="M1681" t="s">
        <v>38</v>
      </c>
      <c r="N1681" t="s">
        <v>7939</v>
      </c>
      <c r="O1681" t="s">
        <v>7940</v>
      </c>
      <c r="P1681" t="s">
        <v>7941</v>
      </c>
      <c r="Q1681" t="s">
        <v>7942</v>
      </c>
      <c r="R1681">
        <v>8</v>
      </c>
      <c r="S1681">
        <v>16</v>
      </c>
    </row>
    <row r="1682" spans="1:19" x14ac:dyDescent="0.35">
      <c r="A1682">
        <v>7704</v>
      </c>
      <c r="B1682" t="s">
        <v>7943</v>
      </c>
      <c r="C1682" t="s">
        <v>20</v>
      </c>
      <c r="D1682" t="s">
        <v>7944</v>
      </c>
      <c r="E1682" t="s">
        <v>7945</v>
      </c>
      <c r="F1682" t="s">
        <v>7946</v>
      </c>
      <c r="J1682" t="s">
        <v>7947</v>
      </c>
      <c r="M1682" t="s">
        <v>63</v>
      </c>
      <c r="N1682" t="s">
        <v>7948</v>
      </c>
      <c r="P1682" t="s">
        <v>7949</v>
      </c>
      <c r="Q1682" t="s">
        <v>7950</v>
      </c>
      <c r="R1682">
        <v>8</v>
      </c>
      <c r="S1682">
        <v>16</v>
      </c>
    </row>
    <row r="1683" spans="1:19" x14ac:dyDescent="0.35">
      <c r="A1683">
        <v>7813</v>
      </c>
      <c r="B1683" t="s">
        <v>7861</v>
      </c>
      <c r="C1683" t="s">
        <v>20</v>
      </c>
      <c r="D1683" t="s">
        <v>7951</v>
      </c>
      <c r="E1683" t="s">
        <v>7863</v>
      </c>
      <c r="F1683" t="s">
        <v>7952</v>
      </c>
      <c r="G1683" t="s">
        <v>2241</v>
      </c>
      <c r="H1683" t="s">
        <v>7865</v>
      </c>
      <c r="I1683" t="s">
        <v>4525</v>
      </c>
      <c r="J1683" t="s">
        <v>7953</v>
      </c>
      <c r="M1683" t="s">
        <v>38</v>
      </c>
      <c r="N1683" t="s">
        <v>7866</v>
      </c>
      <c r="O1683" t="s">
        <v>4528</v>
      </c>
      <c r="P1683" t="s">
        <v>7867</v>
      </c>
      <c r="Q1683" t="s">
        <v>7868</v>
      </c>
      <c r="R1683">
        <v>8</v>
      </c>
      <c r="S1683">
        <v>16</v>
      </c>
    </row>
    <row r="1684" spans="1:19" x14ac:dyDescent="0.35">
      <c r="A1684">
        <v>7079</v>
      </c>
      <c r="B1684" t="s">
        <v>7954</v>
      </c>
      <c r="C1684" t="s">
        <v>850</v>
      </c>
      <c r="D1684" t="s">
        <v>7955</v>
      </c>
      <c r="E1684" t="e" cm="1">
        <f t="array" ref="E1684">- Menthol</f>
        <v>#NAME?</v>
      </c>
      <c r="F1684" t="s">
        <v>7956</v>
      </c>
      <c r="G1684" t="s">
        <v>7369</v>
      </c>
      <c r="H1684" t="s">
        <v>7957</v>
      </c>
      <c r="I1684" t="s">
        <v>7958</v>
      </c>
      <c r="J1684" t="s">
        <v>7959</v>
      </c>
      <c r="K1684" t="s">
        <v>7960</v>
      </c>
    </row>
    <row r="1685" spans="1:19" x14ac:dyDescent="0.35">
      <c r="A1685">
        <v>7078</v>
      </c>
      <c r="B1685" t="s">
        <v>7954</v>
      </c>
      <c r="C1685" t="s">
        <v>850</v>
      </c>
      <c r="D1685" t="s">
        <v>7955</v>
      </c>
      <c r="E1685" t="e" cm="1">
        <f t="array" ref="E1685">- Menthol</f>
        <v>#NAME?</v>
      </c>
      <c r="F1685" t="s">
        <v>7956</v>
      </c>
      <c r="G1685" t="s">
        <v>7369</v>
      </c>
      <c r="H1685" t="s">
        <v>7957</v>
      </c>
      <c r="I1685" t="s">
        <v>7958</v>
      </c>
      <c r="J1685" t="s">
        <v>7959</v>
      </c>
      <c r="K1685" t="s">
        <v>7960</v>
      </c>
    </row>
    <row r="1686" spans="1:19" x14ac:dyDescent="0.35">
      <c r="A1686">
        <v>7068</v>
      </c>
      <c r="B1686" t="s">
        <v>1803</v>
      </c>
      <c r="C1686" t="s">
        <v>42</v>
      </c>
      <c r="D1686" t="s">
        <v>7961</v>
      </c>
      <c r="E1686" t="e" cm="1">
        <f t="array" ref="E1686">- TIZANIDINE HYDROCHLORIDE</f>
        <v>#NAME?</v>
      </c>
      <c r="F1686" t="s">
        <v>7962</v>
      </c>
      <c r="J1686" t="s">
        <v>7963</v>
      </c>
      <c r="M1686" t="s">
        <v>46</v>
      </c>
      <c r="N1686" t="s">
        <v>1806</v>
      </c>
      <c r="P1686" t="s">
        <v>7964</v>
      </c>
      <c r="Q1686" t="s">
        <v>7965</v>
      </c>
      <c r="R1686">
        <v>8</v>
      </c>
      <c r="S1686">
        <v>16</v>
      </c>
    </row>
    <row r="1687" spans="1:19" x14ac:dyDescent="0.35">
      <c r="A1687">
        <v>6688</v>
      </c>
      <c r="B1687" t="s">
        <v>7966</v>
      </c>
      <c r="C1687" t="s">
        <v>42</v>
      </c>
      <c r="D1687" t="s">
        <v>7967</v>
      </c>
      <c r="E1687" t="e" cm="1">
        <f t="array" ref="E1687">- METHISOPRINOL</f>
        <v>#NAME?</v>
      </c>
      <c r="F1687" t="s">
        <v>7968</v>
      </c>
      <c r="G1687" t="s">
        <v>1724</v>
      </c>
      <c r="H1687" t="s">
        <v>7969</v>
      </c>
      <c r="I1687" t="s">
        <v>7970</v>
      </c>
      <c r="L1687" t="s">
        <v>270</v>
      </c>
      <c r="M1687" t="s">
        <v>46</v>
      </c>
      <c r="N1687" t="s">
        <v>322</v>
      </c>
      <c r="O1687" t="s">
        <v>7971</v>
      </c>
      <c r="P1687" t="s">
        <v>7972</v>
      </c>
      <c r="Q1687" t="s">
        <v>7973</v>
      </c>
      <c r="R1687">
        <v>8</v>
      </c>
      <c r="S1687">
        <v>16</v>
      </c>
    </row>
    <row r="1688" spans="1:19" x14ac:dyDescent="0.35">
      <c r="A1688">
        <v>3560</v>
      </c>
      <c r="B1688" t="s">
        <v>7974</v>
      </c>
      <c r="C1688" t="s">
        <v>42</v>
      </c>
      <c r="D1688" t="s">
        <v>7975</v>
      </c>
      <c r="E1688" t="e" cm="1">
        <f t="array" ref="E1688">- DOMPERIDONE</f>
        <v>#NAME?</v>
      </c>
      <c r="F1688" t="s">
        <v>7976</v>
      </c>
      <c r="G1688" t="s">
        <v>7977</v>
      </c>
      <c r="H1688" t="s">
        <v>7978</v>
      </c>
      <c r="I1688" t="s">
        <v>7979</v>
      </c>
      <c r="J1688" t="s">
        <v>334</v>
      </c>
      <c r="K1688" t="s">
        <v>7980</v>
      </c>
      <c r="L1688" t="s">
        <v>7981</v>
      </c>
      <c r="M1688" t="s">
        <v>340</v>
      </c>
      <c r="N1688" t="s">
        <v>341</v>
      </c>
      <c r="O1688" t="s">
        <v>7982</v>
      </c>
      <c r="P1688" t="s">
        <v>7983</v>
      </c>
      <c r="Q1688" t="s">
        <v>7984</v>
      </c>
      <c r="R1688">
        <v>8</v>
      </c>
      <c r="S1688">
        <v>16</v>
      </c>
    </row>
    <row r="1689" spans="1:19" x14ac:dyDescent="0.35">
      <c r="A1689">
        <v>6591</v>
      </c>
      <c r="B1689" t="s">
        <v>7985</v>
      </c>
      <c r="C1689" t="s">
        <v>42</v>
      </c>
      <c r="D1689" t="s">
        <v>7986</v>
      </c>
      <c r="E1689" t="e" cm="1">
        <f t="array" ref="E1689">- FLUCONAZOLE</f>
        <v>#NAME?</v>
      </c>
      <c r="F1689" s="1">
        <v>45300</v>
      </c>
      <c r="G1689" t="s">
        <v>1691</v>
      </c>
      <c r="H1689" t="s">
        <v>7987</v>
      </c>
      <c r="I1689" t="s">
        <v>7988</v>
      </c>
      <c r="J1689" t="s">
        <v>7989</v>
      </c>
      <c r="K1689" t="s">
        <v>7990</v>
      </c>
      <c r="L1689" t="s">
        <v>7991</v>
      </c>
      <c r="M1689" t="s">
        <v>38</v>
      </c>
      <c r="N1689" t="s">
        <v>7992</v>
      </c>
      <c r="O1689" t="s">
        <v>7993</v>
      </c>
      <c r="P1689" t="s">
        <v>7994</v>
      </c>
      <c r="Q1689" t="s">
        <v>7995</v>
      </c>
      <c r="R1689">
        <v>8</v>
      </c>
      <c r="S1689">
        <v>16</v>
      </c>
    </row>
    <row r="1690" spans="1:19" x14ac:dyDescent="0.35">
      <c r="A1690">
        <v>6590</v>
      </c>
      <c r="B1690" t="s">
        <v>7985</v>
      </c>
      <c r="C1690" t="s">
        <v>42</v>
      </c>
      <c r="D1690" t="s">
        <v>7986</v>
      </c>
      <c r="E1690" t="e" cm="1">
        <f t="array" ref="E1690">- FLUCONAZOLE</f>
        <v>#NAME?</v>
      </c>
      <c r="F1690" s="1">
        <v>45300</v>
      </c>
      <c r="G1690" t="s">
        <v>1691</v>
      </c>
      <c r="H1690" t="s">
        <v>7987</v>
      </c>
      <c r="I1690" t="s">
        <v>7988</v>
      </c>
      <c r="J1690" t="s">
        <v>7989</v>
      </c>
      <c r="K1690" t="s">
        <v>7990</v>
      </c>
      <c r="L1690" t="s">
        <v>7991</v>
      </c>
      <c r="M1690" t="s">
        <v>38</v>
      </c>
      <c r="N1690" t="s">
        <v>7992</v>
      </c>
      <c r="O1690" t="s">
        <v>7993</v>
      </c>
      <c r="P1690" t="s">
        <v>7994</v>
      </c>
      <c r="Q1690" t="s">
        <v>7995</v>
      </c>
      <c r="R1690">
        <v>8</v>
      </c>
      <c r="S1690">
        <v>16</v>
      </c>
    </row>
    <row r="1691" spans="1:19" x14ac:dyDescent="0.35">
      <c r="A1691">
        <v>6579</v>
      </c>
      <c r="B1691" t="s">
        <v>7996</v>
      </c>
      <c r="C1691" t="s">
        <v>42</v>
      </c>
      <c r="D1691" t="s">
        <v>7997</v>
      </c>
      <c r="E1691" t="e" cm="1">
        <f t="array" ref="E1691">- GRISEOFULVIN</f>
        <v>#NAME?</v>
      </c>
      <c r="F1691" t="s">
        <v>7998</v>
      </c>
      <c r="G1691" t="s">
        <v>7999</v>
      </c>
      <c r="H1691" t="s">
        <v>8000</v>
      </c>
      <c r="I1691" t="s">
        <v>8001</v>
      </c>
      <c r="J1691" t="s">
        <v>1093</v>
      </c>
      <c r="K1691" t="s">
        <v>8002</v>
      </c>
      <c r="L1691" t="s">
        <v>8003</v>
      </c>
      <c r="M1691" t="s">
        <v>46</v>
      </c>
      <c r="N1691" t="s">
        <v>453</v>
      </c>
      <c r="O1691" t="s">
        <v>8004</v>
      </c>
      <c r="P1691" t="s">
        <v>8005</v>
      </c>
      <c r="Q1691" t="s">
        <v>8006</v>
      </c>
      <c r="R1691">
        <v>8</v>
      </c>
      <c r="S1691">
        <v>16</v>
      </c>
    </row>
    <row r="1692" spans="1:19" x14ac:dyDescent="0.35">
      <c r="A1692">
        <v>6578</v>
      </c>
      <c r="B1692" t="s">
        <v>7996</v>
      </c>
      <c r="C1692" t="s">
        <v>42</v>
      </c>
      <c r="D1692" t="s">
        <v>7997</v>
      </c>
      <c r="E1692" t="e" cm="1">
        <f t="array" ref="E1692">- GRISEOFULVIN</f>
        <v>#NAME?</v>
      </c>
      <c r="F1692" t="s">
        <v>7998</v>
      </c>
      <c r="G1692" t="s">
        <v>7999</v>
      </c>
      <c r="H1692" t="s">
        <v>8000</v>
      </c>
      <c r="I1692" t="s">
        <v>8001</v>
      </c>
      <c r="J1692" t="s">
        <v>1093</v>
      </c>
      <c r="K1692" t="s">
        <v>8002</v>
      </c>
      <c r="L1692" t="s">
        <v>8003</v>
      </c>
      <c r="M1692" t="s">
        <v>46</v>
      </c>
      <c r="N1692" t="s">
        <v>453</v>
      </c>
      <c r="O1692" t="s">
        <v>8004</v>
      </c>
      <c r="P1692" t="s">
        <v>8005</v>
      </c>
      <c r="Q1692" t="s">
        <v>8006</v>
      </c>
      <c r="R1692">
        <v>8</v>
      </c>
      <c r="S1692">
        <v>16</v>
      </c>
    </row>
    <row r="1693" spans="1:19" x14ac:dyDescent="0.35">
      <c r="A1693">
        <v>6554</v>
      </c>
      <c r="B1693" t="s">
        <v>8007</v>
      </c>
      <c r="C1693" t="s">
        <v>42</v>
      </c>
      <c r="D1693" t="s">
        <v>8008</v>
      </c>
      <c r="E1693" t="e" cm="1">
        <f t="array" ref="E1693">- NYSTATIN</f>
        <v>#NAME?</v>
      </c>
      <c r="F1693" t="s">
        <v>8009</v>
      </c>
      <c r="G1693" t="s">
        <v>8010</v>
      </c>
      <c r="H1693" t="s">
        <v>8011</v>
      </c>
      <c r="I1693" t="s">
        <v>8012</v>
      </c>
      <c r="J1693" t="s">
        <v>743</v>
      </c>
      <c r="K1693" t="s">
        <v>8013</v>
      </c>
      <c r="L1693" t="s">
        <v>8014</v>
      </c>
      <c r="M1693" t="s">
        <v>824</v>
      </c>
      <c r="N1693" t="s">
        <v>1818</v>
      </c>
      <c r="O1693" t="s">
        <v>8015</v>
      </c>
      <c r="P1693" t="s">
        <v>8016</v>
      </c>
      <c r="Q1693" t="s">
        <v>8017</v>
      </c>
      <c r="R1693">
        <v>8</v>
      </c>
      <c r="S1693">
        <v>16</v>
      </c>
    </row>
    <row r="1694" spans="1:19" x14ac:dyDescent="0.35">
      <c r="A1694">
        <v>6553</v>
      </c>
      <c r="B1694" t="s">
        <v>8007</v>
      </c>
      <c r="C1694" t="s">
        <v>42</v>
      </c>
      <c r="D1694" t="s">
        <v>8008</v>
      </c>
      <c r="E1694" t="e" cm="1">
        <f t="array" ref="E1694">- NYSTATIN</f>
        <v>#NAME?</v>
      </c>
      <c r="F1694" t="s">
        <v>8009</v>
      </c>
      <c r="G1694" t="s">
        <v>8010</v>
      </c>
      <c r="H1694" t="s">
        <v>8011</v>
      </c>
      <c r="I1694" t="s">
        <v>8012</v>
      </c>
      <c r="J1694" t="s">
        <v>743</v>
      </c>
      <c r="K1694" t="s">
        <v>8013</v>
      </c>
      <c r="L1694" t="s">
        <v>8014</v>
      </c>
      <c r="M1694" t="s">
        <v>824</v>
      </c>
      <c r="N1694" t="s">
        <v>1818</v>
      </c>
      <c r="O1694" t="s">
        <v>8015</v>
      </c>
      <c r="P1694" t="s">
        <v>8016</v>
      </c>
      <c r="Q1694" t="s">
        <v>8017</v>
      </c>
      <c r="R1694">
        <v>8</v>
      </c>
      <c r="S1694">
        <v>16</v>
      </c>
    </row>
    <row r="1695" spans="1:19" x14ac:dyDescent="0.35">
      <c r="A1695">
        <v>6541</v>
      </c>
      <c r="B1695" t="s">
        <v>8018</v>
      </c>
      <c r="C1695" t="s">
        <v>42</v>
      </c>
      <c r="D1695" t="s">
        <v>8019</v>
      </c>
      <c r="E1695" t="e" cm="1">
        <f t="array" ref="E1695">- NYSTATIN</f>
        <v>#NAME?</v>
      </c>
      <c r="F1695" t="s">
        <v>8020</v>
      </c>
      <c r="I1695" t="s">
        <v>8021</v>
      </c>
      <c r="J1695" t="s">
        <v>8022</v>
      </c>
      <c r="M1695" t="s">
        <v>340</v>
      </c>
      <c r="N1695" t="s">
        <v>1818</v>
      </c>
      <c r="O1695" t="s">
        <v>8023</v>
      </c>
      <c r="P1695" t="s">
        <v>8024</v>
      </c>
      <c r="Q1695" t="s">
        <v>8025</v>
      </c>
      <c r="R1695">
        <v>8</v>
      </c>
      <c r="S1695">
        <v>16</v>
      </c>
    </row>
    <row r="1696" spans="1:19" x14ac:dyDescent="0.35">
      <c r="A1696">
        <v>6540</v>
      </c>
      <c r="B1696" t="s">
        <v>8018</v>
      </c>
      <c r="C1696" t="s">
        <v>42</v>
      </c>
      <c r="D1696" t="s">
        <v>8019</v>
      </c>
      <c r="E1696" t="e" cm="1">
        <f t="array" ref="E1696">- NYSTATIN</f>
        <v>#NAME?</v>
      </c>
      <c r="F1696" t="s">
        <v>8020</v>
      </c>
      <c r="I1696" t="s">
        <v>8021</v>
      </c>
      <c r="J1696" t="s">
        <v>8022</v>
      </c>
      <c r="M1696" t="s">
        <v>340</v>
      </c>
      <c r="N1696" t="s">
        <v>1818</v>
      </c>
      <c r="O1696" t="s">
        <v>8023</v>
      </c>
      <c r="P1696" t="s">
        <v>8024</v>
      </c>
      <c r="Q1696" t="s">
        <v>8025</v>
      </c>
      <c r="R1696">
        <v>8</v>
      </c>
      <c r="S1696">
        <v>16</v>
      </c>
    </row>
    <row r="1697" spans="1:19" x14ac:dyDescent="0.35">
      <c r="A1697">
        <v>6715</v>
      </c>
      <c r="B1697" t="s">
        <v>8026</v>
      </c>
      <c r="C1697" t="s">
        <v>42</v>
      </c>
      <c r="D1697" t="s">
        <v>8027</v>
      </c>
      <c r="E1697" t="e" cm="1">
        <f t="array" ref="E1697">- DIACEREIN</f>
        <v>#NAME?</v>
      </c>
      <c r="F1697" s="1">
        <v>149200</v>
      </c>
      <c r="G1697" t="s">
        <v>8028</v>
      </c>
      <c r="H1697" t="s">
        <v>8029</v>
      </c>
      <c r="I1697" t="s">
        <v>8030</v>
      </c>
      <c r="J1697" t="s">
        <v>347</v>
      </c>
      <c r="K1697" t="s">
        <v>8031</v>
      </c>
      <c r="L1697" t="s">
        <v>8032</v>
      </c>
      <c r="M1697" t="s">
        <v>38</v>
      </c>
      <c r="N1697" t="s">
        <v>348</v>
      </c>
      <c r="O1697" t="s">
        <v>8033</v>
      </c>
      <c r="P1697" t="s">
        <v>8034</v>
      </c>
      <c r="Q1697" t="s">
        <v>8035</v>
      </c>
      <c r="R1697">
        <v>8</v>
      </c>
      <c r="S1697">
        <v>16</v>
      </c>
    </row>
    <row r="1698" spans="1:19" x14ac:dyDescent="0.35">
      <c r="A1698">
        <v>6539</v>
      </c>
      <c r="B1698" t="s">
        <v>8018</v>
      </c>
      <c r="C1698" t="s">
        <v>42</v>
      </c>
      <c r="D1698" t="s">
        <v>8019</v>
      </c>
      <c r="E1698" t="e" cm="1">
        <f t="array" ref="E1698">- NYSTATIN</f>
        <v>#NAME?</v>
      </c>
      <c r="F1698" t="s">
        <v>8020</v>
      </c>
      <c r="I1698" t="s">
        <v>8021</v>
      </c>
      <c r="J1698" t="s">
        <v>8022</v>
      </c>
      <c r="M1698" t="s">
        <v>340</v>
      </c>
      <c r="N1698" t="s">
        <v>1818</v>
      </c>
      <c r="O1698" t="s">
        <v>8023</v>
      </c>
      <c r="P1698" t="s">
        <v>8024</v>
      </c>
      <c r="Q1698" t="s">
        <v>8025</v>
      </c>
      <c r="R1698">
        <v>8</v>
      </c>
      <c r="S1698">
        <v>16</v>
      </c>
    </row>
    <row r="1699" spans="1:19" x14ac:dyDescent="0.35">
      <c r="A1699">
        <v>6537</v>
      </c>
      <c r="B1699" t="s">
        <v>8018</v>
      </c>
      <c r="C1699" t="s">
        <v>42</v>
      </c>
      <c r="D1699" t="s">
        <v>8036</v>
      </c>
      <c r="E1699" t="e" cm="1">
        <f t="array" ref="E1699">- NYSTATIN</f>
        <v>#NAME?</v>
      </c>
      <c r="F1699" t="s">
        <v>8037</v>
      </c>
      <c r="G1699" t="s">
        <v>4939</v>
      </c>
      <c r="H1699" t="s">
        <v>8038</v>
      </c>
      <c r="I1699" t="s">
        <v>8021</v>
      </c>
      <c r="J1699" t="s">
        <v>1824</v>
      </c>
      <c r="K1699" t="s">
        <v>4677</v>
      </c>
      <c r="L1699" t="s">
        <v>8039</v>
      </c>
      <c r="M1699" t="s">
        <v>340</v>
      </c>
      <c r="N1699" t="s">
        <v>1818</v>
      </c>
      <c r="O1699" t="s">
        <v>8023</v>
      </c>
      <c r="P1699" t="s">
        <v>8024</v>
      </c>
      <c r="Q1699" t="s">
        <v>8025</v>
      </c>
      <c r="R1699">
        <v>8</v>
      </c>
      <c r="S1699">
        <v>16</v>
      </c>
    </row>
    <row r="1700" spans="1:19" x14ac:dyDescent="0.35">
      <c r="A1700">
        <v>6536</v>
      </c>
      <c r="B1700" t="s">
        <v>8018</v>
      </c>
      <c r="C1700" t="s">
        <v>42</v>
      </c>
      <c r="D1700" t="s">
        <v>8036</v>
      </c>
      <c r="E1700" t="e" cm="1">
        <f t="array" ref="E1700">- NYSTATIN</f>
        <v>#NAME?</v>
      </c>
      <c r="F1700" t="s">
        <v>8037</v>
      </c>
      <c r="G1700" t="s">
        <v>4939</v>
      </c>
      <c r="H1700" t="s">
        <v>8038</v>
      </c>
      <c r="I1700" t="s">
        <v>8021</v>
      </c>
      <c r="J1700" t="s">
        <v>1824</v>
      </c>
      <c r="K1700" t="s">
        <v>4677</v>
      </c>
      <c r="L1700" t="s">
        <v>8039</v>
      </c>
      <c r="M1700" t="s">
        <v>340</v>
      </c>
      <c r="N1700" t="s">
        <v>1818</v>
      </c>
      <c r="O1700" t="s">
        <v>8023</v>
      </c>
      <c r="P1700" t="s">
        <v>8024</v>
      </c>
      <c r="Q1700" t="s">
        <v>8025</v>
      </c>
      <c r="R1700">
        <v>8</v>
      </c>
      <c r="S1700">
        <v>16</v>
      </c>
    </row>
    <row r="1701" spans="1:19" x14ac:dyDescent="0.35">
      <c r="A1701">
        <v>6535</v>
      </c>
      <c r="B1701" t="s">
        <v>8018</v>
      </c>
      <c r="C1701" t="s">
        <v>42</v>
      </c>
      <c r="D1701" t="s">
        <v>8036</v>
      </c>
      <c r="E1701" t="e" cm="1">
        <f t="array" ref="E1701">- NYSTATIN</f>
        <v>#NAME?</v>
      </c>
      <c r="F1701" t="s">
        <v>8037</v>
      </c>
      <c r="G1701" t="s">
        <v>4939</v>
      </c>
      <c r="H1701" t="s">
        <v>8038</v>
      </c>
      <c r="I1701" t="s">
        <v>8021</v>
      </c>
      <c r="J1701" t="s">
        <v>1824</v>
      </c>
      <c r="K1701" t="s">
        <v>4677</v>
      </c>
      <c r="L1701" t="s">
        <v>8039</v>
      </c>
      <c r="M1701" t="s">
        <v>340</v>
      </c>
      <c r="N1701" t="s">
        <v>1818</v>
      </c>
      <c r="O1701" t="s">
        <v>8023</v>
      </c>
      <c r="P1701" t="s">
        <v>8024</v>
      </c>
      <c r="Q1701" t="s">
        <v>8025</v>
      </c>
      <c r="R1701">
        <v>8</v>
      </c>
      <c r="S1701">
        <v>16</v>
      </c>
    </row>
    <row r="1702" spans="1:19" x14ac:dyDescent="0.35">
      <c r="A1702">
        <v>6534</v>
      </c>
      <c r="B1702" t="s">
        <v>8018</v>
      </c>
      <c r="C1702" t="s">
        <v>42</v>
      </c>
      <c r="D1702" t="s">
        <v>8036</v>
      </c>
      <c r="E1702" t="e" cm="1">
        <f t="array" ref="E1702">- NYSTATIN</f>
        <v>#NAME?</v>
      </c>
      <c r="F1702" t="s">
        <v>8037</v>
      </c>
      <c r="G1702" t="s">
        <v>4939</v>
      </c>
      <c r="H1702" t="s">
        <v>8038</v>
      </c>
      <c r="I1702" t="s">
        <v>8021</v>
      </c>
      <c r="J1702" t="s">
        <v>1824</v>
      </c>
      <c r="K1702" t="s">
        <v>4677</v>
      </c>
      <c r="L1702" t="s">
        <v>8039</v>
      </c>
      <c r="M1702" t="s">
        <v>340</v>
      </c>
      <c r="N1702" t="s">
        <v>1818</v>
      </c>
      <c r="O1702" t="s">
        <v>8023</v>
      </c>
      <c r="P1702" t="s">
        <v>8024</v>
      </c>
      <c r="Q1702" t="s">
        <v>8025</v>
      </c>
      <c r="R1702">
        <v>8</v>
      </c>
      <c r="S1702">
        <v>16</v>
      </c>
    </row>
    <row r="1703" spans="1:19" x14ac:dyDescent="0.35">
      <c r="A1703">
        <v>6487</v>
      </c>
      <c r="B1703" t="s">
        <v>8040</v>
      </c>
      <c r="C1703" t="s">
        <v>42</v>
      </c>
      <c r="D1703" t="s">
        <v>8041</v>
      </c>
      <c r="E1703" t="e" cm="1">
        <f t="array" ref="E1703">- CIPROFLOXACIN HYDROCHLORIDE</f>
        <v>#NAME?</v>
      </c>
      <c r="F1703" t="s">
        <v>8042</v>
      </c>
      <c r="G1703" t="s">
        <v>5568</v>
      </c>
      <c r="H1703" t="s">
        <v>8043</v>
      </c>
      <c r="I1703" t="s">
        <v>8044</v>
      </c>
      <c r="J1703" t="s">
        <v>8045</v>
      </c>
      <c r="K1703" t="s">
        <v>8046</v>
      </c>
      <c r="L1703" t="s">
        <v>8047</v>
      </c>
      <c r="M1703" t="s">
        <v>291</v>
      </c>
      <c r="N1703" t="s">
        <v>1624</v>
      </c>
      <c r="O1703" t="s">
        <v>8048</v>
      </c>
      <c r="P1703" t="s">
        <v>8049</v>
      </c>
      <c r="Q1703" t="s">
        <v>8050</v>
      </c>
      <c r="R1703">
        <v>8</v>
      </c>
      <c r="S1703">
        <v>16</v>
      </c>
    </row>
    <row r="1704" spans="1:19" x14ac:dyDescent="0.35">
      <c r="A1704">
        <v>6453</v>
      </c>
      <c r="B1704" t="s">
        <v>8051</v>
      </c>
      <c r="C1704" t="s">
        <v>42</v>
      </c>
      <c r="D1704" t="s">
        <v>8052</v>
      </c>
      <c r="E1704" t="e" cm="1">
        <f t="array" ref="E1704">- ETHAMBUTOL HYDROCHLORIDE</f>
        <v>#NAME?</v>
      </c>
      <c r="F1704" t="s">
        <v>8053</v>
      </c>
      <c r="G1704" t="s">
        <v>8054</v>
      </c>
      <c r="H1704" t="s">
        <v>8055</v>
      </c>
      <c r="I1704" t="s">
        <v>8056</v>
      </c>
      <c r="J1704" t="s">
        <v>8057</v>
      </c>
      <c r="K1704" t="s">
        <v>8058</v>
      </c>
      <c r="L1704" t="s">
        <v>8059</v>
      </c>
      <c r="M1704" t="s">
        <v>291</v>
      </c>
      <c r="N1704" t="s">
        <v>3130</v>
      </c>
      <c r="O1704" t="s">
        <v>8060</v>
      </c>
      <c r="P1704" t="s">
        <v>8061</v>
      </c>
      <c r="Q1704" t="s">
        <v>8062</v>
      </c>
      <c r="R1704">
        <v>8</v>
      </c>
      <c r="S1704">
        <v>16</v>
      </c>
    </row>
    <row r="1705" spans="1:19" x14ac:dyDescent="0.35">
      <c r="A1705">
        <v>6431</v>
      </c>
      <c r="B1705" t="s">
        <v>1809</v>
      </c>
      <c r="C1705" t="s">
        <v>42</v>
      </c>
      <c r="D1705" t="s">
        <v>8063</v>
      </c>
      <c r="E1705" t="e" cm="1">
        <f t="array" ref="E1705">- ISONIAZID</f>
        <v>#NAME?</v>
      </c>
      <c r="F1705" t="s">
        <v>8064</v>
      </c>
      <c r="H1705" t="s">
        <v>8065</v>
      </c>
    </row>
    <row r="1706" spans="1:19" x14ac:dyDescent="0.35">
      <c r="A1706">
        <v>6430</v>
      </c>
      <c r="B1706" t="s">
        <v>1809</v>
      </c>
      <c r="C1706" t="s">
        <v>42</v>
      </c>
      <c r="D1706" t="s">
        <v>8063</v>
      </c>
      <c r="E1706" t="e" cm="1">
        <f t="array" ref="E1706">- ISONIAZID</f>
        <v>#NAME?</v>
      </c>
      <c r="F1706" t="s">
        <v>8064</v>
      </c>
      <c r="H1706" t="s">
        <v>8065</v>
      </c>
    </row>
    <row r="1707" spans="1:19" x14ac:dyDescent="0.35">
      <c r="A1707">
        <v>6358</v>
      </c>
      <c r="B1707" t="s">
        <v>8066</v>
      </c>
      <c r="C1707" t="s">
        <v>42</v>
      </c>
      <c r="D1707" t="s">
        <v>8067</v>
      </c>
      <c r="E1707" t="e" cm="1">
        <f t="array" ref="E1707">- RIFAMPICIN</f>
        <v>#NAME?</v>
      </c>
      <c r="F1707" s="1">
        <v>81200</v>
      </c>
      <c r="G1707" t="s">
        <v>8068</v>
      </c>
      <c r="H1707" t="s">
        <v>1410</v>
      </c>
      <c r="I1707" t="s">
        <v>8069</v>
      </c>
      <c r="J1707" t="s">
        <v>8070</v>
      </c>
      <c r="K1707" t="s">
        <v>8071</v>
      </c>
      <c r="L1707" t="s">
        <v>8072</v>
      </c>
      <c r="M1707" t="s">
        <v>46</v>
      </c>
      <c r="N1707" t="s">
        <v>516</v>
      </c>
      <c r="O1707" t="s">
        <v>8073</v>
      </c>
      <c r="P1707" t="s">
        <v>8074</v>
      </c>
      <c r="Q1707" t="s">
        <v>8075</v>
      </c>
      <c r="R1707">
        <v>8</v>
      </c>
      <c r="S1707">
        <v>16</v>
      </c>
    </row>
    <row r="1708" spans="1:19" x14ac:dyDescent="0.35">
      <c r="A1708">
        <v>6357</v>
      </c>
      <c r="B1708" t="s">
        <v>8076</v>
      </c>
      <c r="C1708" t="s">
        <v>42</v>
      </c>
      <c r="D1708" t="s">
        <v>8077</v>
      </c>
      <c r="E1708" t="e" cm="1">
        <f t="array" ref="E1708">- RIFAMPICIN</f>
        <v>#NAME?</v>
      </c>
      <c r="F1708" t="s">
        <v>8078</v>
      </c>
      <c r="G1708" t="s">
        <v>8068</v>
      </c>
      <c r="H1708" t="s">
        <v>1410</v>
      </c>
      <c r="I1708" t="s">
        <v>8069</v>
      </c>
      <c r="J1708" t="s">
        <v>7479</v>
      </c>
      <c r="K1708" t="s">
        <v>8071</v>
      </c>
      <c r="L1708" t="s">
        <v>8072</v>
      </c>
      <c r="M1708" t="s">
        <v>291</v>
      </c>
      <c r="N1708" t="s">
        <v>516</v>
      </c>
      <c r="O1708" t="s">
        <v>8073</v>
      </c>
      <c r="P1708" t="s">
        <v>8074</v>
      </c>
      <c r="Q1708" t="s">
        <v>8079</v>
      </c>
      <c r="R1708">
        <v>8</v>
      </c>
      <c r="S1708">
        <v>16</v>
      </c>
    </row>
    <row r="1709" spans="1:19" x14ac:dyDescent="0.35">
      <c r="A1709">
        <v>6538</v>
      </c>
      <c r="B1709" t="s">
        <v>8018</v>
      </c>
      <c r="C1709" t="s">
        <v>42</v>
      </c>
      <c r="D1709" t="s">
        <v>8019</v>
      </c>
      <c r="E1709" t="e" cm="1">
        <f t="array" ref="E1709">- NYSTATIN</f>
        <v>#NAME?</v>
      </c>
      <c r="F1709" t="s">
        <v>8020</v>
      </c>
      <c r="I1709" t="s">
        <v>8021</v>
      </c>
      <c r="J1709" t="s">
        <v>8022</v>
      </c>
      <c r="M1709" t="s">
        <v>340</v>
      </c>
      <c r="N1709" t="s">
        <v>1818</v>
      </c>
      <c r="O1709" t="s">
        <v>8023</v>
      </c>
      <c r="P1709" t="s">
        <v>8024</v>
      </c>
      <c r="Q1709" t="s">
        <v>8025</v>
      </c>
      <c r="R1709">
        <v>8</v>
      </c>
      <c r="S1709">
        <v>16</v>
      </c>
    </row>
    <row r="1710" spans="1:19" x14ac:dyDescent="0.35">
      <c r="A1710">
        <v>6716</v>
      </c>
      <c r="B1710" t="s">
        <v>8026</v>
      </c>
      <c r="C1710" t="s">
        <v>42</v>
      </c>
      <c r="D1710" t="s">
        <v>8027</v>
      </c>
      <c r="E1710" t="e" cm="1">
        <f t="array" ref="E1710">- DIACEREIN</f>
        <v>#NAME?</v>
      </c>
      <c r="F1710" s="1">
        <v>149200</v>
      </c>
      <c r="G1710" t="s">
        <v>8028</v>
      </c>
      <c r="H1710" t="s">
        <v>8029</v>
      </c>
      <c r="I1710" t="s">
        <v>8030</v>
      </c>
      <c r="J1710" t="s">
        <v>347</v>
      </c>
      <c r="K1710" t="s">
        <v>8031</v>
      </c>
      <c r="L1710" t="s">
        <v>8032</v>
      </c>
      <c r="M1710" t="s">
        <v>38</v>
      </c>
      <c r="N1710" t="s">
        <v>348</v>
      </c>
      <c r="O1710" t="s">
        <v>8033</v>
      </c>
      <c r="P1710" t="s">
        <v>8034</v>
      </c>
      <c r="Q1710" t="s">
        <v>8035</v>
      </c>
      <c r="R1710">
        <v>8</v>
      </c>
      <c r="S1710">
        <v>16</v>
      </c>
    </row>
    <row r="1711" spans="1:19" x14ac:dyDescent="0.35">
      <c r="A1711">
        <v>6717</v>
      </c>
      <c r="B1711" t="s">
        <v>8026</v>
      </c>
      <c r="C1711" t="s">
        <v>42</v>
      </c>
      <c r="D1711" t="s">
        <v>8027</v>
      </c>
      <c r="E1711" t="e" cm="1">
        <f t="array" ref="E1711">- DIACEREIN</f>
        <v>#NAME?</v>
      </c>
      <c r="F1711" s="1">
        <v>149200</v>
      </c>
      <c r="G1711" t="s">
        <v>8028</v>
      </c>
      <c r="H1711" t="s">
        <v>8029</v>
      </c>
      <c r="I1711" t="s">
        <v>8030</v>
      </c>
      <c r="J1711" t="s">
        <v>347</v>
      </c>
      <c r="K1711" t="s">
        <v>8031</v>
      </c>
      <c r="L1711" t="s">
        <v>8032</v>
      </c>
      <c r="M1711" t="s">
        <v>38</v>
      </c>
      <c r="N1711" t="s">
        <v>348</v>
      </c>
      <c r="O1711" t="s">
        <v>8033</v>
      </c>
      <c r="P1711" t="s">
        <v>8034</v>
      </c>
      <c r="Q1711" t="s">
        <v>8035</v>
      </c>
      <c r="R1711">
        <v>8</v>
      </c>
      <c r="S1711">
        <v>16</v>
      </c>
    </row>
    <row r="1712" spans="1:19" x14ac:dyDescent="0.35">
      <c r="A1712">
        <v>3469</v>
      </c>
      <c r="B1712" t="s">
        <v>8080</v>
      </c>
      <c r="C1712" t="s">
        <v>42</v>
      </c>
      <c r="D1712" t="s">
        <v>8081</v>
      </c>
      <c r="E1712" t="e" cm="1">
        <f t="array" ref="E1712">- SIMETHICONE. KOMBINASI-PANCREATIN</f>
        <v>#NAME?</v>
      </c>
      <c r="F1712" t="s">
        <v>8082</v>
      </c>
      <c r="G1712" t="s">
        <v>8083</v>
      </c>
      <c r="H1712" t="s">
        <v>8084</v>
      </c>
      <c r="I1712" t="s">
        <v>8085</v>
      </c>
      <c r="J1712" t="s">
        <v>8086</v>
      </c>
      <c r="K1712" t="s">
        <v>8087</v>
      </c>
      <c r="L1712" t="s">
        <v>8088</v>
      </c>
      <c r="M1712" t="s">
        <v>46</v>
      </c>
      <c r="N1712" t="s">
        <v>8089</v>
      </c>
      <c r="O1712" t="s">
        <v>8090</v>
      </c>
      <c r="P1712" t="s">
        <v>8091</v>
      </c>
      <c r="Q1712" t="s">
        <v>8092</v>
      </c>
      <c r="R1712">
        <v>8</v>
      </c>
      <c r="S1712">
        <v>16</v>
      </c>
    </row>
    <row r="1713" spans="1:19" x14ac:dyDescent="0.35">
      <c r="A1713">
        <v>7067</v>
      </c>
      <c r="B1713" t="s">
        <v>1803</v>
      </c>
      <c r="C1713" t="s">
        <v>42</v>
      </c>
      <c r="D1713" t="s">
        <v>8093</v>
      </c>
      <c r="E1713" t="e" cm="1">
        <f t="array" ref="E1713">- TIZANIDINE HYDROCHLORIDE</f>
        <v>#NAME?</v>
      </c>
      <c r="F1713" t="s">
        <v>8094</v>
      </c>
      <c r="J1713" t="s">
        <v>8095</v>
      </c>
      <c r="M1713" t="s">
        <v>46</v>
      </c>
      <c r="N1713" t="s">
        <v>1806</v>
      </c>
      <c r="P1713" t="s">
        <v>8096</v>
      </c>
      <c r="Q1713" t="s">
        <v>8097</v>
      </c>
      <c r="R1713">
        <v>8</v>
      </c>
      <c r="S1713">
        <v>16</v>
      </c>
    </row>
    <row r="1714" spans="1:19" x14ac:dyDescent="0.35">
      <c r="A1714">
        <v>7059</v>
      </c>
      <c r="B1714" t="s">
        <v>1803</v>
      </c>
      <c r="C1714" t="s">
        <v>42</v>
      </c>
      <c r="D1714" t="s">
        <v>5342</v>
      </c>
      <c r="E1714" t="e" cm="1">
        <f t="array" ref="E1714">- TIZANIDINE HYDROCHLORIDE</f>
        <v>#NAME?</v>
      </c>
      <c r="F1714" s="1">
        <v>22000</v>
      </c>
      <c r="G1714" t="s">
        <v>5343</v>
      </c>
      <c r="I1714" t="s">
        <v>5344</v>
      </c>
      <c r="J1714" t="s">
        <v>5345</v>
      </c>
      <c r="M1714" t="s">
        <v>46</v>
      </c>
      <c r="N1714" t="s">
        <v>1806</v>
      </c>
      <c r="O1714" t="s">
        <v>5346</v>
      </c>
      <c r="P1714" t="s">
        <v>5347</v>
      </c>
      <c r="Q1714" t="s">
        <v>8098</v>
      </c>
      <c r="R1714">
        <v>8</v>
      </c>
      <c r="S1714">
        <v>16</v>
      </c>
    </row>
    <row r="1715" spans="1:19" x14ac:dyDescent="0.35">
      <c r="A1715">
        <v>7051</v>
      </c>
      <c r="B1715" t="s">
        <v>1803</v>
      </c>
      <c r="C1715" t="s">
        <v>42</v>
      </c>
      <c r="D1715" t="s">
        <v>8099</v>
      </c>
      <c r="E1715" t="e" cm="1">
        <f t="array" ref="E1715">- TIZANIDINE HYDROCHLORIDE</f>
        <v>#NAME?</v>
      </c>
      <c r="F1715" t="s">
        <v>8100</v>
      </c>
      <c r="J1715" t="s">
        <v>8101</v>
      </c>
      <c r="M1715" t="s">
        <v>46</v>
      </c>
      <c r="N1715" t="s">
        <v>1806</v>
      </c>
      <c r="P1715" t="s">
        <v>8102</v>
      </c>
      <c r="Q1715" t="s">
        <v>8103</v>
      </c>
      <c r="R1715">
        <v>8</v>
      </c>
      <c r="S1715">
        <v>16</v>
      </c>
    </row>
    <row r="1716" spans="1:19" x14ac:dyDescent="0.35">
      <c r="A1716">
        <v>7040</v>
      </c>
      <c r="B1716" t="s">
        <v>1803</v>
      </c>
      <c r="C1716" t="s">
        <v>42</v>
      </c>
      <c r="D1716" t="s">
        <v>8104</v>
      </c>
      <c r="E1716" t="e" cm="1">
        <f t="array" ref="E1716">- TIZANIDINE HYDROCHLORIDE</f>
        <v>#NAME?</v>
      </c>
      <c r="F1716" t="s">
        <v>8105</v>
      </c>
      <c r="J1716" t="s">
        <v>8106</v>
      </c>
      <c r="M1716" t="s">
        <v>46</v>
      </c>
      <c r="N1716" t="s">
        <v>1806</v>
      </c>
      <c r="P1716" t="s">
        <v>8107</v>
      </c>
      <c r="Q1716" t="s">
        <v>8108</v>
      </c>
      <c r="R1716">
        <v>8</v>
      </c>
      <c r="S1716">
        <v>16</v>
      </c>
    </row>
    <row r="1717" spans="1:19" x14ac:dyDescent="0.35">
      <c r="A1717">
        <v>3283</v>
      </c>
      <c r="B1717" t="s">
        <v>8109</v>
      </c>
      <c r="C1717" t="s">
        <v>42</v>
      </c>
      <c r="D1717" t="s">
        <v>8110</v>
      </c>
      <c r="E1717" t="e" cm="1">
        <f t="array" ref="E1717">- MEBEVERINE HYDROCHLORIDE</f>
        <v>#NAME?</v>
      </c>
      <c r="F1717" s="1">
        <v>63300</v>
      </c>
      <c r="G1717" t="s">
        <v>8111</v>
      </c>
      <c r="H1717" t="s">
        <v>5688</v>
      </c>
      <c r="I1717" t="s">
        <v>8112</v>
      </c>
      <c r="J1717" t="s">
        <v>3032</v>
      </c>
      <c r="L1717" t="s">
        <v>8113</v>
      </c>
      <c r="M1717" t="s">
        <v>46</v>
      </c>
      <c r="N1717" t="s">
        <v>8114</v>
      </c>
      <c r="O1717" t="s">
        <v>8115</v>
      </c>
      <c r="P1717" t="s">
        <v>8116</v>
      </c>
      <c r="Q1717" t="s">
        <v>8117</v>
      </c>
      <c r="R1717">
        <v>8</v>
      </c>
      <c r="S1717">
        <v>16</v>
      </c>
    </row>
    <row r="1718" spans="1:19" x14ac:dyDescent="0.35">
      <c r="A1718">
        <v>3284</v>
      </c>
      <c r="B1718" t="s">
        <v>8109</v>
      </c>
      <c r="C1718" t="s">
        <v>42</v>
      </c>
      <c r="D1718" t="s">
        <v>8110</v>
      </c>
      <c r="E1718" t="e" cm="1">
        <f t="array" ref="E1718">- MEBEVERINE HYDROCHLORIDE</f>
        <v>#NAME?</v>
      </c>
      <c r="F1718" s="1">
        <v>63300</v>
      </c>
      <c r="G1718" t="s">
        <v>8111</v>
      </c>
      <c r="H1718" t="s">
        <v>5688</v>
      </c>
      <c r="I1718" t="s">
        <v>8112</v>
      </c>
      <c r="J1718" t="s">
        <v>3032</v>
      </c>
      <c r="L1718" t="s">
        <v>8113</v>
      </c>
      <c r="M1718" t="s">
        <v>46</v>
      </c>
      <c r="N1718" t="s">
        <v>8114</v>
      </c>
      <c r="O1718" t="s">
        <v>8115</v>
      </c>
      <c r="P1718" t="s">
        <v>8116</v>
      </c>
      <c r="Q1718" t="s">
        <v>8117</v>
      </c>
      <c r="R1718">
        <v>8</v>
      </c>
      <c r="S1718">
        <v>16</v>
      </c>
    </row>
    <row r="1719" spans="1:19" x14ac:dyDescent="0.35">
      <c r="A1719">
        <v>7034</v>
      </c>
      <c r="B1719" t="s">
        <v>1803</v>
      </c>
      <c r="C1719" t="s">
        <v>42</v>
      </c>
      <c r="D1719" t="s">
        <v>8118</v>
      </c>
      <c r="E1719" t="e" cm="1">
        <f t="array" ref="E1719">- TIZANIDINE HYDROCHLORIDE</f>
        <v>#NAME?</v>
      </c>
      <c r="F1719" t="s">
        <v>8119</v>
      </c>
      <c r="J1719" t="s">
        <v>8120</v>
      </c>
      <c r="M1719" t="s">
        <v>46</v>
      </c>
      <c r="N1719" t="s">
        <v>1806</v>
      </c>
      <c r="P1719" t="s">
        <v>8121</v>
      </c>
      <c r="Q1719" t="s">
        <v>8122</v>
      </c>
      <c r="R1719">
        <v>8</v>
      </c>
      <c r="S1719">
        <v>16</v>
      </c>
    </row>
    <row r="1720" spans="1:19" x14ac:dyDescent="0.35">
      <c r="A1720">
        <v>7032</v>
      </c>
      <c r="B1720" t="s">
        <v>1803</v>
      </c>
      <c r="C1720" t="s">
        <v>42</v>
      </c>
      <c r="D1720" t="s">
        <v>8123</v>
      </c>
      <c r="E1720" t="e" cm="1">
        <f t="array" ref="E1720">- TIZANIDINE HYDROCHLORIDE</f>
        <v>#NAME?</v>
      </c>
      <c r="F1720" t="s">
        <v>8124</v>
      </c>
      <c r="G1720" t="s">
        <v>8125</v>
      </c>
      <c r="H1720" t="s">
        <v>1322</v>
      </c>
      <c r="I1720" t="s">
        <v>8126</v>
      </c>
      <c r="J1720" t="s">
        <v>8127</v>
      </c>
      <c r="M1720" t="s">
        <v>46</v>
      </c>
      <c r="N1720" t="s">
        <v>1806</v>
      </c>
      <c r="O1720" t="s">
        <v>8128</v>
      </c>
      <c r="P1720" t="s">
        <v>8129</v>
      </c>
      <c r="Q1720" t="s">
        <v>8130</v>
      </c>
      <c r="R1720">
        <v>8</v>
      </c>
      <c r="S1720">
        <v>16</v>
      </c>
    </row>
    <row r="1721" spans="1:19" x14ac:dyDescent="0.35">
      <c r="A1721">
        <v>3309</v>
      </c>
      <c r="B1721" t="s">
        <v>8131</v>
      </c>
      <c r="C1721" t="s">
        <v>42</v>
      </c>
      <c r="D1721" t="s">
        <v>8132</v>
      </c>
      <c r="E1721" t="e" cm="1">
        <f t="array" ref="E1721">- SUCRALFATE</f>
        <v>#NAME?</v>
      </c>
      <c r="F1721" s="1">
        <v>113600</v>
      </c>
      <c r="G1721" t="s">
        <v>8133</v>
      </c>
      <c r="H1721" t="s">
        <v>8134</v>
      </c>
      <c r="I1721" t="s">
        <v>8135</v>
      </c>
      <c r="J1721" t="s">
        <v>4985</v>
      </c>
      <c r="K1721" t="s">
        <v>8136</v>
      </c>
      <c r="L1721" t="s">
        <v>8137</v>
      </c>
      <c r="M1721" t="s">
        <v>340</v>
      </c>
      <c r="N1721" t="s">
        <v>375</v>
      </c>
      <c r="O1721" t="s">
        <v>8138</v>
      </c>
      <c r="P1721" t="s">
        <v>8139</v>
      </c>
      <c r="Q1721" t="s">
        <v>8140</v>
      </c>
      <c r="R1721">
        <v>8</v>
      </c>
      <c r="S1721">
        <v>16</v>
      </c>
    </row>
    <row r="1722" spans="1:19" x14ac:dyDescent="0.35">
      <c r="A1722">
        <v>7020</v>
      </c>
      <c r="B1722" t="s">
        <v>1803</v>
      </c>
      <c r="C1722" t="s">
        <v>42</v>
      </c>
      <c r="D1722" t="s">
        <v>8141</v>
      </c>
      <c r="E1722" t="e" cm="1">
        <f t="array" ref="E1722">- TIZANIDINE HYDROCHLORIDE</f>
        <v>#NAME?</v>
      </c>
      <c r="F1722" t="s">
        <v>8142</v>
      </c>
      <c r="J1722" t="s">
        <v>8143</v>
      </c>
      <c r="M1722" t="s">
        <v>46</v>
      </c>
      <c r="N1722" t="s">
        <v>1806</v>
      </c>
      <c r="P1722" t="s">
        <v>8144</v>
      </c>
      <c r="Q1722" t="s">
        <v>8145</v>
      </c>
      <c r="R1722">
        <v>8</v>
      </c>
      <c r="S1722">
        <v>16</v>
      </c>
    </row>
    <row r="1723" spans="1:19" x14ac:dyDescent="0.35">
      <c r="A1723">
        <v>7015</v>
      </c>
      <c r="B1723" t="s">
        <v>1803</v>
      </c>
      <c r="C1723" t="s">
        <v>42</v>
      </c>
      <c r="D1723" t="s">
        <v>8146</v>
      </c>
      <c r="E1723" t="e" cm="1">
        <f t="array" ref="E1723">- TIZANIDINE HYDROCHLORIDE</f>
        <v>#NAME?</v>
      </c>
      <c r="F1723" t="s">
        <v>5330</v>
      </c>
      <c r="J1723" t="s">
        <v>8147</v>
      </c>
      <c r="M1723" t="s">
        <v>46</v>
      </c>
      <c r="N1723" t="s">
        <v>1806</v>
      </c>
      <c r="P1723" t="s">
        <v>8148</v>
      </c>
      <c r="Q1723" t="s">
        <v>8149</v>
      </c>
      <c r="R1723">
        <v>8</v>
      </c>
      <c r="S1723">
        <v>16</v>
      </c>
    </row>
    <row r="1724" spans="1:19" x14ac:dyDescent="0.35">
      <c r="A1724">
        <v>7013</v>
      </c>
      <c r="B1724" t="s">
        <v>1803</v>
      </c>
      <c r="C1724" t="s">
        <v>42</v>
      </c>
      <c r="D1724" t="s">
        <v>8150</v>
      </c>
      <c r="E1724" t="e" cm="1">
        <f t="array" ref="E1724">- TIZANIDINE HYDROCHLORIDE</f>
        <v>#NAME?</v>
      </c>
      <c r="F1724" s="1">
        <v>58500</v>
      </c>
      <c r="J1724" t="s">
        <v>8151</v>
      </c>
      <c r="M1724" t="s">
        <v>46</v>
      </c>
      <c r="N1724" t="s">
        <v>1806</v>
      </c>
      <c r="P1724" t="s">
        <v>8152</v>
      </c>
      <c r="Q1724" t="s">
        <v>8153</v>
      </c>
      <c r="R1724">
        <v>8</v>
      </c>
      <c r="S1724">
        <v>16</v>
      </c>
    </row>
    <row r="1725" spans="1:19" x14ac:dyDescent="0.35">
      <c r="A1725">
        <v>7006</v>
      </c>
      <c r="B1725" t="s">
        <v>1803</v>
      </c>
      <c r="C1725" t="s">
        <v>42</v>
      </c>
      <c r="D1725" t="s">
        <v>8154</v>
      </c>
      <c r="E1725" t="e" cm="1">
        <f t="array" ref="E1725">- TIZANIDINE HYDROCHLORIDE</f>
        <v>#NAME?</v>
      </c>
      <c r="F1725" t="s">
        <v>8155</v>
      </c>
      <c r="J1725" t="s">
        <v>8101</v>
      </c>
      <c r="M1725" t="s">
        <v>46</v>
      </c>
      <c r="N1725" t="s">
        <v>1806</v>
      </c>
      <c r="P1725" t="s">
        <v>8156</v>
      </c>
      <c r="Q1725" t="s">
        <v>8157</v>
      </c>
      <c r="R1725">
        <v>8</v>
      </c>
      <c r="S1725">
        <v>16</v>
      </c>
    </row>
    <row r="1726" spans="1:19" x14ac:dyDescent="0.35">
      <c r="A1726">
        <v>6980</v>
      </c>
      <c r="B1726" t="s">
        <v>1803</v>
      </c>
      <c r="C1726" t="s">
        <v>42</v>
      </c>
      <c r="D1726" t="s">
        <v>8158</v>
      </c>
      <c r="E1726" t="e" cm="1">
        <f t="array" ref="E1726">- TIZANIDINE HYDROCHLORIDE</f>
        <v>#NAME?</v>
      </c>
      <c r="F1726" t="s">
        <v>8159</v>
      </c>
      <c r="M1726" t="s">
        <v>46</v>
      </c>
      <c r="N1726" t="s">
        <v>1806</v>
      </c>
      <c r="P1726" t="s">
        <v>8160</v>
      </c>
      <c r="Q1726" t="s">
        <v>8161</v>
      </c>
      <c r="R1726">
        <v>8</v>
      </c>
      <c r="S1726">
        <v>16</v>
      </c>
    </row>
    <row r="1727" spans="1:19" x14ac:dyDescent="0.35">
      <c r="A1727">
        <v>6971</v>
      </c>
      <c r="B1727" t="s">
        <v>1803</v>
      </c>
      <c r="C1727" t="s">
        <v>42</v>
      </c>
      <c r="D1727" t="s">
        <v>8162</v>
      </c>
      <c r="E1727" t="e" cm="1">
        <f t="array" ref="E1727">- TIZANIDINE HYDROCHLORIDE</f>
        <v>#NAME?</v>
      </c>
      <c r="F1727" t="s">
        <v>8163</v>
      </c>
      <c r="J1727" t="s">
        <v>8164</v>
      </c>
      <c r="M1727" t="s">
        <v>46</v>
      </c>
      <c r="N1727" t="s">
        <v>1806</v>
      </c>
      <c r="P1727" t="s">
        <v>8165</v>
      </c>
      <c r="Q1727" t="s">
        <v>8166</v>
      </c>
      <c r="R1727">
        <v>8</v>
      </c>
      <c r="S1727">
        <v>16</v>
      </c>
    </row>
    <row r="1728" spans="1:19" x14ac:dyDescent="0.35">
      <c r="A1728">
        <v>6964</v>
      </c>
      <c r="B1728" t="s">
        <v>1803</v>
      </c>
      <c r="C1728" t="s">
        <v>42</v>
      </c>
      <c r="D1728" t="s">
        <v>8167</v>
      </c>
      <c r="E1728" t="e" cm="1">
        <f t="array" ref="E1728">- TIZANIDINE HYDROCHLORIDE</f>
        <v>#NAME?</v>
      </c>
      <c r="F1728" t="s">
        <v>8168</v>
      </c>
      <c r="J1728" t="s">
        <v>8169</v>
      </c>
      <c r="M1728" t="s">
        <v>46</v>
      </c>
      <c r="N1728" t="s">
        <v>1806</v>
      </c>
      <c r="P1728" t="s">
        <v>8170</v>
      </c>
      <c r="Q1728" t="s">
        <v>8171</v>
      </c>
      <c r="R1728">
        <v>8</v>
      </c>
      <c r="S1728">
        <v>16</v>
      </c>
    </row>
    <row r="1729" spans="1:19" x14ac:dyDescent="0.35">
      <c r="A1729">
        <v>6960</v>
      </c>
      <c r="B1729" t="s">
        <v>1803</v>
      </c>
      <c r="C1729" t="s">
        <v>42</v>
      </c>
      <c r="D1729" t="s">
        <v>8172</v>
      </c>
      <c r="E1729" t="e" cm="1">
        <f t="array" ref="E1729">- TIZANIDINE HYDROCHLORIDE</f>
        <v>#NAME?</v>
      </c>
      <c r="F1729" t="s">
        <v>8173</v>
      </c>
      <c r="J1729" t="s">
        <v>8174</v>
      </c>
      <c r="M1729" t="s">
        <v>46</v>
      </c>
      <c r="N1729" t="s">
        <v>1806</v>
      </c>
      <c r="P1729" t="s">
        <v>8175</v>
      </c>
      <c r="Q1729" t="s">
        <v>8176</v>
      </c>
      <c r="R1729">
        <v>8</v>
      </c>
      <c r="S1729">
        <v>16</v>
      </c>
    </row>
    <row r="1730" spans="1:19" x14ac:dyDescent="0.35">
      <c r="A1730">
        <v>6959</v>
      </c>
      <c r="B1730" t="s">
        <v>1803</v>
      </c>
      <c r="C1730" t="s">
        <v>42</v>
      </c>
      <c r="D1730" t="s">
        <v>8177</v>
      </c>
      <c r="E1730" t="e" cm="1">
        <f t="array" ref="E1730">- TIZANIDINE HYDROCHLORIDE</f>
        <v>#NAME?</v>
      </c>
      <c r="F1730" s="1">
        <v>39000</v>
      </c>
      <c r="J1730" t="s">
        <v>3197</v>
      </c>
      <c r="M1730" t="s">
        <v>46</v>
      </c>
      <c r="N1730" t="s">
        <v>1806</v>
      </c>
      <c r="P1730" t="s">
        <v>8175</v>
      </c>
      <c r="Q1730" t="s">
        <v>8176</v>
      </c>
      <c r="R1730">
        <v>8</v>
      </c>
      <c r="S1730">
        <v>16</v>
      </c>
    </row>
    <row r="1731" spans="1:19" x14ac:dyDescent="0.35">
      <c r="A1731">
        <v>6938</v>
      </c>
      <c r="B1731" t="s">
        <v>1803</v>
      </c>
      <c r="C1731" t="s">
        <v>42</v>
      </c>
      <c r="D1731" t="s">
        <v>8178</v>
      </c>
      <c r="E1731" t="e" cm="1">
        <f t="array" ref="E1731">- TIZANIDINE HYDROCHLORIDE</f>
        <v>#NAME?</v>
      </c>
      <c r="F1731" t="s">
        <v>8179</v>
      </c>
      <c r="J1731" t="s">
        <v>8180</v>
      </c>
      <c r="M1731" t="s">
        <v>46</v>
      </c>
      <c r="N1731" t="s">
        <v>1806</v>
      </c>
      <c r="P1731" t="s">
        <v>8181</v>
      </c>
      <c r="Q1731" t="s">
        <v>8182</v>
      </c>
      <c r="R1731">
        <v>8</v>
      </c>
      <c r="S1731">
        <v>16</v>
      </c>
    </row>
    <row r="1732" spans="1:19" x14ac:dyDescent="0.35">
      <c r="A1732">
        <v>6911</v>
      </c>
      <c r="B1732" t="s">
        <v>1803</v>
      </c>
      <c r="C1732" t="s">
        <v>42</v>
      </c>
      <c r="D1732" t="s">
        <v>8183</v>
      </c>
      <c r="E1732" t="e" cm="1">
        <f t="array" ref="E1732">- TIZANIDINE HYDROCHLORIDE</f>
        <v>#NAME?</v>
      </c>
      <c r="F1732" t="s">
        <v>8184</v>
      </c>
      <c r="G1732" t="s">
        <v>8185</v>
      </c>
      <c r="H1732" t="s">
        <v>3854</v>
      </c>
      <c r="I1732" t="s">
        <v>8186</v>
      </c>
      <c r="J1732" t="s">
        <v>8187</v>
      </c>
      <c r="L1732" t="s">
        <v>8188</v>
      </c>
      <c r="M1732" t="s">
        <v>46</v>
      </c>
      <c r="N1732" t="s">
        <v>1806</v>
      </c>
      <c r="O1732" t="s">
        <v>8189</v>
      </c>
      <c r="P1732" t="s">
        <v>8190</v>
      </c>
      <c r="Q1732" t="s">
        <v>8191</v>
      </c>
      <c r="R1732">
        <v>8</v>
      </c>
      <c r="S1732">
        <v>16</v>
      </c>
    </row>
    <row r="1733" spans="1:19" x14ac:dyDescent="0.35">
      <c r="A1733">
        <v>3449</v>
      </c>
      <c r="B1733" t="s">
        <v>8192</v>
      </c>
      <c r="C1733" t="s">
        <v>42</v>
      </c>
      <c r="D1733" t="s">
        <v>8193</v>
      </c>
      <c r="E1733" t="e" cm="1">
        <f t="array" ref="E1733">- SUCRALFATE</f>
        <v>#NAME?</v>
      </c>
      <c r="F1733" t="s">
        <v>8194</v>
      </c>
      <c r="G1733" t="s">
        <v>1724</v>
      </c>
      <c r="H1733" t="s">
        <v>8195</v>
      </c>
      <c r="I1733" t="s">
        <v>8196</v>
      </c>
      <c r="J1733" t="s">
        <v>381</v>
      </c>
      <c r="K1733" t="s">
        <v>8197</v>
      </c>
      <c r="L1733" t="s">
        <v>8198</v>
      </c>
      <c r="M1733" t="s">
        <v>340</v>
      </c>
      <c r="N1733" t="s">
        <v>375</v>
      </c>
      <c r="O1733" t="s">
        <v>8199</v>
      </c>
      <c r="P1733" t="s">
        <v>8200</v>
      </c>
      <c r="Q1733" t="s">
        <v>8201</v>
      </c>
      <c r="R1733">
        <v>8</v>
      </c>
      <c r="S1733">
        <v>16</v>
      </c>
    </row>
    <row r="1734" spans="1:19" x14ac:dyDescent="0.35">
      <c r="A1734">
        <v>3450</v>
      </c>
      <c r="B1734" t="s">
        <v>8202</v>
      </c>
      <c r="C1734" t="s">
        <v>42</v>
      </c>
      <c r="D1734" t="s">
        <v>8203</v>
      </c>
      <c r="E1734" t="e" cm="1">
        <f t="array" ref="E1734">- SUCRALFATE</f>
        <v>#NAME?</v>
      </c>
      <c r="F1734" t="s">
        <v>8204</v>
      </c>
      <c r="G1734" t="s">
        <v>8205</v>
      </c>
      <c r="H1734" t="s">
        <v>8206</v>
      </c>
      <c r="I1734" t="s">
        <v>8207</v>
      </c>
      <c r="J1734" t="s">
        <v>8208</v>
      </c>
      <c r="K1734" t="s">
        <v>2680</v>
      </c>
      <c r="L1734" t="s">
        <v>8209</v>
      </c>
      <c r="M1734" t="s">
        <v>291</v>
      </c>
      <c r="N1734" t="s">
        <v>375</v>
      </c>
      <c r="O1734" t="s">
        <v>8210</v>
      </c>
      <c r="P1734" t="s">
        <v>8211</v>
      </c>
      <c r="Q1734" t="s">
        <v>8212</v>
      </c>
      <c r="R1734">
        <v>8</v>
      </c>
      <c r="S1734">
        <v>16</v>
      </c>
    </row>
    <row r="1735" spans="1:19" x14ac:dyDescent="0.35">
      <c r="A1735">
        <v>3468</v>
      </c>
      <c r="B1735" t="s">
        <v>8213</v>
      </c>
      <c r="C1735" t="s">
        <v>42</v>
      </c>
      <c r="D1735" t="s">
        <v>8214</v>
      </c>
      <c r="E1735" t="e" cm="1">
        <f t="array" ref="E1735">- DRIED ALUMINIUM HYDROXIDE GEL</f>
        <v>#NAME?</v>
      </c>
      <c r="F1735" t="s">
        <v>8215</v>
      </c>
      <c r="M1735" t="s">
        <v>46</v>
      </c>
      <c r="N1735" t="s">
        <v>4172</v>
      </c>
      <c r="P1735" t="s">
        <v>8216</v>
      </c>
      <c r="Q1735" t="s">
        <v>8217</v>
      </c>
      <c r="R1735">
        <v>8</v>
      </c>
      <c r="S1735">
        <v>16</v>
      </c>
    </row>
    <row r="1736" spans="1:19" x14ac:dyDescent="0.35">
      <c r="A1736">
        <v>2631</v>
      </c>
      <c r="B1736" t="s">
        <v>8218</v>
      </c>
      <c r="C1736" t="s">
        <v>42</v>
      </c>
      <c r="D1736" t="s">
        <v>8219</v>
      </c>
      <c r="E1736" t="e" cm="1">
        <f t="array" ref="E1736">- CAFFEINE</f>
        <v>#NAME?</v>
      </c>
      <c r="F1736" t="s">
        <v>8220</v>
      </c>
      <c r="G1736" t="s">
        <v>2453</v>
      </c>
      <c r="H1736" t="s">
        <v>8221</v>
      </c>
      <c r="I1736" t="s">
        <v>8222</v>
      </c>
      <c r="J1736" t="s">
        <v>727</v>
      </c>
      <c r="K1736" t="s">
        <v>8223</v>
      </c>
      <c r="M1736" t="s">
        <v>291</v>
      </c>
      <c r="N1736" t="s">
        <v>2359</v>
      </c>
      <c r="O1736" t="s">
        <v>8224</v>
      </c>
      <c r="P1736" t="s">
        <v>8225</v>
      </c>
      <c r="Q1736" t="s">
        <v>8226</v>
      </c>
      <c r="R1736">
        <v>8</v>
      </c>
      <c r="S1736">
        <v>16</v>
      </c>
    </row>
    <row r="1737" spans="1:19" x14ac:dyDescent="0.35">
      <c r="A1737">
        <v>7629</v>
      </c>
      <c r="B1737" t="s">
        <v>8227</v>
      </c>
      <c r="C1737" t="s">
        <v>20</v>
      </c>
      <c r="D1737" t="s">
        <v>8228</v>
      </c>
      <c r="E1737" t="s">
        <v>8229</v>
      </c>
      <c r="F1737" t="s">
        <v>8230</v>
      </c>
      <c r="H1737" t="s">
        <v>8231</v>
      </c>
      <c r="I1737" t="s">
        <v>8232</v>
      </c>
      <c r="J1737" t="s">
        <v>8233</v>
      </c>
      <c r="K1737" t="s">
        <v>8234</v>
      </c>
      <c r="M1737" t="s">
        <v>38</v>
      </c>
      <c r="N1737" t="s">
        <v>8235</v>
      </c>
      <c r="O1737" t="s">
        <v>7633</v>
      </c>
      <c r="P1737" t="s">
        <v>8235</v>
      </c>
      <c r="Q1737" t="s">
        <v>8236</v>
      </c>
      <c r="R1737">
        <v>8</v>
      </c>
      <c r="S1737">
        <v>16</v>
      </c>
    </row>
    <row r="1738" spans="1:19" x14ac:dyDescent="0.35">
      <c r="A1738">
        <v>0</v>
      </c>
      <c r="B1738" t="s">
        <v>8237</v>
      </c>
      <c r="C1738" t="s">
        <v>42</v>
      </c>
      <c r="D1738" t="s">
        <v>8238</v>
      </c>
      <c r="E1738" t="e" cm="1">
        <f t="array" ref="E1738">- SILDENAFIL CITRATE</f>
        <v>#NAME?</v>
      </c>
      <c r="F1738" t="s">
        <v>8239</v>
      </c>
      <c r="G1738" t="s">
        <v>8240</v>
      </c>
      <c r="H1738" t="s">
        <v>8241</v>
      </c>
      <c r="I1738" t="s">
        <v>8242</v>
      </c>
      <c r="J1738" t="s">
        <v>8243</v>
      </c>
      <c r="K1738" t="s">
        <v>8244</v>
      </c>
      <c r="L1738" t="s">
        <v>8245</v>
      </c>
      <c r="M1738" t="s">
        <v>46</v>
      </c>
      <c r="N1738" t="s">
        <v>2519</v>
      </c>
      <c r="O1738" t="s">
        <v>8246</v>
      </c>
      <c r="P1738" t="s">
        <v>2519</v>
      </c>
      <c r="Q1738" t="s">
        <v>8247</v>
      </c>
      <c r="R1738">
        <v>8</v>
      </c>
      <c r="S1738">
        <v>16</v>
      </c>
    </row>
    <row r="1739" spans="1:19" x14ac:dyDescent="0.35">
      <c r="A1739">
        <v>272</v>
      </c>
      <c r="B1739" t="s">
        <v>8248</v>
      </c>
      <c r="C1739" t="s">
        <v>42</v>
      </c>
      <c r="D1739" t="s">
        <v>8249</v>
      </c>
      <c r="E1739" t="e" cm="1">
        <f t="array" ref="E1739">- SILDENAFIL</f>
        <v>#NAME?</v>
      </c>
      <c r="F1739" t="s">
        <v>8250</v>
      </c>
      <c r="G1739" t="s">
        <v>8240</v>
      </c>
      <c r="H1739" t="s">
        <v>8241</v>
      </c>
      <c r="I1739" t="s">
        <v>8242</v>
      </c>
      <c r="J1739" t="s">
        <v>8251</v>
      </c>
      <c r="K1739" t="s">
        <v>8252</v>
      </c>
      <c r="L1739" t="s">
        <v>8253</v>
      </c>
      <c r="M1739" t="s">
        <v>8254</v>
      </c>
      <c r="N1739" t="s">
        <v>8255</v>
      </c>
      <c r="O1739" t="s">
        <v>8246</v>
      </c>
      <c r="P1739" t="s">
        <v>8256</v>
      </c>
      <c r="Q1739" t="s">
        <v>8257</v>
      </c>
      <c r="R1739">
        <v>8</v>
      </c>
      <c r="S1739">
        <v>16</v>
      </c>
    </row>
    <row r="1740" spans="1:19" x14ac:dyDescent="0.35">
      <c r="A1740">
        <v>670</v>
      </c>
      <c r="B1740" t="s">
        <v>8258</v>
      </c>
      <c r="C1740" t="s">
        <v>20</v>
      </c>
      <c r="D1740" t="s">
        <v>8259</v>
      </c>
      <c r="E1740" t="s">
        <v>8260</v>
      </c>
      <c r="F1740" t="s">
        <v>8261</v>
      </c>
      <c r="G1740" t="s">
        <v>8262</v>
      </c>
      <c r="H1740" t="s">
        <v>8263</v>
      </c>
      <c r="J1740" t="s">
        <v>846</v>
      </c>
      <c r="L1740" t="s">
        <v>8264</v>
      </c>
      <c r="M1740" t="s">
        <v>2115</v>
      </c>
      <c r="N1740" t="s">
        <v>8265</v>
      </c>
      <c r="P1740" t="s">
        <v>8266</v>
      </c>
      <c r="Q1740" t="s">
        <v>8267</v>
      </c>
      <c r="R1740">
        <v>8</v>
      </c>
      <c r="S1740">
        <v>16</v>
      </c>
    </row>
    <row r="1741" spans="1:19" x14ac:dyDescent="0.35">
      <c r="A1741">
        <v>669</v>
      </c>
      <c r="B1741" t="s">
        <v>8258</v>
      </c>
      <c r="C1741" t="s">
        <v>20</v>
      </c>
      <c r="D1741" t="s">
        <v>8268</v>
      </c>
      <c r="E1741" t="s">
        <v>8260</v>
      </c>
      <c r="F1741" t="s">
        <v>8269</v>
      </c>
      <c r="G1741" t="s">
        <v>8262</v>
      </c>
      <c r="H1741" t="s">
        <v>8263</v>
      </c>
      <c r="J1741" t="s">
        <v>3275</v>
      </c>
      <c r="L1741" t="s">
        <v>8264</v>
      </c>
      <c r="M1741" t="s">
        <v>2115</v>
      </c>
      <c r="N1741" t="s">
        <v>8265</v>
      </c>
      <c r="P1741" t="s">
        <v>8266</v>
      </c>
      <c r="Q1741" t="s">
        <v>8267</v>
      </c>
      <c r="R1741">
        <v>8</v>
      </c>
      <c r="S1741">
        <v>16</v>
      </c>
    </row>
    <row r="1742" spans="1:19" x14ac:dyDescent="0.35">
      <c r="A1742">
        <v>415</v>
      </c>
      <c r="B1742" t="s">
        <v>8270</v>
      </c>
      <c r="C1742" t="s">
        <v>20</v>
      </c>
      <c r="D1742" t="s">
        <v>8271</v>
      </c>
      <c r="E1742" t="s">
        <v>8272</v>
      </c>
      <c r="F1742" t="s">
        <v>8273</v>
      </c>
      <c r="I1742" t="s">
        <v>4507</v>
      </c>
      <c r="J1742" t="s">
        <v>70</v>
      </c>
      <c r="M1742" t="s">
        <v>38</v>
      </c>
      <c r="N1742" t="s">
        <v>8274</v>
      </c>
      <c r="O1742" t="s">
        <v>4510</v>
      </c>
      <c r="P1742" t="s">
        <v>8275</v>
      </c>
      <c r="Q1742" t="s">
        <v>8276</v>
      </c>
      <c r="R1742">
        <v>8</v>
      </c>
      <c r="S1742">
        <v>16</v>
      </c>
    </row>
    <row r="1743" spans="1:19" x14ac:dyDescent="0.35">
      <c r="A1743">
        <v>261</v>
      </c>
      <c r="B1743" t="s">
        <v>8277</v>
      </c>
      <c r="C1743" t="s">
        <v>42</v>
      </c>
      <c r="D1743" t="s">
        <v>8278</v>
      </c>
      <c r="E1743" t="e" cm="1">
        <f t="array" ref="E1743">- SILDENAFIL CITRATE</f>
        <v>#NAME?</v>
      </c>
      <c r="F1743" t="s">
        <v>8279</v>
      </c>
      <c r="G1743" t="s">
        <v>8240</v>
      </c>
      <c r="H1743" t="s">
        <v>8241</v>
      </c>
      <c r="I1743" t="s">
        <v>8280</v>
      </c>
      <c r="J1743" t="s">
        <v>8281</v>
      </c>
      <c r="K1743" t="s">
        <v>8282</v>
      </c>
      <c r="L1743" t="s">
        <v>8283</v>
      </c>
      <c r="M1743" t="s">
        <v>46</v>
      </c>
      <c r="N1743" t="s">
        <v>2519</v>
      </c>
      <c r="O1743" t="s">
        <v>8284</v>
      </c>
      <c r="P1743" t="s">
        <v>8285</v>
      </c>
      <c r="Q1743" t="s">
        <v>8286</v>
      </c>
      <c r="R1743">
        <v>8</v>
      </c>
      <c r="S1743">
        <v>16</v>
      </c>
    </row>
    <row r="1744" spans="1:19" x14ac:dyDescent="0.35">
      <c r="A1744">
        <v>508</v>
      </c>
      <c r="B1744" t="s">
        <v>735</v>
      </c>
      <c r="C1744" t="s">
        <v>42</v>
      </c>
      <c r="D1744" t="s">
        <v>8287</v>
      </c>
      <c r="E1744" t="e" cm="1">
        <f t="array" ref="E1744">- AMINOPHYLLINE</f>
        <v>#NAME?</v>
      </c>
      <c r="F1744" t="s">
        <v>8288</v>
      </c>
      <c r="J1744" t="s">
        <v>8289</v>
      </c>
      <c r="M1744" t="s">
        <v>46</v>
      </c>
      <c r="N1744" t="s">
        <v>2551</v>
      </c>
      <c r="P1744" t="s">
        <v>8290</v>
      </c>
      <c r="Q1744" t="s">
        <v>8291</v>
      </c>
      <c r="R1744">
        <v>8</v>
      </c>
      <c r="S1744">
        <v>16</v>
      </c>
    </row>
    <row r="1745" spans="1:19" x14ac:dyDescent="0.35">
      <c r="A1745">
        <v>1720</v>
      </c>
      <c r="B1745" t="s">
        <v>8292</v>
      </c>
      <c r="C1745" t="s">
        <v>850</v>
      </c>
      <c r="D1745" t="s">
        <v>8293</v>
      </c>
      <c r="E1745" t="e" cm="1">
        <f t="array" ref="E1745">- Camphor</f>
        <v>#NAME?</v>
      </c>
      <c r="F1745" t="s">
        <v>6315</v>
      </c>
      <c r="G1745" t="s">
        <v>8294</v>
      </c>
      <c r="H1745" t="s">
        <v>1322</v>
      </c>
      <c r="I1745" t="s">
        <v>8295</v>
      </c>
      <c r="J1745" t="s">
        <v>8296</v>
      </c>
      <c r="M1745" t="s">
        <v>3423</v>
      </c>
      <c r="N1745" t="s">
        <v>853</v>
      </c>
      <c r="O1745" t="s">
        <v>8297</v>
      </c>
      <c r="P1745" t="s">
        <v>8298</v>
      </c>
      <c r="Q1745" t="s">
        <v>8299</v>
      </c>
      <c r="R1745">
        <v>8</v>
      </c>
      <c r="S1745">
        <v>16</v>
      </c>
    </row>
    <row r="1746" spans="1:19" x14ac:dyDescent="0.35">
      <c r="A1746">
        <v>1721</v>
      </c>
      <c r="B1746" t="s">
        <v>8292</v>
      </c>
      <c r="C1746" t="s">
        <v>850</v>
      </c>
      <c r="D1746" t="s">
        <v>8293</v>
      </c>
      <c r="E1746" t="e" cm="1">
        <f t="array" ref="E1746">- Camphor</f>
        <v>#NAME?</v>
      </c>
      <c r="F1746" t="s">
        <v>8300</v>
      </c>
      <c r="G1746" t="s">
        <v>8294</v>
      </c>
      <c r="H1746" t="s">
        <v>1322</v>
      </c>
      <c r="I1746" t="s">
        <v>8295</v>
      </c>
      <c r="J1746" t="s">
        <v>8296</v>
      </c>
      <c r="M1746" t="s">
        <v>3423</v>
      </c>
      <c r="N1746" t="s">
        <v>853</v>
      </c>
      <c r="O1746" t="s">
        <v>8297</v>
      </c>
      <c r="P1746" t="s">
        <v>8298</v>
      </c>
      <c r="Q1746" t="s">
        <v>8299</v>
      </c>
      <c r="R1746">
        <v>8</v>
      </c>
      <c r="S1746">
        <v>16</v>
      </c>
    </row>
    <row r="1747" spans="1:19" x14ac:dyDescent="0.35">
      <c r="A1747">
        <v>668</v>
      </c>
      <c r="B1747" t="s">
        <v>8258</v>
      </c>
      <c r="C1747" t="s">
        <v>20</v>
      </c>
      <c r="D1747" t="s">
        <v>8301</v>
      </c>
      <c r="E1747" t="s">
        <v>8260</v>
      </c>
      <c r="F1747" t="s">
        <v>8302</v>
      </c>
      <c r="J1747" t="s">
        <v>4201</v>
      </c>
      <c r="M1747" t="s">
        <v>2115</v>
      </c>
      <c r="N1747" t="s">
        <v>8265</v>
      </c>
      <c r="P1747" t="s">
        <v>8266</v>
      </c>
      <c r="Q1747" t="s">
        <v>8267</v>
      </c>
      <c r="R1747">
        <v>8</v>
      </c>
      <c r="S1747">
        <v>16</v>
      </c>
    </row>
    <row r="1748" spans="1:19" x14ac:dyDescent="0.35">
      <c r="A1748">
        <v>509</v>
      </c>
      <c r="B1748" t="s">
        <v>735</v>
      </c>
      <c r="C1748" t="s">
        <v>42</v>
      </c>
      <c r="D1748" t="s">
        <v>8303</v>
      </c>
      <c r="E1748" t="e" cm="1">
        <f t="array" ref="E1748">- AMINOPHYLLINE</f>
        <v>#NAME?</v>
      </c>
      <c r="F1748" t="s">
        <v>8304</v>
      </c>
      <c r="J1748" t="s">
        <v>8289</v>
      </c>
      <c r="M1748" t="s">
        <v>46</v>
      </c>
      <c r="N1748" t="s">
        <v>2551</v>
      </c>
      <c r="P1748" t="s">
        <v>8290</v>
      </c>
      <c r="Q1748" t="s">
        <v>8291</v>
      </c>
      <c r="R1748">
        <v>8</v>
      </c>
      <c r="S1748">
        <v>16</v>
      </c>
    </row>
    <row r="1749" spans="1:19" x14ac:dyDescent="0.35">
      <c r="A1749">
        <v>393</v>
      </c>
      <c r="B1749" t="s">
        <v>8305</v>
      </c>
      <c r="C1749" t="s">
        <v>20</v>
      </c>
      <c r="D1749" t="s">
        <v>8306</v>
      </c>
      <c r="E1749" t="s">
        <v>8307</v>
      </c>
      <c r="F1749" s="1">
        <v>74200</v>
      </c>
      <c r="G1749" t="s">
        <v>8308</v>
      </c>
      <c r="H1749" t="s">
        <v>8309</v>
      </c>
      <c r="I1749" t="s">
        <v>8310</v>
      </c>
      <c r="J1749" t="s">
        <v>8311</v>
      </c>
      <c r="M1749" t="s">
        <v>38</v>
      </c>
      <c r="N1749" t="s">
        <v>8312</v>
      </c>
      <c r="O1749" t="s">
        <v>8313</v>
      </c>
      <c r="P1749" t="s">
        <v>8314</v>
      </c>
      <c r="Q1749" t="s">
        <v>8315</v>
      </c>
      <c r="R1749">
        <v>8</v>
      </c>
      <c r="S1749">
        <v>16</v>
      </c>
    </row>
    <row r="1750" spans="1:19" x14ac:dyDescent="0.35">
      <c r="A1750">
        <v>202</v>
      </c>
      <c r="B1750" t="s">
        <v>2902</v>
      </c>
      <c r="C1750" t="s">
        <v>42</v>
      </c>
      <c r="D1750" t="s">
        <v>8104</v>
      </c>
      <c r="E1750" t="e" cm="1">
        <f t="array" ref="E1750">- SILDENAFIL CITRATE</f>
        <v>#NAME?</v>
      </c>
      <c r="F1750" t="s">
        <v>8105</v>
      </c>
      <c r="J1750" t="s">
        <v>8106</v>
      </c>
      <c r="M1750" t="s">
        <v>46</v>
      </c>
      <c r="N1750" t="s">
        <v>2519</v>
      </c>
      <c r="P1750" t="s">
        <v>8107</v>
      </c>
      <c r="Q1750" t="s">
        <v>8316</v>
      </c>
      <c r="R1750">
        <v>8</v>
      </c>
      <c r="S1750">
        <v>16</v>
      </c>
    </row>
    <row r="1751" spans="1:19" x14ac:dyDescent="0.35">
      <c r="A1751">
        <v>13</v>
      </c>
      <c r="B1751" t="s">
        <v>2902</v>
      </c>
      <c r="C1751" t="s">
        <v>42</v>
      </c>
      <c r="D1751" t="s">
        <v>8317</v>
      </c>
      <c r="E1751" t="e" cm="1">
        <f t="array" ref="E1751">- SILDENAFIL CITRATE</f>
        <v>#NAME?</v>
      </c>
      <c r="F1751" t="s">
        <v>8318</v>
      </c>
      <c r="G1751" t="s">
        <v>8240</v>
      </c>
      <c r="H1751" t="s">
        <v>8241</v>
      </c>
      <c r="I1751" t="s">
        <v>8242</v>
      </c>
      <c r="J1751" t="s">
        <v>549</v>
      </c>
      <c r="K1751" t="s">
        <v>8244</v>
      </c>
      <c r="L1751" t="s">
        <v>8245</v>
      </c>
      <c r="M1751" t="s">
        <v>46</v>
      </c>
      <c r="N1751" t="s">
        <v>2519</v>
      </c>
      <c r="O1751" t="s">
        <v>8246</v>
      </c>
      <c r="P1751" t="s">
        <v>2519</v>
      </c>
      <c r="Q1751" t="s">
        <v>8247</v>
      </c>
      <c r="R1751">
        <v>8</v>
      </c>
      <c r="S1751">
        <v>16</v>
      </c>
    </row>
    <row r="1752" spans="1:19" x14ac:dyDescent="0.35">
      <c r="A1752">
        <v>772</v>
      </c>
      <c r="B1752" t="s">
        <v>8319</v>
      </c>
      <c r="C1752" t="s">
        <v>42</v>
      </c>
      <c r="D1752" t="s">
        <v>8320</v>
      </c>
      <c r="E1752" t="e" cm="1">
        <f t="array" ref="E1752">- PSEUDOEPHEDRINE HYDROCHLORIDE</f>
        <v>#NAME?</v>
      </c>
      <c r="G1752" t="s">
        <v>60</v>
      </c>
      <c r="H1752" t="s">
        <v>8321</v>
      </c>
      <c r="I1752" t="s">
        <v>8322</v>
      </c>
      <c r="J1752" t="s">
        <v>8323</v>
      </c>
      <c r="K1752" t="s">
        <v>8324</v>
      </c>
      <c r="L1752" t="s">
        <v>8325</v>
      </c>
      <c r="M1752" t="s">
        <v>46</v>
      </c>
      <c r="N1752" t="s">
        <v>8326</v>
      </c>
      <c r="O1752" t="s">
        <v>8327</v>
      </c>
      <c r="P1752" t="s">
        <v>8328</v>
      </c>
      <c r="Q1752" t="s">
        <v>8329</v>
      </c>
      <c r="R1752">
        <v>8</v>
      </c>
      <c r="S1752">
        <v>16</v>
      </c>
    </row>
    <row r="1753" spans="1:19" x14ac:dyDescent="0.35">
      <c r="A1753">
        <v>405</v>
      </c>
      <c r="B1753" t="s">
        <v>8330</v>
      </c>
      <c r="C1753" t="s">
        <v>20</v>
      </c>
      <c r="D1753" t="s">
        <v>8331</v>
      </c>
      <c r="E1753" t="s">
        <v>8332</v>
      </c>
      <c r="F1753" t="s">
        <v>8333</v>
      </c>
      <c r="H1753" t="s">
        <v>8334</v>
      </c>
      <c r="I1753" t="s">
        <v>8335</v>
      </c>
      <c r="J1753" t="s">
        <v>8336</v>
      </c>
      <c r="M1753" t="s">
        <v>38</v>
      </c>
      <c r="N1753" t="s">
        <v>8337</v>
      </c>
      <c r="O1753" t="s">
        <v>8338</v>
      </c>
      <c r="P1753" t="s">
        <v>8337</v>
      </c>
      <c r="Q1753" t="s">
        <v>8339</v>
      </c>
      <c r="R1753">
        <v>8</v>
      </c>
      <c r="S1753">
        <v>16</v>
      </c>
    </row>
    <row r="1754" spans="1:19" x14ac:dyDescent="0.35">
      <c r="A1754">
        <v>394</v>
      </c>
      <c r="B1754" t="s">
        <v>8305</v>
      </c>
      <c r="C1754" t="s">
        <v>20</v>
      </c>
      <c r="D1754" t="s">
        <v>8306</v>
      </c>
      <c r="E1754" t="s">
        <v>8307</v>
      </c>
      <c r="F1754" s="1">
        <v>74200</v>
      </c>
      <c r="G1754" t="s">
        <v>8308</v>
      </c>
      <c r="H1754" t="s">
        <v>8309</v>
      </c>
      <c r="I1754" t="s">
        <v>8310</v>
      </c>
      <c r="J1754" t="s">
        <v>8311</v>
      </c>
      <c r="M1754" t="s">
        <v>38</v>
      </c>
      <c r="N1754" t="s">
        <v>8312</v>
      </c>
      <c r="O1754" t="s">
        <v>8313</v>
      </c>
      <c r="P1754" t="s">
        <v>8314</v>
      </c>
      <c r="Q1754" t="s">
        <v>8315</v>
      </c>
      <c r="R1754">
        <v>8</v>
      </c>
      <c r="S1754">
        <v>16</v>
      </c>
    </row>
    <row r="1755" spans="1:19" x14ac:dyDescent="0.35">
      <c r="A1755">
        <v>73</v>
      </c>
      <c r="B1755" t="s">
        <v>2902</v>
      </c>
      <c r="C1755" t="s">
        <v>42</v>
      </c>
      <c r="D1755" t="s">
        <v>8340</v>
      </c>
      <c r="E1755" t="e" cm="1">
        <f t="array" ref="E1755">- SILDENAFIL CITRATE</f>
        <v>#NAME?</v>
      </c>
      <c r="F1755" t="s">
        <v>8341</v>
      </c>
      <c r="H1755" t="s">
        <v>1322</v>
      </c>
      <c r="J1755" t="s">
        <v>8342</v>
      </c>
      <c r="M1755" t="s">
        <v>46</v>
      </c>
      <c r="N1755" t="s">
        <v>2519</v>
      </c>
      <c r="P1755" t="s">
        <v>8343</v>
      </c>
      <c r="Q1755" t="s">
        <v>8344</v>
      </c>
      <c r="R1755">
        <v>8</v>
      </c>
      <c r="S1755">
        <v>16</v>
      </c>
    </row>
    <row r="1756" spans="1:19" x14ac:dyDescent="0.35">
      <c r="A1756">
        <v>1680</v>
      </c>
      <c r="B1756" t="s">
        <v>8345</v>
      </c>
      <c r="C1756" t="s">
        <v>850</v>
      </c>
      <c r="D1756" t="s">
        <v>8346</v>
      </c>
      <c r="E1756" t="e" cm="1">
        <f t="array" ref="E1756">- Camphor</f>
        <v>#NAME?</v>
      </c>
      <c r="F1756" t="s">
        <v>8347</v>
      </c>
      <c r="G1756" t="s">
        <v>8348</v>
      </c>
      <c r="H1756" t="s">
        <v>1322</v>
      </c>
      <c r="I1756" t="s">
        <v>8349</v>
      </c>
      <c r="J1756" t="s">
        <v>8350</v>
      </c>
      <c r="M1756" t="s">
        <v>3423</v>
      </c>
      <c r="N1756" t="s">
        <v>853</v>
      </c>
      <c r="O1756" t="s">
        <v>8351</v>
      </c>
      <c r="P1756" t="s">
        <v>8352</v>
      </c>
      <c r="Q1756" t="s">
        <v>8353</v>
      </c>
      <c r="R1756">
        <v>8</v>
      </c>
      <c r="S1756">
        <v>16</v>
      </c>
    </row>
    <row r="1757" spans="1:19" x14ac:dyDescent="0.35">
      <c r="A1757">
        <v>1625</v>
      </c>
      <c r="B1757" t="s">
        <v>2286</v>
      </c>
      <c r="C1757" t="s">
        <v>42</v>
      </c>
      <c r="D1757" t="s">
        <v>2287</v>
      </c>
      <c r="E1757" t="e" cm="1">
        <f t="array" ref="E1757">- PARACETAMOL. CHLORPHENAMINE MALEATE. GUAIFENESIN. PSEUDOEPHEDRINE HYDROCHLORIDE</f>
        <v>#NAME?</v>
      </c>
      <c r="F1757" t="s">
        <v>2288</v>
      </c>
      <c r="M1757" t="s">
        <v>291</v>
      </c>
      <c r="N1757" t="s">
        <v>8354</v>
      </c>
      <c r="P1757" t="s">
        <v>2289</v>
      </c>
      <c r="Q1757" t="s">
        <v>8355</v>
      </c>
      <c r="R1757">
        <v>8</v>
      </c>
      <c r="S1757">
        <v>16</v>
      </c>
    </row>
    <row r="1758" spans="1:19" x14ac:dyDescent="0.35">
      <c r="A1758">
        <v>1531</v>
      </c>
      <c r="B1758" t="s">
        <v>8356</v>
      </c>
      <c r="C1758" t="s">
        <v>42</v>
      </c>
      <c r="D1758" t="s">
        <v>8357</v>
      </c>
      <c r="E1758" t="e" cm="1">
        <f t="array" ref="E1758">- AMMONIUM CHLORIDE</f>
        <v>#NAME?</v>
      </c>
      <c r="F1758" t="s">
        <v>8358</v>
      </c>
      <c r="J1758" t="s">
        <v>334</v>
      </c>
      <c r="M1758" t="s">
        <v>271</v>
      </c>
      <c r="N1758" t="s">
        <v>1672</v>
      </c>
      <c r="P1758" t="s">
        <v>8359</v>
      </c>
      <c r="Q1758" t="s">
        <v>8360</v>
      </c>
      <c r="R1758">
        <v>8</v>
      </c>
      <c r="S1758">
        <v>16</v>
      </c>
    </row>
    <row r="1759" spans="1:19" x14ac:dyDescent="0.35">
      <c r="A1759">
        <v>1247</v>
      </c>
      <c r="B1759" t="s">
        <v>8361</v>
      </c>
      <c r="C1759" t="s">
        <v>42</v>
      </c>
      <c r="D1759" t="s">
        <v>8362</v>
      </c>
      <c r="E1759" t="e" cm="1">
        <f t="array" ref="E1759">- BROMHEXINE HYDROCHLORIDE</f>
        <v>#NAME?</v>
      </c>
      <c r="F1759" t="s">
        <v>8363</v>
      </c>
      <c r="H1759" t="s">
        <v>8364</v>
      </c>
      <c r="I1759" t="s">
        <v>8365</v>
      </c>
      <c r="J1759" t="s">
        <v>8366</v>
      </c>
      <c r="K1759" t="s">
        <v>8367</v>
      </c>
      <c r="L1759" t="s">
        <v>8368</v>
      </c>
      <c r="M1759" t="s">
        <v>46</v>
      </c>
      <c r="N1759" t="s">
        <v>1342</v>
      </c>
      <c r="O1759" t="s">
        <v>8369</v>
      </c>
      <c r="P1759" t="s">
        <v>8370</v>
      </c>
      <c r="Q1759" t="s">
        <v>8371</v>
      </c>
      <c r="R1759">
        <v>8</v>
      </c>
      <c r="S1759">
        <v>16</v>
      </c>
    </row>
    <row r="1760" spans="1:19" x14ac:dyDescent="0.35">
      <c r="A1760">
        <v>1246</v>
      </c>
      <c r="B1760" t="s">
        <v>8361</v>
      </c>
      <c r="C1760" t="s">
        <v>42</v>
      </c>
      <c r="D1760" t="s">
        <v>8362</v>
      </c>
      <c r="E1760" t="e" cm="1">
        <f t="array" ref="E1760">- BROMHEXINE HYDROCHLORIDE</f>
        <v>#NAME?</v>
      </c>
      <c r="F1760" t="s">
        <v>8363</v>
      </c>
      <c r="H1760" t="s">
        <v>8364</v>
      </c>
      <c r="I1760" t="s">
        <v>8365</v>
      </c>
      <c r="J1760" t="s">
        <v>8366</v>
      </c>
      <c r="K1760" t="s">
        <v>8367</v>
      </c>
      <c r="L1760" t="s">
        <v>8368</v>
      </c>
      <c r="M1760" t="s">
        <v>46</v>
      </c>
      <c r="N1760" t="s">
        <v>1342</v>
      </c>
      <c r="O1760" t="s">
        <v>8369</v>
      </c>
      <c r="P1760" t="s">
        <v>8370</v>
      </c>
      <c r="Q1760" t="s">
        <v>8371</v>
      </c>
      <c r="R1760">
        <v>8</v>
      </c>
      <c r="S1760">
        <v>16</v>
      </c>
    </row>
    <row r="1761" spans="1:19" x14ac:dyDescent="0.35">
      <c r="A1761">
        <v>1528</v>
      </c>
      <c r="B1761" t="s">
        <v>8356</v>
      </c>
      <c r="C1761" t="s">
        <v>42</v>
      </c>
      <c r="D1761" t="s">
        <v>8372</v>
      </c>
      <c r="E1761" t="e" cm="1">
        <f t="array" ref="E1761">- AMMONIUM CHLORIDE</f>
        <v>#NAME?</v>
      </c>
      <c r="F1761" t="s">
        <v>8373</v>
      </c>
      <c r="J1761" t="s">
        <v>374</v>
      </c>
      <c r="M1761" t="s">
        <v>271</v>
      </c>
      <c r="N1761" t="s">
        <v>1672</v>
      </c>
      <c r="P1761" t="s">
        <v>8359</v>
      </c>
      <c r="Q1761" t="s">
        <v>8360</v>
      </c>
      <c r="R1761">
        <v>8</v>
      </c>
      <c r="S1761">
        <v>16</v>
      </c>
    </row>
    <row r="1762" spans="1:19" x14ac:dyDescent="0.35">
      <c r="A1762">
        <v>279</v>
      </c>
      <c r="B1762" t="s">
        <v>8374</v>
      </c>
      <c r="C1762" t="s">
        <v>42</v>
      </c>
      <c r="D1762" t="s">
        <v>8375</v>
      </c>
      <c r="E1762" t="e" cm="1">
        <f t="array" ref="E1762">- TADALAFIL</f>
        <v>#NAME?</v>
      </c>
      <c r="F1762" t="s">
        <v>8376</v>
      </c>
      <c r="G1762" t="s">
        <v>8377</v>
      </c>
      <c r="H1762" t="s">
        <v>8378</v>
      </c>
      <c r="I1762" t="s">
        <v>8242</v>
      </c>
      <c r="J1762" t="s">
        <v>8379</v>
      </c>
      <c r="K1762" t="s">
        <v>8380</v>
      </c>
    </row>
    <row r="1763" spans="1:19" x14ac:dyDescent="0.35">
      <c r="A1763">
        <v>1682</v>
      </c>
      <c r="B1763" t="s">
        <v>8345</v>
      </c>
      <c r="C1763" t="s">
        <v>850</v>
      </c>
      <c r="D1763" t="s">
        <v>8346</v>
      </c>
      <c r="E1763" t="e" cm="1">
        <f t="array" ref="E1763">- Camphor</f>
        <v>#NAME?</v>
      </c>
      <c r="F1763" t="s">
        <v>8347</v>
      </c>
      <c r="G1763" t="s">
        <v>8348</v>
      </c>
      <c r="H1763" t="s">
        <v>1322</v>
      </c>
      <c r="I1763" t="s">
        <v>8349</v>
      </c>
      <c r="J1763" t="s">
        <v>8350</v>
      </c>
      <c r="M1763" t="s">
        <v>3423</v>
      </c>
      <c r="N1763" t="s">
        <v>853</v>
      </c>
      <c r="O1763" t="s">
        <v>8351</v>
      </c>
      <c r="P1763" t="s">
        <v>8352</v>
      </c>
      <c r="Q1763" t="s">
        <v>8353</v>
      </c>
      <c r="R1763">
        <v>8</v>
      </c>
      <c r="S1763">
        <v>16</v>
      </c>
    </row>
    <row r="1764" spans="1:19" x14ac:dyDescent="0.35">
      <c r="A1764">
        <v>262</v>
      </c>
      <c r="B1764" t="s">
        <v>8277</v>
      </c>
      <c r="C1764" t="s">
        <v>42</v>
      </c>
      <c r="D1764" t="s">
        <v>8278</v>
      </c>
      <c r="E1764" t="e" cm="1">
        <f t="array" ref="E1764">- SILDENAFIL CITRATE</f>
        <v>#NAME?</v>
      </c>
      <c r="F1764" t="s">
        <v>8279</v>
      </c>
      <c r="G1764" t="s">
        <v>8240</v>
      </c>
      <c r="H1764" t="s">
        <v>8241</v>
      </c>
      <c r="I1764" t="s">
        <v>8280</v>
      </c>
      <c r="J1764" t="s">
        <v>8281</v>
      </c>
      <c r="K1764" t="s">
        <v>8282</v>
      </c>
      <c r="L1764" t="s">
        <v>8283</v>
      </c>
      <c r="M1764" t="s">
        <v>46</v>
      </c>
      <c r="N1764" t="s">
        <v>2519</v>
      </c>
      <c r="O1764" t="s">
        <v>8284</v>
      </c>
      <c r="P1764" t="s">
        <v>8285</v>
      </c>
      <c r="Q1764" t="s">
        <v>8286</v>
      </c>
      <c r="R1764">
        <v>8</v>
      </c>
      <c r="S1764">
        <v>16</v>
      </c>
    </row>
    <row r="1765" spans="1:19" x14ac:dyDescent="0.35">
      <c r="A1765">
        <v>278</v>
      </c>
      <c r="B1765" t="s">
        <v>8374</v>
      </c>
      <c r="C1765" t="s">
        <v>42</v>
      </c>
      <c r="D1765" t="s">
        <v>8375</v>
      </c>
      <c r="E1765" t="e" cm="1">
        <f t="array" ref="E1765">- TADALAFIL</f>
        <v>#NAME?</v>
      </c>
      <c r="F1765" t="s">
        <v>8376</v>
      </c>
      <c r="G1765" t="s">
        <v>8377</v>
      </c>
      <c r="H1765" t="s">
        <v>8378</v>
      </c>
      <c r="I1765" t="s">
        <v>8242</v>
      </c>
      <c r="J1765" t="s">
        <v>8379</v>
      </c>
      <c r="K1765" t="s">
        <v>8380</v>
      </c>
    </row>
    <row r="1766" spans="1:19" x14ac:dyDescent="0.35">
      <c r="A1766">
        <v>260</v>
      </c>
      <c r="B1766" t="s">
        <v>8277</v>
      </c>
      <c r="C1766" t="s">
        <v>42</v>
      </c>
      <c r="D1766" t="s">
        <v>8278</v>
      </c>
      <c r="E1766" t="e" cm="1">
        <f t="array" ref="E1766">- SILDENAFIL CITRATE</f>
        <v>#NAME?</v>
      </c>
      <c r="F1766" t="s">
        <v>8279</v>
      </c>
      <c r="G1766" t="s">
        <v>8240</v>
      </c>
      <c r="H1766" t="s">
        <v>8241</v>
      </c>
      <c r="I1766" t="s">
        <v>8280</v>
      </c>
      <c r="J1766" t="s">
        <v>8281</v>
      </c>
      <c r="K1766" t="s">
        <v>8282</v>
      </c>
      <c r="L1766" t="s">
        <v>8283</v>
      </c>
      <c r="M1766" t="s">
        <v>46</v>
      </c>
      <c r="N1766" t="s">
        <v>2519</v>
      </c>
      <c r="O1766" t="s">
        <v>8284</v>
      </c>
      <c r="P1766" t="s">
        <v>8285</v>
      </c>
      <c r="Q1766" t="s">
        <v>8286</v>
      </c>
      <c r="R1766">
        <v>8</v>
      </c>
      <c r="S1766">
        <v>16</v>
      </c>
    </row>
    <row r="1767" spans="1:19" x14ac:dyDescent="0.35">
      <c r="A1767">
        <v>63</v>
      </c>
      <c r="B1767" t="s">
        <v>2902</v>
      </c>
      <c r="C1767" t="s">
        <v>42</v>
      </c>
      <c r="D1767" t="s">
        <v>8381</v>
      </c>
      <c r="E1767" t="e" cm="1">
        <f t="array" ref="E1767">- SILDENAFIL CITRATE</f>
        <v>#NAME?</v>
      </c>
      <c r="F1767" s="1">
        <v>26900</v>
      </c>
      <c r="G1767" t="s">
        <v>8382</v>
      </c>
      <c r="H1767" t="s">
        <v>8383</v>
      </c>
      <c r="I1767" t="s">
        <v>8186</v>
      </c>
      <c r="J1767" t="s">
        <v>6148</v>
      </c>
      <c r="M1767" t="s">
        <v>46</v>
      </c>
      <c r="N1767" t="s">
        <v>2519</v>
      </c>
      <c r="O1767" t="s">
        <v>8189</v>
      </c>
      <c r="P1767" t="s">
        <v>8384</v>
      </c>
      <c r="Q1767" t="s">
        <v>8385</v>
      </c>
      <c r="R1767">
        <v>8</v>
      </c>
      <c r="S1767">
        <v>16</v>
      </c>
    </row>
    <row r="1768" spans="1:19" x14ac:dyDescent="0.35">
      <c r="A1768">
        <v>1656</v>
      </c>
      <c r="B1768" t="s">
        <v>2553</v>
      </c>
      <c r="C1768" t="s">
        <v>42</v>
      </c>
      <c r="D1768" t="s">
        <v>2554</v>
      </c>
      <c r="E1768" t="e" cm="1">
        <f t="array" ref="E1768">- DEXTROMETHORPHAN HYDROBROMIDE. PHENYLPROPANOLAMINE HYDROCHLORIDE. CHLORPHENAMINE MALEATE</f>
        <v>#NAME?</v>
      </c>
      <c r="F1768" t="s">
        <v>2555</v>
      </c>
      <c r="J1768" t="s">
        <v>2556</v>
      </c>
      <c r="M1768" t="s">
        <v>46</v>
      </c>
      <c r="N1768" t="s">
        <v>8386</v>
      </c>
      <c r="P1768" t="s">
        <v>2557</v>
      </c>
      <c r="Q1768" t="s">
        <v>8387</v>
      </c>
      <c r="R1768">
        <v>8</v>
      </c>
      <c r="S1768">
        <v>16</v>
      </c>
    </row>
    <row r="1769" spans="1:19" x14ac:dyDescent="0.35">
      <c r="A1769">
        <v>1655</v>
      </c>
      <c r="B1769" t="s">
        <v>2553</v>
      </c>
      <c r="C1769" t="s">
        <v>42</v>
      </c>
      <c r="D1769" t="s">
        <v>2554</v>
      </c>
      <c r="E1769" t="e" cm="1">
        <f t="array" ref="E1769">- PHENYLPROPANOLAMINE HYDROCHLORIDE. CHLORPHENAMINE MALEATE. DEXTROMETHORPHAN HYDROBROMIDE</f>
        <v>#NAME?</v>
      </c>
      <c r="F1769" t="s">
        <v>2555</v>
      </c>
      <c r="J1769" t="s">
        <v>2556</v>
      </c>
      <c r="M1769" t="s">
        <v>46</v>
      </c>
      <c r="N1769" t="s">
        <v>8388</v>
      </c>
      <c r="P1769" t="s">
        <v>2557</v>
      </c>
      <c r="Q1769" t="s">
        <v>8389</v>
      </c>
      <c r="R1769">
        <v>8</v>
      </c>
      <c r="S1769">
        <v>16</v>
      </c>
    </row>
    <row r="1770" spans="1:19" x14ac:dyDescent="0.35">
      <c r="A1770">
        <v>406</v>
      </c>
      <c r="B1770" t="s">
        <v>8330</v>
      </c>
      <c r="C1770" t="s">
        <v>20</v>
      </c>
      <c r="D1770" t="s">
        <v>8331</v>
      </c>
      <c r="E1770" t="s">
        <v>8332</v>
      </c>
      <c r="F1770" t="s">
        <v>8333</v>
      </c>
      <c r="H1770" t="s">
        <v>8334</v>
      </c>
      <c r="I1770" t="s">
        <v>8335</v>
      </c>
      <c r="J1770" t="s">
        <v>8336</v>
      </c>
      <c r="M1770" t="s">
        <v>38</v>
      </c>
      <c r="N1770" t="s">
        <v>8337</v>
      </c>
      <c r="O1770" t="s">
        <v>8338</v>
      </c>
      <c r="P1770" t="s">
        <v>8337</v>
      </c>
      <c r="Q1770" t="s">
        <v>8339</v>
      </c>
      <c r="R1770">
        <v>8</v>
      </c>
      <c r="S1770">
        <v>16</v>
      </c>
    </row>
    <row r="1771" spans="1:19" x14ac:dyDescent="0.35">
      <c r="A1771">
        <v>1359</v>
      </c>
      <c r="B1771" t="s">
        <v>2074</v>
      </c>
      <c r="C1771" t="s">
        <v>42</v>
      </c>
      <c r="D1771" t="s">
        <v>8390</v>
      </c>
      <c r="E1771" t="e" cm="1">
        <f t="array" ref="E1771">- GUAIFENESIN</f>
        <v>#NAME?</v>
      </c>
      <c r="F1771" t="s">
        <v>8391</v>
      </c>
      <c r="G1771" t="s">
        <v>2734</v>
      </c>
      <c r="H1771" t="s">
        <v>8392</v>
      </c>
      <c r="I1771" t="s">
        <v>8393</v>
      </c>
      <c r="J1771" t="s">
        <v>8394</v>
      </c>
      <c r="K1771" t="s">
        <v>8395</v>
      </c>
      <c r="L1771" t="s">
        <v>8396</v>
      </c>
      <c r="M1771" t="s">
        <v>46</v>
      </c>
      <c r="N1771" t="s">
        <v>361</v>
      </c>
      <c r="O1771" t="s">
        <v>8397</v>
      </c>
      <c r="P1771" t="s">
        <v>8398</v>
      </c>
      <c r="Q1771" t="s">
        <v>8399</v>
      </c>
      <c r="R1771">
        <v>8</v>
      </c>
      <c r="S1771">
        <v>16</v>
      </c>
    </row>
    <row r="1772" spans="1:19" x14ac:dyDescent="0.35">
      <c r="A1772">
        <v>502</v>
      </c>
      <c r="B1772" t="s">
        <v>8400</v>
      </c>
      <c r="C1772" t="s">
        <v>42</v>
      </c>
      <c r="D1772" t="s">
        <v>8401</v>
      </c>
      <c r="E1772" t="e" cm="1">
        <f t="array" ref="E1772">- SALBUTAMOL SULFATE</f>
        <v>#NAME?</v>
      </c>
      <c r="F1772" t="s">
        <v>8402</v>
      </c>
      <c r="G1772" t="s">
        <v>2241</v>
      </c>
      <c r="H1772" t="s">
        <v>8403</v>
      </c>
      <c r="I1772" t="s">
        <v>8404</v>
      </c>
      <c r="J1772" t="s">
        <v>374</v>
      </c>
      <c r="K1772" t="s">
        <v>8405</v>
      </c>
      <c r="L1772" t="s">
        <v>8406</v>
      </c>
      <c r="M1772" t="s">
        <v>271</v>
      </c>
      <c r="N1772" t="s">
        <v>3424</v>
      </c>
      <c r="O1772" t="s">
        <v>8407</v>
      </c>
      <c r="P1772" t="s">
        <v>8408</v>
      </c>
      <c r="Q1772" t="s">
        <v>8409</v>
      </c>
      <c r="R1772">
        <v>8</v>
      </c>
      <c r="S1772">
        <v>16</v>
      </c>
    </row>
    <row r="1773" spans="1:19" x14ac:dyDescent="0.35">
      <c r="A1773">
        <v>503</v>
      </c>
      <c r="B1773" t="s">
        <v>8400</v>
      </c>
      <c r="C1773" t="s">
        <v>42</v>
      </c>
      <c r="D1773" t="s">
        <v>8401</v>
      </c>
      <c r="E1773" t="e" cm="1">
        <f t="array" ref="E1773">- SALBUTAMOL SULFATE</f>
        <v>#NAME?</v>
      </c>
      <c r="F1773" t="s">
        <v>8402</v>
      </c>
      <c r="G1773" t="s">
        <v>2241</v>
      </c>
      <c r="H1773" t="s">
        <v>8403</v>
      </c>
      <c r="I1773" t="s">
        <v>8404</v>
      </c>
      <c r="J1773" t="s">
        <v>374</v>
      </c>
      <c r="K1773" t="s">
        <v>8405</v>
      </c>
      <c r="L1773" t="s">
        <v>8406</v>
      </c>
      <c r="M1773" t="s">
        <v>271</v>
      </c>
      <c r="N1773" t="s">
        <v>3424</v>
      </c>
      <c r="O1773" t="s">
        <v>8407</v>
      </c>
      <c r="P1773" t="s">
        <v>8408</v>
      </c>
      <c r="Q1773" t="s">
        <v>8409</v>
      </c>
      <c r="R1773">
        <v>8</v>
      </c>
      <c r="S1773">
        <v>16</v>
      </c>
    </row>
    <row r="1774" spans="1:19" x14ac:dyDescent="0.35">
      <c r="A1774">
        <v>168</v>
      </c>
      <c r="B1774" t="s">
        <v>2902</v>
      </c>
      <c r="C1774" t="s">
        <v>42</v>
      </c>
      <c r="D1774" t="s">
        <v>8154</v>
      </c>
      <c r="E1774" t="e" cm="1">
        <f t="array" ref="E1774">- SILDENAFIL CITRATE</f>
        <v>#NAME?</v>
      </c>
      <c r="F1774" t="s">
        <v>8155</v>
      </c>
      <c r="J1774" t="s">
        <v>8101</v>
      </c>
      <c r="M1774" t="s">
        <v>46</v>
      </c>
      <c r="N1774" t="s">
        <v>2519</v>
      </c>
      <c r="P1774" t="s">
        <v>8156</v>
      </c>
      <c r="Q1774" t="s">
        <v>8410</v>
      </c>
      <c r="R1774">
        <v>8</v>
      </c>
      <c r="S1774">
        <v>16</v>
      </c>
    </row>
    <row r="1775" spans="1:19" x14ac:dyDescent="0.35">
      <c r="A1775">
        <v>1564</v>
      </c>
      <c r="B1775" t="s">
        <v>8411</v>
      </c>
      <c r="C1775" t="s">
        <v>42</v>
      </c>
      <c r="D1775" t="s">
        <v>8412</v>
      </c>
      <c r="E1775" t="e" cm="1">
        <f t="array" ref="E1775">- GUAIFENESIN</f>
        <v>#NAME?</v>
      </c>
      <c r="F1775" t="s">
        <v>8413</v>
      </c>
      <c r="G1775" t="s">
        <v>8414</v>
      </c>
      <c r="H1775" t="s">
        <v>8415</v>
      </c>
      <c r="I1775" t="s">
        <v>8416</v>
      </c>
      <c r="J1775" t="s">
        <v>334</v>
      </c>
      <c r="K1775" t="s">
        <v>8417</v>
      </c>
      <c r="L1775" t="s">
        <v>8418</v>
      </c>
      <c r="M1775" t="s">
        <v>271</v>
      </c>
      <c r="N1775" t="s">
        <v>361</v>
      </c>
      <c r="O1775" t="s">
        <v>8419</v>
      </c>
      <c r="P1775" t="s">
        <v>8420</v>
      </c>
      <c r="Q1775" t="s">
        <v>8421</v>
      </c>
      <c r="R1775">
        <v>8</v>
      </c>
      <c r="S1775">
        <v>16</v>
      </c>
    </row>
    <row r="1776" spans="1:19" x14ac:dyDescent="0.35">
      <c r="A1776">
        <v>504</v>
      </c>
      <c r="B1776" t="s">
        <v>8400</v>
      </c>
      <c r="C1776" t="s">
        <v>42</v>
      </c>
      <c r="D1776" t="s">
        <v>8401</v>
      </c>
      <c r="E1776" t="e" cm="1">
        <f t="array" ref="E1776">- SALBUTAMOL SULFATE</f>
        <v>#NAME?</v>
      </c>
      <c r="F1776" t="s">
        <v>8402</v>
      </c>
      <c r="G1776" t="s">
        <v>2241</v>
      </c>
      <c r="H1776" t="s">
        <v>8403</v>
      </c>
      <c r="I1776" t="s">
        <v>8404</v>
      </c>
      <c r="J1776" t="s">
        <v>374</v>
      </c>
      <c r="K1776" t="s">
        <v>8405</v>
      </c>
      <c r="L1776" t="s">
        <v>8406</v>
      </c>
      <c r="M1776" t="s">
        <v>271</v>
      </c>
      <c r="N1776" t="s">
        <v>3424</v>
      </c>
      <c r="O1776" t="s">
        <v>8407</v>
      </c>
      <c r="P1776" t="s">
        <v>8408</v>
      </c>
      <c r="Q1776" t="s">
        <v>8409</v>
      </c>
      <c r="R1776">
        <v>8</v>
      </c>
      <c r="S1776">
        <v>16</v>
      </c>
    </row>
    <row r="1777" spans="1:19" x14ac:dyDescent="0.35">
      <c r="A1777">
        <v>416</v>
      </c>
      <c r="B1777" t="s">
        <v>8270</v>
      </c>
      <c r="C1777" t="s">
        <v>20</v>
      </c>
      <c r="D1777" t="s">
        <v>8271</v>
      </c>
      <c r="E1777" t="s">
        <v>8272</v>
      </c>
      <c r="F1777" t="s">
        <v>8273</v>
      </c>
      <c r="I1777" t="s">
        <v>4507</v>
      </c>
      <c r="J1777" t="s">
        <v>70</v>
      </c>
      <c r="M1777" t="s">
        <v>38</v>
      </c>
      <c r="N1777" t="s">
        <v>8274</v>
      </c>
      <c r="O1777" t="s">
        <v>4510</v>
      </c>
      <c r="P1777" t="s">
        <v>8275</v>
      </c>
      <c r="Q1777" t="s">
        <v>8276</v>
      </c>
      <c r="R1777">
        <v>8</v>
      </c>
      <c r="S1777">
        <v>16</v>
      </c>
    </row>
    <row r="1778" spans="1:19" x14ac:dyDescent="0.35">
      <c r="A1778">
        <v>707</v>
      </c>
      <c r="B1778" t="s">
        <v>8422</v>
      </c>
      <c r="C1778" t="s">
        <v>20</v>
      </c>
      <c r="D1778" t="s">
        <v>8423</v>
      </c>
      <c r="E1778" t="s">
        <v>8424</v>
      </c>
      <c r="F1778" t="s">
        <v>8425</v>
      </c>
      <c r="J1778" t="s">
        <v>846</v>
      </c>
      <c r="M1778" t="s">
        <v>2115</v>
      </c>
      <c r="N1778" t="s">
        <v>8426</v>
      </c>
      <c r="P1778" t="s">
        <v>8427</v>
      </c>
      <c r="Q1778" t="s">
        <v>8428</v>
      </c>
      <c r="R1778">
        <v>8</v>
      </c>
      <c r="S1778">
        <v>16</v>
      </c>
    </row>
    <row r="1779" spans="1:19" x14ac:dyDescent="0.35">
      <c r="A1779">
        <v>259</v>
      </c>
      <c r="B1779" t="s">
        <v>8277</v>
      </c>
      <c r="C1779" t="s">
        <v>42</v>
      </c>
      <c r="D1779" t="s">
        <v>8278</v>
      </c>
      <c r="E1779" t="e" cm="1">
        <f t="array" ref="E1779">- SILDENAFIL CITRATE</f>
        <v>#NAME?</v>
      </c>
      <c r="F1779" t="s">
        <v>8279</v>
      </c>
      <c r="G1779" t="s">
        <v>8240</v>
      </c>
      <c r="H1779" t="s">
        <v>8241</v>
      </c>
      <c r="I1779" t="s">
        <v>8280</v>
      </c>
      <c r="J1779" t="s">
        <v>8281</v>
      </c>
      <c r="K1779" t="s">
        <v>8282</v>
      </c>
      <c r="L1779" t="s">
        <v>8283</v>
      </c>
      <c r="M1779" t="s">
        <v>46</v>
      </c>
      <c r="N1779" t="s">
        <v>2519</v>
      </c>
      <c r="O1779" t="s">
        <v>8284</v>
      </c>
      <c r="P1779" t="s">
        <v>8285</v>
      </c>
      <c r="Q1779" t="s">
        <v>8286</v>
      </c>
      <c r="R1779">
        <v>8</v>
      </c>
      <c r="S1779">
        <v>16</v>
      </c>
    </row>
    <row r="1780" spans="1:19" x14ac:dyDescent="0.35">
      <c r="A1780">
        <v>1272</v>
      </c>
      <c r="B1780" t="s">
        <v>4063</v>
      </c>
      <c r="C1780" t="s">
        <v>42</v>
      </c>
      <c r="D1780" t="s">
        <v>4064</v>
      </c>
      <c r="E1780" t="e" cm="1">
        <f t="array" ref="E1780">- PARACETAMOL. GUAIFENESIN. CHLORPHENAMINE MALEATE</f>
        <v>#NAME?</v>
      </c>
      <c r="F1780" t="s">
        <v>4065</v>
      </c>
      <c r="J1780" t="s">
        <v>334</v>
      </c>
      <c r="M1780" t="s">
        <v>271</v>
      </c>
      <c r="N1780" t="s">
        <v>5118</v>
      </c>
      <c r="P1780" t="s">
        <v>4066</v>
      </c>
      <c r="Q1780" t="s">
        <v>8429</v>
      </c>
      <c r="R1780">
        <v>8</v>
      </c>
      <c r="S1780">
        <v>16</v>
      </c>
    </row>
    <row r="1781" spans="1:19" x14ac:dyDescent="0.35">
      <c r="A1781">
        <v>194</v>
      </c>
      <c r="B1781" t="s">
        <v>2902</v>
      </c>
      <c r="C1781" t="s">
        <v>42</v>
      </c>
      <c r="D1781" t="s">
        <v>8123</v>
      </c>
      <c r="E1781" t="e" cm="1">
        <f t="array" ref="E1781">- SILDENAFIL CITRATE</f>
        <v>#NAME?</v>
      </c>
      <c r="F1781" t="s">
        <v>8124</v>
      </c>
      <c r="G1781" t="s">
        <v>8125</v>
      </c>
      <c r="H1781" t="s">
        <v>1322</v>
      </c>
      <c r="I1781" t="s">
        <v>8126</v>
      </c>
      <c r="J1781" t="s">
        <v>8127</v>
      </c>
      <c r="M1781" t="s">
        <v>46</v>
      </c>
      <c r="N1781" t="s">
        <v>2519</v>
      </c>
      <c r="O1781" t="s">
        <v>8128</v>
      </c>
      <c r="P1781" t="s">
        <v>8129</v>
      </c>
      <c r="Q1781" t="s">
        <v>8430</v>
      </c>
      <c r="R1781">
        <v>8</v>
      </c>
      <c r="S1781">
        <v>16</v>
      </c>
    </row>
    <row r="1782" spans="1:19" x14ac:dyDescent="0.35">
      <c r="A1782">
        <v>196</v>
      </c>
      <c r="B1782" t="s">
        <v>2902</v>
      </c>
      <c r="C1782" t="s">
        <v>42</v>
      </c>
      <c r="D1782" t="s">
        <v>8118</v>
      </c>
      <c r="E1782" t="e" cm="1">
        <f t="array" ref="E1782">- SILDENAFIL CITRATE</f>
        <v>#NAME?</v>
      </c>
      <c r="F1782" t="s">
        <v>8119</v>
      </c>
      <c r="J1782" t="s">
        <v>8120</v>
      </c>
      <c r="M1782" t="s">
        <v>46</v>
      </c>
      <c r="N1782" t="s">
        <v>2519</v>
      </c>
      <c r="P1782" t="s">
        <v>8121</v>
      </c>
      <c r="Q1782" t="s">
        <v>8431</v>
      </c>
      <c r="R1782">
        <v>8</v>
      </c>
      <c r="S1782">
        <v>16</v>
      </c>
    </row>
    <row r="1783" spans="1:19" x14ac:dyDescent="0.35">
      <c r="A1783">
        <v>449</v>
      </c>
      <c r="B1783" t="s">
        <v>8432</v>
      </c>
      <c r="C1783" t="s">
        <v>20</v>
      </c>
      <c r="D1783" t="s">
        <v>8433</v>
      </c>
      <c r="E1783" t="s">
        <v>8434</v>
      </c>
      <c r="F1783" t="s">
        <v>8435</v>
      </c>
      <c r="G1783" t="s">
        <v>2241</v>
      </c>
      <c r="H1783" t="s">
        <v>8436</v>
      </c>
      <c r="I1783" t="s">
        <v>4572</v>
      </c>
      <c r="J1783" t="s">
        <v>75</v>
      </c>
      <c r="M1783" t="s">
        <v>38</v>
      </c>
      <c r="N1783" t="s">
        <v>8437</v>
      </c>
      <c r="O1783" t="s">
        <v>3411</v>
      </c>
      <c r="P1783" t="s">
        <v>8438</v>
      </c>
      <c r="Q1783" t="s">
        <v>8439</v>
      </c>
      <c r="R1783">
        <v>8</v>
      </c>
      <c r="S1783">
        <v>16</v>
      </c>
    </row>
    <row r="1784" spans="1:19" x14ac:dyDescent="0.35">
      <c r="A1784">
        <v>1673</v>
      </c>
      <c r="B1784" t="s">
        <v>3878</v>
      </c>
      <c r="C1784" t="s">
        <v>42</v>
      </c>
      <c r="D1784" t="s">
        <v>3879</v>
      </c>
      <c r="E1784" t="e" cm="1">
        <f t="array" ref="E1784">- OXOMEMAZINE HYDROCHLORIDE. GUAIFENESIN</f>
        <v>#NAME?</v>
      </c>
      <c r="F1784" t="s">
        <v>3880</v>
      </c>
      <c r="H1784" t="s">
        <v>319</v>
      </c>
      <c r="L1784" t="s">
        <v>321</v>
      </c>
      <c r="M1784" t="s">
        <v>271</v>
      </c>
      <c r="N1784" t="s">
        <v>8440</v>
      </c>
      <c r="P1784" t="s">
        <v>3881</v>
      </c>
      <c r="Q1784" t="s">
        <v>8441</v>
      </c>
      <c r="R1784">
        <v>8</v>
      </c>
      <c r="S1784">
        <v>16</v>
      </c>
    </row>
    <row r="1785" spans="1:19" x14ac:dyDescent="0.35">
      <c r="A1785">
        <v>31</v>
      </c>
      <c r="B1785" t="s">
        <v>2902</v>
      </c>
      <c r="C1785" t="s">
        <v>42</v>
      </c>
      <c r="D1785" t="s">
        <v>8442</v>
      </c>
      <c r="E1785" t="e" cm="1">
        <f t="array" ref="E1785">- SILDENAFIL CITRATE</f>
        <v>#NAME?</v>
      </c>
      <c r="F1785" t="s">
        <v>8443</v>
      </c>
      <c r="G1785" t="s">
        <v>3854</v>
      </c>
      <c r="I1785" t="s">
        <v>8186</v>
      </c>
      <c r="J1785" t="s">
        <v>8444</v>
      </c>
      <c r="L1785" t="s">
        <v>8188</v>
      </c>
      <c r="M1785" t="s">
        <v>46</v>
      </c>
      <c r="N1785" t="s">
        <v>2519</v>
      </c>
      <c r="O1785" t="s">
        <v>8189</v>
      </c>
      <c r="P1785" t="s">
        <v>8384</v>
      </c>
      <c r="Q1785" t="s">
        <v>8385</v>
      </c>
      <c r="R1785">
        <v>8</v>
      </c>
      <c r="S1785">
        <v>16</v>
      </c>
    </row>
    <row r="1786" spans="1:19" x14ac:dyDescent="0.35">
      <c r="A1786">
        <v>1571</v>
      </c>
      <c r="B1786" t="s">
        <v>8445</v>
      </c>
      <c r="C1786" t="s">
        <v>42</v>
      </c>
      <c r="D1786" t="s">
        <v>8446</v>
      </c>
      <c r="E1786" t="e" cm="1">
        <f t="array" ref="E1786">- PHENYLPROPANOLAMINE HYDROCHLORIDE. PARACETAMOL. GUAIFENESIN. CHLORPHENAMINE MALEATE</f>
        <v>#NAME?</v>
      </c>
      <c r="F1786" t="s">
        <v>8447</v>
      </c>
      <c r="J1786" t="s">
        <v>334</v>
      </c>
      <c r="M1786" t="s">
        <v>271</v>
      </c>
      <c r="N1786" t="s">
        <v>8448</v>
      </c>
      <c r="P1786" t="s">
        <v>8449</v>
      </c>
      <c r="Q1786" t="s">
        <v>8450</v>
      </c>
      <c r="R1786">
        <v>8</v>
      </c>
      <c r="S1786">
        <v>16</v>
      </c>
    </row>
    <row r="1787" spans="1:19" x14ac:dyDescent="0.35">
      <c r="A1787">
        <v>1572</v>
      </c>
      <c r="B1787" t="s">
        <v>8445</v>
      </c>
      <c r="C1787" t="s">
        <v>42</v>
      </c>
      <c r="D1787" t="s">
        <v>8446</v>
      </c>
      <c r="E1787" t="e" cm="1">
        <f t="array" ref="E1787">- PHENYLPROPANOLAMINE HYDROCHLORIDE. PARACETAMOL. GUAIFENESIN. CHLORPHENAMINE MALEATE</f>
        <v>#NAME?</v>
      </c>
      <c r="F1787" t="s">
        <v>8447</v>
      </c>
      <c r="J1787" t="s">
        <v>334</v>
      </c>
      <c r="M1787" t="s">
        <v>271</v>
      </c>
      <c r="N1787" t="s">
        <v>8448</v>
      </c>
      <c r="P1787" t="s">
        <v>8449</v>
      </c>
      <c r="Q1787" t="s">
        <v>8450</v>
      </c>
      <c r="R1787">
        <v>8</v>
      </c>
      <c r="S1787">
        <v>16</v>
      </c>
    </row>
    <row r="1788" spans="1:19" x14ac:dyDescent="0.35">
      <c r="A1788">
        <v>177</v>
      </c>
      <c r="B1788" t="s">
        <v>2902</v>
      </c>
      <c r="C1788" t="s">
        <v>42</v>
      </c>
      <c r="D1788" t="s">
        <v>8146</v>
      </c>
      <c r="E1788" t="e" cm="1">
        <f t="array" ref="E1788">- SILDENAFIL CITRATE</f>
        <v>#NAME?</v>
      </c>
      <c r="F1788" t="s">
        <v>5330</v>
      </c>
      <c r="J1788" t="s">
        <v>8147</v>
      </c>
      <c r="M1788" t="s">
        <v>46</v>
      </c>
      <c r="N1788" t="s">
        <v>2519</v>
      </c>
      <c r="P1788" t="s">
        <v>8148</v>
      </c>
      <c r="Q1788" t="s">
        <v>8451</v>
      </c>
      <c r="R1788">
        <v>8</v>
      </c>
      <c r="S1788">
        <v>16</v>
      </c>
    </row>
    <row r="1789" spans="1:19" x14ac:dyDescent="0.35">
      <c r="A1789">
        <v>14</v>
      </c>
      <c r="B1789" t="s">
        <v>2902</v>
      </c>
      <c r="C1789" t="s">
        <v>42</v>
      </c>
      <c r="D1789" t="s">
        <v>8317</v>
      </c>
      <c r="E1789" t="e" cm="1">
        <f t="array" ref="E1789">- SILDENAFIL CITRATE</f>
        <v>#NAME?</v>
      </c>
      <c r="F1789" t="s">
        <v>8318</v>
      </c>
      <c r="G1789" t="s">
        <v>8240</v>
      </c>
      <c r="H1789" t="s">
        <v>8241</v>
      </c>
      <c r="I1789" t="s">
        <v>8242</v>
      </c>
      <c r="J1789" t="s">
        <v>549</v>
      </c>
      <c r="K1789" t="s">
        <v>8244</v>
      </c>
      <c r="L1789" t="s">
        <v>8245</v>
      </c>
      <c r="M1789" t="s">
        <v>46</v>
      </c>
      <c r="N1789" t="s">
        <v>2519</v>
      </c>
      <c r="O1789" t="s">
        <v>8246</v>
      </c>
      <c r="P1789" t="s">
        <v>2519</v>
      </c>
      <c r="Q1789" t="s">
        <v>8247</v>
      </c>
      <c r="R1789">
        <v>8</v>
      </c>
      <c r="S1789">
        <v>16</v>
      </c>
    </row>
    <row r="1790" spans="1:19" x14ac:dyDescent="0.35">
      <c r="A1790">
        <v>155</v>
      </c>
      <c r="B1790" t="s">
        <v>2902</v>
      </c>
      <c r="C1790" t="s">
        <v>42</v>
      </c>
      <c r="D1790" t="s">
        <v>8452</v>
      </c>
      <c r="E1790" t="e" cm="1">
        <f t="array" ref="E1790">- SILDENAFIL CITRATE</f>
        <v>#NAME?</v>
      </c>
      <c r="F1790" s="1">
        <v>38600</v>
      </c>
      <c r="G1790" t="s">
        <v>8453</v>
      </c>
      <c r="H1790" t="s">
        <v>8263</v>
      </c>
      <c r="I1790" t="s">
        <v>8454</v>
      </c>
      <c r="J1790" t="s">
        <v>8455</v>
      </c>
      <c r="L1790" t="s">
        <v>8456</v>
      </c>
      <c r="M1790" t="s">
        <v>46</v>
      </c>
      <c r="N1790" t="s">
        <v>2519</v>
      </c>
      <c r="O1790" t="s">
        <v>8457</v>
      </c>
      <c r="P1790" t="s">
        <v>8458</v>
      </c>
      <c r="Q1790" t="s">
        <v>8459</v>
      </c>
      <c r="R1790">
        <v>8</v>
      </c>
      <c r="S1790">
        <v>16</v>
      </c>
    </row>
    <row r="1791" spans="1:19" x14ac:dyDescent="0.35">
      <c r="A1791">
        <v>1674</v>
      </c>
      <c r="B1791" t="s">
        <v>3878</v>
      </c>
      <c r="C1791" t="s">
        <v>42</v>
      </c>
      <c r="D1791" t="s">
        <v>3879</v>
      </c>
      <c r="E1791" t="e" cm="1">
        <f t="array" ref="E1791">- OXOMEMAZINE HYDROCHLORIDE. GUAIFENESIN</f>
        <v>#NAME?</v>
      </c>
      <c r="F1791" t="s">
        <v>3880</v>
      </c>
      <c r="H1791" t="s">
        <v>319</v>
      </c>
      <c r="L1791" t="s">
        <v>321</v>
      </c>
      <c r="M1791" t="s">
        <v>271</v>
      </c>
      <c r="N1791" t="s">
        <v>8440</v>
      </c>
      <c r="P1791" t="s">
        <v>3881</v>
      </c>
      <c r="Q1791" t="s">
        <v>8441</v>
      </c>
      <c r="R1791">
        <v>8</v>
      </c>
      <c r="S1791">
        <v>16</v>
      </c>
    </row>
    <row r="1792" spans="1:19" x14ac:dyDescent="0.35">
      <c r="A1792">
        <v>182</v>
      </c>
      <c r="B1792" t="s">
        <v>2902</v>
      </c>
      <c r="C1792" t="s">
        <v>42</v>
      </c>
      <c r="D1792" t="s">
        <v>8141</v>
      </c>
      <c r="E1792" t="e" cm="1">
        <f t="array" ref="E1792">- SILDENAFIL CITRATE</f>
        <v>#NAME?</v>
      </c>
      <c r="F1792" t="s">
        <v>8142</v>
      </c>
      <c r="J1792" t="s">
        <v>8143</v>
      </c>
      <c r="M1792" t="s">
        <v>46</v>
      </c>
      <c r="N1792" t="s">
        <v>2519</v>
      </c>
      <c r="P1792" t="s">
        <v>8144</v>
      </c>
      <c r="Q1792" t="s">
        <v>8460</v>
      </c>
      <c r="R1792">
        <v>8</v>
      </c>
      <c r="S1792">
        <v>16</v>
      </c>
    </row>
    <row r="1793" spans="1:19" x14ac:dyDescent="0.35">
      <c r="A1793">
        <v>277</v>
      </c>
      <c r="B1793" t="s">
        <v>8374</v>
      </c>
      <c r="C1793" t="s">
        <v>42</v>
      </c>
      <c r="D1793" t="s">
        <v>8375</v>
      </c>
      <c r="E1793" t="e" cm="1">
        <f t="array" ref="E1793">- TADALAFIL</f>
        <v>#NAME?</v>
      </c>
      <c r="F1793" t="s">
        <v>8376</v>
      </c>
      <c r="G1793" t="s">
        <v>8377</v>
      </c>
      <c r="H1793" t="s">
        <v>8378</v>
      </c>
      <c r="I1793" t="s">
        <v>8242</v>
      </c>
      <c r="J1793" t="s">
        <v>8379</v>
      </c>
      <c r="K1793" t="s">
        <v>8380</v>
      </c>
    </row>
    <row r="1794" spans="1:19" x14ac:dyDescent="0.35">
      <c r="A1794">
        <v>708</v>
      </c>
      <c r="B1794" t="s">
        <v>8461</v>
      </c>
      <c r="C1794" t="s">
        <v>20</v>
      </c>
      <c r="D1794" t="s">
        <v>8462</v>
      </c>
      <c r="E1794" t="s">
        <v>8463</v>
      </c>
      <c r="F1794" s="1">
        <v>104500</v>
      </c>
      <c r="J1794" t="s">
        <v>4010</v>
      </c>
      <c r="M1794" t="s">
        <v>2115</v>
      </c>
      <c r="N1794" t="s">
        <v>8464</v>
      </c>
      <c r="P1794" t="s">
        <v>8465</v>
      </c>
      <c r="Q1794" t="s">
        <v>8466</v>
      </c>
      <c r="R1794">
        <v>8</v>
      </c>
      <c r="S1794">
        <v>16</v>
      </c>
    </row>
    <row r="1795" spans="1:19" x14ac:dyDescent="0.35">
      <c r="A1795">
        <v>444</v>
      </c>
      <c r="B1795" t="s">
        <v>8467</v>
      </c>
      <c r="C1795" t="s">
        <v>20</v>
      </c>
      <c r="D1795" t="s">
        <v>8468</v>
      </c>
      <c r="E1795" t="s">
        <v>8469</v>
      </c>
      <c r="F1795" t="s">
        <v>8470</v>
      </c>
      <c r="G1795" t="s">
        <v>5033</v>
      </c>
      <c r="H1795" t="s">
        <v>8471</v>
      </c>
      <c r="I1795" t="s">
        <v>8472</v>
      </c>
      <c r="J1795" t="s">
        <v>7953</v>
      </c>
      <c r="L1795" t="s">
        <v>8473</v>
      </c>
      <c r="M1795" t="s">
        <v>46</v>
      </c>
      <c r="N1795" t="s">
        <v>8474</v>
      </c>
      <c r="O1795" t="s">
        <v>8475</v>
      </c>
      <c r="P1795" t="s">
        <v>8474</v>
      </c>
      <c r="Q1795" t="s">
        <v>8476</v>
      </c>
      <c r="R1795">
        <v>8</v>
      </c>
      <c r="S1795">
        <v>16</v>
      </c>
    </row>
    <row r="1796" spans="1:19" x14ac:dyDescent="0.35">
      <c r="A1796">
        <v>90</v>
      </c>
      <c r="B1796" t="s">
        <v>2902</v>
      </c>
      <c r="C1796" t="s">
        <v>42</v>
      </c>
      <c r="D1796" t="s">
        <v>8477</v>
      </c>
      <c r="E1796" t="e" cm="1">
        <f t="array" ref="E1796">- SILDENAFIL CITRATE</f>
        <v>#NAME?</v>
      </c>
      <c r="F1796" t="s">
        <v>8478</v>
      </c>
      <c r="G1796" t="s">
        <v>8185</v>
      </c>
      <c r="H1796" t="s">
        <v>3854</v>
      </c>
      <c r="I1796" t="s">
        <v>8186</v>
      </c>
      <c r="J1796" t="s">
        <v>8479</v>
      </c>
      <c r="L1796" t="s">
        <v>8188</v>
      </c>
      <c r="M1796" t="s">
        <v>46</v>
      </c>
      <c r="N1796" t="s">
        <v>2519</v>
      </c>
      <c r="O1796" t="s">
        <v>8189</v>
      </c>
      <c r="P1796" t="s">
        <v>8190</v>
      </c>
      <c r="Q1796" t="s">
        <v>8480</v>
      </c>
      <c r="R1796">
        <v>8</v>
      </c>
      <c r="S1796">
        <v>16</v>
      </c>
    </row>
    <row r="1797" spans="1:19" x14ac:dyDescent="0.35">
      <c r="A1797">
        <v>221</v>
      </c>
      <c r="B1797" t="s">
        <v>2902</v>
      </c>
      <c r="C1797" t="s">
        <v>42</v>
      </c>
      <c r="D1797" t="s">
        <v>8481</v>
      </c>
      <c r="E1797" t="e" cm="1">
        <f t="array" ref="E1797">- SILDENAFIL CITRATE</f>
        <v>#NAME?</v>
      </c>
      <c r="F1797" t="s">
        <v>8482</v>
      </c>
      <c r="G1797" t="s">
        <v>8483</v>
      </c>
      <c r="H1797" t="s">
        <v>1322</v>
      </c>
      <c r="I1797" t="s">
        <v>8484</v>
      </c>
      <c r="J1797" t="s">
        <v>8485</v>
      </c>
      <c r="L1797" t="s">
        <v>8486</v>
      </c>
      <c r="M1797" t="s">
        <v>46</v>
      </c>
      <c r="N1797" t="s">
        <v>2519</v>
      </c>
      <c r="O1797" t="s">
        <v>8487</v>
      </c>
      <c r="P1797" t="s">
        <v>8488</v>
      </c>
      <c r="Q1797" t="s">
        <v>8489</v>
      </c>
      <c r="R1797">
        <v>8</v>
      </c>
      <c r="S1797">
        <v>16</v>
      </c>
    </row>
    <row r="1798" spans="1:19" x14ac:dyDescent="0.35">
      <c r="A1798">
        <v>904</v>
      </c>
      <c r="B1798" t="s">
        <v>8490</v>
      </c>
      <c r="C1798" t="s">
        <v>42</v>
      </c>
      <c r="D1798" t="s">
        <v>8491</v>
      </c>
      <c r="E1798" t="e" cm="1">
        <f t="array" ref="E1798">- CHLORPHENAMINE MALEATE</f>
        <v>#NAME?</v>
      </c>
      <c r="F1798" t="s">
        <v>8492</v>
      </c>
      <c r="G1798" t="s">
        <v>2453</v>
      </c>
      <c r="H1798" t="s">
        <v>8493</v>
      </c>
      <c r="I1798" t="s">
        <v>8494</v>
      </c>
      <c r="J1798" t="s">
        <v>8495</v>
      </c>
      <c r="K1798" t="s">
        <v>8496</v>
      </c>
      <c r="L1798" t="s">
        <v>8497</v>
      </c>
      <c r="M1798" t="s">
        <v>46</v>
      </c>
      <c r="N1798" t="s">
        <v>1354</v>
      </c>
      <c r="O1798" t="s">
        <v>8498</v>
      </c>
      <c r="P1798" t="s">
        <v>8499</v>
      </c>
      <c r="Q1798" t="s">
        <v>8500</v>
      </c>
      <c r="R1798">
        <v>8</v>
      </c>
      <c r="S1798">
        <v>16</v>
      </c>
    </row>
    <row r="1799" spans="1:19" x14ac:dyDescent="0.35">
      <c r="A1799">
        <v>903</v>
      </c>
      <c r="B1799" t="s">
        <v>8490</v>
      </c>
      <c r="C1799" t="s">
        <v>42</v>
      </c>
      <c r="D1799" t="s">
        <v>8491</v>
      </c>
      <c r="E1799" t="e" cm="1">
        <f t="array" ref="E1799">- CHLORPHENAMINE MALEATE</f>
        <v>#NAME?</v>
      </c>
      <c r="F1799" t="s">
        <v>8492</v>
      </c>
      <c r="G1799" t="s">
        <v>2453</v>
      </c>
      <c r="H1799" t="s">
        <v>8493</v>
      </c>
      <c r="I1799" t="s">
        <v>8494</v>
      </c>
      <c r="J1799" t="s">
        <v>8495</v>
      </c>
      <c r="K1799" t="s">
        <v>8496</v>
      </c>
      <c r="L1799" t="s">
        <v>8497</v>
      </c>
      <c r="M1799" t="s">
        <v>46</v>
      </c>
      <c r="N1799" t="s">
        <v>1354</v>
      </c>
      <c r="O1799" t="s">
        <v>8498</v>
      </c>
      <c r="P1799" t="s">
        <v>8499</v>
      </c>
      <c r="Q1799" t="s">
        <v>8500</v>
      </c>
      <c r="R1799">
        <v>8</v>
      </c>
      <c r="S1799">
        <v>16</v>
      </c>
    </row>
    <row r="1800" spans="1:19" x14ac:dyDescent="0.35">
      <c r="A1800">
        <v>1514</v>
      </c>
      <c r="B1800" t="s">
        <v>8501</v>
      </c>
      <c r="C1800" t="s">
        <v>42</v>
      </c>
      <c r="D1800" t="s">
        <v>8502</v>
      </c>
      <c r="E1800" t="e" cm="1">
        <f t="array" ref="E1800">- ALCOHOL</f>
        <v>#NAME?</v>
      </c>
      <c r="F1800" s="1">
        <v>7900</v>
      </c>
      <c r="G1800" t="s">
        <v>4649</v>
      </c>
      <c r="H1800" t="s">
        <v>8503</v>
      </c>
      <c r="I1800" t="s">
        <v>8504</v>
      </c>
      <c r="J1800" t="s">
        <v>374</v>
      </c>
      <c r="K1800" t="s">
        <v>8505</v>
      </c>
      <c r="L1800" t="s">
        <v>3974</v>
      </c>
      <c r="M1800" t="s">
        <v>271</v>
      </c>
      <c r="N1800" t="s">
        <v>3840</v>
      </c>
      <c r="O1800" t="s">
        <v>8506</v>
      </c>
      <c r="P1800" t="s">
        <v>8507</v>
      </c>
      <c r="Q1800" t="s">
        <v>8508</v>
      </c>
      <c r="R1800">
        <v>8</v>
      </c>
      <c r="S1800">
        <v>16</v>
      </c>
    </row>
    <row r="1801" spans="1:19" x14ac:dyDescent="0.35">
      <c r="A1801">
        <v>1408</v>
      </c>
      <c r="B1801" t="s">
        <v>8509</v>
      </c>
      <c r="C1801" t="s">
        <v>42</v>
      </c>
      <c r="D1801" t="s">
        <v>8510</v>
      </c>
      <c r="E1801" t="e" cm="1">
        <f t="array" ref="E1801">- CHLORPHENAMINE MALEATE</f>
        <v>#NAME?</v>
      </c>
      <c r="F1801" t="s">
        <v>8511</v>
      </c>
      <c r="G1801" t="s">
        <v>8512</v>
      </c>
      <c r="H1801" t="s">
        <v>8513</v>
      </c>
      <c r="I1801" t="s">
        <v>8514</v>
      </c>
      <c r="J1801" t="s">
        <v>334</v>
      </c>
      <c r="L1801" t="s">
        <v>8515</v>
      </c>
      <c r="M1801" t="s">
        <v>271</v>
      </c>
      <c r="N1801" t="s">
        <v>1354</v>
      </c>
      <c r="O1801" t="s">
        <v>8516</v>
      </c>
      <c r="P1801" t="s">
        <v>8517</v>
      </c>
      <c r="Q1801" t="s">
        <v>8518</v>
      </c>
      <c r="R1801">
        <v>8</v>
      </c>
      <c r="S1801">
        <v>16</v>
      </c>
    </row>
    <row r="1802" spans="1:19" x14ac:dyDescent="0.35">
      <c r="A1802">
        <v>450</v>
      </c>
      <c r="B1802" t="s">
        <v>8432</v>
      </c>
      <c r="C1802" t="s">
        <v>20</v>
      </c>
      <c r="D1802" t="s">
        <v>8433</v>
      </c>
      <c r="E1802" t="s">
        <v>8434</v>
      </c>
      <c r="F1802" t="s">
        <v>8435</v>
      </c>
      <c r="G1802" t="s">
        <v>2241</v>
      </c>
      <c r="H1802" t="s">
        <v>8436</v>
      </c>
      <c r="I1802" t="s">
        <v>4572</v>
      </c>
      <c r="J1802" t="s">
        <v>75</v>
      </c>
      <c r="M1802" t="s">
        <v>38</v>
      </c>
      <c r="N1802" t="s">
        <v>8437</v>
      </c>
      <c r="O1802" t="s">
        <v>3411</v>
      </c>
      <c r="P1802" t="s">
        <v>8438</v>
      </c>
      <c r="Q1802" t="s">
        <v>8439</v>
      </c>
      <c r="R1802">
        <v>8</v>
      </c>
      <c r="S1802">
        <v>16</v>
      </c>
    </row>
    <row r="1803" spans="1:19" x14ac:dyDescent="0.35">
      <c r="A1803">
        <v>1234</v>
      </c>
      <c r="B1803" t="s">
        <v>8519</v>
      </c>
      <c r="C1803" t="s">
        <v>42</v>
      </c>
      <c r="D1803" t="s">
        <v>8520</v>
      </c>
      <c r="E1803" t="e" cm="1">
        <f t="array" ref="E1803">- BROMHEXINE HYDROCHLORIDE</f>
        <v>#NAME?</v>
      </c>
      <c r="F1803" t="s">
        <v>8521</v>
      </c>
      <c r="G1803" t="s">
        <v>6135</v>
      </c>
      <c r="H1803" t="s">
        <v>8522</v>
      </c>
      <c r="I1803" t="s">
        <v>8523</v>
      </c>
      <c r="J1803" t="s">
        <v>8524</v>
      </c>
      <c r="M1803" t="s">
        <v>291</v>
      </c>
      <c r="N1803" t="s">
        <v>1342</v>
      </c>
      <c r="O1803" t="s">
        <v>8525</v>
      </c>
      <c r="P1803" t="s">
        <v>8526</v>
      </c>
      <c r="Q1803" t="s">
        <v>8527</v>
      </c>
      <c r="R1803">
        <v>8</v>
      </c>
      <c r="S1803">
        <v>16</v>
      </c>
    </row>
    <row r="1804" spans="1:19" x14ac:dyDescent="0.35">
      <c r="A1804">
        <v>376</v>
      </c>
      <c r="B1804" t="s">
        <v>8528</v>
      </c>
      <c r="C1804" t="s">
        <v>42</v>
      </c>
      <c r="D1804" t="s">
        <v>8529</v>
      </c>
      <c r="E1804" t="e" cm="1">
        <f t="array" ref="E1804">- PROGESTERONE</f>
        <v>#NAME?</v>
      </c>
      <c r="F1804" t="s">
        <v>8530</v>
      </c>
      <c r="G1804" t="s">
        <v>8531</v>
      </c>
      <c r="H1804" t="s">
        <v>8532</v>
      </c>
      <c r="I1804" t="s">
        <v>8533</v>
      </c>
      <c r="J1804" t="s">
        <v>8534</v>
      </c>
      <c r="K1804" t="s">
        <v>8535</v>
      </c>
      <c r="L1804" t="s">
        <v>8536</v>
      </c>
      <c r="M1804" t="s">
        <v>38</v>
      </c>
      <c r="N1804" t="s">
        <v>8537</v>
      </c>
      <c r="O1804" t="s">
        <v>8538</v>
      </c>
      <c r="P1804" t="s">
        <v>8539</v>
      </c>
      <c r="Q1804" t="s">
        <v>8540</v>
      </c>
      <c r="R1804">
        <v>8</v>
      </c>
      <c r="S1804">
        <v>16</v>
      </c>
    </row>
    <row r="1805" spans="1:19" x14ac:dyDescent="0.35">
      <c r="A1805">
        <v>26</v>
      </c>
      <c r="B1805" t="s">
        <v>2902</v>
      </c>
      <c r="C1805" t="s">
        <v>42</v>
      </c>
      <c r="D1805" t="s">
        <v>8541</v>
      </c>
      <c r="E1805" t="e" cm="1">
        <f t="array" ref="E1805">- SILDENAFIL CITRATE</f>
        <v>#NAME?</v>
      </c>
      <c r="F1805" t="s">
        <v>8542</v>
      </c>
      <c r="G1805" t="s">
        <v>8543</v>
      </c>
      <c r="I1805" t="s">
        <v>8544</v>
      </c>
      <c r="J1805" t="s">
        <v>3856</v>
      </c>
      <c r="L1805" t="s">
        <v>3857</v>
      </c>
      <c r="M1805" t="s">
        <v>46</v>
      </c>
      <c r="N1805" t="s">
        <v>2519</v>
      </c>
      <c r="O1805" t="s">
        <v>8545</v>
      </c>
      <c r="P1805" t="s">
        <v>8546</v>
      </c>
      <c r="Q1805" t="s">
        <v>8547</v>
      </c>
      <c r="R1805">
        <v>8</v>
      </c>
      <c r="S1805">
        <v>16</v>
      </c>
    </row>
    <row r="1806" spans="1:19" x14ac:dyDescent="0.35">
      <c r="A1806">
        <v>962</v>
      </c>
      <c r="B1806" t="s">
        <v>8548</v>
      </c>
      <c r="C1806" t="s">
        <v>42</v>
      </c>
      <c r="D1806" t="s">
        <v>8549</v>
      </c>
      <c r="E1806" t="e" cm="1">
        <f t="array" ref="E1806">- CHLORPHENAMINE MALEATE</f>
        <v>#NAME?</v>
      </c>
      <c r="F1806" t="s">
        <v>8550</v>
      </c>
      <c r="G1806" t="s">
        <v>4482</v>
      </c>
      <c r="H1806" t="s">
        <v>8551</v>
      </c>
    </row>
    <row r="1807" spans="1:19" x14ac:dyDescent="0.35">
      <c r="A1807">
        <v>961</v>
      </c>
      <c r="B1807" t="s">
        <v>8548</v>
      </c>
      <c r="C1807" t="s">
        <v>42</v>
      </c>
      <c r="D1807" t="s">
        <v>8549</v>
      </c>
      <c r="E1807" t="e" cm="1">
        <f t="array" ref="E1807">- CHLORPHENAMINE MALEATE</f>
        <v>#NAME?</v>
      </c>
      <c r="F1807" t="s">
        <v>8550</v>
      </c>
      <c r="G1807" t="s">
        <v>4482</v>
      </c>
      <c r="H1807" t="s">
        <v>8551</v>
      </c>
    </row>
    <row r="1808" spans="1:19" x14ac:dyDescent="0.35">
      <c r="A1808">
        <v>1235</v>
      </c>
      <c r="B1808" t="s">
        <v>8519</v>
      </c>
      <c r="C1808" t="s">
        <v>42</v>
      </c>
      <c r="D1808" t="s">
        <v>8520</v>
      </c>
      <c r="E1808" t="e" cm="1">
        <f t="array" ref="E1808">- BROMHEXINE HYDROCHLORIDE</f>
        <v>#NAME?</v>
      </c>
      <c r="F1808" t="s">
        <v>8521</v>
      </c>
      <c r="G1808" t="s">
        <v>6135</v>
      </c>
      <c r="H1808" t="s">
        <v>8522</v>
      </c>
      <c r="I1808" t="s">
        <v>8523</v>
      </c>
      <c r="J1808" t="s">
        <v>8524</v>
      </c>
      <c r="M1808" t="s">
        <v>291</v>
      </c>
      <c r="N1808" t="s">
        <v>1342</v>
      </c>
      <c r="O1808" t="s">
        <v>8525</v>
      </c>
      <c r="P1808" t="s">
        <v>8526</v>
      </c>
      <c r="Q1808" t="s">
        <v>8527</v>
      </c>
      <c r="R1808">
        <v>8</v>
      </c>
      <c r="S1808">
        <v>16</v>
      </c>
    </row>
    <row r="1809" spans="1:19" x14ac:dyDescent="0.35">
      <c r="A1809">
        <v>276</v>
      </c>
      <c r="B1809" t="s">
        <v>8374</v>
      </c>
      <c r="C1809" t="s">
        <v>42</v>
      </c>
      <c r="D1809" t="s">
        <v>8375</v>
      </c>
      <c r="E1809" t="e" cm="1">
        <f t="array" ref="E1809">- TADALAFIL</f>
        <v>#NAME?</v>
      </c>
      <c r="F1809" t="s">
        <v>8376</v>
      </c>
      <c r="G1809" t="s">
        <v>8377</v>
      </c>
      <c r="H1809" t="s">
        <v>8378</v>
      </c>
      <c r="I1809" t="s">
        <v>8242</v>
      </c>
      <c r="J1809" t="s">
        <v>8379</v>
      </c>
      <c r="K1809" t="s">
        <v>8380</v>
      </c>
    </row>
    <row r="1810" spans="1:19" x14ac:dyDescent="0.35">
      <c r="A1810">
        <v>83</v>
      </c>
      <c r="B1810" t="s">
        <v>2902</v>
      </c>
      <c r="C1810" t="s">
        <v>42</v>
      </c>
      <c r="D1810" t="s">
        <v>8340</v>
      </c>
      <c r="E1810" t="e" cm="1">
        <f t="array" ref="E1810">- SILDENAFIL CITRATE</f>
        <v>#NAME?</v>
      </c>
      <c r="F1810" t="s">
        <v>8341</v>
      </c>
      <c r="H1810" t="s">
        <v>1322</v>
      </c>
      <c r="J1810" t="s">
        <v>8342</v>
      </c>
      <c r="M1810" t="s">
        <v>46</v>
      </c>
      <c r="N1810" t="s">
        <v>2519</v>
      </c>
      <c r="P1810" t="s">
        <v>8343</v>
      </c>
      <c r="Q1810" t="s">
        <v>8344</v>
      </c>
      <c r="R1810">
        <v>8</v>
      </c>
      <c r="S1810">
        <v>16</v>
      </c>
    </row>
    <row r="1811" spans="1:19" x14ac:dyDescent="0.35">
      <c r="A1811">
        <v>175</v>
      </c>
      <c r="B1811" t="s">
        <v>2902</v>
      </c>
      <c r="C1811" t="s">
        <v>42</v>
      </c>
      <c r="D1811" t="s">
        <v>8150</v>
      </c>
      <c r="E1811" t="e" cm="1">
        <f t="array" ref="E1811">- SILDENAFIL CITRATE</f>
        <v>#NAME?</v>
      </c>
      <c r="F1811" s="1">
        <v>58500</v>
      </c>
      <c r="J1811" t="s">
        <v>8151</v>
      </c>
      <c r="M1811" t="s">
        <v>46</v>
      </c>
      <c r="N1811" t="s">
        <v>2519</v>
      </c>
      <c r="P1811" t="s">
        <v>8152</v>
      </c>
      <c r="Q1811" t="s">
        <v>8552</v>
      </c>
      <c r="R1811">
        <v>8</v>
      </c>
      <c r="S1811">
        <v>16</v>
      </c>
    </row>
    <row r="1812" spans="1:19" x14ac:dyDescent="0.35">
      <c r="A1812">
        <v>535</v>
      </c>
      <c r="B1812" t="s">
        <v>8553</v>
      </c>
      <c r="C1812" t="s">
        <v>42</v>
      </c>
      <c r="D1812" t="s">
        <v>8554</v>
      </c>
      <c r="E1812" t="e" cm="1">
        <f t="array" ref="E1812">- KETOTIFEN FUMARATE</f>
        <v>#NAME?</v>
      </c>
      <c r="F1812" t="s">
        <v>8555</v>
      </c>
      <c r="G1812" t="s">
        <v>2241</v>
      </c>
      <c r="H1812" t="s">
        <v>8556</v>
      </c>
      <c r="I1812" t="s">
        <v>8557</v>
      </c>
      <c r="J1812" t="s">
        <v>381</v>
      </c>
      <c r="L1812" t="s">
        <v>8558</v>
      </c>
      <c r="M1812" t="s">
        <v>46</v>
      </c>
      <c r="N1812" t="s">
        <v>8559</v>
      </c>
      <c r="O1812" t="s">
        <v>8560</v>
      </c>
      <c r="P1812" t="s">
        <v>8561</v>
      </c>
      <c r="Q1812" t="s">
        <v>8562</v>
      </c>
      <c r="R1812">
        <v>8</v>
      </c>
      <c r="S1812">
        <v>16</v>
      </c>
    </row>
    <row r="1813" spans="1:19" x14ac:dyDescent="0.35">
      <c r="A1813">
        <v>273</v>
      </c>
      <c r="B1813" t="s">
        <v>8248</v>
      </c>
      <c r="C1813" t="s">
        <v>42</v>
      </c>
      <c r="D1813" t="s">
        <v>8249</v>
      </c>
      <c r="E1813" t="e" cm="1">
        <f t="array" ref="E1813">- SILDENAFIL</f>
        <v>#NAME?</v>
      </c>
      <c r="F1813" t="s">
        <v>8250</v>
      </c>
      <c r="G1813" t="s">
        <v>8240</v>
      </c>
      <c r="H1813" t="s">
        <v>8241</v>
      </c>
      <c r="I1813" t="s">
        <v>8242</v>
      </c>
      <c r="J1813" t="s">
        <v>8251</v>
      </c>
      <c r="K1813" t="s">
        <v>8252</v>
      </c>
      <c r="L1813" t="s">
        <v>8253</v>
      </c>
      <c r="M1813" t="s">
        <v>8254</v>
      </c>
      <c r="N1813" t="s">
        <v>8255</v>
      </c>
      <c r="O1813" t="s">
        <v>8246</v>
      </c>
      <c r="P1813" t="s">
        <v>8256</v>
      </c>
      <c r="Q1813" t="s">
        <v>8257</v>
      </c>
      <c r="R1813">
        <v>8</v>
      </c>
      <c r="S1813">
        <v>16</v>
      </c>
    </row>
    <row r="1814" spans="1:19" x14ac:dyDescent="0.35">
      <c r="A1814">
        <v>89</v>
      </c>
      <c r="B1814" t="s">
        <v>2902</v>
      </c>
      <c r="C1814" t="s">
        <v>42</v>
      </c>
      <c r="D1814" t="s">
        <v>8183</v>
      </c>
      <c r="E1814" t="e" cm="1">
        <f t="array" ref="E1814">- SILDENAFIL CITRATE</f>
        <v>#NAME?</v>
      </c>
      <c r="F1814" t="s">
        <v>8184</v>
      </c>
      <c r="G1814" t="s">
        <v>8185</v>
      </c>
      <c r="H1814" t="s">
        <v>3854</v>
      </c>
      <c r="I1814" t="s">
        <v>8186</v>
      </c>
      <c r="J1814" t="s">
        <v>8187</v>
      </c>
      <c r="L1814" t="s">
        <v>8188</v>
      </c>
      <c r="M1814" t="s">
        <v>46</v>
      </c>
      <c r="N1814" t="s">
        <v>2519</v>
      </c>
      <c r="O1814" t="s">
        <v>8189</v>
      </c>
      <c r="P1814" t="s">
        <v>8190</v>
      </c>
      <c r="Q1814" t="s">
        <v>8480</v>
      </c>
      <c r="R1814">
        <v>8</v>
      </c>
      <c r="S1814">
        <v>16</v>
      </c>
    </row>
    <row r="1815" spans="1:19" x14ac:dyDescent="0.35">
      <c r="A1815">
        <v>1624</v>
      </c>
      <c r="B1815" t="s">
        <v>2286</v>
      </c>
      <c r="C1815" t="s">
        <v>42</v>
      </c>
      <c r="D1815" t="s">
        <v>2287</v>
      </c>
      <c r="E1815" t="e" cm="1">
        <f t="array" ref="E1815">- PARACETAMOL. CHLORPHENAMINE MALEATE. GUAIFENESIN. PSEUDOEPHEDRINE HYDROCHLORIDE</f>
        <v>#NAME?</v>
      </c>
      <c r="F1815" t="s">
        <v>2288</v>
      </c>
      <c r="M1815" t="s">
        <v>291</v>
      </c>
      <c r="N1815" t="s">
        <v>8354</v>
      </c>
      <c r="P1815" t="s">
        <v>2289</v>
      </c>
      <c r="Q1815" t="s">
        <v>8355</v>
      </c>
      <c r="R1815">
        <v>8</v>
      </c>
      <c r="S1815">
        <v>16</v>
      </c>
    </row>
    <row r="1816" spans="1:19" x14ac:dyDescent="0.35">
      <c r="A1816">
        <v>420</v>
      </c>
      <c r="B1816" t="s">
        <v>8270</v>
      </c>
      <c r="C1816" t="s">
        <v>20</v>
      </c>
      <c r="D1816" t="s">
        <v>8271</v>
      </c>
      <c r="E1816" t="s">
        <v>8272</v>
      </c>
      <c r="F1816" t="s">
        <v>8273</v>
      </c>
      <c r="I1816" t="s">
        <v>4507</v>
      </c>
      <c r="J1816" t="s">
        <v>70</v>
      </c>
      <c r="M1816" t="s">
        <v>38</v>
      </c>
      <c r="N1816" t="s">
        <v>8274</v>
      </c>
      <c r="O1816" t="s">
        <v>4510</v>
      </c>
      <c r="P1816" t="s">
        <v>8275</v>
      </c>
      <c r="Q1816" t="s">
        <v>8276</v>
      </c>
      <c r="R1816">
        <v>8</v>
      </c>
      <c r="S1816">
        <v>16</v>
      </c>
    </row>
    <row r="1817" spans="1:19" x14ac:dyDescent="0.35">
      <c r="A1817">
        <v>58</v>
      </c>
      <c r="B1817" t="s">
        <v>2902</v>
      </c>
      <c r="C1817" t="s">
        <v>42</v>
      </c>
      <c r="D1817" t="s">
        <v>8563</v>
      </c>
      <c r="E1817" t="e" cm="1">
        <f t="array" ref="E1817">- SILDENAFIL CITRATE</f>
        <v>#NAME?</v>
      </c>
      <c r="F1817" t="s">
        <v>8564</v>
      </c>
      <c r="G1817" t="s">
        <v>8185</v>
      </c>
      <c r="H1817" t="s">
        <v>3854</v>
      </c>
      <c r="I1817" t="s">
        <v>8186</v>
      </c>
      <c r="J1817" t="s">
        <v>8565</v>
      </c>
      <c r="L1817" t="s">
        <v>8188</v>
      </c>
      <c r="M1817" t="s">
        <v>46</v>
      </c>
      <c r="N1817" t="s">
        <v>2519</v>
      </c>
      <c r="O1817" t="s">
        <v>8189</v>
      </c>
      <c r="P1817" t="s">
        <v>8566</v>
      </c>
      <c r="Q1817" t="s">
        <v>8567</v>
      </c>
      <c r="R1817">
        <v>8</v>
      </c>
      <c r="S1817">
        <v>16</v>
      </c>
    </row>
    <row r="1818" spans="1:19" x14ac:dyDescent="0.35">
      <c r="A1818">
        <v>1</v>
      </c>
      <c r="B1818" t="s">
        <v>8237</v>
      </c>
      <c r="C1818" t="s">
        <v>42</v>
      </c>
      <c r="D1818" t="s">
        <v>8238</v>
      </c>
      <c r="E1818" t="e" cm="1">
        <f t="array" ref="E1818">- SILDENAFIL CITRATE</f>
        <v>#NAME?</v>
      </c>
      <c r="F1818" t="s">
        <v>8239</v>
      </c>
      <c r="G1818" t="s">
        <v>8240</v>
      </c>
      <c r="H1818" t="s">
        <v>8241</v>
      </c>
      <c r="I1818" t="s">
        <v>8242</v>
      </c>
      <c r="J1818" t="s">
        <v>8243</v>
      </c>
      <c r="K1818" t="s">
        <v>8244</v>
      </c>
      <c r="L1818" t="s">
        <v>8245</v>
      </c>
      <c r="M1818" t="s">
        <v>46</v>
      </c>
      <c r="N1818" t="s">
        <v>2519</v>
      </c>
      <c r="O1818" t="s">
        <v>8246</v>
      </c>
      <c r="P1818" t="s">
        <v>2519</v>
      </c>
      <c r="Q1818" t="s">
        <v>8247</v>
      </c>
      <c r="R1818">
        <v>8</v>
      </c>
      <c r="S1818">
        <v>16</v>
      </c>
    </row>
    <row r="1819" spans="1:19" x14ac:dyDescent="0.35">
      <c r="A1819">
        <v>1525</v>
      </c>
      <c r="B1819" t="s">
        <v>8568</v>
      </c>
      <c r="C1819" t="s">
        <v>42</v>
      </c>
      <c r="D1819" t="s">
        <v>8569</v>
      </c>
      <c r="E1819" t="e" cm="1">
        <f t="array" ref="E1819">- AMMONIUM CHLORIDE</f>
        <v>#NAME?</v>
      </c>
      <c r="F1819" t="s">
        <v>8570</v>
      </c>
      <c r="J1819" t="s">
        <v>334</v>
      </c>
      <c r="M1819" t="s">
        <v>271</v>
      </c>
      <c r="N1819" t="s">
        <v>1672</v>
      </c>
      <c r="P1819" t="s">
        <v>8571</v>
      </c>
      <c r="Q1819" t="s">
        <v>8572</v>
      </c>
      <c r="R1819">
        <v>8</v>
      </c>
      <c r="S1819">
        <v>16</v>
      </c>
    </row>
    <row r="1820" spans="1:19" x14ac:dyDescent="0.35">
      <c r="A1820">
        <v>213</v>
      </c>
      <c r="B1820" t="s">
        <v>2902</v>
      </c>
      <c r="C1820" t="s">
        <v>42</v>
      </c>
      <c r="D1820" t="s">
        <v>8099</v>
      </c>
      <c r="E1820" t="e" cm="1">
        <f t="array" ref="E1820">- SILDENAFIL CITRATE</f>
        <v>#NAME?</v>
      </c>
      <c r="F1820" t="s">
        <v>8100</v>
      </c>
      <c r="J1820" t="s">
        <v>8101</v>
      </c>
      <c r="M1820" t="s">
        <v>46</v>
      </c>
      <c r="N1820" t="s">
        <v>2519</v>
      </c>
      <c r="P1820" t="s">
        <v>8102</v>
      </c>
      <c r="Q1820" t="s">
        <v>8573</v>
      </c>
      <c r="R1820">
        <v>8</v>
      </c>
      <c r="S1820">
        <v>16</v>
      </c>
    </row>
    <row r="1821" spans="1:19" x14ac:dyDescent="0.35">
      <c r="A1821">
        <v>842</v>
      </c>
      <c r="B1821" t="s">
        <v>8574</v>
      </c>
      <c r="C1821" t="s">
        <v>42</v>
      </c>
      <c r="D1821" t="s">
        <v>8575</v>
      </c>
      <c r="E1821" t="e" cm="1">
        <f t="array" ref="E1821">- BROMHEXINE HYDROCHLORIDE</f>
        <v>#NAME?</v>
      </c>
      <c r="F1821" t="s">
        <v>8576</v>
      </c>
      <c r="G1821" t="s">
        <v>4649</v>
      </c>
      <c r="H1821" t="s">
        <v>8577</v>
      </c>
      <c r="I1821" t="s">
        <v>6402</v>
      </c>
      <c r="J1821" t="s">
        <v>334</v>
      </c>
      <c r="K1821" t="s">
        <v>8578</v>
      </c>
      <c r="L1821" t="s">
        <v>8579</v>
      </c>
      <c r="M1821" t="s">
        <v>271</v>
      </c>
      <c r="N1821" t="s">
        <v>1342</v>
      </c>
      <c r="O1821" t="s">
        <v>6406</v>
      </c>
      <c r="P1821" t="s">
        <v>8580</v>
      </c>
      <c r="Q1821" t="s">
        <v>8581</v>
      </c>
      <c r="R1821">
        <v>8</v>
      </c>
      <c r="S1821">
        <v>16</v>
      </c>
    </row>
    <row r="1822" spans="1:19" x14ac:dyDescent="0.35">
      <c r="A1822">
        <v>843</v>
      </c>
      <c r="B1822" t="s">
        <v>8574</v>
      </c>
      <c r="C1822" t="s">
        <v>42</v>
      </c>
      <c r="D1822" t="s">
        <v>8575</v>
      </c>
      <c r="E1822" t="e" cm="1">
        <f t="array" ref="E1822">- BROMHEXINE HYDROCHLORIDE</f>
        <v>#NAME?</v>
      </c>
      <c r="F1822" t="s">
        <v>8576</v>
      </c>
      <c r="G1822" t="s">
        <v>4649</v>
      </c>
      <c r="H1822" t="s">
        <v>8577</v>
      </c>
      <c r="I1822" t="s">
        <v>6402</v>
      </c>
      <c r="J1822" t="s">
        <v>334</v>
      </c>
      <c r="K1822" t="s">
        <v>8578</v>
      </c>
      <c r="L1822" t="s">
        <v>8579</v>
      </c>
      <c r="M1822" t="s">
        <v>271</v>
      </c>
      <c r="N1822" t="s">
        <v>1342</v>
      </c>
      <c r="O1822" t="s">
        <v>6406</v>
      </c>
      <c r="P1822" t="s">
        <v>8580</v>
      </c>
      <c r="Q1822" t="s">
        <v>8581</v>
      </c>
      <c r="R1822">
        <v>8</v>
      </c>
      <c r="S1822">
        <v>16</v>
      </c>
    </row>
    <row r="1823" spans="1:19" x14ac:dyDescent="0.35">
      <c r="A1823">
        <v>443</v>
      </c>
      <c r="B1823" t="s">
        <v>8467</v>
      </c>
      <c r="C1823" t="s">
        <v>20</v>
      </c>
      <c r="D1823" t="s">
        <v>8468</v>
      </c>
      <c r="E1823" t="s">
        <v>8469</v>
      </c>
      <c r="F1823" t="s">
        <v>8470</v>
      </c>
      <c r="G1823" t="s">
        <v>5033</v>
      </c>
      <c r="H1823" t="s">
        <v>8471</v>
      </c>
      <c r="I1823" t="s">
        <v>8472</v>
      </c>
      <c r="J1823" t="s">
        <v>7953</v>
      </c>
      <c r="L1823" t="s">
        <v>8473</v>
      </c>
      <c r="M1823" t="s">
        <v>46</v>
      </c>
      <c r="N1823" t="s">
        <v>8474</v>
      </c>
      <c r="O1823" t="s">
        <v>8475</v>
      </c>
      <c r="P1823" t="s">
        <v>8474</v>
      </c>
      <c r="Q1823" t="s">
        <v>8476</v>
      </c>
      <c r="R1823">
        <v>8</v>
      </c>
      <c r="S1823">
        <v>16</v>
      </c>
    </row>
    <row r="1824" spans="1:19" x14ac:dyDescent="0.35">
      <c r="A1824">
        <v>542</v>
      </c>
      <c r="B1824" t="s">
        <v>8582</v>
      </c>
      <c r="C1824" t="s">
        <v>42</v>
      </c>
      <c r="D1824" t="s">
        <v>8583</v>
      </c>
      <c r="E1824" t="e" cm="1">
        <f t="array" ref="E1824">- TERBUTALINE SULFATE</f>
        <v>#NAME?</v>
      </c>
      <c r="F1824" t="s">
        <v>8584</v>
      </c>
      <c r="G1824" t="s">
        <v>8585</v>
      </c>
      <c r="H1824" t="s">
        <v>8586</v>
      </c>
      <c r="I1824" t="s">
        <v>8587</v>
      </c>
      <c r="J1824" t="s">
        <v>381</v>
      </c>
      <c r="K1824" t="s">
        <v>8588</v>
      </c>
      <c r="L1824" t="s">
        <v>8589</v>
      </c>
      <c r="M1824" t="s">
        <v>46</v>
      </c>
      <c r="N1824" t="s">
        <v>4594</v>
      </c>
      <c r="O1824" t="s">
        <v>8590</v>
      </c>
      <c r="P1824" t="s">
        <v>8591</v>
      </c>
      <c r="Q1824" t="s">
        <v>8592</v>
      </c>
      <c r="R1824">
        <v>8</v>
      </c>
      <c r="S1824">
        <v>16</v>
      </c>
    </row>
    <row r="1825" spans="1:19" x14ac:dyDescent="0.35">
      <c r="A1825">
        <v>419</v>
      </c>
      <c r="B1825" t="s">
        <v>8270</v>
      </c>
      <c r="C1825" t="s">
        <v>20</v>
      </c>
      <c r="D1825" t="s">
        <v>8271</v>
      </c>
      <c r="E1825" t="s">
        <v>8272</v>
      </c>
      <c r="F1825" t="s">
        <v>8273</v>
      </c>
      <c r="I1825" t="s">
        <v>4507</v>
      </c>
      <c r="J1825" t="s">
        <v>70</v>
      </c>
      <c r="M1825" t="s">
        <v>38</v>
      </c>
      <c r="N1825" t="s">
        <v>8274</v>
      </c>
      <c r="O1825" t="s">
        <v>4510</v>
      </c>
      <c r="P1825" t="s">
        <v>8275</v>
      </c>
      <c r="Q1825" t="s">
        <v>8276</v>
      </c>
      <c r="R1825">
        <v>8</v>
      </c>
      <c r="S1825">
        <v>16</v>
      </c>
    </row>
    <row r="1826" spans="1:19" x14ac:dyDescent="0.35">
      <c r="A1826">
        <v>1032</v>
      </c>
      <c r="B1826" t="s">
        <v>8593</v>
      </c>
      <c r="C1826" t="s">
        <v>42</v>
      </c>
      <c r="D1826" t="s">
        <v>8594</v>
      </c>
      <c r="E1826" t="e" cm="1">
        <f t="array" ref="E1826">- GUAIFENESIN</f>
        <v>#NAME?</v>
      </c>
      <c r="F1826" s="1">
        <v>42300</v>
      </c>
      <c r="G1826" t="s">
        <v>8414</v>
      </c>
      <c r="H1826" t="s">
        <v>8415</v>
      </c>
      <c r="I1826" t="s">
        <v>8416</v>
      </c>
      <c r="J1826" t="s">
        <v>334</v>
      </c>
      <c r="K1826" t="s">
        <v>8417</v>
      </c>
      <c r="L1826" t="s">
        <v>8418</v>
      </c>
      <c r="M1826" t="s">
        <v>271</v>
      </c>
      <c r="N1826" t="s">
        <v>361</v>
      </c>
      <c r="O1826" t="s">
        <v>8419</v>
      </c>
      <c r="P1826" t="s">
        <v>8595</v>
      </c>
      <c r="Q1826" t="s">
        <v>8596</v>
      </c>
      <c r="R1826">
        <v>8</v>
      </c>
      <c r="S1826">
        <v>16</v>
      </c>
    </row>
    <row r="1827" spans="1:19" x14ac:dyDescent="0.35">
      <c r="A1827">
        <v>541</v>
      </c>
      <c r="B1827" t="s">
        <v>8582</v>
      </c>
      <c r="C1827" t="s">
        <v>42</v>
      </c>
      <c r="D1827" t="s">
        <v>8583</v>
      </c>
      <c r="E1827" t="e" cm="1">
        <f t="array" ref="E1827">- TERBUTALINE SULFATE</f>
        <v>#NAME?</v>
      </c>
      <c r="F1827" t="s">
        <v>8584</v>
      </c>
      <c r="G1827" t="s">
        <v>8585</v>
      </c>
      <c r="H1827" t="s">
        <v>8586</v>
      </c>
      <c r="I1827" t="s">
        <v>8587</v>
      </c>
      <c r="J1827" t="s">
        <v>381</v>
      </c>
      <c r="K1827" t="s">
        <v>8588</v>
      </c>
      <c r="L1827" t="s">
        <v>8589</v>
      </c>
      <c r="M1827" t="s">
        <v>46</v>
      </c>
      <c r="N1827" t="s">
        <v>4594</v>
      </c>
      <c r="O1827" t="s">
        <v>8590</v>
      </c>
      <c r="P1827" t="s">
        <v>8591</v>
      </c>
      <c r="Q1827" t="s">
        <v>8592</v>
      </c>
      <c r="R1827">
        <v>8</v>
      </c>
      <c r="S1827">
        <v>16</v>
      </c>
    </row>
    <row r="1828" spans="1:19" x14ac:dyDescent="0.35">
      <c r="A1828">
        <v>274</v>
      </c>
      <c r="B1828" t="s">
        <v>8374</v>
      </c>
      <c r="C1828" t="s">
        <v>42</v>
      </c>
      <c r="D1828" t="s">
        <v>8375</v>
      </c>
      <c r="E1828" t="e" cm="1">
        <f t="array" ref="E1828">- TADALAFIL</f>
        <v>#NAME?</v>
      </c>
      <c r="F1828" t="s">
        <v>8376</v>
      </c>
      <c r="G1828" t="s">
        <v>8377</v>
      </c>
      <c r="H1828" t="s">
        <v>8378</v>
      </c>
      <c r="I1828" t="s">
        <v>8242</v>
      </c>
      <c r="J1828" t="s">
        <v>8379</v>
      </c>
      <c r="K1828" t="s">
        <v>8380</v>
      </c>
    </row>
    <row r="1829" spans="1:19" x14ac:dyDescent="0.35">
      <c r="A1829">
        <v>275</v>
      </c>
      <c r="B1829" t="s">
        <v>8374</v>
      </c>
      <c r="C1829" t="s">
        <v>42</v>
      </c>
      <c r="D1829" t="s">
        <v>8375</v>
      </c>
      <c r="E1829" t="e" cm="1">
        <f t="array" ref="E1829">- TADALAFIL</f>
        <v>#NAME?</v>
      </c>
      <c r="F1829" t="s">
        <v>8376</v>
      </c>
      <c r="G1829" t="s">
        <v>8377</v>
      </c>
      <c r="H1829" t="s">
        <v>8378</v>
      </c>
      <c r="I1829" t="s">
        <v>8242</v>
      </c>
      <c r="J1829" t="s">
        <v>8379</v>
      </c>
      <c r="K1829" t="s">
        <v>8380</v>
      </c>
    </row>
    <row r="1830" spans="1:19" x14ac:dyDescent="0.35">
      <c r="A1830">
        <v>2319</v>
      </c>
      <c r="B1830" t="s">
        <v>8597</v>
      </c>
      <c r="C1830" t="s">
        <v>42</v>
      </c>
      <c r="D1830" t="s">
        <v>8598</v>
      </c>
      <c r="E1830" t="e" cm="1">
        <f t="array" ref="E1830">- IBUPROFEN</f>
        <v>#NAME?</v>
      </c>
      <c r="F1830" t="s">
        <v>8599</v>
      </c>
      <c r="G1830" t="s">
        <v>1691</v>
      </c>
      <c r="H1830" t="s">
        <v>8600</v>
      </c>
      <c r="I1830" t="s">
        <v>8601</v>
      </c>
      <c r="J1830" t="s">
        <v>8602</v>
      </c>
      <c r="K1830" t="s">
        <v>8603</v>
      </c>
      <c r="L1830" t="s">
        <v>8604</v>
      </c>
    </row>
    <row r="1831" spans="1:19" x14ac:dyDescent="0.35">
      <c r="A1831">
        <v>2320</v>
      </c>
      <c r="B1831" t="s">
        <v>8597</v>
      </c>
      <c r="C1831" t="s">
        <v>42</v>
      </c>
      <c r="D1831" t="s">
        <v>8598</v>
      </c>
      <c r="E1831" t="e" cm="1">
        <f t="array" ref="E1831">- IBUPROFEN</f>
        <v>#NAME?</v>
      </c>
      <c r="F1831" t="s">
        <v>8599</v>
      </c>
      <c r="G1831" t="s">
        <v>1691</v>
      </c>
      <c r="H1831" t="s">
        <v>8600</v>
      </c>
      <c r="I1831" t="s">
        <v>8601</v>
      </c>
      <c r="J1831" t="s">
        <v>8602</v>
      </c>
      <c r="K1831" t="s">
        <v>8603</v>
      </c>
      <c r="L1831" t="s">
        <v>8604</v>
      </c>
    </row>
    <row r="1832" spans="1:19" x14ac:dyDescent="0.35">
      <c r="A1832">
        <v>8879</v>
      </c>
      <c r="B1832" t="s">
        <v>8605</v>
      </c>
      <c r="C1832" t="s">
        <v>42</v>
      </c>
      <c r="D1832" t="s">
        <v>8606</v>
      </c>
      <c r="E1832" t="e" cm="1">
        <f t="array" ref="E1832">- INSULIN ASPART</f>
        <v>#NAME?</v>
      </c>
      <c r="F1832" t="s">
        <v>8607</v>
      </c>
      <c r="G1832" t="s">
        <v>8608</v>
      </c>
      <c r="H1832" t="s">
        <v>8609</v>
      </c>
      <c r="I1832" t="s">
        <v>8610</v>
      </c>
      <c r="J1832" t="s">
        <v>8611</v>
      </c>
      <c r="K1832" t="s">
        <v>8612</v>
      </c>
      <c r="L1832" t="s">
        <v>8613</v>
      </c>
      <c r="M1832" t="s">
        <v>2403</v>
      </c>
      <c r="N1832" t="s">
        <v>8614</v>
      </c>
      <c r="O1832" t="s">
        <v>8615</v>
      </c>
      <c r="P1832" t="s">
        <v>8616</v>
      </c>
      <c r="Q1832" t="s">
        <v>8617</v>
      </c>
      <c r="R1832">
        <v>9</v>
      </c>
      <c r="S1832">
        <v>16</v>
      </c>
    </row>
    <row r="1833" spans="1:19" x14ac:dyDescent="0.35">
      <c r="A1833">
        <v>1113</v>
      </c>
      <c r="B1833" t="s">
        <v>8618</v>
      </c>
      <c r="C1833" t="s">
        <v>42</v>
      </c>
      <c r="D1833" t="s">
        <v>8619</v>
      </c>
      <c r="E1833" t="e" cm="1">
        <f t="array" ref="E1833">- CHLORPHENAMINE MALEATE</f>
        <v>#NAME?</v>
      </c>
      <c r="F1833" t="s">
        <v>8620</v>
      </c>
      <c r="G1833" t="s">
        <v>2241</v>
      </c>
      <c r="H1833" t="s">
        <v>8621</v>
      </c>
      <c r="I1833" t="s">
        <v>8622</v>
      </c>
      <c r="J1833" t="s">
        <v>8602</v>
      </c>
      <c r="K1833" t="s">
        <v>8623</v>
      </c>
      <c r="L1833" t="s">
        <v>8624</v>
      </c>
      <c r="M1833" t="s">
        <v>46</v>
      </c>
      <c r="N1833" t="s">
        <v>1354</v>
      </c>
      <c r="O1833" t="s">
        <v>8625</v>
      </c>
      <c r="P1833" t="s">
        <v>8626</v>
      </c>
      <c r="Q1833" t="s">
        <v>8627</v>
      </c>
      <c r="R1833">
        <v>9</v>
      </c>
      <c r="S1833">
        <v>16</v>
      </c>
    </row>
    <row r="1834" spans="1:19" x14ac:dyDescent="0.35">
      <c r="A1834">
        <v>7801</v>
      </c>
      <c r="B1834" t="s">
        <v>8628</v>
      </c>
      <c r="C1834" t="s">
        <v>20</v>
      </c>
      <c r="D1834" t="s">
        <v>8629</v>
      </c>
      <c r="E1834" t="s">
        <v>8630</v>
      </c>
      <c r="F1834" t="s">
        <v>8631</v>
      </c>
      <c r="G1834" t="s">
        <v>8632</v>
      </c>
      <c r="H1834" t="s">
        <v>4385</v>
      </c>
      <c r="I1834" t="s">
        <v>8633</v>
      </c>
      <c r="J1834" t="s">
        <v>3812</v>
      </c>
      <c r="M1834" t="s">
        <v>38</v>
      </c>
      <c r="N1834" t="s">
        <v>8634</v>
      </c>
      <c r="O1834" t="s">
        <v>5535</v>
      </c>
      <c r="P1834" t="s">
        <v>8635</v>
      </c>
      <c r="Q1834" t="s">
        <v>8636</v>
      </c>
      <c r="R1834">
        <v>9</v>
      </c>
      <c r="S1834">
        <v>16</v>
      </c>
    </row>
    <row r="1835" spans="1:19" x14ac:dyDescent="0.35">
      <c r="A1835">
        <v>4351</v>
      </c>
      <c r="B1835" t="s">
        <v>8637</v>
      </c>
      <c r="C1835" t="s">
        <v>42</v>
      </c>
      <c r="D1835" t="s">
        <v>8638</v>
      </c>
      <c r="E1835" t="e" cm="1">
        <f t="array" ref="E1835">- Camphor Oil</f>
        <v>#NAME?</v>
      </c>
      <c r="F1835" t="s">
        <v>8639</v>
      </c>
      <c r="G1835" t="s">
        <v>8640</v>
      </c>
      <c r="H1835" t="s">
        <v>8641</v>
      </c>
      <c r="I1835" t="s">
        <v>8642</v>
      </c>
      <c r="J1835" t="s">
        <v>8643</v>
      </c>
      <c r="K1835" t="s">
        <v>8644</v>
      </c>
      <c r="L1835" t="s">
        <v>8645</v>
      </c>
      <c r="M1835" t="s">
        <v>824</v>
      </c>
      <c r="N1835" t="s">
        <v>8646</v>
      </c>
      <c r="O1835" t="s">
        <v>8647</v>
      </c>
      <c r="P1835" t="s">
        <v>8648</v>
      </c>
      <c r="Q1835" t="s">
        <v>8649</v>
      </c>
      <c r="R1835">
        <v>9</v>
      </c>
      <c r="S1835">
        <v>16</v>
      </c>
    </row>
    <row r="1836" spans="1:19" x14ac:dyDescent="0.35">
      <c r="A1836">
        <v>6981</v>
      </c>
      <c r="B1836" t="s">
        <v>1803</v>
      </c>
      <c r="C1836" t="s">
        <v>42</v>
      </c>
      <c r="D1836" t="s">
        <v>8650</v>
      </c>
      <c r="E1836" t="e" cm="1">
        <f t="array" ref="E1836">- TIZANIDINE HYDROCHLORIDE</f>
        <v>#NAME?</v>
      </c>
      <c r="F1836" t="s">
        <v>8651</v>
      </c>
      <c r="J1836" t="s">
        <v>8652</v>
      </c>
      <c r="M1836" t="s">
        <v>46</v>
      </c>
      <c r="N1836" t="s">
        <v>1806</v>
      </c>
      <c r="P1836" t="s">
        <v>8653</v>
      </c>
      <c r="Q1836" t="s">
        <v>8654</v>
      </c>
      <c r="R1836">
        <v>9</v>
      </c>
      <c r="S1836">
        <v>16</v>
      </c>
    </row>
    <row r="1837" spans="1:19" x14ac:dyDescent="0.35">
      <c r="A1837">
        <v>4596</v>
      </c>
      <c r="B1837" t="s">
        <v>8655</v>
      </c>
      <c r="C1837" t="s">
        <v>42</v>
      </c>
      <c r="D1837" t="s">
        <v>8656</v>
      </c>
      <c r="E1837" t="e" cm="1">
        <f t="array" ref="E1837">- HYPROMELLOSE</f>
        <v>#NAME?</v>
      </c>
      <c r="F1837" t="s">
        <v>8657</v>
      </c>
      <c r="G1837" t="s">
        <v>8658</v>
      </c>
      <c r="H1837" t="s">
        <v>8659</v>
      </c>
      <c r="I1837" t="s">
        <v>8660</v>
      </c>
      <c r="J1837" t="s">
        <v>8661</v>
      </c>
      <c r="K1837" t="s">
        <v>2858</v>
      </c>
      <c r="L1837" t="s">
        <v>8662</v>
      </c>
      <c r="M1837" t="s">
        <v>824</v>
      </c>
      <c r="N1837" t="s">
        <v>6336</v>
      </c>
      <c r="O1837" t="s">
        <v>8663</v>
      </c>
      <c r="P1837" t="s">
        <v>8664</v>
      </c>
      <c r="Q1837" t="s">
        <v>8665</v>
      </c>
      <c r="R1837">
        <v>9</v>
      </c>
      <c r="S1837">
        <v>16</v>
      </c>
    </row>
    <row r="1838" spans="1:19" x14ac:dyDescent="0.35">
      <c r="A1838">
        <v>86</v>
      </c>
      <c r="B1838" t="s">
        <v>2902</v>
      </c>
      <c r="C1838" t="s">
        <v>42</v>
      </c>
      <c r="D1838" t="s">
        <v>8666</v>
      </c>
      <c r="E1838" t="e" cm="1">
        <f t="array" ref="E1838">- SILDENAFIL CITRATE</f>
        <v>#NAME?</v>
      </c>
      <c r="F1838" t="s">
        <v>8667</v>
      </c>
      <c r="G1838" t="s">
        <v>8668</v>
      </c>
      <c r="H1838" t="s">
        <v>1322</v>
      </c>
      <c r="I1838" t="s">
        <v>8669</v>
      </c>
      <c r="J1838" t="s">
        <v>8670</v>
      </c>
      <c r="L1838" t="s">
        <v>8671</v>
      </c>
      <c r="M1838" t="s">
        <v>46</v>
      </c>
      <c r="N1838" t="s">
        <v>2519</v>
      </c>
      <c r="O1838" t="s">
        <v>8672</v>
      </c>
      <c r="P1838" t="s">
        <v>8673</v>
      </c>
      <c r="Q1838" t="s">
        <v>8674</v>
      </c>
      <c r="R1838">
        <v>9</v>
      </c>
      <c r="S1838">
        <v>16</v>
      </c>
    </row>
    <row r="1839" spans="1:19" x14ac:dyDescent="0.35">
      <c r="A1839">
        <v>185</v>
      </c>
      <c r="B1839" t="s">
        <v>2902</v>
      </c>
      <c r="C1839" t="s">
        <v>42</v>
      </c>
      <c r="D1839" t="s">
        <v>8675</v>
      </c>
      <c r="E1839" t="e" cm="1">
        <f t="array" ref="E1839">- SILDENAFIL CITRATE</f>
        <v>#NAME?</v>
      </c>
      <c r="F1839" t="s">
        <v>8676</v>
      </c>
      <c r="J1839" t="s">
        <v>8677</v>
      </c>
      <c r="M1839" t="s">
        <v>46</v>
      </c>
      <c r="N1839" t="s">
        <v>2519</v>
      </c>
      <c r="P1839" t="s">
        <v>8678</v>
      </c>
      <c r="Q1839" t="s">
        <v>8679</v>
      </c>
      <c r="R1839">
        <v>9</v>
      </c>
      <c r="S1839">
        <v>16</v>
      </c>
    </row>
    <row r="1840" spans="1:19" x14ac:dyDescent="0.35">
      <c r="A1840">
        <v>186</v>
      </c>
      <c r="B1840" t="s">
        <v>2902</v>
      </c>
      <c r="C1840" t="s">
        <v>42</v>
      </c>
      <c r="D1840" t="s">
        <v>8680</v>
      </c>
      <c r="E1840" t="e" cm="1">
        <f t="array" ref="E1840">- SILDENAFIL CITRATE</f>
        <v>#NAME?</v>
      </c>
      <c r="F1840" t="s">
        <v>8681</v>
      </c>
      <c r="J1840" t="s">
        <v>8677</v>
      </c>
      <c r="M1840" t="s">
        <v>46</v>
      </c>
      <c r="N1840" t="s">
        <v>2519</v>
      </c>
      <c r="P1840" t="s">
        <v>8678</v>
      </c>
      <c r="Q1840" t="s">
        <v>8679</v>
      </c>
      <c r="R1840">
        <v>9</v>
      </c>
      <c r="S1840">
        <v>16</v>
      </c>
    </row>
    <row r="1841" spans="1:19" x14ac:dyDescent="0.35">
      <c r="A1841">
        <v>187</v>
      </c>
      <c r="B1841" t="s">
        <v>2902</v>
      </c>
      <c r="C1841" t="s">
        <v>42</v>
      </c>
      <c r="D1841" t="s">
        <v>8682</v>
      </c>
      <c r="E1841" t="e" cm="1">
        <f t="array" ref="E1841">- SILDENAFIL CITRATE</f>
        <v>#NAME?</v>
      </c>
      <c r="F1841" t="s">
        <v>8683</v>
      </c>
      <c r="G1841" t="s">
        <v>8684</v>
      </c>
      <c r="H1841" t="s">
        <v>8685</v>
      </c>
      <c r="J1841" t="s">
        <v>8686</v>
      </c>
      <c r="M1841" t="s">
        <v>46</v>
      </c>
      <c r="N1841" t="s">
        <v>2519</v>
      </c>
      <c r="P1841" t="s">
        <v>8687</v>
      </c>
      <c r="Q1841" t="s">
        <v>8688</v>
      </c>
      <c r="R1841">
        <v>9</v>
      </c>
      <c r="S1841">
        <v>16</v>
      </c>
    </row>
    <row r="1842" spans="1:19" x14ac:dyDescent="0.35">
      <c r="A1842">
        <v>2392</v>
      </c>
      <c r="B1842" t="s">
        <v>1225</v>
      </c>
      <c r="C1842" t="s">
        <v>42</v>
      </c>
      <c r="D1842" t="s">
        <v>1226</v>
      </c>
      <c r="E1842" t="e" cm="1">
        <f t="array" ref="E1842">- METAMIZOLE SODIUM. THIAMINE HYDROCHLORIDE. PYRIDOXINE HYDROCHLORIDE. CYANOCOBALAMIN</f>
        <v>#NAME?</v>
      </c>
      <c r="F1842" t="s">
        <v>1227</v>
      </c>
      <c r="J1842" t="s">
        <v>1228</v>
      </c>
      <c r="M1842" t="s">
        <v>291</v>
      </c>
      <c r="N1842" t="s">
        <v>8689</v>
      </c>
      <c r="P1842" t="s">
        <v>1229</v>
      </c>
      <c r="Q1842" t="s">
        <v>8690</v>
      </c>
      <c r="R1842">
        <v>9</v>
      </c>
      <c r="S1842">
        <v>16</v>
      </c>
    </row>
    <row r="1843" spans="1:19" x14ac:dyDescent="0.35">
      <c r="A1843">
        <v>4597</v>
      </c>
      <c r="B1843" t="s">
        <v>8655</v>
      </c>
      <c r="C1843" t="s">
        <v>42</v>
      </c>
      <c r="D1843" t="s">
        <v>8656</v>
      </c>
      <c r="E1843" t="e" cm="1">
        <f t="array" ref="E1843">- HYPROMELLOSE</f>
        <v>#NAME?</v>
      </c>
      <c r="F1843" t="s">
        <v>8657</v>
      </c>
      <c r="G1843" t="s">
        <v>8658</v>
      </c>
      <c r="H1843" t="s">
        <v>8659</v>
      </c>
      <c r="I1843" t="s">
        <v>8660</v>
      </c>
      <c r="J1843" t="s">
        <v>8661</v>
      </c>
      <c r="K1843" t="s">
        <v>2858</v>
      </c>
      <c r="L1843" t="s">
        <v>8662</v>
      </c>
      <c r="M1843" t="s">
        <v>824</v>
      </c>
      <c r="N1843" t="s">
        <v>6336</v>
      </c>
      <c r="O1843" t="s">
        <v>8663</v>
      </c>
      <c r="P1843" t="s">
        <v>8664</v>
      </c>
      <c r="Q1843" t="s">
        <v>8665</v>
      </c>
      <c r="R1843">
        <v>9</v>
      </c>
      <c r="S1843">
        <v>16</v>
      </c>
    </row>
    <row r="1844" spans="1:19" x14ac:dyDescent="0.35">
      <c r="A1844">
        <v>6973</v>
      </c>
      <c r="B1844" t="s">
        <v>1803</v>
      </c>
      <c r="C1844" t="s">
        <v>42</v>
      </c>
      <c r="D1844" t="s">
        <v>8691</v>
      </c>
      <c r="E1844" t="e" cm="1">
        <f t="array" ref="E1844">- TIZANIDINE HYDROCHLORIDE</f>
        <v>#NAME?</v>
      </c>
      <c r="F1844" t="s">
        <v>8692</v>
      </c>
      <c r="H1844" t="s">
        <v>1322</v>
      </c>
      <c r="J1844" t="s">
        <v>6198</v>
      </c>
      <c r="M1844" t="s">
        <v>46</v>
      </c>
      <c r="N1844" t="s">
        <v>1806</v>
      </c>
      <c r="P1844" t="s">
        <v>8693</v>
      </c>
      <c r="Q1844" t="s">
        <v>8694</v>
      </c>
      <c r="R1844">
        <v>9</v>
      </c>
      <c r="S1844">
        <v>16</v>
      </c>
    </row>
    <row r="1845" spans="1:19" x14ac:dyDescent="0.35">
      <c r="A1845">
        <v>4595</v>
      </c>
      <c r="B1845" t="s">
        <v>8655</v>
      </c>
      <c r="C1845" t="s">
        <v>42</v>
      </c>
      <c r="D1845" t="s">
        <v>8656</v>
      </c>
      <c r="E1845" t="e" cm="1">
        <f t="array" ref="E1845">- HYPROMELLOSE</f>
        <v>#NAME?</v>
      </c>
      <c r="F1845" t="s">
        <v>8657</v>
      </c>
      <c r="G1845" t="s">
        <v>8658</v>
      </c>
      <c r="H1845" t="s">
        <v>8659</v>
      </c>
      <c r="I1845" t="s">
        <v>8660</v>
      </c>
      <c r="J1845" t="s">
        <v>8661</v>
      </c>
      <c r="K1845" t="s">
        <v>2858</v>
      </c>
      <c r="L1845" t="s">
        <v>8662</v>
      </c>
      <c r="M1845" t="s">
        <v>824</v>
      </c>
      <c r="N1845" t="s">
        <v>6336</v>
      </c>
      <c r="O1845" t="s">
        <v>8663</v>
      </c>
      <c r="P1845" t="s">
        <v>8664</v>
      </c>
      <c r="Q1845" t="s">
        <v>8665</v>
      </c>
      <c r="R1845">
        <v>9</v>
      </c>
      <c r="S1845">
        <v>16</v>
      </c>
    </row>
    <row r="1846" spans="1:19" x14ac:dyDescent="0.35">
      <c r="A1846">
        <v>181</v>
      </c>
      <c r="B1846" t="s">
        <v>2902</v>
      </c>
      <c r="C1846" t="s">
        <v>42</v>
      </c>
      <c r="D1846" t="s">
        <v>8695</v>
      </c>
      <c r="E1846" t="e" cm="1">
        <f t="array" ref="E1846">- SILDENAFIL CITRATE</f>
        <v>#NAME?</v>
      </c>
      <c r="F1846" t="s">
        <v>8696</v>
      </c>
      <c r="J1846" t="s">
        <v>8697</v>
      </c>
      <c r="M1846" t="s">
        <v>46</v>
      </c>
      <c r="N1846" t="s">
        <v>2519</v>
      </c>
      <c r="P1846" t="s">
        <v>8698</v>
      </c>
      <c r="Q1846" t="s">
        <v>8699</v>
      </c>
      <c r="R1846">
        <v>9</v>
      </c>
      <c r="S1846">
        <v>16</v>
      </c>
    </row>
    <row r="1847" spans="1:19" x14ac:dyDescent="0.35">
      <c r="A1847">
        <v>5202</v>
      </c>
      <c r="B1847" t="s">
        <v>8700</v>
      </c>
      <c r="C1847" t="s">
        <v>42</v>
      </c>
      <c r="D1847" t="s">
        <v>8701</v>
      </c>
      <c r="E1847" t="e" cm="1">
        <f t="array" ref="E1847">- SULFADIAZINE SILVER</f>
        <v>#NAME?</v>
      </c>
      <c r="F1847" t="s">
        <v>8702</v>
      </c>
      <c r="G1847" t="s">
        <v>8703</v>
      </c>
      <c r="H1847" t="s">
        <v>8704</v>
      </c>
      <c r="I1847" t="s">
        <v>8705</v>
      </c>
      <c r="J1847" t="s">
        <v>8706</v>
      </c>
      <c r="K1847" t="s">
        <v>8707</v>
      </c>
      <c r="L1847" t="s">
        <v>8708</v>
      </c>
      <c r="M1847" t="s">
        <v>1289</v>
      </c>
      <c r="N1847" t="s">
        <v>2849</v>
      </c>
      <c r="O1847" t="s">
        <v>8709</v>
      </c>
      <c r="P1847" t="s">
        <v>2850</v>
      </c>
      <c r="Q1847" t="s">
        <v>8710</v>
      </c>
      <c r="R1847">
        <v>9</v>
      </c>
      <c r="S1847">
        <v>16</v>
      </c>
    </row>
    <row r="1848" spans="1:19" x14ac:dyDescent="0.35">
      <c r="A1848">
        <v>2328</v>
      </c>
      <c r="B1848" t="s">
        <v>8711</v>
      </c>
      <c r="C1848" t="s">
        <v>42</v>
      </c>
      <c r="D1848" t="s">
        <v>8712</v>
      </c>
      <c r="E1848" t="e" cm="1">
        <f t="array" ref="E1848">- KETOPROFEN</f>
        <v>#NAME?</v>
      </c>
      <c r="F1848" t="s">
        <v>8713</v>
      </c>
      <c r="G1848" t="s">
        <v>8714</v>
      </c>
      <c r="H1848" t="s">
        <v>8715</v>
      </c>
      <c r="I1848" t="s">
        <v>8716</v>
      </c>
      <c r="J1848" t="s">
        <v>4783</v>
      </c>
      <c r="K1848" t="s">
        <v>8717</v>
      </c>
      <c r="L1848" t="s">
        <v>8718</v>
      </c>
      <c r="M1848" t="s">
        <v>46</v>
      </c>
      <c r="N1848" t="s">
        <v>721</v>
      </c>
      <c r="O1848" t="s">
        <v>8719</v>
      </c>
      <c r="P1848" t="s">
        <v>8720</v>
      </c>
      <c r="Q1848" t="s">
        <v>8721</v>
      </c>
      <c r="R1848">
        <v>9</v>
      </c>
      <c r="S1848">
        <v>16</v>
      </c>
    </row>
    <row r="1849" spans="1:19" x14ac:dyDescent="0.35">
      <c r="A1849">
        <v>6987</v>
      </c>
      <c r="B1849" t="s">
        <v>1803</v>
      </c>
      <c r="C1849" t="s">
        <v>42</v>
      </c>
      <c r="D1849" t="s">
        <v>8722</v>
      </c>
      <c r="E1849" t="e" cm="1">
        <f t="array" ref="E1849">- TIZANIDINE HYDROCHLORIDE</f>
        <v>#NAME?</v>
      </c>
      <c r="F1849" t="s">
        <v>8723</v>
      </c>
      <c r="J1849" t="s">
        <v>8724</v>
      </c>
      <c r="M1849" t="s">
        <v>46</v>
      </c>
      <c r="N1849" t="s">
        <v>1806</v>
      </c>
      <c r="P1849" t="s">
        <v>8725</v>
      </c>
      <c r="Q1849" t="s">
        <v>8726</v>
      </c>
      <c r="R1849">
        <v>9</v>
      </c>
      <c r="S1849">
        <v>16</v>
      </c>
    </row>
    <row r="1850" spans="1:19" x14ac:dyDescent="0.35">
      <c r="A1850">
        <v>5805</v>
      </c>
      <c r="B1850" t="s">
        <v>8727</v>
      </c>
      <c r="C1850" t="s">
        <v>42</v>
      </c>
      <c r="D1850" t="s">
        <v>8728</v>
      </c>
      <c r="E1850" t="e" cm="1">
        <f t="array" ref="E1850">- SPIRAMYCIN</f>
        <v>#NAME?</v>
      </c>
      <c r="F1850" t="s">
        <v>8729</v>
      </c>
      <c r="G1850" t="s">
        <v>5568</v>
      </c>
      <c r="H1850" t="s">
        <v>8730</v>
      </c>
      <c r="I1850" t="s">
        <v>8731</v>
      </c>
      <c r="J1850" t="s">
        <v>532</v>
      </c>
      <c r="K1850" t="s">
        <v>3952</v>
      </c>
      <c r="L1850" t="s">
        <v>8732</v>
      </c>
      <c r="M1850" t="s">
        <v>46</v>
      </c>
      <c r="N1850" t="s">
        <v>8733</v>
      </c>
      <c r="O1850" t="s">
        <v>8734</v>
      </c>
      <c r="P1850" t="s">
        <v>8733</v>
      </c>
      <c r="Q1850" t="s">
        <v>8735</v>
      </c>
      <c r="R1850">
        <v>9</v>
      </c>
      <c r="S1850">
        <v>16</v>
      </c>
    </row>
    <row r="1851" spans="1:19" x14ac:dyDescent="0.35">
      <c r="A1851">
        <v>5806</v>
      </c>
      <c r="B1851" t="s">
        <v>8727</v>
      </c>
      <c r="C1851" t="s">
        <v>42</v>
      </c>
      <c r="D1851" t="s">
        <v>8728</v>
      </c>
      <c r="E1851" t="e" cm="1">
        <f t="array" ref="E1851">- SPIRAMYCIN</f>
        <v>#NAME?</v>
      </c>
      <c r="F1851" t="s">
        <v>8729</v>
      </c>
      <c r="G1851" t="s">
        <v>5568</v>
      </c>
      <c r="H1851" t="s">
        <v>8730</v>
      </c>
      <c r="I1851" t="s">
        <v>8731</v>
      </c>
      <c r="J1851" t="s">
        <v>532</v>
      </c>
      <c r="K1851" t="s">
        <v>3952</v>
      </c>
      <c r="L1851" t="s">
        <v>8732</v>
      </c>
      <c r="M1851" t="s">
        <v>46</v>
      </c>
      <c r="N1851" t="s">
        <v>8733</v>
      </c>
      <c r="O1851" t="s">
        <v>8734</v>
      </c>
      <c r="P1851" t="s">
        <v>8733</v>
      </c>
      <c r="Q1851" t="s">
        <v>8735</v>
      </c>
      <c r="R1851">
        <v>9</v>
      </c>
      <c r="S1851">
        <v>16</v>
      </c>
    </row>
    <row r="1852" spans="1:19" x14ac:dyDescent="0.35">
      <c r="A1852">
        <v>176</v>
      </c>
      <c r="B1852" t="s">
        <v>2902</v>
      </c>
      <c r="C1852" t="s">
        <v>42</v>
      </c>
      <c r="D1852" t="s">
        <v>8736</v>
      </c>
      <c r="E1852" t="e" cm="1">
        <f t="array" ref="E1852">- SILDENAFIL CITRATE</f>
        <v>#NAME?</v>
      </c>
      <c r="F1852" s="1">
        <v>58500</v>
      </c>
      <c r="J1852" t="s">
        <v>8151</v>
      </c>
      <c r="M1852" t="s">
        <v>46</v>
      </c>
      <c r="N1852" t="s">
        <v>2519</v>
      </c>
      <c r="P1852" t="s">
        <v>8737</v>
      </c>
      <c r="Q1852" t="s">
        <v>8738</v>
      </c>
      <c r="R1852">
        <v>9</v>
      </c>
      <c r="S1852">
        <v>16</v>
      </c>
    </row>
    <row r="1853" spans="1:19" x14ac:dyDescent="0.35">
      <c r="A1853">
        <v>76</v>
      </c>
      <c r="B1853" t="s">
        <v>2902</v>
      </c>
      <c r="C1853" t="s">
        <v>42</v>
      </c>
      <c r="D1853" t="s">
        <v>8666</v>
      </c>
      <c r="E1853" t="e" cm="1">
        <f t="array" ref="E1853">- SILDENAFIL CITRATE</f>
        <v>#NAME?</v>
      </c>
      <c r="F1853" t="s">
        <v>8667</v>
      </c>
      <c r="G1853" t="s">
        <v>8668</v>
      </c>
      <c r="H1853" t="s">
        <v>1322</v>
      </c>
      <c r="I1853" t="s">
        <v>8669</v>
      </c>
      <c r="J1853" t="s">
        <v>8670</v>
      </c>
      <c r="L1853" t="s">
        <v>8671</v>
      </c>
      <c r="M1853" t="s">
        <v>46</v>
      </c>
      <c r="N1853" t="s">
        <v>2519</v>
      </c>
      <c r="O1853" t="s">
        <v>8672</v>
      </c>
      <c r="P1853" t="s">
        <v>8673</v>
      </c>
      <c r="Q1853" t="s">
        <v>8674</v>
      </c>
      <c r="R1853">
        <v>9</v>
      </c>
      <c r="S1853">
        <v>16</v>
      </c>
    </row>
    <row r="1854" spans="1:19" x14ac:dyDescent="0.35">
      <c r="A1854">
        <v>6972</v>
      </c>
      <c r="B1854" t="s">
        <v>1803</v>
      </c>
      <c r="C1854" t="s">
        <v>42</v>
      </c>
      <c r="D1854" t="s">
        <v>8739</v>
      </c>
      <c r="E1854" t="e" cm="1">
        <f t="array" ref="E1854">- TIZANIDINE HYDROCHLORIDE</f>
        <v>#NAME?</v>
      </c>
      <c r="F1854" t="s">
        <v>8740</v>
      </c>
      <c r="J1854" t="s">
        <v>8164</v>
      </c>
      <c r="M1854" t="s">
        <v>46</v>
      </c>
      <c r="N1854" t="s">
        <v>1806</v>
      </c>
      <c r="P1854" t="s">
        <v>8741</v>
      </c>
      <c r="Q1854" t="s">
        <v>8742</v>
      </c>
      <c r="R1854">
        <v>9</v>
      </c>
      <c r="S1854">
        <v>16</v>
      </c>
    </row>
    <row r="1855" spans="1:19" x14ac:dyDescent="0.35">
      <c r="A1855">
        <v>6991</v>
      </c>
      <c r="B1855" t="s">
        <v>1803</v>
      </c>
      <c r="C1855" t="s">
        <v>42</v>
      </c>
      <c r="D1855" t="s">
        <v>8743</v>
      </c>
      <c r="E1855" t="e" cm="1">
        <f t="array" ref="E1855">- TIZANIDINE HYDROCHLORIDE</f>
        <v>#NAME?</v>
      </c>
      <c r="F1855" t="s">
        <v>8744</v>
      </c>
      <c r="J1855" t="s">
        <v>8289</v>
      </c>
      <c r="M1855" t="s">
        <v>46</v>
      </c>
      <c r="N1855" t="s">
        <v>1806</v>
      </c>
      <c r="P1855" t="s">
        <v>8745</v>
      </c>
      <c r="Q1855" t="s">
        <v>8746</v>
      </c>
      <c r="R1855">
        <v>9</v>
      </c>
      <c r="S1855">
        <v>16</v>
      </c>
    </row>
    <row r="1856" spans="1:19" x14ac:dyDescent="0.35">
      <c r="A1856">
        <v>440</v>
      </c>
      <c r="B1856" t="s">
        <v>8747</v>
      </c>
      <c r="C1856" t="s">
        <v>20</v>
      </c>
      <c r="D1856" t="s">
        <v>8748</v>
      </c>
      <c r="E1856" t="s">
        <v>8749</v>
      </c>
      <c r="F1856" s="1">
        <v>240000</v>
      </c>
      <c r="H1856" t="s">
        <v>8750</v>
      </c>
      <c r="I1856" t="s">
        <v>8751</v>
      </c>
      <c r="J1856" t="s">
        <v>8752</v>
      </c>
      <c r="M1856" t="s">
        <v>46</v>
      </c>
      <c r="N1856" t="s">
        <v>8753</v>
      </c>
      <c r="O1856" t="s">
        <v>8754</v>
      </c>
      <c r="P1856" t="s">
        <v>8755</v>
      </c>
      <c r="Q1856" t="s">
        <v>8756</v>
      </c>
      <c r="R1856">
        <v>9</v>
      </c>
      <c r="S1856">
        <v>16</v>
      </c>
    </row>
    <row r="1857" spans="1:19" x14ac:dyDescent="0.35">
      <c r="A1857">
        <v>3780</v>
      </c>
      <c r="B1857" t="s">
        <v>8757</v>
      </c>
      <c r="C1857" t="s">
        <v>42</v>
      </c>
      <c r="D1857" t="s">
        <v>8758</v>
      </c>
      <c r="E1857" t="e" cm="1">
        <f t="array" ref="E1857">- KAOLIN</f>
        <v>#NAME?</v>
      </c>
      <c r="F1857" s="1">
        <v>4600</v>
      </c>
      <c r="G1857" t="s">
        <v>8759</v>
      </c>
      <c r="H1857" t="s">
        <v>8760</v>
      </c>
      <c r="I1857" t="s">
        <v>8761</v>
      </c>
      <c r="J1857" t="s">
        <v>8762</v>
      </c>
      <c r="K1857" t="s">
        <v>8763</v>
      </c>
      <c r="L1857" t="s">
        <v>8764</v>
      </c>
      <c r="M1857" t="s">
        <v>46</v>
      </c>
      <c r="N1857" t="s">
        <v>1194</v>
      </c>
      <c r="O1857" t="s">
        <v>8765</v>
      </c>
      <c r="P1857" t="s">
        <v>7135</v>
      </c>
      <c r="Q1857" t="s">
        <v>8766</v>
      </c>
      <c r="R1857">
        <v>9</v>
      </c>
      <c r="S1857">
        <v>16</v>
      </c>
    </row>
    <row r="1858" spans="1:19" x14ac:dyDescent="0.35">
      <c r="A1858">
        <v>4582</v>
      </c>
      <c r="B1858" t="s">
        <v>8767</v>
      </c>
      <c r="C1858" t="s">
        <v>42</v>
      </c>
      <c r="D1858" t="s">
        <v>8768</v>
      </c>
      <c r="E1858" t="e" cm="1">
        <f t="array" ref="E1858">- FLUOROMETHOLONE</f>
        <v>#NAME?</v>
      </c>
      <c r="F1858" t="s">
        <v>8769</v>
      </c>
      <c r="G1858" t="s">
        <v>7569</v>
      </c>
      <c r="H1858" t="s">
        <v>7570</v>
      </c>
      <c r="I1858" t="s">
        <v>8770</v>
      </c>
      <c r="J1858" t="s">
        <v>8771</v>
      </c>
      <c r="K1858" t="s">
        <v>8772</v>
      </c>
      <c r="L1858" t="s">
        <v>8773</v>
      </c>
      <c r="M1858" t="s">
        <v>824</v>
      </c>
      <c r="N1858" t="s">
        <v>8774</v>
      </c>
      <c r="O1858" t="s">
        <v>8775</v>
      </c>
      <c r="P1858" t="s">
        <v>8776</v>
      </c>
      <c r="Q1858" t="s">
        <v>8777</v>
      </c>
      <c r="R1858">
        <v>9</v>
      </c>
      <c r="S1858">
        <v>16</v>
      </c>
    </row>
    <row r="1859" spans="1:19" x14ac:dyDescent="0.35">
      <c r="A1859">
        <v>7904</v>
      </c>
      <c r="B1859" t="s">
        <v>8778</v>
      </c>
      <c r="C1859" t="s">
        <v>20</v>
      </c>
      <c r="D1859" t="s">
        <v>8779</v>
      </c>
      <c r="E1859" t="s">
        <v>8780</v>
      </c>
      <c r="F1859" t="s">
        <v>8781</v>
      </c>
      <c r="G1859" t="s">
        <v>8782</v>
      </c>
      <c r="H1859" t="s">
        <v>8783</v>
      </c>
      <c r="I1859" t="s">
        <v>5700</v>
      </c>
      <c r="J1859" t="s">
        <v>70</v>
      </c>
      <c r="L1859" t="s">
        <v>8784</v>
      </c>
      <c r="M1859" t="s">
        <v>38</v>
      </c>
      <c r="N1859" t="s">
        <v>8785</v>
      </c>
      <c r="O1859" t="s">
        <v>5703</v>
      </c>
      <c r="P1859" t="s">
        <v>8785</v>
      </c>
      <c r="Q1859" t="s">
        <v>8786</v>
      </c>
      <c r="R1859">
        <v>9</v>
      </c>
      <c r="S1859">
        <v>16</v>
      </c>
    </row>
    <row r="1860" spans="1:19" x14ac:dyDescent="0.35">
      <c r="A1860">
        <v>4581</v>
      </c>
      <c r="B1860" t="s">
        <v>8767</v>
      </c>
      <c r="C1860" t="s">
        <v>42</v>
      </c>
      <c r="D1860" t="s">
        <v>8768</v>
      </c>
      <c r="E1860" t="e" cm="1">
        <f t="array" ref="E1860">- FLUOROMETHOLONE</f>
        <v>#NAME?</v>
      </c>
      <c r="F1860" t="s">
        <v>8769</v>
      </c>
      <c r="G1860" t="s">
        <v>7569</v>
      </c>
      <c r="H1860" t="s">
        <v>7570</v>
      </c>
      <c r="I1860" t="s">
        <v>8770</v>
      </c>
      <c r="J1860" t="s">
        <v>8771</v>
      </c>
      <c r="K1860" t="s">
        <v>8772</v>
      </c>
      <c r="L1860" t="s">
        <v>8773</v>
      </c>
      <c r="M1860" t="s">
        <v>824</v>
      </c>
      <c r="N1860" t="s">
        <v>8774</v>
      </c>
      <c r="O1860" t="s">
        <v>8775</v>
      </c>
      <c r="P1860" t="s">
        <v>8776</v>
      </c>
      <c r="Q1860" t="s">
        <v>8777</v>
      </c>
      <c r="R1860">
        <v>9</v>
      </c>
      <c r="S1860">
        <v>16</v>
      </c>
    </row>
    <row r="1861" spans="1:19" x14ac:dyDescent="0.35">
      <c r="A1861">
        <v>3012</v>
      </c>
      <c r="B1861" t="s">
        <v>8787</v>
      </c>
      <c r="C1861" t="s">
        <v>42</v>
      </c>
      <c r="D1861" t="s">
        <v>8788</v>
      </c>
      <c r="E1861" t="e" cm="1">
        <f t="array" ref="E1861">- SUCRALFATE</f>
        <v>#NAME?</v>
      </c>
      <c r="F1861" t="s">
        <v>8789</v>
      </c>
      <c r="G1861" t="s">
        <v>8790</v>
      </c>
      <c r="H1861" t="s">
        <v>8791</v>
      </c>
      <c r="I1861" t="s">
        <v>8792</v>
      </c>
      <c r="J1861" t="s">
        <v>374</v>
      </c>
      <c r="K1861" t="s">
        <v>8793</v>
      </c>
      <c r="L1861" t="s">
        <v>8794</v>
      </c>
      <c r="M1861" t="s">
        <v>340</v>
      </c>
      <c r="N1861" t="s">
        <v>375</v>
      </c>
      <c r="O1861" t="s">
        <v>8795</v>
      </c>
      <c r="P1861" t="s">
        <v>8796</v>
      </c>
      <c r="Q1861" t="s">
        <v>8797</v>
      </c>
      <c r="R1861">
        <v>9</v>
      </c>
      <c r="S1861">
        <v>16</v>
      </c>
    </row>
    <row r="1862" spans="1:19" x14ac:dyDescent="0.35">
      <c r="A1862">
        <v>439</v>
      </c>
      <c r="B1862" t="s">
        <v>8747</v>
      </c>
      <c r="C1862" t="s">
        <v>20</v>
      </c>
      <c r="D1862" t="s">
        <v>8748</v>
      </c>
      <c r="E1862" t="s">
        <v>8749</v>
      </c>
      <c r="F1862" s="1">
        <v>240000</v>
      </c>
      <c r="H1862" t="s">
        <v>8750</v>
      </c>
      <c r="I1862" t="s">
        <v>8751</v>
      </c>
      <c r="J1862" t="s">
        <v>8752</v>
      </c>
      <c r="M1862" t="s">
        <v>46</v>
      </c>
      <c r="N1862" t="s">
        <v>8753</v>
      </c>
      <c r="O1862" t="s">
        <v>8754</v>
      </c>
      <c r="P1862" t="s">
        <v>8755</v>
      </c>
      <c r="Q1862" t="s">
        <v>8756</v>
      </c>
      <c r="R1862">
        <v>9</v>
      </c>
      <c r="S1862">
        <v>16</v>
      </c>
    </row>
    <row r="1863" spans="1:19" x14ac:dyDescent="0.35">
      <c r="A1863">
        <v>8169</v>
      </c>
      <c r="B1863" t="s">
        <v>551</v>
      </c>
      <c r="C1863" t="s">
        <v>42</v>
      </c>
      <c r="D1863" t="s">
        <v>8798</v>
      </c>
      <c r="E1863" t="e" cm="1">
        <f t="array" ref="E1863">- POVIDONE-IODINE</f>
        <v>#NAME?</v>
      </c>
      <c r="F1863" t="s">
        <v>8799</v>
      </c>
      <c r="G1863" t="s">
        <v>8800</v>
      </c>
      <c r="H1863" t="s">
        <v>1322</v>
      </c>
      <c r="I1863" t="s">
        <v>8800</v>
      </c>
      <c r="J1863" t="s">
        <v>8801</v>
      </c>
      <c r="M1863" t="s">
        <v>554</v>
      </c>
      <c r="N1863" t="s">
        <v>555</v>
      </c>
      <c r="O1863" t="s">
        <v>8802</v>
      </c>
      <c r="P1863" t="s">
        <v>8803</v>
      </c>
      <c r="Q1863" t="s">
        <v>8804</v>
      </c>
      <c r="R1863">
        <v>9</v>
      </c>
      <c r="S1863">
        <v>16</v>
      </c>
    </row>
    <row r="1864" spans="1:19" x14ac:dyDescent="0.35">
      <c r="A1864">
        <v>5793</v>
      </c>
      <c r="B1864" t="s">
        <v>8805</v>
      </c>
      <c r="C1864" t="s">
        <v>42</v>
      </c>
      <c r="D1864" t="s">
        <v>8806</v>
      </c>
      <c r="E1864" t="e" cm="1">
        <f t="array" ref="E1864">- ISONIAZID</f>
        <v>#NAME?</v>
      </c>
      <c r="F1864" t="s">
        <v>8807</v>
      </c>
      <c r="G1864" t="s">
        <v>4649</v>
      </c>
      <c r="H1864" t="s">
        <v>8808</v>
      </c>
      <c r="I1864" t="s">
        <v>8809</v>
      </c>
      <c r="J1864" t="s">
        <v>381</v>
      </c>
      <c r="K1864" t="s">
        <v>8810</v>
      </c>
      <c r="L1864" t="s">
        <v>8811</v>
      </c>
      <c r="M1864" t="s">
        <v>46</v>
      </c>
      <c r="N1864" t="s">
        <v>1699</v>
      </c>
      <c r="O1864" t="s">
        <v>8812</v>
      </c>
      <c r="P1864" t="s">
        <v>8813</v>
      </c>
      <c r="Q1864" t="s">
        <v>8814</v>
      </c>
      <c r="R1864">
        <v>9</v>
      </c>
      <c r="S1864">
        <v>16</v>
      </c>
    </row>
    <row r="1865" spans="1:19" x14ac:dyDescent="0.35">
      <c r="A1865">
        <v>1295</v>
      </c>
      <c r="B1865" t="s">
        <v>8815</v>
      </c>
      <c r="C1865" t="s">
        <v>42</v>
      </c>
      <c r="D1865" t="s">
        <v>8816</v>
      </c>
      <c r="E1865" t="e" cm="1">
        <f t="array" ref="E1865">- ERDOSTEINE</f>
        <v>#NAME?</v>
      </c>
      <c r="F1865" t="s">
        <v>8817</v>
      </c>
      <c r="G1865" t="s">
        <v>539</v>
      </c>
      <c r="H1865" t="s">
        <v>269</v>
      </c>
      <c r="I1865" t="s">
        <v>8818</v>
      </c>
      <c r="J1865" t="s">
        <v>8819</v>
      </c>
      <c r="L1865" t="s">
        <v>270</v>
      </c>
      <c r="M1865" t="s">
        <v>271</v>
      </c>
      <c r="N1865" t="s">
        <v>471</v>
      </c>
      <c r="O1865" t="s">
        <v>8820</v>
      </c>
      <c r="P1865" t="s">
        <v>8821</v>
      </c>
      <c r="Q1865" t="s">
        <v>8822</v>
      </c>
      <c r="R1865">
        <v>9</v>
      </c>
      <c r="S1865">
        <v>16</v>
      </c>
    </row>
    <row r="1866" spans="1:19" x14ac:dyDescent="0.35">
      <c r="A1866">
        <v>5203</v>
      </c>
      <c r="B1866" t="s">
        <v>8700</v>
      </c>
      <c r="C1866" t="s">
        <v>42</v>
      </c>
      <c r="D1866" t="s">
        <v>8701</v>
      </c>
      <c r="E1866" t="e" cm="1">
        <f t="array" ref="E1866">- SULFADIAZINE SILVER</f>
        <v>#NAME?</v>
      </c>
      <c r="F1866" t="s">
        <v>8702</v>
      </c>
      <c r="G1866" t="s">
        <v>8703</v>
      </c>
      <c r="H1866" t="s">
        <v>8704</v>
      </c>
      <c r="I1866" t="s">
        <v>8705</v>
      </c>
      <c r="J1866" t="s">
        <v>8706</v>
      </c>
      <c r="K1866" t="s">
        <v>8707</v>
      </c>
      <c r="L1866" t="s">
        <v>8708</v>
      </c>
      <c r="M1866" t="s">
        <v>1289</v>
      </c>
      <c r="N1866" t="s">
        <v>2849</v>
      </c>
      <c r="O1866" t="s">
        <v>8709</v>
      </c>
      <c r="P1866" t="s">
        <v>2850</v>
      </c>
      <c r="Q1866" t="s">
        <v>8710</v>
      </c>
      <c r="R1866">
        <v>9</v>
      </c>
      <c r="S1866">
        <v>16</v>
      </c>
    </row>
    <row r="1867" spans="1:19" x14ac:dyDescent="0.35">
      <c r="A1867">
        <v>7002</v>
      </c>
      <c r="B1867" t="s">
        <v>1803</v>
      </c>
      <c r="C1867" t="s">
        <v>42</v>
      </c>
      <c r="D1867" t="s">
        <v>8823</v>
      </c>
      <c r="E1867" t="e" cm="1">
        <f t="array" ref="E1867">- TIZANIDINE HYDROCHLORIDE</f>
        <v>#NAME?</v>
      </c>
      <c r="F1867" t="s">
        <v>8824</v>
      </c>
      <c r="J1867" t="s">
        <v>8697</v>
      </c>
      <c r="M1867" t="s">
        <v>46</v>
      </c>
      <c r="N1867" t="s">
        <v>1806</v>
      </c>
      <c r="P1867" t="s">
        <v>8825</v>
      </c>
      <c r="Q1867" t="s">
        <v>8826</v>
      </c>
      <c r="R1867">
        <v>9</v>
      </c>
      <c r="S1867">
        <v>16</v>
      </c>
    </row>
    <row r="1868" spans="1:19" x14ac:dyDescent="0.35">
      <c r="A1868">
        <v>7445</v>
      </c>
      <c r="B1868" t="s">
        <v>8827</v>
      </c>
      <c r="C1868" t="s">
        <v>20</v>
      </c>
      <c r="D1868" t="s">
        <v>8828</v>
      </c>
      <c r="E1868" t="s">
        <v>8829</v>
      </c>
      <c r="F1868" t="s">
        <v>8830</v>
      </c>
      <c r="G1868" t="s">
        <v>8831</v>
      </c>
      <c r="H1868" t="s">
        <v>8832</v>
      </c>
      <c r="I1868" t="s">
        <v>8833</v>
      </c>
      <c r="J1868" t="s">
        <v>8834</v>
      </c>
      <c r="K1868" t="s">
        <v>8835</v>
      </c>
      <c r="L1868" t="s">
        <v>8836</v>
      </c>
      <c r="M1868" t="s">
        <v>38</v>
      </c>
      <c r="N1868" t="s">
        <v>8837</v>
      </c>
      <c r="O1868" t="s">
        <v>8838</v>
      </c>
      <c r="P1868" t="s">
        <v>8837</v>
      </c>
      <c r="Q1868" t="s">
        <v>8839</v>
      </c>
      <c r="R1868">
        <v>9</v>
      </c>
      <c r="S1868">
        <v>16</v>
      </c>
    </row>
    <row r="1869" spans="1:19" x14ac:dyDescent="0.35">
      <c r="A1869">
        <v>8878</v>
      </c>
      <c r="B1869" t="s">
        <v>8605</v>
      </c>
      <c r="C1869" t="s">
        <v>42</v>
      </c>
      <c r="D1869" t="s">
        <v>8606</v>
      </c>
      <c r="E1869" t="e" cm="1">
        <f t="array" ref="E1869">- INSULIN ASPART</f>
        <v>#NAME?</v>
      </c>
      <c r="F1869" t="s">
        <v>8607</v>
      </c>
      <c r="G1869" t="s">
        <v>8608</v>
      </c>
      <c r="H1869" t="s">
        <v>8609</v>
      </c>
      <c r="I1869" t="s">
        <v>8610</v>
      </c>
      <c r="J1869" t="s">
        <v>8611</v>
      </c>
      <c r="K1869" t="s">
        <v>8612</v>
      </c>
      <c r="L1869" t="s">
        <v>8613</v>
      </c>
      <c r="M1869" t="s">
        <v>2403</v>
      </c>
      <c r="N1869" t="s">
        <v>8614</v>
      </c>
      <c r="O1869" t="s">
        <v>8615</v>
      </c>
      <c r="P1869" t="s">
        <v>8616</v>
      </c>
      <c r="Q1869" t="s">
        <v>8617</v>
      </c>
      <c r="R1869">
        <v>9</v>
      </c>
      <c r="S1869">
        <v>16</v>
      </c>
    </row>
    <row r="1870" spans="1:19" x14ac:dyDescent="0.35">
      <c r="A1870">
        <v>1294</v>
      </c>
      <c r="B1870" t="s">
        <v>8840</v>
      </c>
      <c r="C1870" t="s">
        <v>42</v>
      </c>
      <c r="D1870" t="s">
        <v>8841</v>
      </c>
      <c r="E1870" t="e" cm="1">
        <f t="array" ref="E1870">- ERDOSTEINE</f>
        <v>#NAME?</v>
      </c>
      <c r="F1870" t="s">
        <v>8842</v>
      </c>
      <c r="G1870" t="s">
        <v>8843</v>
      </c>
      <c r="H1870" t="s">
        <v>8844</v>
      </c>
      <c r="I1870" t="s">
        <v>8818</v>
      </c>
      <c r="J1870" t="s">
        <v>8845</v>
      </c>
      <c r="K1870" t="s">
        <v>8846</v>
      </c>
      <c r="L1870" t="s">
        <v>8847</v>
      </c>
      <c r="M1870" t="s">
        <v>38</v>
      </c>
      <c r="N1870" t="s">
        <v>471</v>
      </c>
      <c r="O1870" t="s">
        <v>8820</v>
      </c>
      <c r="P1870" t="s">
        <v>8821</v>
      </c>
      <c r="Q1870" t="s">
        <v>8848</v>
      </c>
      <c r="R1870">
        <v>9</v>
      </c>
      <c r="S1870">
        <v>16</v>
      </c>
    </row>
    <row r="1871" spans="1:19" x14ac:dyDescent="0.35">
      <c r="A1871">
        <v>2338</v>
      </c>
      <c r="B1871" t="s">
        <v>8849</v>
      </c>
      <c r="C1871" t="s">
        <v>42</v>
      </c>
      <c r="D1871" t="s">
        <v>8850</v>
      </c>
      <c r="E1871" t="e" cm="1">
        <f t="array" ref="E1871">- IBUPROFEN</f>
        <v>#NAME?</v>
      </c>
      <c r="F1871" t="s">
        <v>8851</v>
      </c>
      <c r="G1871" t="s">
        <v>539</v>
      </c>
      <c r="H1871" t="s">
        <v>269</v>
      </c>
      <c r="I1871" t="s">
        <v>8852</v>
      </c>
      <c r="J1871" t="s">
        <v>334</v>
      </c>
      <c r="L1871" t="s">
        <v>270</v>
      </c>
      <c r="M1871" t="s">
        <v>340</v>
      </c>
      <c r="N1871" t="s">
        <v>383</v>
      </c>
      <c r="O1871" t="s">
        <v>8853</v>
      </c>
      <c r="P1871" t="s">
        <v>8854</v>
      </c>
      <c r="Q1871" t="s">
        <v>8855</v>
      </c>
      <c r="R1871">
        <v>9</v>
      </c>
      <c r="S1871">
        <v>16</v>
      </c>
    </row>
    <row r="1872" spans="1:19" x14ac:dyDescent="0.35">
      <c r="A1872">
        <v>2337</v>
      </c>
      <c r="B1872" t="s">
        <v>8849</v>
      </c>
      <c r="C1872" t="s">
        <v>42</v>
      </c>
      <c r="D1872" t="s">
        <v>8850</v>
      </c>
      <c r="E1872" t="e" cm="1">
        <f t="array" ref="E1872">- IBUPROFEN</f>
        <v>#NAME?</v>
      </c>
      <c r="F1872" t="s">
        <v>8851</v>
      </c>
      <c r="G1872" t="s">
        <v>539</v>
      </c>
      <c r="H1872" t="s">
        <v>269</v>
      </c>
      <c r="I1872" t="s">
        <v>8852</v>
      </c>
      <c r="J1872" t="s">
        <v>334</v>
      </c>
      <c r="L1872" t="s">
        <v>270</v>
      </c>
      <c r="M1872" t="s">
        <v>340</v>
      </c>
      <c r="N1872" t="s">
        <v>383</v>
      </c>
      <c r="O1872" t="s">
        <v>8853</v>
      </c>
      <c r="P1872" t="s">
        <v>8854</v>
      </c>
      <c r="Q1872" t="s">
        <v>8855</v>
      </c>
      <c r="R1872">
        <v>9</v>
      </c>
      <c r="S1872">
        <v>16</v>
      </c>
    </row>
    <row r="1873" spans="1:19" x14ac:dyDescent="0.35">
      <c r="A1873">
        <v>2333</v>
      </c>
      <c r="B1873" t="s">
        <v>8856</v>
      </c>
      <c r="C1873" t="s">
        <v>42</v>
      </c>
      <c r="D1873" t="s">
        <v>8857</v>
      </c>
      <c r="E1873" t="e" cm="1">
        <f t="array" ref="E1873">- PARACETAMOL</f>
        <v>#NAME?</v>
      </c>
      <c r="F1873" s="1">
        <v>9900</v>
      </c>
      <c r="G1873" t="s">
        <v>3204</v>
      </c>
    </row>
    <row r="1874" spans="1:19" x14ac:dyDescent="0.35">
      <c r="A1874">
        <v>2332</v>
      </c>
      <c r="B1874" t="s">
        <v>8856</v>
      </c>
      <c r="C1874" t="s">
        <v>42</v>
      </c>
      <c r="D1874" t="s">
        <v>8857</v>
      </c>
      <c r="E1874" t="e" cm="1">
        <f t="array" ref="E1874">- PARACETAMOL</f>
        <v>#NAME?</v>
      </c>
      <c r="F1874" s="1">
        <v>9900</v>
      </c>
      <c r="G1874" t="s">
        <v>3204</v>
      </c>
    </row>
    <row r="1875" spans="1:19" x14ac:dyDescent="0.35">
      <c r="A1875">
        <v>2329</v>
      </c>
      <c r="B1875" t="s">
        <v>8711</v>
      </c>
      <c r="C1875" t="s">
        <v>42</v>
      </c>
      <c r="D1875" t="s">
        <v>8712</v>
      </c>
      <c r="E1875" t="e" cm="1">
        <f t="array" ref="E1875">- KETOPROFEN</f>
        <v>#NAME?</v>
      </c>
      <c r="F1875" t="s">
        <v>8713</v>
      </c>
      <c r="G1875" t="s">
        <v>8714</v>
      </c>
      <c r="H1875" t="s">
        <v>8715</v>
      </c>
      <c r="I1875" t="s">
        <v>8716</v>
      </c>
      <c r="J1875" t="s">
        <v>4783</v>
      </c>
      <c r="K1875" t="s">
        <v>8717</v>
      </c>
      <c r="L1875" t="s">
        <v>8718</v>
      </c>
      <c r="M1875" t="s">
        <v>46</v>
      </c>
      <c r="N1875" t="s">
        <v>721</v>
      </c>
      <c r="O1875" t="s">
        <v>8719</v>
      </c>
      <c r="P1875" t="s">
        <v>8720</v>
      </c>
      <c r="Q1875" t="s">
        <v>8721</v>
      </c>
      <c r="R1875">
        <v>9</v>
      </c>
      <c r="S1875">
        <v>16</v>
      </c>
    </row>
    <row r="1876" spans="1:19" x14ac:dyDescent="0.35">
      <c r="A1876">
        <v>8168</v>
      </c>
      <c r="B1876" t="s">
        <v>551</v>
      </c>
      <c r="C1876" t="s">
        <v>42</v>
      </c>
      <c r="D1876" t="s">
        <v>8798</v>
      </c>
      <c r="E1876" t="e" cm="1">
        <f t="array" ref="E1876">- POVIDONE-IODINE</f>
        <v>#NAME?</v>
      </c>
      <c r="F1876" t="s">
        <v>8799</v>
      </c>
      <c r="G1876" t="s">
        <v>8800</v>
      </c>
      <c r="H1876" t="s">
        <v>1322</v>
      </c>
      <c r="I1876" t="s">
        <v>8800</v>
      </c>
      <c r="J1876" t="s">
        <v>8801</v>
      </c>
      <c r="M1876" t="s">
        <v>554</v>
      </c>
      <c r="N1876" t="s">
        <v>555</v>
      </c>
      <c r="O1876" t="s">
        <v>8802</v>
      </c>
      <c r="P1876" t="s">
        <v>8803</v>
      </c>
      <c r="Q1876" t="s">
        <v>8804</v>
      </c>
      <c r="R1876">
        <v>9</v>
      </c>
      <c r="S1876">
        <v>16</v>
      </c>
    </row>
    <row r="1877" spans="1:19" x14ac:dyDescent="0.35">
      <c r="A1877">
        <v>1612</v>
      </c>
      <c r="B1877" t="s">
        <v>8858</v>
      </c>
      <c r="C1877" t="s">
        <v>42</v>
      </c>
      <c r="D1877" t="s">
        <v>8859</v>
      </c>
      <c r="E1877" t="e" cm="1">
        <f t="array" ref="E1877">- ERDOSTEINE</f>
        <v>#NAME?</v>
      </c>
      <c r="F1877" t="s">
        <v>8860</v>
      </c>
      <c r="G1877" t="s">
        <v>8861</v>
      </c>
      <c r="H1877" t="s">
        <v>8862</v>
      </c>
      <c r="I1877" t="s">
        <v>8863</v>
      </c>
      <c r="J1877" t="s">
        <v>1181</v>
      </c>
      <c r="K1877" t="s">
        <v>8864</v>
      </c>
      <c r="L1877" t="s">
        <v>8865</v>
      </c>
      <c r="M1877" t="s">
        <v>38</v>
      </c>
      <c r="N1877" t="s">
        <v>471</v>
      </c>
      <c r="O1877" t="s">
        <v>8866</v>
      </c>
      <c r="P1877" t="s">
        <v>8867</v>
      </c>
      <c r="Q1877" t="s">
        <v>8868</v>
      </c>
      <c r="R1877">
        <v>9</v>
      </c>
      <c r="S1877">
        <v>16</v>
      </c>
    </row>
    <row r="1878" spans="1:19" x14ac:dyDescent="0.35">
      <c r="A1878">
        <v>2324</v>
      </c>
      <c r="B1878" t="s">
        <v>8869</v>
      </c>
      <c r="C1878" t="s">
        <v>42</v>
      </c>
      <c r="D1878" t="s">
        <v>8870</v>
      </c>
      <c r="E1878" t="e" cm="1">
        <f t="array" ref="E1878">- CYANOCOBALAMIN</f>
        <v>#NAME?</v>
      </c>
      <c r="F1878" t="s">
        <v>8871</v>
      </c>
      <c r="G1878" t="s">
        <v>2241</v>
      </c>
      <c r="H1878" t="s">
        <v>8872</v>
      </c>
      <c r="I1878" t="s">
        <v>8873</v>
      </c>
      <c r="J1878" t="s">
        <v>8874</v>
      </c>
      <c r="K1878" t="s">
        <v>8875</v>
      </c>
      <c r="L1878" t="s">
        <v>8876</v>
      </c>
      <c r="M1878" t="s">
        <v>291</v>
      </c>
      <c r="N1878" t="s">
        <v>677</v>
      </c>
      <c r="O1878" t="s">
        <v>8877</v>
      </c>
      <c r="P1878" t="s">
        <v>8878</v>
      </c>
      <c r="Q1878" t="s">
        <v>8879</v>
      </c>
      <c r="R1878">
        <v>9</v>
      </c>
      <c r="S1878">
        <v>16</v>
      </c>
    </row>
    <row r="1879" spans="1:19" x14ac:dyDescent="0.35">
      <c r="A1879">
        <v>3011</v>
      </c>
      <c r="B1879" t="s">
        <v>8787</v>
      </c>
      <c r="C1879" t="s">
        <v>42</v>
      </c>
      <c r="D1879" t="s">
        <v>8788</v>
      </c>
      <c r="E1879" t="e" cm="1">
        <f t="array" ref="E1879">- SUCRALFATE</f>
        <v>#NAME?</v>
      </c>
      <c r="F1879" t="s">
        <v>8789</v>
      </c>
      <c r="G1879" t="s">
        <v>8790</v>
      </c>
      <c r="H1879" t="s">
        <v>8791</v>
      </c>
      <c r="I1879" t="s">
        <v>8792</v>
      </c>
      <c r="J1879" t="s">
        <v>374</v>
      </c>
      <c r="K1879" t="s">
        <v>8793</v>
      </c>
      <c r="L1879" t="s">
        <v>8794</v>
      </c>
      <c r="M1879" t="s">
        <v>340</v>
      </c>
      <c r="N1879" t="s">
        <v>375</v>
      </c>
      <c r="O1879" t="s">
        <v>8795</v>
      </c>
      <c r="P1879" t="s">
        <v>8796</v>
      </c>
      <c r="Q1879" t="s">
        <v>8797</v>
      </c>
      <c r="R1879">
        <v>9</v>
      </c>
      <c r="S1879">
        <v>16</v>
      </c>
    </row>
    <row r="1880" spans="1:19" x14ac:dyDescent="0.35">
      <c r="A1880">
        <v>1338</v>
      </c>
      <c r="B1880" t="s">
        <v>1926</v>
      </c>
      <c r="C1880" t="s">
        <v>42</v>
      </c>
      <c r="D1880" t="s">
        <v>1927</v>
      </c>
      <c r="E1880" t="e" cm="1">
        <f t="array" ref="E1880">- PARACETAMOL. NOSCAPINE. GUAIFENESIN. CHLORPHENAMINE MALEATE. PHENYLPROPANOLAMINE HYDROCHLORIDE</f>
        <v>#NAME?</v>
      </c>
      <c r="F1880" t="s">
        <v>1928</v>
      </c>
      <c r="J1880" t="s">
        <v>1929</v>
      </c>
      <c r="M1880" t="s">
        <v>46</v>
      </c>
      <c r="N1880" t="s">
        <v>8880</v>
      </c>
      <c r="P1880" t="s">
        <v>1930</v>
      </c>
      <c r="Q1880" t="s">
        <v>8881</v>
      </c>
      <c r="R1880">
        <v>9</v>
      </c>
      <c r="S1880">
        <v>16</v>
      </c>
    </row>
    <row r="1881" spans="1:19" x14ac:dyDescent="0.35">
      <c r="A1881">
        <v>5838</v>
      </c>
      <c r="B1881" t="s">
        <v>8882</v>
      </c>
      <c r="C1881" t="s">
        <v>42</v>
      </c>
      <c r="D1881" t="s">
        <v>8883</v>
      </c>
      <c r="E1881" t="e" cm="1">
        <f t="array" ref="E1881">- POLICRESULEN</f>
        <v>#NAME?</v>
      </c>
      <c r="F1881" t="s">
        <v>8884</v>
      </c>
      <c r="G1881" t="s">
        <v>8885</v>
      </c>
      <c r="H1881" t="s">
        <v>8886</v>
      </c>
      <c r="I1881" t="s">
        <v>8887</v>
      </c>
      <c r="J1881" t="s">
        <v>8888</v>
      </c>
      <c r="K1881" t="s">
        <v>8889</v>
      </c>
      <c r="L1881" t="s">
        <v>8890</v>
      </c>
      <c r="M1881" t="s">
        <v>8891</v>
      </c>
      <c r="N1881" t="s">
        <v>2590</v>
      </c>
      <c r="O1881" t="s">
        <v>8892</v>
      </c>
      <c r="P1881" t="s">
        <v>8893</v>
      </c>
      <c r="Q1881" t="s">
        <v>8894</v>
      </c>
      <c r="R1881">
        <v>9</v>
      </c>
      <c r="S1881">
        <v>16</v>
      </c>
    </row>
    <row r="1882" spans="1:19" x14ac:dyDescent="0.35">
      <c r="A1882">
        <v>1117</v>
      </c>
      <c r="B1882" t="s">
        <v>8895</v>
      </c>
      <c r="C1882" t="s">
        <v>42</v>
      </c>
      <c r="D1882" t="s">
        <v>8896</v>
      </c>
      <c r="E1882" t="e" cm="1">
        <f t="array" ref="E1882">- GUAIFENESIN</f>
        <v>#NAME?</v>
      </c>
      <c r="F1882" s="1">
        <v>39500</v>
      </c>
      <c r="G1882" t="s">
        <v>2241</v>
      </c>
      <c r="I1882" t="s">
        <v>8897</v>
      </c>
      <c r="J1882" t="s">
        <v>334</v>
      </c>
      <c r="M1882" t="s">
        <v>271</v>
      </c>
      <c r="N1882" t="s">
        <v>361</v>
      </c>
      <c r="O1882" t="s">
        <v>8898</v>
      </c>
      <c r="P1882" t="s">
        <v>8899</v>
      </c>
      <c r="Q1882" t="s">
        <v>8900</v>
      </c>
      <c r="R1882">
        <v>9</v>
      </c>
      <c r="S1882">
        <v>16</v>
      </c>
    </row>
    <row r="1883" spans="1:19" x14ac:dyDescent="0.35">
      <c r="A1883">
        <v>6885</v>
      </c>
      <c r="B1883" t="s">
        <v>8901</v>
      </c>
      <c r="C1883" t="s">
        <v>20</v>
      </c>
      <c r="D1883" t="s">
        <v>8902</v>
      </c>
      <c r="E1883" t="s">
        <v>8903</v>
      </c>
      <c r="F1883" t="s">
        <v>8904</v>
      </c>
      <c r="G1883" t="s">
        <v>8905</v>
      </c>
      <c r="H1883" t="s">
        <v>8906</v>
      </c>
      <c r="I1883" t="s">
        <v>8907</v>
      </c>
      <c r="J1883" t="s">
        <v>8908</v>
      </c>
      <c r="L1883" t="s">
        <v>8909</v>
      </c>
      <c r="N1883" t="s">
        <v>8910</v>
      </c>
      <c r="O1883" t="s">
        <v>8911</v>
      </c>
      <c r="P1883" t="s">
        <v>8912</v>
      </c>
      <c r="Q1883" t="s">
        <v>8913</v>
      </c>
      <c r="R1883">
        <v>9</v>
      </c>
      <c r="S1883">
        <v>16</v>
      </c>
    </row>
    <row r="1884" spans="1:19" x14ac:dyDescent="0.35">
      <c r="A1884">
        <v>6886</v>
      </c>
      <c r="B1884" t="s">
        <v>8901</v>
      </c>
      <c r="C1884" t="s">
        <v>20</v>
      </c>
      <c r="D1884" t="s">
        <v>8902</v>
      </c>
      <c r="E1884" t="s">
        <v>8903</v>
      </c>
      <c r="F1884" t="s">
        <v>8914</v>
      </c>
      <c r="G1884" t="s">
        <v>8905</v>
      </c>
      <c r="H1884" t="s">
        <v>8906</v>
      </c>
      <c r="I1884" t="s">
        <v>8907</v>
      </c>
      <c r="J1884" t="s">
        <v>8908</v>
      </c>
      <c r="L1884" t="s">
        <v>8909</v>
      </c>
      <c r="N1884" t="s">
        <v>8910</v>
      </c>
      <c r="O1884" t="s">
        <v>8911</v>
      </c>
      <c r="P1884" t="s">
        <v>8912</v>
      </c>
      <c r="Q1884" t="s">
        <v>8913</v>
      </c>
      <c r="R1884">
        <v>9</v>
      </c>
      <c r="S1884">
        <v>16</v>
      </c>
    </row>
    <row r="1885" spans="1:19" x14ac:dyDescent="0.35">
      <c r="A1885">
        <v>8191</v>
      </c>
      <c r="B1885" t="s">
        <v>551</v>
      </c>
      <c r="C1885" t="s">
        <v>42</v>
      </c>
      <c r="D1885" t="s">
        <v>8915</v>
      </c>
      <c r="E1885" t="e" cm="1">
        <f t="array" ref="E1885">- POVIDONE-IODINE</f>
        <v>#NAME?</v>
      </c>
      <c r="F1885" t="s">
        <v>8916</v>
      </c>
      <c r="G1885" t="s">
        <v>8917</v>
      </c>
      <c r="H1885" t="s">
        <v>1322</v>
      </c>
      <c r="I1885" t="s">
        <v>8918</v>
      </c>
      <c r="J1885" t="s">
        <v>8919</v>
      </c>
      <c r="M1885" t="s">
        <v>554</v>
      </c>
      <c r="N1885" t="s">
        <v>555</v>
      </c>
      <c r="O1885" t="s">
        <v>8920</v>
      </c>
      <c r="P1885" t="s">
        <v>8921</v>
      </c>
      <c r="Q1885" t="s">
        <v>8922</v>
      </c>
      <c r="R1885">
        <v>9</v>
      </c>
      <c r="S1885">
        <v>16</v>
      </c>
    </row>
    <row r="1886" spans="1:19" x14ac:dyDescent="0.35">
      <c r="A1886">
        <v>6891</v>
      </c>
      <c r="B1886" t="s">
        <v>8923</v>
      </c>
      <c r="C1886" t="s">
        <v>850</v>
      </c>
      <c r="D1886" t="s">
        <v>8924</v>
      </c>
      <c r="E1886" t="e" cm="1">
        <f t="array" ref="E1886">- Camphora</f>
        <v>#NAME?</v>
      </c>
      <c r="F1886" s="1">
        <v>68200</v>
      </c>
      <c r="G1886" t="s">
        <v>8925</v>
      </c>
      <c r="H1886" t="s">
        <v>8926</v>
      </c>
      <c r="I1886" t="s">
        <v>8927</v>
      </c>
      <c r="J1886" t="s">
        <v>8928</v>
      </c>
      <c r="L1886" t="s">
        <v>8929</v>
      </c>
      <c r="M1886" t="s">
        <v>3338</v>
      </c>
      <c r="N1886" t="s">
        <v>3633</v>
      </c>
      <c r="O1886" t="s">
        <v>8930</v>
      </c>
      <c r="P1886" t="s">
        <v>8931</v>
      </c>
      <c r="Q1886" t="s">
        <v>8932</v>
      </c>
      <c r="R1886">
        <v>9</v>
      </c>
      <c r="S1886">
        <v>16</v>
      </c>
    </row>
    <row r="1887" spans="1:19" x14ac:dyDescent="0.35">
      <c r="A1887">
        <v>1116</v>
      </c>
      <c r="B1887" t="s">
        <v>8933</v>
      </c>
      <c r="C1887" t="s">
        <v>42</v>
      </c>
      <c r="D1887" t="s">
        <v>8934</v>
      </c>
      <c r="E1887" t="e" cm="1">
        <f t="array" ref="E1887">- BROMHEXINE HYDROCHLORIDE</f>
        <v>#NAME?</v>
      </c>
      <c r="F1887" t="s">
        <v>8935</v>
      </c>
      <c r="G1887" t="s">
        <v>2241</v>
      </c>
      <c r="H1887" t="s">
        <v>8936</v>
      </c>
      <c r="I1887" t="s">
        <v>8937</v>
      </c>
      <c r="J1887" t="s">
        <v>8938</v>
      </c>
      <c r="K1887" t="s">
        <v>8939</v>
      </c>
      <c r="L1887" t="s">
        <v>8940</v>
      </c>
      <c r="M1887" t="s">
        <v>46</v>
      </c>
      <c r="N1887" t="s">
        <v>1342</v>
      </c>
      <c r="O1887" t="s">
        <v>8941</v>
      </c>
      <c r="P1887" t="s">
        <v>8942</v>
      </c>
      <c r="Q1887" t="s">
        <v>8943</v>
      </c>
      <c r="R1887">
        <v>9</v>
      </c>
      <c r="S1887">
        <v>16</v>
      </c>
    </row>
    <row r="1888" spans="1:19" x14ac:dyDescent="0.35">
      <c r="A1888">
        <v>57</v>
      </c>
      <c r="B1888" t="s">
        <v>2902</v>
      </c>
      <c r="C1888" t="s">
        <v>42</v>
      </c>
      <c r="D1888" t="s">
        <v>8944</v>
      </c>
      <c r="E1888" t="e" cm="1">
        <f t="array" ref="E1888">- SILDENAFIL CITRATE</f>
        <v>#NAME?</v>
      </c>
      <c r="F1888" t="s">
        <v>8945</v>
      </c>
      <c r="G1888" t="s">
        <v>8185</v>
      </c>
      <c r="H1888" t="s">
        <v>3854</v>
      </c>
      <c r="I1888" t="s">
        <v>8186</v>
      </c>
      <c r="J1888" t="s">
        <v>8169</v>
      </c>
      <c r="L1888" t="s">
        <v>8188</v>
      </c>
      <c r="M1888" t="s">
        <v>46</v>
      </c>
      <c r="N1888" t="s">
        <v>2519</v>
      </c>
      <c r="O1888" t="s">
        <v>8189</v>
      </c>
      <c r="P1888" t="s">
        <v>8946</v>
      </c>
      <c r="Q1888" t="s">
        <v>8947</v>
      </c>
      <c r="R1888">
        <v>9</v>
      </c>
      <c r="S1888">
        <v>16</v>
      </c>
    </row>
    <row r="1889" spans="1:19" x14ac:dyDescent="0.35">
      <c r="A1889">
        <v>2209</v>
      </c>
      <c r="B1889" t="s">
        <v>8948</v>
      </c>
      <c r="C1889" t="s">
        <v>20</v>
      </c>
      <c r="D1889" t="s">
        <v>8949</v>
      </c>
      <c r="E1889" t="s">
        <v>8950</v>
      </c>
      <c r="F1889" s="1">
        <v>5100</v>
      </c>
      <c r="G1889" t="s">
        <v>5866</v>
      </c>
      <c r="H1889" t="s">
        <v>8951</v>
      </c>
      <c r="I1889" t="s">
        <v>8952</v>
      </c>
      <c r="J1889" t="s">
        <v>8953</v>
      </c>
      <c r="M1889" t="s">
        <v>46</v>
      </c>
      <c r="N1889" t="s">
        <v>8954</v>
      </c>
      <c r="O1889" t="s">
        <v>8955</v>
      </c>
      <c r="P1889" t="s">
        <v>8954</v>
      </c>
      <c r="Q1889" t="s">
        <v>8956</v>
      </c>
      <c r="R1889">
        <v>9</v>
      </c>
      <c r="S1889">
        <v>16</v>
      </c>
    </row>
    <row r="1890" spans="1:19" x14ac:dyDescent="0.35">
      <c r="A1890">
        <v>5139</v>
      </c>
      <c r="B1890" t="s">
        <v>8957</v>
      </c>
      <c r="C1890" t="s">
        <v>42</v>
      </c>
      <c r="D1890" t="s">
        <v>8958</v>
      </c>
      <c r="E1890" t="e" cm="1">
        <f t="array" ref="E1890">- DESOXIMETASONE</f>
        <v>#NAME?</v>
      </c>
      <c r="F1890" t="s">
        <v>8959</v>
      </c>
      <c r="G1890" t="s">
        <v>8960</v>
      </c>
      <c r="H1890" t="s">
        <v>8961</v>
      </c>
      <c r="I1890" t="s">
        <v>8962</v>
      </c>
      <c r="J1890" t="s">
        <v>2167</v>
      </c>
      <c r="K1890" t="s">
        <v>8963</v>
      </c>
      <c r="L1890" t="s">
        <v>8964</v>
      </c>
      <c r="M1890" t="s">
        <v>1289</v>
      </c>
      <c r="N1890" t="s">
        <v>8965</v>
      </c>
      <c r="O1890" t="s">
        <v>8966</v>
      </c>
      <c r="P1890" t="s">
        <v>8967</v>
      </c>
      <c r="Q1890" t="s">
        <v>8968</v>
      </c>
      <c r="R1890">
        <v>9</v>
      </c>
      <c r="S1890">
        <v>16</v>
      </c>
    </row>
    <row r="1891" spans="1:19" x14ac:dyDescent="0.35">
      <c r="A1891">
        <v>8731</v>
      </c>
      <c r="B1891" t="s">
        <v>8969</v>
      </c>
      <c r="C1891" t="s">
        <v>42</v>
      </c>
      <c r="D1891" t="s">
        <v>8970</v>
      </c>
      <c r="E1891" t="s">
        <v>8971</v>
      </c>
      <c r="F1891" t="s">
        <v>8972</v>
      </c>
      <c r="G1891" t="s">
        <v>8973</v>
      </c>
      <c r="H1891" t="s">
        <v>319</v>
      </c>
      <c r="I1891" t="s">
        <v>548</v>
      </c>
      <c r="J1891" t="s">
        <v>2100</v>
      </c>
      <c r="K1891" t="s">
        <v>8974</v>
      </c>
      <c r="M1891" t="s">
        <v>46</v>
      </c>
      <c r="N1891" t="s">
        <v>8975</v>
      </c>
      <c r="P1891" t="s">
        <v>8976</v>
      </c>
      <c r="Q1891" t="s">
        <v>8977</v>
      </c>
      <c r="R1891">
        <v>9</v>
      </c>
      <c r="S1891">
        <v>16</v>
      </c>
    </row>
    <row r="1892" spans="1:19" x14ac:dyDescent="0.35">
      <c r="A1892">
        <v>59</v>
      </c>
      <c r="B1892" t="s">
        <v>2902</v>
      </c>
      <c r="C1892" t="s">
        <v>42</v>
      </c>
      <c r="D1892" t="s">
        <v>8978</v>
      </c>
      <c r="E1892" t="e" cm="1">
        <f t="array" ref="E1892">- SILDENAFIL CITRATE</f>
        <v>#NAME?</v>
      </c>
      <c r="F1892" t="s">
        <v>8979</v>
      </c>
      <c r="G1892" t="s">
        <v>8185</v>
      </c>
      <c r="H1892" t="s">
        <v>3854</v>
      </c>
      <c r="I1892" t="s">
        <v>8186</v>
      </c>
      <c r="J1892" t="s">
        <v>8980</v>
      </c>
      <c r="K1892" t="s">
        <v>2726</v>
      </c>
      <c r="L1892" t="s">
        <v>8188</v>
      </c>
      <c r="M1892" t="s">
        <v>46</v>
      </c>
      <c r="N1892" t="s">
        <v>2519</v>
      </c>
      <c r="O1892" t="s">
        <v>8189</v>
      </c>
      <c r="P1892" t="s">
        <v>8981</v>
      </c>
      <c r="Q1892" t="s">
        <v>8982</v>
      </c>
      <c r="R1892">
        <v>9</v>
      </c>
      <c r="S1892">
        <v>16</v>
      </c>
    </row>
    <row r="1893" spans="1:19" x14ac:dyDescent="0.35">
      <c r="A1893">
        <v>371</v>
      </c>
      <c r="B1893" t="s">
        <v>8983</v>
      </c>
      <c r="C1893" t="s">
        <v>42</v>
      </c>
      <c r="D1893" t="s">
        <v>8984</v>
      </c>
      <c r="E1893" t="e" cm="1">
        <f t="array" ref="E1893">- CLOMIFENE CITRATE</f>
        <v>#NAME?</v>
      </c>
      <c r="F1893" t="s">
        <v>8985</v>
      </c>
      <c r="G1893" t="s">
        <v>2241</v>
      </c>
      <c r="H1893" t="s">
        <v>8986</v>
      </c>
    </row>
    <row r="1894" spans="1:19" x14ac:dyDescent="0.35">
      <c r="A1894">
        <v>60</v>
      </c>
      <c r="B1894" t="s">
        <v>2902</v>
      </c>
      <c r="C1894" t="s">
        <v>42</v>
      </c>
      <c r="D1894" t="s">
        <v>8987</v>
      </c>
      <c r="E1894" t="e" cm="1">
        <f t="array" ref="E1894">- SILDENAFIL CITRATE</f>
        <v>#NAME?</v>
      </c>
      <c r="F1894" t="s">
        <v>8988</v>
      </c>
      <c r="G1894" t="s">
        <v>8382</v>
      </c>
      <c r="H1894" t="s">
        <v>8383</v>
      </c>
      <c r="I1894" t="s">
        <v>8186</v>
      </c>
      <c r="J1894" t="s">
        <v>8989</v>
      </c>
      <c r="M1894" t="s">
        <v>46</v>
      </c>
      <c r="N1894" t="s">
        <v>2519</v>
      </c>
      <c r="O1894" t="s">
        <v>8189</v>
      </c>
      <c r="P1894" t="s">
        <v>8981</v>
      </c>
      <c r="Q1894" t="s">
        <v>8982</v>
      </c>
      <c r="R1894">
        <v>9</v>
      </c>
      <c r="S1894">
        <v>16</v>
      </c>
    </row>
    <row r="1895" spans="1:19" x14ac:dyDescent="0.35">
      <c r="A1895">
        <v>61</v>
      </c>
      <c r="B1895" t="s">
        <v>2902</v>
      </c>
      <c r="C1895" t="s">
        <v>42</v>
      </c>
      <c r="D1895" t="s">
        <v>8990</v>
      </c>
      <c r="E1895" t="e" cm="1">
        <f t="array" ref="E1895">- SILDENAFIL CITRATE</f>
        <v>#NAME?</v>
      </c>
      <c r="F1895" t="s">
        <v>8991</v>
      </c>
      <c r="G1895" t="s">
        <v>8185</v>
      </c>
      <c r="H1895" t="s">
        <v>3854</v>
      </c>
      <c r="I1895" t="s">
        <v>8186</v>
      </c>
      <c r="J1895" t="s">
        <v>8479</v>
      </c>
      <c r="K1895" t="s">
        <v>7921</v>
      </c>
      <c r="L1895" t="s">
        <v>8188</v>
      </c>
      <c r="M1895" t="s">
        <v>46</v>
      </c>
      <c r="N1895" t="s">
        <v>2519</v>
      </c>
      <c r="O1895" t="s">
        <v>8189</v>
      </c>
      <c r="P1895" t="s">
        <v>8981</v>
      </c>
      <c r="Q1895" t="s">
        <v>8982</v>
      </c>
      <c r="R1895">
        <v>9</v>
      </c>
      <c r="S1895">
        <v>16</v>
      </c>
    </row>
    <row r="1896" spans="1:19" x14ac:dyDescent="0.35">
      <c r="A1896">
        <v>6906</v>
      </c>
      <c r="B1896" t="s">
        <v>1803</v>
      </c>
      <c r="C1896" t="s">
        <v>42</v>
      </c>
      <c r="D1896" t="s">
        <v>8992</v>
      </c>
      <c r="E1896" t="e" cm="1">
        <f t="array" ref="E1896">- TIZANIDINE HYDROCHLORIDE</f>
        <v>#NAME?</v>
      </c>
      <c r="F1896" t="s">
        <v>8993</v>
      </c>
      <c r="G1896" t="s">
        <v>8185</v>
      </c>
      <c r="H1896" t="s">
        <v>1322</v>
      </c>
      <c r="I1896" t="s">
        <v>8186</v>
      </c>
      <c r="J1896" t="s">
        <v>8980</v>
      </c>
      <c r="M1896" t="s">
        <v>46</v>
      </c>
      <c r="N1896" t="s">
        <v>1806</v>
      </c>
      <c r="O1896" t="s">
        <v>8189</v>
      </c>
      <c r="P1896" t="s">
        <v>8994</v>
      </c>
      <c r="Q1896" t="s">
        <v>8995</v>
      </c>
      <c r="R1896">
        <v>9</v>
      </c>
      <c r="S1896">
        <v>16</v>
      </c>
    </row>
    <row r="1897" spans="1:19" x14ac:dyDescent="0.35">
      <c r="A1897">
        <v>6907</v>
      </c>
      <c r="B1897" t="s">
        <v>1803</v>
      </c>
      <c r="C1897" t="s">
        <v>42</v>
      </c>
      <c r="D1897" t="s">
        <v>8996</v>
      </c>
      <c r="E1897" t="e" cm="1">
        <f t="array" ref="E1897">- TIZANIDINE HYDROCHLORIDE</f>
        <v>#NAME?</v>
      </c>
      <c r="F1897" t="s">
        <v>8997</v>
      </c>
      <c r="G1897" t="s">
        <v>8185</v>
      </c>
      <c r="H1897" t="s">
        <v>1322</v>
      </c>
      <c r="I1897" t="s">
        <v>8186</v>
      </c>
      <c r="J1897" t="s">
        <v>8479</v>
      </c>
      <c r="M1897" t="s">
        <v>46</v>
      </c>
      <c r="N1897" t="s">
        <v>1806</v>
      </c>
      <c r="O1897" t="s">
        <v>8189</v>
      </c>
      <c r="P1897" t="s">
        <v>8994</v>
      </c>
      <c r="Q1897" t="s">
        <v>8995</v>
      </c>
      <c r="R1897">
        <v>9</v>
      </c>
      <c r="S1897">
        <v>16</v>
      </c>
    </row>
    <row r="1898" spans="1:19" x14ac:dyDescent="0.35">
      <c r="A1898">
        <v>6908</v>
      </c>
      <c r="B1898" t="s">
        <v>1803</v>
      </c>
      <c r="C1898" t="s">
        <v>42</v>
      </c>
      <c r="D1898" t="s">
        <v>8998</v>
      </c>
      <c r="E1898" t="e" cm="1">
        <f t="array" ref="E1898">- TIZANIDINE HYDROCHLORIDE</f>
        <v>#NAME?</v>
      </c>
      <c r="F1898" t="s">
        <v>8999</v>
      </c>
      <c r="G1898" t="s">
        <v>8185</v>
      </c>
      <c r="H1898" t="s">
        <v>3854</v>
      </c>
      <c r="I1898" t="s">
        <v>8186</v>
      </c>
      <c r="J1898" t="s">
        <v>8479</v>
      </c>
      <c r="L1898" t="s">
        <v>8188</v>
      </c>
      <c r="M1898" t="s">
        <v>46</v>
      </c>
      <c r="N1898" t="s">
        <v>1806</v>
      </c>
      <c r="O1898" t="s">
        <v>8189</v>
      </c>
      <c r="P1898" t="s">
        <v>9000</v>
      </c>
      <c r="Q1898" t="s">
        <v>9001</v>
      </c>
      <c r="R1898">
        <v>9</v>
      </c>
      <c r="S1898">
        <v>16</v>
      </c>
    </row>
    <row r="1899" spans="1:19" x14ac:dyDescent="0.35">
      <c r="A1899">
        <v>7925</v>
      </c>
      <c r="B1899" t="s">
        <v>9002</v>
      </c>
      <c r="C1899" t="s">
        <v>20</v>
      </c>
      <c r="D1899" t="s">
        <v>9003</v>
      </c>
      <c r="E1899" t="s">
        <v>9004</v>
      </c>
      <c r="F1899" s="1">
        <v>88000</v>
      </c>
      <c r="H1899" t="s">
        <v>7616</v>
      </c>
      <c r="I1899" t="s">
        <v>9005</v>
      </c>
      <c r="J1899" t="s">
        <v>355</v>
      </c>
      <c r="M1899" t="s">
        <v>38</v>
      </c>
      <c r="N1899" t="s">
        <v>9006</v>
      </c>
      <c r="O1899" t="s">
        <v>9007</v>
      </c>
      <c r="P1899" t="s">
        <v>9006</v>
      </c>
      <c r="Q1899" t="s">
        <v>9008</v>
      </c>
      <c r="R1899">
        <v>9</v>
      </c>
      <c r="S1899">
        <v>16</v>
      </c>
    </row>
    <row r="1900" spans="1:19" x14ac:dyDescent="0.35">
      <c r="A1900">
        <v>207</v>
      </c>
      <c r="B1900" t="s">
        <v>2902</v>
      </c>
      <c r="C1900" t="s">
        <v>42</v>
      </c>
      <c r="D1900" t="s">
        <v>9009</v>
      </c>
      <c r="E1900" t="e" cm="1">
        <f t="array" ref="E1900">- SILDENAFIL CITRATE</f>
        <v>#NAME?</v>
      </c>
      <c r="F1900" t="s">
        <v>9010</v>
      </c>
      <c r="J1900" t="s">
        <v>9011</v>
      </c>
      <c r="M1900" t="s">
        <v>46</v>
      </c>
      <c r="N1900" t="s">
        <v>2519</v>
      </c>
      <c r="P1900" t="s">
        <v>9012</v>
      </c>
      <c r="Q1900" t="s">
        <v>9013</v>
      </c>
      <c r="R1900">
        <v>9</v>
      </c>
      <c r="S1900">
        <v>16</v>
      </c>
    </row>
    <row r="1901" spans="1:19" x14ac:dyDescent="0.35">
      <c r="A1901">
        <v>2187</v>
      </c>
      <c r="B1901" t="s">
        <v>9014</v>
      </c>
      <c r="C1901" t="s">
        <v>42</v>
      </c>
      <c r="D1901" t="s">
        <v>9015</v>
      </c>
      <c r="E1901" t="e" cm="1">
        <f t="array" ref="E1901">- KETOROLAC</f>
        <v>#NAME?</v>
      </c>
      <c r="F1901" t="s">
        <v>9016</v>
      </c>
      <c r="G1901" t="s">
        <v>9017</v>
      </c>
      <c r="H1901" t="s">
        <v>9018</v>
      </c>
      <c r="I1901" t="s">
        <v>9019</v>
      </c>
      <c r="J1901" t="s">
        <v>9020</v>
      </c>
      <c r="K1901" t="s">
        <v>9021</v>
      </c>
      <c r="L1901" t="s">
        <v>9022</v>
      </c>
      <c r="M1901" t="s">
        <v>46</v>
      </c>
      <c r="N1901" t="s">
        <v>9023</v>
      </c>
      <c r="O1901" t="s">
        <v>9024</v>
      </c>
      <c r="P1901" t="s">
        <v>9023</v>
      </c>
      <c r="Q1901" t="s">
        <v>9025</v>
      </c>
      <c r="R1901">
        <v>9</v>
      </c>
      <c r="S1901">
        <v>16</v>
      </c>
    </row>
    <row r="1902" spans="1:19" x14ac:dyDescent="0.35">
      <c r="A1902">
        <v>56</v>
      </c>
      <c r="B1902" t="s">
        <v>2902</v>
      </c>
      <c r="C1902" t="s">
        <v>42</v>
      </c>
      <c r="D1902" t="s">
        <v>9026</v>
      </c>
      <c r="E1902" t="e" cm="1">
        <f t="array" ref="E1902">- SILDENAFIL CITRATE</f>
        <v>#NAME?</v>
      </c>
      <c r="F1902" t="s">
        <v>9027</v>
      </c>
      <c r="G1902" t="s">
        <v>8382</v>
      </c>
      <c r="H1902" t="s">
        <v>8383</v>
      </c>
      <c r="I1902" t="s">
        <v>8186</v>
      </c>
      <c r="J1902" t="s">
        <v>9028</v>
      </c>
      <c r="M1902" t="s">
        <v>46</v>
      </c>
      <c r="N1902" t="s">
        <v>2519</v>
      </c>
      <c r="O1902" t="s">
        <v>8189</v>
      </c>
      <c r="P1902" t="s">
        <v>8946</v>
      </c>
      <c r="Q1902" t="s">
        <v>8947</v>
      </c>
      <c r="R1902">
        <v>9</v>
      </c>
      <c r="S1902">
        <v>16</v>
      </c>
    </row>
    <row r="1903" spans="1:19" x14ac:dyDescent="0.35">
      <c r="A1903">
        <v>7561</v>
      </c>
      <c r="B1903" t="s">
        <v>9029</v>
      </c>
      <c r="C1903" t="s">
        <v>42</v>
      </c>
      <c r="D1903" t="s">
        <v>9030</v>
      </c>
      <c r="E1903" t="e" cm="1">
        <f t="array" ref="E1903">- FOLIC ACID</f>
        <v>#NAME?</v>
      </c>
      <c r="F1903" t="s">
        <v>9031</v>
      </c>
      <c r="G1903" t="s">
        <v>3083</v>
      </c>
      <c r="H1903" t="s">
        <v>9032</v>
      </c>
      <c r="I1903" t="s">
        <v>9033</v>
      </c>
      <c r="J1903" t="s">
        <v>381</v>
      </c>
      <c r="K1903" t="s">
        <v>9034</v>
      </c>
      <c r="L1903" t="s">
        <v>9035</v>
      </c>
      <c r="M1903" t="s">
        <v>46</v>
      </c>
      <c r="N1903" t="s">
        <v>9036</v>
      </c>
      <c r="O1903" t="s">
        <v>9037</v>
      </c>
      <c r="P1903" t="s">
        <v>9036</v>
      </c>
      <c r="Q1903" t="s">
        <v>9038</v>
      </c>
      <c r="R1903">
        <v>9</v>
      </c>
      <c r="S1903">
        <v>16</v>
      </c>
    </row>
    <row r="1904" spans="1:19" x14ac:dyDescent="0.35">
      <c r="A1904">
        <v>7560</v>
      </c>
      <c r="B1904" t="s">
        <v>9029</v>
      </c>
      <c r="C1904" t="s">
        <v>42</v>
      </c>
      <c r="D1904" t="s">
        <v>9030</v>
      </c>
      <c r="E1904" t="e" cm="1">
        <f t="array" ref="E1904">- FOLIC ACID</f>
        <v>#NAME?</v>
      </c>
      <c r="F1904" t="s">
        <v>9031</v>
      </c>
      <c r="G1904" t="s">
        <v>3083</v>
      </c>
      <c r="H1904" t="s">
        <v>9032</v>
      </c>
      <c r="I1904" t="s">
        <v>9033</v>
      </c>
      <c r="J1904" t="s">
        <v>381</v>
      </c>
      <c r="K1904" t="s">
        <v>9034</v>
      </c>
      <c r="L1904" t="s">
        <v>9035</v>
      </c>
      <c r="M1904" t="s">
        <v>46</v>
      </c>
      <c r="N1904" t="s">
        <v>9036</v>
      </c>
      <c r="O1904" t="s">
        <v>9037</v>
      </c>
      <c r="P1904" t="s">
        <v>9036</v>
      </c>
      <c r="Q1904" t="s">
        <v>9038</v>
      </c>
      <c r="R1904">
        <v>9</v>
      </c>
      <c r="S1904">
        <v>16</v>
      </c>
    </row>
    <row r="1905" spans="1:19" x14ac:dyDescent="0.35">
      <c r="A1905">
        <v>1645</v>
      </c>
      <c r="B1905" t="s">
        <v>9039</v>
      </c>
      <c r="C1905" t="s">
        <v>42</v>
      </c>
      <c r="D1905" t="s">
        <v>9040</v>
      </c>
      <c r="E1905" t="e" cm="1">
        <f t="array" ref="E1905">- ACETYLCYSTEINE</f>
        <v>#NAME?</v>
      </c>
      <c r="F1905" s="1">
        <v>27900</v>
      </c>
      <c r="G1905" t="s">
        <v>9041</v>
      </c>
      <c r="H1905" t="s">
        <v>9042</v>
      </c>
      <c r="I1905" t="s">
        <v>9043</v>
      </c>
      <c r="J1905" t="s">
        <v>810</v>
      </c>
      <c r="L1905" t="s">
        <v>9044</v>
      </c>
      <c r="M1905" t="s">
        <v>38</v>
      </c>
      <c r="N1905" t="s">
        <v>9045</v>
      </c>
      <c r="O1905" t="s">
        <v>9046</v>
      </c>
      <c r="P1905" t="s">
        <v>9047</v>
      </c>
      <c r="Q1905" t="s">
        <v>9048</v>
      </c>
      <c r="R1905">
        <v>9</v>
      </c>
      <c r="S1905">
        <v>16</v>
      </c>
    </row>
    <row r="1906" spans="1:19" x14ac:dyDescent="0.35">
      <c r="A1906">
        <v>5073</v>
      </c>
      <c r="B1906" t="s">
        <v>9049</v>
      </c>
      <c r="C1906" t="s">
        <v>42</v>
      </c>
      <c r="D1906" t="s">
        <v>9050</v>
      </c>
      <c r="E1906" t="e" cm="1">
        <f t="array" ref="E1906">- PIMECROLIMUS</f>
        <v>#NAME?</v>
      </c>
      <c r="F1906" t="s">
        <v>9051</v>
      </c>
      <c r="G1906" t="s">
        <v>9052</v>
      </c>
      <c r="H1906" t="s">
        <v>9053</v>
      </c>
      <c r="I1906" t="s">
        <v>9054</v>
      </c>
      <c r="J1906" t="s">
        <v>2167</v>
      </c>
      <c r="K1906" t="s">
        <v>9055</v>
      </c>
      <c r="L1906" t="s">
        <v>9056</v>
      </c>
      <c r="M1906" t="s">
        <v>1289</v>
      </c>
      <c r="N1906" t="s">
        <v>9057</v>
      </c>
      <c r="O1906" t="s">
        <v>9058</v>
      </c>
      <c r="P1906" t="s">
        <v>9059</v>
      </c>
      <c r="Q1906" t="s">
        <v>9060</v>
      </c>
      <c r="R1906">
        <v>9</v>
      </c>
      <c r="S1906">
        <v>16</v>
      </c>
    </row>
    <row r="1907" spans="1:19" x14ac:dyDescent="0.35">
      <c r="A1907">
        <v>2163</v>
      </c>
      <c r="B1907" t="s">
        <v>9061</v>
      </c>
      <c r="C1907" t="s">
        <v>42</v>
      </c>
      <c r="D1907" t="s">
        <v>9062</v>
      </c>
      <c r="E1907" t="e" cm="1">
        <f t="array" ref="E1907">- CYANOCOBALAMIN</f>
        <v>#NAME?</v>
      </c>
      <c r="F1907" t="s">
        <v>9063</v>
      </c>
      <c r="G1907" t="s">
        <v>8843</v>
      </c>
      <c r="H1907" t="s">
        <v>9064</v>
      </c>
      <c r="I1907" t="s">
        <v>9065</v>
      </c>
      <c r="J1907" t="s">
        <v>9066</v>
      </c>
      <c r="K1907" t="s">
        <v>8875</v>
      </c>
      <c r="L1907" t="s">
        <v>9067</v>
      </c>
      <c r="M1907" t="s">
        <v>46</v>
      </c>
      <c r="N1907" t="s">
        <v>677</v>
      </c>
      <c r="O1907" t="s">
        <v>9068</v>
      </c>
      <c r="P1907" t="s">
        <v>9069</v>
      </c>
      <c r="Q1907" t="s">
        <v>9070</v>
      </c>
      <c r="R1907">
        <v>9</v>
      </c>
      <c r="S1907">
        <v>16</v>
      </c>
    </row>
    <row r="1908" spans="1:19" x14ac:dyDescent="0.35">
      <c r="A1908">
        <v>2164</v>
      </c>
      <c r="B1908" t="s">
        <v>9061</v>
      </c>
      <c r="C1908" t="s">
        <v>42</v>
      </c>
      <c r="D1908" t="s">
        <v>9062</v>
      </c>
      <c r="E1908" t="e" cm="1">
        <f t="array" ref="E1908">- CYANOCOBALAMIN</f>
        <v>#NAME?</v>
      </c>
      <c r="F1908" t="s">
        <v>9063</v>
      </c>
      <c r="G1908" t="s">
        <v>8843</v>
      </c>
      <c r="H1908" t="s">
        <v>9064</v>
      </c>
      <c r="I1908" t="s">
        <v>9065</v>
      </c>
      <c r="J1908" t="s">
        <v>9066</v>
      </c>
      <c r="K1908" t="s">
        <v>8875</v>
      </c>
      <c r="L1908" t="s">
        <v>9067</v>
      </c>
      <c r="M1908" t="s">
        <v>46</v>
      </c>
      <c r="N1908" t="s">
        <v>677</v>
      </c>
      <c r="O1908" t="s">
        <v>9068</v>
      </c>
      <c r="P1908" t="s">
        <v>9069</v>
      </c>
      <c r="Q1908" t="s">
        <v>9070</v>
      </c>
      <c r="R1908">
        <v>9</v>
      </c>
      <c r="S1908">
        <v>16</v>
      </c>
    </row>
    <row r="1909" spans="1:19" x14ac:dyDescent="0.35">
      <c r="A1909">
        <v>54</v>
      </c>
      <c r="B1909" t="s">
        <v>2902</v>
      </c>
      <c r="C1909" t="s">
        <v>42</v>
      </c>
      <c r="D1909" t="s">
        <v>9071</v>
      </c>
      <c r="E1909" t="e" cm="1">
        <f t="array" ref="E1909">- SILDENAFIL CITRATE</f>
        <v>#NAME?</v>
      </c>
      <c r="F1909" t="s">
        <v>9072</v>
      </c>
      <c r="G1909" t="s">
        <v>8185</v>
      </c>
      <c r="H1909" t="s">
        <v>3854</v>
      </c>
      <c r="I1909" t="s">
        <v>8186</v>
      </c>
      <c r="J1909" t="s">
        <v>9073</v>
      </c>
      <c r="L1909" t="s">
        <v>8188</v>
      </c>
      <c r="M1909" t="s">
        <v>46</v>
      </c>
      <c r="N1909" t="s">
        <v>2519</v>
      </c>
      <c r="O1909" t="s">
        <v>8189</v>
      </c>
      <c r="P1909" t="s">
        <v>9074</v>
      </c>
      <c r="Q1909" t="s">
        <v>9075</v>
      </c>
      <c r="R1909">
        <v>9</v>
      </c>
      <c r="S1909">
        <v>16</v>
      </c>
    </row>
    <row r="1910" spans="1:19" x14ac:dyDescent="0.35">
      <c r="A1910">
        <v>8195</v>
      </c>
      <c r="B1910" t="s">
        <v>551</v>
      </c>
      <c r="C1910" t="s">
        <v>42</v>
      </c>
      <c r="D1910" t="s">
        <v>9076</v>
      </c>
      <c r="E1910" t="e" cm="1">
        <f t="array" ref="E1910">- POVIDONE-IODINE</f>
        <v>#NAME?</v>
      </c>
      <c r="F1910" t="s">
        <v>765</v>
      </c>
      <c r="G1910" t="s">
        <v>9077</v>
      </c>
      <c r="I1910" t="s">
        <v>3530</v>
      </c>
      <c r="J1910" t="s">
        <v>2771</v>
      </c>
      <c r="M1910" t="s">
        <v>554</v>
      </c>
      <c r="N1910" t="s">
        <v>555</v>
      </c>
      <c r="O1910" t="s">
        <v>9078</v>
      </c>
      <c r="P1910" t="s">
        <v>6691</v>
      </c>
      <c r="Q1910" t="s">
        <v>9079</v>
      </c>
      <c r="R1910">
        <v>9</v>
      </c>
      <c r="S1910">
        <v>16</v>
      </c>
    </row>
    <row r="1911" spans="1:19" x14ac:dyDescent="0.35">
      <c r="A1911">
        <v>8190</v>
      </c>
      <c r="B1911" t="s">
        <v>551</v>
      </c>
      <c r="C1911" t="s">
        <v>42</v>
      </c>
      <c r="D1911" t="s">
        <v>8915</v>
      </c>
      <c r="E1911" t="e" cm="1">
        <f t="array" ref="E1911">- POVIDONE-IODINE</f>
        <v>#NAME?</v>
      </c>
      <c r="F1911" t="s">
        <v>8916</v>
      </c>
      <c r="G1911" t="s">
        <v>8917</v>
      </c>
      <c r="H1911" t="s">
        <v>1322</v>
      </c>
      <c r="I1911" t="s">
        <v>8918</v>
      </c>
      <c r="J1911" t="s">
        <v>8919</v>
      </c>
      <c r="M1911" t="s">
        <v>554</v>
      </c>
      <c r="N1911" t="s">
        <v>555</v>
      </c>
      <c r="O1911" t="s">
        <v>8920</v>
      </c>
      <c r="P1911" t="s">
        <v>8921</v>
      </c>
      <c r="Q1911" t="s">
        <v>8922</v>
      </c>
      <c r="R1911">
        <v>9</v>
      </c>
      <c r="S1911">
        <v>16</v>
      </c>
    </row>
    <row r="1912" spans="1:19" x14ac:dyDescent="0.35">
      <c r="A1912">
        <v>3157</v>
      </c>
      <c r="B1912" t="s">
        <v>9080</v>
      </c>
      <c r="C1912" t="s">
        <v>42</v>
      </c>
      <c r="D1912" t="s">
        <v>9081</v>
      </c>
      <c r="E1912" t="e" cm="1">
        <f t="array" ref="E1912">- ALUMINIUM HYDROXIDE</f>
        <v>#NAME?</v>
      </c>
      <c r="F1912" t="s">
        <v>9082</v>
      </c>
      <c r="G1912" t="s">
        <v>9083</v>
      </c>
      <c r="H1912" t="s">
        <v>9084</v>
      </c>
      <c r="I1912" t="s">
        <v>9085</v>
      </c>
      <c r="J1912" t="s">
        <v>5221</v>
      </c>
      <c r="L1912" t="s">
        <v>9086</v>
      </c>
      <c r="M1912" t="s">
        <v>46</v>
      </c>
      <c r="N1912" t="s">
        <v>1771</v>
      </c>
      <c r="O1912" t="s">
        <v>9087</v>
      </c>
      <c r="P1912" t="s">
        <v>3551</v>
      </c>
      <c r="Q1912" t="s">
        <v>9088</v>
      </c>
      <c r="R1912">
        <v>9</v>
      </c>
      <c r="S1912">
        <v>16</v>
      </c>
    </row>
    <row r="1913" spans="1:19" x14ac:dyDescent="0.35">
      <c r="A1913">
        <v>8194</v>
      </c>
      <c r="B1913" t="s">
        <v>551</v>
      </c>
      <c r="C1913" t="s">
        <v>42</v>
      </c>
      <c r="D1913" t="s">
        <v>9076</v>
      </c>
      <c r="E1913" t="e" cm="1">
        <f t="array" ref="E1913">- POVIDONE-IODINE</f>
        <v>#NAME?</v>
      </c>
      <c r="F1913" t="s">
        <v>765</v>
      </c>
      <c r="G1913" t="s">
        <v>9077</v>
      </c>
      <c r="I1913" t="s">
        <v>3530</v>
      </c>
      <c r="J1913" t="s">
        <v>2771</v>
      </c>
      <c r="M1913" t="s">
        <v>554</v>
      </c>
      <c r="N1913" t="s">
        <v>555</v>
      </c>
      <c r="O1913" t="s">
        <v>9078</v>
      </c>
      <c r="P1913" t="s">
        <v>6691</v>
      </c>
      <c r="Q1913" t="s">
        <v>9079</v>
      </c>
      <c r="R1913">
        <v>9</v>
      </c>
      <c r="S1913">
        <v>16</v>
      </c>
    </row>
    <row r="1914" spans="1:19" x14ac:dyDescent="0.35">
      <c r="A1914">
        <v>730</v>
      </c>
      <c r="B1914" t="s">
        <v>9089</v>
      </c>
      <c r="C1914" t="s">
        <v>20</v>
      </c>
      <c r="D1914" t="s">
        <v>9090</v>
      </c>
      <c r="E1914" t="s">
        <v>9091</v>
      </c>
      <c r="F1914" t="s">
        <v>9092</v>
      </c>
      <c r="J1914" t="s">
        <v>846</v>
      </c>
      <c r="M1914" t="s">
        <v>2115</v>
      </c>
      <c r="N1914" t="s">
        <v>9093</v>
      </c>
      <c r="P1914" t="s">
        <v>9094</v>
      </c>
      <c r="Q1914" t="s">
        <v>9095</v>
      </c>
      <c r="R1914">
        <v>9</v>
      </c>
      <c r="S1914">
        <v>16</v>
      </c>
    </row>
    <row r="1915" spans="1:19" x14ac:dyDescent="0.35">
      <c r="A1915">
        <v>7539</v>
      </c>
      <c r="B1915" t="s">
        <v>9096</v>
      </c>
      <c r="C1915" t="s">
        <v>42</v>
      </c>
      <c r="D1915" t="s">
        <v>9097</v>
      </c>
      <c r="E1915" t="e" cm="1">
        <f t="array" ref="E1915">- FOLIC ACID</f>
        <v>#NAME?</v>
      </c>
      <c r="F1915" t="s">
        <v>9098</v>
      </c>
      <c r="G1915" t="s">
        <v>8632</v>
      </c>
      <c r="H1915" t="s">
        <v>7658</v>
      </c>
      <c r="I1915" t="s">
        <v>9099</v>
      </c>
      <c r="J1915" t="s">
        <v>727</v>
      </c>
      <c r="M1915" t="s">
        <v>291</v>
      </c>
      <c r="N1915" t="s">
        <v>9036</v>
      </c>
      <c r="O1915" t="s">
        <v>9100</v>
      </c>
      <c r="P1915" t="s">
        <v>9101</v>
      </c>
      <c r="Q1915" t="s">
        <v>9102</v>
      </c>
      <c r="R1915">
        <v>9</v>
      </c>
      <c r="S1915">
        <v>16</v>
      </c>
    </row>
    <row r="1916" spans="1:19" x14ac:dyDescent="0.35">
      <c r="A1916">
        <v>4323</v>
      </c>
      <c r="B1916" t="s">
        <v>9103</v>
      </c>
      <c r="C1916" t="s">
        <v>850</v>
      </c>
      <c r="D1916" t="s">
        <v>9104</v>
      </c>
      <c r="E1916" t="e" cm="1">
        <f t="array" ref="E1916">- Asam Salisilat</f>
        <v>#NAME?</v>
      </c>
      <c r="F1916" t="s">
        <v>9105</v>
      </c>
      <c r="G1916" t="s">
        <v>9106</v>
      </c>
      <c r="H1916" t="s">
        <v>1322</v>
      </c>
      <c r="I1916" t="s">
        <v>9107</v>
      </c>
      <c r="J1916" t="s">
        <v>846</v>
      </c>
      <c r="N1916" t="s">
        <v>2022</v>
      </c>
      <c r="O1916" t="s">
        <v>9108</v>
      </c>
      <c r="P1916" t="s">
        <v>9109</v>
      </c>
      <c r="Q1916" t="s">
        <v>9110</v>
      </c>
      <c r="R1916">
        <v>9</v>
      </c>
      <c r="S1916">
        <v>16</v>
      </c>
    </row>
    <row r="1917" spans="1:19" x14ac:dyDescent="0.35">
      <c r="A1917">
        <v>6794</v>
      </c>
      <c r="B1917" t="s">
        <v>9111</v>
      </c>
      <c r="C1917" t="s">
        <v>42</v>
      </c>
      <c r="D1917" t="s">
        <v>9112</v>
      </c>
      <c r="E1917" t="e" cm="1">
        <f t="array" ref="E1917">- COLCHICINE</f>
        <v>#NAME?</v>
      </c>
      <c r="F1917" t="s">
        <v>9113</v>
      </c>
      <c r="G1917" t="s">
        <v>9114</v>
      </c>
      <c r="H1917" t="s">
        <v>9115</v>
      </c>
      <c r="I1917" t="s">
        <v>9116</v>
      </c>
      <c r="J1917" t="s">
        <v>6487</v>
      </c>
      <c r="K1917" t="s">
        <v>9117</v>
      </c>
      <c r="L1917" t="s">
        <v>9118</v>
      </c>
      <c r="M1917" t="s">
        <v>46</v>
      </c>
      <c r="N1917" t="s">
        <v>9119</v>
      </c>
      <c r="O1917" t="s">
        <v>9120</v>
      </c>
      <c r="P1917" t="s">
        <v>9121</v>
      </c>
      <c r="Q1917" t="s">
        <v>9122</v>
      </c>
      <c r="R1917">
        <v>9</v>
      </c>
      <c r="S1917">
        <v>16</v>
      </c>
    </row>
    <row r="1918" spans="1:19" x14ac:dyDescent="0.35">
      <c r="A1918">
        <v>8666</v>
      </c>
      <c r="B1918" t="s">
        <v>9123</v>
      </c>
      <c r="C1918" t="s">
        <v>42</v>
      </c>
      <c r="D1918" t="s">
        <v>9124</v>
      </c>
      <c r="E1918" t="e" cm="1">
        <f t="array" ref="E1918">- GLICLAZIDE</f>
        <v>#NAME?</v>
      </c>
      <c r="F1918" t="s">
        <v>9125</v>
      </c>
      <c r="G1918" t="s">
        <v>9126</v>
      </c>
      <c r="H1918" t="s">
        <v>9127</v>
      </c>
      <c r="I1918" t="s">
        <v>9128</v>
      </c>
      <c r="J1918" t="s">
        <v>532</v>
      </c>
      <c r="K1918" t="s">
        <v>9129</v>
      </c>
      <c r="L1918" t="s">
        <v>9130</v>
      </c>
      <c r="M1918" t="s">
        <v>46</v>
      </c>
      <c r="N1918" t="s">
        <v>1268</v>
      </c>
      <c r="O1918" t="s">
        <v>9131</v>
      </c>
      <c r="P1918" t="s">
        <v>9132</v>
      </c>
      <c r="Q1918" t="s">
        <v>9133</v>
      </c>
      <c r="R1918">
        <v>9</v>
      </c>
      <c r="S1918">
        <v>16</v>
      </c>
    </row>
    <row r="1919" spans="1:19" x14ac:dyDescent="0.35">
      <c r="A1919">
        <v>8667</v>
      </c>
      <c r="B1919" t="s">
        <v>9123</v>
      </c>
      <c r="C1919" t="s">
        <v>42</v>
      </c>
      <c r="D1919" t="s">
        <v>9124</v>
      </c>
      <c r="E1919" t="e" cm="1">
        <f t="array" ref="E1919">- GLICLAZIDE</f>
        <v>#NAME?</v>
      </c>
      <c r="F1919" t="s">
        <v>9125</v>
      </c>
      <c r="G1919" t="s">
        <v>9126</v>
      </c>
      <c r="H1919" t="s">
        <v>9127</v>
      </c>
      <c r="I1919" t="s">
        <v>9128</v>
      </c>
      <c r="J1919" t="s">
        <v>532</v>
      </c>
      <c r="K1919" t="s">
        <v>9129</v>
      </c>
      <c r="L1919" t="s">
        <v>9130</v>
      </c>
      <c r="M1919" t="s">
        <v>46</v>
      </c>
      <c r="N1919" t="s">
        <v>1268</v>
      </c>
      <c r="O1919" t="s">
        <v>9131</v>
      </c>
      <c r="P1919" t="s">
        <v>9132</v>
      </c>
      <c r="Q1919" t="s">
        <v>9133</v>
      </c>
      <c r="R1919">
        <v>9</v>
      </c>
      <c r="S1919">
        <v>16</v>
      </c>
    </row>
    <row r="1920" spans="1:19" x14ac:dyDescent="0.35">
      <c r="A1920">
        <v>8668</v>
      </c>
      <c r="B1920" t="s">
        <v>9123</v>
      </c>
      <c r="C1920" t="s">
        <v>42</v>
      </c>
      <c r="D1920" t="s">
        <v>9124</v>
      </c>
      <c r="E1920" t="e" cm="1">
        <f t="array" ref="E1920">- GLICLAZIDE</f>
        <v>#NAME?</v>
      </c>
      <c r="F1920" t="s">
        <v>9125</v>
      </c>
      <c r="G1920" t="s">
        <v>9126</v>
      </c>
      <c r="H1920" t="s">
        <v>9127</v>
      </c>
      <c r="I1920" t="s">
        <v>9128</v>
      </c>
      <c r="J1920" t="s">
        <v>532</v>
      </c>
      <c r="K1920" t="s">
        <v>9129</v>
      </c>
      <c r="L1920" t="s">
        <v>9130</v>
      </c>
      <c r="M1920" t="s">
        <v>46</v>
      </c>
      <c r="N1920" t="s">
        <v>1268</v>
      </c>
      <c r="O1920" t="s">
        <v>9131</v>
      </c>
      <c r="P1920" t="s">
        <v>9132</v>
      </c>
      <c r="Q1920" t="s">
        <v>9133</v>
      </c>
      <c r="R1920">
        <v>9</v>
      </c>
      <c r="S1920">
        <v>16</v>
      </c>
    </row>
    <row r="1921" spans="1:19" x14ac:dyDescent="0.35">
      <c r="A1921">
        <v>7540</v>
      </c>
      <c r="B1921" t="s">
        <v>9096</v>
      </c>
      <c r="C1921" t="s">
        <v>42</v>
      </c>
      <c r="D1921" t="s">
        <v>9097</v>
      </c>
      <c r="E1921" t="e" cm="1">
        <f t="array" ref="E1921">- FOLIC ACID</f>
        <v>#NAME?</v>
      </c>
      <c r="F1921" t="s">
        <v>9098</v>
      </c>
      <c r="G1921" t="s">
        <v>8632</v>
      </c>
      <c r="H1921" t="s">
        <v>7658</v>
      </c>
      <c r="I1921" t="s">
        <v>9099</v>
      </c>
      <c r="J1921" t="s">
        <v>727</v>
      </c>
      <c r="M1921" t="s">
        <v>291</v>
      </c>
      <c r="N1921" t="s">
        <v>9036</v>
      </c>
      <c r="O1921" t="s">
        <v>9100</v>
      </c>
      <c r="P1921" t="s">
        <v>9101</v>
      </c>
      <c r="Q1921" t="s">
        <v>9102</v>
      </c>
      <c r="R1921">
        <v>9</v>
      </c>
      <c r="S1921">
        <v>16</v>
      </c>
    </row>
    <row r="1922" spans="1:19" x14ac:dyDescent="0.35">
      <c r="A1922">
        <v>4063</v>
      </c>
      <c r="B1922" t="s">
        <v>9134</v>
      </c>
      <c r="C1922" t="s">
        <v>42</v>
      </c>
      <c r="D1922" t="s">
        <v>9135</v>
      </c>
      <c r="E1922" t="e" cm="1">
        <f t="array" ref="E1922">- BETAMETHASONE</f>
        <v>#NAME?</v>
      </c>
      <c r="F1922" t="s">
        <v>9136</v>
      </c>
      <c r="G1922" t="s">
        <v>5610</v>
      </c>
      <c r="H1922" t="s">
        <v>9137</v>
      </c>
      <c r="I1922" t="s">
        <v>9138</v>
      </c>
      <c r="J1922" t="s">
        <v>381</v>
      </c>
      <c r="K1922" t="s">
        <v>9139</v>
      </c>
      <c r="L1922" t="s">
        <v>9140</v>
      </c>
      <c r="M1922" t="s">
        <v>46</v>
      </c>
      <c r="N1922" t="s">
        <v>1118</v>
      </c>
      <c r="O1922" t="s">
        <v>9141</v>
      </c>
      <c r="P1922" t="s">
        <v>9142</v>
      </c>
      <c r="Q1922" t="s">
        <v>9143</v>
      </c>
      <c r="R1922">
        <v>9</v>
      </c>
      <c r="S1922">
        <v>16</v>
      </c>
    </row>
    <row r="1923" spans="1:19" x14ac:dyDescent="0.35">
      <c r="A1923">
        <v>6913</v>
      </c>
      <c r="B1923" t="s">
        <v>1803</v>
      </c>
      <c r="C1923" t="s">
        <v>42</v>
      </c>
      <c r="D1923" t="s">
        <v>9144</v>
      </c>
      <c r="E1923" t="e" cm="1">
        <f t="array" ref="E1923">- TIZANIDINE HYDROCHLORIDE</f>
        <v>#NAME?</v>
      </c>
      <c r="F1923" t="s">
        <v>9145</v>
      </c>
      <c r="G1923" t="s">
        <v>8185</v>
      </c>
      <c r="H1923" t="s">
        <v>3854</v>
      </c>
      <c r="I1923" t="s">
        <v>8186</v>
      </c>
      <c r="J1923" t="s">
        <v>8479</v>
      </c>
      <c r="L1923" t="s">
        <v>8188</v>
      </c>
      <c r="M1923" t="s">
        <v>46</v>
      </c>
      <c r="N1923" t="s">
        <v>1806</v>
      </c>
      <c r="O1923" t="s">
        <v>8189</v>
      </c>
      <c r="P1923" t="s">
        <v>9146</v>
      </c>
      <c r="Q1923" t="s">
        <v>9147</v>
      </c>
      <c r="R1923">
        <v>9</v>
      </c>
      <c r="S1923">
        <v>16</v>
      </c>
    </row>
    <row r="1924" spans="1:19" x14ac:dyDescent="0.35">
      <c r="A1924">
        <v>6914</v>
      </c>
      <c r="B1924" t="s">
        <v>1803</v>
      </c>
      <c r="C1924" t="s">
        <v>42</v>
      </c>
      <c r="D1924" t="s">
        <v>9148</v>
      </c>
      <c r="E1924" t="e" cm="1">
        <f t="array" ref="E1924">- TIZANIDINE HYDROCHLORIDE</f>
        <v>#NAME?</v>
      </c>
      <c r="F1924" s="1">
        <v>53200</v>
      </c>
      <c r="G1924" t="s">
        <v>8185</v>
      </c>
      <c r="H1924" t="s">
        <v>3854</v>
      </c>
      <c r="I1924" t="s">
        <v>8186</v>
      </c>
      <c r="J1924" t="s">
        <v>9149</v>
      </c>
      <c r="L1924" t="s">
        <v>8188</v>
      </c>
      <c r="M1924" t="s">
        <v>46</v>
      </c>
      <c r="N1924" t="s">
        <v>1806</v>
      </c>
      <c r="O1924" t="s">
        <v>8189</v>
      </c>
      <c r="P1924" t="s">
        <v>9150</v>
      </c>
      <c r="Q1924" t="s">
        <v>9151</v>
      </c>
      <c r="R1924">
        <v>9</v>
      </c>
      <c r="S1924">
        <v>16</v>
      </c>
    </row>
    <row r="1925" spans="1:19" x14ac:dyDescent="0.35">
      <c r="A1925">
        <v>4058</v>
      </c>
      <c r="B1925" t="s">
        <v>5082</v>
      </c>
      <c r="C1925" t="s">
        <v>42</v>
      </c>
      <c r="D1925" t="s">
        <v>5083</v>
      </c>
      <c r="E1925" t="e" cm="1">
        <f t="array" ref="E1925">- DEXAMETHASONE. DEXCHLORPHENIRAMINE MALEATE</f>
        <v>#NAME?</v>
      </c>
      <c r="F1925" t="s">
        <v>5084</v>
      </c>
      <c r="G1925" t="s">
        <v>3774</v>
      </c>
      <c r="H1925" t="s">
        <v>3775</v>
      </c>
      <c r="I1925" t="s">
        <v>3776</v>
      </c>
      <c r="J1925" t="s">
        <v>5085</v>
      </c>
      <c r="K1925" t="s">
        <v>3777</v>
      </c>
      <c r="L1925" t="s">
        <v>5086</v>
      </c>
      <c r="M1925" t="s">
        <v>46</v>
      </c>
      <c r="N1925" t="s">
        <v>9152</v>
      </c>
      <c r="O1925" t="s">
        <v>3780</v>
      </c>
      <c r="P1925" t="s">
        <v>5087</v>
      </c>
      <c r="Q1925" t="s">
        <v>9153</v>
      </c>
      <c r="R1925">
        <v>9</v>
      </c>
      <c r="S1925">
        <v>16</v>
      </c>
    </row>
    <row r="1926" spans="1:19" x14ac:dyDescent="0.35">
      <c r="A1926">
        <v>3753</v>
      </c>
      <c r="B1926" t="s">
        <v>7228</v>
      </c>
      <c r="C1926" t="s">
        <v>42</v>
      </c>
      <c r="D1926" t="s">
        <v>7229</v>
      </c>
      <c r="E1926" t="e" cm="1">
        <f t="array" ref="E1926">- ATTAPULGITE. PECTIN</f>
        <v>#NAME?</v>
      </c>
      <c r="F1926" s="1">
        <v>14100</v>
      </c>
      <c r="G1926" t="s">
        <v>60</v>
      </c>
      <c r="H1926" t="s">
        <v>5058</v>
      </c>
      <c r="I1926" t="s">
        <v>7230</v>
      </c>
      <c r="J1926" t="s">
        <v>7231</v>
      </c>
      <c r="K1926" t="s">
        <v>7232</v>
      </c>
      <c r="L1926" t="s">
        <v>7233</v>
      </c>
      <c r="M1926" t="s">
        <v>46</v>
      </c>
      <c r="N1926" t="s">
        <v>5042</v>
      </c>
      <c r="O1926" t="s">
        <v>7234</v>
      </c>
      <c r="P1926" t="s">
        <v>7235</v>
      </c>
      <c r="Q1926" t="s">
        <v>9154</v>
      </c>
      <c r="R1926">
        <v>9</v>
      </c>
      <c r="S1926">
        <v>16</v>
      </c>
    </row>
    <row r="1927" spans="1:19" x14ac:dyDescent="0.35">
      <c r="A1927">
        <v>3754</v>
      </c>
      <c r="B1927" t="s">
        <v>7228</v>
      </c>
      <c r="C1927" t="s">
        <v>42</v>
      </c>
      <c r="D1927" t="s">
        <v>7229</v>
      </c>
      <c r="E1927" t="e" cm="1">
        <f t="array" ref="E1927">- ATTAPULGITE. PECTIN</f>
        <v>#NAME?</v>
      </c>
      <c r="F1927" s="1">
        <v>14100</v>
      </c>
      <c r="G1927" t="s">
        <v>60</v>
      </c>
      <c r="H1927" t="s">
        <v>5058</v>
      </c>
      <c r="I1927" t="s">
        <v>7230</v>
      </c>
      <c r="J1927" t="s">
        <v>7231</v>
      </c>
      <c r="K1927" t="s">
        <v>7232</v>
      </c>
      <c r="L1927" t="s">
        <v>7233</v>
      </c>
      <c r="M1927" t="s">
        <v>46</v>
      </c>
      <c r="N1927" t="s">
        <v>5042</v>
      </c>
      <c r="O1927" t="s">
        <v>7234</v>
      </c>
      <c r="P1927" t="s">
        <v>7235</v>
      </c>
      <c r="Q1927" t="s">
        <v>9154</v>
      </c>
      <c r="R1927">
        <v>9</v>
      </c>
      <c r="S1927">
        <v>16</v>
      </c>
    </row>
    <row r="1928" spans="1:19" x14ac:dyDescent="0.35">
      <c r="A1928">
        <v>8799</v>
      </c>
      <c r="B1928" t="s">
        <v>2388</v>
      </c>
      <c r="C1928" t="s">
        <v>42</v>
      </c>
      <c r="D1928" t="s">
        <v>9155</v>
      </c>
      <c r="E1928" t="e" cm="1">
        <f t="array" ref="E1928">- PIOGLITAZONE HYDROCHLORIDE</f>
        <v>#NAME?</v>
      </c>
      <c r="F1928" t="s">
        <v>9156</v>
      </c>
      <c r="G1928" t="s">
        <v>9157</v>
      </c>
      <c r="H1928" t="s">
        <v>9158</v>
      </c>
      <c r="I1928" t="s">
        <v>9159</v>
      </c>
      <c r="J1928" t="s">
        <v>9160</v>
      </c>
      <c r="K1928" t="s">
        <v>9161</v>
      </c>
      <c r="L1928" t="s">
        <v>9162</v>
      </c>
      <c r="M1928" t="s">
        <v>46</v>
      </c>
      <c r="N1928" t="s">
        <v>2389</v>
      </c>
      <c r="O1928" t="s">
        <v>9163</v>
      </c>
      <c r="P1928" t="s">
        <v>830</v>
      </c>
      <c r="Q1928" t="s">
        <v>9164</v>
      </c>
      <c r="R1928">
        <v>9</v>
      </c>
      <c r="S1928">
        <v>16</v>
      </c>
    </row>
    <row r="1929" spans="1:19" x14ac:dyDescent="0.35">
      <c r="A1929">
        <v>6951</v>
      </c>
      <c r="B1929" t="s">
        <v>1803</v>
      </c>
      <c r="C1929" t="s">
        <v>42</v>
      </c>
      <c r="D1929" t="s">
        <v>9165</v>
      </c>
      <c r="E1929" t="e" cm="1">
        <f t="array" ref="E1929">- TIZANIDINE HYDROCHLORIDE</f>
        <v>#NAME?</v>
      </c>
      <c r="F1929" t="s">
        <v>9166</v>
      </c>
      <c r="J1929" t="s">
        <v>9167</v>
      </c>
      <c r="M1929" t="s">
        <v>46</v>
      </c>
      <c r="N1929" t="s">
        <v>1806</v>
      </c>
      <c r="P1929" t="s">
        <v>9168</v>
      </c>
      <c r="Q1929" t="s">
        <v>9169</v>
      </c>
      <c r="R1929">
        <v>9</v>
      </c>
      <c r="S1929">
        <v>16</v>
      </c>
    </row>
    <row r="1930" spans="1:19" x14ac:dyDescent="0.35">
      <c r="A1930">
        <v>66</v>
      </c>
      <c r="B1930" t="s">
        <v>2902</v>
      </c>
      <c r="C1930" t="s">
        <v>42</v>
      </c>
      <c r="D1930" t="s">
        <v>9170</v>
      </c>
      <c r="E1930" t="e" cm="1">
        <f t="array" ref="E1930">- SILDENAFIL CITRATE</f>
        <v>#NAME?</v>
      </c>
      <c r="F1930" s="1">
        <v>68900</v>
      </c>
      <c r="G1930" t="s">
        <v>9171</v>
      </c>
      <c r="H1930" t="s">
        <v>9172</v>
      </c>
      <c r="I1930" t="s">
        <v>5601</v>
      </c>
      <c r="J1930" t="s">
        <v>9173</v>
      </c>
      <c r="M1930" t="s">
        <v>46</v>
      </c>
      <c r="N1930" t="s">
        <v>2519</v>
      </c>
      <c r="O1930" t="s">
        <v>5603</v>
      </c>
      <c r="P1930" t="s">
        <v>9174</v>
      </c>
      <c r="Q1930" t="s">
        <v>9175</v>
      </c>
      <c r="R1930">
        <v>9</v>
      </c>
      <c r="S1930">
        <v>16</v>
      </c>
    </row>
    <row r="1931" spans="1:19" x14ac:dyDescent="0.35">
      <c r="A1931">
        <v>9338</v>
      </c>
      <c r="B1931" t="s">
        <v>9176</v>
      </c>
      <c r="C1931" t="s">
        <v>42</v>
      </c>
      <c r="D1931" t="s">
        <v>9177</v>
      </c>
      <c r="E1931" t="e" cm="1">
        <f t="array" ref="E1931">- CARVEDILOL</f>
        <v>#NAME?</v>
      </c>
      <c r="F1931" t="s">
        <v>9178</v>
      </c>
      <c r="G1931" t="s">
        <v>5970</v>
      </c>
      <c r="H1931" t="s">
        <v>6880</v>
      </c>
      <c r="I1931" t="s">
        <v>6881</v>
      </c>
      <c r="J1931" t="s">
        <v>6487</v>
      </c>
      <c r="K1931" t="s">
        <v>6882</v>
      </c>
      <c r="L1931" t="s">
        <v>6883</v>
      </c>
      <c r="M1931" t="s">
        <v>46</v>
      </c>
      <c r="N1931" t="s">
        <v>6884</v>
      </c>
      <c r="O1931" t="s">
        <v>6885</v>
      </c>
      <c r="P1931" t="s">
        <v>9179</v>
      </c>
      <c r="Q1931" t="s">
        <v>9180</v>
      </c>
      <c r="R1931">
        <v>9</v>
      </c>
      <c r="S1931">
        <v>16</v>
      </c>
    </row>
    <row r="1932" spans="1:19" x14ac:dyDescent="0.35">
      <c r="A1932">
        <v>7481</v>
      </c>
      <c r="B1932" t="s">
        <v>9181</v>
      </c>
      <c r="C1932" t="s">
        <v>20</v>
      </c>
      <c r="D1932" t="s">
        <v>9182</v>
      </c>
      <c r="E1932" t="s">
        <v>9183</v>
      </c>
      <c r="F1932" t="s">
        <v>9184</v>
      </c>
      <c r="I1932" t="s">
        <v>5700</v>
      </c>
      <c r="J1932" t="s">
        <v>7857</v>
      </c>
      <c r="M1932" t="s">
        <v>38</v>
      </c>
      <c r="N1932" t="s">
        <v>9185</v>
      </c>
      <c r="O1932" t="s">
        <v>5703</v>
      </c>
      <c r="P1932" t="s">
        <v>4538</v>
      </c>
      <c r="Q1932" t="s">
        <v>9186</v>
      </c>
      <c r="R1932">
        <v>9</v>
      </c>
      <c r="S1932">
        <v>16</v>
      </c>
    </row>
    <row r="1933" spans="1:19" x14ac:dyDescent="0.35">
      <c r="A1933">
        <v>3752</v>
      </c>
      <c r="B1933" t="s">
        <v>7228</v>
      </c>
      <c r="C1933" t="s">
        <v>42</v>
      </c>
      <c r="D1933" t="s">
        <v>9187</v>
      </c>
      <c r="E1933" t="e" cm="1">
        <f t="array" ref="E1933">- ATTAPULGITE</f>
        <v>#NAME?</v>
      </c>
      <c r="F1933" t="s">
        <v>9188</v>
      </c>
      <c r="G1933" t="s">
        <v>60</v>
      </c>
      <c r="H1933" t="s">
        <v>9189</v>
      </c>
      <c r="I1933" t="s">
        <v>9190</v>
      </c>
      <c r="J1933" t="s">
        <v>381</v>
      </c>
      <c r="K1933" t="s">
        <v>9191</v>
      </c>
      <c r="L1933" t="s">
        <v>9192</v>
      </c>
      <c r="M1933" t="s">
        <v>46</v>
      </c>
      <c r="N1933" t="s">
        <v>1450</v>
      </c>
      <c r="O1933" t="s">
        <v>9193</v>
      </c>
      <c r="P1933" t="s">
        <v>7235</v>
      </c>
      <c r="Q1933" t="s">
        <v>9194</v>
      </c>
      <c r="R1933">
        <v>9</v>
      </c>
      <c r="S1933">
        <v>16</v>
      </c>
    </row>
    <row r="1934" spans="1:19" x14ac:dyDescent="0.35">
      <c r="A1934">
        <v>2281</v>
      </c>
      <c r="B1934" t="s">
        <v>9195</v>
      </c>
      <c r="C1934" t="s">
        <v>42</v>
      </c>
      <c r="D1934" t="s">
        <v>9196</v>
      </c>
      <c r="E1934" t="e" cm="1">
        <f t="array" ref="E1934">- FLUNARIZINE HYDROCHLORIDE</f>
        <v>#NAME?</v>
      </c>
      <c r="F1934" t="s">
        <v>9197</v>
      </c>
      <c r="G1934" t="s">
        <v>3098</v>
      </c>
      <c r="H1934" t="s">
        <v>9198</v>
      </c>
      <c r="I1934" t="s">
        <v>9199</v>
      </c>
      <c r="J1934" t="s">
        <v>9200</v>
      </c>
      <c r="K1934" t="s">
        <v>9201</v>
      </c>
      <c r="L1934" t="s">
        <v>9202</v>
      </c>
      <c r="M1934" t="s">
        <v>46</v>
      </c>
      <c r="N1934" t="s">
        <v>4516</v>
      </c>
      <c r="O1934" t="s">
        <v>9203</v>
      </c>
      <c r="P1934" t="s">
        <v>9204</v>
      </c>
      <c r="Q1934" t="s">
        <v>9205</v>
      </c>
      <c r="R1934">
        <v>9</v>
      </c>
      <c r="S1934">
        <v>16</v>
      </c>
    </row>
    <row r="1935" spans="1:19" x14ac:dyDescent="0.35">
      <c r="A1935">
        <v>9337</v>
      </c>
      <c r="B1935" t="s">
        <v>9176</v>
      </c>
      <c r="C1935" t="s">
        <v>42</v>
      </c>
      <c r="D1935" t="s">
        <v>9177</v>
      </c>
      <c r="E1935" t="e" cm="1">
        <f t="array" ref="E1935">- CARVEDILOL</f>
        <v>#NAME?</v>
      </c>
      <c r="F1935" t="s">
        <v>9178</v>
      </c>
      <c r="G1935" t="s">
        <v>5970</v>
      </c>
      <c r="H1935" t="s">
        <v>6880</v>
      </c>
      <c r="I1935" t="s">
        <v>6881</v>
      </c>
      <c r="J1935" t="s">
        <v>6487</v>
      </c>
      <c r="K1935" t="s">
        <v>6882</v>
      </c>
      <c r="L1935" t="s">
        <v>6883</v>
      </c>
      <c r="M1935" t="s">
        <v>46</v>
      </c>
      <c r="N1935" t="s">
        <v>6884</v>
      </c>
      <c r="O1935" t="s">
        <v>6885</v>
      </c>
      <c r="P1935" t="s">
        <v>9179</v>
      </c>
      <c r="Q1935" t="s">
        <v>9180</v>
      </c>
      <c r="R1935">
        <v>9</v>
      </c>
      <c r="S1935">
        <v>16</v>
      </c>
    </row>
    <row r="1936" spans="1:19" x14ac:dyDescent="0.35">
      <c r="A1936">
        <v>9336</v>
      </c>
      <c r="B1936" t="s">
        <v>9176</v>
      </c>
      <c r="C1936" t="s">
        <v>42</v>
      </c>
      <c r="D1936" t="s">
        <v>9177</v>
      </c>
      <c r="E1936" t="e" cm="1">
        <f t="array" ref="E1936">- CARVEDILOL</f>
        <v>#NAME?</v>
      </c>
      <c r="F1936" t="s">
        <v>9178</v>
      </c>
      <c r="G1936" t="s">
        <v>5970</v>
      </c>
      <c r="H1936" t="s">
        <v>6880</v>
      </c>
      <c r="I1936" t="s">
        <v>6881</v>
      </c>
      <c r="J1936" t="s">
        <v>6487</v>
      </c>
      <c r="K1936" t="s">
        <v>6882</v>
      </c>
      <c r="L1936" t="s">
        <v>6883</v>
      </c>
      <c r="M1936" t="s">
        <v>46</v>
      </c>
      <c r="N1936" t="s">
        <v>6884</v>
      </c>
      <c r="O1936" t="s">
        <v>6885</v>
      </c>
      <c r="P1936" t="s">
        <v>9179</v>
      </c>
      <c r="Q1936" t="s">
        <v>9180</v>
      </c>
      <c r="R1936">
        <v>9</v>
      </c>
      <c r="S1936">
        <v>16</v>
      </c>
    </row>
    <row r="1937" spans="1:19" x14ac:dyDescent="0.35">
      <c r="A1937">
        <v>9335</v>
      </c>
      <c r="B1937" t="s">
        <v>9176</v>
      </c>
      <c r="C1937" t="s">
        <v>42</v>
      </c>
      <c r="D1937" t="s">
        <v>9177</v>
      </c>
      <c r="E1937" t="e" cm="1">
        <f t="array" ref="E1937">- CARVEDILOL</f>
        <v>#NAME?</v>
      </c>
      <c r="F1937" t="s">
        <v>9178</v>
      </c>
      <c r="G1937" t="s">
        <v>5970</v>
      </c>
      <c r="H1937" t="s">
        <v>6880</v>
      </c>
      <c r="I1937" t="s">
        <v>6881</v>
      </c>
      <c r="J1937" t="s">
        <v>6487</v>
      </c>
      <c r="K1937" t="s">
        <v>6882</v>
      </c>
      <c r="L1937" t="s">
        <v>6883</v>
      </c>
      <c r="M1937" t="s">
        <v>46</v>
      </c>
      <c r="N1937" t="s">
        <v>6884</v>
      </c>
      <c r="O1937" t="s">
        <v>6885</v>
      </c>
      <c r="P1937" t="s">
        <v>9179</v>
      </c>
      <c r="Q1937" t="s">
        <v>9180</v>
      </c>
      <c r="R1937">
        <v>9</v>
      </c>
      <c r="S1937">
        <v>16</v>
      </c>
    </row>
    <row r="1938" spans="1:19" x14ac:dyDescent="0.35">
      <c r="A1938">
        <v>191</v>
      </c>
      <c r="B1938" t="s">
        <v>2902</v>
      </c>
      <c r="C1938" t="s">
        <v>42</v>
      </c>
      <c r="D1938" t="s">
        <v>9206</v>
      </c>
      <c r="E1938" t="e" cm="1">
        <f t="array" ref="E1938">- SILDENAFIL CITRATE</f>
        <v>#NAME?</v>
      </c>
      <c r="F1938" t="s">
        <v>9207</v>
      </c>
      <c r="J1938" t="s">
        <v>9011</v>
      </c>
      <c r="M1938" t="s">
        <v>46</v>
      </c>
      <c r="N1938" t="s">
        <v>2519</v>
      </c>
      <c r="P1938" t="s">
        <v>9208</v>
      </c>
      <c r="Q1938" t="s">
        <v>9209</v>
      </c>
      <c r="R1938">
        <v>9</v>
      </c>
      <c r="S1938">
        <v>16</v>
      </c>
    </row>
    <row r="1939" spans="1:19" x14ac:dyDescent="0.35">
      <c r="A1939">
        <v>3764</v>
      </c>
      <c r="B1939" t="s">
        <v>9210</v>
      </c>
      <c r="C1939" t="s">
        <v>42</v>
      </c>
      <c r="D1939" t="s">
        <v>9211</v>
      </c>
      <c r="E1939" t="e" cm="1">
        <f t="array" ref="E1939">- ATTAPULGITE</f>
        <v>#NAME?</v>
      </c>
      <c r="F1939" s="1">
        <v>4100</v>
      </c>
      <c r="G1939" t="s">
        <v>9212</v>
      </c>
      <c r="H1939" t="s">
        <v>9213</v>
      </c>
      <c r="I1939" t="s">
        <v>9214</v>
      </c>
      <c r="J1939" t="s">
        <v>9215</v>
      </c>
      <c r="M1939" t="s">
        <v>46</v>
      </c>
      <c r="N1939" t="s">
        <v>1450</v>
      </c>
      <c r="O1939" t="s">
        <v>8765</v>
      </c>
      <c r="P1939" t="s">
        <v>9216</v>
      </c>
      <c r="Q1939" t="s">
        <v>9217</v>
      </c>
      <c r="R1939">
        <v>9</v>
      </c>
      <c r="S1939">
        <v>16</v>
      </c>
    </row>
    <row r="1940" spans="1:19" x14ac:dyDescent="0.35">
      <c r="A1940">
        <v>4054</v>
      </c>
      <c r="B1940" t="s">
        <v>9218</v>
      </c>
      <c r="C1940" t="s">
        <v>42</v>
      </c>
      <c r="D1940" t="s">
        <v>9219</v>
      </c>
      <c r="E1940" t="e" cm="1">
        <f t="array" ref="E1940">- LORATADINE</f>
        <v>#NAME?</v>
      </c>
      <c r="F1940" t="s">
        <v>9220</v>
      </c>
      <c r="G1940" t="s">
        <v>6869</v>
      </c>
      <c r="H1940" t="s">
        <v>9221</v>
      </c>
      <c r="I1940" t="s">
        <v>9222</v>
      </c>
      <c r="J1940" t="s">
        <v>532</v>
      </c>
      <c r="K1940" t="s">
        <v>9223</v>
      </c>
      <c r="L1940" t="s">
        <v>9224</v>
      </c>
      <c r="M1940" t="s">
        <v>291</v>
      </c>
      <c r="N1940" t="s">
        <v>9225</v>
      </c>
      <c r="O1940" t="s">
        <v>9226</v>
      </c>
      <c r="P1940" t="s">
        <v>9225</v>
      </c>
      <c r="Q1940" t="s">
        <v>9227</v>
      </c>
      <c r="R1940">
        <v>9</v>
      </c>
      <c r="S1940">
        <v>16</v>
      </c>
    </row>
    <row r="1941" spans="1:19" x14ac:dyDescent="0.35">
      <c r="A1941">
        <v>8848</v>
      </c>
      <c r="B1941" t="s">
        <v>9228</v>
      </c>
      <c r="C1941" t="s">
        <v>20</v>
      </c>
      <c r="D1941" t="s">
        <v>9229</v>
      </c>
      <c r="E1941" t="s">
        <v>9230</v>
      </c>
      <c r="F1941" t="s">
        <v>9231</v>
      </c>
      <c r="G1941" t="s">
        <v>60</v>
      </c>
      <c r="H1941" t="s">
        <v>9232</v>
      </c>
      <c r="I1941" t="s">
        <v>9233</v>
      </c>
      <c r="J1941" t="s">
        <v>4547</v>
      </c>
      <c r="L1941" t="s">
        <v>9234</v>
      </c>
      <c r="M1941" t="s">
        <v>38</v>
      </c>
      <c r="N1941" t="s">
        <v>9235</v>
      </c>
      <c r="O1941" t="s">
        <v>9236</v>
      </c>
      <c r="P1941" t="s">
        <v>9237</v>
      </c>
      <c r="Q1941" t="s">
        <v>9238</v>
      </c>
      <c r="R1941">
        <v>9</v>
      </c>
      <c r="S1941">
        <v>16</v>
      </c>
    </row>
    <row r="1942" spans="1:19" x14ac:dyDescent="0.35">
      <c r="A1942">
        <v>8849</v>
      </c>
      <c r="B1942" t="s">
        <v>9239</v>
      </c>
      <c r="C1942" t="s">
        <v>20</v>
      </c>
      <c r="D1942" t="s">
        <v>9240</v>
      </c>
      <c r="E1942" t="s">
        <v>9241</v>
      </c>
      <c r="F1942" t="s">
        <v>9242</v>
      </c>
      <c r="G1942" t="s">
        <v>2241</v>
      </c>
      <c r="H1942" t="s">
        <v>9243</v>
      </c>
      <c r="I1942" t="s">
        <v>9244</v>
      </c>
      <c r="J1942" t="s">
        <v>9245</v>
      </c>
      <c r="L1942" t="s">
        <v>9246</v>
      </c>
      <c r="M1942" t="s">
        <v>818</v>
      </c>
      <c r="N1942" t="s">
        <v>9247</v>
      </c>
      <c r="O1942" t="s">
        <v>9248</v>
      </c>
      <c r="P1942" t="s">
        <v>9249</v>
      </c>
      <c r="Q1942" t="s">
        <v>9250</v>
      </c>
      <c r="R1942">
        <v>9</v>
      </c>
      <c r="S1942">
        <v>16</v>
      </c>
    </row>
    <row r="1943" spans="1:19" x14ac:dyDescent="0.35">
      <c r="A1943">
        <v>2282</v>
      </c>
      <c r="B1943" t="s">
        <v>9251</v>
      </c>
      <c r="C1943" t="s">
        <v>42</v>
      </c>
      <c r="D1943" t="s">
        <v>9252</v>
      </c>
      <c r="E1943" t="e" cm="1">
        <f t="array" ref="E1943">- FLUNARIZINE HYDROCHLORIDE</f>
        <v>#NAME?</v>
      </c>
      <c r="F1943" t="s">
        <v>9253</v>
      </c>
      <c r="G1943" t="s">
        <v>5839</v>
      </c>
      <c r="H1943" t="s">
        <v>9254</v>
      </c>
      <c r="I1943" t="s">
        <v>9255</v>
      </c>
      <c r="J1943" t="s">
        <v>532</v>
      </c>
      <c r="K1943" t="s">
        <v>9256</v>
      </c>
      <c r="L1943" t="s">
        <v>9257</v>
      </c>
      <c r="M1943" t="s">
        <v>46</v>
      </c>
      <c r="N1943" t="s">
        <v>4516</v>
      </c>
      <c r="O1943" t="s">
        <v>9258</v>
      </c>
      <c r="P1943" t="s">
        <v>9204</v>
      </c>
      <c r="Q1943" t="s">
        <v>9259</v>
      </c>
      <c r="R1943">
        <v>9</v>
      </c>
      <c r="S1943">
        <v>16</v>
      </c>
    </row>
    <row r="1944" spans="1:19" x14ac:dyDescent="0.35">
      <c r="A1944">
        <v>5837</v>
      </c>
      <c r="B1944" t="s">
        <v>8882</v>
      </c>
      <c r="C1944" t="s">
        <v>42</v>
      </c>
      <c r="D1944" t="s">
        <v>8883</v>
      </c>
      <c r="E1944" t="e" cm="1">
        <f t="array" ref="E1944">- POLICRESULEN</f>
        <v>#NAME?</v>
      </c>
      <c r="F1944" t="s">
        <v>8884</v>
      </c>
      <c r="G1944" t="s">
        <v>8885</v>
      </c>
      <c r="H1944" t="s">
        <v>8886</v>
      </c>
      <c r="I1944" t="s">
        <v>8887</v>
      </c>
      <c r="J1944" t="s">
        <v>8888</v>
      </c>
      <c r="K1944" t="s">
        <v>8889</v>
      </c>
      <c r="L1944" t="s">
        <v>8890</v>
      </c>
      <c r="M1944" t="s">
        <v>8891</v>
      </c>
      <c r="N1944" t="s">
        <v>2590</v>
      </c>
      <c r="O1944" t="s">
        <v>8892</v>
      </c>
      <c r="P1944" t="s">
        <v>8893</v>
      </c>
      <c r="Q1944" t="s">
        <v>8894</v>
      </c>
      <c r="R1944">
        <v>9</v>
      </c>
      <c r="S1944">
        <v>16</v>
      </c>
    </row>
    <row r="1945" spans="1:19" x14ac:dyDescent="0.35">
      <c r="A1945">
        <v>9348</v>
      </c>
      <c r="B1945" t="s">
        <v>6301</v>
      </c>
      <c r="C1945" t="s">
        <v>42</v>
      </c>
      <c r="D1945" t="s">
        <v>6840</v>
      </c>
      <c r="E1945" t="s">
        <v>6303</v>
      </c>
      <c r="F1945" t="s">
        <v>6841</v>
      </c>
      <c r="J1945" t="s">
        <v>6842</v>
      </c>
      <c r="M1945" t="s">
        <v>46</v>
      </c>
      <c r="N1945" t="s">
        <v>6304</v>
      </c>
      <c r="P1945" t="s">
        <v>6843</v>
      </c>
      <c r="Q1945" t="s">
        <v>9260</v>
      </c>
      <c r="R1945">
        <v>9</v>
      </c>
      <c r="S1945">
        <v>16</v>
      </c>
    </row>
    <row r="1946" spans="1:19" x14ac:dyDescent="0.35">
      <c r="A1946">
        <v>3751</v>
      </c>
      <c r="B1946" t="s">
        <v>7228</v>
      </c>
      <c r="C1946" t="s">
        <v>42</v>
      </c>
      <c r="D1946" t="s">
        <v>9187</v>
      </c>
      <c r="E1946" t="e" cm="1">
        <f t="array" ref="E1946">- ATTAPULGITE</f>
        <v>#NAME?</v>
      </c>
      <c r="F1946" t="s">
        <v>9188</v>
      </c>
      <c r="G1946" t="s">
        <v>60</v>
      </c>
      <c r="H1946" t="s">
        <v>9189</v>
      </c>
      <c r="I1946" t="s">
        <v>9190</v>
      </c>
      <c r="J1946" t="s">
        <v>381</v>
      </c>
      <c r="K1946" t="s">
        <v>9191</v>
      </c>
      <c r="L1946" t="s">
        <v>9192</v>
      </c>
      <c r="M1946" t="s">
        <v>46</v>
      </c>
      <c r="N1946" t="s">
        <v>1450</v>
      </c>
      <c r="O1946" t="s">
        <v>9193</v>
      </c>
      <c r="P1946" t="s">
        <v>7235</v>
      </c>
      <c r="Q1946" t="s">
        <v>9194</v>
      </c>
      <c r="R1946">
        <v>9</v>
      </c>
      <c r="S1946">
        <v>16</v>
      </c>
    </row>
    <row r="1947" spans="1:19" x14ac:dyDescent="0.35">
      <c r="A1947">
        <v>6915</v>
      </c>
      <c r="B1947" t="s">
        <v>1803</v>
      </c>
      <c r="C1947" t="s">
        <v>42</v>
      </c>
      <c r="D1947" t="s">
        <v>9261</v>
      </c>
      <c r="E1947" t="e" cm="1">
        <f t="array" ref="E1947">- TIZANIDINE HYDROCHLORIDE</f>
        <v>#NAME?</v>
      </c>
      <c r="F1947" s="1">
        <v>17800</v>
      </c>
      <c r="G1947" t="s">
        <v>8185</v>
      </c>
      <c r="H1947" t="s">
        <v>3854</v>
      </c>
      <c r="I1947" t="s">
        <v>8186</v>
      </c>
      <c r="J1947" t="s">
        <v>8479</v>
      </c>
      <c r="L1947" t="s">
        <v>8188</v>
      </c>
      <c r="M1947" t="s">
        <v>46</v>
      </c>
      <c r="N1947" t="s">
        <v>1806</v>
      </c>
      <c r="O1947" t="s">
        <v>8189</v>
      </c>
      <c r="P1947" t="s">
        <v>9150</v>
      </c>
      <c r="Q1947" t="s">
        <v>9151</v>
      </c>
      <c r="R1947">
        <v>9</v>
      </c>
      <c r="S1947">
        <v>16</v>
      </c>
    </row>
    <row r="1948" spans="1:19" x14ac:dyDescent="0.35">
      <c r="A1948">
        <v>62</v>
      </c>
      <c r="B1948" t="s">
        <v>2902</v>
      </c>
      <c r="C1948" t="s">
        <v>42</v>
      </c>
      <c r="D1948" t="s">
        <v>9262</v>
      </c>
      <c r="E1948" t="e" cm="1">
        <f t="array" ref="E1948">- SILDENAFIL CITRATE</f>
        <v>#NAME?</v>
      </c>
      <c r="F1948" t="s">
        <v>8945</v>
      </c>
      <c r="G1948" t="s">
        <v>8185</v>
      </c>
      <c r="H1948" t="s">
        <v>3854</v>
      </c>
      <c r="I1948" t="s">
        <v>8186</v>
      </c>
      <c r="J1948" t="s">
        <v>8479</v>
      </c>
      <c r="L1948" t="s">
        <v>8188</v>
      </c>
      <c r="M1948" t="s">
        <v>46</v>
      </c>
      <c r="N1948" t="s">
        <v>2519</v>
      </c>
      <c r="O1948" t="s">
        <v>8189</v>
      </c>
      <c r="P1948" t="s">
        <v>9263</v>
      </c>
      <c r="Q1948" t="s">
        <v>9264</v>
      </c>
      <c r="R1948">
        <v>9</v>
      </c>
      <c r="S1948">
        <v>16</v>
      </c>
    </row>
    <row r="1949" spans="1:19" x14ac:dyDescent="0.35">
      <c r="A1949">
        <v>5888</v>
      </c>
      <c r="B1949" t="s">
        <v>9265</v>
      </c>
      <c r="C1949" t="s">
        <v>42</v>
      </c>
      <c r="D1949" t="s">
        <v>9266</v>
      </c>
      <c r="E1949" t="e" cm="1">
        <f t="array" ref="E1949">- LINCOMYCIN HYDROCHLORIDE</f>
        <v>#NAME?</v>
      </c>
      <c r="F1949" t="s">
        <v>9267</v>
      </c>
      <c r="G1949" t="s">
        <v>8205</v>
      </c>
      <c r="H1949" t="s">
        <v>9268</v>
      </c>
      <c r="I1949" t="s">
        <v>9269</v>
      </c>
      <c r="J1949" t="s">
        <v>334</v>
      </c>
      <c r="K1949" t="s">
        <v>9270</v>
      </c>
      <c r="L1949" t="s">
        <v>9271</v>
      </c>
      <c r="M1949" t="s">
        <v>271</v>
      </c>
      <c r="N1949" t="s">
        <v>9272</v>
      </c>
      <c r="O1949" t="s">
        <v>9273</v>
      </c>
      <c r="P1949" t="s">
        <v>9274</v>
      </c>
      <c r="Q1949" t="s">
        <v>9275</v>
      </c>
      <c r="R1949">
        <v>9</v>
      </c>
      <c r="S1949">
        <v>16</v>
      </c>
    </row>
    <row r="1950" spans="1:19" x14ac:dyDescent="0.35">
      <c r="A1950">
        <v>6918</v>
      </c>
      <c r="B1950" t="s">
        <v>1803</v>
      </c>
      <c r="C1950" t="s">
        <v>42</v>
      </c>
      <c r="D1950" t="s">
        <v>9276</v>
      </c>
      <c r="E1950" t="e" cm="1">
        <f t="array" ref="E1950">- TIZANIDINE HYDROCHLORIDE</f>
        <v>#NAME?</v>
      </c>
      <c r="F1950" s="1">
        <v>61700</v>
      </c>
      <c r="G1950" t="s">
        <v>8185</v>
      </c>
      <c r="H1950" t="s">
        <v>3854</v>
      </c>
      <c r="I1950" t="s">
        <v>8186</v>
      </c>
      <c r="J1950" t="s">
        <v>8980</v>
      </c>
      <c r="L1950" t="s">
        <v>8188</v>
      </c>
      <c r="M1950" t="s">
        <v>46</v>
      </c>
      <c r="N1950" t="s">
        <v>1806</v>
      </c>
      <c r="O1950" t="s">
        <v>8189</v>
      </c>
      <c r="P1950" t="s">
        <v>9000</v>
      </c>
      <c r="Q1950" t="s">
        <v>9001</v>
      </c>
      <c r="R1950">
        <v>9</v>
      </c>
      <c r="S1950">
        <v>16</v>
      </c>
    </row>
    <row r="1951" spans="1:19" x14ac:dyDescent="0.35">
      <c r="A1951">
        <v>6924</v>
      </c>
      <c r="B1951" t="s">
        <v>1803</v>
      </c>
      <c r="C1951" t="s">
        <v>42</v>
      </c>
      <c r="D1951" t="s">
        <v>9277</v>
      </c>
      <c r="E1951" t="e" cm="1">
        <f t="array" ref="E1951">- TIZANIDINE HYDROCHLORIDE</f>
        <v>#NAME?</v>
      </c>
      <c r="F1951" t="s">
        <v>9278</v>
      </c>
      <c r="G1951" t="s">
        <v>8185</v>
      </c>
      <c r="H1951" t="s">
        <v>3854</v>
      </c>
      <c r="I1951" t="s">
        <v>8186</v>
      </c>
      <c r="J1951" t="s">
        <v>8980</v>
      </c>
      <c r="L1951" t="s">
        <v>8188</v>
      </c>
      <c r="M1951" t="s">
        <v>46</v>
      </c>
      <c r="N1951" t="s">
        <v>1806</v>
      </c>
      <c r="O1951" t="s">
        <v>8189</v>
      </c>
      <c r="P1951" t="s">
        <v>9279</v>
      </c>
      <c r="Q1951" t="s">
        <v>9280</v>
      </c>
      <c r="R1951">
        <v>9</v>
      </c>
      <c r="S1951">
        <v>16</v>
      </c>
    </row>
    <row r="1952" spans="1:19" x14ac:dyDescent="0.35">
      <c r="A1952">
        <v>6925</v>
      </c>
      <c r="B1952" t="s">
        <v>1803</v>
      </c>
      <c r="C1952" t="s">
        <v>42</v>
      </c>
      <c r="D1952" t="s">
        <v>9281</v>
      </c>
      <c r="E1952" t="e" cm="1">
        <f t="array" ref="E1952">- TIZANIDINE HYDROCHLORIDE</f>
        <v>#NAME?</v>
      </c>
      <c r="F1952" t="s">
        <v>9282</v>
      </c>
      <c r="G1952" t="s">
        <v>8185</v>
      </c>
      <c r="H1952" t="s">
        <v>3854</v>
      </c>
      <c r="I1952" t="s">
        <v>8186</v>
      </c>
      <c r="J1952" t="s">
        <v>8479</v>
      </c>
      <c r="L1952" t="s">
        <v>8188</v>
      </c>
      <c r="M1952" t="s">
        <v>46</v>
      </c>
      <c r="N1952" t="s">
        <v>1806</v>
      </c>
      <c r="O1952" t="s">
        <v>8189</v>
      </c>
      <c r="P1952" t="s">
        <v>9279</v>
      </c>
      <c r="Q1952" t="s">
        <v>9280</v>
      </c>
      <c r="R1952">
        <v>9</v>
      </c>
      <c r="S1952">
        <v>16</v>
      </c>
    </row>
    <row r="1953" spans="1:19" x14ac:dyDescent="0.35">
      <c r="A1953">
        <v>7785</v>
      </c>
      <c r="B1953" t="s">
        <v>9283</v>
      </c>
      <c r="C1953" t="s">
        <v>20</v>
      </c>
      <c r="D1953" t="s">
        <v>9284</v>
      </c>
      <c r="E1953" t="s">
        <v>9285</v>
      </c>
      <c r="F1953" t="s">
        <v>4188</v>
      </c>
      <c r="G1953" t="s">
        <v>2241</v>
      </c>
      <c r="H1953" t="s">
        <v>9286</v>
      </c>
      <c r="I1953" t="s">
        <v>3392</v>
      </c>
      <c r="J1953" t="s">
        <v>9287</v>
      </c>
      <c r="M1953" t="s">
        <v>38</v>
      </c>
      <c r="N1953" t="s">
        <v>9285</v>
      </c>
      <c r="O1953" t="s">
        <v>3396</v>
      </c>
      <c r="P1953" t="s">
        <v>9288</v>
      </c>
      <c r="Q1953" t="s">
        <v>9289</v>
      </c>
      <c r="R1953">
        <v>9</v>
      </c>
      <c r="S1953">
        <v>16</v>
      </c>
    </row>
    <row r="1954" spans="1:19" x14ac:dyDescent="0.35">
      <c r="A1954">
        <v>2247</v>
      </c>
      <c r="B1954" t="s">
        <v>9290</v>
      </c>
      <c r="C1954" t="s">
        <v>42</v>
      </c>
      <c r="D1954" t="s">
        <v>9291</v>
      </c>
      <c r="E1954" t="e" cm="1">
        <f t="array" ref="E1954">- CAFFEINE</f>
        <v>#NAME?</v>
      </c>
      <c r="F1954" t="s">
        <v>9292</v>
      </c>
      <c r="G1954" t="s">
        <v>2453</v>
      </c>
      <c r="H1954" t="s">
        <v>9293</v>
      </c>
      <c r="I1954" t="s">
        <v>9294</v>
      </c>
      <c r="J1954" t="s">
        <v>6941</v>
      </c>
      <c r="K1954" t="s">
        <v>9295</v>
      </c>
      <c r="L1954" t="s">
        <v>9296</v>
      </c>
      <c r="M1954" t="s">
        <v>291</v>
      </c>
      <c r="N1954" t="s">
        <v>2359</v>
      </c>
      <c r="O1954" t="s">
        <v>9297</v>
      </c>
      <c r="P1954" t="s">
        <v>9298</v>
      </c>
      <c r="Q1954" t="s">
        <v>9299</v>
      </c>
      <c r="R1954">
        <v>9</v>
      </c>
      <c r="S1954">
        <v>16</v>
      </c>
    </row>
    <row r="1955" spans="1:19" x14ac:dyDescent="0.35">
      <c r="A1955">
        <v>6939</v>
      </c>
      <c r="B1955" t="s">
        <v>1803</v>
      </c>
      <c r="C1955" t="s">
        <v>42</v>
      </c>
      <c r="D1955" t="s">
        <v>9300</v>
      </c>
      <c r="E1955" t="e" cm="1">
        <f t="array" ref="E1955">- TIZANIDINE HYDROCHLORIDE</f>
        <v>#NAME?</v>
      </c>
      <c r="F1955" t="s">
        <v>9301</v>
      </c>
      <c r="J1955" t="s">
        <v>9302</v>
      </c>
      <c r="M1955" t="s">
        <v>46</v>
      </c>
      <c r="N1955" t="s">
        <v>1806</v>
      </c>
      <c r="P1955" t="s">
        <v>9303</v>
      </c>
      <c r="Q1955" t="s">
        <v>9304</v>
      </c>
      <c r="R1955">
        <v>9</v>
      </c>
      <c r="S1955">
        <v>16</v>
      </c>
    </row>
    <row r="1956" spans="1:19" x14ac:dyDescent="0.35">
      <c r="A1956">
        <v>2248</v>
      </c>
      <c r="B1956" t="s">
        <v>9290</v>
      </c>
      <c r="C1956" t="s">
        <v>42</v>
      </c>
      <c r="D1956" t="s">
        <v>9291</v>
      </c>
      <c r="E1956" t="e" cm="1">
        <f t="array" ref="E1956">- CAFFEINE</f>
        <v>#NAME?</v>
      </c>
      <c r="F1956" t="s">
        <v>9292</v>
      </c>
      <c r="G1956" t="s">
        <v>2453</v>
      </c>
      <c r="H1956" t="s">
        <v>9293</v>
      </c>
      <c r="I1956" t="s">
        <v>9294</v>
      </c>
      <c r="J1956" t="s">
        <v>6941</v>
      </c>
      <c r="K1956" t="s">
        <v>9295</v>
      </c>
      <c r="L1956" t="s">
        <v>9296</v>
      </c>
      <c r="M1956" t="s">
        <v>291</v>
      </c>
      <c r="N1956" t="s">
        <v>2359</v>
      </c>
      <c r="O1956" t="s">
        <v>9297</v>
      </c>
      <c r="P1956" t="s">
        <v>9298</v>
      </c>
      <c r="Q1956" t="s">
        <v>9299</v>
      </c>
      <c r="R1956">
        <v>9</v>
      </c>
      <c r="S1956">
        <v>16</v>
      </c>
    </row>
    <row r="1957" spans="1:19" x14ac:dyDescent="0.35">
      <c r="A1957">
        <v>2250</v>
      </c>
      <c r="B1957" t="s">
        <v>9290</v>
      </c>
      <c r="C1957" t="s">
        <v>42</v>
      </c>
      <c r="D1957" t="s">
        <v>9291</v>
      </c>
      <c r="E1957" t="e" cm="1">
        <f t="array" ref="E1957">- CAFFEINE</f>
        <v>#NAME?</v>
      </c>
      <c r="F1957" t="s">
        <v>9292</v>
      </c>
      <c r="G1957" t="s">
        <v>2453</v>
      </c>
      <c r="H1957" t="s">
        <v>9293</v>
      </c>
      <c r="I1957" t="s">
        <v>9294</v>
      </c>
      <c r="J1957" t="s">
        <v>6941</v>
      </c>
      <c r="K1957" t="s">
        <v>9295</v>
      </c>
      <c r="L1957" t="s">
        <v>9296</v>
      </c>
      <c r="M1957" t="s">
        <v>291</v>
      </c>
      <c r="N1957" t="s">
        <v>2359</v>
      </c>
      <c r="O1957" t="s">
        <v>9297</v>
      </c>
      <c r="P1957" t="s">
        <v>9298</v>
      </c>
      <c r="Q1957" t="s">
        <v>9299</v>
      </c>
      <c r="R1957">
        <v>9</v>
      </c>
      <c r="S1957">
        <v>16</v>
      </c>
    </row>
    <row r="1958" spans="1:19" x14ac:dyDescent="0.35">
      <c r="A1958">
        <v>7786</v>
      </c>
      <c r="B1958" t="s">
        <v>9283</v>
      </c>
      <c r="C1958" t="s">
        <v>20</v>
      </c>
      <c r="D1958" t="s">
        <v>9284</v>
      </c>
      <c r="E1958" t="s">
        <v>9285</v>
      </c>
      <c r="F1958" t="s">
        <v>4188</v>
      </c>
      <c r="G1958" t="s">
        <v>2241</v>
      </c>
      <c r="H1958" t="s">
        <v>9286</v>
      </c>
      <c r="I1958" t="s">
        <v>3392</v>
      </c>
      <c r="J1958" t="s">
        <v>9287</v>
      </c>
      <c r="M1958" t="s">
        <v>38</v>
      </c>
      <c r="N1958" t="s">
        <v>9285</v>
      </c>
      <c r="O1958" t="s">
        <v>3396</v>
      </c>
      <c r="P1958" t="s">
        <v>9288</v>
      </c>
      <c r="Q1958" t="s">
        <v>9289</v>
      </c>
      <c r="R1958">
        <v>9</v>
      </c>
      <c r="S1958">
        <v>16</v>
      </c>
    </row>
    <row r="1959" spans="1:19" x14ac:dyDescent="0.35">
      <c r="A1959">
        <v>6931</v>
      </c>
      <c r="B1959" t="s">
        <v>1803</v>
      </c>
      <c r="C1959" t="s">
        <v>42</v>
      </c>
      <c r="D1959" t="s">
        <v>9165</v>
      </c>
      <c r="E1959" t="e" cm="1">
        <f t="array" ref="E1959">- TIZANIDINE HYDROCHLORIDE</f>
        <v>#NAME?</v>
      </c>
      <c r="F1959" t="s">
        <v>9166</v>
      </c>
      <c r="J1959" t="s">
        <v>9167</v>
      </c>
      <c r="M1959" t="s">
        <v>46</v>
      </c>
      <c r="N1959" t="s">
        <v>1806</v>
      </c>
      <c r="P1959" t="s">
        <v>9168</v>
      </c>
      <c r="Q1959" t="s">
        <v>9169</v>
      </c>
      <c r="R1959">
        <v>9</v>
      </c>
      <c r="S1959">
        <v>16</v>
      </c>
    </row>
    <row r="1960" spans="1:19" x14ac:dyDescent="0.35">
      <c r="A1960">
        <v>4609</v>
      </c>
      <c r="B1960" t="s">
        <v>9305</v>
      </c>
      <c r="C1960" t="s">
        <v>42</v>
      </c>
      <c r="D1960" t="s">
        <v>9306</v>
      </c>
      <c r="E1960" t="e" cm="1">
        <f t="array" ref="E1960">- HYPROMELLOSE</f>
        <v>#NAME?</v>
      </c>
      <c r="F1960" t="s">
        <v>9307</v>
      </c>
      <c r="G1960" t="s">
        <v>4028</v>
      </c>
      <c r="H1960" t="s">
        <v>9308</v>
      </c>
      <c r="I1960" t="s">
        <v>9309</v>
      </c>
      <c r="J1960" t="s">
        <v>9310</v>
      </c>
      <c r="L1960" t="s">
        <v>9311</v>
      </c>
      <c r="M1960" t="s">
        <v>824</v>
      </c>
      <c r="N1960" t="s">
        <v>6336</v>
      </c>
      <c r="O1960" t="s">
        <v>9312</v>
      </c>
      <c r="P1960" t="s">
        <v>9313</v>
      </c>
      <c r="Q1960" t="s">
        <v>9314</v>
      </c>
      <c r="R1960">
        <v>9</v>
      </c>
      <c r="S1960">
        <v>16</v>
      </c>
    </row>
    <row r="1961" spans="1:19" x14ac:dyDescent="0.35">
      <c r="A1961">
        <v>9359</v>
      </c>
      <c r="B1961" t="s">
        <v>6301</v>
      </c>
      <c r="C1961" t="s">
        <v>42</v>
      </c>
      <c r="D1961" t="s">
        <v>9315</v>
      </c>
      <c r="E1961" t="s">
        <v>6303</v>
      </c>
      <c r="F1961" t="s">
        <v>9316</v>
      </c>
      <c r="J1961" t="s">
        <v>8652</v>
      </c>
      <c r="M1961" t="s">
        <v>46</v>
      </c>
      <c r="N1961" t="s">
        <v>6304</v>
      </c>
      <c r="P1961" t="s">
        <v>9317</v>
      </c>
      <c r="Q1961" t="s">
        <v>9318</v>
      </c>
      <c r="R1961">
        <v>9</v>
      </c>
      <c r="S1961">
        <v>16</v>
      </c>
    </row>
    <row r="1962" spans="1:19" x14ac:dyDescent="0.35">
      <c r="A1962">
        <v>9354</v>
      </c>
      <c r="B1962" t="s">
        <v>6301</v>
      </c>
      <c r="C1962" t="s">
        <v>42</v>
      </c>
      <c r="D1962" t="s">
        <v>9319</v>
      </c>
      <c r="E1962" t="s">
        <v>6303</v>
      </c>
      <c r="F1962" t="s">
        <v>9320</v>
      </c>
      <c r="J1962" t="s">
        <v>5362</v>
      </c>
      <c r="M1962" t="s">
        <v>46</v>
      </c>
      <c r="N1962" t="s">
        <v>6304</v>
      </c>
      <c r="P1962" t="s">
        <v>9321</v>
      </c>
      <c r="Q1962" t="s">
        <v>9322</v>
      </c>
      <c r="R1962">
        <v>9</v>
      </c>
      <c r="S1962">
        <v>16</v>
      </c>
    </row>
    <row r="1963" spans="1:19" x14ac:dyDescent="0.35">
      <c r="A1963">
        <v>4608</v>
      </c>
      <c r="B1963" t="s">
        <v>9305</v>
      </c>
      <c r="C1963" t="s">
        <v>42</v>
      </c>
      <c r="D1963" t="s">
        <v>9306</v>
      </c>
      <c r="E1963" t="e" cm="1">
        <f t="array" ref="E1963">- HYPROMELLOSE</f>
        <v>#NAME?</v>
      </c>
      <c r="F1963" t="s">
        <v>9307</v>
      </c>
      <c r="G1963" t="s">
        <v>4028</v>
      </c>
      <c r="H1963" t="s">
        <v>9308</v>
      </c>
      <c r="I1963" t="s">
        <v>9309</v>
      </c>
      <c r="J1963" t="s">
        <v>9310</v>
      </c>
      <c r="L1963" t="s">
        <v>9311</v>
      </c>
      <c r="M1963" t="s">
        <v>824</v>
      </c>
      <c r="N1963" t="s">
        <v>6336</v>
      </c>
      <c r="O1963" t="s">
        <v>9312</v>
      </c>
      <c r="P1963" t="s">
        <v>9313</v>
      </c>
      <c r="Q1963" t="s">
        <v>9314</v>
      </c>
      <c r="R1963">
        <v>9</v>
      </c>
      <c r="S1963">
        <v>16</v>
      </c>
    </row>
    <row r="1964" spans="1:19" x14ac:dyDescent="0.35">
      <c r="A1964">
        <v>4345</v>
      </c>
      <c r="B1964" t="s">
        <v>9323</v>
      </c>
      <c r="C1964" t="s">
        <v>42</v>
      </c>
      <c r="D1964" t="s">
        <v>9324</v>
      </c>
      <c r="E1964" t="e" cm="1">
        <f t="array" ref="E1964">- DOCUSATE SODIUM</f>
        <v>#NAME?</v>
      </c>
      <c r="F1964" t="s">
        <v>9325</v>
      </c>
      <c r="G1964" t="s">
        <v>9326</v>
      </c>
      <c r="H1964" t="s">
        <v>9327</v>
      </c>
      <c r="I1964" t="s">
        <v>9328</v>
      </c>
      <c r="J1964" t="s">
        <v>1647</v>
      </c>
      <c r="K1964" t="s">
        <v>9329</v>
      </c>
      <c r="L1964" t="s">
        <v>9330</v>
      </c>
      <c r="M1964" t="s">
        <v>824</v>
      </c>
      <c r="N1964" t="s">
        <v>9331</v>
      </c>
      <c r="O1964" t="s">
        <v>9332</v>
      </c>
      <c r="P1964" t="s">
        <v>9333</v>
      </c>
      <c r="Q1964" t="s">
        <v>9334</v>
      </c>
      <c r="R1964">
        <v>9</v>
      </c>
      <c r="S1964">
        <v>16</v>
      </c>
    </row>
    <row r="1965" spans="1:19" x14ac:dyDescent="0.35">
      <c r="A1965">
        <v>2249</v>
      </c>
      <c r="B1965" t="s">
        <v>9290</v>
      </c>
      <c r="C1965" t="s">
        <v>42</v>
      </c>
      <c r="D1965" t="s">
        <v>9291</v>
      </c>
      <c r="E1965" t="e" cm="1">
        <f t="array" ref="E1965">- CAFFEINE</f>
        <v>#NAME?</v>
      </c>
      <c r="F1965" t="s">
        <v>9292</v>
      </c>
      <c r="G1965" t="s">
        <v>2453</v>
      </c>
      <c r="H1965" t="s">
        <v>9293</v>
      </c>
      <c r="I1965" t="s">
        <v>9294</v>
      </c>
      <c r="J1965" t="s">
        <v>6941</v>
      </c>
      <c r="K1965" t="s">
        <v>9295</v>
      </c>
      <c r="L1965" t="s">
        <v>9296</v>
      </c>
      <c r="M1965" t="s">
        <v>291</v>
      </c>
      <c r="N1965" t="s">
        <v>2359</v>
      </c>
      <c r="O1965" t="s">
        <v>9297</v>
      </c>
      <c r="P1965" t="s">
        <v>9298</v>
      </c>
      <c r="Q1965" t="s">
        <v>9299</v>
      </c>
      <c r="R1965">
        <v>9</v>
      </c>
      <c r="S1965">
        <v>16</v>
      </c>
    </row>
    <row r="1966" spans="1:19" x14ac:dyDescent="0.35">
      <c r="A1966">
        <v>6953</v>
      </c>
      <c r="B1966" t="s">
        <v>1803</v>
      </c>
      <c r="C1966" t="s">
        <v>42</v>
      </c>
      <c r="D1966" t="s">
        <v>9300</v>
      </c>
      <c r="E1966" t="e" cm="1">
        <f t="array" ref="E1966">- TIZANIDINE HYDROCHLORIDE</f>
        <v>#NAME?</v>
      </c>
      <c r="F1966" t="s">
        <v>9301</v>
      </c>
      <c r="J1966" t="s">
        <v>9302</v>
      </c>
      <c r="M1966" t="s">
        <v>46</v>
      </c>
      <c r="N1966" t="s">
        <v>1806</v>
      </c>
      <c r="P1966" t="s">
        <v>9303</v>
      </c>
      <c r="Q1966" t="s">
        <v>9304</v>
      </c>
      <c r="R1966">
        <v>9</v>
      </c>
      <c r="S1966">
        <v>16</v>
      </c>
    </row>
    <row r="1967" spans="1:19" x14ac:dyDescent="0.35">
      <c r="A1967">
        <v>5757</v>
      </c>
      <c r="B1967" t="s">
        <v>9335</v>
      </c>
      <c r="C1967" t="s">
        <v>42</v>
      </c>
      <c r="D1967" t="s">
        <v>9336</v>
      </c>
      <c r="E1967" t="e" cm="1">
        <f t="array" ref="E1967">- THIAMPHENICOL</f>
        <v>#NAME?</v>
      </c>
      <c r="F1967" t="s">
        <v>9337</v>
      </c>
      <c r="G1967" t="s">
        <v>737</v>
      </c>
      <c r="H1967" t="s">
        <v>5662</v>
      </c>
      <c r="I1967" t="s">
        <v>9338</v>
      </c>
      <c r="J1967" t="s">
        <v>810</v>
      </c>
      <c r="K1967" t="s">
        <v>9339</v>
      </c>
      <c r="L1967" t="s">
        <v>9340</v>
      </c>
      <c r="M1967" t="s">
        <v>38</v>
      </c>
      <c r="N1967" t="s">
        <v>272</v>
      </c>
      <c r="O1967" t="s">
        <v>9341</v>
      </c>
      <c r="P1967" t="s">
        <v>9342</v>
      </c>
      <c r="Q1967" t="s">
        <v>9343</v>
      </c>
      <c r="R1967">
        <v>9</v>
      </c>
      <c r="S1967">
        <v>16</v>
      </c>
    </row>
    <row r="1968" spans="1:19" x14ac:dyDescent="0.35">
      <c r="A1968">
        <v>4390</v>
      </c>
      <c r="B1968" t="s">
        <v>4036</v>
      </c>
      <c r="C1968" t="s">
        <v>42</v>
      </c>
      <c r="D1968" t="s">
        <v>4037</v>
      </c>
      <c r="E1968" t="e" cm="1">
        <f t="array" ref="E1968">- CIPROFLOXACIN HYDROCHLORIDE MONOHYDRATE. FLUOCINOLONE ACETONIDE</f>
        <v>#NAME?</v>
      </c>
      <c r="F1968" s="1">
        <v>133800</v>
      </c>
      <c r="H1968" t="s">
        <v>319</v>
      </c>
      <c r="J1968" t="s">
        <v>4038</v>
      </c>
      <c r="L1968" t="s">
        <v>321</v>
      </c>
      <c r="M1968" t="s">
        <v>824</v>
      </c>
      <c r="N1968" t="s">
        <v>9344</v>
      </c>
      <c r="P1968" t="s">
        <v>4039</v>
      </c>
      <c r="Q1968" t="s">
        <v>9345</v>
      </c>
      <c r="R1968">
        <v>9</v>
      </c>
      <c r="S1968">
        <v>16</v>
      </c>
    </row>
    <row r="1969" spans="1:19" x14ac:dyDescent="0.35">
      <c r="A1969">
        <v>1254</v>
      </c>
      <c r="B1969" t="s">
        <v>2742</v>
      </c>
      <c r="C1969" t="s">
        <v>42</v>
      </c>
      <c r="D1969" t="s">
        <v>2743</v>
      </c>
      <c r="E1969" t="e" cm="1">
        <f t="array" ref="E1969">- PROMETHAZINE HYDROCHLORIDE. AMMONIUM CHLORIDE. EPHEDRINE HYDROCHLORIDE</f>
        <v>#NAME?</v>
      </c>
      <c r="F1969" t="s">
        <v>2744</v>
      </c>
      <c r="J1969" t="s">
        <v>334</v>
      </c>
      <c r="M1969" t="s">
        <v>271</v>
      </c>
      <c r="N1969" t="s">
        <v>9346</v>
      </c>
      <c r="P1969" t="s">
        <v>2745</v>
      </c>
      <c r="Q1969" t="s">
        <v>9347</v>
      </c>
      <c r="R1969">
        <v>9</v>
      </c>
      <c r="S1969">
        <v>16</v>
      </c>
    </row>
    <row r="1970" spans="1:19" x14ac:dyDescent="0.35">
      <c r="A1970">
        <v>483</v>
      </c>
      <c r="B1970" t="s">
        <v>9348</v>
      </c>
      <c r="C1970" t="s">
        <v>42</v>
      </c>
      <c r="D1970" t="s">
        <v>9349</v>
      </c>
      <c r="E1970" t="e" cm="1">
        <f t="array" ref="E1970">- GUAIFENESIN</f>
        <v>#NAME?</v>
      </c>
      <c r="F1970" t="s">
        <v>9350</v>
      </c>
      <c r="G1970" t="s">
        <v>9351</v>
      </c>
      <c r="H1970" t="s">
        <v>9352</v>
      </c>
      <c r="I1970" t="s">
        <v>9353</v>
      </c>
      <c r="J1970" t="s">
        <v>374</v>
      </c>
      <c r="K1970" t="s">
        <v>9354</v>
      </c>
      <c r="L1970" t="s">
        <v>9355</v>
      </c>
      <c r="M1970" t="s">
        <v>271</v>
      </c>
      <c r="N1970" t="s">
        <v>361</v>
      </c>
      <c r="O1970" t="s">
        <v>9356</v>
      </c>
      <c r="P1970" t="s">
        <v>9357</v>
      </c>
      <c r="Q1970" t="s">
        <v>9358</v>
      </c>
      <c r="R1970">
        <v>9</v>
      </c>
      <c r="S1970">
        <v>16</v>
      </c>
    </row>
    <row r="1971" spans="1:19" x14ac:dyDescent="0.35">
      <c r="A1971">
        <v>7833</v>
      </c>
      <c r="B1971" t="s">
        <v>9359</v>
      </c>
      <c r="C1971" t="s">
        <v>20</v>
      </c>
      <c r="D1971" t="s">
        <v>9360</v>
      </c>
      <c r="E1971" t="s">
        <v>9361</v>
      </c>
      <c r="F1971" t="s">
        <v>9362</v>
      </c>
      <c r="G1971" t="s">
        <v>9363</v>
      </c>
      <c r="H1971" t="s">
        <v>9364</v>
      </c>
      <c r="I1971" t="s">
        <v>9365</v>
      </c>
      <c r="J1971" t="s">
        <v>9366</v>
      </c>
      <c r="L1971" t="s">
        <v>9367</v>
      </c>
      <c r="M1971" t="s">
        <v>38</v>
      </c>
      <c r="N1971" t="s">
        <v>9368</v>
      </c>
      <c r="O1971" t="s">
        <v>9369</v>
      </c>
      <c r="P1971" t="s">
        <v>9368</v>
      </c>
      <c r="Q1971" t="s">
        <v>9370</v>
      </c>
      <c r="R1971">
        <v>9</v>
      </c>
      <c r="S1971">
        <v>16</v>
      </c>
    </row>
    <row r="1972" spans="1:19" x14ac:dyDescent="0.35">
      <c r="A1972">
        <v>7322</v>
      </c>
      <c r="B1972" t="s">
        <v>9371</v>
      </c>
      <c r="C1972" t="s">
        <v>42</v>
      </c>
      <c r="D1972" t="s">
        <v>9372</v>
      </c>
      <c r="E1972" t="e" cm="1">
        <f t="array" ref="E1972">- ETHINYLESTRADIOL</f>
        <v>#NAME?</v>
      </c>
      <c r="F1972" t="s">
        <v>9373</v>
      </c>
      <c r="G1972" t="s">
        <v>9374</v>
      </c>
      <c r="H1972" t="s">
        <v>2643</v>
      </c>
      <c r="I1972" t="s">
        <v>9375</v>
      </c>
      <c r="J1972" t="s">
        <v>9376</v>
      </c>
      <c r="K1972" t="s">
        <v>9377</v>
      </c>
      <c r="L1972" t="s">
        <v>9378</v>
      </c>
      <c r="M1972" t="s">
        <v>46</v>
      </c>
      <c r="N1972" t="s">
        <v>5428</v>
      </c>
      <c r="O1972" t="s">
        <v>9379</v>
      </c>
      <c r="P1972" t="s">
        <v>9380</v>
      </c>
      <c r="Q1972" t="s">
        <v>9381</v>
      </c>
      <c r="R1972">
        <v>9</v>
      </c>
      <c r="S1972">
        <v>16</v>
      </c>
    </row>
    <row r="1973" spans="1:19" x14ac:dyDescent="0.35">
      <c r="A1973">
        <v>5418</v>
      </c>
      <c r="B1973" t="s">
        <v>9382</v>
      </c>
      <c r="C1973" t="s">
        <v>42</v>
      </c>
      <c r="D1973" t="s">
        <v>9383</v>
      </c>
      <c r="E1973" t="e" cm="1">
        <f t="array" ref="E1973">- MICONAZOLE NITRATE</f>
        <v>#NAME?</v>
      </c>
      <c r="F1973" s="1">
        <v>43900</v>
      </c>
      <c r="G1973" t="s">
        <v>9384</v>
      </c>
      <c r="H1973" t="s">
        <v>9385</v>
      </c>
      <c r="I1973" t="s">
        <v>9386</v>
      </c>
      <c r="J1973" t="s">
        <v>9387</v>
      </c>
      <c r="K1973" t="s">
        <v>4436</v>
      </c>
      <c r="L1973" t="s">
        <v>9388</v>
      </c>
      <c r="M1973" t="s">
        <v>1289</v>
      </c>
      <c r="N1973" t="s">
        <v>9389</v>
      </c>
      <c r="O1973" t="s">
        <v>9390</v>
      </c>
      <c r="P1973" t="s">
        <v>9391</v>
      </c>
      <c r="Q1973" t="s">
        <v>9392</v>
      </c>
      <c r="R1973">
        <v>9</v>
      </c>
      <c r="S1973">
        <v>16</v>
      </c>
    </row>
    <row r="1974" spans="1:19" x14ac:dyDescent="0.35">
      <c r="A1974">
        <v>5419</v>
      </c>
      <c r="B1974" t="s">
        <v>9382</v>
      </c>
      <c r="C1974" t="s">
        <v>42</v>
      </c>
      <c r="D1974" t="s">
        <v>9383</v>
      </c>
      <c r="E1974" t="e" cm="1">
        <f t="array" ref="E1974">- MICONAZOLE NITRATE</f>
        <v>#NAME?</v>
      </c>
      <c r="F1974" s="1">
        <v>43900</v>
      </c>
      <c r="G1974" t="s">
        <v>9384</v>
      </c>
      <c r="H1974" t="s">
        <v>9385</v>
      </c>
      <c r="I1974" t="s">
        <v>9386</v>
      </c>
      <c r="J1974" t="s">
        <v>9387</v>
      </c>
      <c r="K1974" t="s">
        <v>4436</v>
      </c>
      <c r="L1974" t="s">
        <v>9388</v>
      </c>
      <c r="M1974" t="s">
        <v>1289</v>
      </c>
      <c r="N1974" t="s">
        <v>9389</v>
      </c>
      <c r="O1974" t="s">
        <v>9390</v>
      </c>
      <c r="P1974" t="s">
        <v>9391</v>
      </c>
      <c r="Q1974" t="s">
        <v>9392</v>
      </c>
      <c r="R1974">
        <v>9</v>
      </c>
      <c r="S1974">
        <v>16</v>
      </c>
    </row>
    <row r="1975" spans="1:19" x14ac:dyDescent="0.35">
      <c r="A1975">
        <v>5420</v>
      </c>
      <c r="B1975" t="s">
        <v>9382</v>
      </c>
      <c r="C1975" t="s">
        <v>42</v>
      </c>
      <c r="D1975" t="s">
        <v>9383</v>
      </c>
      <c r="E1975" t="e" cm="1">
        <f t="array" ref="E1975">- MICONAZOLE NITRATE</f>
        <v>#NAME?</v>
      </c>
      <c r="F1975" s="1">
        <v>43900</v>
      </c>
      <c r="G1975" t="s">
        <v>9384</v>
      </c>
      <c r="H1975" t="s">
        <v>9385</v>
      </c>
      <c r="I1975" t="s">
        <v>9386</v>
      </c>
      <c r="J1975" t="s">
        <v>9387</v>
      </c>
      <c r="K1975" t="s">
        <v>4436</v>
      </c>
      <c r="L1975" t="s">
        <v>9388</v>
      </c>
      <c r="M1975" t="s">
        <v>1289</v>
      </c>
      <c r="N1975" t="s">
        <v>9389</v>
      </c>
      <c r="O1975" t="s">
        <v>9390</v>
      </c>
      <c r="P1975" t="s">
        <v>9391</v>
      </c>
      <c r="Q1975" t="s">
        <v>9392</v>
      </c>
      <c r="R1975">
        <v>9</v>
      </c>
      <c r="S1975">
        <v>16</v>
      </c>
    </row>
    <row r="1976" spans="1:19" x14ac:dyDescent="0.35">
      <c r="A1976">
        <v>5421</v>
      </c>
      <c r="B1976" t="s">
        <v>9382</v>
      </c>
      <c r="C1976" t="s">
        <v>42</v>
      </c>
      <c r="D1976" t="s">
        <v>9393</v>
      </c>
      <c r="E1976" t="e" cm="1">
        <f t="array" ref="E1976">- MICONAZOLE NITRATE</f>
        <v>#NAME?</v>
      </c>
      <c r="F1976" t="s">
        <v>9394</v>
      </c>
      <c r="G1976" t="s">
        <v>9384</v>
      </c>
      <c r="H1976" t="s">
        <v>9385</v>
      </c>
      <c r="I1976" t="s">
        <v>9386</v>
      </c>
      <c r="J1976" t="s">
        <v>9395</v>
      </c>
      <c r="K1976" t="s">
        <v>4436</v>
      </c>
      <c r="L1976" t="s">
        <v>9388</v>
      </c>
      <c r="M1976" t="s">
        <v>1289</v>
      </c>
      <c r="N1976" t="s">
        <v>9389</v>
      </c>
      <c r="O1976" t="s">
        <v>9390</v>
      </c>
      <c r="P1976" t="s">
        <v>9391</v>
      </c>
      <c r="Q1976" t="s">
        <v>9392</v>
      </c>
      <c r="R1976">
        <v>9</v>
      </c>
      <c r="S1976">
        <v>16</v>
      </c>
    </row>
    <row r="1977" spans="1:19" x14ac:dyDescent="0.35">
      <c r="A1977">
        <v>486</v>
      </c>
      <c r="B1977" t="s">
        <v>9396</v>
      </c>
      <c r="C1977" t="s">
        <v>42</v>
      </c>
      <c r="D1977" t="s">
        <v>9397</v>
      </c>
      <c r="E1977" t="e" cm="1">
        <f t="array" ref="E1977">- MONTELUKAST SODIUM</f>
        <v>#NAME?</v>
      </c>
      <c r="F1977" t="s">
        <v>9398</v>
      </c>
      <c r="G1977" t="s">
        <v>60</v>
      </c>
      <c r="H1977" t="s">
        <v>9399</v>
      </c>
      <c r="I1977" t="s">
        <v>9400</v>
      </c>
      <c r="J1977" t="s">
        <v>2100</v>
      </c>
      <c r="K1977" t="s">
        <v>4677</v>
      </c>
      <c r="L1977" t="s">
        <v>9401</v>
      </c>
      <c r="M1977" t="s">
        <v>46</v>
      </c>
      <c r="N1977" t="s">
        <v>1492</v>
      </c>
      <c r="O1977" t="s">
        <v>9402</v>
      </c>
      <c r="P1977" t="s">
        <v>9403</v>
      </c>
      <c r="Q1977" t="s">
        <v>9404</v>
      </c>
      <c r="R1977">
        <v>9</v>
      </c>
      <c r="S1977">
        <v>16</v>
      </c>
    </row>
    <row r="1978" spans="1:19" x14ac:dyDescent="0.35">
      <c r="A1978">
        <v>5422</v>
      </c>
      <c r="B1978" t="s">
        <v>9382</v>
      </c>
      <c r="C1978" t="s">
        <v>42</v>
      </c>
      <c r="D1978" t="s">
        <v>9393</v>
      </c>
      <c r="E1978" t="e" cm="1">
        <f t="array" ref="E1978">- MICONAZOLE NITRATE</f>
        <v>#NAME?</v>
      </c>
      <c r="F1978" t="s">
        <v>9394</v>
      </c>
      <c r="G1978" t="s">
        <v>9384</v>
      </c>
      <c r="H1978" t="s">
        <v>9385</v>
      </c>
      <c r="I1978" t="s">
        <v>9386</v>
      </c>
      <c r="J1978" t="s">
        <v>9395</v>
      </c>
      <c r="K1978" t="s">
        <v>4436</v>
      </c>
      <c r="L1978" t="s">
        <v>9388</v>
      </c>
      <c r="M1978" t="s">
        <v>1289</v>
      </c>
      <c r="N1978" t="s">
        <v>9389</v>
      </c>
      <c r="O1978" t="s">
        <v>9390</v>
      </c>
      <c r="P1978" t="s">
        <v>9391</v>
      </c>
      <c r="Q1978" t="s">
        <v>9392</v>
      </c>
      <c r="R1978">
        <v>9</v>
      </c>
      <c r="S1978">
        <v>16</v>
      </c>
    </row>
    <row r="1979" spans="1:19" x14ac:dyDescent="0.35">
      <c r="A1979">
        <v>5585</v>
      </c>
      <c r="B1979" t="s">
        <v>9405</v>
      </c>
      <c r="C1979" t="s">
        <v>42</v>
      </c>
      <c r="D1979" t="s">
        <v>9406</v>
      </c>
      <c r="E1979" t="e" cm="1">
        <f t="array" ref="E1979">- PERMETHRIN</f>
        <v>#NAME?</v>
      </c>
      <c r="F1979" t="s">
        <v>9407</v>
      </c>
      <c r="G1979" t="s">
        <v>9408</v>
      </c>
      <c r="H1979" t="s">
        <v>2937</v>
      </c>
      <c r="I1979" t="s">
        <v>9409</v>
      </c>
      <c r="J1979" t="s">
        <v>9410</v>
      </c>
      <c r="K1979" t="s">
        <v>2940</v>
      </c>
      <c r="L1979" t="s">
        <v>9411</v>
      </c>
      <c r="M1979" t="s">
        <v>1289</v>
      </c>
      <c r="N1979" t="s">
        <v>2942</v>
      </c>
      <c r="O1979" t="s">
        <v>9412</v>
      </c>
      <c r="P1979" t="s">
        <v>9413</v>
      </c>
      <c r="Q1979" t="s">
        <v>9414</v>
      </c>
      <c r="R1979">
        <v>9</v>
      </c>
      <c r="S1979">
        <v>16</v>
      </c>
    </row>
    <row r="1980" spans="1:19" x14ac:dyDescent="0.35">
      <c r="A1980">
        <v>3956</v>
      </c>
      <c r="B1980" t="s">
        <v>4105</v>
      </c>
      <c r="C1980" t="s">
        <v>20</v>
      </c>
      <c r="D1980" t="s">
        <v>9415</v>
      </c>
      <c r="E1980" t="s">
        <v>4107</v>
      </c>
      <c r="F1980" t="s">
        <v>9416</v>
      </c>
      <c r="G1980" t="s">
        <v>4109</v>
      </c>
      <c r="H1980" t="s">
        <v>4110</v>
      </c>
      <c r="I1980" t="s">
        <v>9417</v>
      </c>
      <c r="J1980" t="s">
        <v>5071</v>
      </c>
      <c r="K1980" t="s">
        <v>9418</v>
      </c>
      <c r="L1980" t="s">
        <v>9419</v>
      </c>
      <c r="M1980" t="s">
        <v>38</v>
      </c>
      <c r="N1980" t="s">
        <v>4113</v>
      </c>
      <c r="O1980" t="s">
        <v>9420</v>
      </c>
      <c r="P1980" t="s">
        <v>4113</v>
      </c>
      <c r="Q1980" t="s">
        <v>9421</v>
      </c>
      <c r="R1980">
        <v>9</v>
      </c>
      <c r="S1980">
        <v>16</v>
      </c>
    </row>
    <row r="1981" spans="1:19" x14ac:dyDescent="0.35">
      <c r="A1981">
        <v>7868</v>
      </c>
      <c r="B1981" t="s">
        <v>9422</v>
      </c>
      <c r="C1981" t="s">
        <v>20</v>
      </c>
      <c r="D1981" t="s">
        <v>9423</v>
      </c>
      <c r="E1981" t="s">
        <v>9424</v>
      </c>
      <c r="F1981" t="s">
        <v>9425</v>
      </c>
      <c r="H1981" t="s">
        <v>7909</v>
      </c>
      <c r="I1981" t="s">
        <v>9426</v>
      </c>
      <c r="J1981" t="s">
        <v>9427</v>
      </c>
      <c r="M1981" t="s">
        <v>38</v>
      </c>
      <c r="N1981" t="s">
        <v>9428</v>
      </c>
      <c r="O1981" t="s">
        <v>9429</v>
      </c>
      <c r="P1981" t="s">
        <v>9428</v>
      </c>
      <c r="Q1981" t="s">
        <v>9430</v>
      </c>
      <c r="R1981">
        <v>9</v>
      </c>
      <c r="S1981">
        <v>16</v>
      </c>
    </row>
    <row r="1982" spans="1:19" x14ac:dyDescent="0.35">
      <c r="A1982">
        <v>5584</v>
      </c>
      <c r="B1982" t="s">
        <v>9405</v>
      </c>
      <c r="C1982" t="s">
        <v>42</v>
      </c>
      <c r="D1982" t="s">
        <v>9406</v>
      </c>
      <c r="E1982" t="e" cm="1">
        <f t="array" ref="E1982">- PERMETHRIN</f>
        <v>#NAME?</v>
      </c>
      <c r="F1982" t="s">
        <v>9407</v>
      </c>
      <c r="G1982" t="s">
        <v>9408</v>
      </c>
      <c r="H1982" t="s">
        <v>2937</v>
      </c>
      <c r="I1982" t="s">
        <v>9409</v>
      </c>
      <c r="J1982" t="s">
        <v>9410</v>
      </c>
      <c r="K1982" t="s">
        <v>2940</v>
      </c>
      <c r="L1982" t="s">
        <v>9411</v>
      </c>
      <c r="M1982" t="s">
        <v>1289</v>
      </c>
      <c r="N1982" t="s">
        <v>2942</v>
      </c>
      <c r="O1982" t="s">
        <v>9412</v>
      </c>
      <c r="P1982" t="s">
        <v>9413</v>
      </c>
      <c r="Q1982" t="s">
        <v>9414</v>
      </c>
      <c r="R1982">
        <v>9</v>
      </c>
      <c r="S1982">
        <v>16</v>
      </c>
    </row>
    <row r="1983" spans="1:19" x14ac:dyDescent="0.35">
      <c r="A1983">
        <v>147</v>
      </c>
      <c r="B1983" t="s">
        <v>2902</v>
      </c>
      <c r="C1983" t="s">
        <v>42</v>
      </c>
      <c r="D1983" t="s">
        <v>9431</v>
      </c>
      <c r="E1983" t="e" cm="1">
        <f t="array" ref="E1983">- SILDENAFIL CITRATE</f>
        <v>#NAME?</v>
      </c>
      <c r="F1983" t="s">
        <v>9432</v>
      </c>
      <c r="G1983" t="s">
        <v>8185</v>
      </c>
      <c r="H1983" t="s">
        <v>8383</v>
      </c>
      <c r="I1983" t="s">
        <v>8186</v>
      </c>
      <c r="J1983" t="s">
        <v>9433</v>
      </c>
      <c r="M1983" t="s">
        <v>46</v>
      </c>
      <c r="N1983" t="s">
        <v>2519</v>
      </c>
      <c r="O1983" t="s">
        <v>8189</v>
      </c>
      <c r="P1983" t="s">
        <v>9434</v>
      </c>
      <c r="Q1983" t="s">
        <v>9435</v>
      </c>
      <c r="R1983">
        <v>9</v>
      </c>
      <c r="S1983">
        <v>16</v>
      </c>
    </row>
    <row r="1984" spans="1:19" x14ac:dyDescent="0.35">
      <c r="A1984">
        <v>8143</v>
      </c>
      <c r="B1984" t="s">
        <v>551</v>
      </c>
      <c r="C1984" t="s">
        <v>42</v>
      </c>
      <c r="D1984" t="s">
        <v>9436</v>
      </c>
      <c r="E1984" t="e" cm="1">
        <f t="array" ref="E1984">- POVIDONE-IODINE</f>
        <v>#NAME?</v>
      </c>
      <c r="F1984" t="s">
        <v>9437</v>
      </c>
      <c r="G1984" t="s">
        <v>9438</v>
      </c>
      <c r="H1984" t="s">
        <v>1322</v>
      </c>
      <c r="I1984" t="s">
        <v>9439</v>
      </c>
      <c r="J1984" t="s">
        <v>9440</v>
      </c>
      <c r="M1984" t="s">
        <v>554</v>
      </c>
      <c r="N1984" t="s">
        <v>555</v>
      </c>
      <c r="O1984" t="s">
        <v>9441</v>
      </c>
      <c r="P1984" t="s">
        <v>9442</v>
      </c>
      <c r="Q1984" t="s">
        <v>9443</v>
      </c>
      <c r="R1984">
        <v>9</v>
      </c>
      <c r="S1984">
        <v>16</v>
      </c>
    </row>
    <row r="1985" spans="1:19" x14ac:dyDescent="0.35">
      <c r="A1985">
        <v>8142</v>
      </c>
      <c r="B1985" t="s">
        <v>551</v>
      </c>
      <c r="C1985" t="s">
        <v>42</v>
      </c>
      <c r="D1985" t="s">
        <v>9436</v>
      </c>
      <c r="E1985" t="e" cm="1">
        <f t="array" ref="E1985">- POVIDONE-IODINE</f>
        <v>#NAME?</v>
      </c>
      <c r="F1985" t="s">
        <v>9437</v>
      </c>
      <c r="G1985" t="s">
        <v>9438</v>
      </c>
      <c r="H1985" t="s">
        <v>1322</v>
      </c>
      <c r="I1985" t="s">
        <v>9439</v>
      </c>
      <c r="J1985" t="s">
        <v>9440</v>
      </c>
      <c r="M1985" t="s">
        <v>554</v>
      </c>
      <c r="N1985" t="s">
        <v>555</v>
      </c>
      <c r="O1985" t="s">
        <v>9441</v>
      </c>
      <c r="P1985" t="s">
        <v>9442</v>
      </c>
      <c r="Q1985" t="s">
        <v>9443</v>
      </c>
      <c r="R1985">
        <v>9</v>
      </c>
      <c r="S1985">
        <v>16</v>
      </c>
    </row>
    <row r="1986" spans="1:19" x14ac:dyDescent="0.35">
      <c r="A1986">
        <v>2613</v>
      </c>
      <c r="B1986" t="s">
        <v>9444</v>
      </c>
      <c r="C1986" t="s">
        <v>42</v>
      </c>
      <c r="D1986" t="s">
        <v>9445</v>
      </c>
      <c r="E1986" t="e" cm="1">
        <f t="array" ref="E1986">- IBUPROFEN. CAFFEINE. PARACETAMOL</f>
        <v>#NAME?</v>
      </c>
      <c r="F1986" t="s">
        <v>9446</v>
      </c>
      <c r="H1986" t="s">
        <v>9447</v>
      </c>
      <c r="I1986" t="s">
        <v>9448</v>
      </c>
      <c r="J1986" t="s">
        <v>9449</v>
      </c>
      <c r="K1986" t="s">
        <v>9450</v>
      </c>
      <c r="M1986" t="s">
        <v>46</v>
      </c>
      <c r="N1986" t="s">
        <v>9451</v>
      </c>
      <c r="O1986" t="s">
        <v>9452</v>
      </c>
      <c r="P1986" t="s">
        <v>9453</v>
      </c>
      <c r="Q1986" t="s">
        <v>9454</v>
      </c>
      <c r="R1986">
        <v>9</v>
      </c>
      <c r="S1986">
        <v>16</v>
      </c>
    </row>
    <row r="1987" spans="1:19" x14ac:dyDescent="0.35">
      <c r="A1987">
        <v>5423</v>
      </c>
      <c r="B1987" t="s">
        <v>9382</v>
      </c>
      <c r="C1987" t="s">
        <v>42</v>
      </c>
      <c r="D1987" t="s">
        <v>9393</v>
      </c>
      <c r="E1987" t="e" cm="1">
        <f t="array" ref="E1987">- MICONAZOLE NITRATE</f>
        <v>#NAME?</v>
      </c>
      <c r="F1987" t="s">
        <v>9394</v>
      </c>
      <c r="G1987" t="s">
        <v>9384</v>
      </c>
      <c r="H1987" t="s">
        <v>9385</v>
      </c>
      <c r="I1987" t="s">
        <v>9386</v>
      </c>
      <c r="J1987" t="s">
        <v>9395</v>
      </c>
      <c r="K1987" t="s">
        <v>4436</v>
      </c>
      <c r="L1987" t="s">
        <v>9388</v>
      </c>
      <c r="M1987" t="s">
        <v>1289</v>
      </c>
      <c r="N1987" t="s">
        <v>9389</v>
      </c>
      <c r="O1987" t="s">
        <v>9390</v>
      </c>
      <c r="P1987" t="s">
        <v>9391</v>
      </c>
      <c r="Q1987" t="s">
        <v>9392</v>
      </c>
      <c r="R1987">
        <v>9</v>
      </c>
      <c r="S1987">
        <v>16</v>
      </c>
    </row>
    <row r="1988" spans="1:19" x14ac:dyDescent="0.35">
      <c r="A1988">
        <v>487</v>
      </c>
      <c r="B1988" t="s">
        <v>9396</v>
      </c>
      <c r="C1988" t="s">
        <v>42</v>
      </c>
      <c r="D1988" t="s">
        <v>9397</v>
      </c>
      <c r="E1988" t="e" cm="1">
        <f t="array" ref="E1988">- MONTELUKAST SODIUM</f>
        <v>#NAME?</v>
      </c>
      <c r="F1988" t="s">
        <v>9398</v>
      </c>
      <c r="G1988" t="s">
        <v>60</v>
      </c>
      <c r="H1988" t="s">
        <v>9399</v>
      </c>
      <c r="I1988" t="s">
        <v>9400</v>
      </c>
      <c r="J1988" t="s">
        <v>2100</v>
      </c>
      <c r="K1988" t="s">
        <v>4677</v>
      </c>
      <c r="L1988" t="s">
        <v>9401</v>
      </c>
      <c r="M1988" t="s">
        <v>46</v>
      </c>
      <c r="N1988" t="s">
        <v>1492</v>
      </c>
      <c r="O1988" t="s">
        <v>9402</v>
      </c>
      <c r="P1988" t="s">
        <v>9403</v>
      </c>
      <c r="Q1988" t="s">
        <v>9404</v>
      </c>
      <c r="R1988">
        <v>9</v>
      </c>
      <c r="S1988">
        <v>16</v>
      </c>
    </row>
    <row r="1989" spans="1:19" x14ac:dyDescent="0.35">
      <c r="A1989">
        <v>2572</v>
      </c>
      <c r="B1989" t="s">
        <v>6762</v>
      </c>
      <c r="C1989" t="s">
        <v>42</v>
      </c>
      <c r="D1989" t="s">
        <v>6763</v>
      </c>
      <c r="E1989" t="e" cm="1">
        <f t="array" ref="E1989">- CAFFEINE. PARACETAMOL</f>
        <v>#NAME?</v>
      </c>
      <c r="F1989" t="s">
        <v>6764</v>
      </c>
      <c r="G1989" t="s">
        <v>2241</v>
      </c>
      <c r="H1989" t="s">
        <v>6765</v>
      </c>
      <c r="I1989" t="s">
        <v>6766</v>
      </c>
      <c r="J1989" t="s">
        <v>5221</v>
      </c>
      <c r="K1989" t="s">
        <v>6767</v>
      </c>
      <c r="L1989" t="s">
        <v>2726</v>
      </c>
      <c r="M1989" t="s">
        <v>291</v>
      </c>
      <c r="N1989" t="s">
        <v>3312</v>
      </c>
      <c r="O1989" t="s">
        <v>6768</v>
      </c>
      <c r="P1989" t="s">
        <v>6769</v>
      </c>
      <c r="Q1989" t="s">
        <v>9455</v>
      </c>
      <c r="R1989">
        <v>9</v>
      </c>
      <c r="S1989">
        <v>16</v>
      </c>
    </row>
    <row r="1990" spans="1:19" x14ac:dyDescent="0.35">
      <c r="A1990">
        <v>3840</v>
      </c>
      <c r="B1990" t="s">
        <v>7125</v>
      </c>
      <c r="C1990" t="s">
        <v>42</v>
      </c>
      <c r="D1990" t="s">
        <v>7126</v>
      </c>
      <c r="E1990" t="e" cm="1">
        <f t="array" ref="E1990">- KAOLIN. PECTIN</f>
        <v>#NAME?</v>
      </c>
      <c r="F1990" t="s">
        <v>7127</v>
      </c>
      <c r="G1990" t="s">
        <v>7128</v>
      </c>
      <c r="H1990" t="s">
        <v>7129</v>
      </c>
      <c r="I1990" t="s">
        <v>7130</v>
      </c>
      <c r="J1990" t="s">
        <v>7131</v>
      </c>
      <c r="K1990" t="s">
        <v>7132</v>
      </c>
      <c r="L1990" t="s">
        <v>7133</v>
      </c>
      <c r="M1990" t="s">
        <v>340</v>
      </c>
      <c r="N1990" t="s">
        <v>3159</v>
      </c>
      <c r="O1990" t="s">
        <v>7134</v>
      </c>
      <c r="P1990" t="s">
        <v>7135</v>
      </c>
      <c r="Q1990" t="s">
        <v>9456</v>
      </c>
      <c r="R1990">
        <v>9</v>
      </c>
      <c r="S1990">
        <v>16</v>
      </c>
    </row>
    <row r="1991" spans="1:19" x14ac:dyDescent="0.35">
      <c r="A1991">
        <v>3831</v>
      </c>
      <c r="B1991" t="s">
        <v>9457</v>
      </c>
      <c r="C1991" t="s">
        <v>42</v>
      </c>
      <c r="D1991" t="s">
        <v>9458</v>
      </c>
      <c r="E1991" t="e" cm="1">
        <f t="array" ref="E1991">- KAOLIN</f>
        <v>#NAME?</v>
      </c>
      <c r="F1991" t="s">
        <v>9459</v>
      </c>
      <c r="G1991" t="s">
        <v>3098</v>
      </c>
      <c r="H1991" t="s">
        <v>9460</v>
      </c>
      <c r="I1991" t="s">
        <v>7230</v>
      </c>
      <c r="J1991" t="s">
        <v>9461</v>
      </c>
      <c r="K1991" t="s">
        <v>9462</v>
      </c>
      <c r="L1991" t="s">
        <v>9463</v>
      </c>
      <c r="M1991" t="s">
        <v>46</v>
      </c>
      <c r="N1991" t="s">
        <v>1194</v>
      </c>
      <c r="O1991" t="s">
        <v>7234</v>
      </c>
      <c r="P1991" t="s">
        <v>9464</v>
      </c>
      <c r="Q1991" t="s">
        <v>9465</v>
      </c>
      <c r="R1991">
        <v>9</v>
      </c>
      <c r="S1991">
        <v>16</v>
      </c>
    </row>
    <row r="1992" spans="1:19" x14ac:dyDescent="0.35">
      <c r="A1992">
        <v>7132</v>
      </c>
      <c r="B1992" t="s">
        <v>9466</v>
      </c>
      <c r="C1992" t="s">
        <v>42</v>
      </c>
      <c r="D1992" t="s">
        <v>9467</v>
      </c>
      <c r="E1992" t="e" cm="1">
        <f t="array" ref="E1992">- EPERISONE HYDROCHLORIDE</f>
        <v>#NAME?</v>
      </c>
      <c r="F1992" t="s">
        <v>9468</v>
      </c>
      <c r="G1992" t="s">
        <v>835</v>
      </c>
      <c r="H1992" t="s">
        <v>9469</v>
      </c>
      <c r="I1992" t="s">
        <v>9470</v>
      </c>
      <c r="J1992" t="s">
        <v>9471</v>
      </c>
      <c r="K1992" t="s">
        <v>9472</v>
      </c>
      <c r="L1992" t="s">
        <v>9473</v>
      </c>
      <c r="M1992" t="s">
        <v>46</v>
      </c>
      <c r="N1992" t="s">
        <v>7745</v>
      </c>
      <c r="O1992" t="s">
        <v>9474</v>
      </c>
      <c r="P1992" t="s">
        <v>9475</v>
      </c>
      <c r="Q1992" t="s">
        <v>9476</v>
      </c>
      <c r="R1992">
        <v>9</v>
      </c>
      <c r="S1992">
        <v>16</v>
      </c>
    </row>
    <row r="1993" spans="1:19" x14ac:dyDescent="0.35">
      <c r="A1993">
        <v>115</v>
      </c>
      <c r="B1993" t="s">
        <v>2902</v>
      </c>
      <c r="C1993" t="s">
        <v>42</v>
      </c>
      <c r="D1993" t="s">
        <v>9477</v>
      </c>
      <c r="E1993" t="e" cm="1">
        <f t="array" ref="E1993">- SILDENAFIL CITRATE</f>
        <v>#NAME?</v>
      </c>
      <c r="F1993" t="s">
        <v>9478</v>
      </c>
      <c r="I1993" t="s">
        <v>8186</v>
      </c>
      <c r="J1993" t="s">
        <v>9479</v>
      </c>
      <c r="L1993" t="s">
        <v>8188</v>
      </c>
      <c r="M1993" t="s">
        <v>46</v>
      </c>
      <c r="N1993" t="s">
        <v>2519</v>
      </c>
      <c r="O1993" t="s">
        <v>8189</v>
      </c>
      <c r="P1993" t="s">
        <v>9480</v>
      </c>
      <c r="Q1993" t="s">
        <v>9481</v>
      </c>
      <c r="R1993">
        <v>9</v>
      </c>
      <c r="S1993">
        <v>16</v>
      </c>
    </row>
    <row r="1994" spans="1:19" x14ac:dyDescent="0.35">
      <c r="A1994">
        <v>2549</v>
      </c>
      <c r="B1994" t="s">
        <v>9482</v>
      </c>
      <c r="C1994" t="s">
        <v>42</v>
      </c>
      <c r="D1994" t="s">
        <v>9483</v>
      </c>
      <c r="E1994" t="e" cm="1">
        <f t="array" ref="E1994">- MELOXICAM</f>
        <v>#NAME?</v>
      </c>
      <c r="F1994" t="s">
        <v>9484</v>
      </c>
      <c r="G1994" t="s">
        <v>60</v>
      </c>
      <c r="H1994" t="s">
        <v>2643</v>
      </c>
      <c r="I1994" t="s">
        <v>9485</v>
      </c>
      <c r="J1994" t="s">
        <v>9486</v>
      </c>
      <c r="K1994" t="s">
        <v>9487</v>
      </c>
      <c r="L1994" t="s">
        <v>9488</v>
      </c>
      <c r="M1994" t="s">
        <v>46</v>
      </c>
      <c r="N1994" t="s">
        <v>412</v>
      </c>
      <c r="O1994" t="s">
        <v>9489</v>
      </c>
      <c r="P1994" t="s">
        <v>9490</v>
      </c>
      <c r="Q1994" t="s">
        <v>9491</v>
      </c>
      <c r="R1994">
        <v>9</v>
      </c>
      <c r="S1994">
        <v>16</v>
      </c>
    </row>
    <row r="1995" spans="1:19" x14ac:dyDescent="0.35">
      <c r="A1995">
        <v>2550</v>
      </c>
      <c r="B1995" t="s">
        <v>9492</v>
      </c>
      <c r="C1995" t="s">
        <v>42</v>
      </c>
      <c r="D1995" t="s">
        <v>9493</v>
      </c>
      <c r="E1995" t="e" cm="1">
        <f t="array" ref="E1995">- MELOXICAM</f>
        <v>#NAME?</v>
      </c>
      <c r="F1995" t="s">
        <v>9494</v>
      </c>
      <c r="G1995" t="s">
        <v>60</v>
      </c>
      <c r="H1995" t="s">
        <v>2643</v>
      </c>
      <c r="I1995" t="s">
        <v>9485</v>
      </c>
      <c r="J1995" t="s">
        <v>9486</v>
      </c>
      <c r="K1995" t="s">
        <v>9487</v>
      </c>
      <c r="L1995" t="s">
        <v>9488</v>
      </c>
      <c r="M1995" t="s">
        <v>46</v>
      </c>
      <c r="N1995" t="s">
        <v>412</v>
      </c>
      <c r="O1995" t="s">
        <v>9489</v>
      </c>
      <c r="P1995" t="s">
        <v>9490</v>
      </c>
      <c r="Q1995" t="s">
        <v>9491</v>
      </c>
      <c r="R1995">
        <v>9</v>
      </c>
      <c r="S1995">
        <v>16</v>
      </c>
    </row>
    <row r="1996" spans="1:19" x14ac:dyDescent="0.35">
      <c r="A1996">
        <v>116</v>
      </c>
      <c r="B1996" t="s">
        <v>2902</v>
      </c>
      <c r="C1996" t="s">
        <v>42</v>
      </c>
      <c r="D1996" t="s">
        <v>9495</v>
      </c>
      <c r="E1996" t="e" cm="1">
        <f t="array" ref="E1996">- SILDENAFIL CITRATE</f>
        <v>#NAME?</v>
      </c>
      <c r="F1996" t="s">
        <v>9496</v>
      </c>
      <c r="G1996" t="s">
        <v>8185</v>
      </c>
      <c r="H1996" t="s">
        <v>8383</v>
      </c>
      <c r="I1996" t="s">
        <v>8186</v>
      </c>
      <c r="J1996" t="s">
        <v>9497</v>
      </c>
      <c r="L1996" t="s">
        <v>8188</v>
      </c>
      <c r="M1996" t="s">
        <v>46</v>
      </c>
      <c r="N1996" t="s">
        <v>2519</v>
      </c>
      <c r="O1996" t="s">
        <v>8189</v>
      </c>
      <c r="P1996" t="s">
        <v>9498</v>
      </c>
      <c r="Q1996" t="s">
        <v>9499</v>
      </c>
      <c r="R1996">
        <v>9</v>
      </c>
      <c r="S1996">
        <v>16</v>
      </c>
    </row>
    <row r="1997" spans="1:19" x14ac:dyDescent="0.35">
      <c r="A1997">
        <v>117</v>
      </c>
      <c r="B1997" t="s">
        <v>2902</v>
      </c>
      <c r="C1997" t="s">
        <v>42</v>
      </c>
      <c r="D1997" t="s">
        <v>9500</v>
      </c>
      <c r="E1997" t="e" cm="1">
        <f t="array" ref="E1997">- SILDENAFIL CITRATE</f>
        <v>#NAME?</v>
      </c>
      <c r="F1997" t="s">
        <v>9501</v>
      </c>
      <c r="G1997" t="s">
        <v>8185</v>
      </c>
      <c r="H1997" t="s">
        <v>3854</v>
      </c>
      <c r="I1997" t="s">
        <v>8186</v>
      </c>
      <c r="J1997" t="s">
        <v>9502</v>
      </c>
      <c r="L1997" t="s">
        <v>8188</v>
      </c>
      <c r="M1997" t="s">
        <v>46</v>
      </c>
      <c r="N1997" t="s">
        <v>2519</v>
      </c>
      <c r="O1997" t="s">
        <v>8189</v>
      </c>
      <c r="P1997" t="s">
        <v>9503</v>
      </c>
      <c r="Q1997" t="s">
        <v>9504</v>
      </c>
      <c r="R1997">
        <v>9</v>
      </c>
      <c r="S1997">
        <v>16</v>
      </c>
    </row>
    <row r="1998" spans="1:19" x14ac:dyDescent="0.35">
      <c r="A1998">
        <v>118</v>
      </c>
      <c r="B1998" t="s">
        <v>2902</v>
      </c>
      <c r="C1998" t="s">
        <v>42</v>
      </c>
      <c r="D1998" t="s">
        <v>9505</v>
      </c>
      <c r="E1998" t="e" cm="1">
        <f t="array" ref="E1998">- SILDENAFIL CITRATE</f>
        <v>#NAME?</v>
      </c>
      <c r="F1998" t="s">
        <v>9506</v>
      </c>
      <c r="G1998" t="s">
        <v>8185</v>
      </c>
      <c r="H1998" t="s">
        <v>3854</v>
      </c>
      <c r="I1998" t="s">
        <v>8186</v>
      </c>
      <c r="J1998" t="s">
        <v>9507</v>
      </c>
      <c r="L1998" t="s">
        <v>8188</v>
      </c>
      <c r="M1998" t="s">
        <v>46</v>
      </c>
      <c r="N1998" t="s">
        <v>2519</v>
      </c>
      <c r="O1998" t="s">
        <v>8189</v>
      </c>
      <c r="P1998" t="s">
        <v>9503</v>
      </c>
      <c r="Q1998" t="s">
        <v>9504</v>
      </c>
      <c r="R1998">
        <v>9</v>
      </c>
      <c r="S1998">
        <v>16</v>
      </c>
    </row>
    <row r="1999" spans="1:19" x14ac:dyDescent="0.35">
      <c r="A1999">
        <v>119</v>
      </c>
      <c r="B1999" t="s">
        <v>2902</v>
      </c>
      <c r="C1999" t="s">
        <v>42</v>
      </c>
      <c r="D1999" t="s">
        <v>9508</v>
      </c>
      <c r="E1999" t="e" cm="1">
        <f t="array" ref="E1999">- SILDENAFIL CITRATE</f>
        <v>#NAME?</v>
      </c>
      <c r="F1999" s="1">
        <v>158700</v>
      </c>
      <c r="G1999" t="s">
        <v>8185</v>
      </c>
      <c r="H1999" t="s">
        <v>8383</v>
      </c>
      <c r="I1999" t="s">
        <v>8186</v>
      </c>
      <c r="J1999" t="s">
        <v>9509</v>
      </c>
      <c r="M1999" t="s">
        <v>46</v>
      </c>
      <c r="N1999" t="s">
        <v>2519</v>
      </c>
      <c r="O1999" t="s">
        <v>8189</v>
      </c>
      <c r="P1999" t="s">
        <v>9074</v>
      </c>
      <c r="Q1999" t="s">
        <v>9075</v>
      </c>
      <c r="R1999">
        <v>9</v>
      </c>
      <c r="S1999">
        <v>16</v>
      </c>
    </row>
    <row r="2000" spans="1:19" x14ac:dyDescent="0.35">
      <c r="A2000">
        <v>9193</v>
      </c>
      <c r="B2000" t="s">
        <v>9510</v>
      </c>
      <c r="C2000" t="s">
        <v>42</v>
      </c>
      <c r="D2000" t="s">
        <v>9511</v>
      </c>
      <c r="E2000" t="e" cm="1">
        <f t="array" ref="E2000">- VERAPAMIL HYDROCHLORIDE</f>
        <v>#NAME?</v>
      </c>
      <c r="F2000" t="s">
        <v>9512</v>
      </c>
      <c r="G2000" t="s">
        <v>2241</v>
      </c>
      <c r="H2000" t="s">
        <v>9513</v>
      </c>
      <c r="I2000" t="s">
        <v>9514</v>
      </c>
      <c r="J2000" t="s">
        <v>571</v>
      </c>
      <c r="L2000" t="s">
        <v>9515</v>
      </c>
      <c r="M2000" t="s">
        <v>46</v>
      </c>
      <c r="N2000" t="s">
        <v>3716</v>
      </c>
      <c r="O2000" t="s">
        <v>9516</v>
      </c>
      <c r="P2000" t="s">
        <v>9517</v>
      </c>
      <c r="Q2000" t="s">
        <v>9518</v>
      </c>
      <c r="R2000">
        <v>9</v>
      </c>
      <c r="S2000">
        <v>16</v>
      </c>
    </row>
    <row r="2001" spans="1:19" x14ac:dyDescent="0.35">
      <c r="A2001">
        <v>9192</v>
      </c>
      <c r="B2001" t="s">
        <v>9519</v>
      </c>
      <c r="C2001" t="s">
        <v>42</v>
      </c>
      <c r="D2001" t="s">
        <v>9520</v>
      </c>
      <c r="E2001" t="e" cm="1">
        <f t="array" ref="E2001">- IRBESARTAN</f>
        <v>#NAME?</v>
      </c>
      <c r="F2001" t="s">
        <v>9521</v>
      </c>
      <c r="G2001" t="s">
        <v>60</v>
      </c>
      <c r="H2001" t="s">
        <v>9522</v>
      </c>
      <c r="I2001" t="s">
        <v>9523</v>
      </c>
      <c r="J2001" t="s">
        <v>9524</v>
      </c>
      <c r="K2001" t="s">
        <v>2919</v>
      </c>
      <c r="L2001" t="s">
        <v>9525</v>
      </c>
      <c r="M2001" t="s">
        <v>46</v>
      </c>
      <c r="N2001" t="s">
        <v>999</v>
      </c>
      <c r="O2001" t="s">
        <v>9526</v>
      </c>
      <c r="P2001" t="s">
        <v>9527</v>
      </c>
      <c r="Q2001" t="s">
        <v>9528</v>
      </c>
      <c r="R2001">
        <v>9</v>
      </c>
      <c r="S2001">
        <v>16</v>
      </c>
    </row>
    <row r="2002" spans="1:19" x14ac:dyDescent="0.35">
      <c r="A2002">
        <v>7135</v>
      </c>
      <c r="B2002" t="s">
        <v>9529</v>
      </c>
      <c r="C2002" t="s">
        <v>42</v>
      </c>
      <c r="D2002" t="s">
        <v>9530</v>
      </c>
      <c r="E2002" t="e" cm="1">
        <f t="array" ref="E2002">- EPERISONE HYDROCHLORIDE</f>
        <v>#NAME?</v>
      </c>
      <c r="F2002" t="s">
        <v>9531</v>
      </c>
      <c r="G2002" t="s">
        <v>4649</v>
      </c>
      <c r="H2002" t="s">
        <v>9532</v>
      </c>
      <c r="I2002" t="s">
        <v>9533</v>
      </c>
      <c r="J2002" t="s">
        <v>9534</v>
      </c>
      <c r="K2002" t="s">
        <v>9535</v>
      </c>
      <c r="L2002" t="s">
        <v>9536</v>
      </c>
      <c r="M2002" t="s">
        <v>46</v>
      </c>
      <c r="N2002" t="s">
        <v>7745</v>
      </c>
      <c r="O2002" t="s">
        <v>9537</v>
      </c>
      <c r="P2002" t="s">
        <v>9538</v>
      </c>
      <c r="Q2002" t="s">
        <v>9539</v>
      </c>
      <c r="R2002">
        <v>9</v>
      </c>
      <c r="S2002">
        <v>16</v>
      </c>
    </row>
    <row r="2003" spans="1:19" x14ac:dyDescent="0.35">
      <c r="A2003">
        <v>8991</v>
      </c>
      <c r="B2003" t="s">
        <v>9540</v>
      </c>
      <c r="C2003" t="s">
        <v>20</v>
      </c>
      <c r="D2003" t="s">
        <v>9541</v>
      </c>
      <c r="E2003" t="s">
        <v>9542</v>
      </c>
      <c r="F2003" t="s">
        <v>9543</v>
      </c>
      <c r="G2003" t="s">
        <v>5244</v>
      </c>
      <c r="H2003" t="s">
        <v>6631</v>
      </c>
      <c r="I2003" t="s">
        <v>9544</v>
      </c>
      <c r="J2003" t="s">
        <v>9545</v>
      </c>
      <c r="K2003" t="s">
        <v>6633</v>
      </c>
      <c r="L2003" t="s">
        <v>9546</v>
      </c>
      <c r="M2003" t="s">
        <v>38</v>
      </c>
      <c r="N2003" t="s">
        <v>9547</v>
      </c>
      <c r="O2003" t="s">
        <v>9548</v>
      </c>
      <c r="P2003" t="s">
        <v>9549</v>
      </c>
      <c r="Q2003" t="s">
        <v>9550</v>
      </c>
      <c r="R2003">
        <v>9</v>
      </c>
      <c r="S2003">
        <v>16</v>
      </c>
    </row>
    <row r="2004" spans="1:19" x14ac:dyDescent="0.35">
      <c r="A2004">
        <v>9191</v>
      </c>
      <c r="B2004" t="s">
        <v>9551</v>
      </c>
      <c r="C2004" t="s">
        <v>42</v>
      </c>
      <c r="D2004" t="s">
        <v>9552</v>
      </c>
      <c r="E2004" t="e" cm="1">
        <f t="array" ref="E2004">- IRBESARTAN</f>
        <v>#NAME?</v>
      </c>
      <c r="F2004" t="s">
        <v>9553</v>
      </c>
      <c r="G2004" t="s">
        <v>2617</v>
      </c>
      <c r="H2004" t="s">
        <v>9554</v>
      </c>
      <c r="I2004" t="s">
        <v>9555</v>
      </c>
      <c r="J2004" t="s">
        <v>2307</v>
      </c>
      <c r="K2004" t="s">
        <v>2919</v>
      </c>
      <c r="L2004" t="s">
        <v>9525</v>
      </c>
      <c r="M2004" t="s">
        <v>46</v>
      </c>
      <c r="N2004" t="s">
        <v>999</v>
      </c>
      <c r="O2004" t="s">
        <v>9556</v>
      </c>
      <c r="P2004" t="s">
        <v>9527</v>
      </c>
      <c r="Q2004" t="s">
        <v>9557</v>
      </c>
      <c r="R2004">
        <v>9</v>
      </c>
      <c r="S2004">
        <v>16</v>
      </c>
    </row>
    <row r="2005" spans="1:19" x14ac:dyDescent="0.35">
      <c r="A2005">
        <v>9190</v>
      </c>
      <c r="B2005" t="s">
        <v>9558</v>
      </c>
      <c r="C2005" t="s">
        <v>42</v>
      </c>
      <c r="D2005" t="s">
        <v>9559</v>
      </c>
      <c r="E2005" t="e" cm="1">
        <f t="array" ref="E2005">- IRBESARTAN</f>
        <v>#NAME?</v>
      </c>
      <c r="F2005" t="s">
        <v>9560</v>
      </c>
      <c r="G2005" t="s">
        <v>60</v>
      </c>
      <c r="H2005" t="s">
        <v>9561</v>
      </c>
      <c r="I2005" t="s">
        <v>9562</v>
      </c>
      <c r="J2005" t="s">
        <v>9563</v>
      </c>
      <c r="K2005" t="s">
        <v>2919</v>
      </c>
      <c r="L2005" t="s">
        <v>9564</v>
      </c>
      <c r="M2005" t="s">
        <v>291</v>
      </c>
      <c r="N2005" t="s">
        <v>999</v>
      </c>
      <c r="O2005" t="s">
        <v>9526</v>
      </c>
      <c r="P2005" t="s">
        <v>9565</v>
      </c>
      <c r="Q2005" t="s">
        <v>9566</v>
      </c>
      <c r="R2005">
        <v>9</v>
      </c>
      <c r="S2005">
        <v>16</v>
      </c>
    </row>
    <row r="2006" spans="1:19" x14ac:dyDescent="0.35">
      <c r="A2006">
        <v>3838</v>
      </c>
      <c r="B2006" t="s">
        <v>7098</v>
      </c>
      <c r="C2006" t="s">
        <v>42</v>
      </c>
      <c r="D2006" t="s">
        <v>7099</v>
      </c>
      <c r="E2006" t="e" cm="1">
        <f t="array" ref="E2006">- KAOLIN. PECTIN</f>
        <v>#NAME?</v>
      </c>
      <c r="F2006" t="s">
        <v>7100</v>
      </c>
      <c r="H2006" t="s">
        <v>7101</v>
      </c>
      <c r="I2006" t="s">
        <v>7102</v>
      </c>
      <c r="J2006" t="s">
        <v>334</v>
      </c>
      <c r="K2006" t="s">
        <v>7103</v>
      </c>
      <c r="L2006" t="s">
        <v>7104</v>
      </c>
      <c r="M2006" t="s">
        <v>340</v>
      </c>
      <c r="N2006" t="s">
        <v>3159</v>
      </c>
      <c r="O2006" t="s">
        <v>7105</v>
      </c>
      <c r="P2006" t="s">
        <v>7106</v>
      </c>
      <c r="Q2006" t="s">
        <v>9567</v>
      </c>
      <c r="R2006">
        <v>9</v>
      </c>
      <c r="S2006">
        <v>16</v>
      </c>
    </row>
    <row r="2007" spans="1:19" x14ac:dyDescent="0.35">
      <c r="A2007">
        <v>1545</v>
      </c>
      <c r="B2007" t="s">
        <v>2781</v>
      </c>
      <c r="C2007" t="s">
        <v>42</v>
      </c>
      <c r="D2007" t="s">
        <v>2782</v>
      </c>
      <c r="E2007" t="e" cm="1">
        <f t="array" ref="E2007">- TRIPROLIDINE HYDROCHLORIDE. PSEUDOEPHEDRINE HYDROCHLORIDE. GUAIFENESIN</f>
        <v>#NAME?</v>
      </c>
      <c r="F2007" t="s">
        <v>2783</v>
      </c>
      <c r="G2007" t="s">
        <v>539</v>
      </c>
      <c r="J2007" t="s">
        <v>2784</v>
      </c>
      <c r="M2007" t="s">
        <v>271</v>
      </c>
      <c r="N2007" t="s">
        <v>9568</v>
      </c>
      <c r="P2007" t="s">
        <v>2785</v>
      </c>
      <c r="Q2007" t="s">
        <v>9569</v>
      </c>
      <c r="R2007">
        <v>9</v>
      </c>
      <c r="S2007">
        <v>16</v>
      </c>
    </row>
    <row r="2008" spans="1:19" x14ac:dyDescent="0.35">
      <c r="A2008">
        <v>120</v>
      </c>
      <c r="B2008" t="s">
        <v>2902</v>
      </c>
      <c r="C2008" t="s">
        <v>42</v>
      </c>
      <c r="D2008" t="s">
        <v>9570</v>
      </c>
      <c r="E2008" t="e" cm="1">
        <f t="array" ref="E2008">- SILDENAFIL CITRATE</f>
        <v>#NAME?</v>
      </c>
      <c r="F2008" s="1">
        <v>217700</v>
      </c>
      <c r="G2008" t="s">
        <v>8185</v>
      </c>
      <c r="H2008" t="s">
        <v>3854</v>
      </c>
      <c r="I2008" t="s">
        <v>8186</v>
      </c>
      <c r="J2008" t="s">
        <v>9571</v>
      </c>
      <c r="L2008" t="s">
        <v>8188</v>
      </c>
      <c r="M2008" t="s">
        <v>46</v>
      </c>
      <c r="N2008" t="s">
        <v>2519</v>
      </c>
      <c r="O2008" t="s">
        <v>8189</v>
      </c>
      <c r="P2008" t="s">
        <v>9074</v>
      </c>
      <c r="Q2008" t="s">
        <v>9075</v>
      </c>
      <c r="R2008">
        <v>9</v>
      </c>
      <c r="S2008">
        <v>16</v>
      </c>
    </row>
    <row r="2009" spans="1:19" x14ac:dyDescent="0.35">
      <c r="A2009">
        <v>2569</v>
      </c>
      <c r="B2009" t="s">
        <v>9572</v>
      </c>
      <c r="C2009" t="s">
        <v>42</v>
      </c>
      <c r="D2009" t="s">
        <v>9573</v>
      </c>
      <c r="E2009" t="e" cm="1">
        <f t="array" ref="E2009">- METAMIZOLE SODIUM. PYRIDOXINE HYDROCHLORIDE. CYANOCOBALAMIN. THIAMINE HYDROCHLORIDE</f>
        <v>#NAME?</v>
      </c>
      <c r="F2009" t="s">
        <v>9574</v>
      </c>
      <c r="H2009" t="s">
        <v>269</v>
      </c>
      <c r="L2009" t="s">
        <v>270</v>
      </c>
      <c r="M2009" t="s">
        <v>291</v>
      </c>
      <c r="N2009" t="s">
        <v>9575</v>
      </c>
      <c r="P2009" t="s">
        <v>9576</v>
      </c>
      <c r="Q2009" t="s">
        <v>9577</v>
      </c>
      <c r="R2009">
        <v>9</v>
      </c>
      <c r="S2009">
        <v>16</v>
      </c>
    </row>
    <row r="2010" spans="1:19" x14ac:dyDescent="0.35">
      <c r="A2010">
        <v>2614</v>
      </c>
      <c r="B2010" t="s">
        <v>9444</v>
      </c>
      <c r="C2010" t="s">
        <v>42</v>
      </c>
      <c r="D2010" t="s">
        <v>9445</v>
      </c>
      <c r="E2010" t="e" cm="1">
        <f t="array" ref="E2010">- PARACETAMOL. IBUPROFEN. CAFFEINE</f>
        <v>#NAME?</v>
      </c>
      <c r="F2010" t="s">
        <v>9446</v>
      </c>
      <c r="H2010" t="s">
        <v>9447</v>
      </c>
      <c r="I2010" t="s">
        <v>9448</v>
      </c>
      <c r="J2010" t="s">
        <v>9449</v>
      </c>
      <c r="K2010" t="s">
        <v>9450</v>
      </c>
      <c r="M2010" t="s">
        <v>46</v>
      </c>
      <c r="N2010" t="s">
        <v>9578</v>
      </c>
      <c r="O2010" t="s">
        <v>9452</v>
      </c>
      <c r="P2010" t="s">
        <v>9453</v>
      </c>
      <c r="Q2010" t="s">
        <v>9579</v>
      </c>
      <c r="R2010">
        <v>9</v>
      </c>
      <c r="S2010">
        <v>16</v>
      </c>
    </row>
    <row r="2011" spans="1:19" x14ac:dyDescent="0.35">
      <c r="A2011">
        <v>2615</v>
      </c>
      <c r="B2011" t="s">
        <v>9444</v>
      </c>
      <c r="C2011" t="s">
        <v>42</v>
      </c>
      <c r="D2011" t="s">
        <v>9445</v>
      </c>
      <c r="E2011" t="e" cm="1">
        <f t="array" ref="E2011">- IBUPROFEN. CAFFEINE. PARACETAMOL</f>
        <v>#NAME?</v>
      </c>
      <c r="F2011" t="s">
        <v>9446</v>
      </c>
      <c r="H2011" t="s">
        <v>9447</v>
      </c>
      <c r="I2011" t="s">
        <v>9448</v>
      </c>
      <c r="J2011" t="s">
        <v>9449</v>
      </c>
      <c r="K2011" t="s">
        <v>9450</v>
      </c>
      <c r="M2011" t="s">
        <v>46</v>
      </c>
      <c r="N2011" t="s">
        <v>9451</v>
      </c>
      <c r="O2011" t="s">
        <v>9452</v>
      </c>
      <c r="P2011" t="s">
        <v>9453</v>
      </c>
      <c r="Q2011" t="s">
        <v>9454</v>
      </c>
      <c r="R2011">
        <v>9</v>
      </c>
      <c r="S2011">
        <v>16</v>
      </c>
    </row>
    <row r="2012" spans="1:19" x14ac:dyDescent="0.35">
      <c r="A2012">
        <v>2616</v>
      </c>
      <c r="B2012" t="s">
        <v>9580</v>
      </c>
      <c r="C2012" t="s">
        <v>42</v>
      </c>
      <c r="D2012" t="s">
        <v>9581</v>
      </c>
      <c r="E2012" t="e" cm="1">
        <f t="array" ref="E2012">- IBUPROFEN</f>
        <v>#NAME?</v>
      </c>
      <c r="F2012" t="s">
        <v>9582</v>
      </c>
      <c r="G2012" t="s">
        <v>9583</v>
      </c>
      <c r="H2012" t="s">
        <v>9584</v>
      </c>
      <c r="I2012" t="s">
        <v>9585</v>
      </c>
      <c r="J2012" t="s">
        <v>945</v>
      </c>
      <c r="K2012" t="s">
        <v>9586</v>
      </c>
    </row>
    <row r="2013" spans="1:19" x14ac:dyDescent="0.35">
      <c r="A2013">
        <v>2617</v>
      </c>
      <c r="B2013" t="s">
        <v>9580</v>
      </c>
      <c r="C2013" t="s">
        <v>42</v>
      </c>
      <c r="D2013" t="s">
        <v>9581</v>
      </c>
      <c r="E2013" t="e" cm="1">
        <f t="array" ref="E2013">- IBUPROFEN</f>
        <v>#NAME?</v>
      </c>
      <c r="F2013" t="s">
        <v>9582</v>
      </c>
      <c r="G2013" t="s">
        <v>9583</v>
      </c>
      <c r="H2013" t="s">
        <v>9584</v>
      </c>
      <c r="I2013" t="s">
        <v>9585</v>
      </c>
      <c r="J2013" t="s">
        <v>945</v>
      </c>
      <c r="K2013" t="s">
        <v>9586</v>
      </c>
    </row>
    <row r="2014" spans="1:19" x14ac:dyDescent="0.35">
      <c r="A2014">
        <v>7848</v>
      </c>
      <c r="B2014" t="s">
        <v>9587</v>
      </c>
      <c r="C2014" t="s">
        <v>20</v>
      </c>
      <c r="D2014" t="s">
        <v>9588</v>
      </c>
      <c r="E2014" t="s">
        <v>9589</v>
      </c>
      <c r="F2014" t="s">
        <v>9590</v>
      </c>
      <c r="M2014" t="s">
        <v>63</v>
      </c>
      <c r="N2014" t="s">
        <v>9591</v>
      </c>
      <c r="P2014" t="s">
        <v>9592</v>
      </c>
      <c r="Q2014" t="s">
        <v>9593</v>
      </c>
      <c r="R2014">
        <v>9</v>
      </c>
      <c r="S2014">
        <v>16</v>
      </c>
    </row>
    <row r="2015" spans="1:19" x14ac:dyDescent="0.35">
      <c r="A2015">
        <v>2652</v>
      </c>
      <c r="B2015" t="s">
        <v>9594</v>
      </c>
      <c r="C2015" t="s">
        <v>42</v>
      </c>
      <c r="D2015" t="s">
        <v>9595</v>
      </c>
      <c r="E2015" t="e" cm="1">
        <f t="array" ref="E2015">- PARACETAMOL. HYOSCINE BUTYLBROMIDE</f>
        <v>#NAME?</v>
      </c>
      <c r="F2015" t="s">
        <v>9596</v>
      </c>
      <c r="G2015" t="s">
        <v>2241</v>
      </c>
      <c r="H2015" t="s">
        <v>5193</v>
      </c>
      <c r="I2015" t="s">
        <v>9597</v>
      </c>
      <c r="J2015" t="s">
        <v>9598</v>
      </c>
      <c r="K2015" t="s">
        <v>9599</v>
      </c>
      <c r="L2015" t="s">
        <v>9600</v>
      </c>
      <c r="M2015" t="s">
        <v>46</v>
      </c>
      <c r="N2015" t="s">
        <v>9601</v>
      </c>
      <c r="O2015" t="s">
        <v>9602</v>
      </c>
      <c r="P2015" t="s">
        <v>9603</v>
      </c>
      <c r="Q2015" t="s">
        <v>9604</v>
      </c>
      <c r="R2015">
        <v>9</v>
      </c>
      <c r="S2015">
        <v>16</v>
      </c>
    </row>
    <row r="2016" spans="1:19" x14ac:dyDescent="0.35">
      <c r="A2016">
        <v>368</v>
      </c>
      <c r="B2016" t="s">
        <v>8983</v>
      </c>
      <c r="C2016" t="s">
        <v>42</v>
      </c>
      <c r="D2016" t="s">
        <v>8984</v>
      </c>
      <c r="E2016" t="e" cm="1">
        <f t="array" ref="E2016">- CLOMIFENE CITRATE</f>
        <v>#NAME?</v>
      </c>
      <c r="F2016" t="s">
        <v>8985</v>
      </c>
      <c r="G2016" t="s">
        <v>2241</v>
      </c>
      <c r="H2016" t="s">
        <v>8986</v>
      </c>
    </row>
    <row r="2017" spans="1:19" x14ac:dyDescent="0.35">
      <c r="A2017">
        <v>8104</v>
      </c>
      <c r="B2017" t="s">
        <v>551</v>
      </c>
      <c r="C2017" t="s">
        <v>42</v>
      </c>
      <c r="D2017" t="s">
        <v>9605</v>
      </c>
      <c r="E2017" t="e" cm="1">
        <f t="array" ref="E2017">- POVIDONE-IODINE</f>
        <v>#NAME?</v>
      </c>
      <c r="F2017" t="s">
        <v>9606</v>
      </c>
      <c r="G2017" t="s">
        <v>9438</v>
      </c>
      <c r="H2017" t="s">
        <v>1322</v>
      </c>
      <c r="I2017" t="s">
        <v>9607</v>
      </c>
      <c r="J2017" t="s">
        <v>9608</v>
      </c>
      <c r="M2017" t="s">
        <v>554</v>
      </c>
      <c r="N2017" t="s">
        <v>555</v>
      </c>
      <c r="O2017" t="s">
        <v>8802</v>
      </c>
      <c r="P2017" t="s">
        <v>9609</v>
      </c>
      <c r="Q2017" t="s">
        <v>9610</v>
      </c>
      <c r="R2017">
        <v>9</v>
      </c>
      <c r="S2017">
        <v>16</v>
      </c>
    </row>
    <row r="2018" spans="1:19" x14ac:dyDescent="0.35">
      <c r="A2018">
        <v>8105</v>
      </c>
      <c r="B2018" t="s">
        <v>551</v>
      </c>
      <c r="C2018" t="s">
        <v>42</v>
      </c>
      <c r="D2018" t="s">
        <v>9605</v>
      </c>
      <c r="E2018" t="e" cm="1">
        <f t="array" ref="E2018">- POVIDONE-IODINE</f>
        <v>#NAME?</v>
      </c>
      <c r="F2018" t="s">
        <v>9606</v>
      </c>
      <c r="G2018" t="s">
        <v>9438</v>
      </c>
      <c r="H2018" t="s">
        <v>1322</v>
      </c>
      <c r="I2018" t="s">
        <v>9607</v>
      </c>
      <c r="J2018" t="s">
        <v>9608</v>
      </c>
      <c r="M2018" t="s">
        <v>554</v>
      </c>
      <c r="N2018" t="s">
        <v>555</v>
      </c>
      <c r="O2018" t="s">
        <v>8802</v>
      </c>
      <c r="P2018" t="s">
        <v>9609</v>
      </c>
      <c r="Q2018" t="s">
        <v>9610</v>
      </c>
      <c r="R2018">
        <v>9</v>
      </c>
      <c r="S2018">
        <v>16</v>
      </c>
    </row>
    <row r="2019" spans="1:19" x14ac:dyDescent="0.35">
      <c r="A2019">
        <v>1492</v>
      </c>
      <c r="B2019" t="s">
        <v>4960</v>
      </c>
      <c r="C2019" t="s">
        <v>42</v>
      </c>
      <c r="D2019" t="s">
        <v>4961</v>
      </c>
      <c r="E2019" t="e" cm="1">
        <f t="array" ref="E2019">- AMMONIUM CHLORIDE. DIPHENHYDRAMINE HYDROCHLORIDE</f>
        <v>#NAME?</v>
      </c>
      <c r="F2019" t="s">
        <v>4962</v>
      </c>
      <c r="G2019" t="s">
        <v>4913</v>
      </c>
      <c r="H2019" t="s">
        <v>4963</v>
      </c>
      <c r="I2019" t="s">
        <v>4964</v>
      </c>
      <c r="J2019" t="s">
        <v>334</v>
      </c>
      <c r="K2019" t="s">
        <v>4965</v>
      </c>
      <c r="L2019" t="s">
        <v>4966</v>
      </c>
      <c r="M2019" t="s">
        <v>271</v>
      </c>
      <c r="N2019" t="s">
        <v>9611</v>
      </c>
      <c r="O2019" t="s">
        <v>4967</v>
      </c>
      <c r="P2019" t="s">
        <v>4968</v>
      </c>
      <c r="Q2019" t="s">
        <v>9612</v>
      </c>
      <c r="R2019">
        <v>9</v>
      </c>
      <c r="S2019">
        <v>16</v>
      </c>
    </row>
    <row r="2020" spans="1:19" x14ac:dyDescent="0.35">
      <c r="A2020">
        <v>373</v>
      </c>
      <c r="B2020" t="s">
        <v>8983</v>
      </c>
      <c r="C2020" t="s">
        <v>42</v>
      </c>
      <c r="D2020" t="s">
        <v>8984</v>
      </c>
      <c r="E2020" t="e" cm="1">
        <f t="array" ref="E2020">- CLOMIFENE CITRATE</f>
        <v>#NAME?</v>
      </c>
      <c r="F2020" t="s">
        <v>8985</v>
      </c>
      <c r="G2020" t="s">
        <v>2241</v>
      </c>
      <c r="H2020" t="s">
        <v>8986</v>
      </c>
    </row>
    <row r="2021" spans="1:19" x14ac:dyDescent="0.35">
      <c r="A2021">
        <v>2661</v>
      </c>
      <c r="B2021" t="s">
        <v>9613</v>
      </c>
      <c r="C2021" t="s">
        <v>42</v>
      </c>
      <c r="D2021" t="s">
        <v>9614</v>
      </c>
      <c r="E2021" t="e" cm="1">
        <f t="array" ref="E2021">- PARACETAMOL</f>
        <v>#NAME?</v>
      </c>
      <c r="F2021" s="1">
        <v>9300</v>
      </c>
      <c r="G2021" t="s">
        <v>3204</v>
      </c>
    </row>
    <row r="2022" spans="1:19" x14ac:dyDescent="0.35">
      <c r="A2022">
        <v>2662</v>
      </c>
      <c r="B2022" t="s">
        <v>9613</v>
      </c>
      <c r="C2022" t="s">
        <v>42</v>
      </c>
      <c r="D2022" t="s">
        <v>9614</v>
      </c>
      <c r="E2022" t="e" cm="1">
        <f t="array" ref="E2022">- PARACETAMOL</f>
        <v>#NAME?</v>
      </c>
      <c r="F2022" s="1">
        <v>9300</v>
      </c>
      <c r="G2022" t="s">
        <v>3204</v>
      </c>
    </row>
    <row r="2023" spans="1:19" x14ac:dyDescent="0.35">
      <c r="A2023">
        <v>372</v>
      </c>
      <c r="B2023" t="s">
        <v>8983</v>
      </c>
      <c r="C2023" t="s">
        <v>42</v>
      </c>
      <c r="D2023" t="s">
        <v>8984</v>
      </c>
      <c r="E2023" t="e" cm="1">
        <f t="array" ref="E2023">- CLOMIFENE CITRATE</f>
        <v>#NAME?</v>
      </c>
      <c r="F2023" t="s">
        <v>8985</v>
      </c>
      <c r="G2023" t="s">
        <v>2241</v>
      </c>
      <c r="H2023" t="s">
        <v>8986</v>
      </c>
    </row>
    <row r="2024" spans="1:19" x14ac:dyDescent="0.35">
      <c r="A2024">
        <v>482</v>
      </c>
      <c r="B2024" t="s">
        <v>9348</v>
      </c>
      <c r="C2024" t="s">
        <v>42</v>
      </c>
      <c r="D2024" t="s">
        <v>9349</v>
      </c>
      <c r="E2024" t="e" cm="1">
        <f t="array" ref="E2024">- GUAIFENESIN</f>
        <v>#NAME?</v>
      </c>
      <c r="F2024" t="s">
        <v>9350</v>
      </c>
      <c r="G2024" t="s">
        <v>9351</v>
      </c>
      <c r="H2024" t="s">
        <v>9352</v>
      </c>
      <c r="I2024" t="s">
        <v>9353</v>
      </c>
      <c r="J2024" t="s">
        <v>374</v>
      </c>
      <c r="K2024" t="s">
        <v>9354</v>
      </c>
      <c r="L2024" t="s">
        <v>9355</v>
      </c>
      <c r="M2024" t="s">
        <v>271</v>
      </c>
      <c r="N2024" t="s">
        <v>361</v>
      </c>
      <c r="O2024" t="s">
        <v>9356</v>
      </c>
      <c r="P2024" t="s">
        <v>9357</v>
      </c>
      <c r="Q2024" t="s">
        <v>9358</v>
      </c>
      <c r="R2024">
        <v>9</v>
      </c>
      <c r="S2024">
        <v>16</v>
      </c>
    </row>
    <row r="2025" spans="1:19" x14ac:dyDescent="0.35">
      <c r="A2025">
        <v>316</v>
      </c>
      <c r="B2025" t="s">
        <v>2753</v>
      </c>
      <c r="C2025" t="s">
        <v>20</v>
      </c>
      <c r="D2025" t="s">
        <v>9615</v>
      </c>
      <c r="E2025" t="s">
        <v>2755</v>
      </c>
      <c r="F2025" t="s">
        <v>9616</v>
      </c>
      <c r="J2025" t="s">
        <v>2757</v>
      </c>
      <c r="M2025" t="s">
        <v>291</v>
      </c>
      <c r="N2025" t="s">
        <v>2758</v>
      </c>
      <c r="P2025" t="s">
        <v>9617</v>
      </c>
      <c r="Q2025" t="s">
        <v>9618</v>
      </c>
      <c r="R2025">
        <v>9</v>
      </c>
      <c r="S2025">
        <v>16</v>
      </c>
    </row>
    <row r="2026" spans="1:19" x14ac:dyDescent="0.35">
      <c r="A2026">
        <v>133</v>
      </c>
      <c r="B2026" t="s">
        <v>2902</v>
      </c>
      <c r="C2026" t="s">
        <v>42</v>
      </c>
      <c r="D2026" t="s">
        <v>9619</v>
      </c>
      <c r="E2026" t="e" cm="1">
        <f t="array" ref="E2026">- SILDENAFIL CITRATE</f>
        <v>#NAME?</v>
      </c>
      <c r="F2026" t="s">
        <v>9620</v>
      </c>
      <c r="G2026" t="s">
        <v>8185</v>
      </c>
      <c r="H2026" t="s">
        <v>3854</v>
      </c>
      <c r="I2026" t="s">
        <v>8186</v>
      </c>
      <c r="J2026" t="s">
        <v>9621</v>
      </c>
      <c r="L2026" t="s">
        <v>8188</v>
      </c>
      <c r="M2026" t="s">
        <v>46</v>
      </c>
      <c r="N2026" t="s">
        <v>2519</v>
      </c>
      <c r="O2026" t="s">
        <v>8189</v>
      </c>
      <c r="P2026" t="s">
        <v>9622</v>
      </c>
      <c r="Q2026" t="s">
        <v>9623</v>
      </c>
      <c r="R2026">
        <v>9</v>
      </c>
      <c r="S2026">
        <v>16</v>
      </c>
    </row>
    <row r="2027" spans="1:19" x14ac:dyDescent="0.35">
      <c r="A2027">
        <v>369</v>
      </c>
      <c r="B2027" t="s">
        <v>8983</v>
      </c>
      <c r="C2027" t="s">
        <v>42</v>
      </c>
      <c r="D2027" t="s">
        <v>8984</v>
      </c>
      <c r="E2027" t="e" cm="1">
        <f t="array" ref="E2027">- CLOMIFENE CITRATE</f>
        <v>#NAME?</v>
      </c>
      <c r="F2027" t="s">
        <v>8985</v>
      </c>
      <c r="G2027" t="s">
        <v>2241</v>
      </c>
      <c r="H2027" t="s">
        <v>8986</v>
      </c>
    </row>
    <row r="2028" spans="1:19" x14ac:dyDescent="0.35">
      <c r="A2028">
        <v>7845</v>
      </c>
      <c r="B2028" t="s">
        <v>5751</v>
      </c>
      <c r="C2028" t="s">
        <v>20</v>
      </c>
      <c r="D2028" t="s">
        <v>5752</v>
      </c>
      <c r="E2028" t="s">
        <v>9624</v>
      </c>
      <c r="F2028" t="s">
        <v>5754</v>
      </c>
      <c r="G2028" t="s">
        <v>60</v>
      </c>
      <c r="H2028" t="s">
        <v>5755</v>
      </c>
      <c r="I2028" t="s">
        <v>5756</v>
      </c>
      <c r="J2028" t="s">
        <v>5757</v>
      </c>
      <c r="K2028" t="s">
        <v>3473</v>
      </c>
      <c r="M2028" t="s">
        <v>38</v>
      </c>
      <c r="N2028" t="s">
        <v>9625</v>
      </c>
      <c r="O2028" t="s">
        <v>5759</v>
      </c>
      <c r="P2028" t="s">
        <v>5758</v>
      </c>
      <c r="Q2028" t="s">
        <v>9626</v>
      </c>
      <c r="R2028">
        <v>9</v>
      </c>
      <c r="S2028">
        <v>16</v>
      </c>
    </row>
    <row r="2029" spans="1:19" x14ac:dyDescent="0.35">
      <c r="A2029">
        <v>5509</v>
      </c>
      <c r="B2029" t="s">
        <v>9627</v>
      </c>
      <c r="C2029" t="s">
        <v>42</v>
      </c>
      <c r="D2029" t="s">
        <v>9628</v>
      </c>
      <c r="E2029" t="e" cm="1">
        <f t="array" ref="E2029">- TIOCONAZOLE</f>
        <v>#NAME?</v>
      </c>
      <c r="F2029" s="1">
        <v>102000</v>
      </c>
      <c r="G2029" t="s">
        <v>9629</v>
      </c>
      <c r="H2029" t="s">
        <v>9630</v>
      </c>
      <c r="I2029" t="s">
        <v>9631</v>
      </c>
      <c r="J2029" t="s">
        <v>1402</v>
      </c>
      <c r="K2029" t="s">
        <v>9632</v>
      </c>
      <c r="L2029" t="s">
        <v>9633</v>
      </c>
      <c r="M2029" t="s">
        <v>1289</v>
      </c>
      <c r="N2029" t="s">
        <v>9634</v>
      </c>
      <c r="O2029" t="s">
        <v>9635</v>
      </c>
      <c r="P2029" t="s">
        <v>9636</v>
      </c>
      <c r="Q2029" t="s">
        <v>9637</v>
      </c>
      <c r="R2029">
        <v>9</v>
      </c>
      <c r="S2029">
        <v>16</v>
      </c>
    </row>
    <row r="2030" spans="1:19" x14ac:dyDescent="0.35">
      <c r="A2030">
        <v>5510</v>
      </c>
      <c r="B2030" t="s">
        <v>9627</v>
      </c>
      <c r="C2030" t="s">
        <v>42</v>
      </c>
      <c r="D2030" t="s">
        <v>9628</v>
      </c>
      <c r="E2030" t="e" cm="1">
        <f t="array" ref="E2030">- TIOCONAZOLE</f>
        <v>#NAME?</v>
      </c>
      <c r="F2030" s="1">
        <v>102000</v>
      </c>
      <c r="G2030" t="s">
        <v>9629</v>
      </c>
      <c r="H2030" t="s">
        <v>9630</v>
      </c>
      <c r="I2030" t="s">
        <v>9631</v>
      </c>
      <c r="J2030" t="s">
        <v>1402</v>
      </c>
      <c r="K2030" t="s">
        <v>9632</v>
      </c>
      <c r="L2030" t="s">
        <v>9633</v>
      </c>
      <c r="M2030" t="s">
        <v>1289</v>
      </c>
      <c r="N2030" t="s">
        <v>9634</v>
      </c>
      <c r="O2030" t="s">
        <v>9635</v>
      </c>
      <c r="P2030" t="s">
        <v>9636</v>
      </c>
      <c r="Q2030" t="s">
        <v>9637</v>
      </c>
      <c r="R2030">
        <v>9</v>
      </c>
      <c r="S2030">
        <v>16</v>
      </c>
    </row>
    <row r="2031" spans="1:19" x14ac:dyDescent="0.35">
      <c r="A2031">
        <v>5511</v>
      </c>
      <c r="B2031" t="s">
        <v>9638</v>
      </c>
      <c r="C2031" t="s">
        <v>42</v>
      </c>
      <c r="D2031" t="s">
        <v>9639</v>
      </c>
      <c r="E2031" t="e" cm="1">
        <f t="array" ref="E2031">- TIOCONAZOLE</f>
        <v>#NAME?</v>
      </c>
      <c r="F2031" t="s">
        <v>9640</v>
      </c>
      <c r="G2031" t="s">
        <v>9641</v>
      </c>
      <c r="H2031" t="s">
        <v>9642</v>
      </c>
      <c r="I2031" t="s">
        <v>9631</v>
      </c>
      <c r="J2031" t="s">
        <v>9643</v>
      </c>
      <c r="K2031" t="s">
        <v>9632</v>
      </c>
      <c r="L2031" t="s">
        <v>9633</v>
      </c>
      <c r="M2031" t="s">
        <v>1289</v>
      </c>
      <c r="N2031" t="s">
        <v>9634</v>
      </c>
      <c r="O2031" t="s">
        <v>9635</v>
      </c>
      <c r="P2031" t="s">
        <v>9636</v>
      </c>
      <c r="Q2031" t="s">
        <v>9637</v>
      </c>
      <c r="R2031">
        <v>9</v>
      </c>
      <c r="S2031">
        <v>16</v>
      </c>
    </row>
    <row r="2032" spans="1:19" x14ac:dyDescent="0.35">
      <c r="A2032">
        <v>370</v>
      </c>
      <c r="B2032" t="s">
        <v>8983</v>
      </c>
      <c r="C2032" t="s">
        <v>42</v>
      </c>
      <c r="D2032" t="s">
        <v>8984</v>
      </c>
      <c r="E2032" t="e" cm="1">
        <f t="array" ref="E2032">- CLOMIFENE CITRATE</f>
        <v>#NAME?</v>
      </c>
      <c r="F2032" t="s">
        <v>8985</v>
      </c>
      <c r="G2032" t="s">
        <v>2241</v>
      </c>
      <c r="H2032" t="s">
        <v>8986</v>
      </c>
    </row>
    <row r="2033" spans="1:19" x14ac:dyDescent="0.35">
      <c r="A2033">
        <v>8132</v>
      </c>
      <c r="B2033" t="s">
        <v>551</v>
      </c>
      <c r="C2033" t="s">
        <v>42</v>
      </c>
      <c r="D2033" t="s">
        <v>9644</v>
      </c>
      <c r="E2033" t="e" cm="1">
        <f t="array" ref="E2033">- POVIDONE-IODINE</f>
        <v>#NAME?</v>
      </c>
      <c r="F2033" t="s">
        <v>9645</v>
      </c>
      <c r="G2033" t="s">
        <v>9646</v>
      </c>
      <c r="H2033" t="s">
        <v>9647</v>
      </c>
      <c r="I2033" t="s">
        <v>9439</v>
      </c>
      <c r="J2033" t="s">
        <v>9648</v>
      </c>
      <c r="L2033" t="s">
        <v>9649</v>
      </c>
      <c r="M2033" t="s">
        <v>554</v>
      </c>
      <c r="N2033" t="s">
        <v>555</v>
      </c>
      <c r="O2033" t="s">
        <v>9441</v>
      </c>
      <c r="P2033" t="s">
        <v>9650</v>
      </c>
      <c r="Q2033" t="s">
        <v>9651</v>
      </c>
      <c r="R2033">
        <v>9</v>
      </c>
      <c r="S2033">
        <v>16</v>
      </c>
    </row>
    <row r="2034" spans="1:19" x14ac:dyDescent="0.35">
      <c r="A2034">
        <v>7126</v>
      </c>
      <c r="B2034" t="s">
        <v>9652</v>
      </c>
      <c r="C2034" t="s">
        <v>850</v>
      </c>
      <c r="D2034" t="s">
        <v>9653</v>
      </c>
      <c r="E2034" t="e" cm="1">
        <f t="array" ref="E2034">- Menthol Crystal</f>
        <v>#NAME?</v>
      </c>
      <c r="F2034" s="1">
        <v>77500</v>
      </c>
      <c r="G2034" t="s">
        <v>9654</v>
      </c>
      <c r="H2034" t="s">
        <v>8926</v>
      </c>
      <c r="I2034" t="s">
        <v>8927</v>
      </c>
      <c r="J2034" t="s">
        <v>9655</v>
      </c>
      <c r="L2034" t="s">
        <v>8929</v>
      </c>
      <c r="M2034" t="s">
        <v>3338</v>
      </c>
      <c r="N2034" t="s">
        <v>9656</v>
      </c>
      <c r="O2034" t="s">
        <v>8930</v>
      </c>
      <c r="P2034" t="s">
        <v>9657</v>
      </c>
      <c r="Q2034" t="s">
        <v>9658</v>
      </c>
      <c r="R2034">
        <v>9</v>
      </c>
      <c r="S2034">
        <v>16</v>
      </c>
    </row>
    <row r="2035" spans="1:19" x14ac:dyDescent="0.35">
      <c r="A2035">
        <v>136</v>
      </c>
      <c r="B2035" t="s">
        <v>2902</v>
      </c>
      <c r="C2035" t="s">
        <v>42</v>
      </c>
      <c r="D2035" t="s">
        <v>9659</v>
      </c>
      <c r="E2035" t="e" cm="1">
        <f t="array" ref="E2035">- SILDENAFIL CITRATE</f>
        <v>#NAME?</v>
      </c>
      <c r="F2035" t="s">
        <v>9660</v>
      </c>
      <c r="G2035" t="s">
        <v>8185</v>
      </c>
      <c r="H2035" t="s">
        <v>3854</v>
      </c>
      <c r="I2035" t="s">
        <v>8186</v>
      </c>
      <c r="J2035" t="s">
        <v>9661</v>
      </c>
      <c r="L2035" t="s">
        <v>8188</v>
      </c>
      <c r="M2035" t="s">
        <v>46</v>
      </c>
      <c r="N2035" t="s">
        <v>2519</v>
      </c>
      <c r="O2035" t="s">
        <v>8189</v>
      </c>
      <c r="P2035" t="s">
        <v>9662</v>
      </c>
      <c r="Q2035" t="s">
        <v>9663</v>
      </c>
      <c r="R2035">
        <v>9</v>
      </c>
      <c r="S2035">
        <v>16</v>
      </c>
    </row>
    <row r="2036" spans="1:19" x14ac:dyDescent="0.35">
      <c r="A2036">
        <v>5541</v>
      </c>
      <c r="B2036" t="s">
        <v>9664</v>
      </c>
      <c r="C2036" t="s">
        <v>42</v>
      </c>
      <c r="D2036" t="s">
        <v>9665</v>
      </c>
      <c r="E2036" t="e" cm="1">
        <f t="array" ref="E2036">- MINOXIDIL</f>
        <v>#NAME?</v>
      </c>
      <c r="F2036" t="s">
        <v>9666</v>
      </c>
      <c r="G2036" t="s">
        <v>9667</v>
      </c>
      <c r="H2036" t="s">
        <v>9668</v>
      </c>
      <c r="I2036" t="s">
        <v>9669</v>
      </c>
      <c r="J2036" t="s">
        <v>829</v>
      </c>
      <c r="K2036" t="s">
        <v>9670</v>
      </c>
      <c r="L2036" t="s">
        <v>9671</v>
      </c>
      <c r="M2036" t="s">
        <v>554</v>
      </c>
      <c r="N2036" t="s">
        <v>6353</v>
      </c>
      <c r="O2036" t="s">
        <v>9672</v>
      </c>
      <c r="P2036" t="s">
        <v>9673</v>
      </c>
      <c r="Q2036" t="s">
        <v>9674</v>
      </c>
      <c r="R2036">
        <v>9</v>
      </c>
      <c r="S2036">
        <v>16</v>
      </c>
    </row>
    <row r="2037" spans="1:19" x14ac:dyDescent="0.35">
      <c r="A2037">
        <v>7298</v>
      </c>
      <c r="B2037" t="s">
        <v>9675</v>
      </c>
      <c r="C2037" t="s">
        <v>850</v>
      </c>
      <c r="D2037" t="s">
        <v>9676</v>
      </c>
      <c r="E2037" t="e" cm="1">
        <f t="array" ref="E2037">- Angelicae sinensis Radix</f>
        <v>#NAME?</v>
      </c>
      <c r="F2037" t="s">
        <v>9677</v>
      </c>
      <c r="J2037" t="s">
        <v>9678</v>
      </c>
      <c r="M2037" t="s">
        <v>3453</v>
      </c>
      <c r="N2037" t="s">
        <v>9679</v>
      </c>
      <c r="P2037" t="s">
        <v>9680</v>
      </c>
      <c r="Q2037" t="s">
        <v>9681</v>
      </c>
      <c r="R2037">
        <v>9</v>
      </c>
      <c r="S2037">
        <v>16</v>
      </c>
    </row>
    <row r="2038" spans="1:19" x14ac:dyDescent="0.35">
      <c r="A2038">
        <v>142</v>
      </c>
      <c r="B2038" t="s">
        <v>2902</v>
      </c>
      <c r="C2038" t="s">
        <v>42</v>
      </c>
      <c r="D2038" t="s">
        <v>9281</v>
      </c>
      <c r="E2038" t="e" cm="1">
        <f t="array" ref="E2038">- SILDENAFIL CITRATE</f>
        <v>#NAME?</v>
      </c>
      <c r="F2038" t="s">
        <v>9282</v>
      </c>
      <c r="G2038" t="s">
        <v>8185</v>
      </c>
      <c r="H2038" t="s">
        <v>3854</v>
      </c>
      <c r="I2038" t="s">
        <v>8186</v>
      </c>
      <c r="J2038" t="s">
        <v>8479</v>
      </c>
      <c r="L2038" t="s">
        <v>8188</v>
      </c>
      <c r="M2038" t="s">
        <v>46</v>
      </c>
      <c r="N2038" t="s">
        <v>2519</v>
      </c>
      <c r="O2038" t="s">
        <v>8189</v>
      </c>
      <c r="P2038" t="s">
        <v>9279</v>
      </c>
      <c r="Q2038" t="s">
        <v>9682</v>
      </c>
      <c r="R2038">
        <v>9</v>
      </c>
      <c r="S2038">
        <v>16</v>
      </c>
    </row>
    <row r="2039" spans="1:19" x14ac:dyDescent="0.35">
      <c r="A2039">
        <v>141</v>
      </c>
      <c r="B2039" t="s">
        <v>2902</v>
      </c>
      <c r="C2039" t="s">
        <v>42</v>
      </c>
      <c r="D2039" t="s">
        <v>9277</v>
      </c>
      <c r="E2039" t="e" cm="1">
        <f t="array" ref="E2039">- SILDENAFIL CITRATE</f>
        <v>#NAME?</v>
      </c>
      <c r="F2039" t="s">
        <v>9278</v>
      </c>
      <c r="G2039" t="s">
        <v>8185</v>
      </c>
      <c r="H2039" t="s">
        <v>3854</v>
      </c>
      <c r="I2039" t="s">
        <v>8186</v>
      </c>
      <c r="J2039" t="s">
        <v>8980</v>
      </c>
      <c r="L2039" t="s">
        <v>8188</v>
      </c>
      <c r="M2039" t="s">
        <v>46</v>
      </c>
      <c r="N2039" t="s">
        <v>2519</v>
      </c>
      <c r="O2039" t="s">
        <v>8189</v>
      </c>
      <c r="P2039" t="s">
        <v>9279</v>
      </c>
      <c r="Q2039" t="s">
        <v>9682</v>
      </c>
      <c r="R2039">
        <v>9</v>
      </c>
      <c r="S2039">
        <v>16</v>
      </c>
    </row>
    <row r="2040" spans="1:19" x14ac:dyDescent="0.35">
      <c r="A2040">
        <v>140</v>
      </c>
      <c r="B2040" t="s">
        <v>2902</v>
      </c>
      <c r="C2040" t="s">
        <v>42</v>
      </c>
      <c r="D2040" t="s">
        <v>9683</v>
      </c>
      <c r="E2040" t="e" cm="1">
        <f t="array" ref="E2040">- SILDENAFIL CITRATE</f>
        <v>#NAME?</v>
      </c>
      <c r="F2040" s="1">
        <v>12900</v>
      </c>
      <c r="G2040" t="s">
        <v>8185</v>
      </c>
      <c r="H2040" t="s">
        <v>3854</v>
      </c>
      <c r="I2040" t="s">
        <v>8186</v>
      </c>
      <c r="J2040" t="s">
        <v>9684</v>
      </c>
      <c r="L2040" t="s">
        <v>8188</v>
      </c>
      <c r="M2040" t="s">
        <v>46</v>
      </c>
      <c r="N2040" t="s">
        <v>2519</v>
      </c>
      <c r="O2040" t="s">
        <v>8189</v>
      </c>
      <c r="P2040" t="s">
        <v>9685</v>
      </c>
      <c r="Q2040" t="s">
        <v>9686</v>
      </c>
      <c r="R2040">
        <v>9</v>
      </c>
      <c r="S2040">
        <v>16</v>
      </c>
    </row>
    <row r="2041" spans="1:19" x14ac:dyDescent="0.35">
      <c r="A2041">
        <v>139</v>
      </c>
      <c r="B2041" t="s">
        <v>2902</v>
      </c>
      <c r="C2041" t="s">
        <v>42</v>
      </c>
      <c r="D2041" t="s">
        <v>9687</v>
      </c>
      <c r="E2041" t="e" cm="1">
        <f t="array" ref="E2041">- SILDENAFIL CITRATE</f>
        <v>#NAME?</v>
      </c>
      <c r="F2041" t="s">
        <v>9688</v>
      </c>
      <c r="I2041" t="s">
        <v>8186</v>
      </c>
      <c r="J2041" t="s">
        <v>9689</v>
      </c>
      <c r="M2041" t="s">
        <v>46</v>
      </c>
      <c r="N2041" t="s">
        <v>2519</v>
      </c>
      <c r="O2041" t="s">
        <v>8189</v>
      </c>
      <c r="P2041" t="s">
        <v>9685</v>
      </c>
      <c r="Q2041" t="s">
        <v>9686</v>
      </c>
      <c r="R2041">
        <v>9</v>
      </c>
      <c r="S2041">
        <v>16</v>
      </c>
    </row>
    <row r="2042" spans="1:19" x14ac:dyDescent="0.35">
      <c r="A2042">
        <v>9090</v>
      </c>
      <c r="B2042" t="s">
        <v>9690</v>
      </c>
      <c r="C2042" t="s">
        <v>42</v>
      </c>
      <c r="D2042" t="s">
        <v>9691</v>
      </c>
      <c r="E2042" t="e" cm="1">
        <f t="array" ref="E2042">- CAPTOPRIL</f>
        <v>#NAME?</v>
      </c>
      <c r="F2042" t="s">
        <v>9692</v>
      </c>
      <c r="G2042" t="s">
        <v>9693</v>
      </c>
      <c r="H2042" t="s">
        <v>9694</v>
      </c>
      <c r="I2042" t="s">
        <v>9695</v>
      </c>
      <c r="J2042" t="s">
        <v>5934</v>
      </c>
      <c r="K2042" t="s">
        <v>9696</v>
      </c>
      <c r="L2042" t="s">
        <v>9697</v>
      </c>
      <c r="M2042" t="s">
        <v>46</v>
      </c>
      <c r="N2042" t="s">
        <v>4734</v>
      </c>
      <c r="O2042" t="s">
        <v>9698</v>
      </c>
      <c r="P2042" t="s">
        <v>9699</v>
      </c>
      <c r="Q2042" t="s">
        <v>9700</v>
      </c>
      <c r="R2042">
        <v>9</v>
      </c>
      <c r="S2042">
        <v>16</v>
      </c>
    </row>
    <row r="2043" spans="1:19" x14ac:dyDescent="0.35">
      <c r="A2043">
        <v>9091</v>
      </c>
      <c r="B2043" t="s">
        <v>9701</v>
      </c>
      <c r="C2043" t="s">
        <v>42</v>
      </c>
      <c r="D2043" t="s">
        <v>9702</v>
      </c>
      <c r="E2043" t="e" cm="1">
        <f t="array" ref="E2043">- CAPTOPRIL</f>
        <v>#NAME?</v>
      </c>
      <c r="F2043" t="s">
        <v>9703</v>
      </c>
      <c r="G2043" t="s">
        <v>9693</v>
      </c>
      <c r="H2043" t="s">
        <v>9694</v>
      </c>
      <c r="I2043" t="s">
        <v>9704</v>
      </c>
      <c r="J2043" t="s">
        <v>9705</v>
      </c>
      <c r="K2043" t="s">
        <v>9696</v>
      </c>
      <c r="L2043" t="s">
        <v>9697</v>
      </c>
      <c r="M2043" t="s">
        <v>46</v>
      </c>
      <c r="N2043" t="s">
        <v>4734</v>
      </c>
      <c r="O2043" t="s">
        <v>9698</v>
      </c>
      <c r="P2043" t="s">
        <v>9699</v>
      </c>
      <c r="Q2043" t="s">
        <v>9700</v>
      </c>
      <c r="R2043">
        <v>9</v>
      </c>
      <c r="S2043">
        <v>16</v>
      </c>
    </row>
    <row r="2044" spans="1:19" x14ac:dyDescent="0.35">
      <c r="A2044">
        <v>2626</v>
      </c>
      <c r="B2044" t="s">
        <v>9706</v>
      </c>
      <c r="C2044" t="s">
        <v>42</v>
      </c>
      <c r="D2044" t="s">
        <v>9707</v>
      </c>
      <c r="E2044" t="e" cm="1">
        <f t="array" ref="E2044">- PARACETAMOL</f>
        <v>#NAME?</v>
      </c>
      <c r="F2044" t="s">
        <v>3124</v>
      </c>
      <c r="G2044" t="s">
        <v>4362</v>
      </c>
      <c r="H2044" t="s">
        <v>9708</v>
      </c>
      <c r="I2044" t="s">
        <v>9709</v>
      </c>
      <c r="J2044" t="s">
        <v>9710</v>
      </c>
      <c r="K2044" t="s">
        <v>9711</v>
      </c>
      <c r="L2044" t="s">
        <v>9712</v>
      </c>
      <c r="M2044" t="s">
        <v>291</v>
      </c>
      <c r="N2044" t="s">
        <v>584</v>
      </c>
      <c r="O2044" t="s">
        <v>9713</v>
      </c>
      <c r="P2044" t="s">
        <v>4346</v>
      </c>
      <c r="Q2044" t="s">
        <v>9714</v>
      </c>
      <c r="R2044">
        <v>9</v>
      </c>
      <c r="S2044">
        <v>16</v>
      </c>
    </row>
    <row r="2045" spans="1:19" x14ac:dyDescent="0.35">
      <c r="A2045">
        <v>2627</v>
      </c>
      <c r="B2045" t="s">
        <v>9706</v>
      </c>
      <c r="C2045" t="s">
        <v>42</v>
      </c>
      <c r="D2045" t="s">
        <v>9707</v>
      </c>
      <c r="E2045" t="e" cm="1">
        <f t="array" ref="E2045">- PARACETAMOL</f>
        <v>#NAME?</v>
      </c>
      <c r="F2045" t="s">
        <v>3124</v>
      </c>
      <c r="G2045" t="s">
        <v>4362</v>
      </c>
      <c r="H2045" t="s">
        <v>9708</v>
      </c>
      <c r="I2045" t="s">
        <v>9709</v>
      </c>
      <c r="J2045" t="s">
        <v>9710</v>
      </c>
      <c r="K2045" t="s">
        <v>9711</v>
      </c>
      <c r="L2045" t="s">
        <v>9712</v>
      </c>
      <c r="M2045" t="s">
        <v>291</v>
      </c>
      <c r="N2045" t="s">
        <v>584</v>
      </c>
      <c r="O2045" t="s">
        <v>9713</v>
      </c>
      <c r="P2045" t="s">
        <v>4346</v>
      </c>
      <c r="Q2045" t="s">
        <v>9714</v>
      </c>
      <c r="R2045">
        <v>9</v>
      </c>
      <c r="S2045">
        <v>16</v>
      </c>
    </row>
    <row r="2046" spans="1:19" x14ac:dyDescent="0.35">
      <c r="A2046">
        <v>2628</v>
      </c>
      <c r="B2046" t="s">
        <v>9706</v>
      </c>
      <c r="C2046" t="s">
        <v>42</v>
      </c>
      <c r="D2046" t="s">
        <v>9707</v>
      </c>
      <c r="E2046" t="e" cm="1">
        <f t="array" ref="E2046">- PARACETAMOL</f>
        <v>#NAME?</v>
      </c>
      <c r="F2046" t="s">
        <v>3124</v>
      </c>
      <c r="G2046" t="s">
        <v>4362</v>
      </c>
      <c r="H2046" t="s">
        <v>9708</v>
      </c>
      <c r="I2046" t="s">
        <v>9709</v>
      </c>
      <c r="J2046" t="s">
        <v>9710</v>
      </c>
      <c r="K2046" t="s">
        <v>9711</v>
      </c>
      <c r="L2046" t="s">
        <v>9712</v>
      </c>
      <c r="M2046" t="s">
        <v>291</v>
      </c>
      <c r="N2046" t="s">
        <v>584</v>
      </c>
      <c r="O2046" t="s">
        <v>9713</v>
      </c>
      <c r="P2046" t="s">
        <v>4346</v>
      </c>
      <c r="Q2046" t="s">
        <v>9714</v>
      </c>
      <c r="R2046">
        <v>9</v>
      </c>
      <c r="S2046">
        <v>16</v>
      </c>
    </row>
    <row r="2047" spans="1:19" x14ac:dyDescent="0.35">
      <c r="A2047">
        <v>5475</v>
      </c>
      <c r="B2047" t="s">
        <v>9715</v>
      </c>
      <c r="C2047" t="s">
        <v>42</v>
      </c>
      <c r="D2047" t="s">
        <v>9716</v>
      </c>
      <c r="E2047" t="e" cm="1">
        <f t="array" ref="E2047">- FLUOCINOLONE ACETONIDE. NEOMYCIN SULFATE</f>
        <v>#NAME?</v>
      </c>
      <c r="F2047" t="s">
        <v>9717</v>
      </c>
      <c r="G2047" t="s">
        <v>7120</v>
      </c>
      <c r="H2047" t="s">
        <v>9718</v>
      </c>
      <c r="I2047" t="s">
        <v>9719</v>
      </c>
      <c r="J2047" t="s">
        <v>9720</v>
      </c>
      <c r="K2047" t="s">
        <v>9721</v>
      </c>
      <c r="L2047" t="s">
        <v>9722</v>
      </c>
      <c r="M2047" t="s">
        <v>1289</v>
      </c>
      <c r="N2047" t="s">
        <v>9723</v>
      </c>
      <c r="O2047" t="s">
        <v>9724</v>
      </c>
      <c r="P2047" t="s">
        <v>9725</v>
      </c>
      <c r="Q2047" t="s">
        <v>9726</v>
      </c>
      <c r="R2047">
        <v>9</v>
      </c>
      <c r="S2047">
        <v>16</v>
      </c>
    </row>
    <row r="2048" spans="1:19" x14ac:dyDescent="0.35">
      <c r="A2048">
        <v>9092</v>
      </c>
      <c r="B2048" t="s">
        <v>9701</v>
      </c>
      <c r="C2048" t="s">
        <v>42</v>
      </c>
      <c r="D2048" t="s">
        <v>9702</v>
      </c>
      <c r="E2048" t="e" cm="1">
        <f t="array" ref="E2048">- CAPTOPRIL</f>
        <v>#NAME?</v>
      </c>
      <c r="F2048" t="s">
        <v>9703</v>
      </c>
      <c r="G2048" t="s">
        <v>9693</v>
      </c>
      <c r="H2048" t="s">
        <v>9694</v>
      </c>
      <c r="I2048" t="s">
        <v>9704</v>
      </c>
      <c r="J2048" t="s">
        <v>9705</v>
      </c>
      <c r="K2048" t="s">
        <v>9696</v>
      </c>
      <c r="L2048" t="s">
        <v>9697</v>
      </c>
      <c r="M2048" t="s">
        <v>46</v>
      </c>
      <c r="N2048" t="s">
        <v>4734</v>
      </c>
      <c r="O2048" t="s">
        <v>9698</v>
      </c>
      <c r="P2048" t="s">
        <v>9699</v>
      </c>
      <c r="Q2048" t="s">
        <v>9700</v>
      </c>
      <c r="R2048">
        <v>9</v>
      </c>
      <c r="S2048">
        <v>16</v>
      </c>
    </row>
    <row r="2049" spans="1:19" x14ac:dyDescent="0.35">
      <c r="A2049">
        <v>138</v>
      </c>
      <c r="B2049" t="s">
        <v>2902</v>
      </c>
      <c r="C2049" t="s">
        <v>42</v>
      </c>
      <c r="D2049" t="s">
        <v>9727</v>
      </c>
      <c r="E2049" t="e" cm="1">
        <f t="array" ref="E2049">- SILDENAFIL CITRATE</f>
        <v>#NAME?</v>
      </c>
      <c r="F2049" s="1">
        <v>79100</v>
      </c>
      <c r="G2049" t="s">
        <v>8185</v>
      </c>
      <c r="H2049" t="s">
        <v>8383</v>
      </c>
      <c r="I2049" t="s">
        <v>8186</v>
      </c>
      <c r="J2049" t="s">
        <v>9728</v>
      </c>
      <c r="M2049" t="s">
        <v>46</v>
      </c>
      <c r="N2049" t="s">
        <v>2519</v>
      </c>
      <c r="O2049" t="s">
        <v>8189</v>
      </c>
      <c r="P2049" t="s">
        <v>9263</v>
      </c>
      <c r="Q2049" t="s">
        <v>9264</v>
      </c>
      <c r="R2049">
        <v>9</v>
      </c>
      <c r="S2049">
        <v>16</v>
      </c>
    </row>
    <row r="2050" spans="1:19" x14ac:dyDescent="0.35">
      <c r="A2050">
        <v>137</v>
      </c>
      <c r="B2050" t="s">
        <v>2902</v>
      </c>
      <c r="C2050" t="s">
        <v>42</v>
      </c>
      <c r="D2050" t="s">
        <v>9729</v>
      </c>
      <c r="E2050" t="e" cm="1">
        <f t="array" ref="E2050">- SILDENAFIL CITRATE</f>
        <v>#NAME?</v>
      </c>
      <c r="F2050" t="s">
        <v>9730</v>
      </c>
      <c r="G2050" t="s">
        <v>8185</v>
      </c>
      <c r="H2050" t="s">
        <v>3854</v>
      </c>
      <c r="I2050" t="s">
        <v>8186</v>
      </c>
      <c r="J2050" t="s">
        <v>9661</v>
      </c>
      <c r="L2050" t="s">
        <v>8188</v>
      </c>
      <c r="M2050" t="s">
        <v>46</v>
      </c>
      <c r="N2050" t="s">
        <v>2519</v>
      </c>
      <c r="O2050" t="s">
        <v>8189</v>
      </c>
      <c r="P2050" t="s">
        <v>9731</v>
      </c>
      <c r="Q2050" t="s">
        <v>9732</v>
      </c>
      <c r="R2050">
        <v>9</v>
      </c>
      <c r="S2050">
        <v>16</v>
      </c>
    </row>
    <row r="2051" spans="1:19" x14ac:dyDescent="0.35">
      <c r="A2051">
        <v>5476</v>
      </c>
      <c r="B2051" t="s">
        <v>9733</v>
      </c>
      <c r="C2051" t="s">
        <v>42</v>
      </c>
      <c r="D2051" t="s">
        <v>9734</v>
      </c>
      <c r="E2051" t="e" cm="1">
        <f t="array" ref="E2051">- GENTAMICIN SULFATE</f>
        <v>#NAME?</v>
      </c>
      <c r="F2051" t="s">
        <v>9735</v>
      </c>
      <c r="G2051" t="s">
        <v>9736</v>
      </c>
      <c r="H2051" t="s">
        <v>9737</v>
      </c>
      <c r="I2051" t="s">
        <v>9738</v>
      </c>
      <c r="J2051" t="s">
        <v>9739</v>
      </c>
      <c r="K2051" t="s">
        <v>2726</v>
      </c>
      <c r="L2051" t="s">
        <v>9740</v>
      </c>
      <c r="M2051" t="s">
        <v>1289</v>
      </c>
      <c r="N2051" t="s">
        <v>6119</v>
      </c>
      <c r="O2051" t="s">
        <v>9741</v>
      </c>
      <c r="P2051" t="s">
        <v>9742</v>
      </c>
      <c r="Q2051" t="s">
        <v>9743</v>
      </c>
      <c r="R2051">
        <v>9</v>
      </c>
      <c r="S2051">
        <v>16</v>
      </c>
    </row>
    <row r="2052" spans="1:19" x14ac:dyDescent="0.35">
      <c r="A2052">
        <v>9097</v>
      </c>
      <c r="B2052" t="s">
        <v>9744</v>
      </c>
      <c r="C2052" t="s">
        <v>42</v>
      </c>
      <c r="D2052" t="s">
        <v>9745</v>
      </c>
      <c r="E2052" t="e" cm="1">
        <f t="array" ref="E2052">- VALSARTAN</f>
        <v>#NAME?</v>
      </c>
      <c r="F2052" t="s">
        <v>9746</v>
      </c>
      <c r="G2052" t="s">
        <v>6869</v>
      </c>
      <c r="H2052" t="s">
        <v>9747</v>
      </c>
      <c r="I2052" t="s">
        <v>6871</v>
      </c>
      <c r="J2052" t="s">
        <v>6344</v>
      </c>
      <c r="K2052" t="s">
        <v>6872</v>
      </c>
      <c r="L2052" t="s">
        <v>6873</v>
      </c>
      <c r="M2052" t="s">
        <v>46</v>
      </c>
      <c r="N2052" t="s">
        <v>6874</v>
      </c>
      <c r="O2052" t="s">
        <v>6875</v>
      </c>
      <c r="P2052" t="s">
        <v>9748</v>
      </c>
      <c r="Q2052" t="s">
        <v>9749</v>
      </c>
      <c r="R2052">
        <v>9</v>
      </c>
      <c r="S2052">
        <v>16</v>
      </c>
    </row>
    <row r="2053" spans="1:19" x14ac:dyDescent="0.35">
      <c r="A2053">
        <v>948</v>
      </c>
      <c r="B2053" t="s">
        <v>9750</v>
      </c>
      <c r="C2053" t="s">
        <v>42</v>
      </c>
      <c r="D2053" t="s">
        <v>9751</v>
      </c>
      <c r="E2053" t="e" cm="1">
        <f t="array" ref="E2053">- CHLORPHENAMINE MALEATE</f>
        <v>#NAME?</v>
      </c>
      <c r="F2053" s="1">
        <v>16400</v>
      </c>
      <c r="G2053" t="s">
        <v>2241</v>
      </c>
      <c r="H2053" t="s">
        <v>9752</v>
      </c>
      <c r="I2053" t="s">
        <v>9753</v>
      </c>
      <c r="J2053" t="s">
        <v>9754</v>
      </c>
      <c r="K2053" t="s">
        <v>9755</v>
      </c>
      <c r="L2053" t="s">
        <v>9756</v>
      </c>
      <c r="M2053" t="s">
        <v>291</v>
      </c>
      <c r="N2053" t="s">
        <v>1354</v>
      </c>
      <c r="O2053" t="s">
        <v>9757</v>
      </c>
      <c r="P2053" t="s">
        <v>9758</v>
      </c>
      <c r="Q2053" t="s">
        <v>9759</v>
      </c>
      <c r="R2053">
        <v>9</v>
      </c>
      <c r="S2053">
        <v>16</v>
      </c>
    </row>
    <row r="2054" spans="1:19" x14ac:dyDescent="0.35">
      <c r="A2054">
        <v>949</v>
      </c>
      <c r="B2054" t="s">
        <v>9750</v>
      </c>
      <c r="C2054" t="s">
        <v>42</v>
      </c>
      <c r="D2054" t="s">
        <v>9751</v>
      </c>
      <c r="E2054" t="e" cm="1">
        <f t="array" ref="E2054">- CHLORPHENAMINE MALEATE</f>
        <v>#NAME?</v>
      </c>
      <c r="F2054" s="1">
        <v>16400</v>
      </c>
      <c r="G2054" t="s">
        <v>2241</v>
      </c>
      <c r="H2054" t="s">
        <v>9752</v>
      </c>
      <c r="I2054" t="s">
        <v>9753</v>
      </c>
      <c r="J2054" t="s">
        <v>9754</v>
      </c>
      <c r="K2054" t="s">
        <v>9755</v>
      </c>
      <c r="L2054" t="s">
        <v>9756</v>
      </c>
      <c r="M2054" t="s">
        <v>291</v>
      </c>
      <c r="N2054" t="s">
        <v>1354</v>
      </c>
      <c r="O2054" t="s">
        <v>9757</v>
      </c>
      <c r="P2054" t="s">
        <v>9758</v>
      </c>
      <c r="Q2054" t="s">
        <v>9759</v>
      </c>
      <c r="R2054">
        <v>9</v>
      </c>
      <c r="S2054">
        <v>16</v>
      </c>
    </row>
    <row r="2055" spans="1:19" x14ac:dyDescent="0.35">
      <c r="A2055">
        <v>9098</v>
      </c>
      <c r="B2055" t="s">
        <v>9760</v>
      </c>
      <c r="C2055" t="s">
        <v>42</v>
      </c>
      <c r="D2055" t="s">
        <v>9761</v>
      </c>
      <c r="E2055" t="e" cm="1">
        <f t="array" ref="E2055">- VALSARTAN</f>
        <v>#NAME?</v>
      </c>
      <c r="F2055" t="s">
        <v>9762</v>
      </c>
      <c r="G2055" t="s">
        <v>6869</v>
      </c>
      <c r="H2055" t="s">
        <v>9763</v>
      </c>
      <c r="I2055" t="s">
        <v>6871</v>
      </c>
      <c r="J2055" t="s">
        <v>6344</v>
      </c>
      <c r="K2055" t="s">
        <v>9764</v>
      </c>
      <c r="L2055" t="s">
        <v>9765</v>
      </c>
      <c r="M2055" t="s">
        <v>46</v>
      </c>
      <c r="N2055" t="s">
        <v>6874</v>
      </c>
      <c r="O2055" t="s">
        <v>6875</v>
      </c>
      <c r="P2055" t="s">
        <v>9748</v>
      </c>
      <c r="Q2055" t="s">
        <v>9749</v>
      </c>
      <c r="R2055">
        <v>9</v>
      </c>
      <c r="S2055">
        <v>16</v>
      </c>
    </row>
    <row r="2056" spans="1:19" x14ac:dyDescent="0.35">
      <c r="A2056">
        <v>8133</v>
      </c>
      <c r="B2056" t="s">
        <v>551</v>
      </c>
      <c r="C2056" t="s">
        <v>42</v>
      </c>
      <c r="D2056" t="s">
        <v>9644</v>
      </c>
      <c r="E2056" t="e" cm="1">
        <f t="array" ref="E2056">- POVIDONE-IODINE</f>
        <v>#NAME?</v>
      </c>
      <c r="F2056" t="s">
        <v>9645</v>
      </c>
      <c r="G2056" t="s">
        <v>9646</v>
      </c>
      <c r="H2056" t="s">
        <v>9647</v>
      </c>
      <c r="I2056" t="s">
        <v>9439</v>
      </c>
      <c r="J2056" t="s">
        <v>9648</v>
      </c>
      <c r="L2056" t="s">
        <v>9649</v>
      </c>
      <c r="M2056" t="s">
        <v>554</v>
      </c>
      <c r="N2056" t="s">
        <v>555</v>
      </c>
      <c r="O2056" t="s">
        <v>9441</v>
      </c>
      <c r="P2056" t="s">
        <v>9650</v>
      </c>
      <c r="Q2056" t="s">
        <v>9651</v>
      </c>
      <c r="R2056">
        <v>9</v>
      </c>
      <c r="S2056">
        <v>16</v>
      </c>
    </row>
    <row r="2057" spans="1:19" x14ac:dyDescent="0.35">
      <c r="A2057">
        <v>164</v>
      </c>
      <c r="B2057" t="s">
        <v>2902</v>
      </c>
      <c r="C2057" t="s">
        <v>42</v>
      </c>
      <c r="D2057" t="s">
        <v>8823</v>
      </c>
      <c r="E2057" t="e" cm="1">
        <f t="array" ref="E2057">- SILDENAFIL CITRATE</f>
        <v>#NAME?</v>
      </c>
      <c r="F2057" t="s">
        <v>8824</v>
      </c>
      <c r="J2057" t="s">
        <v>8697</v>
      </c>
      <c r="M2057" t="s">
        <v>46</v>
      </c>
      <c r="N2057" t="s">
        <v>2519</v>
      </c>
      <c r="P2057" t="s">
        <v>8825</v>
      </c>
      <c r="Q2057" t="s">
        <v>9766</v>
      </c>
      <c r="R2057">
        <v>9</v>
      </c>
      <c r="S2057">
        <v>16</v>
      </c>
    </row>
    <row r="2058" spans="1:19" x14ac:dyDescent="0.35">
      <c r="A2058">
        <v>8978</v>
      </c>
      <c r="B2058" t="s">
        <v>9767</v>
      </c>
      <c r="C2058" t="s">
        <v>42</v>
      </c>
      <c r="D2058" t="s">
        <v>9768</v>
      </c>
      <c r="E2058" t="e" cm="1">
        <f t="array" ref="E2058">- CARVEDILOL</f>
        <v>#NAME?</v>
      </c>
      <c r="F2058" t="s">
        <v>9769</v>
      </c>
      <c r="G2058" t="s">
        <v>5746</v>
      </c>
      <c r="H2058" t="s">
        <v>6880</v>
      </c>
      <c r="I2058" t="s">
        <v>6881</v>
      </c>
      <c r="J2058" t="s">
        <v>6487</v>
      </c>
      <c r="K2058" t="s">
        <v>6882</v>
      </c>
      <c r="L2058" t="s">
        <v>6883</v>
      </c>
      <c r="M2058" t="s">
        <v>46</v>
      </c>
      <c r="N2058" t="s">
        <v>6884</v>
      </c>
      <c r="O2058" t="s">
        <v>6885</v>
      </c>
      <c r="P2058" t="s">
        <v>9179</v>
      </c>
      <c r="Q2058" t="s">
        <v>9180</v>
      </c>
      <c r="R2058">
        <v>9</v>
      </c>
      <c r="S2058">
        <v>16</v>
      </c>
    </row>
    <row r="2059" spans="1:19" x14ac:dyDescent="0.35">
      <c r="A2059">
        <v>8977</v>
      </c>
      <c r="B2059" t="s">
        <v>9767</v>
      </c>
      <c r="C2059" t="s">
        <v>42</v>
      </c>
      <c r="D2059" t="s">
        <v>9768</v>
      </c>
      <c r="E2059" t="e" cm="1">
        <f t="array" ref="E2059">- CARVEDILOL</f>
        <v>#NAME?</v>
      </c>
      <c r="F2059" t="s">
        <v>9769</v>
      </c>
      <c r="G2059" t="s">
        <v>5746</v>
      </c>
      <c r="H2059" t="s">
        <v>6880</v>
      </c>
      <c r="I2059" t="s">
        <v>6881</v>
      </c>
      <c r="J2059" t="s">
        <v>6487</v>
      </c>
      <c r="K2059" t="s">
        <v>6882</v>
      </c>
      <c r="L2059" t="s">
        <v>6883</v>
      </c>
      <c r="M2059" t="s">
        <v>46</v>
      </c>
      <c r="N2059" t="s">
        <v>6884</v>
      </c>
      <c r="O2059" t="s">
        <v>6885</v>
      </c>
      <c r="P2059" t="s">
        <v>9179</v>
      </c>
      <c r="Q2059" t="s">
        <v>9180</v>
      </c>
      <c r="R2059">
        <v>9</v>
      </c>
      <c r="S2059">
        <v>16</v>
      </c>
    </row>
    <row r="2060" spans="1:19" x14ac:dyDescent="0.35">
      <c r="A2060">
        <v>5292</v>
      </c>
      <c r="B2060" t="s">
        <v>9770</v>
      </c>
      <c r="C2060" t="s">
        <v>42</v>
      </c>
      <c r="D2060" t="s">
        <v>9771</v>
      </c>
      <c r="E2060" t="e" cm="1">
        <f t="array" ref="E2060">- MICONAZOLE NITRATE</f>
        <v>#NAME?</v>
      </c>
      <c r="F2060" t="s">
        <v>9772</v>
      </c>
      <c r="G2060" t="s">
        <v>9773</v>
      </c>
      <c r="H2060" t="s">
        <v>9774</v>
      </c>
      <c r="I2060" t="s">
        <v>9775</v>
      </c>
      <c r="J2060" t="s">
        <v>2040</v>
      </c>
      <c r="K2060" t="s">
        <v>9776</v>
      </c>
      <c r="L2060" t="s">
        <v>9777</v>
      </c>
      <c r="M2060" t="s">
        <v>1289</v>
      </c>
      <c r="N2060" t="s">
        <v>9389</v>
      </c>
      <c r="O2060" t="s">
        <v>9778</v>
      </c>
      <c r="P2060" t="s">
        <v>9779</v>
      </c>
      <c r="Q2060" t="s">
        <v>9780</v>
      </c>
      <c r="R2060">
        <v>9</v>
      </c>
      <c r="S2060">
        <v>16</v>
      </c>
    </row>
    <row r="2061" spans="1:19" x14ac:dyDescent="0.35">
      <c r="A2061">
        <v>7025</v>
      </c>
      <c r="B2061" t="s">
        <v>1803</v>
      </c>
      <c r="C2061" t="s">
        <v>42</v>
      </c>
      <c r="D2061" t="s">
        <v>8682</v>
      </c>
      <c r="E2061" t="e" cm="1">
        <f t="array" ref="E2061">- TIZANIDINE HYDROCHLORIDE</f>
        <v>#NAME?</v>
      </c>
      <c r="F2061" t="s">
        <v>8683</v>
      </c>
      <c r="G2061" t="s">
        <v>8684</v>
      </c>
      <c r="H2061" t="s">
        <v>8685</v>
      </c>
      <c r="J2061" t="s">
        <v>8686</v>
      </c>
      <c r="M2061" t="s">
        <v>46</v>
      </c>
      <c r="N2061" t="s">
        <v>1806</v>
      </c>
      <c r="P2061" t="s">
        <v>8687</v>
      </c>
      <c r="Q2061" t="s">
        <v>9781</v>
      </c>
      <c r="R2061">
        <v>9</v>
      </c>
      <c r="S2061">
        <v>16</v>
      </c>
    </row>
    <row r="2062" spans="1:19" x14ac:dyDescent="0.35">
      <c r="A2062">
        <v>8909</v>
      </c>
      <c r="B2062" t="s">
        <v>9782</v>
      </c>
      <c r="C2062" t="s">
        <v>42</v>
      </c>
      <c r="D2062" t="s">
        <v>9783</v>
      </c>
      <c r="E2062" t="e" cm="1">
        <f t="array" ref="E2062">- FUROSEMIDE</f>
        <v>#NAME?</v>
      </c>
      <c r="F2062" t="s">
        <v>9784</v>
      </c>
      <c r="G2062" t="s">
        <v>9785</v>
      </c>
      <c r="H2062" t="s">
        <v>9786</v>
      </c>
      <c r="I2062" t="s">
        <v>9787</v>
      </c>
      <c r="J2062" t="s">
        <v>381</v>
      </c>
      <c r="K2062" t="s">
        <v>9788</v>
      </c>
      <c r="L2062" t="s">
        <v>9789</v>
      </c>
      <c r="M2062" t="s">
        <v>46</v>
      </c>
      <c r="N2062" t="s">
        <v>9790</v>
      </c>
      <c r="O2062" t="s">
        <v>9791</v>
      </c>
      <c r="P2062" t="s">
        <v>9790</v>
      </c>
      <c r="Q2062" t="s">
        <v>9792</v>
      </c>
      <c r="R2062">
        <v>9</v>
      </c>
      <c r="S2062">
        <v>16</v>
      </c>
    </row>
    <row r="2063" spans="1:19" x14ac:dyDescent="0.35">
      <c r="A2063">
        <v>101</v>
      </c>
      <c r="B2063" t="s">
        <v>2902</v>
      </c>
      <c r="C2063" t="s">
        <v>42</v>
      </c>
      <c r="D2063" t="s">
        <v>9793</v>
      </c>
      <c r="E2063" t="e" cm="1">
        <f t="array" ref="E2063">- SILDENAFIL CITRATE</f>
        <v>#NAME?</v>
      </c>
      <c r="F2063" t="s">
        <v>9794</v>
      </c>
      <c r="G2063" t="s">
        <v>8185</v>
      </c>
      <c r="H2063" t="s">
        <v>3854</v>
      </c>
      <c r="I2063" t="s">
        <v>8186</v>
      </c>
      <c r="J2063" t="s">
        <v>6198</v>
      </c>
      <c r="L2063" t="s">
        <v>8188</v>
      </c>
      <c r="M2063" t="s">
        <v>46</v>
      </c>
      <c r="N2063" t="s">
        <v>2519</v>
      </c>
      <c r="O2063" t="s">
        <v>8189</v>
      </c>
      <c r="P2063" t="s">
        <v>9795</v>
      </c>
      <c r="Q2063" t="s">
        <v>9796</v>
      </c>
      <c r="R2063">
        <v>9</v>
      </c>
      <c r="S2063">
        <v>16</v>
      </c>
    </row>
    <row r="2064" spans="1:19" x14ac:dyDescent="0.35">
      <c r="A2064">
        <v>102</v>
      </c>
      <c r="B2064" t="s">
        <v>2902</v>
      </c>
      <c r="C2064" t="s">
        <v>42</v>
      </c>
      <c r="D2064" t="s">
        <v>9797</v>
      </c>
      <c r="E2064" t="e" cm="1">
        <f t="array" ref="E2064">- SILDENAFIL CITRATE</f>
        <v>#NAME?</v>
      </c>
      <c r="F2064" t="s">
        <v>9798</v>
      </c>
      <c r="G2064" t="s">
        <v>8185</v>
      </c>
      <c r="H2064" t="s">
        <v>3854</v>
      </c>
      <c r="I2064" t="s">
        <v>8186</v>
      </c>
      <c r="J2064" t="s">
        <v>9799</v>
      </c>
      <c r="L2064" t="s">
        <v>8188</v>
      </c>
      <c r="M2064" t="s">
        <v>46</v>
      </c>
      <c r="N2064" t="s">
        <v>2519</v>
      </c>
      <c r="O2064" t="s">
        <v>8189</v>
      </c>
      <c r="P2064" t="s">
        <v>9800</v>
      </c>
      <c r="Q2064" t="s">
        <v>9801</v>
      </c>
      <c r="R2064">
        <v>9</v>
      </c>
      <c r="S2064">
        <v>16</v>
      </c>
    </row>
    <row r="2065" spans="1:19" x14ac:dyDescent="0.35">
      <c r="A2065">
        <v>5293</v>
      </c>
      <c r="B2065" t="s">
        <v>9770</v>
      </c>
      <c r="C2065" t="s">
        <v>42</v>
      </c>
      <c r="D2065" t="s">
        <v>9771</v>
      </c>
      <c r="E2065" t="e" cm="1">
        <f t="array" ref="E2065">- MICONAZOLE NITRATE</f>
        <v>#NAME?</v>
      </c>
      <c r="F2065" t="s">
        <v>9772</v>
      </c>
      <c r="G2065" t="s">
        <v>9773</v>
      </c>
      <c r="H2065" t="s">
        <v>9774</v>
      </c>
      <c r="I2065" t="s">
        <v>9775</v>
      </c>
      <c r="J2065" t="s">
        <v>2040</v>
      </c>
      <c r="K2065" t="s">
        <v>9776</v>
      </c>
      <c r="L2065" t="s">
        <v>9777</v>
      </c>
      <c r="M2065" t="s">
        <v>1289</v>
      </c>
      <c r="N2065" t="s">
        <v>9389</v>
      </c>
      <c r="O2065" t="s">
        <v>9778</v>
      </c>
      <c r="P2065" t="s">
        <v>9779</v>
      </c>
      <c r="Q2065" t="s">
        <v>9780</v>
      </c>
      <c r="R2065">
        <v>9</v>
      </c>
      <c r="S2065">
        <v>16</v>
      </c>
    </row>
    <row r="2066" spans="1:19" x14ac:dyDescent="0.35">
      <c r="A2066">
        <v>5294</v>
      </c>
      <c r="B2066" t="s">
        <v>9770</v>
      </c>
      <c r="C2066" t="s">
        <v>42</v>
      </c>
      <c r="D2066" t="s">
        <v>9771</v>
      </c>
      <c r="E2066" t="e" cm="1">
        <f t="array" ref="E2066">- MICONAZOLE NITRATE</f>
        <v>#NAME?</v>
      </c>
      <c r="F2066" t="s">
        <v>9772</v>
      </c>
      <c r="G2066" t="s">
        <v>9773</v>
      </c>
      <c r="H2066" t="s">
        <v>9774</v>
      </c>
      <c r="I2066" t="s">
        <v>9775</v>
      </c>
      <c r="J2066" t="s">
        <v>2040</v>
      </c>
      <c r="K2066" t="s">
        <v>9776</v>
      </c>
      <c r="L2066" t="s">
        <v>9777</v>
      </c>
      <c r="M2066" t="s">
        <v>1289</v>
      </c>
      <c r="N2066" t="s">
        <v>9389</v>
      </c>
      <c r="O2066" t="s">
        <v>9778</v>
      </c>
      <c r="P2066" t="s">
        <v>9779</v>
      </c>
      <c r="Q2066" t="s">
        <v>9780</v>
      </c>
      <c r="R2066">
        <v>9</v>
      </c>
      <c r="S2066">
        <v>16</v>
      </c>
    </row>
    <row r="2067" spans="1:19" x14ac:dyDescent="0.35">
      <c r="A2067">
        <v>8910</v>
      </c>
      <c r="B2067" t="s">
        <v>9782</v>
      </c>
      <c r="C2067" t="s">
        <v>42</v>
      </c>
      <c r="D2067" t="s">
        <v>9783</v>
      </c>
      <c r="E2067" t="e" cm="1">
        <f t="array" ref="E2067">- FUROSEMIDE</f>
        <v>#NAME?</v>
      </c>
      <c r="F2067" t="s">
        <v>9802</v>
      </c>
      <c r="G2067" t="s">
        <v>9785</v>
      </c>
      <c r="H2067" t="s">
        <v>9786</v>
      </c>
      <c r="I2067" t="s">
        <v>9787</v>
      </c>
      <c r="J2067" t="s">
        <v>381</v>
      </c>
      <c r="K2067" t="s">
        <v>9788</v>
      </c>
      <c r="L2067" t="s">
        <v>9789</v>
      </c>
      <c r="M2067" t="s">
        <v>46</v>
      </c>
      <c r="N2067" t="s">
        <v>9790</v>
      </c>
      <c r="O2067" t="s">
        <v>9791</v>
      </c>
      <c r="P2067" t="s">
        <v>9790</v>
      </c>
      <c r="Q2067" t="s">
        <v>9792</v>
      </c>
      <c r="R2067">
        <v>9</v>
      </c>
      <c r="S2067">
        <v>16</v>
      </c>
    </row>
    <row r="2068" spans="1:19" x14ac:dyDescent="0.35">
      <c r="A2068">
        <v>7412</v>
      </c>
      <c r="B2068" t="s">
        <v>9803</v>
      </c>
      <c r="C2068" t="s">
        <v>42</v>
      </c>
      <c r="D2068" t="s">
        <v>9804</v>
      </c>
      <c r="E2068" t="e" cm="1">
        <f t="array" ref="E2068">- CYANOCOBALAMIN</f>
        <v>#NAME?</v>
      </c>
      <c r="F2068" t="s">
        <v>9805</v>
      </c>
      <c r="G2068" t="s">
        <v>9806</v>
      </c>
      <c r="H2068" t="s">
        <v>9807</v>
      </c>
      <c r="I2068" t="s">
        <v>9808</v>
      </c>
      <c r="J2068" t="s">
        <v>9809</v>
      </c>
      <c r="L2068" t="s">
        <v>9810</v>
      </c>
      <c r="M2068" t="s">
        <v>46</v>
      </c>
      <c r="N2068" t="s">
        <v>677</v>
      </c>
      <c r="O2068" t="s">
        <v>9811</v>
      </c>
      <c r="P2068" t="s">
        <v>9812</v>
      </c>
      <c r="Q2068" t="s">
        <v>9813</v>
      </c>
      <c r="R2068">
        <v>9</v>
      </c>
      <c r="S2068">
        <v>16</v>
      </c>
    </row>
    <row r="2069" spans="1:19" x14ac:dyDescent="0.35">
      <c r="A2069">
        <v>7029</v>
      </c>
      <c r="B2069" t="s">
        <v>1803</v>
      </c>
      <c r="C2069" t="s">
        <v>42</v>
      </c>
      <c r="D2069" t="s">
        <v>9206</v>
      </c>
      <c r="E2069" t="e" cm="1">
        <f t="array" ref="E2069">- TIZANIDINE HYDROCHLORIDE</f>
        <v>#NAME?</v>
      </c>
      <c r="F2069" t="s">
        <v>9207</v>
      </c>
      <c r="J2069" t="s">
        <v>9011</v>
      </c>
      <c r="M2069" t="s">
        <v>46</v>
      </c>
      <c r="N2069" t="s">
        <v>1806</v>
      </c>
      <c r="P2069" t="s">
        <v>9208</v>
      </c>
      <c r="Q2069" t="s">
        <v>9814</v>
      </c>
      <c r="R2069">
        <v>9</v>
      </c>
      <c r="S2069">
        <v>16</v>
      </c>
    </row>
    <row r="2070" spans="1:19" x14ac:dyDescent="0.35">
      <c r="A2070">
        <v>7890</v>
      </c>
      <c r="B2070" t="s">
        <v>9815</v>
      </c>
      <c r="C2070" t="s">
        <v>20</v>
      </c>
      <c r="D2070" t="s">
        <v>9816</v>
      </c>
      <c r="E2070" t="s">
        <v>9817</v>
      </c>
      <c r="F2070" t="s">
        <v>9818</v>
      </c>
      <c r="G2070" t="s">
        <v>2241</v>
      </c>
      <c r="H2070" t="s">
        <v>9819</v>
      </c>
      <c r="I2070" t="s">
        <v>9820</v>
      </c>
      <c r="J2070" t="s">
        <v>347</v>
      </c>
      <c r="M2070" t="s">
        <v>38</v>
      </c>
      <c r="N2070" t="s">
        <v>9821</v>
      </c>
      <c r="O2070" t="s">
        <v>9822</v>
      </c>
      <c r="P2070" t="s">
        <v>9821</v>
      </c>
      <c r="Q2070" t="s">
        <v>9823</v>
      </c>
      <c r="R2070">
        <v>9</v>
      </c>
      <c r="S2070">
        <v>16</v>
      </c>
    </row>
    <row r="2071" spans="1:19" x14ac:dyDescent="0.35">
      <c r="A2071">
        <v>1439</v>
      </c>
      <c r="B2071" t="s">
        <v>1373</v>
      </c>
      <c r="C2071" t="s">
        <v>42</v>
      </c>
      <c r="D2071" t="s">
        <v>1374</v>
      </c>
      <c r="E2071" t="e" cm="1">
        <f t="array" ref="E2071">- PARACETAMOL. GUAIFENESIN. DIPHENHYDRAMINE HYDROCHLORIDE. DEXTROMETHORPHAN HBR MONOHYDRATE</f>
        <v>#NAME?</v>
      </c>
      <c r="F2071" t="s">
        <v>1375</v>
      </c>
      <c r="J2071" t="s">
        <v>334</v>
      </c>
      <c r="M2071" t="s">
        <v>271</v>
      </c>
      <c r="N2071" t="s">
        <v>9824</v>
      </c>
      <c r="P2071" t="s">
        <v>1377</v>
      </c>
      <c r="Q2071" t="s">
        <v>9825</v>
      </c>
      <c r="R2071">
        <v>9</v>
      </c>
      <c r="S2071">
        <v>16</v>
      </c>
    </row>
    <row r="2072" spans="1:19" x14ac:dyDescent="0.35">
      <c r="A2072">
        <v>7889</v>
      </c>
      <c r="B2072" t="s">
        <v>9815</v>
      </c>
      <c r="C2072" t="s">
        <v>20</v>
      </c>
      <c r="D2072" t="s">
        <v>9816</v>
      </c>
      <c r="E2072" t="s">
        <v>9817</v>
      </c>
      <c r="F2072" t="s">
        <v>9818</v>
      </c>
      <c r="G2072" t="s">
        <v>2241</v>
      </c>
      <c r="H2072" t="s">
        <v>9819</v>
      </c>
      <c r="I2072" t="s">
        <v>9820</v>
      </c>
      <c r="J2072" t="s">
        <v>347</v>
      </c>
      <c r="M2072" t="s">
        <v>38</v>
      </c>
      <c r="N2072" t="s">
        <v>9821</v>
      </c>
      <c r="O2072" t="s">
        <v>9822</v>
      </c>
      <c r="P2072" t="s">
        <v>9821</v>
      </c>
      <c r="Q2072" t="s">
        <v>9823</v>
      </c>
      <c r="R2072">
        <v>9</v>
      </c>
      <c r="S2072">
        <v>16</v>
      </c>
    </row>
    <row r="2073" spans="1:19" x14ac:dyDescent="0.35">
      <c r="A2073">
        <v>690</v>
      </c>
      <c r="B2073" t="s">
        <v>9826</v>
      </c>
      <c r="C2073" t="s">
        <v>20</v>
      </c>
      <c r="D2073" t="s">
        <v>9827</v>
      </c>
      <c r="E2073" t="s">
        <v>9828</v>
      </c>
      <c r="F2073" t="s">
        <v>9829</v>
      </c>
      <c r="J2073" t="s">
        <v>846</v>
      </c>
      <c r="M2073" t="s">
        <v>2115</v>
      </c>
      <c r="N2073" t="s">
        <v>9830</v>
      </c>
      <c r="P2073" t="s">
        <v>9831</v>
      </c>
      <c r="Q2073" t="s">
        <v>9832</v>
      </c>
      <c r="R2073">
        <v>9</v>
      </c>
      <c r="S2073">
        <v>16</v>
      </c>
    </row>
    <row r="2074" spans="1:19" x14ac:dyDescent="0.35">
      <c r="A2074">
        <v>3995</v>
      </c>
      <c r="B2074" t="s">
        <v>7504</v>
      </c>
      <c r="C2074" t="s">
        <v>42</v>
      </c>
      <c r="D2074" t="s">
        <v>7505</v>
      </c>
      <c r="E2074" t="e" cm="1">
        <f t="array" ref="E2074">- LACTULOSE CONCENTRATE</f>
        <v>#NAME?</v>
      </c>
      <c r="F2074" s="1">
        <v>91800</v>
      </c>
      <c r="G2074" t="s">
        <v>2241</v>
      </c>
      <c r="H2074" t="s">
        <v>7506</v>
      </c>
      <c r="I2074" t="s">
        <v>7507</v>
      </c>
      <c r="J2074" t="s">
        <v>1144</v>
      </c>
      <c r="M2074" t="s">
        <v>271</v>
      </c>
      <c r="N2074" t="s">
        <v>1619</v>
      </c>
      <c r="O2074" t="s">
        <v>7508</v>
      </c>
      <c r="P2074" t="s">
        <v>7509</v>
      </c>
      <c r="Q2074" t="s">
        <v>9833</v>
      </c>
      <c r="R2074">
        <v>9</v>
      </c>
      <c r="S2074">
        <v>16</v>
      </c>
    </row>
    <row r="2075" spans="1:19" x14ac:dyDescent="0.35">
      <c r="A2075">
        <v>104</v>
      </c>
      <c r="B2075" t="s">
        <v>2902</v>
      </c>
      <c r="C2075" t="s">
        <v>42</v>
      </c>
      <c r="D2075" t="s">
        <v>9144</v>
      </c>
      <c r="E2075" t="e" cm="1">
        <f t="array" ref="E2075">- SILDENAFIL CITRATE</f>
        <v>#NAME?</v>
      </c>
      <c r="F2075" t="s">
        <v>9145</v>
      </c>
      <c r="G2075" t="s">
        <v>8185</v>
      </c>
      <c r="H2075" t="s">
        <v>3854</v>
      </c>
      <c r="I2075" t="s">
        <v>8186</v>
      </c>
      <c r="J2075" t="s">
        <v>8479</v>
      </c>
      <c r="L2075" t="s">
        <v>8188</v>
      </c>
      <c r="M2075" t="s">
        <v>46</v>
      </c>
      <c r="N2075" t="s">
        <v>2519</v>
      </c>
      <c r="O2075" t="s">
        <v>8189</v>
      </c>
      <c r="P2075" t="s">
        <v>9146</v>
      </c>
      <c r="Q2075" t="s">
        <v>9834</v>
      </c>
      <c r="R2075">
        <v>9</v>
      </c>
      <c r="S2075">
        <v>16</v>
      </c>
    </row>
    <row r="2076" spans="1:19" x14ac:dyDescent="0.35">
      <c r="A2076">
        <v>7045</v>
      </c>
      <c r="B2076" t="s">
        <v>1803</v>
      </c>
      <c r="C2076" t="s">
        <v>42</v>
      </c>
      <c r="D2076" t="s">
        <v>9009</v>
      </c>
      <c r="E2076" t="e" cm="1">
        <f t="array" ref="E2076">- TIZANIDINE HYDROCHLORIDE</f>
        <v>#NAME?</v>
      </c>
      <c r="F2076" t="s">
        <v>9010</v>
      </c>
      <c r="J2076" t="s">
        <v>9011</v>
      </c>
      <c r="M2076" t="s">
        <v>46</v>
      </c>
      <c r="N2076" t="s">
        <v>1806</v>
      </c>
      <c r="P2076" t="s">
        <v>9012</v>
      </c>
      <c r="Q2076" t="s">
        <v>9835</v>
      </c>
      <c r="R2076">
        <v>9</v>
      </c>
      <c r="S2076">
        <v>16</v>
      </c>
    </row>
    <row r="2077" spans="1:19" x14ac:dyDescent="0.35">
      <c r="A2077">
        <v>8949</v>
      </c>
      <c r="B2077" t="s">
        <v>9836</v>
      </c>
      <c r="C2077" t="s">
        <v>42</v>
      </c>
      <c r="D2077" t="s">
        <v>9837</v>
      </c>
      <c r="E2077" t="e" cm="1">
        <f t="array" ref="E2077">- CAPTOPRIL</f>
        <v>#NAME?</v>
      </c>
      <c r="F2077" t="s">
        <v>9838</v>
      </c>
      <c r="G2077" t="s">
        <v>9839</v>
      </c>
      <c r="H2077" t="s">
        <v>9840</v>
      </c>
      <c r="I2077" t="s">
        <v>9841</v>
      </c>
      <c r="J2077" t="s">
        <v>381</v>
      </c>
      <c r="K2077" t="s">
        <v>9842</v>
      </c>
      <c r="L2077" t="s">
        <v>9843</v>
      </c>
      <c r="M2077" t="s">
        <v>46</v>
      </c>
      <c r="N2077" t="s">
        <v>4734</v>
      </c>
      <c r="O2077" t="s">
        <v>9844</v>
      </c>
      <c r="P2077" t="s">
        <v>4734</v>
      </c>
      <c r="Q2077" t="s">
        <v>9845</v>
      </c>
      <c r="R2077">
        <v>9</v>
      </c>
      <c r="S2077">
        <v>16</v>
      </c>
    </row>
    <row r="2078" spans="1:19" x14ac:dyDescent="0.35">
      <c r="A2078">
        <v>3991</v>
      </c>
      <c r="B2078" t="s">
        <v>9846</v>
      </c>
      <c r="C2078" t="s">
        <v>20</v>
      </c>
      <c r="D2078" t="s">
        <v>9847</v>
      </c>
      <c r="E2078" t="s">
        <v>9848</v>
      </c>
      <c r="F2078" t="s">
        <v>9849</v>
      </c>
      <c r="G2078" t="s">
        <v>2241</v>
      </c>
      <c r="H2078" t="s">
        <v>7609</v>
      </c>
      <c r="I2078" t="s">
        <v>3993</v>
      </c>
      <c r="J2078" t="s">
        <v>9850</v>
      </c>
      <c r="M2078" t="s">
        <v>38</v>
      </c>
      <c r="N2078" t="s">
        <v>9851</v>
      </c>
      <c r="O2078" t="s">
        <v>3764</v>
      </c>
      <c r="P2078" t="s">
        <v>9852</v>
      </c>
      <c r="Q2078" t="s">
        <v>9853</v>
      </c>
      <c r="R2078">
        <v>9</v>
      </c>
      <c r="S2078">
        <v>16</v>
      </c>
    </row>
    <row r="2079" spans="1:19" x14ac:dyDescent="0.35">
      <c r="A2079">
        <v>100</v>
      </c>
      <c r="B2079" t="s">
        <v>2902</v>
      </c>
      <c r="C2079" t="s">
        <v>42</v>
      </c>
      <c r="D2079" t="s">
        <v>9854</v>
      </c>
      <c r="E2079" t="e" cm="1">
        <f t="array" ref="E2079">- SILDENAFIL CITRATE</f>
        <v>#NAME?</v>
      </c>
      <c r="F2079" t="s">
        <v>9855</v>
      </c>
      <c r="G2079" t="s">
        <v>8185</v>
      </c>
      <c r="H2079" t="s">
        <v>8383</v>
      </c>
      <c r="I2079" t="s">
        <v>8186</v>
      </c>
      <c r="J2079" t="s">
        <v>9621</v>
      </c>
      <c r="L2079" t="s">
        <v>8188</v>
      </c>
      <c r="M2079" t="s">
        <v>46</v>
      </c>
      <c r="N2079" t="s">
        <v>2519</v>
      </c>
      <c r="O2079" t="s">
        <v>8189</v>
      </c>
      <c r="P2079" t="s">
        <v>9856</v>
      </c>
      <c r="Q2079" t="s">
        <v>9857</v>
      </c>
      <c r="R2079">
        <v>9</v>
      </c>
      <c r="S2079">
        <v>16</v>
      </c>
    </row>
    <row r="2080" spans="1:19" x14ac:dyDescent="0.35">
      <c r="A2080">
        <v>1454</v>
      </c>
      <c r="B2080" t="s">
        <v>1669</v>
      </c>
      <c r="C2080" t="s">
        <v>42</v>
      </c>
      <c r="D2080" t="s">
        <v>1670</v>
      </c>
      <c r="E2080" t="e" cm="1">
        <f t="array" ref="E2080">- DIPHENHYDRAMINE HYDROCHLORIDE. AMMONIUM CHLORIDE. SODIUM CITRATE DIHYDRATE</f>
        <v>#NAME?</v>
      </c>
      <c r="F2080" t="s">
        <v>1671</v>
      </c>
      <c r="J2080" t="s">
        <v>1302</v>
      </c>
      <c r="M2080" t="s">
        <v>271</v>
      </c>
      <c r="N2080" t="s">
        <v>9858</v>
      </c>
      <c r="P2080" t="s">
        <v>1673</v>
      </c>
      <c r="Q2080" t="s">
        <v>9859</v>
      </c>
      <c r="R2080">
        <v>9</v>
      </c>
      <c r="S2080">
        <v>16</v>
      </c>
    </row>
    <row r="2081" spans="1:19" x14ac:dyDescent="0.35">
      <c r="A2081">
        <v>7024</v>
      </c>
      <c r="B2081" t="s">
        <v>1803</v>
      </c>
      <c r="C2081" t="s">
        <v>42</v>
      </c>
      <c r="D2081" t="s">
        <v>8680</v>
      </c>
      <c r="E2081" t="e" cm="1">
        <f t="array" ref="E2081">- TIZANIDINE HYDROCHLORIDE</f>
        <v>#NAME?</v>
      </c>
      <c r="F2081" t="s">
        <v>8681</v>
      </c>
      <c r="J2081" t="s">
        <v>8677</v>
      </c>
      <c r="M2081" t="s">
        <v>46</v>
      </c>
      <c r="N2081" t="s">
        <v>1806</v>
      </c>
      <c r="P2081" t="s">
        <v>8678</v>
      </c>
      <c r="Q2081" t="s">
        <v>9860</v>
      </c>
      <c r="R2081">
        <v>9</v>
      </c>
      <c r="S2081">
        <v>16</v>
      </c>
    </row>
    <row r="2082" spans="1:19" x14ac:dyDescent="0.35">
      <c r="A2082">
        <v>5291</v>
      </c>
      <c r="B2082" t="s">
        <v>9770</v>
      </c>
      <c r="C2082" t="s">
        <v>42</v>
      </c>
      <c r="D2082" t="s">
        <v>9771</v>
      </c>
      <c r="E2082" t="e" cm="1">
        <f t="array" ref="E2082">- MICONAZOLE NITRATE</f>
        <v>#NAME?</v>
      </c>
      <c r="F2082" t="s">
        <v>9772</v>
      </c>
      <c r="G2082" t="s">
        <v>9773</v>
      </c>
      <c r="H2082" t="s">
        <v>9774</v>
      </c>
      <c r="I2082" t="s">
        <v>9775</v>
      </c>
      <c r="J2082" t="s">
        <v>2040</v>
      </c>
      <c r="K2082" t="s">
        <v>9776</v>
      </c>
      <c r="L2082" t="s">
        <v>9777</v>
      </c>
      <c r="M2082" t="s">
        <v>1289</v>
      </c>
      <c r="N2082" t="s">
        <v>9389</v>
      </c>
      <c r="O2082" t="s">
        <v>9778</v>
      </c>
      <c r="P2082" t="s">
        <v>9779</v>
      </c>
      <c r="Q2082" t="s">
        <v>9780</v>
      </c>
      <c r="R2082">
        <v>9</v>
      </c>
      <c r="S2082">
        <v>16</v>
      </c>
    </row>
    <row r="2083" spans="1:19" x14ac:dyDescent="0.35">
      <c r="A2083">
        <v>1426</v>
      </c>
      <c r="B2083" t="s">
        <v>9861</v>
      </c>
      <c r="C2083" t="s">
        <v>42</v>
      </c>
      <c r="D2083" t="s">
        <v>9862</v>
      </c>
      <c r="E2083" t="e" cm="1">
        <f t="array" ref="E2083">- ABMROXOL</f>
        <v>#NAME?</v>
      </c>
      <c r="F2083" t="s">
        <v>9863</v>
      </c>
      <c r="G2083" t="s">
        <v>2241</v>
      </c>
      <c r="H2083" t="s">
        <v>9864</v>
      </c>
      <c r="I2083" t="s">
        <v>9865</v>
      </c>
      <c r="J2083" t="s">
        <v>334</v>
      </c>
      <c r="L2083" t="s">
        <v>9866</v>
      </c>
      <c r="M2083" t="s">
        <v>271</v>
      </c>
      <c r="N2083" t="s">
        <v>9867</v>
      </c>
      <c r="O2083" t="s">
        <v>9868</v>
      </c>
      <c r="P2083" t="s">
        <v>9869</v>
      </c>
      <c r="Q2083" t="s">
        <v>9870</v>
      </c>
      <c r="R2083">
        <v>9</v>
      </c>
      <c r="S2083">
        <v>16</v>
      </c>
    </row>
    <row r="2084" spans="1:19" x14ac:dyDescent="0.35">
      <c r="A2084">
        <v>1292</v>
      </c>
      <c r="B2084" t="s">
        <v>9871</v>
      </c>
      <c r="C2084" t="s">
        <v>42</v>
      </c>
      <c r="D2084" t="s">
        <v>9872</v>
      </c>
      <c r="E2084" t="e" cm="1">
        <f t="array" ref="E2084">- ACETYL CYSTEINE</f>
        <v>#NAME?</v>
      </c>
      <c r="F2084" t="s">
        <v>9873</v>
      </c>
      <c r="G2084" t="s">
        <v>2241</v>
      </c>
      <c r="H2084" t="s">
        <v>9874</v>
      </c>
      <c r="I2084" t="s">
        <v>9875</v>
      </c>
      <c r="J2084" t="s">
        <v>9876</v>
      </c>
      <c r="K2084" t="s">
        <v>9877</v>
      </c>
      <c r="L2084" t="s">
        <v>9878</v>
      </c>
      <c r="M2084" t="s">
        <v>291</v>
      </c>
      <c r="N2084" t="s">
        <v>1309</v>
      </c>
      <c r="O2084" t="s">
        <v>9879</v>
      </c>
      <c r="P2084" t="s">
        <v>9880</v>
      </c>
      <c r="Q2084" t="s">
        <v>9881</v>
      </c>
      <c r="R2084">
        <v>9</v>
      </c>
      <c r="S2084">
        <v>16</v>
      </c>
    </row>
    <row r="2085" spans="1:19" x14ac:dyDescent="0.35">
      <c r="A2085">
        <v>7014</v>
      </c>
      <c r="B2085" t="s">
        <v>1803</v>
      </c>
      <c r="C2085" t="s">
        <v>42</v>
      </c>
      <c r="D2085" t="s">
        <v>8736</v>
      </c>
      <c r="E2085" t="e" cm="1">
        <f t="array" ref="E2085">- TIZANIDINE HYDROCHLORIDE</f>
        <v>#NAME?</v>
      </c>
      <c r="F2085" s="1">
        <v>58500</v>
      </c>
      <c r="J2085" t="s">
        <v>8151</v>
      </c>
      <c r="M2085" t="s">
        <v>46</v>
      </c>
      <c r="N2085" t="s">
        <v>1806</v>
      </c>
      <c r="P2085" t="s">
        <v>8737</v>
      </c>
      <c r="Q2085" t="s">
        <v>9882</v>
      </c>
      <c r="R2085">
        <v>9</v>
      </c>
      <c r="S2085">
        <v>16</v>
      </c>
    </row>
    <row r="2086" spans="1:19" x14ac:dyDescent="0.35">
      <c r="A2086">
        <v>7019</v>
      </c>
      <c r="B2086" t="s">
        <v>1803</v>
      </c>
      <c r="C2086" t="s">
        <v>42</v>
      </c>
      <c r="D2086" t="s">
        <v>8695</v>
      </c>
      <c r="E2086" t="e" cm="1">
        <f t="array" ref="E2086">- TIZANIDINE HYDROCHLORIDE</f>
        <v>#NAME?</v>
      </c>
      <c r="F2086" t="s">
        <v>8696</v>
      </c>
      <c r="J2086" t="s">
        <v>8697</v>
      </c>
      <c r="M2086" t="s">
        <v>46</v>
      </c>
      <c r="N2086" t="s">
        <v>1806</v>
      </c>
      <c r="P2086" t="s">
        <v>8698</v>
      </c>
      <c r="Q2086" t="s">
        <v>9883</v>
      </c>
      <c r="R2086">
        <v>9</v>
      </c>
      <c r="S2086">
        <v>16</v>
      </c>
    </row>
    <row r="2087" spans="1:19" x14ac:dyDescent="0.35">
      <c r="A2087">
        <v>95</v>
      </c>
      <c r="B2087" t="s">
        <v>2902</v>
      </c>
      <c r="C2087" t="s">
        <v>42</v>
      </c>
      <c r="D2087" t="s">
        <v>9884</v>
      </c>
      <c r="E2087" t="e" cm="1">
        <f t="array" ref="E2087">- SILDENAFIL CITRATE</f>
        <v>#NAME?</v>
      </c>
      <c r="F2087" s="1">
        <v>25000</v>
      </c>
      <c r="G2087" t="s">
        <v>8382</v>
      </c>
      <c r="H2087" t="s">
        <v>8383</v>
      </c>
      <c r="I2087" t="s">
        <v>8186</v>
      </c>
      <c r="J2087" t="s">
        <v>9661</v>
      </c>
      <c r="M2087" t="s">
        <v>46</v>
      </c>
      <c r="N2087" t="s">
        <v>2519</v>
      </c>
      <c r="O2087" t="s">
        <v>8189</v>
      </c>
      <c r="P2087" t="s">
        <v>9885</v>
      </c>
      <c r="Q2087" t="s">
        <v>9886</v>
      </c>
      <c r="R2087">
        <v>9</v>
      </c>
      <c r="S2087">
        <v>16</v>
      </c>
    </row>
    <row r="2088" spans="1:19" x14ac:dyDescent="0.35">
      <c r="A2088">
        <v>4011</v>
      </c>
      <c r="B2088" t="s">
        <v>9887</v>
      </c>
      <c r="C2088" t="s">
        <v>20</v>
      </c>
      <c r="D2088" t="s">
        <v>9888</v>
      </c>
      <c r="E2088" t="s">
        <v>9889</v>
      </c>
      <c r="F2088" t="s">
        <v>9890</v>
      </c>
      <c r="G2088" t="s">
        <v>1691</v>
      </c>
      <c r="H2088" t="s">
        <v>9891</v>
      </c>
      <c r="I2088" t="s">
        <v>9892</v>
      </c>
      <c r="J2088" t="s">
        <v>347</v>
      </c>
      <c r="K2088" t="s">
        <v>2726</v>
      </c>
      <c r="L2088" t="s">
        <v>5416</v>
      </c>
      <c r="M2088" t="s">
        <v>38</v>
      </c>
      <c r="N2088" t="s">
        <v>9893</v>
      </c>
      <c r="O2088" t="s">
        <v>9894</v>
      </c>
      <c r="P2088" t="s">
        <v>9895</v>
      </c>
      <c r="Q2088" t="s">
        <v>9896</v>
      </c>
      <c r="R2088">
        <v>9</v>
      </c>
      <c r="S2088">
        <v>16</v>
      </c>
    </row>
    <row r="2089" spans="1:19" x14ac:dyDescent="0.35">
      <c r="A2089">
        <v>7420</v>
      </c>
      <c r="B2089" t="s">
        <v>9897</v>
      </c>
      <c r="C2089" t="s">
        <v>42</v>
      </c>
      <c r="D2089" t="s">
        <v>9898</v>
      </c>
      <c r="E2089" t="e" cm="1">
        <f t="array" ref="E2089">- CYANOCOBALAMIN</f>
        <v>#NAME?</v>
      </c>
      <c r="F2089" s="1">
        <v>26900</v>
      </c>
      <c r="G2089" t="s">
        <v>1258</v>
      </c>
      <c r="H2089" t="s">
        <v>9899</v>
      </c>
      <c r="I2089" t="s">
        <v>9900</v>
      </c>
      <c r="J2089" t="s">
        <v>5221</v>
      </c>
      <c r="K2089" t="s">
        <v>3952</v>
      </c>
      <c r="L2089" t="s">
        <v>9901</v>
      </c>
      <c r="M2089" t="s">
        <v>46</v>
      </c>
      <c r="N2089" t="s">
        <v>677</v>
      </c>
      <c r="O2089" t="s">
        <v>9902</v>
      </c>
      <c r="P2089" t="s">
        <v>9903</v>
      </c>
      <c r="Q2089" t="s">
        <v>9904</v>
      </c>
      <c r="R2089">
        <v>9</v>
      </c>
      <c r="S2089">
        <v>16</v>
      </c>
    </row>
    <row r="2090" spans="1:19" x14ac:dyDescent="0.35">
      <c r="A2090">
        <v>1291</v>
      </c>
      <c r="B2090" t="s">
        <v>9871</v>
      </c>
      <c r="C2090" t="s">
        <v>42</v>
      </c>
      <c r="D2090" t="s">
        <v>9872</v>
      </c>
      <c r="E2090" t="e" cm="1">
        <f t="array" ref="E2090">- PARACETAMOL. ACETYLCYSTEINE</f>
        <v>#NAME?</v>
      </c>
      <c r="F2090" t="s">
        <v>9873</v>
      </c>
      <c r="G2090" t="s">
        <v>2241</v>
      </c>
      <c r="H2090" t="s">
        <v>9874</v>
      </c>
      <c r="I2090" t="s">
        <v>9875</v>
      </c>
      <c r="J2090" t="s">
        <v>9876</v>
      </c>
      <c r="K2090" t="s">
        <v>9877</v>
      </c>
      <c r="L2090" t="s">
        <v>9878</v>
      </c>
      <c r="M2090" t="s">
        <v>291</v>
      </c>
      <c r="N2090" t="s">
        <v>9905</v>
      </c>
      <c r="O2090" t="s">
        <v>9879</v>
      </c>
      <c r="P2090" t="s">
        <v>9880</v>
      </c>
      <c r="Q2090" t="s">
        <v>9906</v>
      </c>
      <c r="R2090">
        <v>9</v>
      </c>
      <c r="S2090">
        <v>16</v>
      </c>
    </row>
    <row r="2091" spans="1:19" x14ac:dyDescent="0.35">
      <c r="A2091">
        <v>97</v>
      </c>
      <c r="B2091" t="s">
        <v>2902</v>
      </c>
      <c r="C2091" t="s">
        <v>42</v>
      </c>
      <c r="D2091" t="s">
        <v>9907</v>
      </c>
      <c r="E2091" t="e" cm="1">
        <f t="array" ref="E2091">- SILDENAFIL CITRATE</f>
        <v>#NAME?</v>
      </c>
      <c r="F2091" t="s">
        <v>9908</v>
      </c>
      <c r="I2091" t="s">
        <v>8186</v>
      </c>
      <c r="J2091" t="s">
        <v>9909</v>
      </c>
      <c r="M2091" t="s">
        <v>46</v>
      </c>
      <c r="N2091" t="s">
        <v>2519</v>
      </c>
      <c r="O2091" t="s">
        <v>8189</v>
      </c>
      <c r="P2091" t="s">
        <v>9910</v>
      </c>
      <c r="Q2091" t="s">
        <v>9911</v>
      </c>
      <c r="R2091">
        <v>9</v>
      </c>
      <c r="S2091">
        <v>16</v>
      </c>
    </row>
    <row r="2092" spans="1:19" x14ac:dyDescent="0.35">
      <c r="A2092">
        <v>98</v>
      </c>
      <c r="B2092" t="s">
        <v>2902</v>
      </c>
      <c r="C2092" t="s">
        <v>42</v>
      </c>
      <c r="D2092" t="s">
        <v>9912</v>
      </c>
      <c r="E2092" t="e" cm="1">
        <f t="array" ref="E2092">- SILDENAFIL CITRATE</f>
        <v>#NAME?</v>
      </c>
      <c r="F2092" t="s">
        <v>9913</v>
      </c>
      <c r="G2092" t="s">
        <v>8185</v>
      </c>
      <c r="H2092" t="s">
        <v>3854</v>
      </c>
      <c r="I2092" t="s">
        <v>8186</v>
      </c>
      <c r="J2092" t="s">
        <v>9621</v>
      </c>
      <c r="L2092" t="s">
        <v>8188</v>
      </c>
      <c r="M2092" t="s">
        <v>46</v>
      </c>
      <c r="N2092" t="s">
        <v>2519</v>
      </c>
      <c r="O2092" t="s">
        <v>8189</v>
      </c>
      <c r="P2092" t="s">
        <v>9914</v>
      </c>
      <c r="Q2092" t="s">
        <v>9915</v>
      </c>
      <c r="R2092">
        <v>9</v>
      </c>
      <c r="S2092">
        <v>16</v>
      </c>
    </row>
    <row r="2093" spans="1:19" x14ac:dyDescent="0.35">
      <c r="A2093">
        <v>2953</v>
      </c>
      <c r="B2093" t="s">
        <v>9916</v>
      </c>
      <c r="C2093" t="s">
        <v>42</v>
      </c>
      <c r="D2093" t="s">
        <v>9917</v>
      </c>
      <c r="E2093" t="e" cm="1">
        <f t="array" ref="E2093">- IBUPROFEN</f>
        <v>#NAME?</v>
      </c>
      <c r="F2093" t="s">
        <v>9918</v>
      </c>
      <c r="G2093" t="s">
        <v>539</v>
      </c>
      <c r="I2093" t="s">
        <v>9919</v>
      </c>
      <c r="M2093" t="s">
        <v>271</v>
      </c>
      <c r="N2093" t="s">
        <v>383</v>
      </c>
      <c r="O2093" t="s">
        <v>9920</v>
      </c>
      <c r="P2093" t="s">
        <v>384</v>
      </c>
      <c r="Q2093" t="s">
        <v>9921</v>
      </c>
      <c r="R2093">
        <v>9</v>
      </c>
      <c r="S2093">
        <v>16</v>
      </c>
    </row>
    <row r="2094" spans="1:19" x14ac:dyDescent="0.35">
      <c r="A2094">
        <v>1587</v>
      </c>
      <c r="B2094" t="s">
        <v>5298</v>
      </c>
      <c r="C2094" t="s">
        <v>42</v>
      </c>
      <c r="D2094" t="s">
        <v>5299</v>
      </c>
      <c r="E2094" t="e" cm="1">
        <f t="array" ref="E2094">- PROMETHAZINE HYDROCHLORIDE. SULFOGAIACOL POTASSIUM</f>
        <v>#NAME?</v>
      </c>
      <c r="F2094" t="s">
        <v>5300</v>
      </c>
      <c r="G2094" t="s">
        <v>5301</v>
      </c>
      <c r="H2094" t="s">
        <v>5302</v>
      </c>
      <c r="I2094" t="s">
        <v>5303</v>
      </c>
      <c r="J2094" t="s">
        <v>5304</v>
      </c>
      <c r="M2094" t="s">
        <v>271</v>
      </c>
      <c r="N2094" t="s">
        <v>9922</v>
      </c>
      <c r="O2094" t="s">
        <v>5305</v>
      </c>
      <c r="P2094" t="s">
        <v>5306</v>
      </c>
      <c r="Q2094" t="s">
        <v>9923</v>
      </c>
      <c r="R2094">
        <v>9</v>
      </c>
      <c r="S2094">
        <v>16</v>
      </c>
    </row>
    <row r="2095" spans="1:19" x14ac:dyDescent="0.35">
      <c r="A2095">
        <v>2952</v>
      </c>
      <c r="B2095" t="s">
        <v>9916</v>
      </c>
      <c r="C2095" t="s">
        <v>42</v>
      </c>
      <c r="D2095" t="s">
        <v>9917</v>
      </c>
      <c r="E2095" t="e" cm="1">
        <f t="array" ref="E2095">- IBUPROFEN</f>
        <v>#NAME?</v>
      </c>
      <c r="F2095" t="s">
        <v>9918</v>
      </c>
      <c r="G2095" t="s">
        <v>539</v>
      </c>
      <c r="I2095" t="s">
        <v>9919</v>
      </c>
      <c r="M2095" t="s">
        <v>340</v>
      </c>
      <c r="N2095" t="s">
        <v>383</v>
      </c>
      <c r="O2095" t="s">
        <v>9920</v>
      </c>
      <c r="P2095" t="s">
        <v>384</v>
      </c>
      <c r="Q2095" t="s">
        <v>9924</v>
      </c>
      <c r="R2095">
        <v>9</v>
      </c>
      <c r="S2095">
        <v>16</v>
      </c>
    </row>
    <row r="2096" spans="1:19" x14ac:dyDescent="0.35">
      <c r="A2096">
        <v>7023</v>
      </c>
      <c r="B2096" t="s">
        <v>1803</v>
      </c>
      <c r="C2096" t="s">
        <v>42</v>
      </c>
      <c r="D2096" t="s">
        <v>8675</v>
      </c>
      <c r="E2096" t="e" cm="1">
        <f t="array" ref="E2096">- TIZANIDINE HYDROCHLORIDE</f>
        <v>#NAME?</v>
      </c>
      <c r="F2096" t="s">
        <v>8676</v>
      </c>
      <c r="J2096" t="s">
        <v>8677</v>
      </c>
      <c r="M2096" t="s">
        <v>46</v>
      </c>
      <c r="N2096" t="s">
        <v>1806</v>
      </c>
      <c r="P2096" t="s">
        <v>8678</v>
      </c>
      <c r="Q2096" t="s">
        <v>9860</v>
      </c>
      <c r="R2096">
        <v>9</v>
      </c>
      <c r="S2096">
        <v>16</v>
      </c>
    </row>
    <row r="2097" spans="1:19" x14ac:dyDescent="0.35">
      <c r="A2097">
        <v>2423</v>
      </c>
      <c r="B2097" t="s">
        <v>9925</v>
      </c>
      <c r="C2097" t="s">
        <v>42</v>
      </c>
      <c r="D2097" t="s">
        <v>9926</v>
      </c>
      <c r="E2097" t="e" cm="1">
        <f t="array" ref="E2097">- CYANOCOBALAMIN</f>
        <v>#NAME?</v>
      </c>
      <c r="F2097" t="s">
        <v>9927</v>
      </c>
      <c r="G2097" t="s">
        <v>539</v>
      </c>
      <c r="H2097" t="s">
        <v>269</v>
      </c>
      <c r="I2097" t="s">
        <v>9928</v>
      </c>
      <c r="L2097" t="s">
        <v>270</v>
      </c>
      <c r="M2097" t="s">
        <v>46</v>
      </c>
      <c r="N2097" t="s">
        <v>677</v>
      </c>
      <c r="O2097" t="s">
        <v>9929</v>
      </c>
      <c r="P2097" t="s">
        <v>9930</v>
      </c>
      <c r="Q2097" t="s">
        <v>9931</v>
      </c>
      <c r="R2097">
        <v>9</v>
      </c>
      <c r="S2097">
        <v>16</v>
      </c>
    </row>
    <row r="2098" spans="1:19" x14ac:dyDescent="0.35">
      <c r="A2098">
        <v>5758</v>
      </c>
      <c r="B2098" t="s">
        <v>9335</v>
      </c>
      <c r="C2098" t="s">
        <v>42</v>
      </c>
      <c r="D2098" t="s">
        <v>9336</v>
      </c>
      <c r="E2098" t="e" cm="1">
        <f t="array" ref="E2098">- THIAMPHENICOL</f>
        <v>#NAME?</v>
      </c>
      <c r="F2098" t="s">
        <v>9337</v>
      </c>
      <c r="G2098" t="s">
        <v>737</v>
      </c>
      <c r="H2098" t="s">
        <v>5662</v>
      </c>
      <c r="I2098" t="s">
        <v>9338</v>
      </c>
      <c r="J2098" t="s">
        <v>810</v>
      </c>
      <c r="K2098" t="s">
        <v>9339</v>
      </c>
      <c r="L2098" t="s">
        <v>9340</v>
      </c>
      <c r="M2098" t="s">
        <v>38</v>
      </c>
      <c r="N2098" t="s">
        <v>272</v>
      </c>
      <c r="O2098" t="s">
        <v>9341</v>
      </c>
      <c r="P2098" t="s">
        <v>9342</v>
      </c>
      <c r="Q2098" t="s">
        <v>9343</v>
      </c>
      <c r="R2098">
        <v>9</v>
      </c>
      <c r="S2098">
        <v>16</v>
      </c>
    </row>
    <row r="2099" spans="1:19" x14ac:dyDescent="0.35">
      <c r="A2099">
        <v>9705</v>
      </c>
      <c r="B2099" t="s">
        <v>9932</v>
      </c>
      <c r="C2099" t="s">
        <v>42</v>
      </c>
      <c r="D2099" t="s">
        <v>9933</v>
      </c>
      <c r="E2099" t="e" cm="1">
        <f t="array" ref="E2099">- ROSUVASTATIN CALCIUM</f>
        <v>#NAME?</v>
      </c>
      <c r="F2099" t="s">
        <v>9934</v>
      </c>
      <c r="G2099" t="s">
        <v>6484</v>
      </c>
      <c r="H2099" t="s">
        <v>9935</v>
      </c>
      <c r="I2099" t="s">
        <v>9936</v>
      </c>
      <c r="J2099" t="s">
        <v>2100</v>
      </c>
      <c r="K2099" t="s">
        <v>9937</v>
      </c>
      <c r="L2099" t="s">
        <v>9938</v>
      </c>
      <c r="M2099" t="s">
        <v>46</v>
      </c>
      <c r="N2099" t="s">
        <v>2308</v>
      </c>
      <c r="O2099" t="s">
        <v>9939</v>
      </c>
      <c r="P2099" t="s">
        <v>9940</v>
      </c>
      <c r="Q2099" t="s">
        <v>9941</v>
      </c>
      <c r="R2099">
        <v>9</v>
      </c>
      <c r="S2099">
        <v>16</v>
      </c>
    </row>
    <row r="2100" spans="1:19" x14ac:dyDescent="0.35">
      <c r="A2100">
        <v>5290</v>
      </c>
      <c r="B2100" t="s">
        <v>9770</v>
      </c>
      <c r="C2100" t="s">
        <v>42</v>
      </c>
      <c r="D2100" t="s">
        <v>9771</v>
      </c>
      <c r="E2100" t="e" cm="1">
        <f t="array" ref="E2100">- MICONAZOLE NITRATE</f>
        <v>#NAME?</v>
      </c>
      <c r="F2100" t="s">
        <v>9772</v>
      </c>
      <c r="G2100" t="s">
        <v>9773</v>
      </c>
      <c r="H2100" t="s">
        <v>9774</v>
      </c>
      <c r="I2100" t="s">
        <v>9775</v>
      </c>
      <c r="J2100" t="s">
        <v>2040</v>
      </c>
      <c r="K2100" t="s">
        <v>9776</v>
      </c>
      <c r="L2100" t="s">
        <v>9777</v>
      </c>
      <c r="M2100" t="s">
        <v>1289</v>
      </c>
      <c r="N2100" t="s">
        <v>9389</v>
      </c>
      <c r="O2100" t="s">
        <v>9778</v>
      </c>
      <c r="P2100" t="s">
        <v>9779</v>
      </c>
      <c r="Q2100" t="s">
        <v>9780</v>
      </c>
      <c r="R2100">
        <v>9</v>
      </c>
      <c r="S2100">
        <v>16</v>
      </c>
    </row>
    <row r="2101" spans="1:19" x14ac:dyDescent="0.35">
      <c r="A2101">
        <v>2427</v>
      </c>
      <c r="B2101" t="s">
        <v>9942</v>
      </c>
      <c r="C2101" t="s">
        <v>42</v>
      </c>
      <c r="D2101" t="s">
        <v>9943</v>
      </c>
      <c r="E2101" t="s">
        <v>9944</v>
      </c>
      <c r="F2101" t="s">
        <v>9945</v>
      </c>
      <c r="G2101" t="s">
        <v>2241</v>
      </c>
      <c r="H2101" t="s">
        <v>9946</v>
      </c>
      <c r="I2101" t="s">
        <v>9947</v>
      </c>
      <c r="J2101" t="s">
        <v>1631</v>
      </c>
      <c r="K2101" t="s">
        <v>9948</v>
      </c>
      <c r="L2101" t="s">
        <v>270</v>
      </c>
      <c r="M2101" t="s">
        <v>291</v>
      </c>
      <c r="N2101" t="s">
        <v>9949</v>
      </c>
      <c r="O2101" t="s">
        <v>9950</v>
      </c>
      <c r="P2101" t="s">
        <v>9951</v>
      </c>
      <c r="Q2101" t="s">
        <v>9952</v>
      </c>
      <c r="R2101">
        <v>9</v>
      </c>
      <c r="S2101">
        <v>16</v>
      </c>
    </row>
    <row r="2102" spans="1:19" x14ac:dyDescent="0.35">
      <c r="A2102">
        <v>99</v>
      </c>
      <c r="B2102" t="s">
        <v>2902</v>
      </c>
      <c r="C2102" t="s">
        <v>42</v>
      </c>
      <c r="D2102" t="s">
        <v>9953</v>
      </c>
      <c r="E2102" t="e" cm="1">
        <f t="array" ref="E2102">- SILDENAFIL CITRATE</f>
        <v>#NAME?</v>
      </c>
      <c r="F2102" t="s">
        <v>9954</v>
      </c>
      <c r="G2102" t="s">
        <v>8185</v>
      </c>
      <c r="H2102" t="s">
        <v>8383</v>
      </c>
      <c r="I2102" t="s">
        <v>8186</v>
      </c>
      <c r="J2102" t="s">
        <v>9621</v>
      </c>
      <c r="L2102" t="s">
        <v>8188</v>
      </c>
      <c r="M2102" t="s">
        <v>46</v>
      </c>
      <c r="N2102" t="s">
        <v>2519</v>
      </c>
      <c r="O2102" t="s">
        <v>8189</v>
      </c>
      <c r="P2102" t="s">
        <v>9955</v>
      </c>
      <c r="Q2102" t="s">
        <v>9956</v>
      </c>
      <c r="R2102">
        <v>9</v>
      </c>
      <c r="S2102">
        <v>16</v>
      </c>
    </row>
    <row r="2103" spans="1:19" x14ac:dyDescent="0.35">
      <c r="A2103">
        <v>3792</v>
      </c>
      <c r="B2103" t="s">
        <v>9957</v>
      </c>
      <c r="C2103" t="s">
        <v>42</v>
      </c>
      <c r="D2103" t="s">
        <v>9958</v>
      </c>
      <c r="E2103" t="e" cm="1">
        <f t="array" ref="E2103">- LOPERAMIDE HYDROCHLORIDE</f>
        <v>#NAME?</v>
      </c>
      <c r="F2103" t="s">
        <v>3242</v>
      </c>
      <c r="H2103" t="s">
        <v>9959</v>
      </c>
      <c r="I2103" t="s">
        <v>9960</v>
      </c>
      <c r="J2103" t="s">
        <v>9961</v>
      </c>
      <c r="L2103" t="s">
        <v>9962</v>
      </c>
      <c r="M2103" t="s">
        <v>46</v>
      </c>
      <c r="N2103" t="s">
        <v>1461</v>
      </c>
      <c r="O2103" t="s">
        <v>9963</v>
      </c>
      <c r="P2103" t="s">
        <v>9964</v>
      </c>
      <c r="Q2103" t="s">
        <v>9965</v>
      </c>
      <c r="R2103">
        <v>9</v>
      </c>
      <c r="S2103">
        <v>16</v>
      </c>
    </row>
    <row r="2104" spans="1:19" x14ac:dyDescent="0.35">
      <c r="A2104">
        <v>106</v>
      </c>
      <c r="B2104" t="s">
        <v>2902</v>
      </c>
      <c r="C2104" t="s">
        <v>42</v>
      </c>
      <c r="D2104" t="s">
        <v>9148</v>
      </c>
      <c r="E2104" t="e" cm="1">
        <f t="array" ref="E2104">- SILDENAFIL CITRATE</f>
        <v>#NAME?</v>
      </c>
      <c r="F2104" s="1">
        <v>53200</v>
      </c>
      <c r="G2104" t="s">
        <v>8185</v>
      </c>
      <c r="H2104" t="s">
        <v>3854</v>
      </c>
      <c r="I2104" t="s">
        <v>8186</v>
      </c>
      <c r="J2104" t="s">
        <v>9149</v>
      </c>
      <c r="L2104" t="s">
        <v>8188</v>
      </c>
      <c r="M2104" t="s">
        <v>46</v>
      </c>
      <c r="N2104" t="s">
        <v>2519</v>
      </c>
      <c r="O2104" t="s">
        <v>8189</v>
      </c>
      <c r="P2104" t="s">
        <v>9150</v>
      </c>
      <c r="Q2104" t="s">
        <v>9966</v>
      </c>
      <c r="R2104">
        <v>9</v>
      </c>
      <c r="S2104">
        <v>16</v>
      </c>
    </row>
    <row r="2105" spans="1:19" x14ac:dyDescent="0.35">
      <c r="A2105">
        <v>1008</v>
      </c>
      <c r="B2105" t="s">
        <v>9967</v>
      </c>
      <c r="C2105" t="s">
        <v>42</v>
      </c>
      <c r="D2105" t="s">
        <v>9968</v>
      </c>
      <c r="E2105" t="e" cm="1">
        <f t="array" ref="E2105">- BROMHEXINE HYDROCHLORIDE</f>
        <v>#NAME?</v>
      </c>
      <c r="F2105" t="s">
        <v>9969</v>
      </c>
      <c r="G2105" t="s">
        <v>2241</v>
      </c>
      <c r="H2105" t="s">
        <v>9970</v>
      </c>
      <c r="I2105" t="s">
        <v>8937</v>
      </c>
      <c r="J2105" t="s">
        <v>1144</v>
      </c>
      <c r="K2105" t="s">
        <v>9971</v>
      </c>
      <c r="L2105" t="s">
        <v>8940</v>
      </c>
      <c r="M2105" t="s">
        <v>271</v>
      </c>
      <c r="N2105" t="s">
        <v>1342</v>
      </c>
      <c r="O2105" t="s">
        <v>8941</v>
      </c>
      <c r="P2105" t="s">
        <v>8942</v>
      </c>
      <c r="Q2105" t="s">
        <v>9972</v>
      </c>
      <c r="R2105">
        <v>9</v>
      </c>
      <c r="S2105">
        <v>16</v>
      </c>
    </row>
    <row r="2106" spans="1:19" x14ac:dyDescent="0.35">
      <c r="A2106">
        <v>7811</v>
      </c>
      <c r="B2106" t="s">
        <v>9973</v>
      </c>
      <c r="C2106" t="s">
        <v>20</v>
      </c>
      <c r="D2106" t="s">
        <v>9974</v>
      </c>
      <c r="E2106" t="s">
        <v>9975</v>
      </c>
      <c r="F2106" t="s">
        <v>9976</v>
      </c>
      <c r="H2106" t="s">
        <v>9977</v>
      </c>
      <c r="I2106" t="s">
        <v>9978</v>
      </c>
      <c r="J2106" t="s">
        <v>9979</v>
      </c>
      <c r="M2106" t="s">
        <v>38</v>
      </c>
      <c r="N2106" t="s">
        <v>9980</v>
      </c>
      <c r="O2106" t="s">
        <v>9981</v>
      </c>
      <c r="P2106" t="s">
        <v>9982</v>
      </c>
      <c r="Q2106" t="s">
        <v>9983</v>
      </c>
      <c r="R2106">
        <v>9</v>
      </c>
      <c r="S2106">
        <v>16</v>
      </c>
    </row>
    <row r="2107" spans="1:19" x14ac:dyDescent="0.35">
      <c r="A2107">
        <v>2511</v>
      </c>
      <c r="B2107" t="s">
        <v>9984</v>
      </c>
      <c r="C2107" t="s">
        <v>42</v>
      </c>
      <c r="D2107" t="s">
        <v>9985</v>
      </c>
      <c r="E2107" t="e" cm="1">
        <f t="array" ref="E2107">- METAMIZOLE SODIUM</f>
        <v>#NAME?</v>
      </c>
      <c r="F2107" t="s">
        <v>9986</v>
      </c>
      <c r="G2107" t="s">
        <v>2241</v>
      </c>
      <c r="H2107" t="s">
        <v>9987</v>
      </c>
      <c r="I2107" t="s">
        <v>9988</v>
      </c>
      <c r="J2107" t="s">
        <v>727</v>
      </c>
      <c r="K2107" t="s">
        <v>9989</v>
      </c>
      <c r="L2107" t="s">
        <v>9990</v>
      </c>
      <c r="M2107" t="s">
        <v>291</v>
      </c>
      <c r="N2107" t="s">
        <v>2294</v>
      </c>
      <c r="O2107" t="s">
        <v>9991</v>
      </c>
      <c r="P2107" t="s">
        <v>9992</v>
      </c>
      <c r="Q2107" t="s">
        <v>9993</v>
      </c>
      <c r="R2107">
        <v>9</v>
      </c>
      <c r="S2107">
        <v>16</v>
      </c>
    </row>
    <row r="2108" spans="1:19" x14ac:dyDescent="0.35">
      <c r="A2108">
        <v>1000</v>
      </c>
      <c r="B2108" t="s">
        <v>9994</v>
      </c>
      <c r="C2108" t="s">
        <v>42</v>
      </c>
      <c r="D2108" t="s">
        <v>9995</v>
      </c>
      <c r="E2108" t="e" cm="1">
        <f t="array" ref="E2108">- CHLORPHENAMINE MALEATE</f>
        <v>#NAME?</v>
      </c>
      <c r="F2108" s="1">
        <v>9500</v>
      </c>
      <c r="H2108" t="s">
        <v>9996</v>
      </c>
      <c r="I2108" t="s">
        <v>9997</v>
      </c>
      <c r="J2108" t="s">
        <v>9998</v>
      </c>
      <c r="L2108" t="s">
        <v>9999</v>
      </c>
      <c r="M2108" t="s">
        <v>291</v>
      </c>
      <c r="N2108" t="s">
        <v>1354</v>
      </c>
      <c r="O2108" t="s">
        <v>10000</v>
      </c>
      <c r="P2108" t="s">
        <v>10001</v>
      </c>
      <c r="Q2108" t="s">
        <v>10002</v>
      </c>
      <c r="R2108">
        <v>9</v>
      </c>
      <c r="S2108">
        <v>16</v>
      </c>
    </row>
    <row r="2109" spans="1:19" x14ac:dyDescent="0.35">
      <c r="A2109">
        <v>1471</v>
      </c>
      <c r="B2109" t="s">
        <v>10003</v>
      </c>
      <c r="C2109" t="s">
        <v>42</v>
      </c>
      <c r="D2109" t="s">
        <v>10004</v>
      </c>
      <c r="E2109" t="e" cm="1">
        <f t="array" ref="E2109">- BROMHEXINE HYDROCHLORIDE</f>
        <v>#NAME?</v>
      </c>
      <c r="F2109" s="1">
        <v>19200</v>
      </c>
      <c r="G2109" t="s">
        <v>2241</v>
      </c>
      <c r="H2109" t="s">
        <v>10005</v>
      </c>
      <c r="I2109" t="s">
        <v>10006</v>
      </c>
      <c r="J2109" t="s">
        <v>3926</v>
      </c>
      <c r="K2109" t="s">
        <v>10007</v>
      </c>
      <c r="L2109" t="s">
        <v>10008</v>
      </c>
      <c r="M2109" t="s">
        <v>271</v>
      </c>
      <c r="N2109" t="s">
        <v>1342</v>
      </c>
      <c r="O2109" t="s">
        <v>10009</v>
      </c>
      <c r="P2109" t="s">
        <v>10010</v>
      </c>
      <c r="Q2109" t="s">
        <v>10011</v>
      </c>
      <c r="R2109">
        <v>9</v>
      </c>
      <c r="S2109">
        <v>16</v>
      </c>
    </row>
    <row r="2110" spans="1:19" x14ac:dyDescent="0.35">
      <c r="A2110">
        <v>1282</v>
      </c>
      <c r="B2110" t="s">
        <v>10012</v>
      </c>
      <c r="C2110" t="s">
        <v>42</v>
      </c>
      <c r="D2110" t="s">
        <v>10013</v>
      </c>
      <c r="E2110" t="e" cm="1">
        <f t="array" ref="E2110">- DEXTROMETHORPHAN HYDROBROMIDE</f>
        <v>#NAME?</v>
      </c>
      <c r="F2110" t="s">
        <v>10014</v>
      </c>
      <c r="G2110" t="s">
        <v>2266</v>
      </c>
      <c r="H2110" t="s">
        <v>10015</v>
      </c>
      <c r="I2110" t="s">
        <v>10016</v>
      </c>
      <c r="J2110" t="s">
        <v>1144</v>
      </c>
      <c r="K2110" t="s">
        <v>10017</v>
      </c>
      <c r="L2110" t="s">
        <v>10018</v>
      </c>
      <c r="M2110" t="s">
        <v>271</v>
      </c>
      <c r="N2110" t="s">
        <v>1376</v>
      </c>
      <c r="O2110" t="s">
        <v>10019</v>
      </c>
      <c r="P2110" t="s">
        <v>10020</v>
      </c>
      <c r="Q2110" t="s">
        <v>10021</v>
      </c>
      <c r="R2110">
        <v>9</v>
      </c>
      <c r="S2110">
        <v>16</v>
      </c>
    </row>
    <row r="2111" spans="1:19" x14ac:dyDescent="0.35">
      <c r="A2111">
        <v>1558</v>
      </c>
      <c r="B2111" t="s">
        <v>10022</v>
      </c>
      <c r="C2111" t="s">
        <v>42</v>
      </c>
      <c r="D2111" t="s">
        <v>10023</v>
      </c>
      <c r="E2111" t="e" cm="1">
        <f t="array" ref="E2111">- GUAIFENESIN. OXOMEMAZINE</f>
        <v>#NAME?</v>
      </c>
      <c r="F2111" t="s">
        <v>10024</v>
      </c>
      <c r="G2111" t="s">
        <v>8414</v>
      </c>
      <c r="H2111" t="s">
        <v>8415</v>
      </c>
      <c r="I2111" t="s">
        <v>8416</v>
      </c>
      <c r="J2111" t="s">
        <v>374</v>
      </c>
      <c r="K2111" t="s">
        <v>8417</v>
      </c>
      <c r="L2111" t="s">
        <v>8418</v>
      </c>
      <c r="M2111" t="s">
        <v>271</v>
      </c>
      <c r="N2111" t="s">
        <v>10025</v>
      </c>
      <c r="O2111" t="s">
        <v>8419</v>
      </c>
      <c r="P2111" t="s">
        <v>10026</v>
      </c>
      <c r="Q2111" t="s">
        <v>10027</v>
      </c>
      <c r="R2111">
        <v>9</v>
      </c>
      <c r="S2111">
        <v>16</v>
      </c>
    </row>
    <row r="2112" spans="1:19" x14ac:dyDescent="0.35">
      <c r="A2112">
        <v>1557</v>
      </c>
      <c r="B2112" t="s">
        <v>10022</v>
      </c>
      <c r="C2112" t="s">
        <v>42</v>
      </c>
      <c r="D2112" t="s">
        <v>10023</v>
      </c>
      <c r="E2112" t="e" cm="1">
        <f t="array" ref="E2112">- GUAIFENESIN. OXOMEMAZINE</f>
        <v>#NAME?</v>
      </c>
      <c r="F2112" t="s">
        <v>10024</v>
      </c>
      <c r="G2112" t="s">
        <v>8414</v>
      </c>
      <c r="H2112" t="s">
        <v>8415</v>
      </c>
      <c r="I2112" t="s">
        <v>8416</v>
      </c>
      <c r="J2112" t="s">
        <v>374</v>
      </c>
      <c r="K2112" t="s">
        <v>8417</v>
      </c>
      <c r="L2112" t="s">
        <v>8418</v>
      </c>
      <c r="M2112" t="s">
        <v>271</v>
      </c>
      <c r="N2112" t="s">
        <v>10025</v>
      </c>
      <c r="O2112" t="s">
        <v>8419</v>
      </c>
      <c r="P2112" t="s">
        <v>10026</v>
      </c>
      <c r="Q2112" t="s">
        <v>10027</v>
      </c>
      <c r="R2112">
        <v>9</v>
      </c>
      <c r="S2112">
        <v>16</v>
      </c>
    </row>
    <row r="2113" spans="1:19" x14ac:dyDescent="0.35">
      <c r="A2113">
        <v>108</v>
      </c>
      <c r="B2113" t="s">
        <v>2902</v>
      </c>
      <c r="C2113" t="s">
        <v>42</v>
      </c>
      <c r="D2113" t="s">
        <v>10028</v>
      </c>
      <c r="E2113" t="e" cm="1">
        <f t="array" ref="E2113">- SILDENAFIL CITRATE</f>
        <v>#NAME?</v>
      </c>
      <c r="F2113" t="s">
        <v>10029</v>
      </c>
      <c r="G2113" t="s">
        <v>8185</v>
      </c>
      <c r="H2113" t="s">
        <v>3854</v>
      </c>
      <c r="I2113" t="s">
        <v>8186</v>
      </c>
      <c r="J2113" t="s">
        <v>9661</v>
      </c>
      <c r="L2113" t="s">
        <v>8188</v>
      </c>
      <c r="M2113" t="s">
        <v>46</v>
      </c>
      <c r="N2113" t="s">
        <v>2519</v>
      </c>
      <c r="O2113" t="s">
        <v>8189</v>
      </c>
      <c r="P2113" t="s">
        <v>10030</v>
      </c>
      <c r="Q2113" t="s">
        <v>10031</v>
      </c>
      <c r="R2113">
        <v>9</v>
      </c>
      <c r="S2113">
        <v>16</v>
      </c>
    </row>
    <row r="2114" spans="1:19" x14ac:dyDescent="0.35">
      <c r="A2114">
        <v>110</v>
      </c>
      <c r="B2114" t="s">
        <v>2902</v>
      </c>
      <c r="C2114" t="s">
        <v>42</v>
      </c>
      <c r="D2114" t="s">
        <v>10032</v>
      </c>
      <c r="E2114" t="e" cm="1">
        <f t="array" ref="E2114">- SILDENAFIL CITRATE</f>
        <v>#NAME?</v>
      </c>
      <c r="F2114" t="s">
        <v>10033</v>
      </c>
      <c r="G2114" t="s">
        <v>8185</v>
      </c>
      <c r="H2114" t="s">
        <v>8383</v>
      </c>
      <c r="I2114" t="s">
        <v>8186</v>
      </c>
      <c r="J2114" t="s">
        <v>9661</v>
      </c>
      <c r="L2114" t="s">
        <v>8188</v>
      </c>
      <c r="M2114" t="s">
        <v>46</v>
      </c>
      <c r="N2114" t="s">
        <v>2519</v>
      </c>
      <c r="O2114" t="s">
        <v>8189</v>
      </c>
      <c r="P2114" t="s">
        <v>10034</v>
      </c>
      <c r="Q2114" t="s">
        <v>10035</v>
      </c>
      <c r="R2114">
        <v>9</v>
      </c>
      <c r="S2114">
        <v>16</v>
      </c>
    </row>
    <row r="2115" spans="1:19" x14ac:dyDescent="0.35">
      <c r="A2115">
        <v>7819</v>
      </c>
      <c r="B2115" t="s">
        <v>10036</v>
      </c>
      <c r="C2115" t="s">
        <v>20</v>
      </c>
      <c r="D2115" t="s">
        <v>10037</v>
      </c>
      <c r="E2115" t="s">
        <v>10038</v>
      </c>
      <c r="F2115" t="s">
        <v>10039</v>
      </c>
      <c r="G2115" t="s">
        <v>2241</v>
      </c>
      <c r="H2115" t="s">
        <v>7609</v>
      </c>
      <c r="I2115" t="s">
        <v>10040</v>
      </c>
      <c r="J2115" t="s">
        <v>75</v>
      </c>
      <c r="M2115" t="s">
        <v>38</v>
      </c>
      <c r="N2115" t="s">
        <v>10041</v>
      </c>
      <c r="O2115" t="s">
        <v>10042</v>
      </c>
      <c r="P2115" t="s">
        <v>10043</v>
      </c>
      <c r="Q2115" t="s">
        <v>10044</v>
      </c>
      <c r="R2115">
        <v>9</v>
      </c>
      <c r="S2115">
        <v>16</v>
      </c>
    </row>
    <row r="2116" spans="1:19" x14ac:dyDescent="0.35">
      <c r="A2116">
        <v>1277</v>
      </c>
      <c r="B2116" t="s">
        <v>2908</v>
      </c>
      <c r="C2116" t="s">
        <v>42</v>
      </c>
      <c r="D2116" t="s">
        <v>2909</v>
      </c>
      <c r="E2116" t="e" cm="1">
        <f t="array" ref="E2116">- AMMONIUM CHLORIDE. CHLORPHENAMINE MALEATE. SUCCUS LIQUIRITIAE</f>
        <v>#NAME?</v>
      </c>
      <c r="F2116" t="s">
        <v>2910</v>
      </c>
      <c r="J2116" t="s">
        <v>374</v>
      </c>
      <c r="M2116" t="s">
        <v>271</v>
      </c>
      <c r="N2116" t="s">
        <v>10045</v>
      </c>
      <c r="P2116" t="s">
        <v>2911</v>
      </c>
      <c r="Q2116" t="s">
        <v>10046</v>
      </c>
      <c r="R2116">
        <v>9</v>
      </c>
      <c r="S2116">
        <v>16</v>
      </c>
    </row>
    <row r="2117" spans="1:19" x14ac:dyDescent="0.35">
      <c r="A2117">
        <v>1276</v>
      </c>
      <c r="B2117" t="s">
        <v>2908</v>
      </c>
      <c r="C2117" t="s">
        <v>42</v>
      </c>
      <c r="D2117" t="s">
        <v>2909</v>
      </c>
      <c r="E2117" t="e" cm="1">
        <f t="array" ref="E2117">- AMMONIUM CHLORIDE. CHLORPHENAMINE MALEATE. SUCCUS LIQUIRITIAE</f>
        <v>#NAME?</v>
      </c>
      <c r="F2117" t="s">
        <v>2910</v>
      </c>
      <c r="J2117" t="s">
        <v>374</v>
      </c>
      <c r="M2117" t="s">
        <v>271</v>
      </c>
      <c r="N2117" t="s">
        <v>10045</v>
      </c>
      <c r="P2117" t="s">
        <v>2911</v>
      </c>
      <c r="Q2117" t="s">
        <v>10046</v>
      </c>
      <c r="R2117">
        <v>9</v>
      </c>
      <c r="S2117">
        <v>16</v>
      </c>
    </row>
    <row r="2118" spans="1:19" x14ac:dyDescent="0.35">
      <c r="A2118">
        <v>998</v>
      </c>
      <c r="B2118" t="s">
        <v>10047</v>
      </c>
      <c r="C2118" t="s">
        <v>42</v>
      </c>
      <c r="D2118" t="s">
        <v>10048</v>
      </c>
      <c r="E2118" t="e" cm="1">
        <f t="array" ref="E2118">- AMMONIUM CHLORIDE</f>
        <v>#NAME?</v>
      </c>
      <c r="F2118" t="s">
        <v>10049</v>
      </c>
      <c r="G2118" t="s">
        <v>2241</v>
      </c>
      <c r="H2118" t="s">
        <v>10050</v>
      </c>
      <c r="I2118" t="s">
        <v>10051</v>
      </c>
      <c r="J2118" t="s">
        <v>334</v>
      </c>
      <c r="K2118" t="s">
        <v>10052</v>
      </c>
      <c r="L2118" t="s">
        <v>10053</v>
      </c>
      <c r="M2118" t="s">
        <v>271</v>
      </c>
      <c r="N2118" t="s">
        <v>1672</v>
      </c>
      <c r="O2118" t="s">
        <v>10054</v>
      </c>
      <c r="P2118" t="s">
        <v>10055</v>
      </c>
      <c r="Q2118" t="s">
        <v>10056</v>
      </c>
      <c r="R2118">
        <v>9</v>
      </c>
      <c r="S2118">
        <v>16</v>
      </c>
    </row>
    <row r="2119" spans="1:19" x14ac:dyDescent="0.35">
      <c r="A2119">
        <v>997</v>
      </c>
      <c r="B2119" t="s">
        <v>10047</v>
      </c>
      <c r="C2119" t="s">
        <v>42</v>
      </c>
      <c r="D2119" t="s">
        <v>10048</v>
      </c>
      <c r="E2119" t="e" cm="1">
        <f t="array" ref="E2119">- AMMONIUM CHLORIDE</f>
        <v>#NAME?</v>
      </c>
      <c r="F2119" t="s">
        <v>10049</v>
      </c>
      <c r="G2119" t="s">
        <v>2241</v>
      </c>
      <c r="H2119" t="s">
        <v>10050</v>
      </c>
      <c r="I2119" t="s">
        <v>10051</v>
      </c>
      <c r="J2119" t="s">
        <v>334</v>
      </c>
      <c r="K2119" t="s">
        <v>10052</v>
      </c>
      <c r="L2119" t="s">
        <v>10053</v>
      </c>
      <c r="M2119" t="s">
        <v>271</v>
      </c>
      <c r="N2119" t="s">
        <v>1672</v>
      </c>
      <c r="O2119" t="s">
        <v>10054</v>
      </c>
      <c r="P2119" t="s">
        <v>10055</v>
      </c>
      <c r="Q2119" t="s">
        <v>10056</v>
      </c>
      <c r="R2119">
        <v>9</v>
      </c>
      <c r="S2119">
        <v>16</v>
      </c>
    </row>
    <row r="2120" spans="1:19" x14ac:dyDescent="0.35">
      <c r="A2120">
        <v>4436</v>
      </c>
      <c r="B2120" t="s">
        <v>10057</v>
      </c>
      <c r="C2120" t="s">
        <v>850</v>
      </c>
      <c r="D2120" t="s">
        <v>10058</v>
      </c>
      <c r="E2120" t="e" cm="1">
        <f t="array" ref="E2120">- Amylmetacresol</f>
        <v>#NAME?</v>
      </c>
      <c r="F2120" t="s">
        <v>10059</v>
      </c>
      <c r="H2120" t="s">
        <v>10060</v>
      </c>
      <c r="I2120" t="s">
        <v>10061</v>
      </c>
      <c r="J2120" t="s">
        <v>10062</v>
      </c>
      <c r="M2120" t="s">
        <v>46</v>
      </c>
      <c r="N2120" t="s">
        <v>7500</v>
      </c>
      <c r="O2120" t="s">
        <v>10063</v>
      </c>
      <c r="P2120" t="s">
        <v>10064</v>
      </c>
      <c r="Q2120" t="s">
        <v>10065</v>
      </c>
      <c r="R2120">
        <v>9</v>
      </c>
      <c r="S2120">
        <v>16</v>
      </c>
    </row>
    <row r="2121" spans="1:19" x14ac:dyDescent="0.35">
      <c r="A2121">
        <v>112</v>
      </c>
      <c r="B2121" t="s">
        <v>2902</v>
      </c>
      <c r="C2121" t="s">
        <v>42</v>
      </c>
      <c r="D2121" t="s">
        <v>9276</v>
      </c>
      <c r="E2121" t="e" cm="1">
        <f t="array" ref="E2121">- SILDENAFIL CITRATE</f>
        <v>#NAME?</v>
      </c>
      <c r="F2121" s="1">
        <v>61700</v>
      </c>
      <c r="G2121" t="s">
        <v>8185</v>
      </c>
      <c r="H2121" t="s">
        <v>3854</v>
      </c>
      <c r="I2121" t="s">
        <v>8186</v>
      </c>
      <c r="J2121" t="s">
        <v>8980</v>
      </c>
      <c r="L2121" t="s">
        <v>8188</v>
      </c>
      <c r="M2121" t="s">
        <v>46</v>
      </c>
      <c r="N2121" t="s">
        <v>2519</v>
      </c>
      <c r="O2121" t="s">
        <v>8189</v>
      </c>
      <c r="P2121" t="s">
        <v>9000</v>
      </c>
      <c r="Q2121" t="s">
        <v>10066</v>
      </c>
      <c r="R2121">
        <v>9</v>
      </c>
      <c r="S2121">
        <v>16</v>
      </c>
    </row>
    <row r="2122" spans="1:19" x14ac:dyDescent="0.35">
      <c r="A2122">
        <v>114</v>
      </c>
      <c r="B2122" t="s">
        <v>2902</v>
      </c>
      <c r="C2122" t="s">
        <v>42</v>
      </c>
      <c r="D2122" t="s">
        <v>10067</v>
      </c>
      <c r="E2122" t="e" cm="1">
        <f t="array" ref="E2122">- SILDENAFIL CITRATE</f>
        <v>#NAME?</v>
      </c>
      <c r="F2122" t="s">
        <v>10068</v>
      </c>
      <c r="G2122" t="s">
        <v>8185</v>
      </c>
      <c r="H2122" t="s">
        <v>8383</v>
      </c>
      <c r="I2122" t="s">
        <v>8186</v>
      </c>
      <c r="J2122" t="s">
        <v>6148</v>
      </c>
      <c r="M2122" t="s">
        <v>46</v>
      </c>
      <c r="N2122" t="s">
        <v>2519</v>
      </c>
      <c r="O2122" t="s">
        <v>8189</v>
      </c>
      <c r="P2122" t="s">
        <v>10069</v>
      </c>
      <c r="Q2122" t="s">
        <v>10070</v>
      </c>
      <c r="R2122">
        <v>9</v>
      </c>
      <c r="S2122">
        <v>16</v>
      </c>
    </row>
    <row r="2123" spans="1:19" x14ac:dyDescent="0.35">
      <c r="A2123">
        <v>994</v>
      </c>
      <c r="B2123" t="s">
        <v>10047</v>
      </c>
      <c r="C2123" t="s">
        <v>42</v>
      </c>
      <c r="D2123" t="s">
        <v>10071</v>
      </c>
      <c r="E2123" t="e" cm="1">
        <f t="array" ref="E2123">- AMMONIUM CHLORIDE</f>
        <v>#NAME?</v>
      </c>
      <c r="F2123" t="s">
        <v>10072</v>
      </c>
      <c r="G2123" t="s">
        <v>2241</v>
      </c>
      <c r="H2123" t="s">
        <v>10050</v>
      </c>
      <c r="I2123" t="s">
        <v>10073</v>
      </c>
      <c r="J2123" t="s">
        <v>1144</v>
      </c>
      <c r="K2123" t="s">
        <v>10074</v>
      </c>
      <c r="L2123" t="s">
        <v>10075</v>
      </c>
      <c r="M2123" t="s">
        <v>271</v>
      </c>
      <c r="N2123" t="s">
        <v>1672</v>
      </c>
      <c r="O2123" t="s">
        <v>10054</v>
      </c>
      <c r="P2123" t="s">
        <v>10055</v>
      </c>
      <c r="Q2123" t="s">
        <v>10056</v>
      </c>
      <c r="R2123">
        <v>9</v>
      </c>
      <c r="S2123">
        <v>16</v>
      </c>
    </row>
    <row r="2124" spans="1:19" x14ac:dyDescent="0.35">
      <c r="A2124">
        <v>993</v>
      </c>
      <c r="B2124" t="s">
        <v>10047</v>
      </c>
      <c r="C2124" t="s">
        <v>42</v>
      </c>
      <c r="D2124" t="s">
        <v>10071</v>
      </c>
      <c r="E2124" t="e" cm="1">
        <f t="array" ref="E2124">- AMMONIUM CHLORIDE</f>
        <v>#NAME?</v>
      </c>
      <c r="F2124" t="s">
        <v>10072</v>
      </c>
      <c r="G2124" t="s">
        <v>2241</v>
      </c>
      <c r="H2124" t="s">
        <v>10050</v>
      </c>
      <c r="I2124" t="s">
        <v>10073</v>
      </c>
      <c r="J2124" t="s">
        <v>1144</v>
      </c>
      <c r="K2124" t="s">
        <v>10074</v>
      </c>
      <c r="L2124" t="s">
        <v>10075</v>
      </c>
      <c r="M2124" t="s">
        <v>271</v>
      </c>
      <c r="N2124" t="s">
        <v>1672</v>
      </c>
      <c r="O2124" t="s">
        <v>10054</v>
      </c>
      <c r="P2124" t="s">
        <v>10055</v>
      </c>
      <c r="Q2124" t="s">
        <v>10056</v>
      </c>
      <c r="R2124">
        <v>9</v>
      </c>
      <c r="S2124">
        <v>16</v>
      </c>
    </row>
    <row r="2125" spans="1:19" x14ac:dyDescent="0.35">
      <c r="A2125">
        <v>1470</v>
      </c>
      <c r="B2125" t="s">
        <v>10003</v>
      </c>
      <c r="C2125" t="s">
        <v>42</v>
      </c>
      <c r="D2125" t="s">
        <v>10004</v>
      </c>
      <c r="E2125" t="e" cm="1">
        <f t="array" ref="E2125">- BROMHEXINE HYDROCHLORIDE</f>
        <v>#NAME?</v>
      </c>
      <c r="F2125" s="1">
        <v>19200</v>
      </c>
      <c r="G2125" t="s">
        <v>2241</v>
      </c>
      <c r="H2125" t="s">
        <v>10005</v>
      </c>
      <c r="I2125" t="s">
        <v>10006</v>
      </c>
      <c r="J2125" t="s">
        <v>3926</v>
      </c>
      <c r="K2125" t="s">
        <v>10007</v>
      </c>
      <c r="L2125" t="s">
        <v>10008</v>
      </c>
      <c r="M2125" t="s">
        <v>271</v>
      </c>
      <c r="N2125" t="s">
        <v>1342</v>
      </c>
      <c r="O2125" t="s">
        <v>10009</v>
      </c>
      <c r="P2125" t="s">
        <v>10010</v>
      </c>
      <c r="Q2125" t="s">
        <v>10011</v>
      </c>
      <c r="R2125">
        <v>9</v>
      </c>
      <c r="S2125">
        <v>16</v>
      </c>
    </row>
    <row r="2126" spans="1:19" x14ac:dyDescent="0.35">
      <c r="A2126">
        <v>3990</v>
      </c>
      <c r="B2126" t="s">
        <v>10076</v>
      </c>
      <c r="C2126" t="s">
        <v>20</v>
      </c>
      <c r="D2126" t="s">
        <v>10077</v>
      </c>
      <c r="E2126" t="s">
        <v>9848</v>
      </c>
      <c r="F2126" t="s">
        <v>10078</v>
      </c>
      <c r="G2126" t="s">
        <v>2241</v>
      </c>
      <c r="H2126" t="s">
        <v>10079</v>
      </c>
      <c r="I2126" t="s">
        <v>3993</v>
      </c>
      <c r="J2126" t="s">
        <v>7681</v>
      </c>
      <c r="M2126" t="s">
        <v>818</v>
      </c>
      <c r="N2126" t="s">
        <v>9851</v>
      </c>
      <c r="O2126" t="s">
        <v>3764</v>
      </c>
      <c r="P2126" t="s">
        <v>9852</v>
      </c>
      <c r="Q2126" t="s">
        <v>10080</v>
      </c>
      <c r="R2126">
        <v>9</v>
      </c>
      <c r="S2126">
        <v>16</v>
      </c>
    </row>
    <row r="2127" spans="1:19" x14ac:dyDescent="0.35">
      <c r="A2127">
        <v>7075</v>
      </c>
      <c r="B2127" t="s">
        <v>10081</v>
      </c>
      <c r="C2127" t="s">
        <v>20</v>
      </c>
      <c r="D2127" t="s">
        <v>10082</v>
      </c>
      <c r="E2127" t="s">
        <v>10083</v>
      </c>
      <c r="F2127" t="s">
        <v>10084</v>
      </c>
      <c r="G2127" t="s">
        <v>2241</v>
      </c>
      <c r="H2127" t="s">
        <v>8309</v>
      </c>
      <c r="I2127" t="s">
        <v>10085</v>
      </c>
      <c r="J2127" t="s">
        <v>3812</v>
      </c>
      <c r="M2127" t="s">
        <v>38</v>
      </c>
      <c r="N2127" t="s">
        <v>10086</v>
      </c>
      <c r="O2127" t="s">
        <v>10087</v>
      </c>
      <c r="P2127" t="s">
        <v>10088</v>
      </c>
      <c r="Q2127" t="s">
        <v>10089</v>
      </c>
      <c r="R2127">
        <v>9</v>
      </c>
      <c r="S2127">
        <v>16</v>
      </c>
    </row>
    <row r="2128" spans="1:19" x14ac:dyDescent="0.35">
      <c r="A2128">
        <v>2498</v>
      </c>
      <c r="B2128" t="s">
        <v>10090</v>
      </c>
      <c r="C2128" t="s">
        <v>20</v>
      </c>
      <c r="D2128" t="s">
        <v>10091</v>
      </c>
      <c r="E2128" t="s">
        <v>10092</v>
      </c>
      <c r="F2128" t="s">
        <v>10093</v>
      </c>
      <c r="G2128" t="s">
        <v>2241</v>
      </c>
      <c r="H2128" t="s">
        <v>10094</v>
      </c>
      <c r="I2128" t="s">
        <v>10095</v>
      </c>
      <c r="J2128" t="s">
        <v>1136</v>
      </c>
      <c r="K2128" t="s">
        <v>10096</v>
      </c>
      <c r="L2128" t="s">
        <v>10097</v>
      </c>
      <c r="M2128" t="s">
        <v>46</v>
      </c>
      <c r="N2128" t="s">
        <v>10098</v>
      </c>
      <c r="O2128" t="s">
        <v>10099</v>
      </c>
      <c r="P2128" t="s">
        <v>10098</v>
      </c>
      <c r="Q2128" t="s">
        <v>10100</v>
      </c>
      <c r="R2128">
        <v>9</v>
      </c>
      <c r="S2128">
        <v>16</v>
      </c>
    </row>
    <row r="2129" spans="1:19" x14ac:dyDescent="0.35">
      <c r="A2129">
        <v>689</v>
      </c>
      <c r="B2129" t="s">
        <v>9826</v>
      </c>
      <c r="C2129" t="s">
        <v>20</v>
      </c>
      <c r="D2129" t="s">
        <v>9827</v>
      </c>
      <c r="E2129" t="s">
        <v>9828</v>
      </c>
      <c r="F2129" t="s">
        <v>9829</v>
      </c>
      <c r="J2129" t="s">
        <v>846</v>
      </c>
      <c r="M2129" t="s">
        <v>2115</v>
      </c>
      <c r="N2129" t="s">
        <v>9830</v>
      </c>
      <c r="P2129" t="s">
        <v>9831</v>
      </c>
      <c r="Q2129" t="s">
        <v>9832</v>
      </c>
      <c r="R2129">
        <v>9</v>
      </c>
      <c r="S2129">
        <v>16</v>
      </c>
    </row>
    <row r="2130" spans="1:19" x14ac:dyDescent="0.35">
      <c r="A2130">
        <v>3988</v>
      </c>
      <c r="B2130" t="s">
        <v>10101</v>
      </c>
      <c r="C2130" t="s">
        <v>20</v>
      </c>
      <c r="D2130" t="s">
        <v>10102</v>
      </c>
      <c r="E2130" t="s">
        <v>10103</v>
      </c>
      <c r="F2130" t="s">
        <v>10104</v>
      </c>
      <c r="G2130" t="s">
        <v>4045</v>
      </c>
      <c r="H2130" t="s">
        <v>10105</v>
      </c>
      <c r="I2130" t="s">
        <v>10106</v>
      </c>
      <c r="J2130" t="s">
        <v>10107</v>
      </c>
      <c r="M2130" t="s">
        <v>291</v>
      </c>
      <c r="N2130" t="s">
        <v>10108</v>
      </c>
      <c r="O2130" t="s">
        <v>10109</v>
      </c>
      <c r="P2130" t="s">
        <v>10108</v>
      </c>
      <c r="Q2130" t="s">
        <v>10110</v>
      </c>
      <c r="R2130">
        <v>9</v>
      </c>
      <c r="S2130">
        <v>16</v>
      </c>
    </row>
    <row r="2131" spans="1:19" x14ac:dyDescent="0.35">
      <c r="A2131">
        <v>2472</v>
      </c>
      <c r="B2131" t="s">
        <v>10111</v>
      </c>
      <c r="C2131" t="s">
        <v>42</v>
      </c>
      <c r="D2131" t="s">
        <v>10112</v>
      </c>
      <c r="E2131" t="e" cm="1">
        <f t="array" ref="E2131">- IBUPROFEN</f>
        <v>#NAME?</v>
      </c>
      <c r="F2131" t="s">
        <v>10113</v>
      </c>
      <c r="G2131" t="s">
        <v>2241</v>
      </c>
      <c r="H2131" t="s">
        <v>10114</v>
      </c>
      <c r="I2131" t="s">
        <v>10115</v>
      </c>
      <c r="J2131" t="s">
        <v>334</v>
      </c>
      <c r="L2131" t="s">
        <v>10116</v>
      </c>
      <c r="M2131" t="s">
        <v>340</v>
      </c>
      <c r="N2131" t="s">
        <v>383</v>
      </c>
      <c r="O2131" t="s">
        <v>10117</v>
      </c>
      <c r="P2131" t="s">
        <v>10118</v>
      </c>
      <c r="Q2131" t="s">
        <v>10119</v>
      </c>
      <c r="R2131">
        <v>9</v>
      </c>
      <c r="S2131">
        <v>16</v>
      </c>
    </row>
    <row r="2132" spans="1:19" x14ac:dyDescent="0.35">
      <c r="A2132">
        <v>2473</v>
      </c>
      <c r="B2132" t="s">
        <v>10111</v>
      </c>
      <c r="C2132" t="s">
        <v>42</v>
      </c>
      <c r="D2132" t="s">
        <v>10112</v>
      </c>
      <c r="E2132" t="e" cm="1">
        <f t="array" ref="E2132">- IBUPROFEN</f>
        <v>#NAME?</v>
      </c>
      <c r="F2132" t="s">
        <v>10113</v>
      </c>
      <c r="G2132" t="s">
        <v>2241</v>
      </c>
      <c r="H2132" t="s">
        <v>10114</v>
      </c>
      <c r="I2132" t="s">
        <v>10115</v>
      </c>
      <c r="J2132" t="s">
        <v>334</v>
      </c>
      <c r="L2132" t="s">
        <v>10116</v>
      </c>
      <c r="M2132" t="s">
        <v>340</v>
      </c>
      <c r="N2132" t="s">
        <v>383</v>
      </c>
      <c r="O2132" t="s">
        <v>10117</v>
      </c>
      <c r="P2132" t="s">
        <v>10118</v>
      </c>
      <c r="Q2132" t="s">
        <v>10119</v>
      </c>
      <c r="R2132">
        <v>9</v>
      </c>
      <c r="S2132">
        <v>16</v>
      </c>
    </row>
    <row r="2133" spans="1:19" x14ac:dyDescent="0.35">
      <c r="A2133">
        <v>1206</v>
      </c>
      <c r="B2133" t="s">
        <v>10120</v>
      </c>
      <c r="C2133" t="s">
        <v>42</v>
      </c>
      <c r="D2133" t="s">
        <v>10121</v>
      </c>
      <c r="E2133" t="e" cm="1">
        <f t="array" ref="E2133">- CHLORPHENAMINE MALEATE</f>
        <v>#NAME?</v>
      </c>
      <c r="F2133" t="s">
        <v>10122</v>
      </c>
      <c r="G2133" t="s">
        <v>2241</v>
      </c>
      <c r="H2133" t="s">
        <v>10123</v>
      </c>
      <c r="I2133" t="s">
        <v>9753</v>
      </c>
      <c r="J2133" t="s">
        <v>10124</v>
      </c>
      <c r="K2133" t="s">
        <v>9755</v>
      </c>
      <c r="L2133" t="s">
        <v>9756</v>
      </c>
      <c r="M2133" t="s">
        <v>271</v>
      </c>
      <c r="N2133" t="s">
        <v>1354</v>
      </c>
      <c r="O2133" t="s">
        <v>9757</v>
      </c>
      <c r="P2133" t="s">
        <v>9758</v>
      </c>
      <c r="Q2133" t="s">
        <v>10125</v>
      </c>
      <c r="R2133">
        <v>9</v>
      </c>
      <c r="S2133">
        <v>16</v>
      </c>
    </row>
    <row r="2134" spans="1:19" x14ac:dyDescent="0.35">
      <c r="A2134">
        <v>5694</v>
      </c>
      <c r="B2134" t="s">
        <v>10126</v>
      </c>
      <c r="C2134" t="s">
        <v>42</v>
      </c>
      <c r="D2134" t="s">
        <v>10127</v>
      </c>
      <c r="E2134" t="e" cm="1">
        <f t="array" ref="E2134">- CLOTRIMAZOLE</f>
        <v>#NAME?</v>
      </c>
      <c r="F2134" t="s">
        <v>10128</v>
      </c>
      <c r="G2134" t="s">
        <v>10129</v>
      </c>
      <c r="H2134" t="s">
        <v>10130</v>
      </c>
      <c r="I2134" t="s">
        <v>10131</v>
      </c>
      <c r="J2134" t="s">
        <v>10132</v>
      </c>
      <c r="K2134" t="s">
        <v>2726</v>
      </c>
      <c r="L2134" t="s">
        <v>10133</v>
      </c>
      <c r="M2134" t="s">
        <v>46</v>
      </c>
      <c r="N2134" t="s">
        <v>1422</v>
      </c>
      <c r="O2134" t="s">
        <v>10134</v>
      </c>
      <c r="P2134" t="s">
        <v>10135</v>
      </c>
      <c r="Q2134" t="s">
        <v>10136</v>
      </c>
      <c r="R2134">
        <v>9</v>
      </c>
      <c r="S2134">
        <v>16</v>
      </c>
    </row>
    <row r="2135" spans="1:19" x14ac:dyDescent="0.35">
      <c r="A2135">
        <v>5693</v>
      </c>
      <c r="B2135" t="s">
        <v>10126</v>
      </c>
      <c r="C2135" t="s">
        <v>42</v>
      </c>
      <c r="D2135" t="s">
        <v>10127</v>
      </c>
      <c r="E2135" t="e" cm="1">
        <f t="array" ref="E2135">- CLOTRIMAZOLE</f>
        <v>#NAME?</v>
      </c>
      <c r="F2135" t="s">
        <v>10128</v>
      </c>
      <c r="G2135" t="s">
        <v>10129</v>
      </c>
      <c r="H2135" t="s">
        <v>10130</v>
      </c>
      <c r="I2135" t="s">
        <v>10131</v>
      </c>
      <c r="J2135" t="s">
        <v>10132</v>
      </c>
      <c r="K2135" t="s">
        <v>2726</v>
      </c>
      <c r="L2135" t="s">
        <v>10133</v>
      </c>
      <c r="M2135" t="s">
        <v>46</v>
      </c>
      <c r="N2135" t="s">
        <v>1422</v>
      </c>
      <c r="O2135" t="s">
        <v>10134</v>
      </c>
      <c r="P2135" t="s">
        <v>10135</v>
      </c>
      <c r="Q2135" t="s">
        <v>10136</v>
      </c>
      <c r="R2135">
        <v>9</v>
      </c>
      <c r="S2135">
        <v>16</v>
      </c>
    </row>
    <row r="2136" spans="1:19" x14ac:dyDescent="0.35">
      <c r="A2136">
        <v>7806</v>
      </c>
      <c r="B2136" t="s">
        <v>10137</v>
      </c>
      <c r="C2136" t="s">
        <v>20</v>
      </c>
      <c r="D2136" t="s">
        <v>10138</v>
      </c>
      <c r="E2136" t="s">
        <v>10139</v>
      </c>
      <c r="F2136" t="s">
        <v>10140</v>
      </c>
      <c r="H2136" t="s">
        <v>10141</v>
      </c>
      <c r="I2136" t="s">
        <v>10142</v>
      </c>
      <c r="J2136" t="s">
        <v>10143</v>
      </c>
      <c r="L2136" t="s">
        <v>10144</v>
      </c>
      <c r="M2136" t="s">
        <v>38</v>
      </c>
      <c r="N2136" t="s">
        <v>10145</v>
      </c>
      <c r="O2136" t="s">
        <v>10146</v>
      </c>
      <c r="P2136" t="s">
        <v>10147</v>
      </c>
      <c r="Q2136" t="s">
        <v>10148</v>
      </c>
      <c r="R2136">
        <v>9</v>
      </c>
      <c r="S2136">
        <v>16</v>
      </c>
    </row>
    <row r="2137" spans="1:19" x14ac:dyDescent="0.35">
      <c r="A2137">
        <v>7807</v>
      </c>
      <c r="B2137" t="s">
        <v>10149</v>
      </c>
      <c r="C2137" t="s">
        <v>20</v>
      </c>
      <c r="D2137" t="s">
        <v>10150</v>
      </c>
      <c r="E2137" t="s">
        <v>10151</v>
      </c>
      <c r="F2137" t="s">
        <v>10152</v>
      </c>
      <c r="G2137" t="s">
        <v>10153</v>
      </c>
      <c r="H2137" t="s">
        <v>10154</v>
      </c>
      <c r="I2137" t="s">
        <v>10155</v>
      </c>
      <c r="J2137" t="s">
        <v>7681</v>
      </c>
      <c r="L2137" t="s">
        <v>10156</v>
      </c>
      <c r="M2137" t="s">
        <v>818</v>
      </c>
      <c r="N2137" t="s">
        <v>10157</v>
      </c>
      <c r="O2137" t="s">
        <v>10158</v>
      </c>
      <c r="P2137" t="s">
        <v>10159</v>
      </c>
      <c r="Q2137" t="s">
        <v>10160</v>
      </c>
      <c r="R2137">
        <v>9</v>
      </c>
      <c r="S2137">
        <v>16</v>
      </c>
    </row>
    <row r="2138" spans="1:19" x14ac:dyDescent="0.35">
      <c r="A2138">
        <v>1568</v>
      </c>
      <c r="B2138" t="s">
        <v>10161</v>
      </c>
      <c r="C2138" t="s">
        <v>42</v>
      </c>
      <c r="D2138" t="s">
        <v>10162</v>
      </c>
      <c r="E2138" t="e" cm="1">
        <f t="array" ref="E2138">- CHLORPHENAMINE MALEATE</f>
        <v>#NAME?</v>
      </c>
      <c r="F2138" t="s">
        <v>10163</v>
      </c>
      <c r="G2138" t="s">
        <v>10164</v>
      </c>
      <c r="H2138" t="s">
        <v>10165</v>
      </c>
      <c r="I2138" t="s">
        <v>10166</v>
      </c>
      <c r="J2138" t="s">
        <v>10167</v>
      </c>
      <c r="K2138" t="s">
        <v>2726</v>
      </c>
      <c r="L2138" t="s">
        <v>10168</v>
      </c>
      <c r="M2138" t="s">
        <v>271</v>
      </c>
      <c r="N2138" t="s">
        <v>1354</v>
      </c>
      <c r="O2138" t="s">
        <v>10169</v>
      </c>
      <c r="P2138" t="s">
        <v>10170</v>
      </c>
      <c r="Q2138" t="s">
        <v>10171</v>
      </c>
      <c r="R2138">
        <v>9</v>
      </c>
      <c r="S2138">
        <v>16</v>
      </c>
    </row>
    <row r="2139" spans="1:19" x14ac:dyDescent="0.35">
      <c r="A2139">
        <v>1007</v>
      </c>
      <c r="B2139" t="s">
        <v>9967</v>
      </c>
      <c r="C2139" t="s">
        <v>42</v>
      </c>
      <c r="D2139" t="s">
        <v>9968</v>
      </c>
      <c r="E2139" t="e" cm="1">
        <f t="array" ref="E2139">- BROMHEXINE HYDROCHLORIDE</f>
        <v>#NAME?</v>
      </c>
      <c r="F2139" t="s">
        <v>9969</v>
      </c>
      <c r="G2139" t="s">
        <v>2241</v>
      </c>
      <c r="H2139" t="s">
        <v>9970</v>
      </c>
      <c r="I2139" t="s">
        <v>8937</v>
      </c>
      <c r="J2139" t="s">
        <v>1144</v>
      </c>
      <c r="K2139" t="s">
        <v>9971</v>
      </c>
      <c r="L2139" t="s">
        <v>8940</v>
      </c>
      <c r="M2139" t="s">
        <v>271</v>
      </c>
      <c r="N2139" t="s">
        <v>1342</v>
      </c>
      <c r="O2139" t="s">
        <v>8941</v>
      </c>
      <c r="P2139" t="s">
        <v>8942</v>
      </c>
      <c r="Q2139" t="s">
        <v>9972</v>
      </c>
      <c r="R2139">
        <v>9</v>
      </c>
      <c r="S2139">
        <v>16</v>
      </c>
    </row>
    <row r="2140" spans="1:19" x14ac:dyDescent="0.35">
      <c r="A2140">
        <v>7808</v>
      </c>
      <c r="B2140" t="s">
        <v>10172</v>
      </c>
      <c r="C2140" t="s">
        <v>20</v>
      </c>
      <c r="D2140" t="s">
        <v>10173</v>
      </c>
      <c r="E2140" t="s">
        <v>10151</v>
      </c>
      <c r="F2140" t="s">
        <v>10174</v>
      </c>
      <c r="G2140" t="s">
        <v>10153</v>
      </c>
      <c r="H2140" t="s">
        <v>8309</v>
      </c>
      <c r="I2140" t="s">
        <v>10155</v>
      </c>
      <c r="J2140" t="s">
        <v>10175</v>
      </c>
      <c r="L2140" t="s">
        <v>10156</v>
      </c>
      <c r="M2140" t="s">
        <v>38</v>
      </c>
      <c r="N2140" t="s">
        <v>10157</v>
      </c>
      <c r="O2140" t="s">
        <v>10158</v>
      </c>
      <c r="P2140" t="s">
        <v>10159</v>
      </c>
      <c r="Q2140" t="s">
        <v>10176</v>
      </c>
      <c r="R2140">
        <v>9</v>
      </c>
      <c r="S2140">
        <v>16</v>
      </c>
    </row>
    <row r="2141" spans="1:19" x14ac:dyDescent="0.35">
      <c r="A2141">
        <v>7062</v>
      </c>
      <c r="B2141" t="s">
        <v>1803</v>
      </c>
      <c r="C2141" t="s">
        <v>42</v>
      </c>
      <c r="D2141" t="s">
        <v>10177</v>
      </c>
      <c r="E2141" t="e" cm="1">
        <f t="array" ref="E2141">- TIZANIDINE HYDROCHLORIDE</f>
        <v>#NAME?</v>
      </c>
      <c r="F2141" t="s">
        <v>10178</v>
      </c>
      <c r="J2141" t="s">
        <v>10179</v>
      </c>
      <c r="M2141" t="s">
        <v>46</v>
      </c>
      <c r="N2141" t="s">
        <v>1806</v>
      </c>
      <c r="P2141" t="s">
        <v>10180</v>
      </c>
      <c r="Q2141" t="s">
        <v>10181</v>
      </c>
      <c r="R2141">
        <v>9</v>
      </c>
      <c r="S2141">
        <v>16</v>
      </c>
    </row>
    <row r="2142" spans="1:19" x14ac:dyDescent="0.35">
      <c r="A2142">
        <v>7063</v>
      </c>
      <c r="B2142" t="s">
        <v>1803</v>
      </c>
      <c r="C2142" t="s">
        <v>42</v>
      </c>
      <c r="D2142" t="s">
        <v>10182</v>
      </c>
      <c r="E2142" t="e" cm="1">
        <f t="array" ref="E2142">- TIZANIDINE HYDROCHLORIDE</f>
        <v>#NAME?</v>
      </c>
      <c r="F2142" t="s">
        <v>10183</v>
      </c>
      <c r="J2142" t="s">
        <v>10184</v>
      </c>
      <c r="M2142" t="s">
        <v>46</v>
      </c>
      <c r="N2142" t="s">
        <v>1806</v>
      </c>
      <c r="P2142" t="s">
        <v>10185</v>
      </c>
      <c r="Q2142" t="s">
        <v>10186</v>
      </c>
      <c r="R2142">
        <v>9</v>
      </c>
      <c r="S2142">
        <v>16</v>
      </c>
    </row>
    <row r="2143" spans="1:19" x14ac:dyDescent="0.35">
      <c r="A2143">
        <v>1567</v>
      </c>
      <c r="B2143" t="s">
        <v>10161</v>
      </c>
      <c r="C2143" t="s">
        <v>42</v>
      </c>
      <c r="D2143" t="s">
        <v>10162</v>
      </c>
      <c r="E2143" t="e" cm="1">
        <f t="array" ref="E2143">- CHLORPHENAMINE MALEATE</f>
        <v>#NAME?</v>
      </c>
      <c r="F2143" t="s">
        <v>10163</v>
      </c>
      <c r="G2143" t="s">
        <v>10164</v>
      </c>
      <c r="H2143" t="s">
        <v>10165</v>
      </c>
      <c r="I2143" t="s">
        <v>10166</v>
      </c>
      <c r="J2143" t="s">
        <v>10167</v>
      </c>
      <c r="K2143" t="s">
        <v>2726</v>
      </c>
      <c r="L2143" t="s">
        <v>10168</v>
      </c>
      <c r="M2143" t="s">
        <v>271</v>
      </c>
      <c r="N2143" t="s">
        <v>1354</v>
      </c>
      <c r="O2143" t="s">
        <v>10169</v>
      </c>
      <c r="P2143" t="s">
        <v>10170</v>
      </c>
      <c r="Q2143" t="s">
        <v>10171</v>
      </c>
      <c r="R2143">
        <v>9</v>
      </c>
      <c r="S2143">
        <v>16</v>
      </c>
    </row>
    <row r="2144" spans="1:19" x14ac:dyDescent="0.35">
      <c r="A2144">
        <v>107</v>
      </c>
      <c r="B2144" t="s">
        <v>2902</v>
      </c>
      <c r="C2144" t="s">
        <v>42</v>
      </c>
      <c r="D2144" t="s">
        <v>9261</v>
      </c>
      <c r="E2144" t="e" cm="1">
        <f t="array" ref="E2144">- SILDENAFIL CITRATE</f>
        <v>#NAME?</v>
      </c>
      <c r="F2144" s="1">
        <v>17800</v>
      </c>
      <c r="G2144" t="s">
        <v>8185</v>
      </c>
      <c r="H2144" t="s">
        <v>3854</v>
      </c>
      <c r="I2144" t="s">
        <v>8186</v>
      </c>
      <c r="J2144" t="s">
        <v>8479</v>
      </c>
      <c r="L2144" t="s">
        <v>8188</v>
      </c>
      <c r="M2144" t="s">
        <v>46</v>
      </c>
      <c r="N2144" t="s">
        <v>2519</v>
      </c>
      <c r="O2144" t="s">
        <v>8189</v>
      </c>
      <c r="P2144" t="s">
        <v>9150</v>
      </c>
      <c r="Q2144" t="s">
        <v>9966</v>
      </c>
      <c r="R2144">
        <v>9</v>
      </c>
      <c r="S2144">
        <v>16</v>
      </c>
    </row>
    <row r="2145" spans="1:19" x14ac:dyDescent="0.35">
      <c r="A2145">
        <v>1283</v>
      </c>
      <c r="B2145" t="s">
        <v>10012</v>
      </c>
      <c r="C2145" t="s">
        <v>42</v>
      </c>
      <c r="D2145" t="s">
        <v>10013</v>
      </c>
      <c r="E2145" t="e" cm="1">
        <f t="array" ref="E2145">- DEXTROMETHORPHAN HYDROBROMIDE</f>
        <v>#NAME?</v>
      </c>
      <c r="F2145" t="s">
        <v>10014</v>
      </c>
      <c r="G2145" t="s">
        <v>2266</v>
      </c>
      <c r="H2145" t="s">
        <v>10015</v>
      </c>
      <c r="I2145" t="s">
        <v>10016</v>
      </c>
      <c r="J2145" t="s">
        <v>1144</v>
      </c>
      <c r="K2145" t="s">
        <v>10017</v>
      </c>
      <c r="L2145" t="s">
        <v>10018</v>
      </c>
      <c r="M2145" t="s">
        <v>271</v>
      </c>
      <c r="N2145" t="s">
        <v>1376</v>
      </c>
      <c r="O2145" t="s">
        <v>10019</v>
      </c>
      <c r="P2145" t="s">
        <v>10020</v>
      </c>
      <c r="Q2145" t="s">
        <v>10021</v>
      </c>
      <c r="R2145">
        <v>9</v>
      </c>
      <c r="S2145">
        <v>16</v>
      </c>
    </row>
    <row r="2146" spans="1:19" x14ac:dyDescent="0.35">
      <c r="A2146">
        <v>5343</v>
      </c>
      <c r="B2146" t="s">
        <v>7148</v>
      </c>
      <c r="C2146" t="s">
        <v>42</v>
      </c>
      <c r="D2146" t="s">
        <v>10187</v>
      </c>
      <c r="E2146" t="e" cm="1">
        <f t="array" ref="E2146">- SULFADIAZINE SILVER</f>
        <v>#NAME?</v>
      </c>
      <c r="F2146" t="s">
        <v>10188</v>
      </c>
      <c r="H2146" t="s">
        <v>10189</v>
      </c>
      <c r="I2146" t="s">
        <v>10190</v>
      </c>
      <c r="J2146" t="s">
        <v>10191</v>
      </c>
      <c r="M2146" t="s">
        <v>1289</v>
      </c>
      <c r="N2146" t="s">
        <v>2849</v>
      </c>
      <c r="O2146" t="s">
        <v>10192</v>
      </c>
      <c r="P2146" t="s">
        <v>10193</v>
      </c>
      <c r="Q2146" t="s">
        <v>10194</v>
      </c>
      <c r="R2146">
        <v>9</v>
      </c>
      <c r="S2146">
        <v>16</v>
      </c>
    </row>
    <row r="2147" spans="1:19" x14ac:dyDescent="0.35">
      <c r="A2147">
        <v>2497</v>
      </c>
      <c r="B2147" t="s">
        <v>10090</v>
      </c>
      <c r="C2147" t="s">
        <v>20</v>
      </c>
      <c r="D2147" t="s">
        <v>10091</v>
      </c>
      <c r="E2147" t="s">
        <v>10092</v>
      </c>
      <c r="F2147" t="s">
        <v>10093</v>
      </c>
      <c r="G2147" t="s">
        <v>2241</v>
      </c>
      <c r="H2147" t="s">
        <v>10094</v>
      </c>
      <c r="I2147" t="s">
        <v>10095</v>
      </c>
      <c r="J2147" t="s">
        <v>1136</v>
      </c>
      <c r="K2147" t="s">
        <v>10096</v>
      </c>
      <c r="L2147" t="s">
        <v>10097</v>
      </c>
      <c r="M2147" t="s">
        <v>46</v>
      </c>
      <c r="N2147" t="s">
        <v>10098</v>
      </c>
      <c r="O2147" t="s">
        <v>10099</v>
      </c>
      <c r="P2147" t="s">
        <v>10098</v>
      </c>
      <c r="Q2147" t="s">
        <v>10100</v>
      </c>
      <c r="R2147">
        <v>9</v>
      </c>
      <c r="S2147">
        <v>16</v>
      </c>
    </row>
    <row r="2148" spans="1:19" x14ac:dyDescent="0.35">
      <c r="A2148">
        <v>5344</v>
      </c>
      <c r="B2148" t="s">
        <v>7148</v>
      </c>
      <c r="C2148" t="s">
        <v>42</v>
      </c>
      <c r="D2148" t="s">
        <v>10187</v>
      </c>
      <c r="E2148" t="e" cm="1">
        <f t="array" ref="E2148">- SULFADIAZINE SILVER</f>
        <v>#NAME?</v>
      </c>
      <c r="F2148" t="s">
        <v>10188</v>
      </c>
      <c r="H2148" t="s">
        <v>10189</v>
      </c>
      <c r="I2148" t="s">
        <v>10190</v>
      </c>
      <c r="J2148" t="s">
        <v>10191</v>
      </c>
      <c r="M2148" t="s">
        <v>1289</v>
      </c>
      <c r="N2148" t="s">
        <v>2849</v>
      </c>
      <c r="O2148" t="s">
        <v>10192</v>
      </c>
      <c r="P2148" t="s">
        <v>10193</v>
      </c>
      <c r="Q2148" t="s">
        <v>10194</v>
      </c>
      <c r="R2148">
        <v>9</v>
      </c>
      <c r="S2148">
        <v>16</v>
      </c>
    </row>
    <row r="2149" spans="1:19" x14ac:dyDescent="0.35">
      <c r="A2149">
        <v>6711</v>
      </c>
      <c r="B2149" t="s">
        <v>10195</v>
      </c>
      <c r="C2149" t="s">
        <v>42</v>
      </c>
      <c r="D2149" t="s">
        <v>10196</v>
      </c>
      <c r="E2149" t="e" cm="1">
        <f t="array" ref="E2149">- ALENDRONATE SODIUM TRIHYDRATE</f>
        <v>#NAME?</v>
      </c>
      <c r="F2149" t="s">
        <v>10197</v>
      </c>
      <c r="G2149" t="s">
        <v>10198</v>
      </c>
      <c r="H2149" t="s">
        <v>10199</v>
      </c>
      <c r="I2149" t="s">
        <v>10200</v>
      </c>
      <c r="J2149" t="s">
        <v>10201</v>
      </c>
      <c r="K2149" t="s">
        <v>10202</v>
      </c>
    </row>
    <row r="2150" spans="1:19" x14ac:dyDescent="0.35">
      <c r="A2150">
        <v>5140</v>
      </c>
      <c r="B2150" t="s">
        <v>8957</v>
      </c>
      <c r="C2150" t="s">
        <v>42</v>
      </c>
      <c r="D2150" t="s">
        <v>8958</v>
      </c>
      <c r="E2150" t="e" cm="1">
        <f t="array" ref="E2150">- DESOXIMETASONE</f>
        <v>#NAME?</v>
      </c>
      <c r="F2150" t="s">
        <v>8959</v>
      </c>
      <c r="G2150" t="s">
        <v>8960</v>
      </c>
      <c r="H2150" t="s">
        <v>8961</v>
      </c>
      <c r="I2150" t="s">
        <v>8962</v>
      </c>
      <c r="J2150" t="s">
        <v>2167</v>
      </c>
      <c r="K2150" t="s">
        <v>8963</v>
      </c>
      <c r="L2150" t="s">
        <v>8964</v>
      </c>
      <c r="M2150" t="s">
        <v>1289</v>
      </c>
      <c r="N2150" t="s">
        <v>8965</v>
      </c>
      <c r="O2150" t="s">
        <v>8966</v>
      </c>
      <c r="P2150" t="s">
        <v>8967</v>
      </c>
      <c r="Q2150" t="s">
        <v>8968</v>
      </c>
      <c r="R2150">
        <v>9</v>
      </c>
      <c r="S2150">
        <v>16</v>
      </c>
    </row>
    <row r="2151" spans="1:19" x14ac:dyDescent="0.35">
      <c r="A2151">
        <v>8393</v>
      </c>
      <c r="B2151" t="s">
        <v>551</v>
      </c>
      <c r="C2151" t="s">
        <v>42</v>
      </c>
      <c r="D2151" t="s">
        <v>10203</v>
      </c>
      <c r="E2151" t="e" cm="1">
        <f t="array" ref="E2151">- POVIDONE-IODINE</f>
        <v>#NAME?</v>
      </c>
      <c r="F2151" t="s">
        <v>10204</v>
      </c>
      <c r="J2151" t="s">
        <v>10205</v>
      </c>
      <c r="M2151" t="s">
        <v>554</v>
      </c>
      <c r="N2151" t="s">
        <v>555</v>
      </c>
      <c r="P2151" t="s">
        <v>10206</v>
      </c>
      <c r="Q2151" t="s">
        <v>10207</v>
      </c>
      <c r="R2151">
        <v>9</v>
      </c>
      <c r="S2151">
        <v>16</v>
      </c>
    </row>
    <row r="2152" spans="1:19" x14ac:dyDescent="0.35">
      <c r="A2152">
        <v>1976</v>
      </c>
      <c r="B2152" t="s">
        <v>10208</v>
      </c>
      <c r="C2152" t="s">
        <v>20</v>
      </c>
      <c r="D2152" t="s">
        <v>10209</v>
      </c>
      <c r="E2152" t="s">
        <v>10210</v>
      </c>
      <c r="F2152" t="s">
        <v>10211</v>
      </c>
      <c r="H2152" t="s">
        <v>10212</v>
      </c>
      <c r="I2152" t="s">
        <v>5235</v>
      </c>
      <c r="J2152" t="s">
        <v>10213</v>
      </c>
      <c r="L2152" t="s">
        <v>4508</v>
      </c>
      <c r="M2152" t="s">
        <v>63</v>
      </c>
      <c r="N2152" t="s">
        <v>10214</v>
      </c>
      <c r="O2152" t="s">
        <v>5238</v>
      </c>
      <c r="P2152" t="s">
        <v>10214</v>
      </c>
      <c r="Q2152" t="s">
        <v>10215</v>
      </c>
      <c r="R2152">
        <v>9</v>
      </c>
      <c r="S2152">
        <v>16</v>
      </c>
    </row>
    <row r="2153" spans="1:19" x14ac:dyDescent="0.35">
      <c r="A2153">
        <v>30</v>
      </c>
      <c r="B2153" t="s">
        <v>2902</v>
      </c>
      <c r="C2153" t="s">
        <v>42</v>
      </c>
      <c r="D2153" t="s">
        <v>10216</v>
      </c>
      <c r="E2153" t="e" cm="1">
        <f t="array" ref="E2153">- SILDENAFIL CITRATE</f>
        <v>#NAME?</v>
      </c>
      <c r="F2153" t="s">
        <v>10217</v>
      </c>
      <c r="G2153" t="s">
        <v>8382</v>
      </c>
      <c r="H2153" t="s">
        <v>3854</v>
      </c>
      <c r="I2153" t="s">
        <v>8186</v>
      </c>
      <c r="J2153" t="s">
        <v>8980</v>
      </c>
      <c r="L2153" t="s">
        <v>8188</v>
      </c>
      <c r="M2153" t="s">
        <v>46</v>
      </c>
      <c r="N2153" t="s">
        <v>2519</v>
      </c>
      <c r="O2153" t="s">
        <v>8189</v>
      </c>
      <c r="P2153" t="s">
        <v>9263</v>
      </c>
      <c r="Q2153" t="s">
        <v>9264</v>
      </c>
      <c r="R2153">
        <v>9</v>
      </c>
      <c r="S2153">
        <v>16</v>
      </c>
    </row>
    <row r="2154" spans="1:19" x14ac:dyDescent="0.35">
      <c r="A2154">
        <v>3358</v>
      </c>
      <c r="B2154" t="s">
        <v>10218</v>
      </c>
      <c r="C2154" t="s">
        <v>42</v>
      </c>
      <c r="D2154" t="s">
        <v>10219</v>
      </c>
      <c r="E2154" t="e" cm="1">
        <f t="array" ref="E2154">- SUCRALFATE</f>
        <v>#NAME?</v>
      </c>
      <c r="F2154" t="s">
        <v>10220</v>
      </c>
      <c r="G2154" t="s">
        <v>10221</v>
      </c>
      <c r="H2154" t="s">
        <v>10222</v>
      </c>
      <c r="I2154" t="s">
        <v>10223</v>
      </c>
      <c r="J2154" t="s">
        <v>374</v>
      </c>
      <c r="L2154" t="s">
        <v>10224</v>
      </c>
      <c r="M2154" t="s">
        <v>340</v>
      </c>
      <c r="N2154" t="s">
        <v>375</v>
      </c>
      <c r="O2154" t="s">
        <v>10225</v>
      </c>
      <c r="P2154" t="s">
        <v>10226</v>
      </c>
      <c r="Q2154" t="s">
        <v>10227</v>
      </c>
      <c r="R2154">
        <v>9</v>
      </c>
      <c r="S2154">
        <v>16</v>
      </c>
    </row>
    <row r="2155" spans="1:19" x14ac:dyDescent="0.35">
      <c r="A2155">
        <v>1979</v>
      </c>
      <c r="B2155" t="s">
        <v>10228</v>
      </c>
      <c r="C2155" t="s">
        <v>20</v>
      </c>
      <c r="D2155" t="s">
        <v>10229</v>
      </c>
      <c r="E2155" t="s">
        <v>10230</v>
      </c>
      <c r="F2155" t="s">
        <v>10231</v>
      </c>
      <c r="J2155" t="s">
        <v>334</v>
      </c>
      <c r="M2155" t="s">
        <v>271</v>
      </c>
      <c r="N2155" t="s">
        <v>10232</v>
      </c>
      <c r="P2155" t="s">
        <v>10233</v>
      </c>
      <c r="Q2155" t="s">
        <v>10234</v>
      </c>
      <c r="R2155">
        <v>9</v>
      </c>
      <c r="S2155">
        <v>16</v>
      </c>
    </row>
    <row r="2156" spans="1:19" x14ac:dyDescent="0.35">
      <c r="A2156">
        <v>1980</v>
      </c>
      <c r="B2156" t="s">
        <v>10228</v>
      </c>
      <c r="C2156" t="s">
        <v>20</v>
      </c>
      <c r="D2156" t="s">
        <v>10229</v>
      </c>
      <c r="E2156" t="s">
        <v>10230</v>
      </c>
      <c r="F2156" t="s">
        <v>10231</v>
      </c>
      <c r="J2156" t="s">
        <v>334</v>
      </c>
      <c r="M2156" t="s">
        <v>271</v>
      </c>
      <c r="N2156" t="s">
        <v>10232</v>
      </c>
      <c r="P2156" t="s">
        <v>10233</v>
      </c>
      <c r="Q2156" t="s">
        <v>10234</v>
      </c>
      <c r="R2156">
        <v>9</v>
      </c>
      <c r="S2156">
        <v>16</v>
      </c>
    </row>
    <row r="2157" spans="1:19" x14ac:dyDescent="0.35">
      <c r="A2157">
        <v>9845</v>
      </c>
      <c r="B2157" t="s">
        <v>10235</v>
      </c>
      <c r="C2157" t="s">
        <v>42</v>
      </c>
      <c r="D2157" t="s">
        <v>10236</v>
      </c>
      <c r="E2157" t="e" cm="1">
        <f t="array" ref="E2157">- ROSUVASTATIN CALCIUM</f>
        <v>#NAME?</v>
      </c>
      <c r="F2157" t="s">
        <v>10237</v>
      </c>
      <c r="G2157" t="s">
        <v>3098</v>
      </c>
      <c r="H2157" t="s">
        <v>10238</v>
      </c>
    </row>
    <row r="2158" spans="1:19" x14ac:dyDescent="0.35">
      <c r="A2158">
        <v>1975</v>
      </c>
      <c r="B2158" t="s">
        <v>10208</v>
      </c>
      <c r="C2158" t="s">
        <v>20</v>
      </c>
      <c r="D2158" t="s">
        <v>10209</v>
      </c>
      <c r="E2158" t="s">
        <v>10210</v>
      </c>
      <c r="F2158" t="s">
        <v>10211</v>
      </c>
      <c r="H2158" t="s">
        <v>10212</v>
      </c>
      <c r="I2158" t="s">
        <v>5235</v>
      </c>
      <c r="J2158" t="s">
        <v>10213</v>
      </c>
      <c r="L2158" t="s">
        <v>4508</v>
      </c>
      <c r="M2158" t="s">
        <v>63</v>
      </c>
      <c r="N2158" t="s">
        <v>10214</v>
      </c>
      <c r="O2158" t="s">
        <v>5238</v>
      </c>
      <c r="P2158" t="s">
        <v>10214</v>
      </c>
      <c r="Q2158" t="s">
        <v>10215</v>
      </c>
      <c r="R2158">
        <v>9</v>
      </c>
      <c r="S2158">
        <v>16</v>
      </c>
    </row>
    <row r="2159" spans="1:19" x14ac:dyDescent="0.35">
      <c r="A2159">
        <v>3357</v>
      </c>
      <c r="B2159" t="s">
        <v>10218</v>
      </c>
      <c r="C2159" t="s">
        <v>42</v>
      </c>
      <c r="D2159" t="s">
        <v>10219</v>
      </c>
      <c r="E2159" t="e" cm="1">
        <f t="array" ref="E2159">- SUCRALFATE</f>
        <v>#NAME?</v>
      </c>
      <c r="F2159" t="s">
        <v>10220</v>
      </c>
      <c r="G2159" t="s">
        <v>10221</v>
      </c>
      <c r="H2159" t="s">
        <v>10222</v>
      </c>
      <c r="I2159" t="s">
        <v>10223</v>
      </c>
      <c r="J2159" t="s">
        <v>374</v>
      </c>
      <c r="L2159" t="s">
        <v>10224</v>
      </c>
      <c r="M2159" t="s">
        <v>340</v>
      </c>
      <c r="N2159" t="s">
        <v>375</v>
      </c>
      <c r="O2159" t="s">
        <v>10225</v>
      </c>
      <c r="P2159" t="s">
        <v>10226</v>
      </c>
      <c r="Q2159" t="s">
        <v>10227</v>
      </c>
      <c r="R2159">
        <v>9</v>
      </c>
      <c r="S2159">
        <v>16</v>
      </c>
    </row>
    <row r="2160" spans="1:19" x14ac:dyDescent="0.35">
      <c r="A2160">
        <v>1046</v>
      </c>
      <c r="B2160" t="s">
        <v>10239</v>
      </c>
      <c r="C2160" t="s">
        <v>42</v>
      </c>
      <c r="D2160" t="s">
        <v>10240</v>
      </c>
      <c r="E2160" t="e" cm="1">
        <f t="array" ref="E2160">- ERDOSTEINE</f>
        <v>#NAME?</v>
      </c>
      <c r="F2160" s="1">
        <v>59000</v>
      </c>
      <c r="G2160" t="s">
        <v>2241</v>
      </c>
      <c r="H2160" t="s">
        <v>10241</v>
      </c>
    </row>
    <row r="2161" spans="1:19" x14ac:dyDescent="0.35">
      <c r="A2161">
        <v>4717</v>
      </c>
      <c r="B2161" t="s">
        <v>10242</v>
      </c>
      <c r="C2161" t="s">
        <v>42</v>
      </c>
      <c r="D2161" t="s">
        <v>10243</v>
      </c>
      <c r="E2161" t="e" cm="1">
        <f t="array" ref="E2161">- NAPHAZOLINE HYDROCHLORIDE</f>
        <v>#NAME?</v>
      </c>
      <c r="F2161" t="s">
        <v>10244</v>
      </c>
      <c r="G2161" t="s">
        <v>10245</v>
      </c>
      <c r="H2161" t="s">
        <v>10246</v>
      </c>
      <c r="I2161" t="s">
        <v>10247</v>
      </c>
      <c r="J2161" t="s">
        <v>10248</v>
      </c>
      <c r="L2161" t="s">
        <v>10249</v>
      </c>
      <c r="M2161" t="s">
        <v>824</v>
      </c>
      <c r="N2161" t="s">
        <v>10250</v>
      </c>
      <c r="O2161" t="s">
        <v>10251</v>
      </c>
      <c r="P2161" t="s">
        <v>10252</v>
      </c>
      <c r="Q2161" t="s">
        <v>10253</v>
      </c>
      <c r="R2161">
        <v>9</v>
      </c>
      <c r="S2161">
        <v>16</v>
      </c>
    </row>
    <row r="2162" spans="1:19" x14ac:dyDescent="0.35">
      <c r="A2162">
        <v>1839</v>
      </c>
      <c r="B2162" t="s">
        <v>10254</v>
      </c>
      <c r="C2162" t="s">
        <v>42</v>
      </c>
      <c r="D2162" t="s">
        <v>10255</v>
      </c>
      <c r="E2162" t="e" cm="1">
        <f t="array" ref="E2162">- DEXTROMETHORPHAN HYDROBROMIDE</f>
        <v>#NAME?</v>
      </c>
      <c r="F2162" t="s">
        <v>10256</v>
      </c>
      <c r="G2162" t="s">
        <v>2241</v>
      </c>
      <c r="H2162" t="s">
        <v>10257</v>
      </c>
      <c r="I2162" t="s">
        <v>10258</v>
      </c>
      <c r="J2162" t="s">
        <v>10259</v>
      </c>
      <c r="K2162" t="s">
        <v>10260</v>
      </c>
      <c r="L2162" t="s">
        <v>10261</v>
      </c>
      <c r="M2162" t="s">
        <v>271</v>
      </c>
      <c r="N2162" t="s">
        <v>1376</v>
      </c>
      <c r="O2162" t="s">
        <v>6172</v>
      </c>
      <c r="P2162" t="s">
        <v>10262</v>
      </c>
      <c r="Q2162" t="s">
        <v>10263</v>
      </c>
      <c r="R2162">
        <v>9</v>
      </c>
      <c r="S2162">
        <v>16</v>
      </c>
    </row>
    <row r="2163" spans="1:19" x14ac:dyDescent="0.35">
      <c r="A2163">
        <v>1838</v>
      </c>
      <c r="B2163" t="s">
        <v>10254</v>
      </c>
      <c r="C2163" t="s">
        <v>42</v>
      </c>
      <c r="D2163" t="s">
        <v>10255</v>
      </c>
      <c r="E2163" t="e" cm="1">
        <f t="array" ref="E2163">- DEXTROMETHORPHAN HYDROBROMIDE</f>
        <v>#NAME?</v>
      </c>
      <c r="F2163" t="s">
        <v>10256</v>
      </c>
      <c r="G2163" t="s">
        <v>2241</v>
      </c>
      <c r="H2163" t="s">
        <v>10257</v>
      </c>
      <c r="I2163" t="s">
        <v>10258</v>
      </c>
      <c r="J2163" t="s">
        <v>10259</v>
      </c>
      <c r="K2163" t="s">
        <v>10260</v>
      </c>
      <c r="L2163" t="s">
        <v>10261</v>
      </c>
      <c r="M2163" t="s">
        <v>271</v>
      </c>
      <c r="N2163" t="s">
        <v>1376</v>
      </c>
      <c r="O2163" t="s">
        <v>6172</v>
      </c>
      <c r="P2163" t="s">
        <v>10262</v>
      </c>
      <c r="Q2163" t="s">
        <v>10263</v>
      </c>
      <c r="R2163">
        <v>9</v>
      </c>
      <c r="S2163">
        <v>16</v>
      </c>
    </row>
    <row r="2164" spans="1:19" x14ac:dyDescent="0.35">
      <c r="A2164">
        <v>4718</v>
      </c>
      <c r="B2164" t="s">
        <v>10242</v>
      </c>
      <c r="C2164" t="s">
        <v>42</v>
      </c>
      <c r="D2164" t="s">
        <v>10243</v>
      </c>
      <c r="E2164" t="e" cm="1">
        <f t="array" ref="E2164">- NAPHAZOLINE HYDROCHLORIDE</f>
        <v>#NAME?</v>
      </c>
      <c r="F2164" t="s">
        <v>10244</v>
      </c>
      <c r="G2164" t="s">
        <v>10245</v>
      </c>
      <c r="H2164" t="s">
        <v>10246</v>
      </c>
      <c r="I2164" t="s">
        <v>10247</v>
      </c>
      <c r="J2164" t="s">
        <v>10248</v>
      </c>
      <c r="L2164" t="s">
        <v>10249</v>
      </c>
      <c r="M2164" t="s">
        <v>824</v>
      </c>
      <c r="N2164" t="s">
        <v>10250</v>
      </c>
      <c r="O2164" t="s">
        <v>10251</v>
      </c>
      <c r="P2164" t="s">
        <v>10252</v>
      </c>
      <c r="Q2164" t="s">
        <v>10253</v>
      </c>
      <c r="R2164">
        <v>9</v>
      </c>
      <c r="S2164">
        <v>16</v>
      </c>
    </row>
    <row r="2165" spans="1:19" x14ac:dyDescent="0.35">
      <c r="A2165">
        <v>8322</v>
      </c>
      <c r="B2165" t="s">
        <v>551</v>
      </c>
      <c r="C2165" t="s">
        <v>42</v>
      </c>
      <c r="D2165" t="s">
        <v>10264</v>
      </c>
      <c r="E2165" t="e" cm="1">
        <f t="array" ref="E2165">- POVIDONE-IODINE</f>
        <v>#NAME?</v>
      </c>
      <c r="F2165" t="s">
        <v>10265</v>
      </c>
      <c r="G2165" t="s">
        <v>8917</v>
      </c>
      <c r="H2165" t="s">
        <v>1322</v>
      </c>
      <c r="I2165" t="s">
        <v>8918</v>
      </c>
      <c r="J2165" t="s">
        <v>8919</v>
      </c>
      <c r="M2165" t="s">
        <v>554</v>
      </c>
      <c r="N2165" t="s">
        <v>555</v>
      </c>
      <c r="O2165" t="s">
        <v>8920</v>
      </c>
      <c r="P2165" t="s">
        <v>8921</v>
      </c>
      <c r="Q2165" t="s">
        <v>8922</v>
      </c>
      <c r="R2165">
        <v>9</v>
      </c>
      <c r="S2165">
        <v>16</v>
      </c>
    </row>
    <row r="2166" spans="1:19" x14ac:dyDescent="0.35">
      <c r="A2166">
        <v>9844</v>
      </c>
      <c r="B2166" t="s">
        <v>10235</v>
      </c>
      <c r="C2166" t="s">
        <v>42</v>
      </c>
      <c r="D2166" t="s">
        <v>10236</v>
      </c>
      <c r="E2166" t="e" cm="1">
        <f t="array" ref="E2166">- ROSUVASTATIN CALCIUM</f>
        <v>#NAME?</v>
      </c>
      <c r="F2166" t="s">
        <v>10237</v>
      </c>
      <c r="G2166" t="s">
        <v>3098</v>
      </c>
      <c r="H2166" t="s">
        <v>10238</v>
      </c>
    </row>
    <row r="2167" spans="1:19" x14ac:dyDescent="0.35">
      <c r="A2167">
        <v>1974</v>
      </c>
      <c r="B2167" t="s">
        <v>10266</v>
      </c>
      <c r="C2167" t="s">
        <v>20</v>
      </c>
      <c r="D2167" t="s">
        <v>10267</v>
      </c>
      <c r="E2167" t="s">
        <v>10268</v>
      </c>
      <c r="F2167" t="s">
        <v>10269</v>
      </c>
      <c r="H2167" t="s">
        <v>10270</v>
      </c>
      <c r="I2167" t="s">
        <v>5235</v>
      </c>
      <c r="J2167" t="s">
        <v>10213</v>
      </c>
      <c r="L2167" t="s">
        <v>4508</v>
      </c>
      <c r="M2167" t="s">
        <v>63</v>
      </c>
      <c r="N2167" t="s">
        <v>10271</v>
      </c>
      <c r="O2167" t="s">
        <v>5238</v>
      </c>
      <c r="P2167" t="s">
        <v>10271</v>
      </c>
      <c r="Q2167" t="s">
        <v>10272</v>
      </c>
      <c r="R2167">
        <v>9</v>
      </c>
      <c r="S2167">
        <v>16</v>
      </c>
    </row>
    <row r="2168" spans="1:19" x14ac:dyDescent="0.35">
      <c r="A2168">
        <v>1973</v>
      </c>
      <c r="B2168" t="s">
        <v>10266</v>
      </c>
      <c r="C2168" t="s">
        <v>20</v>
      </c>
      <c r="D2168" t="s">
        <v>10267</v>
      </c>
      <c r="E2168" t="s">
        <v>10268</v>
      </c>
      <c r="F2168" t="s">
        <v>10269</v>
      </c>
      <c r="H2168" t="s">
        <v>10270</v>
      </c>
      <c r="I2168" t="s">
        <v>5235</v>
      </c>
      <c r="J2168" t="s">
        <v>10213</v>
      </c>
      <c r="L2168" t="s">
        <v>4508</v>
      </c>
      <c r="M2168" t="s">
        <v>63</v>
      </c>
      <c r="N2168" t="s">
        <v>10271</v>
      </c>
      <c r="O2168" t="s">
        <v>5238</v>
      </c>
      <c r="P2168" t="s">
        <v>10271</v>
      </c>
      <c r="Q2168" t="s">
        <v>10272</v>
      </c>
      <c r="R2168">
        <v>9</v>
      </c>
      <c r="S2168">
        <v>16</v>
      </c>
    </row>
    <row r="2169" spans="1:19" x14ac:dyDescent="0.35">
      <c r="A2169">
        <v>3359</v>
      </c>
      <c r="B2169" t="s">
        <v>10218</v>
      </c>
      <c r="C2169" t="s">
        <v>42</v>
      </c>
      <c r="D2169" t="s">
        <v>10219</v>
      </c>
      <c r="E2169" t="e" cm="1">
        <f t="array" ref="E2169">- SUCRALFATE</f>
        <v>#NAME?</v>
      </c>
      <c r="F2169" t="s">
        <v>10220</v>
      </c>
      <c r="G2169" t="s">
        <v>10221</v>
      </c>
      <c r="H2169" t="s">
        <v>10222</v>
      </c>
      <c r="I2169" t="s">
        <v>10223</v>
      </c>
      <c r="J2169" t="s">
        <v>374</v>
      </c>
      <c r="L2169" t="s">
        <v>10224</v>
      </c>
      <c r="M2169" t="s">
        <v>340</v>
      </c>
      <c r="N2169" t="s">
        <v>375</v>
      </c>
      <c r="O2169" t="s">
        <v>10225</v>
      </c>
      <c r="P2169" t="s">
        <v>10226</v>
      </c>
      <c r="Q2169" t="s">
        <v>10227</v>
      </c>
      <c r="R2169">
        <v>9</v>
      </c>
      <c r="S2169">
        <v>16</v>
      </c>
    </row>
    <row r="2170" spans="1:19" x14ac:dyDescent="0.35">
      <c r="A2170">
        <v>3385</v>
      </c>
      <c r="B2170" t="s">
        <v>3595</v>
      </c>
      <c r="C2170" t="s">
        <v>42</v>
      </c>
      <c r="D2170" t="s">
        <v>3596</v>
      </c>
      <c r="E2170" t="e" cm="1">
        <f t="array" ref="E2170">- DRIED ALUMINIUM HYDROXIDE GEL. MAGNESIUM HYDROXIDE</f>
        <v>#NAME?</v>
      </c>
      <c r="F2170" s="1">
        <v>4800</v>
      </c>
      <c r="J2170" t="s">
        <v>3597</v>
      </c>
      <c r="M2170" t="s">
        <v>291</v>
      </c>
      <c r="N2170" t="s">
        <v>10273</v>
      </c>
      <c r="P2170" t="s">
        <v>3598</v>
      </c>
      <c r="Q2170" t="s">
        <v>10274</v>
      </c>
      <c r="R2170">
        <v>9</v>
      </c>
      <c r="S2170">
        <v>16</v>
      </c>
    </row>
    <row r="2171" spans="1:19" x14ac:dyDescent="0.35">
      <c r="A2171">
        <v>6198</v>
      </c>
      <c r="B2171" t="s">
        <v>10275</v>
      </c>
      <c r="C2171" t="s">
        <v>42</v>
      </c>
      <c r="D2171" t="s">
        <v>10276</v>
      </c>
      <c r="E2171" t="e" cm="1">
        <f t="array" ref="E2171">- RIFAMPICIN</f>
        <v>#NAME?</v>
      </c>
      <c r="F2171" t="s">
        <v>10277</v>
      </c>
      <c r="G2171" t="s">
        <v>10278</v>
      </c>
      <c r="H2171" t="s">
        <v>10279</v>
      </c>
      <c r="I2171" t="s">
        <v>10280</v>
      </c>
      <c r="J2171" t="s">
        <v>10281</v>
      </c>
      <c r="K2171" t="s">
        <v>10282</v>
      </c>
      <c r="L2171" t="s">
        <v>10283</v>
      </c>
      <c r="M2171" t="s">
        <v>291</v>
      </c>
      <c r="N2171" t="s">
        <v>516</v>
      </c>
      <c r="O2171" t="s">
        <v>10284</v>
      </c>
      <c r="P2171" t="s">
        <v>10285</v>
      </c>
      <c r="Q2171" t="s">
        <v>10286</v>
      </c>
      <c r="R2171">
        <v>9</v>
      </c>
      <c r="S2171">
        <v>16</v>
      </c>
    </row>
    <row r="2172" spans="1:19" x14ac:dyDescent="0.35">
      <c r="A2172">
        <v>4926</v>
      </c>
      <c r="B2172" t="s">
        <v>10287</v>
      </c>
      <c r="C2172" t="s">
        <v>42</v>
      </c>
      <c r="D2172" t="s">
        <v>10288</v>
      </c>
      <c r="E2172" t="e" cm="1">
        <f t="array" ref="E2172">- ADAPALENE</f>
        <v>#NAME?</v>
      </c>
      <c r="F2172" t="s">
        <v>10289</v>
      </c>
      <c r="G2172" t="s">
        <v>10290</v>
      </c>
      <c r="H2172" t="s">
        <v>10291</v>
      </c>
      <c r="I2172" t="s">
        <v>10292</v>
      </c>
      <c r="J2172" t="s">
        <v>7187</v>
      </c>
      <c r="K2172" t="s">
        <v>3952</v>
      </c>
      <c r="L2172" t="s">
        <v>10293</v>
      </c>
      <c r="M2172" t="s">
        <v>87</v>
      </c>
      <c r="N2172" t="s">
        <v>3954</v>
      </c>
      <c r="O2172" t="s">
        <v>10294</v>
      </c>
      <c r="P2172" t="s">
        <v>10295</v>
      </c>
      <c r="Q2172" t="s">
        <v>10296</v>
      </c>
      <c r="R2172">
        <v>9</v>
      </c>
      <c r="S2172">
        <v>16</v>
      </c>
    </row>
    <row r="2173" spans="1:19" x14ac:dyDescent="0.35">
      <c r="A2173">
        <v>3377</v>
      </c>
      <c r="B2173" t="s">
        <v>10297</v>
      </c>
      <c r="C2173" t="s">
        <v>42</v>
      </c>
      <c r="D2173" t="s">
        <v>10298</v>
      </c>
      <c r="E2173" t="s">
        <v>10299</v>
      </c>
      <c r="F2173" t="s">
        <v>10300</v>
      </c>
      <c r="G2173" t="s">
        <v>10301</v>
      </c>
      <c r="H2173" t="s">
        <v>10302</v>
      </c>
      <c r="I2173" t="s">
        <v>10303</v>
      </c>
      <c r="J2173" t="s">
        <v>10304</v>
      </c>
      <c r="K2173" t="s">
        <v>3952</v>
      </c>
      <c r="L2173" t="s">
        <v>10305</v>
      </c>
      <c r="M2173" t="s">
        <v>38</v>
      </c>
      <c r="N2173" t="s">
        <v>10306</v>
      </c>
      <c r="O2173" t="s">
        <v>2712</v>
      </c>
      <c r="P2173" t="s">
        <v>10307</v>
      </c>
      <c r="Q2173" t="s">
        <v>10308</v>
      </c>
      <c r="R2173">
        <v>9</v>
      </c>
      <c r="S2173">
        <v>16</v>
      </c>
    </row>
    <row r="2174" spans="1:19" x14ac:dyDescent="0.35">
      <c r="A2174">
        <v>4681</v>
      </c>
      <c r="B2174" t="s">
        <v>10309</v>
      </c>
      <c r="C2174" t="s">
        <v>42</v>
      </c>
      <c r="D2174" t="s">
        <v>10310</v>
      </c>
      <c r="E2174" t="e" cm="1">
        <f t="array" ref="E2174">- PIRENOXINE</f>
        <v>#NAME?</v>
      </c>
      <c r="F2174" t="s">
        <v>10311</v>
      </c>
      <c r="G2174" t="s">
        <v>7569</v>
      </c>
      <c r="H2174" t="s">
        <v>10312</v>
      </c>
      <c r="I2174" t="s">
        <v>10313</v>
      </c>
      <c r="J2174" t="s">
        <v>7561</v>
      </c>
      <c r="M2174" t="s">
        <v>824</v>
      </c>
      <c r="N2174" t="s">
        <v>7383</v>
      </c>
      <c r="O2174" t="s">
        <v>10314</v>
      </c>
      <c r="P2174" t="s">
        <v>10315</v>
      </c>
      <c r="Q2174" t="s">
        <v>10316</v>
      </c>
      <c r="R2174">
        <v>9</v>
      </c>
      <c r="S2174">
        <v>16</v>
      </c>
    </row>
    <row r="2175" spans="1:19" x14ac:dyDescent="0.35">
      <c r="A2175">
        <v>8398</v>
      </c>
      <c r="B2175" t="s">
        <v>551</v>
      </c>
      <c r="C2175" t="s">
        <v>42</v>
      </c>
      <c r="D2175" t="s">
        <v>10317</v>
      </c>
      <c r="E2175" t="e" cm="1">
        <f t="array" ref="E2175">- POVIDONE-IODINE</f>
        <v>#NAME?</v>
      </c>
      <c r="F2175" t="s">
        <v>10318</v>
      </c>
      <c r="J2175" t="s">
        <v>2812</v>
      </c>
      <c r="M2175" t="s">
        <v>554</v>
      </c>
      <c r="N2175" t="s">
        <v>555</v>
      </c>
      <c r="P2175" t="s">
        <v>10319</v>
      </c>
      <c r="Q2175" t="s">
        <v>10320</v>
      </c>
      <c r="R2175">
        <v>9</v>
      </c>
      <c r="S2175">
        <v>16</v>
      </c>
    </row>
    <row r="2176" spans="1:19" x14ac:dyDescent="0.35">
      <c r="A2176">
        <v>4846</v>
      </c>
      <c r="B2176" t="s">
        <v>10321</v>
      </c>
      <c r="C2176" t="s">
        <v>42</v>
      </c>
      <c r="D2176" t="s">
        <v>10322</v>
      </c>
      <c r="E2176" t="e" cm="1">
        <f t="array" ref="E2176">- DICLOFENAC SODIUM</f>
        <v>#NAME?</v>
      </c>
      <c r="F2176" t="s">
        <v>10323</v>
      </c>
      <c r="H2176" t="s">
        <v>10324</v>
      </c>
      <c r="I2176" t="s">
        <v>10325</v>
      </c>
      <c r="J2176" t="s">
        <v>9310</v>
      </c>
      <c r="K2176" t="s">
        <v>10326</v>
      </c>
      <c r="L2176" t="s">
        <v>10327</v>
      </c>
      <c r="M2176" t="s">
        <v>824</v>
      </c>
      <c r="N2176" t="s">
        <v>2597</v>
      </c>
      <c r="O2176" t="s">
        <v>10328</v>
      </c>
      <c r="P2176" t="s">
        <v>10329</v>
      </c>
      <c r="Q2176" t="s">
        <v>10330</v>
      </c>
      <c r="R2176">
        <v>9</v>
      </c>
      <c r="S2176">
        <v>16</v>
      </c>
    </row>
    <row r="2177" spans="1:19" x14ac:dyDescent="0.35">
      <c r="A2177">
        <v>8399</v>
      </c>
      <c r="B2177" t="s">
        <v>551</v>
      </c>
      <c r="C2177" t="s">
        <v>42</v>
      </c>
      <c r="D2177" t="s">
        <v>10317</v>
      </c>
      <c r="E2177" t="e" cm="1">
        <f t="array" ref="E2177">- POVIDONE-IODINE</f>
        <v>#NAME?</v>
      </c>
      <c r="F2177" t="s">
        <v>10318</v>
      </c>
      <c r="J2177" t="s">
        <v>2812</v>
      </c>
      <c r="M2177" t="s">
        <v>554</v>
      </c>
      <c r="N2177" t="s">
        <v>555</v>
      </c>
      <c r="P2177" t="s">
        <v>10319</v>
      </c>
      <c r="Q2177" t="s">
        <v>10320</v>
      </c>
      <c r="R2177">
        <v>9</v>
      </c>
      <c r="S2177">
        <v>16</v>
      </c>
    </row>
    <row r="2178" spans="1:19" x14ac:dyDescent="0.35">
      <c r="A2178">
        <v>4716</v>
      </c>
      <c r="B2178" t="s">
        <v>10242</v>
      </c>
      <c r="C2178" t="s">
        <v>42</v>
      </c>
      <c r="D2178" t="s">
        <v>10243</v>
      </c>
      <c r="E2178" t="e" cm="1">
        <f t="array" ref="E2178">- NAPHAZOLINE HYDROCHLORIDE</f>
        <v>#NAME?</v>
      </c>
      <c r="F2178" t="s">
        <v>10244</v>
      </c>
      <c r="G2178" t="s">
        <v>10245</v>
      </c>
      <c r="H2178" t="s">
        <v>10246</v>
      </c>
      <c r="I2178" t="s">
        <v>10247</v>
      </c>
      <c r="J2178" t="s">
        <v>10248</v>
      </c>
      <c r="L2178" t="s">
        <v>10249</v>
      </c>
      <c r="M2178" t="s">
        <v>824</v>
      </c>
      <c r="N2178" t="s">
        <v>10250</v>
      </c>
      <c r="O2178" t="s">
        <v>10251</v>
      </c>
      <c r="P2178" t="s">
        <v>10252</v>
      </c>
      <c r="Q2178" t="s">
        <v>10253</v>
      </c>
      <c r="R2178">
        <v>9</v>
      </c>
      <c r="S2178">
        <v>16</v>
      </c>
    </row>
    <row r="2179" spans="1:19" x14ac:dyDescent="0.35">
      <c r="A2179">
        <v>4680</v>
      </c>
      <c r="B2179" t="s">
        <v>10309</v>
      </c>
      <c r="C2179" t="s">
        <v>42</v>
      </c>
      <c r="D2179" t="s">
        <v>10331</v>
      </c>
      <c r="E2179" t="e" cm="1">
        <f t="array" ref="E2179">- PIRENOXINE</f>
        <v>#NAME?</v>
      </c>
      <c r="F2179" t="s">
        <v>10332</v>
      </c>
      <c r="G2179" t="s">
        <v>7569</v>
      </c>
      <c r="H2179" t="s">
        <v>7570</v>
      </c>
      <c r="I2179" t="s">
        <v>10313</v>
      </c>
      <c r="J2179" t="s">
        <v>6335</v>
      </c>
      <c r="L2179" t="s">
        <v>270</v>
      </c>
      <c r="M2179" t="s">
        <v>824</v>
      </c>
      <c r="N2179" t="s">
        <v>7383</v>
      </c>
      <c r="O2179" t="s">
        <v>10314</v>
      </c>
      <c r="P2179" t="s">
        <v>10333</v>
      </c>
      <c r="Q2179" t="s">
        <v>10334</v>
      </c>
      <c r="R2179">
        <v>9</v>
      </c>
      <c r="S2179">
        <v>16</v>
      </c>
    </row>
    <row r="2180" spans="1:19" x14ac:dyDescent="0.35">
      <c r="A2180">
        <v>8325</v>
      </c>
      <c r="B2180" t="s">
        <v>551</v>
      </c>
      <c r="C2180" t="s">
        <v>42</v>
      </c>
      <c r="D2180" t="s">
        <v>10335</v>
      </c>
      <c r="E2180" t="e" cm="1">
        <f t="array" ref="E2180">- POVIDONE-IODINE</f>
        <v>#NAME?</v>
      </c>
      <c r="F2180" t="s">
        <v>10336</v>
      </c>
      <c r="G2180" t="s">
        <v>8917</v>
      </c>
      <c r="H2180" t="s">
        <v>1322</v>
      </c>
      <c r="I2180" t="s">
        <v>8918</v>
      </c>
      <c r="J2180" t="s">
        <v>8919</v>
      </c>
      <c r="M2180" t="s">
        <v>554</v>
      </c>
      <c r="N2180" t="s">
        <v>555</v>
      </c>
      <c r="O2180" t="s">
        <v>8920</v>
      </c>
      <c r="P2180" t="s">
        <v>8921</v>
      </c>
      <c r="Q2180" t="s">
        <v>8922</v>
      </c>
      <c r="R2180">
        <v>9</v>
      </c>
      <c r="S2180">
        <v>16</v>
      </c>
    </row>
    <row r="2181" spans="1:19" x14ac:dyDescent="0.35">
      <c r="A2181">
        <v>8324</v>
      </c>
      <c r="B2181" t="s">
        <v>551</v>
      </c>
      <c r="C2181" t="s">
        <v>42</v>
      </c>
      <c r="D2181" t="s">
        <v>10335</v>
      </c>
      <c r="E2181" t="e" cm="1">
        <f t="array" ref="E2181">- POVIDONE-IODINE</f>
        <v>#NAME?</v>
      </c>
      <c r="F2181" t="s">
        <v>10336</v>
      </c>
      <c r="G2181" t="s">
        <v>8917</v>
      </c>
      <c r="H2181" t="s">
        <v>1322</v>
      </c>
      <c r="I2181" t="s">
        <v>8918</v>
      </c>
      <c r="J2181" t="s">
        <v>8919</v>
      </c>
      <c r="M2181" t="s">
        <v>554</v>
      </c>
      <c r="N2181" t="s">
        <v>555</v>
      </c>
      <c r="O2181" t="s">
        <v>8920</v>
      </c>
      <c r="P2181" t="s">
        <v>8921</v>
      </c>
      <c r="Q2181" t="s">
        <v>8922</v>
      </c>
      <c r="R2181">
        <v>9</v>
      </c>
      <c r="S2181">
        <v>16</v>
      </c>
    </row>
    <row r="2182" spans="1:19" x14ac:dyDescent="0.35">
      <c r="A2182">
        <v>8323</v>
      </c>
      <c r="B2182" t="s">
        <v>551</v>
      </c>
      <c r="C2182" t="s">
        <v>42</v>
      </c>
      <c r="D2182" t="s">
        <v>10264</v>
      </c>
      <c r="E2182" t="e" cm="1">
        <f t="array" ref="E2182">- POVIDONE-IODINE</f>
        <v>#NAME?</v>
      </c>
      <c r="F2182" t="s">
        <v>10265</v>
      </c>
      <c r="G2182" t="s">
        <v>8917</v>
      </c>
      <c r="H2182" t="s">
        <v>1322</v>
      </c>
      <c r="I2182" t="s">
        <v>8918</v>
      </c>
      <c r="J2182" t="s">
        <v>8919</v>
      </c>
      <c r="M2182" t="s">
        <v>554</v>
      </c>
      <c r="N2182" t="s">
        <v>555</v>
      </c>
      <c r="O2182" t="s">
        <v>8920</v>
      </c>
      <c r="P2182" t="s">
        <v>8921</v>
      </c>
      <c r="Q2182" t="s">
        <v>8922</v>
      </c>
      <c r="R2182">
        <v>9</v>
      </c>
      <c r="S2182">
        <v>16</v>
      </c>
    </row>
    <row r="2183" spans="1:19" x14ac:dyDescent="0.35">
      <c r="A2183">
        <v>1318</v>
      </c>
      <c r="B2183" t="s">
        <v>10337</v>
      </c>
      <c r="C2183" t="s">
        <v>42</v>
      </c>
      <c r="D2183" t="s">
        <v>10338</v>
      </c>
      <c r="E2183" t="e" cm="1">
        <f t="array" ref="E2183">- AMMONIUM CHLORIDE</f>
        <v>#NAME?</v>
      </c>
      <c r="F2183" t="s">
        <v>10339</v>
      </c>
      <c r="G2183" t="s">
        <v>539</v>
      </c>
      <c r="I2183" t="s">
        <v>10340</v>
      </c>
      <c r="M2183" t="s">
        <v>271</v>
      </c>
      <c r="N2183" t="s">
        <v>1672</v>
      </c>
      <c r="O2183" t="s">
        <v>10341</v>
      </c>
      <c r="P2183" t="s">
        <v>10342</v>
      </c>
      <c r="Q2183" t="s">
        <v>10343</v>
      </c>
      <c r="R2183">
        <v>9</v>
      </c>
      <c r="S2183">
        <v>16</v>
      </c>
    </row>
    <row r="2184" spans="1:19" x14ac:dyDescent="0.35">
      <c r="A2184">
        <v>28</v>
      </c>
      <c r="B2184" t="s">
        <v>2902</v>
      </c>
      <c r="C2184" t="s">
        <v>42</v>
      </c>
      <c r="D2184" t="s">
        <v>8992</v>
      </c>
      <c r="E2184" t="e" cm="1">
        <f t="array" ref="E2184">- SILDENAFIL CITRATE</f>
        <v>#NAME?</v>
      </c>
      <c r="F2184" t="s">
        <v>8993</v>
      </c>
      <c r="G2184" t="s">
        <v>8185</v>
      </c>
      <c r="H2184" t="s">
        <v>1322</v>
      </c>
      <c r="I2184" t="s">
        <v>8186</v>
      </c>
      <c r="J2184" t="s">
        <v>8980</v>
      </c>
      <c r="M2184" t="s">
        <v>46</v>
      </c>
      <c r="N2184" t="s">
        <v>2519</v>
      </c>
      <c r="O2184" t="s">
        <v>8189</v>
      </c>
      <c r="P2184" t="s">
        <v>8994</v>
      </c>
      <c r="Q2184" t="s">
        <v>10344</v>
      </c>
      <c r="R2184">
        <v>9</v>
      </c>
      <c r="S2184">
        <v>16</v>
      </c>
    </row>
    <row r="2185" spans="1:19" x14ac:dyDescent="0.35">
      <c r="A2185">
        <v>267</v>
      </c>
      <c r="B2185" t="s">
        <v>10345</v>
      </c>
      <c r="C2185" t="s">
        <v>42</v>
      </c>
      <c r="D2185" t="s">
        <v>10346</v>
      </c>
      <c r="E2185" t="e" cm="1">
        <f t="array" ref="E2185">- SILDENAFIL CITRATE</f>
        <v>#NAME?</v>
      </c>
      <c r="F2185" s="1">
        <v>99600</v>
      </c>
      <c r="G2185" t="s">
        <v>8240</v>
      </c>
      <c r="H2185" t="s">
        <v>8241</v>
      </c>
      <c r="I2185" t="s">
        <v>10347</v>
      </c>
      <c r="J2185" t="s">
        <v>10348</v>
      </c>
      <c r="K2185" t="s">
        <v>8252</v>
      </c>
      <c r="L2185" t="s">
        <v>321</v>
      </c>
      <c r="M2185" t="s">
        <v>46</v>
      </c>
      <c r="N2185" t="s">
        <v>2519</v>
      </c>
      <c r="O2185" t="s">
        <v>8246</v>
      </c>
      <c r="P2185" t="s">
        <v>10349</v>
      </c>
      <c r="Q2185" t="s">
        <v>10350</v>
      </c>
      <c r="R2185">
        <v>9</v>
      </c>
      <c r="S2185">
        <v>16</v>
      </c>
    </row>
    <row r="2186" spans="1:19" x14ac:dyDescent="0.35">
      <c r="A2186">
        <v>1683</v>
      </c>
      <c r="B2186" t="s">
        <v>8345</v>
      </c>
      <c r="C2186" t="s">
        <v>850</v>
      </c>
      <c r="D2186" t="s">
        <v>10351</v>
      </c>
      <c r="E2186" t="e" cm="1">
        <f t="array" ref="E2186">- Camphor</f>
        <v>#NAME?</v>
      </c>
      <c r="F2186" t="s">
        <v>10352</v>
      </c>
      <c r="G2186" t="s">
        <v>10353</v>
      </c>
      <c r="H2186" t="s">
        <v>1322</v>
      </c>
      <c r="I2186" t="s">
        <v>10354</v>
      </c>
      <c r="J2186" t="s">
        <v>10355</v>
      </c>
      <c r="M2186" t="s">
        <v>3423</v>
      </c>
      <c r="N2186" t="s">
        <v>853</v>
      </c>
      <c r="O2186" t="s">
        <v>8351</v>
      </c>
      <c r="P2186" t="s">
        <v>10356</v>
      </c>
      <c r="Q2186" t="s">
        <v>10357</v>
      </c>
      <c r="R2186">
        <v>9</v>
      </c>
      <c r="S2186">
        <v>16</v>
      </c>
    </row>
    <row r="2187" spans="1:19" x14ac:dyDescent="0.35">
      <c r="A2187">
        <v>266</v>
      </c>
      <c r="B2187" t="s">
        <v>10345</v>
      </c>
      <c r="C2187" t="s">
        <v>42</v>
      </c>
      <c r="D2187" t="s">
        <v>10346</v>
      </c>
      <c r="E2187" t="e" cm="1">
        <f t="array" ref="E2187">- SILDENAFIL CITRATE</f>
        <v>#NAME?</v>
      </c>
      <c r="F2187" s="1">
        <v>99600</v>
      </c>
      <c r="G2187" t="s">
        <v>8240</v>
      </c>
      <c r="H2187" t="s">
        <v>8241</v>
      </c>
      <c r="I2187" t="s">
        <v>10347</v>
      </c>
      <c r="J2187" t="s">
        <v>10348</v>
      </c>
      <c r="K2187" t="s">
        <v>8252</v>
      </c>
      <c r="L2187" t="s">
        <v>321</v>
      </c>
      <c r="M2187" t="s">
        <v>46</v>
      </c>
      <c r="N2187" t="s">
        <v>2519</v>
      </c>
      <c r="O2187" t="s">
        <v>8246</v>
      </c>
      <c r="P2187" t="s">
        <v>10349</v>
      </c>
      <c r="Q2187" t="s">
        <v>10350</v>
      </c>
      <c r="R2187">
        <v>9</v>
      </c>
      <c r="S2187">
        <v>16</v>
      </c>
    </row>
    <row r="2188" spans="1:19" x14ac:dyDescent="0.35">
      <c r="A2188">
        <v>1045</v>
      </c>
      <c r="B2188" t="s">
        <v>10239</v>
      </c>
      <c r="C2188" t="s">
        <v>42</v>
      </c>
      <c r="D2188" t="s">
        <v>10240</v>
      </c>
      <c r="E2188" t="e" cm="1">
        <f t="array" ref="E2188">- ERDOSTEINE</f>
        <v>#NAME?</v>
      </c>
      <c r="F2188" s="1">
        <v>59000</v>
      </c>
      <c r="G2188" t="s">
        <v>2241</v>
      </c>
      <c r="H2188" t="s">
        <v>10241</v>
      </c>
    </row>
    <row r="2189" spans="1:19" x14ac:dyDescent="0.35">
      <c r="A2189">
        <v>2018</v>
      </c>
      <c r="B2189" t="s">
        <v>10358</v>
      </c>
      <c r="C2189" t="s">
        <v>20</v>
      </c>
      <c r="D2189" t="s">
        <v>10359</v>
      </c>
      <c r="E2189" t="s">
        <v>10360</v>
      </c>
      <c r="F2189" t="s">
        <v>10361</v>
      </c>
      <c r="G2189" t="s">
        <v>6707</v>
      </c>
      <c r="H2189" t="s">
        <v>6708</v>
      </c>
      <c r="I2189" t="s">
        <v>6709</v>
      </c>
      <c r="J2189" t="s">
        <v>6710</v>
      </c>
      <c r="L2189" t="s">
        <v>6711</v>
      </c>
      <c r="M2189" t="s">
        <v>63</v>
      </c>
      <c r="N2189" t="s">
        <v>10362</v>
      </c>
      <c r="O2189" t="s">
        <v>5144</v>
      </c>
      <c r="P2189" t="s">
        <v>10362</v>
      </c>
      <c r="Q2189" t="s">
        <v>10363</v>
      </c>
      <c r="R2189">
        <v>9</v>
      </c>
      <c r="S2189">
        <v>16</v>
      </c>
    </row>
    <row r="2190" spans="1:19" x14ac:dyDescent="0.35">
      <c r="A2190">
        <v>4819</v>
      </c>
      <c r="B2190" t="s">
        <v>10364</v>
      </c>
      <c r="C2190" t="s">
        <v>42</v>
      </c>
      <c r="D2190" t="s">
        <v>10365</v>
      </c>
      <c r="E2190" t="e" cm="1">
        <f t="array" ref="E2190">- ACICLOVIR</f>
        <v>#NAME?</v>
      </c>
      <c r="F2190" s="1">
        <v>69000</v>
      </c>
      <c r="G2190" t="s">
        <v>10366</v>
      </c>
      <c r="H2190" t="s">
        <v>7542</v>
      </c>
      <c r="I2190" t="s">
        <v>10367</v>
      </c>
      <c r="J2190" t="s">
        <v>10368</v>
      </c>
      <c r="L2190" t="s">
        <v>321</v>
      </c>
      <c r="M2190" t="s">
        <v>1029</v>
      </c>
      <c r="N2190" t="s">
        <v>1685</v>
      </c>
      <c r="O2190" t="s">
        <v>10369</v>
      </c>
      <c r="P2190" t="s">
        <v>10370</v>
      </c>
      <c r="Q2190" t="s">
        <v>10371</v>
      </c>
      <c r="R2190">
        <v>9</v>
      </c>
      <c r="S2190">
        <v>16</v>
      </c>
    </row>
    <row r="2191" spans="1:19" x14ac:dyDescent="0.35">
      <c r="A2191">
        <v>3627</v>
      </c>
      <c r="B2191" t="s">
        <v>10372</v>
      </c>
      <c r="C2191" t="s">
        <v>42</v>
      </c>
      <c r="D2191" t="s">
        <v>10373</v>
      </c>
      <c r="E2191" t="e" cm="1">
        <f t="array" ref="E2191">- DOMPERIDONE</f>
        <v>#NAME?</v>
      </c>
      <c r="F2191" t="s">
        <v>10374</v>
      </c>
      <c r="G2191" t="s">
        <v>737</v>
      </c>
      <c r="H2191" t="s">
        <v>10375</v>
      </c>
      <c r="I2191" t="s">
        <v>10376</v>
      </c>
      <c r="J2191" t="s">
        <v>10377</v>
      </c>
      <c r="K2191" t="s">
        <v>10378</v>
      </c>
      <c r="L2191" t="s">
        <v>10379</v>
      </c>
      <c r="M2191" t="s">
        <v>340</v>
      </c>
      <c r="N2191" t="s">
        <v>341</v>
      </c>
      <c r="O2191" t="s">
        <v>10380</v>
      </c>
      <c r="P2191" t="s">
        <v>10381</v>
      </c>
      <c r="Q2191" t="s">
        <v>10382</v>
      </c>
      <c r="R2191">
        <v>9</v>
      </c>
      <c r="S2191">
        <v>16</v>
      </c>
    </row>
    <row r="2192" spans="1:19" x14ac:dyDescent="0.35">
      <c r="A2192">
        <v>12</v>
      </c>
      <c r="B2192" t="s">
        <v>10383</v>
      </c>
      <c r="C2192" t="s">
        <v>42</v>
      </c>
      <c r="D2192" t="s">
        <v>10384</v>
      </c>
      <c r="E2192" t="e" cm="1">
        <f t="array" ref="E2192">- SILDENAFIL CITRATE</f>
        <v>#NAME?</v>
      </c>
      <c r="F2192" t="s">
        <v>10385</v>
      </c>
      <c r="G2192" t="s">
        <v>10386</v>
      </c>
      <c r="H2192" t="s">
        <v>10387</v>
      </c>
      <c r="I2192" t="s">
        <v>8242</v>
      </c>
      <c r="J2192" t="s">
        <v>10388</v>
      </c>
      <c r="K2192" t="s">
        <v>10389</v>
      </c>
      <c r="L2192" t="s">
        <v>10390</v>
      </c>
      <c r="M2192" t="s">
        <v>8254</v>
      </c>
      <c r="N2192" t="s">
        <v>2519</v>
      </c>
      <c r="O2192" t="s">
        <v>8246</v>
      </c>
      <c r="P2192" t="s">
        <v>10391</v>
      </c>
      <c r="Q2192" t="s">
        <v>10392</v>
      </c>
      <c r="R2192">
        <v>9</v>
      </c>
      <c r="S2192">
        <v>16</v>
      </c>
    </row>
    <row r="2193" spans="1:19" x14ac:dyDescent="0.35">
      <c r="A2193">
        <v>9968</v>
      </c>
      <c r="B2193" t="s">
        <v>10393</v>
      </c>
      <c r="C2193" t="s">
        <v>42</v>
      </c>
      <c r="D2193" t="s">
        <v>10394</v>
      </c>
      <c r="E2193" t="e" cm="1">
        <f t="array" ref="E2193">- CLOPIDOGREL BISULFATE</f>
        <v>#NAME?</v>
      </c>
      <c r="F2193" t="s">
        <v>10395</v>
      </c>
      <c r="G2193" t="s">
        <v>10396</v>
      </c>
      <c r="H2193" t="s">
        <v>10397</v>
      </c>
      <c r="I2193" t="s">
        <v>10398</v>
      </c>
      <c r="J2193" t="s">
        <v>10399</v>
      </c>
      <c r="K2193" t="s">
        <v>10400</v>
      </c>
      <c r="L2193" t="s">
        <v>10401</v>
      </c>
      <c r="M2193" t="s">
        <v>46</v>
      </c>
      <c r="N2193" t="s">
        <v>2490</v>
      </c>
      <c r="O2193" t="s">
        <v>10402</v>
      </c>
      <c r="P2193" t="s">
        <v>10403</v>
      </c>
      <c r="Q2193" t="s">
        <v>10404</v>
      </c>
      <c r="R2193">
        <v>9</v>
      </c>
      <c r="S2193">
        <v>16</v>
      </c>
    </row>
    <row r="2194" spans="1:19" x14ac:dyDescent="0.35">
      <c r="A2194">
        <v>11</v>
      </c>
      <c r="B2194" t="s">
        <v>10383</v>
      </c>
      <c r="C2194" t="s">
        <v>42</v>
      </c>
      <c r="D2194" t="s">
        <v>10384</v>
      </c>
      <c r="E2194" t="e" cm="1">
        <f t="array" ref="E2194">- SILDENAFIL CITRATE</f>
        <v>#NAME?</v>
      </c>
      <c r="F2194" t="s">
        <v>10385</v>
      </c>
      <c r="G2194" t="s">
        <v>10386</v>
      </c>
      <c r="H2194" t="s">
        <v>10387</v>
      </c>
      <c r="I2194" t="s">
        <v>8242</v>
      </c>
      <c r="J2194" t="s">
        <v>10388</v>
      </c>
      <c r="K2194" t="s">
        <v>10389</v>
      </c>
      <c r="L2194" t="s">
        <v>10390</v>
      </c>
      <c r="M2194" t="s">
        <v>8254</v>
      </c>
      <c r="N2194" t="s">
        <v>2519</v>
      </c>
      <c r="O2194" t="s">
        <v>8246</v>
      </c>
      <c r="P2194" t="s">
        <v>10391</v>
      </c>
      <c r="Q2194" t="s">
        <v>10392</v>
      </c>
      <c r="R2194">
        <v>9</v>
      </c>
      <c r="S2194">
        <v>16</v>
      </c>
    </row>
    <row r="2195" spans="1:19" x14ac:dyDescent="0.35">
      <c r="A2195">
        <v>1671</v>
      </c>
      <c r="B2195" t="s">
        <v>10405</v>
      </c>
      <c r="C2195" t="s">
        <v>42</v>
      </c>
      <c r="D2195" t="s">
        <v>10406</v>
      </c>
      <c r="E2195" t="e" cm="1">
        <f t="array" ref="E2195">- ERDOSTEINE</f>
        <v>#NAME?</v>
      </c>
      <c r="F2195" t="s">
        <v>10407</v>
      </c>
      <c r="G2195" t="s">
        <v>2241</v>
      </c>
      <c r="H2195" t="s">
        <v>10408</v>
      </c>
      <c r="I2195" t="s">
        <v>10409</v>
      </c>
      <c r="J2195" t="s">
        <v>8845</v>
      </c>
      <c r="K2195" t="s">
        <v>10410</v>
      </c>
    </row>
    <row r="2196" spans="1:19" x14ac:dyDescent="0.35">
      <c r="A2196">
        <v>1670</v>
      </c>
      <c r="B2196" t="s">
        <v>10405</v>
      </c>
      <c r="C2196" t="s">
        <v>42</v>
      </c>
      <c r="D2196" t="s">
        <v>10406</v>
      </c>
      <c r="E2196" t="e" cm="1">
        <f t="array" ref="E2196">- ERDOSTEINE</f>
        <v>#NAME?</v>
      </c>
      <c r="F2196" t="s">
        <v>10407</v>
      </c>
      <c r="G2196" t="s">
        <v>2241</v>
      </c>
      <c r="H2196" t="s">
        <v>10408</v>
      </c>
      <c r="I2196" t="s">
        <v>10409</v>
      </c>
      <c r="J2196" t="s">
        <v>8845</v>
      </c>
      <c r="K2196" t="s">
        <v>10410</v>
      </c>
    </row>
    <row r="2197" spans="1:19" x14ac:dyDescent="0.35">
      <c r="A2197">
        <v>547</v>
      </c>
      <c r="B2197" t="s">
        <v>10411</v>
      </c>
      <c r="C2197" t="s">
        <v>42</v>
      </c>
      <c r="D2197" t="s">
        <v>10412</v>
      </c>
      <c r="E2197" t="e" cm="1">
        <f t="array" ref="E2197">- SALBUTAMOL SULFATE</f>
        <v>#NAME?</v>
      </c>
      <c r="F2197" t="s">
        <v>10413</v>
      </c>
      <c r="H2197" t="s">
        <v>10414</v>
      </c>
      <c r="I2197" t="s">
        <v>10415</v>
      </c>
      <c r="J2197" t="s">
        <v>10416</v>
      </c>
      <c r="L2197" t="s">
        <v>2278</v>
      </c>
      <c r="M2197" t="s">
        <v>271</v>
      </c>
      <c r="N2197" t="s">
        <v>3424</v>
      </c>
      <c r="O2197" t="s">
        <v>10417</v>
      </c>
      <c r="P2197" t="s">
        <v>10418</v>
      </c>
      <c r="Q2197" t="s">
        <v>10419</v>
      </c>
      <c r="R2197">
        <v>9</v>
      </c>
      <c r="S2197">
        <v>16</v>
      </c>
    </row>
    <row r="2198" spans="1:19" x14ac:dyDescent="0.35">
      <c r="A2198">
        <v>4250</v>
      </c>
      <c r="B2198" t="s">
        <v>10420</v>
      </c>
      <c r="C2198" t="s">
        <v>42</v>
      </c>
      <c r="D2198" t="s">
        <v>10421</v>
      </c>
      <c r="E2198" t="e" cm="1">
        <f t="array" ref="E2198">- DEXAMETHASONE</f>
        <v>#NAME?</v>
      </c>
      <c r="F2198" s="1">
        <v>6200</v>
      </c>
      <c r="G2198" t="s">
        <v>2855</v>
      </c>
      <c r="H2198" t="s">
        <v>10422</v>
      </c>
      <c r="I2198" t="s">
        <v>10423</v>
      </c>
      <c r="J2198" t="s">
        <v>10424</v>
      </c>
      <c r="K2198" t="s">
        <v>10425</v>
      </c>
      <c r="L2198" t="s">
        <v>10426</v>
      </c>
      <c r="M2198" t="s">
        <v>291</v>
      </c>
      <c r="N2198" t="s">
        <v>3779</v>
      </c>
      <c r="O2198" t="s">
        <v>10427</v>
      </c>
      <c r="P2198" t="s">
        <v>10428</v>
      </c>
      <c r="Q2198" t="s">
        <v>10429</v>
      </c>
      <c r="R2198">
        <v>9</v>
      </c>
      <c r="S2198">
        <v>16</v>
      </c>
    </row>
    <row r="2199" spans="1:19" x14ac:dyDescent="0.35">
      <c r="A2199">
        <v>3327</v>
      </c>
      <c r="B2199" t="s">
        <v>4306</v>
      </c>
      <c r="C2199" t="s">
        <v>42</v>
      </c>
      <c r="D2199" t="s">
        <v>4307</v>
      </c>
      <c r="E2199" t="e" cm="1">
        <f t="array" ref="E2199">- MAGNESIUM HYDROXIDE. SIMETHICONE. DRIED ALUMINIUM HYDROXIDE GEL</f>
        <v>#NAME?</v>
      </c>
      <c r="F2199" t="s">
        <v>4308</v>
      </c>
      <c r="J2199" t="s">
        <v>945</v>
      </c>
      <c r="M2199" t="s">
        <v>340</v>
      </c>
      <c r="N2199" t="s">
        <v>10430</v>
      </c>
      <c r="P2199" t="s">
        <v>4309</v>
      </c>
      <c r="Q2199" t="s">
        <v>10431</v>
      </c>
      <c r="R2199">
        <v>9</v>
      </c>
      <c r="S2199">
        <v>16</v>
      </c>
    </row>
    <row r="2200" spans="1:19" x14ac:dyDescent="0.35">
      <c r="A2200">
        <v>252</v>
      </c>
      <c r="B2200" t="s">
        <v>10432</v>
      </c>
      <c r="C2200" t="s">
        <v>42</v>
      </c>
      <c r="D2200" t="s">
        <v>10433</v>
      </c>
      <c r="E2200" t="e" cm="1">
        <f t="array" ref="E2200">- SILDENAFIL CITRATE</f>
        <v>#NAME?</v>
      </c>
      <c r="F2200" t="s">
        <v>10434</v>
      </c>
      <c r="G2200" t="s">
        <v>8240</v>
      </c>
      <c r="H2200" t="s">
        <v>10435</v>
      </c>
      <c r="I2200" t="s">
        <v>10436</v>
      </c>
      <c r="J2200" t="s">
        <v>10437</v>
      </c>
      <c r="L2200" t="s">
        <v>8253</v>
      </c>
      <c r="M2200" t="s">
        <v>291</v>
      </c>
      <c r="N2200" t="s">
        <v>2519</v>
      </c>
      <c r="O2200" t="s">
        <v>8246</v>
      </c>
      <c r="P2200" t="s">
        <v>10438</v>
      </c>
      <c r="Q2200" t="s">
        <v>10439</v>
      </c>
      <c r="R2200">
        <v>9</v>
      </c>
      <c r="S2200">
        <v>16</v>
      </c>
    </row>
    <row r="2201" spans="1:19" x14ac:dyDescent="0.35">
      <c r="A2201">
        <v>7954</v>
      </c>
      <c r="B2201" t="s">
        <v>10440</v>
      </c>
      <c r="C2201" t="s">
        <v>20</v>
      </c>
      <c r="D2201" t="s">
        <v>10441</v>
      </c>
      <c r="E2201" t="s">
        <v>10442</v>
      </c>
      <c r="F2201" t="s">
        <v>10443</v>
      </c>
      <c r="H2201" t="s">
        <v>10444</v>
      </c>
      <c r="I2201" t="s">
        <v>3392</v>
      </c>
      <c r="J2201" t="s">
        <v>10445</v>
      </c>
      <c r="L2201" t="s">
        <v>10446</v>
      </c>
      <c r="N2201" t="s">
        <v>10447</v>
      </c>
      <c r="O2201" t="s">
        <v>3396</v>
      </c>
      <c r="P2201" t="s">
        <v>9288</v>
      </c>
      <c r="Q2201" t="s">
        <v>10448</v>
      </c>
      <c r="R2201">
        <v>9</v>
      </c>
      <c r="S2201">
        <v>16</v>
      </c>
    </row>
    <row r="2202" spans="1:19" x14ac:dyDescent="0.35">
      <c r="A2202">
        <v>3533</v>
      </c>
      <c r="B2202" t="s">
        <v>10449</v>
      </c>
      <c r="C2202" t="s">
        <v>42</v>
      </c>
      <c r="D2202" t="s">
        <v>10450</v>
      </c>
      <c r="E2202" t="e" cm="1">
        <f t="array" ref="E2202">- PYRATHIAZINE-8-CHLOROTHEOPHYLLINATE</f>
        <v>#NAME?</v>
      </c>
      <c r="F2202" t="s">
        <v>10451</v>
      </c>
      <c r="G2202" t="s">
        <v>2241</v>
      </c>
      <c r="H2202" t="s">
        <v>10452</v>
      </c>
      <c r="I2202" t="s">
        <v>10453</v>
      </c>
      <c r="J2202" t="s">
        <v>10454</v>
      </c>
      <c r="K2202" t="s">
        <v>3473</v>
      </c>
      <c r="L2202" t="s">
        <v>10455</v>
      </c>
      <c r="M2202" t="s">
        <v>46</v>
      </c>
      <c r="N2202" t="s">
        <v>10456</v>
      </c>
      <c r="O2202" t="s">
        <v>10457</v>
      </c>
      <c r="P2202" t="s">
        <v>10458</v>
      </c>
      <c r="Q2202" t="s">
        <v>10459</v>
      </c>
      <c r="R2202">
        <v>9</v>
      </c>
      <c r="S2202">
        <v>16</v>
      </c>
    </row>
    <row r="2203" spans="1:19" x14ac:dyDescent="0.35">
      <c r="A2203">
        <v>251</v>
      </c>
      <c r="B2203" t="s">
        <v>10432</v>
      </c>
      <c r="C2203" t="s">
        <v>42</v>
      </c>
      <c r="D2203" t="s">
        <v>10433</v>
      </c>
      <c r="E2203" t="e" cm="1">
        <f t="array" ref="E2203">- SILDENAFIL CITRATE</f>
        <v>#NAME?</v>
      </c>
      <c r="F2203" t="s">
        <v>10434</v>
      </c>
      <c r="G2203" t="s">
        <v>8240</v>
      </c>
      <c r="H2203" t="s">
        <v>10435</v>
      </c>
      <c r="I2203" t="s">
        <v>10436</v>
      </c>
      <c r="J2203" t="s">
        <v>10437</v>
      </c>
      <c r="L2203" t="s">
        <v>8253</v>
      </c>
      <c r="M2203" t="s">
        <v>291</v>
      </c>
      <c r="N2203" t="s">
        <v>2519</v>
      </c>
      <c r="O2203" t="s">
        <v>8246</v>
      </c>
      <c r="P2203" t="s">
        <v>10438</v>
      </c>
      <c r="Q2203" t="s">
        <v>10439</v>
      </c>
      <c r="R2203">
        <v>9</v>
      </c>
      <c r="S2203">
        <v>16</v>
      </c>
    </row>
    <row r="2204" spans="1:19" x14ac:dyDescent="0.35">
      <c r="A2204">
        <v>2017</v>
      </c>
      <c r="B2204" t="s">
        <v>10358</v>
      </c>
      <c r="C2204" t="s">
        <v>20</v>
      </c>
      <c r="D2204" t="s">
        <v>10359</v>
      </c>
      <c r="E2204" t="s">
        <v>10360</v>
      </c>
      <c r="F2204" t="s">
        <v>10361</v>
      </c>
      <c r="G2204" t="s">
        <v>6707</v>
      </c>
      <c r="H2204" t="s">
        <v>6708</v>
      </c>
      <c r="I2204" t="s">
        <v>6709</v>
      </c>
      <c r="J2204" t="s">
        <v>6710</v>
      </c>
      <c r="L2204" t="s">
        <v>6711</v>
      </c>
      <c r="M2204" t="s">
        <v>63</v>
      </c>
      <c r="N2204" t="s">
        <v>10362</v>
      </c>
      <c r="O2204" t="s">
        <v>5144</v>
      </c>
      <c r="P2204" t="s">
        <v>10362</v>
      </c>
      <c r="Q2204" t="s">
        <v>10363</v>
      </c>
      <c r="R2204">
        <v>9</v>
      </c>
      <c r="S2204">
        <v>16</v>
      </c>
    </row>
    <row r="2205" spans="1:19" x14ac:dyDescent="0.35">
      <c r="A2205">
        <v>3386</v>
      </c>
      <c r="B2205" t="s">
        <v>3595</v>
      </c>
      <c r="C2205" t="s">
        <v>42</v>
      </c>
      <c r="D2205" t="s">
        <v>3596</v>
      </c>
      <c r="E2205" t="e" cm="1">
        <f t="array" ref="E2205">- DRIED ALUMINIUM HYDROXIDE GEL. MAGNESIUM HYDROXIDE</f>
        <v>#NAME?</v>
      </c>
      <c r="F2205" s="1">
        <v>4800</v>
      </c>
      <c r="J2205" t="s">
        <v>3597</v>
      </c>
      <c r="M2205" t="s">
        <v>291</v>
      </c>
      <c r="N2205" t="s">
        <v>10273</v>
      </c>
      <c r="P2205" t="s">
        <v>3598</v>
      </c>
      <c r="Q2205" t="s">
        <v>10274</v>
      </c>
      <c r="R2205">
        <v>9</v>
      </c>
      <c r="S2205">
        <v>16</v>
      </c>
    </row>
    <row r="2206" spans="1:19" x14ac:dyDescent="0.35">
      <c r="A2206">
        <v>1043</v>
      </c>
      <c r="B2206" t="s">
        <v>10460</v>
      </c>
      <c r="C2206" t="s">
        <v>42</v>
      </c>
      <c r="D2206" t="s">
        <v>10461</v>
      </c>
      <c r="E2206" t="e" cm="1">
        <f t="array" ref="E2206">- ERDOSTEINE</f>
        <v>#NAME?</v>
      </c>
      <c r="F2206" t="s">
        <v>10462</v>
      </c>
      <c r="G2206" t="s">
        <v>60</v>
      </c>
      <c r="H2206" t="s">
        <v>10463</v>
      </c>
      <c r="I2206" t="s">
        <v>10464</v>
      </c>
      <c r="J2206" t="s">
        <v>1181</v>
      </c>
      <c r="K2206" t="s">
        <v>10465</v>
      </c>
      <c r="L2206" t="s">
        <v>8032</v>
      </c>
      <c r="M2206" t="s">
        <v>38</v>
      </c>
      <c r="N2206" t="s">
        <v>471</v>
      </c>
      <c r="O2206" t="s">
        <v>10466</v>
      </c>
      <c r="P2206" t="s">
        <v>10467</v>
      </c>
      <c r="Q2206" t="s">
        <v>10468</v>
      </c>
      <c r="R2206">
        <v>9</v>
      </c>
      <c r="S2206">
        <v>16</v>
      </c>
    </row>
    <row r="2207" spans="1:19" x14ac:dyDescent="0.35">
      <c r="A2207">
        <v>9960</v>
      </c>
      <c r="B2207" t="s">
        <v>10469</v>
      </c>
      <c r="C2207" t="s">
        <v>42</v>
      </c>
      <c r="D2207" t="s">
        <v>10470</v>
      </c>
      <c r="E2207" t="e" cm="1">
        <f t="array" ref="E2207">- DIGOXIN</f>
        <v>#NAME?</v>
      </c>
      <c r="F2207" t="s">
        <v>10471</v>
      </c>
      <c r="G2207" t="s">
        <v>2617</v>
      </c>
      <c r="H2207" t="s">
        <v>10472</v>
      </c>
      <c r="I2207" t="s">
        <v>10473</v>
      </c>
      <c r="J2207" t="s">
        <v>2978</v>
      </c>
      <c r="K2207" t="s">
        <v>10474</v>
      </c>
      <c r="L2207" t="s">
        <v>10475</v>
      </c>
      <c r="M2207" t="s">
        <v>46</v>
      </c>
      <c r="N2207" t="s">
        <v>6431</v>
      </c>
      <c r="O2207" t="s">
        <v>10476</v>
      </c>
      <c r="P2207" t="s">
        <v>10477</v>
      </c>
      <c r="Q2207" t="s">
        <v>10478</v>
      </c>
      <c r="R2207">
        <v>9</v>
      </c>
      <c r="S2207">
        <v>16</v>
      </c>
    </row>
    <row r="2208" spans="1:19" x14ac:dyDescent="0.35">
      <c r="A2208">
        <v>1044</v>
      </c>
      <c r="B2208" t="s">
        <v>10460</v>
      </c>
      <c r="C2208" t="s">
        <v>42</v>
      </c>
      <c r="D2208" t="s">
        <v>10461</v>
      </c>
      <c r="E2208" t="e" cm="1">
        <f t="array" ref="E2208">- ERDOSTEINE</f>
        <v>#NAME?</v>
      </c>
      <c r="F2208" t="s">
        <v>10462</v>
      </c>
      <c r="G2208" t="s">
        <v>60</v>
      </c>
      <c r="H2208" t="s">
        <v>10463</v>
      </c>
      <c r="I2208" t="s">
        <v>10464</v>
      </c>
      <c r="J2208" t="s">
        <v>1181</v>
      </c>
      <c r="K2208" t="s">
        <v>10465</v>
      </c>
      <c r="L2208" t="s">
        <v>8032</v>
      </c>
      <c r="M2208" t="s">
        <v>38</v>
      </c>
      <c r="N2208" t="s">
        <v>471</v>
      </c>
      <c r="O2208" t="s">
        <v>10466</v>
      </c>
      <c r="P2208" t="s">
        <v>10467</v>
      </c>
      <c r="Q2208" t="s">
        <v>10468</v>
      </c>
      <c r="R2208">
        <v>9</v>
      </c>
      <c r="S2208">
        <v>16</v>
      </c>
    </row>
    <row r="2209" spans="1:19" x14ac:dyDescent="0.35">
      <c r="A2209">
        <v>265</v>
      </c>
      <c r="B2209" t="s">
        <v>10345</v>
      </c>
      <c r="C2209" t="s">
        <v>42</v>
      </c>
      <c r="D2209" t="s">
        <v>10479</v>
      </c>
      <c r="E2209" t="e" cm="1">
        <f t="array" ref="E2209">- SILDENAFIL CITRATE</f>
        <v>#NAME?</v>
      </c>
      <c r="F2209" s="1">
        <v>56900</v>
      </c>
      <c r="G2209" t="s">
        <v>8240</v>
      </c>
      <c r="H2209" t="s">
        <v>8241</v>
      </c>
      <c r="I2209" t="s">
        <v>10347</v>
      </c>
      <c r="J2209" t="s">
        <v>10480</v>
      </c>
      <c r="K2209" t="s">
        <v>8252</v>
      </c>
      <c r="L2209" t="s">
        <v>321</v>
      </c>
      <c r="M2209" t="s">
        <v>46</v>
      </c>
      <c r="N2209" t="s">
        <v>2519</v>
      </c>
      <c r="O2209" t="s">
        <v>8246</v>
      </c>
      <c r="P2209" t="s">
        <v>10349</v>
      </c>
      <c r="Q2209" t="s">
        <v>10350</v>
      </c>
      <c r="R2209">
        <v>9</v>
      </c>
      <c r="S2209">
        <v>16</v>
      </c>
    </row>
    <row r="2210" spans="1:19" x14ac:dyDescent="0.35">
      <c r="A2210">
        <v>1681</v>
      </c>
      <c r="B2210" t="s">
        <v>8345</v>
      </c>
      <c r="C2210" t="s">
        <v>850</v>
      </c>
      <c r="D2210" t="s">
        <v>10351</v>
      </c>
      <c r="E2210" t="e" cm="1">
        <f t="array" ref="E2210">- Camphor</f>
        <v>#NAME?</v>
      </c>
      <c r="F2210" t="s">
        <v>10352</v>
      </c>
      <c r="G2210" t="s">
        <v>10353</v>
      </c>
      <c r="H2210" t="s">
        <v>1322</v>
      </c>
      <c r="I2210" t="s">
        <v>10354</v>
      </c>
      <c r="J2210" t="s">
        <v>10355</v>
      </c>
      <c r="M2210" t="s">
        <v>3423</v>
      </c>
      <c r="N2210" t="s">
        <v>853</v>
      </c>
      <c r="O2210" t="s">
        <v>8351</v>
      </c>
      <c r="P2210" t="s">
        <v>10356</v>
      </c>
      <c r="Q2210" t="s">
        <v>10357</v>
      </c>
      <c r="R2210">
        <v>9</v>
      </c>
      <c r="S2210">
        <v>16</v>
      </c>
    </row>
    <row r="2211" spans="1:19" x14ac:dyDescent="0.35">
      <c r="A2211">
        <v>264</v>
      </c>
      <c r="B2211" t="s">
        <v>10345</v>
      </c>
      <c r="C2211" t="s">
        <v>42</v>
      </c>
      <c r="D2211" t="s">
        <v>10346</v>
      </c>
      <c r="E2211" t="e" cm="1">
        <f t="array" ref="E2211">- SILDENAFIL CITRATE</f>
        <v>#NAME?</v>
      </c>
      <c r="F2211" s="1">
        <v>99600</v>
      </c>
      <c r="G2211" t="s">
        <v>8240</v>
      </c>
      <c r="H2211" t="s">
        <v>8241</v>
      </c>
      <c r="I2211" t="s">
        <v>10347</v>
      </c>
      <c r="J2211" t="s">
        <v>10348</v>
      </c>
      <c r="K2211" t="s">
        <v>8252</v>
      </c>
      <c r="L2211" t="s">
        <v>321</v>
      </c>
      <c r="M2211" t="s">
        <v>46</v>
      </c>
      <c r="N2211" t="s">
        <v>2519</v>
      </c>
      <c r="O2211" t="s">
        <v>8246</v>
      </c>
      <c r="P2211" t="s">
        <v>10349</v>
      </c>
      <c r="Q2211" t="s">
        <v>10350</v>
      </c>
      <c r="R2211">
        <v>9</v>
      </c>
      <c r="S2211">
        <v>16</v>
      </c>
    </row>
    <row r="2212" spans="1:19" x14ac:dyDescent="0.35">
      <c r="A2212">
        <v>263</v>
      </c>
      <c r="B2212" t="s">
        <v>10345</v>
      </c>
      <c r="C2212" t="s">
        <v>42</v>
      </c>
      <c r="D2212" t="s">
        <v>10479</v>
      </c>
      <c r="E2212" t="e" cm="1">
        <f t="array" ref="E2212">- SILDENAFIL CITRATE</f>
        <v>#NAME?</v>
      </c>
      <c r="F2212" s="1">
        <v>56900</v>
      </c>
      <c r="G2212" t="s">
        <v>8240</v>
      </c>
      <c r="H2212" t="s">
        <v>8241</v>
      </c>
      <c r="I2212" t="s">
        <v>10347</v>
      </c>
      <c r="J2212" t="s">
        <v>10480</v>
      </c>
      <c r="K2212" t="s">
        <v>8252</v>
      </c>
      <c r="L2212" t="s">
        <v>321</v>
      </c>
      <c r="M2212" t="s">
        <v>46</v>
      </c>
      <c r="N2212" t="s">
        <v>2519</v>
      </c>
      <c r="O2212" t="s">
        <v>8246</v>
      </c>
      <c r="P2212" t="s">
        <v>10349</v>
      </c>
      <c r="Q2212" t="s">
        <v>10350</v>
      </c>
      <c r="R2212">
        <v>9</v>
      </c>
      <c r="S2212">
        <v>16</v>
      </c>
    </row>
    <row r="2213" spans="1:19" x14ac:dyDescent="0.35">
      <c r="A2213">
        <v>6585</v>
      </c>
      <c r="B2213" t="s">
        <v>10481</v>
      </c>
      <c r="C2213" t="s">
        <v>42</v>
      </c>
      <c r="D2213" t="s">
        <v>10482</v>
      </c>
      <c r="E2213" t="e" cm="1">
        <f t="array" ref="E2213">- GRISEOFULVIN</f>
        <v>#NAME?</v>
      </c>
      <c r="F2213" t="s">
        <v>10483</v>
      </c>
      <c r="G2213" t="s">
        <v>7999</v>
      </c>
      <c r="H2213" t="s">
        <v>10484</v>
      </c>
      <c r="I2213" t="s">
        <v>8001</v>
      </c>
      <c r="J2213" t="s">
        <v>2978</v>
      </c>
      <c r="K2213" t="s">
        <v>10485</v>
      </c>
      <c r="L2213" t="s">
        <v>270</v>
      </c>
      <c r="M2213" t="s">
        <v>46</v>
      </c>
      <c r="N2213" t="s">
        <v>453</v>
      </c>
      <c r="O2213" t="s">
        <v>8004</v>
      </c>
      <c r="P2213" t="s">
        <v>10486</v>
      </c>
      <c r="Q2213" t="s">
        <v>10487</v>
      </c>
      <c r="R2213">
        <v>9</v>
      </c>
      <c r="S2213">
        <v>16</v>
      </c>
    </row>
    <row r="2214" spans="1:19" x14ac:dyDescent="0.35">
      <c r="A2214">
        <v>6067</v>
      </c>
      <c r="B2214" t="s">
        <v>10488</v>
      </c>
      <c r="C2214" t="s">
        <v>42</v>
      </c>
      <c r="D2214" t="s">
        <v>10489</v>
      </c>
      <c r="E2214" t="e" cm="1">
        <f t="array" ref="E2214">- DEQUALINIUM CHLORIDE</f>
        <v>#NAME?</v>
      </c>
      <c r="F2214" s="1">
        <v>252700</v>
      </c>
      <c r="G2214" t="s">
        <v>6717</v>
      </c>
      <c r="H2214" t="s">
        <v>10490</v>
      </c>
      <c r="I2214" t="s">
        <v>10491</v>
      </c>
      <c r="J2214" t="s">
        <v>10492</v>
      </c>
      <c r="K2214" t="s">
        <v>10493</v>
      </c>
      <c r="L2214" t="s">
        <v>10494</v>
      </c>
      <c r="M2214" t="s">
        <v>46</v>
      </c>
      <c r="N2214" t="s">
        <v>10495</v>
      </c>
      <c r="O2214" t="s">
        <v>10496</v>
      </c>
      <c r="P2214" t="s">
        <v>10497</v>
      </c>
      <c r="Q2214" t="s">
        <v>10498</v>
      </c>
      <c r="R2214">
        <v>9</v>
      </c>
      <c r="S2214">
        <v>16</v>
      </c>
    </row>
    <row r="2215" spans="1:19" x14ac:dyDescent="0.35">
      <c r="A2215">
        <v>4719</v>
      </c>
      <c r="B2215" t="s">
        <v>10242</v>
      </c>
      <c r="C2215" t="s">
        <v>42</v>
      </c>
      <c r="D2215" t="s">
        <v>10243</v>
      </c>
      <c r="E2215" t="e" cm="1">
        <f t="array" ref="E2215">- NAPHAZOLINE HYDROCHLORIDE</f>
        <v>#NAME?</v>
      </c>
      <c r="F2215" t="s">
        <v>10244</v>
      </c>
      <c r="G2215" t="s">
        <v>10245</v>
      </c>
      <c r="H2215" t="s">
        <v>10246</v>
      </c>
      <c r="I2215" t="s">
        <v>10247</v>
      </c>
      <c r="J2215" t="s">
        <v>10248</v>
      </c>
      <c r="L2215" t="s">
        <v>10249</v>
      </c>
      <c r="M2215" t="s">
        <v>824</v>
      </c>
      <c r="N2215" t="s">
        <v>10250</v>
      </c>
      <c r="O2215" t="s">
        <v>10251</v>
      </c>
      <c r="P2215" t="s">
        <v>10252</v>
      </c>
      <c r="Q2215" t="s">
        <v>10253</v>
      </c>
      <c r="R2215">
        <v>9</v>
      </c>
      <c r="S2215">
        <v>16</v>
      </c>
    </row>
    <row r="2216" spans="1:19" x14ac:dyDescent="0.35">
      <c r="A2216">
        <v>3516</v>
      </c>
      <c r="B2216" t="s">
        <v>10499</v>
      </c>
      <c r="C2216" t="s">
        <v>42</v>
      </c>
      <c r="D2216" t="s">
        <v>10500</v>
      </c>
      <c r="E2216" t="e" cm="1">
        <f t="array" ref="E2216">- DOMPERIDONE</f>
        <v>#NAME?</v>
      </c>
      <c r="F2216" t="s">
        <v>10501</v>
      </c>
      <c r="G2216" t="s">
        <v>10502</v>
      </c>
      <c r="H2216" t="s">
        <v>7978</v>
      </c>
      <c r="I2216" t="s">
        <v>10503</v>
      </c>
      <c r="J2216" t="s">
        <v>334</v>
      </c>
      <c r="K2216" t="s">
        <v>10504</v>
      </c>
      <c r="L2216" t="s">
        <v>10505</v>
      </c>
      <c r="M2216" t="s">
        <v>340</v>
      </c>
      <c r="N2216" t="s">
        <v>341</v>
      </c>
      <c r="O2216" t="s">
        <v>10506</v>
      </c>
      <c r="P2216" t="s">
        <v>10507</v>
      </c>
      <c r="Q2216" t="s">
        <v>10508</v>
      </c>
      <c r="R2216">
        <v>9</v>
      </c>
      <c r="S2216">
        <v>16</v>
      </c>
    </row>
    <row r="2217" spans="1:19" x14ac:dyDescent="0.35">
      <c r="A2217">
        <v>6066</v>
      </c>
      <c r="B2217" t="s">
        <v>10488</v>
      </c>
      <c r="C2217" t="s">
        <v>42</v>
      </c>
      <c r="D2217" t="s">
        <v>10489</v>
      </c>
      <c r="E2217" t="e" cm="1">
        <f t="array" ref="E2217">- DEQUALINIUM CHLORIDE</f>
        <v>#NAME?</v>
      </c>
      <c r="F2217" s="1">
        <v>252700</v>
      </c>
      <c r="G2217" t="s">
        <v>6717</v>
      </c>
      <c r="H2217" t="s">
        <v>10490</v>
      </c>
      <c r="I2217" t="s">
        <v>10491</v>
      </c>
      <c r="J2217" t="s">
        <v>10492</v>
      </c>
      <c r="K2217" t="s">
        <v>10493</v>
      </c>
      <c r="L2217" t="s">
        <v>10494</v>
      </c>
      <c r="M2217" t="s">
        <v>46</v>
      </c>
      <c r="N2217" t="s">
        <v>10495</v>
      </c>
      <c r="O2217" t="s">
        <v>10496</v>
      </c>
      <c r="P2217" t="s">
        <v>10497</v>
      </c>
      <c r="Q2217" t="s">
        <v>10498</v>
      </c>
      <c r="R2217">
        <v>9</v>
      </c>
      <c r="S2217">
        <v>16</v>
      </c>
    </row>
    <row r="2218" spans="1:19" x14ac:dyDescent="0.35">
      <c r="A2218">
        <v>7955</v>
      </c>
      <c r="B2218" t="s">
        <v>10440</v>
      </c>
      <c r="C2218" t="s">
        <v>20</v>
      </c>
      <c r="D2218" t="s">
        <v>10509</v>
      </c>
      <c r="E2218" t="s">
        <v>10442</v>
      </c>
      <c r="F2218" t="s">
        <v>10510</v>
      </c>
      <c r="H2218" t="s">
        <v>10444</v>
      </c>
      <c r="I2218" t="s">
        <v>3392</v>
      </c>
      <c r="J2218" t="s">
        <v>1162</v>
      </c>
      <c r="L2218" t="s">
        <v>10446</v>
      </c>
      <c r="N2218" t="s">
        <v>10447</v>
      </c>
      <c r="O2218" t="s">
        <v>3396</v>
      </c>
      <c r="P2218" t="s">
        <v>9288</v>
      </c>
      <c r="Q2218" t="s">
        <v>10448</v>
      </c>
      <c r="R2218">
        <v>9</v>
      </c>
      <c r="S2218">
        <v>16</v>
      </c>
    </row>
    <row r="2219" spans="1:19" x14ac:dyDescent="0.35">
      <c r="A2219">
        <v>8230</v>
      </c>
      <c r="B2219" t="s">
        <v>551</v>
      </c>
      <c r="C2219" t="s">
        <v>42</v>
      </c>
      <c r="D2219" t="s">
        <v>10511</v>
      </c>
      <c r="E2219" t="e" cm="1">
        <f t="array" ref="E2219">- POVIDONE-IODINE</f>
        <v>#NAME?</v>
      </c>
      <c r="F2219" t="s">
        <v>10512</v>
      </c>
      <c r="G2219" t="s">
        <v>9646</v>
      </c>
      <c r="H2219" t="s">
        <v>9647</v>
      </c>
      <c r="I2219" t="s">
        <v>9439</v>
      </c>
      <c r="J2219" t="s">
        <v>10513</v>
      </c>
      <c r="L2219" t="s">
        <v>9649</v>
      </c>
      <c r="M2219" t="s">
        <v>554</v>
      </c>
      <c r="N2219" t="s">
        <v>555</v>
      </c>
      <c r="O2219" t="s">
        <v>9441</v>
      </c>
      <c r="P2219" t="s">
        <v>9650</v>
      </c>
      <c r="Q2219" t="s">
        <v>9651</v>
      </c>
      <c r="R2219">
        <v>9</v>
      </c>
      <c r="S2219">
        <v>16</v>
      </c>
    </row>
    <row r="2220" spans="1:19" x14ac:dyDescent="0.35">
      <c r="A2220">
        <v>2013</v>
      </c>
      <c r="B2220" t="s">
        <v>10514</v>
      </c>
      <c r="C2220" t="s">
        <v>20</v>
      </c>
      <c r="D2220" t="s">
        <v>10515</v>
      </c>
      <c r="E2220" t="s">
        <v>10516</v>
      </c>
      <c r="F2220" s="1">
        <v>15500</v>
      </c>
      <c r="G2220" t="s">
        <v>6707</v>
      </c>
      <c r="H2220" t="s">
        <v>6708</v>
      </c>
      <c r="I2220" t="s">
        <v>6709</v>
      </c>
      <c r="J2220" t="s">
        <v>6710</v>
      </c>
      <c r="L2220" t="s">
        <v>6711</v>
      </c>
      <c r="M2220" t="s">
        <v>63</v>
      </c>
      <c r="N2220" t="s">
        <v>10517</v>
      </c>
      <c r="O2220" t="s">
        <v>5144</v>
      </c>
      <c r="P2220" t="s">
        <v>10517</v>
      </c>
      <c r="Q2220" t="s">
        <v>10518</v>
      </c>
      <c r="R2220">
        <v>9</v>
      </c>
      <c r="S2220">
        <v>16</v>
      </c>
    </row>
    <row r="2221" spans="1:19" x14ac:dyDescent="0.35">
      <c r="A2221">
        <v>2014</v>
      </c>
      <c r="B2221" t="s">
        <v>10514</v>
      </c>
      <c r="C2221" t="s">
        <v>20</v>
      </c>
      <c r="D2221" t="s">
        <v>10515</v>
      </c>
      <c r="E2221" t="s">
        <v>10516</v>
      </c>
      <c r="F2221" s="1">
        <v>15500</v>
      </c>
      <c r="G2221" t="s">
        <v>6707</v>
      </c>
      <c r="H2221" t="s">
        <v>6708</v>
      </c>
      <c r="I2221" t="s">
        <v>6709</v>
      </c>
      <c r="J2221" t="s">
        <v>6710</v>
      </c>
      <c r="L2221" t="s">
        <v>6711</v>
      </c>
      <c r="M2221" t="s">
        <v>63</v>
      </c>
      <c r="N2221" t="s">
        <v>10517</v>
      </c>
      <c r="O2221" t="s">
        <v>5144</v>
      </c>
      <c r="P2221" t="s">
        <v>10517</v>
      </c>
      <c r="Q2221" t="s">
        <v>10518</v>
      </c>
      <c r="R2221">
        <v>9</v>
      </c>
      <c r="S2221">
        <v>16</v>
      </c>
    </row>
    <row r="2222" spans="1:19" x14ac:dyDescent="0.35">
      <c r="A2222">
        <v>9959</v>
      </c>
      <c r="B2222" t="s">
        <v>10469</v>
      </c>
      <c r="C2222" t="s">
        <v>42</v>
      </c>
      <c r="D2222" t="s">
        <v>10470</v>
      </c>
      <c r="E2222" t="e" cm="1">
        <f t="array" ref="E2222">- DIGOXIN</f>
        <v>#NAME?</v>
      </c>
      <c r="F2222" t="s">
        <v>10471</v>
      </c>
      <c r="G2222" t="s">
        <v>2617</v>
      </c>
      <c r="H2222" t="s">
        <v>10472</v>
      </c>
      <c r="I2222" t="s">
        <v>10473</v>
      </c>
      <c r="J2222" t="s">
        <v>2978</v>
      </c>
      <c r="K2222" t="s">
        <v>10474</v>
      </c>
      <c r="L2222" t="s">
        <v>10475</v>
      </c>
      <c r="M2222" t="s">
        <v>46</v>
      </c>
      <c r="N2222" t="s">
        <v>6431</v>
      </c>
      <c r="O2222" t="s">
        <v>10476</v>
      </c>
      <c r="P2222" t="s">
        <v>10477</v>
      </c>
      <c r="Q2222" t="s">
        <v>10478</v>
      </c>
      <c r="R2222">
        <v>9</v>
      </c>
      <c r="S2222">
        <v>16</v>
      </c>
    </row>
    <row r="2223" spans="1:19" x14ac:dyDescent="0.35">
      <c r="A2223">
        <v>8231</v>
      </c>
      <c r="B2223" t="s">
        <v>551</v>
      </c>
      <c r="C2223" t="s">
        <v>42</v>
      </c>
      <c r="D2223" t="s">
        <v>10511</v>
      </c>
      <c r="E2223" t="e" cm="1">
        <f t="array" ref="E2223">- POVIDONE-IODINE</f>
        <v>#NAME?</v>
      </c>
      <c r="F2223" t="s">
        <v>10512</v>
      </c>
      <c r="G2223" t="s">
        <v>9646</v>
      </c>
      <c r="H2223" t="s">
        <v>9647</v>
      </c>
      <c r="I2223" t="s">
        <v>9439</v>
      </c>
      <c r="J2223" t="s">
        <v>10513</v>
      </c>
      <c r="L2223" t="s">
        <v>9649</v>
      </c>
      <c r="M2223" t="s">
        <v>554</v>
      </c>
      <c r="N2223" t="s">
        <v>555</v>
      </c>
      <c r="O2223" t="s">
        <v>9441</v>
      </c>
      <c r="P2223" t="s">
        <v>9650</v>
      </c>
      <c r="Q2223" t="s">
        <v>9651</v>
      </c>
      <c r="R2223">
        <v>9</v>
      </c>
      <c r="S2223">
        <v>16</v>
      </c>
    </row>
    <row r="2224" spans="1:19" x14ac:dyDescent="0.35">
      <c r="A2224">
        <v>4925</v>
      </c>
      <c r="B2224" t="s">
        <v>10287</v>
      </c>
      <c r="C2224" t="s">
        <v>42</v>
      </c>
      <c r="D2224" t="s">
        <v>10288</v>
      </c>
      <c r="E2224" t="e" cm="1">
        <f t="array" ref="E2224">- ADAPALENE</f>
        <v>#NAME?</v>
      </c>
      <c r="F2224" t="s">
        <v>10289</v>
      </c>
      <c r="G2224" t="s">
        <v>10290</v>
      </c>
      <c r="H2224" t="s">
        <v>10291</v>
      </c>
      <c r="I2224" t="s">
        <v>10292</v>
      </c>
      <c r="J2224" t="s">
        <v>7187</v>
      </c>
      <c r="K2224" t="s">
        <v>3952</v>
      </c>
      <c r="L2224" t="s">
        <v>10293</v>
      </c>
      <c r="M2224" t="s">
        <v>87</v>
      </c>
      <c r="N2224" t="s">
        <v>3954</v>
      </c>
      <c r="O2224" t="s">
        <v>10294</v>
      </c>
      <c r="P2224" t="s">
        <v>10295</v>
      </c>
      <c r="Q2224" t="s">
        <v>10296</v>
      </c>
      <c r="R2224">
        <v>9</v>
      </c>
      <c r="S2224">
        <v>16</v>
      </c>
    </row>
    <row r="2225" spans="1:19" x14ac:dyDescent="0.35">
      <c r="A2225">
        <v>8397</v>
      </c>
      <c r="B2225" t="s">
        <v>551</v>
      </c>
      <c r="C2225" t="s">
        <v>42</v>
      </c>
      <c r="D2225" t="s">
        <v>10519</v>
      </c>
      <c r="E2225" t="e" cm="1">
        <f t="array" ref="E2225">- POVIDONE-IODINE</f>
        <v>#NAME?</v>
      </c>
      <c r="F2225" t="s">
        <v>10520</v>
      </c>
      <c r="M2225" t="s">
        <v>554</v>
      </c>
      <c r="N2225" t="s">
        <v>555</v>
      </c>
      <c r="P2225" t="s">
        <v>10521</v>
      </c>
      <c r="Q2225" t="s">
        <v>10522</v>
      </c>
      <c r="R2225">
        <v>9</v>
      </c>
      <c r="S2225">
        <v>16</v>
      </c>
    </row>
    <row r="2226" spans="1:19" x14ac:dyDescent="0.35">
      <c r="A2226">
        <v>1954</v>
      </c>
      <c r="B2226" t="s">
        <v>10523</v>
      </c>
      <c r="C2226" t="s">
        <v>20</v>
      </c>
      <c r="D2226" t="s">
        <v>10524</v>
      </c>
      <c r="E2226" t="s">
        <v>10525</v>
      </c>
      <c r="F2226" s="1">
        <v>27500</v>
      </c>
      <c r="G2226" t="s">
        <v>10526</v>
      </c>
      <c r="H2226" t="s">
        <v>10527</v>
      </c>
      <c r="I2226" t="s">
        <v>5142</v>
      </c>
      <c r="J2226" t="s">
        <v>334</v>
      </c>
      <c r="L2226" t="s">
        <v>10528</v>
      </c>
      <c r="M2226" t="s">
        <v>271</v>
      </c>
      <c r="N2226" t="s">
        <v>10529</v>
      </c>
      <c r="O2226" t="s">
        <v>5144</v>
      </c>
      <c r="P2226" t="s">
        <v>10530</v>
      </c>
      <c r="Q2226" t="s">
        <v>10531</v>
      </c>
      <c r="R2226">
        <v>9</v>
      </c>
      <c r="S2226">
        <v>16</v>
      </c>
    </row>
    <row r="2227" spans="1:19" x14ac:dyDescent="0.35">
      <c r="A2227">
        <v>4169</v>
      </c>
      <c r="B2227" t="s">
        <v>10532</v>
      </c>
      <c r="C2227" t="s">
        <v>42</v>
      </c>
      <c r="D2227" t="s">
        <v>10533</v>
      </c>
      <c r="E2227" t="e" cm="1">
        <f t="array" ref="E2227">- LORATADINE</f>
        <v>#NAME?</v>
      </c>
      <c r="F2227" t="s">
        <v>10534</v>
      </c>
      <c r="G2227" t="s">
        <v>2241</v>
      </c>
      <c r="H2227" t="s">
        <v>10535</v>
      </c>
    </row>
    <row r="2228" spans="1:19" x14ac:dyDescent="0.35">
      <c r="A2228">
        <v>1901</v>
      </c>
      <c r="B2228" t="s">
        <v>10536</v>
      </c>
      <c r="C2228" t="s">
        <v>20</v>
      </c>
      <c r="D2228" t="s">
        <v>10537</v>
      </c>
      <c r="E2228" t="s">
        <v>10538</v>
      </c>
      <c r="F2228" t="s">
        <v>10539</v>
      </c>
      <c r="G2228" t="s">
        <v>10540</v>
      </c>
      <c r="H2228" t="s">
        <v>10541</v>
      </c>
      <c r="I2228" t="s">
        <v>10542</v>
      </c>
      <c r="J2228" t="s">
        <v>614</v>
      </c>
      <c r="L2228" t="s">
        <v>10543</v>
      </c>
      <c r="M2228" t="s">
        <v>271</v>
      </c>
      <c r="N2228" t="s">
        <v>10544</v>
      </c>
      <c r="O2228" t="s">
        <v>10545</v>
      </c>
      <c r="P2228" t="s">
        <v>10544</v>
      </c>
      <c r="Q2228" t="s">
        <v>10546</v>
      </c>
      <c r="R2228">
        <v>9</v>
      </c>
      <c r="S2228">
        <v>16</v>
      </c>
    </row>
    <row r="2229" spans="1:19" x14ac:dyDescent="0.35">
      <c r="A2229">
        <v>1902</v>
      </c>
      <c r="B2229" t="s">
        <v>10536</v>
      </c>
      <c r="C2229" t="s">
        <v>20</v>
      </c>
      <c r="D2229" t="s">
        <v>10537</v>
      </c>
      <c r="E2229" t="s">
        <v>10538</v>
      </c>
      <c r="F2229" t="s">
        <v>10539</v>
      </c>
      <c r="G2229" t="s">
        <v>10540</v>
      </c>
      <c r="H2229" t="s">
        <v>10541</v>
      </c>
      <c r="I2229" t="s">
        <v>10542</v>
      </c>
      <c r="J2229" t="s">
        <v>614</v>
      </c>
      <c r="L2229" t="s">
        <v>10543</v>
      </c>
      <c r="M2229" t="s">
        <v>271</v>
      </c>
      <c r="N2229" t="s">
        <v>10544</v>
      </c>
      <c r="O2229" t="s">
        <v>10545</v>
      </c>
      <c r="P2229" t="s">
        <v>10544</v>
      </c>
      <c r="Q2229" t="s">
        <v>10546</v>
      </c>
      <c r="R2229">
        <v>9</v>
      </c>
      <c r="S2229">
        <v>16</v>
      </c>
    </row>
    <row r="2230" spans="1:19" x14ac:dyDescent="0.35">
      <c r="A2230">
        <v>7960</v>
      </c>
      <c r="B2230" t="s">
        <v>10547</v>
      </c>
      <c r="C2230" t="s">
        <v>20</v>
      </c>
      <c r="D2230" t="s">
        <v>10548</v>
      </c>
      <c r="E2230" t="s">
        <v>10549</v>
      </c>
      <c r="F2230" t="s">
        <v>10550</v>
      </c>
      <c r="J2230" t="s">
        <v>5788</v>
      </c>
      <c r="M2230" t="s">
        <v>38</v>
      </c>
      <c r="N2230" t="s">
        <v>10551</v>
      </c>
      <c r="P2230" t="s">
        <v>10552</v>
      </c>
      <c r="Q2230" t="s">
        <v>10553</v>
      </c>
      <c r="R2230">
        <v>9</v>
      </c>
      <c r="S2230">
        <v>16</v>
      </c>
    </row>
    <row r="2231" spans="1:19" x14ac:dyDescent="0.35">
      <c r="A2231">
        <v>8347</v>
      </c>
      <c r="B2231" t="s">
        <v>551</v>
      </c>
      <c r="C2231" t="s">
        <v>42</v>
      </c>
      <c r="D2231" t="s">
        <v>10554</v>
      </c>
      <c r="E2231" t="e" cm="1">
        <f t="array" ref="E2231">- POVIDONE-IODINE</f>
        <v>#NAME?</v>
      </c>
      <c r="F2231" t="s">
        <v>10555</v>
      </c>
      <c r="M2231" t="s">
        <v>554</v>
      </c>
      <c r="N2231" t="s">
        <v>555</v>
      </c>
      <c r="P2231" t="s">
        <v>10556</v>
      </c>
      <c r="Q2231" t="s">
        <v>10557</v>
      </c>
      <c r="R2231">
        <v>9</v>
      </c>
      <c r="S2231">
        <v>16</v>
      </c>
    </row>
    <row r="2232" spans="1:19" x14ac:dyDescent="0.35">
      <c r="A2232">
        <v>791</v>
      </c>
      <c r="B2232" t="s">
        <v>10558</v>
      </c>
      <c r="C2232" t="s">
        <v>42</v>
      </c>
      <c r="D2232" t="s">
        <v>10559</v>
      </c>
      <c r="E2232" t="e" cm="1">
        <f t="array" ref="E2232">- GUAIFENESIN. OXOMEMAZINE</f>
        <v>#NAME?</v>
      </c>
      <c r="F2232" t="s">
        <v>10560</v>
      </c>
      <c r="G2232" t="s">
        <v>8414</v>
      </c>
      <c r="H2232" t="s">
        <v>8415</v>
      </c>
      <c r="I2232" t="s">
        <v>8416</v>
      </c>
      <c r="J2232" t="s">
        <v>334</v>
      </c>
      <c r="K2232" t="s">
        <v>8417</v>
      </c>
      <c r="L2232" t="s">
        <v>8418</v>
      </c>
      <c r="M2232" t="s">
        <v>271</v>
      </c>
      <c r="N2232" t="s">
        <v>10025</v>
      </c>
      <c r="O2232" t="s">
        <v>8419</v>
      </c>
      <c r="P2232" t="s">
        <v>10561</v>
      </c>
      <c r="Q2232" t="s">
        <v>10562</v>
      </c>
      <c r="R2232">
        <v>9</v>
      </c>
      <c r="S2232">
        <v>16</v>
      </c>
    </row>
    <row r="2233" spans="1:19" x14ac:dyDescent="0.35">
      <c r="A2233">
        <v>1872</v>
      </c>
      <c r="B2233" t="s">
        <v>10563</v>
      </c>
      <c r="C2233" t="s">
        <v>42</v>
      </c>
      <c r="D2233" t="s">
        <v>10564</v>
      </c>
      <c r="E2233" t="e" cm="1">
        <f t="array" ref="E2233">- AMMONIUM CHLORIDE</f>
        <v>#NAME?</v>
      </c>
      <c r="F2233" t="s">
        <v>10565</v>
      </c>
      <c r="J2233" t="s">
        <v>334</v>
      </c>
      <c r="M2233" t="s">
        <v>271</v>
      </c>
      <c r="N2233" t="s">
        <v>1672</v>
      </c>
      <c r="P2233" t="s">
        <v>10566</v>
      </c>
      <c r="Q2233" t="s">
        <v>10567</v>
      </c>
      <c r="R2233">
        <v>9</v>
      </c>
      <c r="S2233">
        <v>16</v>
      </c>
    </row>
    <row r="2234" spans="1:19" x14ac:dyDescent="0.35">
      <c r="A2234">
        <v>790</v>
      </c>
      <c r="B2234" t="s">
        <v>10558</v>
      </c>
      <c r="C2234" t="s">
        <v>42</v>
      </c>
      <c r="D2234" t="s">
        <v>10559</v>
      </c>
      <c r="E2234" t="e" cm="1">
        <f t="array" ref="E2234">- OXOMEMAZINE. GUAIFENESIN</f>
        <v>#NAME?</v>
      </c>
      <c r="F2234" t="s">
        <v>10560</v>
      </c>
      <c r="G2234" t="s">
        <v>8414</v>
      </c>
      <c r="H2234" t="s">
        <v>8415</v>
      </c>
      <c r="I2234" t="s">
        <v>8416</v>
      </c>
      <c r="J2234" t="s">
        <v>334</v>
      </c>
      <c r="K2234" t="s">
        <v>8417</v>
      </c>
      <c r="L2234" t="s">
        <v>8418</v>
      </c>
      <c r="M2234" t="s">
        <v>271</v>
      </c>
      <c r="N2234" t="s">
        <v>10568</v>
      </c>
      <c r="O2234" t="s">
        <v>8419</v>
      </c>
      <c r="P2234" t="s">
        <v>10561</v>
      </c>
      <c r="Q2234" t="s">
        <v>10569</v>
      </c>
      <c r="R2234">
        <v>9</v>
      </c>
      <c r="S2234">
        <v>16</v>
      </c>
    </row>
    <row r="2235" spans="1:19" x14ac:dyDescent="0.35">
      <c r="A2235">
        <v>1871</v>
      </c>
      <c r="B2235" t="s">
        <v>10563</v>
      </c>
      <c r="C2235" t="s">
        <v>42</v>
      </c>
      <c r="D2235" t="s">
        <v>10564</v>
      </c>
      <c r="E2235" t="e" cm="1">
        <f t="array" ref="E2235">- AMMONIUM CHLORIDE</f>
        <v>#NAME?</v>
      </c>
      <c r="F2235" t="s">
        <v>10565</v>
      </c>
      <c r="J2235" t="s">
        <v>334</v>
      </c>
      <c r="M2235" t="s">
        <v>271</v>
      </c>
      <c r="N2235" t="s">
        <v>1672</v>
      </c>
      <c r="P2235" t="s">
        <v>10566</v>
      </c>
      <c r="Q2235" t="s">
        <v>10567</v>
      </c>
      <c r="R2235">
        <v>9</v>
      </c>
      <c r="S2235">
        <v>16</v>
      </c>
    </row>
    <row r="2236" spans="1:19" x14ac:dyDescent="0.35">
      <c r="A2236">
        <v>1870</v>
      </c>
      <c r="B2236" t="s">
        <v>10563</v>
      </c>
      <c r="C2236" t="s">
        <v>42</v>
      </c>
      <c r="D2236" t="s">
        <v>10564</v>
      </c>
      <c r="E2236" t="e" cm="1">
        <f t="array" ref="E2236">- AMMONIUM CHLORIDE</f>
        <v>#NAME?</v>
      </c>
      <c r="F2236" t="s">
        <v>10565</v>
      </c>
      <c r="J2236" t="s">
        <v>334</v>
      </c>
      <c r="M2236" t="s">
        <v>271</v>
      </c>
      <c r="N2236" t="s">
        <v>1672</v>
      </c>
      <c r="P2236" t="s">
        <v>10566</v>
      </c>
      <c r="Q2236" t="s">
        <v>10567</v>
      </c>
      <c r="R2236">
        <v>9</v>
      </c>
      <c r="S2236">
        <v>16</v>
      </c>
    </row>
    <row r="2237" spans="1:19" x14ac:dyDescent="0.35">
      <c r="A2237">
        <v>4904</v>
      </c>
      <c r="B2237" t="s">
        <v>10570</v>
      </c>
      <c r="C2237" t="s">
        <v>42</v>
      </c>
      <c r="D2237" t="s">
        <v>10571</v>
      </c>
      <c r="E2237" t="e" cm="1">
        <f t="array" ref="E2237">- AZELAIC ACID</f>
        <v>#NAME?</v>
      </c>
      <c r="F2237" t="s">
        <v>10572</v>
      </c>
      <c r="G2237" t="s">
        <v>10573</v>
      </c>
      <c r="H2237" t="s">
        <v>10574</v>
      </c>
      <c r="I2237" t="s">
        <v>10575</v>
      </c>
      <c r="J2237" t="s">
        <v>10576</v>
      </c>
      <c r="K2237" t="s">
        <v>10577</v>
      </c>
      <c r="L2237" t="s">
        <v>10578</v>
      </c>
      <c r="M2237" t="s">
        <v>1289</v>
      </c>
      <c r="N2237" t="s">
        <v>7197</v>
      </c>
      <c r="O2237" t="s">
        <v>10579</v>
      </c>
      <c r="P2237" t="s">
        <v>10580</v>
      </c>
      <c r="Q2237" t="s">
        <v>10581</v>
      </c>
      <c r="R2237">
        <v>9</v>
      </c>
      <c r="S2237">
        <v>16</v>
      </c>
    </row>
    <row r="2238" spans="1:19" x14ac:dyDescent="0.35">
      <c r="A2238">
        <v>4907</v>
      </c>
      <c r="B2238" t="s">
        <v>10582</v>
      </c>
      <c r="C2238" t="s">
        <v>42</v>
      </c>
      <c r="D2238" t="s">
        <v>10583</v>
      </c>
      <c r="E2238" t="e" cm="1">
        <f t="array" ref="E2238">- AZELAIC ACID</f>
        <v>#NAME?</v>
      </c>
      <c r="F2238" t="s">
        <v>10584</v>
      </c>
      <c r="G2238" t="s">
        <v>6537</v>
      </c>
      <c r="H2238" t="s">
        <v>10585</v>
      </c>
      <c r="I2238" t="s">
        <v>7195</v>
      </c>
      <c r="J2238" t="s">
        <v>2049</v>
      </c>
      <c r="K2238" t="s">
        <v>2726</v>
      </c>
      <c r="L2238" t="s">
        <v>10586</v>
      </c>
      <c r="M2238" t="s">
        <v>1289</v>
      </c>
      <c r="N2238" t="s">
        <v>7197</v>
      </c>
      <c r="O2238" t="s">
        <v>7198</v>
      </c>
      <c r="P2238" t="s">
        <v>10587</v>
      </c>
      <c r="Q2238" t="s">
        <v>10588</v>
      </c>
      <c r="R2238">
        <v>9</v>
      </c>
      <c r="S2238">
        <v>16</v>
      </c>
    </row>
    <row r="2239" spans="1:19" x14ac:dyDescent="0.35">
      <c r="A2239">
        <v>8346</v>
      </c>
      <c r="B2239" t="s">
        <v>551</v>
      </c>
      <c r="C2239" t="s">
        <v>42</v>
      </c>
      <c r="D2239" t="s">
        <v>10554</v>
      </c>
      <c r="E2239" t="e" cm="1">
        <f t="array" ref="E2239">- POVIDONE-IODINE</f>
        <v>#NAME?</v>
      </c>
      <c r="F2239" t="s">
        <v>10555</v>
      </c>
      <c r="M2239" t="s">
        <v>554</v>
      </c>
      <c r="N2239" t="s">
        <v>555</v>
      </c>
      <c r="P2239" t="s">
        <v>10556</v>
      </c>
      <c r="Q2239" t="s">
        <v>10557</v>
      </c>
      <c r="R2239">
        <v>9</v>
      </c>
      <c r="S2239">
        <v>16</v>
      </c>
    </row>
    <row r="2240" spans="1:19" x14ac:dyDescent="0.35">
      <c r="A2240">
        <v>20</v>
      </c>
      <c r="B2240" t="s">
        <v>2902</v>
      </c>
      <c r="C2240" t="s">
        <v>42</v>
      </c>
      <c r="D2240" t="s">
        <v>10589</v>
      </c>
      <c r="E2240" t="e" cm="1">
        <f t="array" ref="E2240">- SILDENAFIL CITRATE</f>
        <v>#NAME?</v>
      </c>
      <c r="F2240" t="s">
        <v>10590</v>
      </c>
      <c r="G2240" t="s">
        <v>8185</v>
      </c>
      <c r="I2240" t="s">
        <v>8186</v>
      </c>
      <c r="J2240" t="s">
        <v>10591</v>
      </c>
      <c r="L2240" t="s">
        <v>8188</v>
      </c>
      <c r="M2240" t="s">
        <v>46</v>
      </c>
      <c r="N2240" t="s">
        <v>2519</v>
      </c>
      <c r="O2240" t="s">
        <v>8189</v>
      </c>
      <c r="P2240" t="s">
        <v>10592</v>
      </c>
      <c r="Q2240" t="s">
        <v>10593</v>
      </c>
      <c r="R2240">
        <v>9</v>
      </c>
      <c r="S2240">
        <v>16</v>
      </c>
    </row>
    <row r="2241" spans="1:19" x14ac:dyDescent="0.35">
      <c r="A2241">
        <v>1355</v>
      </c>
      <c r="B2241" t="s">
        <v>10594</v>
      </c>
      <c r="C2241" t="s">
        <v>42</v>
      </c>
      <c r="D2241" t="s">
        <v>10595</v>
      </c>
      <c r="E2241" t="e" cm="1">
        <f t="array" ref="E2241">- DEXCHLORPHENIRAMINE MALEATE</f>
        <v>#NAME?</v>
      </c>
      <c r="F2241" s="1">
        <v>23500</v>
      </c>
      <c r="G2241" t="s">
        <v>10596</v>
      </c>
      <c r="H2241" t="s">
        <v>10597</v>
      </c>
      <c r="I2241" t="s">
        <v>10598</v>
      </c>
      <c r="J2241" t="s">
        <v>10599</v>
      </c>
      <c r="K2241" t="s">
        <v>10600</v>
      </c>
      <c r="L2241" t="s">
        <v>10601</v>
      </c>
      <c r="M2241" t="s">
        <v>46</v>
      </c>
      <c r="N2241" t="s">
        <v>1530</v>
      </c>
      <c r="O2241" t="s">
        <v>10602</v>
      </c>
      <c r="P2241" t="s">
        <v>10603</v>
      </c>
      <c r="Q2241" t="s">
        <v>10604</v>
      </c>
      <c r="R2241">
        <v>9</v>
      </c>
      <c r="S2241">
        <v>16</v>
      </c>
    </row>
    <row r="2242" spans="1:19" x14ac:dyDescent="0.35">
      <c r="A2242">
        <v>8348</v>
      </c>
      <c r="B2242" t="s">
        <v>551</v>
      </c>
      <c r="C2242" t="s">
        <v>42</v>
      </c>
      <c r="D2242" t="s">
        <v>10605</v>
      </c>
      <c r="E2242" t="e" cm="1">
        <f t="array" ref="E2242">- POVIDONE-IODINE</f>
        <v>#NAME?</v>
      </c>
      <c r="F2242" t="s">
        <v>10606</v>
      </c>
      <c r="G2242" t="s">
        <v>10607</v>
      </c>
      <c r="I2242" t="s">
        <v>10608</v>
      </c>
      <c r="J2242" t="s">
        <v>10609</v>
      </c>
      <c r="M2242" t="s">
        <v>554</v>
      </c>
      <c r="N2242" t="s">
        <v>555</v>
      </c>
      <c r="O2242" t="s">
        <v>10610</v>
      </c>
      <c r="P2242" t="s">
        <v>10611</v>
      </c>
      <c r="Q2242" t="s">
        <v>10612</v>
      </c>
      <c r="R2242">
        <v>9</v>
      </c>
      <c r="S2242">
        <v>16</v>
      </c>
    </row>
    <row r="2243" spans="1:19" x14ac:dyDescent="0.35">
      <c r="A2243">
        <v>789</v>
      </c>
      <c r="B2243" t="s">
        <v>10558</v>
      </c>
      <c r="C2243" t="s">
        <v>42</v>
      </c>
      <c r="D2243" t="s">
        <v>10559</v>
      </c>
      <c r="E2243" t="e" cm="1">
        <f t="array" ref="E2243">- OXOMEMAZINE. GUAIFENESIN</f>
        <v>#NAME?</v>
      </c>
      <c r="F2243" t="s">
        <v>10560</v>
      </c>
      <c r="G2243" t="s">
        <v>8414</v>
      </c>
      <c r="H2243" t="s">
        <v>8415</v>
      </c>
      <c r="I2243" t="s">
        <v>8416</v>
      </c>
      <c r="J2243" t="s">
        <v>334</v>
      </c>
      <c r="K2243" t="s">
        <v>8417</v>
      </c>
      <c r="L2243" t="s">
        <v>8418</v>
      </c>
      <c r="M2243" t="s">
        <v>271</v>
      </c>
      <c r="N2243" t="s">
        <v>10568</v>
      </c>
      <c r="O2243" t="s">
        <v>8419</v>
      </c>
      <c r="P2243" t="s">
        <v>10561</v>
      </c>
      <c r="Q2243" t="s">
        <v>10569</v>
      </c>
      <c r="R2243">
        <v>9</v>
      </c>
      <c r="S2243">
        <v>16</v>
      </c>
    </row>
    <row r="2244" spans="1:19" x14ac:dyDescent="0.35">
      <c r="A2244">
        <v>3435</v>
      </c>
      <c r="B2244" t="s">
        <v>10613</v>
      </c>
      <c r="C2244" t="s">
        <v>42</v>
      </c>
      <c r="D2244" t="s">
        <v>10614</v>
      </c>
      <c r="E2244" t="e" cm="1">
        <f t="array" ref="E2244">- DRIED ALUMINIUM HYDROXIDE GEL. SIMETHICONE. MAGNESIUM HYDROXIDE</f>
        <v>#NAME?</v>
      </c>
      <c r="F2244" t="s">
        <v>10615</v>
      </c>
      <c r="H2244" t="s">
        <v>269</v>
      </c>
      <c r="L2244" t="s">
        <v>270</v>
      </c>
      <c r="M2244" t="s">
        <v>340</v>
      </c>
      <c r="N2244" t="s">
        <v>10616</v>
      </c>
      <c r="P2244" t="s">
        <v>10617</v>
      </c>
      <c r="Q2244" t="s">
        <v>10618</v>
      </c>
      <c r="R2244">
        <v>9</v>
      </c>
      <c r="S2244">
        <v>16</v>
      </c>
    </row>
    <row r="2245" spans="1:19" x14ac:dyDescent="0.35">
      <c r="A2245">
        <v>523</v>
      </c>
      <c r="B2245" t="s">
        <v>10619</v>
      </c>
      <c r="C2245" t="s">
        <v>42</v>
      </c>
      <c r="D2245" t="s">
        <v>10620</v>
      </c>
      <c r="E2245" t="e" cm="1">
        <f t="array" ref="E2245">- THEOPHYLLINE</f>
        <v>#NAME?</v>
      </c>
      <c r="F2245" s="1">
        <v>13100</v>
      </c>
      <c r="G2245" t="s">
        <v>10621</v>
      </c>
      <c r="H2245" t="s">
        <v>10622</v>
      </c>
      <c r="I2245" t="s">
        <v>10623</v>
      </c>
      <c r="J2245" t="s">
        <v>8495</v>
      </c>
      <c r="K2245" t="s">
        <v>10624</v>
      </c>
      <c r="L2245" t="s">
        <v>10625</v>
      </c>
      <c r="M2245" t="s">
        <v>38</v>
      </c>
      <c r="N2245" t="s">
        <v>4449</v>
      </c>
      <c r="O2245" t="s">
        <v>10626</v>
      </c>
      <c r="P2245" t="s">
        <v>10627</v>
      </c>
      <c r="Q2245" t="s">
        <v>10628</v>
      </c>
      <c r="R2245">
        <v>9</v>
      </c>
      <c r="S2245">
        <v>16</v>
      </c>
    </row>
    <row r="2246" spans="1:19" x14ac:dyDescent="0.35">
      <c r="A2246">
        <v>7744</v>
      </c>
      <c r="B2246" t="s">
        <v>10629</v>
      </c>
      <c r="C2246" t="s">
        <v>20</v>
      </c>
      <c r="D2246" t="s">
        <v>10630</v>
      </c>
      <c r="E2246" t="s">
        <v>10631</v>
      </c>
      <c r="F2246" t="s">
        <v>10632</v>
      </c>
      <c r="H2246" t="s">
        <v>10633</v>
      </c>
      <c r="I2246" t="s">
        <v>6068</v>
      </c>
      <c r="J2246" t="s">
        <v>10634</v>
      </c>
      <c r="K2246" t="s">
        <v>10635</v>
      </c>
      <c r="L2246" t="s">
        <v>10636</v>
      </c>
      <c r="M2246" t="s">
        <v>291</v>
      </c>
      <c r="N2246" t="s">
        <v>10637</v>
      </c>
      <c r="O2246" t="s">
        <v>6071</v>
      </c>
      <c r="P2246" t="s">
        <v>10637</v>
      </c>
      <c r="Q2246" t="s">
        <v>10638</v>
      </c>
      <c r="R2246">
        <v>9</v>
      </c>
      <c r="S2246">
        <v>16</v>
      </c>
    </row>
    <row r="2247" spans="1:19" x14ac:dyDescent="0.35">
      <c r="A2247">
        <v>6168</v>
      </c>
      <c r="B2247" t="s">
        <v>10639</v>
      </c>
      <c r="C2247" t="s">
        <v>42</v>
      </c>
      <c r="D2247" t="s">
        <v>10640</v>
      </c>
      <c r="E2247" t="e" cm="1">
        <f t="array" ref="E2247">- LINCOMYCIN HYDROCHLORIDE</f>
        <v>#NAME?</v>
      </c>
      <c r="F2247" t="s">
        <v>10641</v>
      </c>
      <c r="G2247" t="s">
        <v>5568</v>
      </c>
      <c r="H2247" t="s">
        <v>10642</v>
      </c>
      <c r="I2247" t="s">
        <v>10643</v>
      </c>
      <c r="J2247" t="s">
        <v>810</v>
      </c>
      <c r="K2247" t="s">
        <v>10644</v>
      </c>
      <c r="L2247" t="s">
        <v>10645</v>
      </c>
      <c r="M2247" t="s">
        <v>38</v>
      </c>
      <c r="N2247" t="s">
        <v>9272</v>
      </c>
      <c r="O2247" t="s">
        <v>10646</v>
      </c>
      <c r="P2247" t="s">
        <v>10647</v>
      </c>
      <c r="Q2247" t="s">
        <v>10648</v>
      </c>
      <c r="R2247">
        <v>9</v>
      </c>
      <c r="S2247">
        <v>16</v>
      </c>
    </row>
    <row r="2248" spans="1:19" x14ac:dyDescent="0.35">
      <c r="A2248">
        <v>6169</v>
      </c>
      <c r="B2248" t="s">
        <v>10639</v>
      </c>
      <c r="C2248" t="s">
        <v>42</v>
      </c>
      <c r="D2248" t="s">
        <v>10640</v>
      </c>
      <c r="E2248" t="e" cm="1">
        <f t="array" ref="E2248">- LINCOMYCIN HYDROCHLORIDE</f>
        <v>#NAME?</v>
      </c>
      <c r="F2248" t="s">
        <v>10641</v>
      </c>
      <c r="G2248" t="s">
        <v>5568</v>
      </c>
      <c r="H2248" t="s">
        <v>10642</v>
      </c>
      <c r="I2248" t="s">
        <v>10643</v>
      </c>
      <c r="J2248" t="s">
        <v>810</v>
      </c>
      <c r="K2248" t="s">
        <v>10644</v>
      </c>
      <c r="L2248" t="s">
        <v>10645</v>
      </c>
      <c r="M2248" t="s">
        <v>38</v>
      </c>
      <c r="N2248" t="s">
        <v>9272</v>
      </c>
      <c r="O2248" t="s">
        <v>10646</v>
      </c>
      <c r="P2248" t="s">
        <v>10647</v>
      </c>
      <c r="Q2248" t="s">
        <v>10648</v>
      </c>
      <c r="R2248">
        <v>9</v>
      </c>
      <c r="S2248">
        <v>16</v>
      </c>
    </row>
    <row r="2249" spans="1:19" x14ac:dyDescent="0.35">
      <c r="A2249">
        <v>281</v>
      </c>
      <c r="B2249" t="s">
        <v>10649</v>
      </c>
      <c r="C2249" t="s">
        <v>42</v>
      </c>
      <c r="D2249" t="s">
        <v>10650</v>
      </c>
      <c r="E2249" t="e" cm="1">
        <f t="array" ref="E2249">- TADALAFIL</f>
        <v>#NAME?</v>
      </c>
      <c r="F2249" t="s">
        <v>10651</v>
      </c>
      <c r="G2249" t="s">
        <v>10652</v>
      </c>
      <c r="H2249" t="s">
        <v>10653</v>
      </c>
      <c r="I2249" t="s">
        <v>8242</v>
      </c>
      <c r="J2249" t="s">
        <v>10654</v>
      </c>
      <c r="K2249" t="s">
        <v>10655</v>
      </c>
      <c r="L2249" t="s">
        <v>10390</v>
      </c>
      <c r="M2249" t="s">
        <v>8254</v>
      </c>
      <c r="N2249" t="s">
        <v>10656</v>
      </c>
      <c r="O2249" t="s">
        <v>8246</v>
      </c>
      <c r="P2249" t="s">
        <v>10657</v>
      </c>
      <c r="Q2249" t="s">
        <v>10658</v>
      </c>
      <c r="R2249">
        <v>9</v>
      </c>
      <c r="S2249">
        <v>16</v>
      </c>
    </row>
    <row r="2250" spans="1:19" x14ac:dyDescent="0.35">
      <c r="A2250">
        <v>1888</v>
      </c>
      <c r="B2250" t="s">
        <v>10659</v>
      </c>
      <c r="C2250" t="s">
        <v>42</v>
      </c>
      <c r="D2250" t="s">
        <v>10660</v>
      </c>
      <c r="E2250" t="e" cm="1">
        <f t="array" ref="E2250">- PSEUDOEPHEDRINE HYDROCHLORIDE</f>
        <v>#NAME?</v>
      </c>
      <c r="F2250" t="s">
        <v>10661</v>
      </c>
      <c r="H2250" t="s">
        <v>10662</v>
      </c>
      <c r="I2250" t="s">
        <v>10663</v>
      </c>
      <c r="J2250" t="s">
        <v>10664</v>
      </c>
      <c r="L2250" t="s">
        <v>270</v>
      </c>
      <c r="M2250" t="s">
        <v>824</v>
      </c>
      <c r="N2250" t="s">
        <v>8326</v>
      </c>
      <c r="O2250" t="s">
        <v>10665</v>
      </c>
      <c r="P2250" t="s">
        <v>10666</v>
      </c>
      <c r="Q2250" t="s">
        <v>10667</v>
      </c>
      <c r="R2250">
        <v>9</v>
      </c>
      <c r="S2250">
        <v>16</v>
      </c>
    </row>
    <row r="2251" spans="1:19" x14ac:dyDescent="0.35">
      <c r="A2251">
        <v>1889</v>
      </c>
      <c r="B2251" t="s">
        <v>10659</v>
      </c>
      <c r="C2251" t="s">
        <v>42</v>
      </c>
      <c r="D2251" t="s">
        <v>10660</v>
      </c>
      <c r="E2251" t="e" cm="1">
        <f t="array" ref="E2251">- PSEUDOEPHEDRINE HYDROCHLORIDE</f>
        <v>#NAME?</v>
      </c>
      <c r="F2251" t="s">
        <v>10661</v>
      </c>
      <c r="H2251" t="s">
        <v>10662</v>
      </c>
      <c r="I2251" t="s">
        <v>10663</v>
      </c>
      <c r="J2251" t="s">
        <v>10664</v>
      </c>
      <c r="L2251" t="s">
        <v>270</v>
      </c>
      <c r="M2251" t="s">
        <v>824</v>
      </c>
      <c r="N2251" t="s">
        <v>8326</v>
      </c>
      <c r="O2251" t="s">
        <v>10665</v>
      </c>
      <c r="P2251" t="s">
        <v>10666</v>
      </c>
      <c r="Q2251" t="s">
        <v>10667</v>
      </c>
      <c r="R2251">
        <v>9</v>
      </c>
      <c r="S2251">
        <v>16</v>
      </c>
    </row>
    <row r="2252" spans="1:19" x14ac:dyDescent="0.35">
      <c r="A2252">
        <v>6170</v>
      </c>
      <c r="B2252" t="s">
        <v>10639</v>
      </c>
      <c r="C2252" t="s">
        <v>42</v>
      </c>
      <c r="D2252" t="s">
        <v>10640</v>
      </c>
      <c r="E2252" t="e" cm="1">
        <f t="array" ref="E2252">- LINCOMYCIN HYDROCHLORIDE</f>
        <v>#NAME?</v>
      </c>
      <c r="F2252" t="s">
        <v>10641</v>
      </c>
      <c r="G2252" t="s">
        <v>5568</v>
      </c>
      <c r="H2252" t="s">
        <v>10642</v>
      </c>
      <c r="I2252" t="s">
        <v>10643</v>
      </c>
      <c r="J2252" t="s">
        <v>810</v>
      </c>
      <c r="K2252" t="s">
        <v>10644</v>
      </c>
      <c r="L2252" t="s">
        <v>10645</v>
      </c>
      <c r="M2252" t="s">
        <v>38</v>
      </c>
      <c r="N2252" t="s">
        <v>9272</v>
      </c>
      <c r="O2252" t="s">
        <v>10646</v>
      </c>
      <c r="P2252" t="s">
        <v>10647</v>
      </c>
      <c r="Q2252" t="s">
        <v>10648</v>
      </c>
      <c r="R2252">
        <v>9</v>
      </c>
      <c r="S2252">
        <v>16</v>
      </c>
    </row>
    <row r="2253" spans="1:19" x14ac:dyDescent="0.35">
      <c r="A2253">
        <v>3451</v>
      </c>
      <c r="B2253" t="s">
        <v>10668</v>
      </c>
      <c r="C2253" t="s">
        <v>42</v>
      </c>
      <c r="D2253" t="s">
        <v>10669</v>
      </c>
      <c r="E2253" t="e" cm="1">
        <f t="array" ref="E2253">- FAMOTIDINE</f>
        <v>#NAME?</v>
      </c>
      <c r="F2253" t="s">
        <v>10670</v>
      </c>
      <c r="G2253" t="s">
        <v>60</v>
      </c>
      <c r="H2253" t="s">
        <v>10671</v>
      </c>
      <c r="I2253" t="s">
        <v>10672</v>
      </c>
      <c r="J2253" t="s">
        <v>3761</v>
      </c>
      <c r="K2253" t="s">
        <v>10673</v>
      </c>
      <c r="L2253" t="s">
        <v>10674</v>
      </c>
      <c r="M2253" t="s">
        <v>291</v>
      </c>
      <c r="N2253" t="s">
        <v>10675</v>
      </c>
      <c r="O2253" t="s">
        <v>10676</v>
      </c>
      <c r="P2253" t="s">
        <v>10677</v>
      </c>
      <c r="Q2253" t="s">
        <v>10678</v>
      </c>
      <c r="R2253">
        <v>9</v>
      </c>
      <c r="S2253">
        <v>16</v>
      </c>
    </row>
    <row r="2254" spans="1:19" x14ac:dyDescent="0.35">
      <c r="A2254">
        <v>6486</v>
      </c>
      <c r="B2254" t="s">
        <v>8040</v>
      </c>
      <c r="C2254" t="s">
        <v>42</v>
      </c>
      <c r="D2254" t="s">
        <v>8041</v>
      </c>
      <c r="E2254" t="e" cm="1">
        <f t="array" ref="E2254">- CIPROFLOXACIN HYDROCHLORIDE MONOHYDRATE</f>
        <v>#NAME?</v>
      </c>
      <c r="F2254" t="s">
        <v>8042</v>
      </c>
      <c r="G2254" t="s">
        <v>5568</v>
      </c>
      <c r="H2254" t="s">
        <v>8043</v>
      </c>
      <c r="I2254" t="s">
        <v>8044</v>
      </c>
      <c r="J2254" t="s">
        <v>8045</v>
      </c>
      <c r="K2254" t="s">
        <v>8046</v>
      </c>
      <c r="L2254" t="s">
        <v>8047</v>
      </c>
      <c r="M2254" t="s">
        <v>291</v>
      </c>
      <c r="N2254" t="s">
        <v>10679</v>
      </c>
      <c r="O2254" t="s">
        <v>8048</v>
      </c>
      <c r="P2254" t="s">
        <v>8049</v>
      </c>
      <c r="Q2254" t="s">
        <v>10680</v>
      </c>
      <c r="R2254">
        <v>9</v>
      </c>
      <c r="S2254">
        <v>16</v>
      </c>
    </row>
    <row r="2255" spans="1:19" x14ac:dyDescent="0.35">
      <c r="A2255">
        <v>792</v>
      </c>
      <c r="B2255" t="s">
        <v>10558</v>
      </c>
      <c r="C2255" t="s">
        <v>42</v>
      </c>
      <c r="D2255" t="s">
        <v>10559</v>
      </c>
      <c r="E2255" t="e" cm="1">
        <f t="array" ref="E2255">- GUAIFENESIN. OXOMEMAZINE</f>
        <v>#NAME?</v>
      </c>
      <c r="F2255" t="s">
        <v>10560</v>
      </c>
      <c r="G2255" t="s">
        <v>8414</v>
      </c>
      <c r="H2255" t="s">
        <v>8415</v>
      </c>
      <c r="I2255" t="s">
        <v>8416</v>
      </c>
      <c r="J2255" t="s">
        <v>334</v>
      </c>
      <c r="K2255" t="s">
        <v>8417</v>
      </c>
      <c r="L2255" t="s">
        <v>8418</v>
      </c>
      <c r="M2255" t="s">
        <v>271</v>
      </c>
      <c r="N2255" t="s">
        <v>10025</v>
      </c>
      <c r="O2255" t="s">
        <v>8419</v>
      </c>
      <c r="P2255" t="s">
        <v>10561</v>
      </c>
      <c r="Q2255" t="s">
        <v>10562</v>
      </c>
      <c r="R2255">
        <v>9</v>
      </c>
      <c r="S2255">
        <v>16</v>
      </c>
    </row>
    <row r="2256" spans="1:19" x14ac:dyDescent="0.35">
      <c r="A2256">
        <v>17</v>
      </c>
      <c r="B2256" t="s">
        <v>2902</v>
      </c>
      <c r="C2256" t="s">
        <v>42</v>
      </c>
      <c r="D2256" t="s">
        <v>10681</v>
      </c>
      <c r="E2256" t="e" cm="1">
        <f t="array" ref="E2256">- SILDENAFIL CITRATE</f>
        <v>#NAME?</v>
      </c>
      <c r="F2256" t="s">
        <v>10682</v>
      </c>
      <c r="G2256" t="s">
        <v>8185</v>
      </c>
      <c r="H2256" t="s">
        <v>3854</v>
      </c>
      <c r="I2256" t="s">
        <v>8186</v>
      </c>
      <c r="J2256" t="s">
        <v>8169</v>
      </c>
      <c r="L2256" t="s">
        <v>8188</v>
      </c>
      <c r="M2256" t="s">
        <v>46</v>
      </c>
      <c r="N2256" t="s">
        <v>2519</v>
      </c>
      <c r="O2256" t="s">
        <v>8189</v>
      </c>
      <c r="P2256" t="s">
        <v>10592</v>
      </c>
      <c r="Q2256" t="s">
        <v>10593</v>
      </c>
      <c r="R2256">
        <v>9</v>
      </c>
      <c r="S2256">
        <v>16</v>
      </c>
    </row>
    <row r="2257" spans="1:19" x14ac:dyDescent="0.35">
      <c r="A2257">
        <v>1895</v>
      </c>
      <c r="B2257" t="s">
        <v>5120</v>
      </c>
      <c r="C2257" t="s">
        <v>42</v>
      </c>
      <c r="D2257" t="s">
        <v>5121</v>
      </c>
      <c r="E2257" t="e" cm="1">
        <f t="array" ref="E2257">- PARACETAMOL. GUAIFENESIN. CHLORPHENAMINE MALEATE</f>
        <v>#NAME?</v>
      </c>
      <c r="F2257" t="s">
        <v>5122</v>
      </c>
      <c r="J2257" t="s">
        <v>334</v>
      </c>
      <c r="M2257" t="s">
        <v>271</v>
      </c>
      <c r="N2257" t="s">
        <v>5118</v>
      </c>
      <c r="P2257" t="s">
        <v>5123</v>
      </c>
      <c r="Q2257" t="s">
        <v>10683</v>
      </c>
      <c r="R2257">
        <v>9</v>
      </c>
      <c r="S2257">
        <v>16</v>
      </c>
    </row>
    <row r="2258" spans="1:19" x14ac:dyDescent="0.35">
      <c r="A2258">
        <v>7632</v>
      </c>
      <c r="B2258" t="s">
        <v>10684</v>
      </c>
      <c r="C2258" t="s">
        <v>20</v>
      </c>
      <c r="D2258" t="s">
        <v>10685</v>
      </c>
      <c r="E2258" t="s">
        <v>10686</v>
      </c>
      <c r="F2258" t="s">
        <v>10687</v>
      </c>
      <c r="H2258" t="s">
        <v>10688</v>
      </c>
      <c r="I2258" t="s">
        <v>10689</v>
      </c>
      <c r="J2258" t="s">
        <v>70</v>
      </c>
      <c r="M2258" t="s">
        <v>38</v>
      </c>
      <c r="N2258" t="s">
        <v>10690</v>
      </c>
      <c r="O2258" t="s">
        <v>9548</v>
      </c>
      <c r="P2258" t="s">
        <v>10690</v>
      </c>
      <c r="Q2258" t="s">
        <v>10691</v>
      </c>
      <c r="R2258">
        <v>9</v>
      </c>
      <c r="S2258">
        <v>16</v>
      </c>
    </row>
    <row r="2259" spans="1:19" x14ac:dyDescent="0.35">
      <c r="A2259">
        <v>7631</v>
      </c>
      <c r="B2259" t="s">
        <v>10684</v>
      </c>
      <c r="C2259" t="s">
        <v>20</v>
      </c>
      <c r="D2259" t="s">
        <v>10692</v>
      </c>
      <c r="E2259" t="s">
        <v>10686</v>
      </c>
      <c r="F2259" t="s">
        <v>10693</v>
      </c>
      <c r="H2259" t="s">
        <v>10688</v>
      </c>
      <c r="I2259" t="s">
        <v>10689</v>
      </c>
      <c r="J2259" t="s">
        <v>10694</v>
      </c>
      <c r="M2259" t="s">
        <v>38</v>
      </c>
      <c r="N2259" t="s">
        <v>10690</v>
      </c>
      <c r="O2259" t="s">
        <v>9548</v>
      </c>
      <c r="P2259" t="s">
        <v>10690</v>
      </c>
      <c r="Q2259" t="s">
        <v>10691</v>
      </c>
      <c r="R2259">
        <v>9</v>
      </c>
      <c r="S2259">
        <v>16</v>
      </c>
    </row>
    <row r="2260" spans="1:19" x14ac:dyDescent="0.35">
      <c r="A2260">
        <v>8349</v>
      </c>
      <c r="B2260" t="s">
        <v>551</v>
      </c>
      <c r="C2260" t="s">
        <v>42</v>
      </c>
      <c r="D2260" t="s">
        <v>10605</v>
      </c>
      <c r="E2260" t="e" cm="1">
        <f t="array" ref="E2260">- POVIDONE-IODINE</f>
        <v>#NAME?</v>
      </c>
      <c r="F2260" t="s">
        <v>10606</v>
      </c>
      <c r="G2260" t="s">
        <v>10607</v>
      </c>
      <c r="I2260" t="s">
        <v>10608</v>
      </c>
      <c r="J2260" t="s">
        <v>10609</v>
      </c>
      <c r="M2260" t="s">
        <v>554</v>
      </c>
      <c r="N2260" t="s">
        <v>555</v>
      </c>
      <c r="O2260" t="s">
        <v>10610</v>
      </c>
      <c r="P2260" t="s">
        <v>10611</v>
      </c>
      <c r="Q2260" t="s">
        <v>10612</v>
      </c>
      <c r="R2260">
        <v>9</v>
      </c>
      <c r="S2260">
        <v>16</v>
      </c>
    </row>
    <row r="2261" spans="1:19" x14ac:dyDescent="0.35">
      <c r="A2261">
        <v>6171</v>
      </c>
      <c r="B2261" t="s">
        <v>10639</v>
      </c>
      <c r="C2261" t="s">
        <v>42</v>
      </c>
      <c r="D2261" t="s">
        <v>10640</v>
      </c>
      <c r="E2261" t="e" cm="1">
        <f t="array" ref="E2261">- LINCOMYCIN HYDROCHLORIDE</f>
        <v>#NAME?</v>
      </c>
      <c r="F2261" t="s">
        <v>10641</v>
      </c>
      <c r="G2261" t="s">
        <v>5568</v>
      </c>
      <c r="H2261" t="s">
        <v>10642</v>
      </c>
      <c r="I2261" t="s">
        <v>10643</v>
      </c>
      <c r="J2261" t="s">
        <v>810</v>
      </c>
      <c r="K2261" t="s">
        <v>10644</v>
      </c>
      <c r="L2261" t="s">
        <v>10645</v>
      </c>
      <c r="M2261" t="s">
        <v>38</v>
      </c>
      <c r="N2261" t="s">
        <v>9272</v>
      </c>
      <c r="O2261" t="s">
        <v>10646</v>
      </c>
      <c r="P2261" t="s">
        <v>10647</v>
      </c>
      <c r="Q2261" t="s">
        <v>10648</v>
      </c>
      <c r="R2261">
        <v>9</v>
      </c>
      <c r="S2261">
        <v>16</v>
      </c>
    </row>
    <row r="2262" spans="1:19" x14ac:dyDescent="0.35">
      <c r="A2262">
        <v>2035</v>
      </c>
      <c r="B2262" t="s">
        <v>10695</v>
      </c>
      <c r="C2262" t="s">
        <v>20</v>
      </c>
      <c r="D2262" t="s">
        <v>10696</v>
      </c>
      <c r="E2262" t="s">
        <v>10697</v>
      </c>
      <c r="F2262" t="s">
        <v>10698</v>
      </c>
      <c r="G2262" t="s">
        <v>5746</v>
      </c>
      <c r="H2262" t="s">
        <v>10699</v>
      </c>
      <c r="I2262" t="s">
        <v>10700</v>
      </c>
      <c r="J2262" t="s">
        <v>614</v>
      </c>
      <c r="M2262" t="s">
        <v>271</v>
      </c>
      <c r="N2262" t="s">
        <v>10701</v>
      </c>
      <c r="O2262" t="s">
        <v>10702</v>
      </c>
      <c r="P2262" t="s">
        <v>10701</v>
      </c>
      <c r="Q2262" t="s">
        <v>10703</v>
      </c>
      <c r="R2262">
        <v>9</v>
      </c>
      <c r="S2262">
        <v>16</v>
      </c>
    </row>
    <row r="2263" spans="1:19" x14ac:dyDescent="0.35">
      <c r="A2263">
        <v>1165</v>
      </c>
      <c r="B2263" t="s">
        <v>10704</v>
      </c>
      <c r="C2263" t="s">
        <v>42</v>
      </c>
      <c r="D2263" t="s">
        <v>10705</v>
      </c>
      <c r="E2263" t="e" cm="1">
        <f t="array" ref="E2263">- PROMETHAZINE HYDROCHLORIDE</f>
        <v>#NAME?</v>
      </c>
      <c r="F2263" t="s">
        <v>10706</v>
      </c>
      <c r="G2263" t="s">
        <v>2241</v>
      </c>
      <c r="H2263" t="s">
        <v>10707</v>
      </c>
      <c r="I2263" t="s">
        <v>10708</v>
      </c>
      <c r="J2263" t="s">
        <v>334</v>
      </c>
      <c r="K2263" t="s">
        <v>10709</v>
      </c>
      <c r="L2263" t="s">
        <v>10710</v>
      </c>
      <c r="M2263" t="s">
        <v>271</v>
      </c>
      <c r="N2263" t="s">
        <v>1290</v>
      </c>
      <c r="O2263" t="s">
        <v>10711</v>
      </c>
      <c r="P2263" t="s">
        <v>10712</v>
      </c>
      <c r="Q2263" t="s">
        <v>10713</v>
      </c>
      <c r="R2263">
        <v>9</v>
      </c>
      <c r="S2263">
        <v>16</v>
      </c>
    </row>
    <row r="2264" spans="1:19" x14ac:dyDescent="0.35">
      <c r="A2264">
        <v>1915</v>
      </c>
      <c r="B2264" t="s">
        <v>10714</v>
      </c>
      <c r="C2264" t="s">
        <v>20</v>
      </c>
      <c r="D2264" t="s">
        <v>10715</v>
      </c>
      <c r="E2264" t="s">
        <v>10716</v>
      </c>
      <c r="F2264" t="s">
        <v>10717</v>
      </c>
      <c r="G2264" t="s">
        <v>2241</v>
      </c>
      <c r="H2264" t="s">
        <v>10718</v>
      </c>
      <c r="I2264" t="s">
        <v>10719</v>
      </c>
      <c r="J2264" t="s">
        <v>334</v>
      </c>
      <c r="M2264" t="s">
        <v>271</v>
      </c>
      <c r="N2264" t="s">
        <v>10720</v>
      </c>
      <c r="O2264" t="s">
        <v>10721</v>
      </c>
      <c r="P2264" t="s">
        <v>10720</v>
      </c>
      <c r="Q2264" t="s">
        <v>10722</v>
      </c>
      <c r="R2264">
        <v>9</v>
      </c>
      <c r="S2264">
        <v>16</v>
      </c>
    </row>
    <row r="2265" spans="1:19" x14ac:dyDescent="0.35">
      <c r="A2265">
        <v>7642</v>
      </c>
      <c r="B2265" t="s">
        <v>10723</v>
      </c>
      <c r="C2265" t="s">
        <v>20</v>
      </c>
      <c r="D2265" t="s">
        <v>10724</v>
      </c>
      <c r="E2265" t="s">
        <v>10725</v>
      </c>
      <c r="F2265" t="s">
        <v>10726</v>
      </c>
      <c r="I2265" t="s">
        <v>10727</v>
      </c>
      <c r="J2265" t="s">
        <v>10728</v>
      </c>
      <c r="M2265" t="s">
        <v>63</v>
      </c>
      <c r="N2265" t="s">
        <v>10729</v>
      </c>
      <c r="O2265" t="s">
        <v>7684</v>
      </c>
      <c r="P2265" t="s">
        <v>10729</v>
      </c>
      <c r="Q2265" t="s">
        <v>10730</v>
      </c>
      <c r="R2265">
        <v>9</v>
      </c>
      <c r="S2265">
        <v>16</v>
      </c>
    </row>
    <row r="2266" spans="1:19" x14ac:dyDescent="0.35">
      <c r="A2266">
        <v>1939</v>
      </c>
      <c r="B2266" t="s">
        <v>10731</v>
      </c>
      <c r="C2266" t="s">
        <v>20</v>
      </c>
      <c r="D2266" t="s">
        <v>10732</v>
      </c>
      <c r="E2266" t="s">
        <v>10733</v>
      </c>
      <c r="F2266" s="1">
        <v>19500</v>
      </c>
      <c r="G2266" t="s">
        <v>2241</v>
      </c>
      <c r="H2266" t="s">
        <v>10734</v>
      </c>
      <c r="I2266" t="s">
        <v>10735</v>
      </c>
      <c r="J2266" t="s">
        <v>846</v>
      </c>
      <c r="N2266" t="s">
        <v>10736</v>
      </c>
      <c r="O2266" t="s">
        <v>6611</v>
      </c>
      <c r="P2266" t="s">
        <v>10736</v>
      </c>
      <c r="Q2266" t="s">
        <v>10737</v>
      </c>
      <c r="R2266">
        <v>9</v>
      </c>
      <c r="S2266">
        <v>16</v>
      </c>
    </row>
    <row r="2267" spans="1:19" x14ac:dyDescent="0.35">
      <c r="A2267">
        <v>1940</v>
      </c>
      <c r="B2267" t="s">
        <v>10731</v>
      </c>
      <c r="C2267" t="s">
        <v>20</v>
      </c>
      <c r="D2267" t="s">
        <v>10732</v>
      </c>
      <c r="E2267" t="s">
        <v>10733</v>
      </c>
      <c r="F2267" s="1">
        <v>19500</v>
      </c>
      <c r="G2267" t="s">
        <v>2241</v>
      </c>
      <c r="H2267" t="s">
        <v>10734</v>
      </c>
      <c r="I2267" t="s">
        <v>10735</v>
      </c>
      <c r="J2267" t="s">
        <v>846</v>
      </c>
      <c r="N2267" t="s">
        <v>10736</v>
      </c>
      <c r="O2267" t="s">
        <v>6611</v>
      </c>
      <c r="P2267" t="s">
        <v>10736</v>
      </c>
      <c r="Q2267" t="s">
        <v>10737</v>
      </c>
      <c r="R2267">
        <v>9</v>
      </c>
      <c r="S2267">
        <v>16</v>
      </c>
    </row>
    <row r="2268" spans="1:19" x14ac:dyDescent="0.35">
      <c r="A2268">
        <v>8390</v>
      </c>
      <c r="B2268" t="s">
        <v>551</v>
      </c>
      <c r="C2268" t="s">
        <v>42</v>
      </c>
      <c r="D2268" t="s">
        <v>10738</v>
      </c>
      <c r="E2268" t="e" cm="1">
        <f t="array" ref="E2268">- POVIDONE-IODINE</f>
        <v>#NAME?</v>
      </c>
      <c r="F2268" t="s">
        <v>10739</v>
      </c>
      <c r="M2268" t="s">
        <v>554</v>
      </c>
      <c r="N2268" t="s">
        <v>555</v>
      </c>
      <c r="P2268" t="s">
        <v>10740</v>
      </c>
      <c r="Q2268" t="s">
        <v>10741</v>
      </c>
      <c r="R2268">
        <v>9</v>
      </c>
      <c r="S2268">
        <v>16</v>
      </c>
    </row>
    <row r="2269" spans="1:19" x14ac:dyDescent="0.35">
      <c r="A2269">
        <v>8391</v>
      </c>
      <c r="B2269" t="s">
        <v>551</v>
      </c>
      <c r="C2269" t="s">
        <v>42</v>
      </c>
      <c r="D2269" t="s">
        <v>10738</v>
      </c>
      <c r="E2269" t="e" cm="1">
        <f t="array" ref="E2269">- POVIDONE-IODINE</f>
        <v>#NAME?</v>
      </c>
      <c r="F2269" t="s">
        <v>10739</v>
      </c>
      <c r="M2269" t="s">
        <v>554</v>
      </c>
      <c r="N2269" t="s">
        <v>555</v>
      </c>
      <c r="P2269" t="s">
        <v>10740</v>
      </c>
      <c r="Q2269" t="s">
        <v>10741</v>
      </c>
      <c r="R2269">
        <v>9</v>
      </c>
      <c r="S2269">
        <v>16</v>
      </c>
    </row>
    <row r="2270" spans="1:19" x14ac:dyDescent="0.35">
      <c r="A2270">
        <v>563</v>
      </c>
      <c r="B2270" t="s">
        <v>10742</v>
      </c>
      <c r="C2270" t="s">
        <v>42</v>
      </c>
      <c r="D2270" t="s">
        <v>10743</v>
      </c>
      <c r="E2270" t="e" cm="1">
        <f t="array" ref="E2270">- TERBUTALINE SULFATE</f>
        <v>#NAME?</v>
      </c>
      <c r="F2270" t="s">
        <v>10744</v>
      </c>
      <c r="G2270" t="s">
        <v>60</v>
      </c>
      <c r="H2270" t="s">
        <v>10745</v>
      </c>
    </row>
    <row r="2271" spans="1:19" x14ac:dyDescent="0.35">
      <c r="A2271">
        <v>8392</v>
      </c>
      <c r="B2271" t="s">
        <v>551</v>
      </c>
      <c r="C2271" t="s">
        <v>42</v>
      </c>
      <c r="D2271" t="s">
        <v>10203</v>
      </c>
      <c r="E2271" t="e" cm="1">
        <f t="array" ref="E2271">- POVIDONE-IODINE</f>
        <v>#NAME?</v>
      </c>
      <c r="F2271" t="s">
        <v>10204</v>
      </c>
      <c r="J2271" t="s">
        <v>10205</v>
      </c>
      <c r="M2271" t="s">
        <v>554</v>
      </c>
      <c r="N2271" t="s">
        <v>555</v>
      </c>
      <c r="P2271" t="s">
        <v>10206</v>
      </c>
      <c r="Q2271" t="s">
        <v>10207</v>
      </c>
      <c r="R2271">
        <v>9</v>
      </c>
      <c r="S2271">
        <v>16</v>
      </c>
    </row>
    <row r="2272" spans="1:19" x14ac:dyDescent="0.35">
      <c r="A2272">
        <v>7643</v>
      </c>
      <c r="B2272" t="s">
        <v>10746</v>
      </c>
      <c r="C2272" t="s">
        <v>20</v>
      </c>
      <c r="D2272" t="s">
        <v>10747</v>
      </c>
      <c r="E2272" t="s">
        <v>10748</v>
      </c>
      <c r="F2272" t="s">
        <v>10749</v>
      </c>
      <c r="H2272" t="s">
        <v>10750</v>
      </c>
      <c r="I2272" t="s">
        <v>10751</v>
      </c>
      <c r="J2272" t="s">
        <v>10752</v>
      </c>
      <c r="M2272" t="s">
        <v>38</v>
      </c>
      <c r="N2272" t="s">
        <v>10753</v>
      </c>
      <c r="O2272" t="s">
        <v>10754</v>
      </c>
      <c r="P2272" t="s">
        <v>10753</v>
      </c>
      <c r="Q2272" t="s">
        <v>10755</v>
      </c>
      <c r="R2272">
        <v>9</v>
      </c>
      <c r="S2272">
        <v>16</v>
      </c>
    </row>
    <row r="2273" spans="1:19" x14ac:dyDescent="0.35">
      <c r="A2273">
        <v>6710</v>
      </c>
      <c r="B2273" t="s">
        <v>10195</v>
      </c>
      <c r="C2273" t="s">
        <v>42</v>
      </c>
      <c r="D2273" t="s">
        <v>10196</v>
      </c>
      <c r="E2273" t="e" cm="1">
        <f t="array" ref="E2273">- ALENDRONATE SODIUM TRIHYDRATE</f>
        <v>#NAME?</v>
      </c>
      <c r="F2273" t="s">
        <v>10197</v>
      </c>
      <c r="G2273" t="s">
        <v>10198</v>
      </c>
      <c r="H2273" t="s">
        <v>10199</v>
      </c>
      <c r="I2273" t="s">
        <v>10200</v>
      </c>
      <c r="J2273" t="s">
        <v>10201</v>
      </c>
      <c r="K2273" t="s">
        <v>10202</v>
      </c>
    </row>
    <row r="2274" spans="1:19" x14ac:dyDescent="0.35">
      <c r="A2274">
        <v>8394</v>
      </c>
      <c r="B2274" t="s">
        <v>551</v>
      </c>
      <c r="C2274" t="s">
        <v>42</v>
      </c>
      <c r="D2274" t="s">
        <v>10756</v>
      </c>
      <c r="E2274" t="e" cm="1">
        <f t="array" ref="E2274">- POVIDONE-IODINE</f>
        <v>#NAME?</v>
      </c>
      <c r="F2274" t="s">
        <v>10757</v>
      </c>
      <c r="M2274" t="s">
        <v>554</v>
      </c>
      <c r="N2274" t="s">
        <v>555</v>
      </c>
      <c r="P2274" t="s">
        <v>10758</v>
      </c>
      <c r="Q2274" t="s">
        <v>10759</v>
      </c>
      <c r="R2274">
        <v>9</v>
      </c>
      <c r="S2274">
        <v>16</v>
      </c>
    </row>
    <row r="2275" spans="1:19" x14ac:dyDescent="0.35">
      <c r="A2275">
        <v>4924</v>
      </c>
      <c r="B2275" t="s">
        <v>10287</v>
      </c>
      <c r="C2275" t="s">
        <v>42</v>
      </c>
      <c r="D2275" t="s">
        <v>10288</v>
      </c>
      <c r="E2275" t="e" cm="1">
        <f t="array" ref="E2275">- ADAPALENE</f>
        <v>#NAME?</v>
      </c>
      <c r="F2275" t="s">
        <v>10289</v>
      </c>
      <c r="G2275" t="s">
        <v>10290</v>
      </c>
      <c r="H2275" t="s">
        <v>10291</v>
      </c>
      <c r="I2275" t="s">
        <v>10292</v>
      </c>
      <c r="J2275" t="s">
        <v>7187</v>
      </c>
      <c r="K2275" t="s">
        <v>3952</v>
      </c>
      <c r="L2275" t="s">
        <v>10293</v>
      </c>
      <c r="M2275" t="s">
        <v>87</v>
      </c>
      <c r="N2275" t="s">
        <v>3954</v>
      </c>
      <c r="O2275" t="s">
        <v>10294</v>
      </c>
      <c r="P2275" t="s">
        <v>10295</v>
      </c>
      <c r="Q2275" t="s">
        <v>10296</v>
      </c>
      <c r="R2275">
        <v>9</v>
      </c>
      <c r="S2275">
        <v>16</v>
      </c>
    </row>
    <row r="2276" spans="1:19" x14ac:dyDescent="0.35">
      <c r="A2276">
        <v>8395</v>
      </c>
      <c r="B2276" t="s">
        <v>551</v>
      </c>
      <c r="C2276" t="s">
        <v>42</v>
      </c>
      <c r="D2276" t="s">
        <v>10756</v>
      </c>
      <c r="E2276" t="e" cm="1">
        <f t="array" ref="E2276">- POVIDONE-IODINE</f>
        <v>#NAME?</v>
      </c>
      <c r="F2276" t="s">
        <v>10757</v>
      </c>
      <c r="M2276" t="s">
        <v>554</v>
      </c>
      <c r="N2276" t="s">
        <v>555</v>
      </c>
      <c r="P2276" t="s">
        <v>10758</v>
      </c>
      <c r="Q2276" t="s">
        <v>10759</v>
      </c>
      <c r="R2276">
        <v>9</v>
      </c>
      <c r="S2276">
        <v>16</v>
      </c>
    </row>
    <row r="2277" spans="1:19" x14ac:dyDescent="0.35">
      <c r="A2277">
        <v>8396</v>
      </c>
      <c r="B2277" t="s">
        <v>551</v>
      </c>
      <c r="C2277" t="s">
        <v>42</v>
      </c>
      <c r="D2277" t="s">
        <v>10519</v>
      </c>
      <c r="E2277" t="e" cm="1">
        <f t="array" ref="E2277">- POVIDONE-IODINE</f>
        <v>#NAME?</v>
      </c>
      <c r="F2277" t="s">
        <v>10520</v>
      </c>
      <c r="M2277" t="s">
        <v>554</v>
      </c>
      <c r="N2277" t="s">
        <v>555</v>
      </c>
      <c r="P2277" t="s">
        <v>10521</v>
      </c>
      <c r="Q2277" t="s">
        <v>10522</v>
      </c>
      <c r="R2277">
        <v>9</v>
      </c>
      <c r="S2277">
        <v>16</v>
      </c>
    </row>
    <row r="2278" spans="1:19" x14ac:dyDescent="0.35">
      <c r="A2278">
        <v>1953</v>
      </c>
      <c r="B2278" t="s">
        <v>10523</v>
      </c>
      <c r="C2278" t="s">
        <v>20</v>
      </c>
      <c r="D2278" t="s">
        <v>10524</v>
      </c>
      <c r="E2278" t="s">
        <v>10525</v>
      </c>
      <c r="F2278" s="1">
        <v>27500</v>
      </c>
      <c r="G2278" t="s">
        <v>10526</v>
      </c>
      <c r="H2278" t="s">
        <v>10527</v>
      </c>
      <c r="I2278" t="s">
        <v>5142</v>
      </c>
      <c r="J2278" t="s">
        <v>334</v>
      </c>
      <c r="L2278" t="s">
        <v>10528</v>
      </c>
      <c r="M2278" t="s">
        <v>271</v>
      </c>
      <c r="N2278" t="s">
        <v>10529</v>
      </c>
      <c r="O2278" t="s">
        <v>5144</v>
      </c>
      <c r="P2278" t="s">
        <v>10530</v>
      </c>
      <c r="Q2278" t="s">
        <v>10531</v>
      </c>
      <c r="R2278">
        <v>9</v>
      </c>
      <c r="S2278">
        <v>16</v>
      </c>
    </row>
    <row r="2279" spans="1:19" x14ac:dyDescent="0.35">
      <c r="A2279">
        <v>6197</v>
      </c>
      <c r="B2279" t="s">
        <v>10275</v>
      </c>
      <c r="C2279" t="s">
        <v>42</v>
      </c>
      <c r="D2279" t="s">
        <v>10276</v>
      </c>
      <c r="E2279" t="e" cm="1">
        <f t="array" ref="E2279">- RIFAMPICIN</f>
        <v>#NAME?</v>
      </c>
      <c r="F2279" t="s">
        <v>10277</v>
      </c>
      <c r="G2279" t="s">
        <v>10278</v>
      </c>
      <c r="H2279" t="s">
        <v>10279</v>
      </c>
      <c r="I2279" t="s">
        <v>10280</v>
      </c>
      <c r="J2279" t="s">
        <v>10281</v>
      </c>
      <c r="K2279" t="s">
        <v>10282</v>
      </c>
      <c r="L2279" t="s">
        <v>10283</v>
      </c>
      <c r="M2279" t="s">
        <v>291</v>
      </c>
      <c r="N2279" t="s">
        <v>516</v>
      </c>
      <c r="O2279" t="s">
        <v>10284</v>
      </c>
      <c r="P2279" t="s">
        <v>10285</v>
      </c>
      <c r="Q2279" t="s">
        <v>10286</v>
      </c>
      <c r="R2279">
        <v>9</v>
      </c>
      <c r="S2279">
        <v>16</v>
      </c>
    </row>
    <row r="2280" spans="1:19" x14ac:dyDescent="0.35">
      <c r="A2280">
        <v>6559</v>
      </c>
      <c r="B2280" t="s">
        <v>10760</v>
      </c>
      <c r="C2280" t="s">
        <v>42</v>
      </c>
      <c r="D2280" t="s">
        <v>10761</v>
      </c>
      <c r="E2280" t="e" cm="1">
        <f t="array" ref="E2280">- NYSTATIN</f>
        <v>#NAME?</v>
      </c>
      <c r="F2280" s="1">
        <v>14500</v>
      </c>
      <c r="G2280" t="s">
        <v>4939</v>
      </c>
      <c r="H2280" t="s">
        <v>10762</v>
      </c>
      <c r="I2280" t="s">
        <v>10763</v>
      </c>
      <c r="J2280" t="s">
        <v>10764</v>
      </c>
      <c r="K2280" t="s">
        <v>4677</v>
      </c>
      <c r="L2280" t="s">
        <v>8039</v>
      </c>
      <c r="M2280" t="s">
        <v>46</v>
      </c>
      <c r="N2280" t="s">
        <v>1818</v>
      </c>
      <c r="O2280" t="s">
        <v>8023</v>
      </c>
      <c r="P2280" t="s">
        <v>10765</v>
      </c>
      <c r="Q2280" t="s">
        <v>10766</v>
      </c>
      <c r="R2280">
        <v>9</v>
      </c>
      <c r="S2280">
        <v>16</v>
      </c>
    </row>
    <row r="2281" spans="1:19" x14ac:dyDescent="0.35">
      <c r="A2281">
        <v>4908</v>
      </c>
      <c r="B2281" t="s">
        <v>10582</v>
      </c>
      <c r="C2281" t="s">
        <v>42</v>
      </c>
      <c r="D2281" t="s">
        <v>10583</v>
      </c>
      <c r="E2281" t="e" cm="1">
        <f t="array" ref="E2281">- AZELAIC ACID</f>
        <v>#NAME?</v>
      </c>
      <c r="F2281" t="s">
        <v>10584</v>
      </c>
      <c r="G2281" t="s">
        <v>6537</v>
      </c>
      <c r="H2281" t="s">
        <v>10585</v>
      </c>
      <c r="I2281" t="s">
        <v>7195</v>
      </c>
      <c r="J2281" t="s">
        <v>2049</v>
      </c>
      <c r="K2281" t="s">
        <v>2726</v>
      </c>
      <c r="L2281" t="s">
        <v>10586</v>
      </c>
      <c r="M2281" t="s">
        <v>1289</v>
      </c>
      <c r="N2281" t="s">
        <v>7197</v>
      </c>
      <c r="O2281" t="s">
        <v>7198</v>
      </c>
      <c r="P2281" t="s">
        <v>10587</v>
      </c>
      <c r="Q2281" t="s">
        <v>10588</v>
      </c>
      <c r="R2281">
        <v>9</v>
      </c>
      <c r="S2281">
        <v>16</v>
      </c>
    </row>
    <row r="2282" spans="1:19" x14ac:dyDescent="0.35">
      <c r="A2282">
        <v>6555</v>
      </c>
      <c r="B2282" t="s">
        <v>10767</v>
      </c>
      <c r="C2282" t="s">
        <v>42</v>
      </c>
      <c r="D2282" t="s">
        <v>10768</v>
      </c>
      <c r="E2282" t="e" cm="1">
        <f t="array" ref="E2282">- NYSTATIN</f>
        <v>#NAME?</v>
      </c>
      <c r="F2282" t="s">
        <v>10769</v>
      </c>
      <c r="G2282" t="s">
        <v>5301</v>
      </c>
      <c r="H2282" t="s">
        <v>10770</v>
      </c>
      <c r="I2282" t="s">
        <v>10771</v>
      </c>
      <c r="J2282" t="s">
        <v>1824</v>
      </c>
      <c r="K2282" t="s">
        <v>4677</v>
      </c>
      <c r="L2282" t="s">
        <v>321</v>
      </c>
      <c r="M2282" t="s">
        <v>340</v>
      </c>
      <c r="N2282" t="s">
        <v>1818</v>
      </c>
      <c r="O2282" t="s">
        <v>10772</v>
      </c>
      <c r="P2282" t="s">
        <v>10773</v>
      </c>
      <c r="Q2282" t="s">
        <v>10774</v>
      </c>
      <c r="R2282">
        <v>9</v>
      </c>
      <c r="S2282">
        <v>16</v>
      </c>
    </row>
    <row r="2283" spans="1:19" x14ac:dyDescent="0.35">
      <c r="A2283">
        <v>6549</v>
      </c>
      <c r="B2283" t="s">
        <v>10775</v>
      </c>
      <c r="C2283" t="s">
        <v>42</v>
      </c>
      <c r="D2283" t="s">
        <v>10776</v>
      </c>
      <c r="E2283" t="e" cm="1">
        <f t="array" ref="E2283">- NYSTATIN</f>
        <v>#NAME?</v>
      </c>
      <c r="F2283" t="s">
        <v>10777</v>
      </c>
      <c r="G2283" t="s">
        <v>10778</v>
      </c>
      <c r="H2283" t="s">
        <v>10779</v>
      </c>
      <c r="I2283" t="s">
        <v>10780</v>
      </c>
      <c r="J2283" t="s">
        <v>1824</v>
      </c>
      <c r="K2283" t="s">
        <v>2858</v>
      </c>
      <c r="L2283" t="s">
        <v>10781</v>
      </c>
      <c r="M2283" t="s">
        <v>824</v>
      </c>
      <c r="N2283" t="s">
        <v>1818</v>
      </c>
      <c r="O2283" t="s">
        <v>10782</v>
      </c>
      <c r="P2283" t="s">
        <v>10783</v>
      </c>
      <c r="Q2283" t="s">
        <v>10784</v>
      </c>
      <c r="R2283">
        <v>9</v>
      </c>
      <c r="S2283">
        <v>16</v>
      </c>
    </row>
    <row r="2284" spans="1:19" x14ac:dyDescent="0.35">
      <c r="A2284">
        <v>4714</v>
      </c>
      <c r="B2284" t="s">
        <v>10242</v>
      </c>
      <c r="C2284" t="s">
        <v>42</v>
      </c>
      <c r="D2284" t="s">
        <v>10243</v>
      </c>
      <c r="E2284" t="e" cm="1">
        <f t="array" ref="E2284">- NAPHAZOLINE HYDROCHLORIDE</f>
        <v>#NAME?</v>
      </c>
      <c r="F2284" t="s">
        <v>10244</v>
      </c>
      <c r="G2284" t="s">
        <v>10245</v>
      </c>
      <c r="H2284" t="s">
        <v>10246</v>
      </c>
      <c r="I2284" t="s">
        <v>10247</v>
      </c>
      <c r="J2284" t="s">
        <v>10248</v>
      </c>
      <c r="L2284" t="s">
        <v>10249</v>
      </c>
      <c r="M2284" t="s">
        <v>824</v>
      </c>
      <c r="N2284" t="s">
        <v>10250</v>
      </c>
      <c r="O2284" t="s">
        <v>10251</v>
      </c>
      <c r="P2284" t="s">
        <v>10252</v>
      </c>
      <c r="Q2284" t="s">
        <v>10253</v>
      </c>
      <c r="R2284">
        <v>9</v>
      </c>
      <c r="S2284">
        <v>16</v>
      </c>
    </row>
    <row r="2285" spans="1:19" x14ac:dyDescent="0.35">
      <c r="A2285">
        <v>4715</v>
      </c>
      <c r="B2285" t="s">
        <v>10242</v>
      </c>
      <c r="C2285" t="s">
        <v>42</v>
      </c>
      <c r="D2285" t="s">
        <v>10243</v>
      </c>
      <c r="E2285" t="e" cm="1">
        <f t="array" ref="E2285">- NAPHAZOLINE HYDROCHLORIDE</f>
        <v>#NAME?</v>
      </c>
      <c r="F2285" t="s">
        <v>10244</v>
      </c>
      <c r="G2285" t="s">
        <v>10245</v>
      </c>
      <c r="H2285" t="s">
        <v>10246</v>
      </c>
      <c r="I2285" t="s">
        <v>10247</v>
      </c>
      <c r="J2285" t="s">
        <v>10248</v>
      </c>
      <c r="L2285" t="s">
        <v>10249</v>
      </c>
      <c r="M2285" t="s">
        <v>824</v>
      </c>
      <c r="N2285" t="s">
        <v>10250</v>
      </c>
      <c r="O2285" t="s">
        <v>10251</v>
      </c>
      <c r="P2285" t="s">
        <v>10252</v>
      </c>
      <c r="Q2285" t="s">
        <v>10253</v>
      </c>
      <c r="R2285">
        <v>9</v>
      </c>
      <c r="S2285">
        <v>16</v>
      </c>
    </row>
    <row r="2286" spans="1:19" x14ac:dyDescent="0.35">
      <c r="A2286">
        <v>1164</v>
      </c>
      <c r="B2286" t="s">
        <v>10704</v>
      </c>
      <c r="C2286" t="s">
        <v>42</v>
      </c>
      <c r="D2286" t="s">
        <v>10705</v>
      </c>
      <c r="E2286" t="e" cm="1">
        <f t="array" ref="E2286">- PROMETHAZINE HYDROCHLORIDE</f>
        <v>#NAME?</v>
      </c>
      <c r="F2286" t="s">
        <v>10706</v>
      </c>
      <c r="G2286" t="s">
        <v>2241</v>
      </c>
      <c r="H2286" t="s">
        <v>10707</v>
      </c>
      <c r="I2286" t="s">
        <v>10708</v>
      </c>
      <c r="J2286" t="s">
        <v>334</v>
      </c>
      <c r="K2286" t="s">
        <v>10709</v>
      </c>
      <c r="L2286" t="s">
        <v>10710</v>
      </c>
      <c r="M2286" t="s">
        <v>271</v>
      </c>
      <c r="N2286" t="s">
        <v>1290</v>
      </c>
      <c r="O2286" t="s">
        <v>10711</v>
      </c>
      <c r="P2286" t="s">
        <v>10712</v>
      </c>
      <c r="Q2286" t="s">
        <v>10713</v>
      </c>
      <c r="R2286">
        <v>9</v>
      </c>
      <c r="S2286">
        <v>16</v>
      </c>
    </row>
    <row r="2287" spans="1:19" x14ac:dyDescent="0.35">
      <c r="A2287">
        <v>1916</v>
      </c>
      <c r="B2287" t="s">
        <v>10714</v>
      </c>
      <c r="C2287" t="s">
        <v>20</v>
      </c>
      <c r="D2287" t="s">
        <v>10715</v>
      </c>
      <c r="E2287" t="s">
        <v>10716</v>
      </c>
      <c r="F2287" t="s">
        <v>10717</v>
      </c>
      <c r="G2287" t="s">
        <v>2241</v>
      </c>
      <c r="H2287" t="s">
        <v>10718</v>
      </c>
      <c r="I2287" t="s">
        <v>10719</v>
      </c>
      <c r="J2287" t="s">
        <v>334</v>
      </c>
      <c r="M2287" t="s">
        <v>271</v>
      </c>
      <c r="N2287" t="s">
        <v>10720</v>
      </c>
      <c r="O2287" t="s">
        <v>10721</v>
      </c>
      <c r="P2287" t="s">
        <v>10720</v>
      </c>
      <c r="Q2287" t="s">
        <v>10722</v>
      </c>
      <c r="R2287">
        <v>9</v>
      </c>
      <c r="S2287">
        <v>16</v>
      </c>
    </row>
    <row r="2288" spans="1:19" x14ac:dyDescent="0.35">
      <c r="A2288">
        <v>4909</v>
      </c>
      <c r="B2288" t="s">
        <v>1362</v>
      </c>
      <c r="C2288" t="s">
        <v>42</v>
      </c>
      <c r="D2288" t="s">
        <v>10785</v>
      </c>
      <c r="E2288" t="e" cm="1">
        <f t="array" ref="E2288">- CLINDAMYCIN PHOSPHATE</f>
        <v>#NAME?</v>
      </c>
      <c r="F2288" t="s">
        <v>10786</v>
      </c>
      <c r="G2288" t="s">
        <v>10787</v>
      </c>
      <c r="H2288" t="s">
        <v>1366</v>
      </c>
      <c r="I2288" t="s">
        <v>10788</v>
      </c>
      <c r="J2288" t="s">
        <v>10789</v>
      </c>
      <c r="K2288" t="s">
        <v>10790</v>
      </c>
      <c r="L2288" t="s">
        <v>10791</v>
      </c>
      <c r="M2288" t="s">
        <v>87</v>
      </c>
      <c r="N2288" t="s">
        <v>1370</v>
      </c>
      <c r="O2288" t="s">
        <v>10792</v>
      </c>
      <c r="P2288" t="s">
        <v>1371</v>
      </c>
      <c r="Q2288" t="s">
        <v>10793</v>
      </c>
      <c r="R2288">
        <v>9</v>
      </c>
      <c r="S2288">
        <v>16</v>
      </c>
    </row>
    <row r="2289" spans="1:19" x14ac:dyDescent="0.35">
      <c r="A2289">
        <v>4910</v>
      </c>
      <c r="B2289" t="s">
        <v>1362</v>
      </c>
      <c r="C2289" t="s">
        <v>42</v>
      </c>
      <c r="D2289" t="s">
        <v>10785</v>
      </c>
      <c r="E2289" t="e" cm="1">
        <f t="array" ref="E2289">- CLINDAMYCIN PHOSPHATE</f>
        <v>#NAME?</v>
      </c>
      <c r="F2289" t="s">
        <v>10786</v>
      </c>
      <c r="G2289" t="s">
        <v>10787</v>
      </c>
      <c r="H2289" t="s">
        <v>1366</v>
      </c>
      <c r="I2289" t="s">
        <v>10788</v>
      </c>
      <c r="J2289" t="s">
        <v>10789</v>
      </c>
      <c r="K2289" t="s">
        <v>10790</v>
      </c>
      <c r="L2289" t="s">
        <v>10791</v>
      </c>
      <c r="M2289" t="s">
        <v>87</v>
      </c>
      <c r="N2289" t="s">
        <v>1370</v>
      </c>
      <c r="O2289" t="s">
        <v>10792</v>
      </c>
      <c r="P2289" t="s">
        <v>1371</v>
      </c>
      <c r="Q2289" t="s">
        <v>10793</v>
      </c>
      <c r="R2289">
        <v>9</v>
      </c>
      <c r="S2289">
        <v>16</v>
      </c>
    </row>
    <row r="2290" spans="1:19" x14ac:dyDescent="0.35">
      <c r="A2290">
        <v>9889</v>
      </c>
      <c r="B2290" t="s">
        <v>10794</v>
      </c>
      <c r="C2290" t="s">
        <v>42</v>
      </c>
      <c r="D2290" t="s">
        <v>10795</v>
      </c>
      <c r="E2290" t="e" cm="1">
        <f t="array" ref="E2290">- WARFARIN SODIUM CLATHRATE</f>
        <v>#NAME?</v>
      </c>
      <c r="F2290" t="s">
        <v>10796</v>
      </c>
      <c r="G2290" t="s">
        <v>4545</v>
      </c>
      <c r="H2290" t="s">
        <v>10797</v>
      </c>
      <c r="I2290" t="s">
        <v>10798</v>
      </c>
      <c r="J2290" t="s">
        <v>381</v>
      </c>
      <c r="K2290" t="s">
        <v>10799</v>
      </c>
      <c r="L2290" t="s">
        <v>10800</v>
      </c>
      <c r="M2290" t="s">
        <v>46</v>
      </c>
      <c r="N2290" t="s">
        <v>10801</v>
      </c>
      <c r="O2290" t="s">
        <v>10802</v>
      </c>
      <c r="P2290" t="s">
        <v>10803</v>
      </c>
      <c r="Q2290" t="s">
        <v>10804</v>
      </c>
      <c r="R2290">
        <v>9</v>
      </c>
      <c r="S2290">
        <v>16</v>
      </c>
    </row>
    <row r="2291" spans="1:19" x14ac:dyDescent="0.35">
      <c r="A2291">
        <v>3417</v>
      </c>
      <c r="B2291" t="s">
        <v>4274</v>
      </c>
      <c r="C2291" t="s">
        <v>42</v>
      </c>
      <c r="D2291" t="s">
        <v>4275</v>
      </c>
      <c r="E2291" t="e" cm="1">
        <f t="array" ref="E2291">- MAGNESIUM HYDROXIDE. DRIED ALUMINIUM HYDROXIDE GEL. SIMETHICONE</f>
        <v>#NAME?</v>
      </c>
      <c r="F2291" t="s">
        <v>4276</v>
      </c>
      <c r="J2291" t="s">
        <v>381</v>
      </c>
      <c r="M2291" t="s">
        <v>46</v>
      </c>
      <c r="N2291" t="s">
        <v>10805</v>
      </c>
      <c r="P2291" t="s">
        <v>4277</v>
      </c>
      <c r="Q2291" t="s">
        <v>10806</v>
      </c>
      <c r="R2291">
        <v>9</v>
      </c>
      <c r="S2291">
        <v>16</v>
      </c>
    </row>
    <row r="2292" spans="1:19" x14ac:dyDescent="0.35">
      <c r="A2292">
        <v>4911</v>
      </c>
      <c r="B2292" t="s">
        <v>1362</v>
      </c>
      <c r="C2292" t="s">
        <v>42</v>
      </c>
      <c r="D2292" t="s">
        <v>10785</v>
      </c>
      <c r="E2292" t="e" cm="1">
        <f t="array" ref="E2292">- CLINDAMYCIN PHOSPHATE</f>
        <v>#NAME?</v>
      </c>
      <c r="F2292" t="s">
        <v>10786</v>
      </c>
      <c r="G2292" t="s">
        <v>10787</v>
      </c>
      <c r="H2292" t="s">
        <v>1366</v>
      </c>
      <c r="I2292" t="s">
        <v>10788</v>
      </c>
      <c r="J2292" t="s">
        <v>10789</v>
      </c>
      <c r="K2292" t="s">
        <v>10790</v>
      </c>
      <c r="L2292" t="s">
        <v>10791</v>
      </c>
      <c r="M2292" t="s">
        <v>87</v>
      </c>
      <c r="N2292" t="s">
        <v>1370</v>
      </c>
      <c r="O2292" t="s">
        <v>10792</v>
      </c>
      <c r="P2292" t="s">
        <v>1371</v>
      </c>
      <c r="Q2292" t="s">
        <v>10793</v>
      </c>
      <c r="R2292">
        <v>9</v>
      </c>
      <c r="S2292">
        <v>16</v>
      </c>
    </row>
    <row r="2293" spans="1:19" x14ac:dyDescent="0.35">
      <c r="A2293">
        <v>4912</v>
      </c>
      <c r="B2293" t="s">
        <v>1362</v>
      </c>
      <c r="C2293" t="s">
        <v>42</v>
      </c>
      <c r="D2293" t="s">
        <v>10785</v>
      </c>
      <c r="E2293" t="e" cm="1">
        <f t="array" ref="E2293">- CLINDAMYCIN PHOSPHATE</f>
        <v>#NAME?</v>
      </c>
      <c r="F2293" t="s">
        <v>10786</v>
      </c>
      <c r="G2293" t="s">
        <v>10787</v>
      </c>
      <c r="H2293" t="s">
        <v>1366</v>
      </c>
      <c r="I2293" t="s">
        <v>10788</v>
      </c>
      <c r="J2293" t="s">
        <v>10789</v>
      </c>
      <c r="K2293" t="s">
        <v>10790</v>
      </c>
      <c r="L2293" t="s">
        <v>10791</v>
      </c>
      <c r="M2293" t="s">
        <v>87</v>
      </c>
      <c r="N2293" t="s">
        <v>1370</v>
      </c>
      <c r="O2293" t="s">
        <v>10792</v>
      </c>
      <c r="P2293" t="s">
        <v>1371</v>
      </c>
      <c r="Q2293" t="s">
        <v>10793</v>
      </c>
      <c r="R2293">
        <v>9</v>
      </c>
      <c r="S2293">
        <v>16</v>
      </c>
    </row>
    <row r="2294" spans="1:19" x14ac:dyDescent="0.35">
      <c r="A2294">
        <v>3413</v>
      </c>
      <c r="B2294" t="s">
        <v>1948</v>
      </c>
      <c r="C2294" t="s">
        <v>20</v>
      </c>
      <c r="D2294" t="s">
        <v>10807</v>
      </c>
      <c r="E2294" t="s">
        <v>1950</v>
      </c>
      <c r="F2294" t="s">
        <v>10808</v>
      </c>
      <c r="G2294" t="s">
        <v>2241</v>
      </c>
      <c r="H2294" t="s">
        <v>10809</v>
      </c>
    </row>
    <row r="2295" spans="1:19" x14ac:dyDescent="0.35">
      <c r="A2295">
        <v>3412</v>
      </c>
      <c r="B2295" t="s">
        <v>1948</v>
      </c>
      <c r="C2295" t="s">
        <v>20</v>
      </c>
      <c r="D2295" t="s">
        <v>10807</v>
      </c>
      <c r="E2295" t="s">
        <v>1950</v>
      </c>
      <c r="F2295" t="s">
        <v>10808</v>
      </c>
      <c r="G2295" t="s">
        <v>2241</v>
      </c>
      <c r="H2295" t="s">
        <v>10809</v>
      </c>
    </row>
    <row r="2296" spans="1:19" x14ac:dyDescent="0.35">
      <c r="A2296">
        <v>280</v>
      </c>
      <c r="B2296" t="s">
        <v>10649</v>
      </c>
      <c r="C2296" t="s">
        <v>42</v>
      </c>
      <c r="D2296" t="s">
        <v>10650</v>
      </c>
      <c r="E2296" t="e" cm="1">
        <f t="array" ref="E2296">- TADALAFIL</f>
        <v>#NAME?</v>
      </c>
      <c r="F2296" t="s">
        <v>10651</v>
      </c>
      <c r="G2296" t="s">
        <v>10652</v>
      </c>
      <c r="H2296" t="s">
        <v>10653</v>
      </c>
      <c r="I2296" t="s">
        <v>8242</v>
      </c>
      <c r="J2296" t="s">
        <v>10654</v>
      </c>
      <c r="K2296" t="s">
        <v>10655</v>
      </c>
      <c r="L2296" t="s">
        <v>10390</v>
      </c>
      <c r="M2296" t="s">
        <v>8254</v>
      </c>
      <c r="N2296" t="s">
        <v>10656</v>
      </c>
      <c r="O2296" t="s">
        <v>8246</v>
      </c>
      <c r="P2296" t="s">
        <v>10657</v>
      </c>
      <c r="Q2296" t="s">
        <v>10658</v>
      </c>
      <c r="R2296">
        <v>9</v>
      </c>
      <c r="S2296">
        <v>16</v>
      </c>
    </row>
    <row r="2297" spans="1:19" x14ac:dyDescent="0.35">
      <c r="A2297">
        <v>21</v>
      </c>
      <c r="B2297" t="s">
        <v>2902</v>
      </c>
      <c r="C2297" t="s">
        <v>42</v>
      </c>
      <c r="D2297" t="s">
        <v>10810</v>
      </c>
      <c r="E2297" t="e" cm="1">
        <f t="array" ref="E2297">- SILDENAFIL CITRATE</f>
        <v>#NAME?</v>
      </c>
      <c r="F2297" s="1">
        <v>46000</v>
      </c>
      <c r="G2297" t="s">
        <v>8185</v>
      </c>
      <c r="H2297" t="s">
        <v>3854</v>
      </c>
      <c r="I2297" t="s">
        <v>8186</v>
      </c>
      <c r="J2297" t="s">
        <v>8187</v>
      </c>
      <c r="L2297" t="s">
        <v>8188</v>
      </c>
      <c r="M2297" t="s">
        <v>46</v>
      </c>
      <c r="N2297" t="s">
        <v>2519</v>
      </c>
      <c r="O2297" t="s">
        <v>8189</v>
      </c>
      <c r="P2297" t="s">
        <v>10811</v>
      </c>
      <c r="Q2297" t="s">
        <v>10812</v>
      </c>
      <c r="R2297">
        <v>9</v>
      </c>
      <c r="S2297">
        <v>16</v>
      </c>
    </row>
    <row r="2298" spans="1:19" x14ac:dyDescent="0.35">
      <c r="A2298">
        <v>6548</v>
      </c>
      <c r="B2298" t="s">
        <v>10775</v>
      </c>
      <c r="C2298" t="s">
        <v>42</v>
      </c>
      <c r="D2298" t="s">
        <v>10776</v>
      </c>
      <c r="E2298" t="e" cm="1">
        <f t="array" ref="E2298">- NYSTATIN</f>
        <v>#NAME?</v>
      </c>
      <c r="F2298" t="s">
        <v>10777</v>
      </c>
      <c r="G2298" t="s">
        <v>10778</v>
      </c>
      <c r="H2298" t="s">
        <v>10779</v>
      </c>
      <c r="I2298" t="s">
        <v>10780</v>
      </c>
      <c r="J2298" t="s">
        <v>1824</v>
      </c>
      <c r="K2298" t="s">
        <v>2858</v>
      </c>
      <c r="L2298" t="s">
        <v>10781</v>
      </c>
      <c r="M2298" t="s">
        <v>824</v>
      </c>
      <c r="N2298" t="s">
        <v>1818</v>
      </c>
      <c r="O2298" t="s">
        <v>10782</v>
      </c>
      <c r="P2298" t="s">
        <v>10783</v>
      </c>
      <c r="Q2298" t="s">
        <v>10784</v>
      </c>
      <c r="R2298">
        <v>9</v>
      </c>
      <c r="S2298">
        <v>16</v>
      </c>
    </row>
    <row r="2299" spans="1:19" x14ac:dyDescent="0.35">
      <c r="A2299">
        <v>23</v>
      </c>
      <c r="B2299" t="s">
        <v>2902</v>
      </c>
      <c r="C2299" t="s">
        <v>42</v>
      </c>
      <c r="D2299" t="s">
        <v>10813</v>
      </c>
      <c r="E2299" t="e" cm="1">
        <f t="array" ref="E2299">- SILDENAFIL CITRATE</f>
        <v>#NAME?</v>
      </c>
      <c r="F2299" t="s">
        <v>10814</v>
      </c>
      <c r="G2299" t="s">
        <v>8185</v>
      </c>
      <c r="H2299" t="s">
        <v>3854</v>
      </c>
      <c r="I2299" t="s">
        <v>8186</v>
      </c>
      <c r="J2299" t="s">
        <v>8169</v>
      </c>
      <c r="L2299" t="s">
        <v>8188</v>
      </c>
      <c r="M2299" t="s">
        <v>46</v>
      </c>
      <c r="N2299" t="s">
        <v>2519</v>
      </c>
      <c r="O2299" t="s">
        <v>8189</v>
      </c>
      <c r="P2299" t="s">
        <v>10815</v>
      </c>
      <c r="Q2299" t="s">
        <v>10816</v>
      </c>
      <c r="R2299">
        <v>9</v>
      </c>
      <c r="S2299">
        <v>16</v>
      </c>
    </row>
    <row r="2300" spans="1:19" x14ac:dyDescent="0.35">
      <c r="A2300">
        <v>2036</v>
      </c>
      <c r="B2300" t="s">
        <v>10695</v>
      </c>
      <c r="C2300" t="s">
        <v>20</v>
      </c>
      <c r="D2300" t="s">
        <v>10696</v>
      </c>
      <c r="E2300" t="s">
        <v>10697</v>
      </c>
      <c r="F2300" t="s">
        <v>10698</v>
      </c>
      <c r="G2300" t="s">
        <v>5746</v>
      </c>
      <c r="H2300" t="s">
        <v>10699</v>
      </c>
      <c r="I2300" t="s">
        <v>10700</v>
      </c>
      <c r="J2300" t="s">
        <v>614</v>
      </c>
      <c r="M2300" t="s">
        <v>271</v>
      </c>
      <c r="N2300" t="s">
        <v>10701</v>
      </c>
      <c r="O2300" t="s">
        <v>10702</v>
      </c>
      <c r="P2300" t="s">
        <v>10701</v>
      </c>
      <c r="Q2300" t="s">
        <v>10703</v>
      </c>
      <c r="R2300">
        <v>9</v>
      </c>
      <c r="S2300">
        <v>16</v>
      </c>
    </row>
    <row r="2301" spans="1:19" x14ac:dyDescent="0.35">
      <c r="A2301">
        <v>4138</v>
      </c>
      <c r="B2301" t="s">
        <v>10817</v>
      </c>
      <c r="C2301" t="s">
        <v>42</v>
      </c>
      <c r="D2301" t="s">
        <v>10818</v>
      </c>
      <c r="E2301" t="e" cm="1">
        <f t="array" ref="E2301">- BETAMETHASONE</f>
        <v>#NAME?</v>
      </c>
      <c r="F2301" t="s">
        <v>10819</v>
      </c>
      <c r="G2301" t="s">
        <v>2241</v>
      </c>
      <c r="H2301" t="s">
        <v>10820</v>
      </c>
      <c r="I2301" t="s">
        <v>10821</v>
      </c>
      <c r="J2301" t="s">
        <v>945</v>
      </c>
      <c r="K2301" t="s">
        <v>10822</v>
      </c>
      <c r="L2301" t="s">
        <v>10823</v>
      </c>
      <c r="M2301" t="s">
        <v>271</v>
      </c>
      <c r="N2301" t="s">
        <v>1118</v>
      </c>
      <c r="O2301" t="s">
        <v>10824</v>
      </c>
      <c r="P2301" t="s">
        <v>10825</v>
      </c>
      <c r="Q2301" t="s">
        <v>10826</v>
      </c>
      <c r="R2301">
        <v>9</v>
      </c>
      <c r="S2301">
        <v>16</v>
      </c>
    </row>
    <row r="2302" spans="1:19" x14ac:dyDescent="0.35">
      <c r="A2302">
        <v>39</v>
      </c>
      <c r="B2302" t="s">
        <v>2902</v>
      </c>
      <c r="C2302" t="s">
        <v>42</v>
      </c>
      <c r="D2302" t="s">
        <v>8996</v>
      </c>
      <c r="E2302" t="e" cm="1">
        <f t="array" ref="E2302">- SILDENAFIL CITRATE</f>
        <v>#NAME?</v>
      </c>
      <c r="F2302" t="s">
        <v>8997</v>
      </c>
      <c r="G2302" t="s">
        <v>8185</v>
      </c>
      <c r="H2302" t="s">
        <v>1322</v>
      </c>
      <c r="I2302" t="s">
        <v>8186</v>
      </c>
      <c r="J2302" t="s">
        <v>8479</v>
      </c>
      <c r="M2302" t="s">
        <v>46</v>
      </c>
      <c r="N2302" t="s">
        <v>2519</v>
      </c>
      <c r="O2302" t="s">
        <v>8189</v>
      </c>
      <c r="P2302" t="s">
        <v>8994</v>
      </c>
      <c r="Q2302" t="s">
        <v>10344</v>
      </c>
      <c r="R2302">
        <v>9</v>
      </c>
      <c r="S2302">
        <v>16</v>
      </c>
    </row>
    <row r="2303" spans="1:19" x14ac:dyDescent="0.35">
      <c r="A2303">
        <v>3562</v>
      </c>
      <c r="B2303" t="s">
        <v>10827</v>
      </c>
      <c r="C2303" t="s">
        <v>42</v>
      </c>
      <c r="D2303" t="s">
        <v>10828</v>
      </c>
      <c r="E2303" t="e" cm="1">
        <f t="array" ref="E2303">- DOMPERIDONE</f>
        <v>#NAME?</v>
      </c>
      <c r="F2303" t="s">
        <v>10829</v>
      </c>
      <c r="G2303" t="s">
        <v>10502</v>
      </c>
      <c r="H2303" t="s">
        <v>10830</v>
      </c>
      <c r="I2303" t="s">
        <v>10831</v>
      </c>
      <c r="J2303" t="s">
        <v>1647</v>
      </c>
      <c r="K2303" t="s">
        <v>10832</v>
      </c>
      <c r="L2303" t="s">
        <v>10833</v>
      </c>
      <c r="M2303" t="s">
        <v>824</v>
      </c>
      <c r="N2303" t="s">
        <v>341</v>
      </c>
      <c r="O2303" t="s">
        <v>10834</v>
      </c>
      <c r="P2303" t="s">
        <v>10835</v>
      </c>
      <c r="Q2303" t="s">
        <v>10836</v>
      </c>
      <c r="R2303">
        <v>9</v>
      </c>
      <c r="S2303">
        <v>16</v>
      </c>
    </row>
    <row r="2304" spans="1:19" x14ac:dyDescent="0.35">
      <c r="A2304">
        <v>6384</v>
      </c>
      <c r="B2304" t="s">
        <v>10837</v>
      </c>
      <c r="C2304" t="s">
        <v>42</v>
      </c>
      <c r="D2304" t="s">
        <v>10838</v>
      </c>
      <c r="E2304" t="e" cm="1">
        <f t="array" ref="E2304">- PYRAZINAMIDE</f>
        <v>#NAME?</v>
      </c>
      <c r="F2304" t="s">
        <v>10839</v>
      </c>
      <c r="G2304" t="s">
        <v>8054</v>
      </c>
      <c r="H2304" t="s">
        <v>10840</v>
      </c>
      <c r="I2304" t="s">
        <v>10841</v>
      </c>
      <c r="J2304" t="s">
        <v>5221</v>
      </c>
      <c r="L2304" t="s">
        <v>10842</v>
      </c>
      <c r="M2304" t="s">
        <v>46</v>
      </c>
      <c r="N2304" t="s">
        <v>1839</v>
      </c>
      <c r="O2304" t="s">
        <v>10843</v>
      </c>
      <c r="P2304" t="s">
        <v>10844</v>
      </c>
      <c r="Q2304" t="s">
        <v>10845</v>
      </c>
      <c r="R2304">
        <v>9</v>
      </c>
      <c r="S2304">
        <v>16</v>
      </c>
    </row>
    <row r="2305" spans="1:19" x14ac:dyDescent="0.35">
      <c r="A2305">
        <v>3561</v>
      </c>
      <c r="B2305" t="s">
        <v>10827</v>
      </c>
      <c r="C2305" t="s">
        <v>42</v>
      </c>
      <c r="D2305" t="s">
        <v>10828</v>
      </c>
      <c r="E2305" t="e" cm="1">
        <f t="array" ref="E2305">- DOMPERIDONE</f>
        <v>#NAME?</v>
      </c>
      <c r="F2305" t="s">
        <v>10829</v>
      </c>
      <c r="G2305" t="s">
        <v>10502</v>
      </c>
      <c r="H2305" t="s">
        <v>10830</v>
      </c>
      <c r="I2305" t="s">
        <v>10831</v>
      </c>
      <c r="J2305" t="s">
        <v>1647</v>
      </c>
      <c r="K2305" t="s">
        <v>10832</v>
      </c>
      <c r="L2305" t="s">
        <v>10833</v>
      </c>
      <c r="M2305" t="s">
        <v>824</v>
      </c>
      <c r="N2305" t="s">
        <v>341</v>
      </c>
      <c r="O2305" t="s">
        <v>10834</v>
      </c>
      <c r="P2305" t="s">
        <v>10835</v>
      </c>
      <c r="Q2305" t="s">
        <v>10836</v>
      </c>
      <c r="R2305">
        <v>9</v>
      </c>
      <c r="S2305">
        <v>16</v>
      </c>
    </row>
    <row r="2306" spans="1:19" x14ac:dyDescent="0.35">
      <c r="A2306">
        <v>1151</v>
      </c>
      <c r="B2306" t="s">
        <v>10846</v>
      </c>
      <c r="C2306" t="s">
        <v>42</v>
      </c>
      <c r="D2306" t="s">
        <v>10847</v>
      </c>
      <c r="E2306" t="e" cm="1">
        <f t="array" ref="E2306">- GUAIFENESIN</f>
        <v>#NAME?</v>
      </c>
      <c r="F2306" t="s">
        <v>10848</v>
      </c>
      <c r="G2306" t="s">
        <v>2241</v>
      </c>
      <c r="H2306" t="s">
        <v>10849</v>
      </c>
      <c r="I2306" t="s">
        <v>10850</v>
      </c>
      <c r="J2306" t="s">
        <v>334</v>
      </c>
      <c r="K2306" t="s">
        <v>10851</v>
      </c>
      <c r="L2306" t="s">
        <v>10852</v>
      </c>
    </row>
    <row r="2307" spans="1:19" x14ac:dyDescent="0.35">
      <c r="A2307">
        <v>7728</v>
      </c>
      <c r="B2307" t="s">
        <v>10853</v>
      </c>
      <c r="C2307" t="s">
        <v>20</v>
      </c>
      <c r="D2307" t="s">
        <v>10854</v>
      </c>
      <c r="E2307" t="s">
        <v>10855</v>
      </c>
      <c r="F2307" t="s">
        <v>10856</v>
      </c>
      <c r="G2307" t="s">
        <v>10857</v>
      </c>
      <c r="H2307" t="s">
        <v>10858</v>
      </c>
      <c r="I2307" t="s">
        <v>10859</v>
      </c>
      <c r="J2307" t="s">
        <v>10860</v>
      </c>
      <c r="M2307" t="s">
        <v>38</v>
      </c>
      <c r="N2307" t="s">
        <v>10861</v>
      </c>
      <c r="O2307" t="s">
        <v>5759</v>
      </c>
      <c r="P2307" t="s">
        <v>10861</v>
      </c>
      <c r="Q2307" t="s">
        <v>10862</v>
      </c>
      <c r="R2307">
        <v>9</v>
      </c>
      <c r="S2307">
        <v>16</v>
      </c>
    </row>
    <row r="2308" spans="1:19" x14ac:dyDescent="0.35">
      <c r="A2308">
        <v>2126</v>
      </c>
      <c r="B2308" t="s">
        <v>10863</v>
      </c>
      <c r="C2308" t="s">
        <v>42</v>
      </c>
      <c r="D2308" t="s">
        <v>10864</v>
      </c>
      <c r="E2308" t="e" cm="1">
        <f t="array" ref="E2308">- HYOSCYAMINE</f>
        <v>#NAME?</v>
      </c>
      <c r="F2308" t="s">
        <v>10865</v>
      </c>
      <c r="G2308" t="s">
        <v>2241</v>
      </c>
      <c r="H2308" t="s">
        <v>10866</v>
      </c>
      <c r="I2308" t="s">
        <v>10867</v>
      </c>
      <c r="J2308" t="s">
        <v>6169</v>
      </c>
      <c r="K2308" t="s">
        <v>10868</v>
      </c>
      <c r="L2308" t="s">
        <v>10869</v>
      </c>
      <c r="M2308" t="s">
        <v>46</v>
      </c>
      <c r="N2308" t="s">
        <v>10870</v>
      </c>
      <c r="O2308" t="s">
        <v>10871</v>
      </c>
      <c r="P2308" t="s">
        <v>10872</v>
      </c>
      <c r="Q2308" t="s">
        <v>10873</v>
      </c>
      <c r="R2308">
        <v>9</v>
      </c>
      <c r="S2308">
        <v>16</v>
      </c>
    </row>
    <row r="2309" spans="1:19" x14ac:dyDescent="0.35">
      <c r="A2309">
        <v>41</v>
      </c>
      <c r="B2309" t="s">
        <v>2902</v>
      </c>
      <c r="C2309" t="s">
        <v>42</v>
      </c>
      <c r="D2309" t="s">
        <v>10874</v>
      </c>
      <c r="E2309" t="e" cm="1">
        <f t="array" ref="E2309">- SILDENAFIL CITRATE</f>
        <v>#NAME?</v>
      </c>
      <c r="F2309" t="s">
        <v>10875</v>
      </c>
      <c r="G2309" t="s">
        <v>8185</v>
      </c>
      <c r="H2309" t="s">
        <v>3854</v>
      </c>
      <c r="I2309" t="s">
        <v>8186</v>
      </c>
      <c r="J2309" t="s">
        <v>10876</v>
      </c>
      <c r="L2309" t="s">
        <v>8188</v>
      </c>
      <c r="M2309" t="s">
        <v>46</v>
      </c>
      <c r="N2309" t="s">
        <v>2519</v>
      </c>
      <c r="O2309" t="s">
        <v>8189</v>
      </c>
      <c r="P2309" t="s">
        <v>10877</v>
      </c>
      <c r="Q2309" t="s">
        <v>10878</v>
      </c>
      <c r="R2309">
        <v>9</v>
      </c>
      <c r="S2309">
        <v>16</v>
      </c>
    </row>
    <row r="2310" spans="1:19" x14ac:dyDescent="0.35">
      <c r="A2310">
        <v>7942</v>
      </c>
      <c r="B2310" t="s">
        <v>10879</v>
      </c>
      <c r="C2310" t="s">
        <v>20</v>
      </c>
      <c r="D2310" t="s">
        <v>10880</v>
      </c>
      <c r="E2310" t="s">
        <v>10881</v>
      </c>
      <c r="F2310" t="s">
        <v>10882</v>
      </c>
      <c r="G2310" t="s">
        <v>5610</v>
      </c>
      <c r="H2310" t="s">
        <v>10883</v>
      </c>
      <c r="I2310" t="s">
        <v>10884</v>
      </c>
      <c r="J2310" t="s">
        <v>107</v>
      </c>
      <c r="L2310" t="s">
        <v>10885</v>
      </c>
      <c r="M2310" t="s">
        <v>38</v>
      </c>
      <c r="N2310" t="s">
        <v>10886</v>
      </c>
      <c r="O2310" t="s">
        <v>10887</v>
      </c>
      <c r="P2310" t="s">
        <v>10886</v>
      </c>
      <c r="Q2310" t="s">
        <v>10888</v>
      </c>
      <c r="R2310">
        <v>9</v>
      </c>
      <c r="S2310">
        <v>16</v>
      </c>
    </row>
    <row r="2311" spans="1:19" x14ac:dyDescent="0.35">
      <c r="A2311">
        <v>238</v>
      </c>
      <c r="B2311" t="s">
        <v>10889</v>
      </c>
      <c r="C2311" t="s">
        <v>42</v>
      </c>
      <c r="D2311" t="s">
        <v>10890</v>
      </c>
      <c r="E2311" t="e" cm="1">
        <f t="array" ref="E2311">- SILDENAFIL CITRATE</f>
        <v>#NAME?</v>
      </c>
      <c r="F2311" t="s">
        <v>10891</v>
      </c>
      <c r="G2311" t="s">
        <v>8240</v>
      </c>
      <c r="H2311" t="s">
        <v>8241</v>
      </c>
      <c r="I2311" t="s">
        <v>8242</v>
      </c>
      <c r="J2311" t="s">
        <v>10892</v>
      </c>
      <c r="K2311" t="s">
        <v>8252</v>
      </c>
      <c r="L2311" t="s">
        <v>8253</v>
      </c>
      <c r="M2311" t="s">
        <v>46</v>
      </c>
      <c r="N2311" t="s">
        <v>2519</v>
      </c>
      <c r="O2311" t="s">
        <v>8246</v>
      </c>
      <c r="P2311" t="s">
        <v>10893</v>
      </c>
      <c r="Q2311" t="s">
        <v>10894</v>
      </c>
      <c r="R2311">
        <v>9</v>
      </c>
      <c r="S2311">
        <v>16</v>
      </c>
    </row>
    <row r="2312" spans="1:19" x14ac:dyDescent="0.35">
      <c r="A2312">
        <v>239</v>
      </c>
      <c r="B2312" t="s">
        <v>10889</v>
      </c>
      <c r="C2312" t="s">
        <v>42</v>
      </c>
      <c r="D2312" t="s">
        <v>10890</v>
      </c>
      <c r="E2312" t="e" cm="1">
        <f t="array" ref="E2312">- SILDENAFIL CITRATE</f>
        <v>#NAME?</v>
      </c>
      <c r="F2312" t="s">
        <v>10891</v>
      </c>
      <c r="G2312" t="s">
        <v>8240</v>
      </c>
      <c r="H2312" t="s">
        <v>8241</v>
      </c>
      <c r="I2312" t="s">
        <v>8242</v>
      </c>
      <c r="J2312" t="s">
        <v>10892</v>
      </c>
      <c r="K2312" t="s">
        <v>8252</v>
      </c>
      <c r="L2312" t="s">
        <v>8253</v>
      </c>
      <c r="M2312" t="s">
        <v>46</v>
      </c>
      <c r="N2312" t="s">
        <v>2519</v>
      </c>
      <c r="O2312" t="s">
        <v>8246</v>
      </c>
      <c r="P2312" t="s">
        <v>10893</v>
      </c>
      <c r="Q2312" t="s">
        <v>10894</v>
      </c>
      <c r="R2312">
        <v>9</v>
      </c>
      <c r="S2312">
        <v>16</v>
      </c>
    </row>
    <row r="2313" spans="1:19" x14ac:dyDescent="0.35">
      <c r="A2313">
        <v>50</v>
      </c>
      <c r="B2313" t="s">
        <v>2902</v>
      </c>
      <c r="C2313" t="s">
        <v>42</v>
      </c>
      <c r="D2313" t="s">
        <v>10895</v>
      </c>
      <c r="E2313" t="e" cm="1">
        <f t="array" ref="E2313">- SILDENAFIL CITRATE</f>
        <v>#NAME?</v>
      </c>
      <c r="F2313" s="1">
        <v>178900</v>
      </c>
      <c r="G2313" t="s">
        <v>8185</v>
      </c>
      <c r="H2313" t="s">
        <v>3854</v>
      </c>
      <c r="I2313" t="s">
        <v>8186</v>
      </c>
      <c r="J2313" t="s">
        <v>10896</v>
      </c>
      <c r="L2313" t="s">
        <v>8188</v>
      </c>
      <c r="M2313" t="s">
        <v>46</v>
      </c>
      <c r="N2313" t="s">
        <v>2519</v>
      </c>
      <c r="O2313" t="s">
        <v>8189</v>
      </c>
      <c r="P2313" t="s">
        <v>10811</v>
      </c>
      <c r="Q2313" t="s">
        <v>10812</v>
      </c>
      <c r="R2313">
        <v>9</v>
      </c>
      <c r="S2313">
        <v>16</v>
      </c>
    </row>
    <row r="2314" spans="1:19" x14ac:dyDescent="0.35">
      <c r="A2314">
        <v>2125</v>
      </c>
      <c r="B2314" t="s">
        <v>10863</v>
      </c>
      <c r="C2314" t="s">
        <v>42</v>
      </c>
      <c r="D2314" t="s">
        <v>10864</v>
      </c>
      <c r="E2314" t="e" cm="1">
        <f t="array" ref="E2314">- HYOSCYAMINE</f>
        <v>#NAME?</v>
      </c>
      <c r="F2314" t="s">
        <v>10865</v>
      </c>
      <c r="G2314" t="s">
        <v>2241</v>
      </c>
      <c r="H2314" t="s">
        <v>10866</v>
      </c>
      <c r="I2314" t="s">
        <v>10867</v>
      </c>
      <c r="J2314" t="s">
        <v>6169</v>
      </c>
      <c r="K2314" t="s">
        <v>10868</v>
      </c>
      <c r="L2314" t="s">
        <v>10869</v>
      </c>
      <c r="M2314" t="s">
        <v>46</v>
      </c>
      <c r="N2314" t="s">
        <v>10870</v>
      </c>
      <c r="O2314" t="s">
        <v>10871</v>
      </c>
      <c r="P2314" t="s">
        <v>10872</v>
      </c>
      <c r="Q2314" t="s">
        <v>10873</v>
      </c>
      <c r="R2314">
        <v>9</v>
      </c>
      <c r="S2314">
        <v>16</v>
      </c>
    </row>
    <row r="2315" spans="1:19" x14ac:dyDescent="0.35">
      <c r="A2315">
        <v>7</v>
      </c>
      <c r="B2315" t="s">
        <v>10897</v>
      </c>
      <c r="C2315" t="s">
        <v>42</v>
      </c>
      <c r="D2315" t="s">
        <v>10898</v>
      </c>
      <c r="E2315" t="e" cm="1">
        <f t="array" ref="E2315">- SILDENAFIL CITRATE</f>
        <v>#NAME?</v>
      </c>
      <c r="F2315" t="s">
        <v>10899</v>
      </c>
      <c r="G2315" t="s">
        <v>8240</v>
      </c>
      <c r="H2315" t="s">
        <v>8241</v>
      </c>
      <c r="I2315" t="s">
        <v>10900</v>
      </c>
      <c r="J2315" t="s">
        <v>10901</v>
      </c>
      <c r="K2315" t="s">
        <v>10902</v>
      </c>
      <c r="L2315" t="s">
        <v>10903</v>
      </c>
      <c r="M2315" t="s">
        <v>46</v>
      </c>
      <c r="N2315" t="s">
        <v>2519</v>
      </c>
      <c r="O2315" t="s">
        <v>10904</v>
      </c>
      <c r="P2315" t="s">
        <v>10391</v>
      </c>
      <c r="Q2315" t="s">
        <v>10905</v>
      </c>
      <c r="R2315">
        <v>9</v>
      </c>
      <c r="S2315">
        <v>16</v>
      </c>
    </row>
    <row r="2316" spans="1:19" x14ac:dyDescent="0.35">
      <c r="A2316">
        <v>6649</v>
      </c>
      <c r="B2316" t="s">
        <v>10906</v>
      </c>
      <c r="C2316" t="s">
        <v>42</v>
      </c>
      <c r="D2316" t="s">
        <v>10907</v>
      </c>
      <c r="E2316" t="e" cm="1">
        <f t="array" ref="E2316">- ACICLOVIR</f>
        <v>#NAME?</v>
      </c>
      <c r="F2316" t="s">
        <v>10908</v>
      </c>
      <c r="G2316" t="s">
        <v>539</v>
      </c>
      <c r="H2316" t="s">
        <v>10909</v>
      </c>
    </row>
    <row r="2317" spans="1:19" x14ac:dyDescent="0.35">
      <c r="A2317">
        <v>1400</v>
      </c>
      <c r="B2317" t="s">
        <v>10910</v>
      </c>
      <c r="C2317" t="s">
        <v>42</v>
      </c>
      <c r="D2317" t="s">
        <v>10911</v>
      </c>
      <c r="E2317" t="e" cm="1">
        <f t="array" ref="E2317">- GUAIFENESIN</f>
        <v>#NAME?</v>
      </c>
      <c r="F2317" t="s">
        <v>10912</v>
      </c>
      <c r="G2317" t="s">
        <v>5033</v>
      </c>
      <c r="H2317" t="s">
        <v>10913</v>
      </c>
      <c r="I2317" t="s">
        <v>10914</v>
      </c>
      <c r="J2317" t="s">
        <v>334</v>
      </c>
      <c r="L2317" t="s">
        <v>10915</v>
      </c>
      <c r="M2317" t="s">
        <v>271</v>
      </c>
      <c r="N2317" t="s">
        <v>361</v>
      </c>
      <c r="O2317" t="s">
        <v>10916</v>
      </c>
      <c r="P2317" t="s">
        <v>10917</v>
      </c>
      <c r="Q2317" t="s">
        <v>10918</v>
      </c>
      <c r="R2317">
        <v>9</v>
      </c>
      <c r="S2317">
        <v>16</v>
      </c>
    </row>
    <row r="2318" spans="1:19" x14ac:dyDescent="0.35">
      <c r="A2318">
        <v>240</v>
      </c>
      <c r="B2318" t="s">
        <v>10889</v>
      </c>
      <c r="C2318" t="s">
        <v>42</v>
      </c>
      <c r="D2318" t="s">
        <v>10890</v>
      </c>
      <c r="E2318" t="e" cm="1">
        <f t="array" ref="E2318">- SILDENAFIL CITRATE</f>
        <v>#NAME?</v>
      </c>
      <c r="F2318" t="s">
        <v>10891</v>
      </c>
      <c r="G2318" t="s">
        <v>8240</v>
      </c>
      <c r="H2318" t="s">
        <v>8241</v>
      </c>
      <c r="I2318" t="s">
        <v>8242</v>
      </c>
      <c r="J2318" t="s">
        <v>10892</v>
      </c>
      <c r="K2318" t="s">
        <v>8252</v>
      </c>
      <c r="L2318" t="s">
        <v>8253</v>
      </c>
      <c r="M2318" t="s">
        <v>46</v>
      </c>
      <c r="N2318" t="s">
        <v>2519</v>
      </c>
      <c r="O2318" t="s">
        <v>8246</v>
      </c>
      <c r="P2318" t="s">
        <v>10893</v>
      </c>
      <c r="Q2318" t="s">
        <v>10894</v>
      </c>
      <c r="R2318">
        <v>9</v>
      </c>
      <c r="S2318">
        <v>16</v>
      </c>
    </row>
    <row r="2319" spans="1:19" x14ac:dyDescent="0.35">
      <c r="A2319">
        <v>245</v>
      </c>
      <c r="B2319" t="s">
        <v>10919</v>
      </c>
      <c r="C2319" t="s">
        <v>42</v>
      </c>
      <c r="D2319" t="s">
        <v>10920</v>
      </c>
      <c r="E2319" t="e" cm="1">
        <f t="array" ref="E2319">- SILDENAFIL CITRATE</f>
        <v>#NAME?</v>
      </c>
      <c r="F2319" t="s">
        <v>10921</v>
      </c>
      <c r="G2319" t="s">
        <v>8240</v>
      </c>
      <c r="H2319" t="s">
        <v>8241</v>
      </c>
      <c r="I2319" t="s">
        <v>8242</v>
      </c>
      <c r="J2319" t="s">
        <v>8243</v>
      </c>
      <c r="K2319" t="s">
        <v>8252</v>
      </c>
      <c r="L2319" t="s">
        <v>8253</v>
      </c>
      <c r="M2319" t="s">
        <v>291</v>
      </c>
      <c r="N2319" t="s">
        <v>2519</v>
      </c>
      <c r="O2319" t="s">
        <v>8246</v>
      </c>
      <c r="P2319" t="s">
        <v>10922</v>
      </c>
      <c r="Q2319" t="s">
        <v>10923</v>
      </c>
      <c r="R2319">
        <v>9</v>
      </c>
      <c r="S2319">
        <v>16</v>
      </c>
    </row>
    <row r="2320" spans="1:19" x14ac:dyDescent="0.35">
      <c r="A2320">
        <v>40</v>
      </c>
      <c r="B2320" t="s">
        <v>2902</v>
      </c>
      <c r="C2320" t="s">
        <v>42</v>
      </c>
      <c r="D2320" t="s">
        <v>10924</v>
      </c>
      <c r="E2320" t="e" cm="1">
        <f t="array" ref="E2320">- SILDENAFIL CITRATE</f>
        <v>#NAME?</v>
      </c>
      <c r="F2320" s="1">
        <v>60000</v>
      </c>
      <c r="G2320" t="s">
        <v>8185</v>
      </c>
      <c r="H2320" t="s">
        <v>3854</v>
      </c>
      <c r="I2320" t="s">
        <v>8186</v>
      </c>
      <c r="J2320" t="s">
        <v>8444</v>
      </c>
      <c r="L2320" t="s">
        <v>10925</v>
      </c>
      <c r="M2320" t="s">
        <v>46</v>
      </c>
      <c r="N2320" t="s">
        <v>2519</v>
      </c>
      <c r="O2320" t="s">
        <v>8189</v>
      </c>
      <c r="P2320" t="s">
        <v>10877</v>
      </c>
      <c r="Q2320" t="s">
        <v>10878</v>
      </c>
      <c r="R2320">
        <v>9</v>
      </c>
      <c r="S2320">
        <v>16</v>
      </c>
    </row>
    <row r="2321" spans="1:19" x14ac:dyDescent="0.35">
      <c r="A2321">
        <v>6</v>
      </c>
      <c r="B2321" t="s">
        <v>10897</v>
      </c>
      <c r="C2321" t="s">
        <v>42</v>
      </c>
      <c r="D2321" t="s">
        <v>10898</v>
      </c>
      <c r="E2321" t="e" cm="1">
        <f t="array" ref="E2321">- SILDENAFIL CITRATE</f>
        <v>#NAME?</v>
      </c>
      <c r="F2321" t="s">
        <v>10899</v>
      </c>
      <c r="G2321" t="s">
        <v>8240</v>
      </c>
      <c r="H2321" t="s">
        <v>8241</v>
      </c>
      <c r="I2321" t="s">
        <v>10900</v>
      </c>
      <c r="J2321" t="s">
        <v>10901</v>
      </c>
      <c r="K2321" t="s">
        <v>10902</v>
      </c>
      <c r="L2321" t="s">
        <v>10903</v>
      </c>
      <c r="M2321" t="s">
        <v>46</v>
      </c>
      <c r="N2321" t="s">
        <v>2519</v>
      </c>
      <c r="O2321" t="s">
        <v>10904</v>
      </c>
      <c r="P2321" t="s">
        <v>10391</v>
      </c>
      <c r="Q2321" t="s">
        <v>10905</v>
      </c>
      <c r="R2321">
        <v>9</v>
      </c>
      <c r="S2321">
        <v>16</v>
      </c>
    </row>
    <row r="2322" spans="1:19" x14ac:dyDescent="0.35">
      <c r="A2322">
        <v>246</v>
      </c>
      <c r="B2322" t="s">
        <v>10919</v>
      </c>
      <c r="C2322" t="s">
        <v>42</v>
      </c>
      <c r="D2322" t="s">
        <v>10920</v>
      </c>
      <c r="E2322" t="e" cm="1">
        <f t="array" ref="E2322">- SILDENAFIL CITRATE</f>
        <v>#NAME?</v>
      </c>
      <c r="F2322" t="s">
        <v>10921</v>
      </c>
      <c r="G2322" t="s">
        <v>8240</v>
      </c>
      <c r="H2322" t="s">
        <v>8241</v>
      </c>
      <c r="I2322" t="s">
        <v>8242</v>
      </c>
      <c r="J2322" t="s">
        <v>8243</v>
      </c>
      <c r="K2322" t="s">
        <v>8252</v>
      </c>
      <c r="L2322" t="s">
        <v>8253</v>
      </c>
      <c r="M2322" t="s">
        <v>291</v>
      </c>
      <c r="N2322" t="s">
        <v>2519</v>
      </c>
      <c r="O2322" t="s">
        <v>8246</v>
      </c>
      <c r="P2322" t="s">
        <v>10922</v>
      </c>
      <c r="Q2322" t="s">
        <v>10923</v>
      </c>
      <c r="R2322">
        <v>9</v>
      </c>
      <c r="S2322">
        <v>16</v>
      </c>
    </row>
    <row r="2323" spans="1:19" x14ac:dyDescent="0.35">
      <c r="A2323">
        <v>247</v>
      </c>
      <c r="B2323" t="s">
        <v>10919</v>
      </c>
      <c r="C2323" t="s">
        <v>42</v>
      </c>
      <c r="D2323" t="s">
        <v>10920</v>
      </c>
      <c r="E2323" t="e" cm="1">
        <f t="array" ref="E2323">- SILDENAFIL CITRATE</f>
        <v>#NAME?</v>
      </c>
      <c r="F2323" t="s">
        <v>10921</v>
      </c>
      <c r="G2323" t="s">
        <v>8240</v>
      </c>
      <c r="H2323" t="s">
        <v>8241</v>
      </c>
      <c r="I2323" t="s">
        <v>8242</v>
      </c>
      <c r="J2323" t="s">
        <v>8243</v>
      </c>
      <c r="K2323" t="s">
        <v>8252</v>
      </c>
      <c r="L2323" t="s">
        <v>8253</v>
      </c>
      <c r="M2323" t="s">
        <v>291</v>
      </c>
      <c r="N2323" t="s">
        <v>2519</v>
      </c>
      <c r="O2323" t="s">
        <v>8246</v>
      </c>
      <c r="P2323" t="s">
        <v>10922</v>
      </c>
      <c r="Q2323" t="s">
        <v>10923</v>
      </c>
      <c r="R2323">
        <v>9</v>
      </c>
      <c r="S2323">
        <v>16</v>
      </c>
    </row>
    <row r="2324" spans="1:19" x14ac:dyDescent="0.35">
      <c r="A2324">
        <v>248</v>
      </c>
      <c r="B2324" t="s">
        <v>10919</v>
      </c>
      <c r="C2324" t="s">
        <v>42</v>
      </c>
      <c r="D2324" t="s">
        <v>10920</v>
      </c>
      <c r="E2324" t="e" cm="1">
        <f t="array" ref="E2324">- SILDENAFIL CITRATE</f>
        <v>#NAME?</v>
      </c>
      <c r="F2324" t="s">
        <v>10921</v>
      </c>
      <c r="G2324" t="s">
        <v>8240</v>
      </c>
      <c r="H2324" t="s">
        <v>8241</v>
      </c>
      <c r="I2324" t="s">
        <v>8242</v>
      </c>
      <c r="J2324" t="s">
        <v>8243</v>
      </c>
      <c r="K2324" t="s">
        <v>8252</v>
      </c>
      <c r="L2324" t="s">
        <v>8253</v>
      </c>
      <c r="M2324" t="s">
        <v>291</v>
      </c>
      <c r="N2324" t="s">
        <v>2519</v>
      </c>
      <c r="O2324" t="s">
        <v>8246</v>
      </c>
      <c r="P2324" t="s">
        <v>10922</v>
      </c>
      <c r="Q2324" t="s">
        <v>10923</v>
      </c>
      <c r="R2324">
        <v>9</v>
      </c>
      <c r="S2324">
        <v>16</v>
      </c>
    </row>
    <row r="2325" spans="1:19" x14ac:dyDescent="0.35">
      <c r="A2325">
        <v>249</v>
      </c>
      <c r="B2325" t="s">
        <v>10926</v>
      </c>
      <c r="C2325" t="s">
        <v>42</v>
      </c>
      <c r="D2325" t="s">
        <v>10927</v>
      </c>
      <c r="E2325" t="e" cm="1">
        <f t="array" ref="E2325">- TADALAFIL</f>
        <v>#NAME?</v>
      </c>
      <c r="F2325" t="s">
        <v>10928</v>
      </c>
      <c r="G2325" t="s">
        <v>10652</v>
      </c>
      <c r="H2325" t="s">
        <v>10653</v>
      </c>
      <c r="I2325" t="s">
        <v>8242</v>
      </c>
      <c r="J2325" t="s">
        <v>10654</v>
      </c>
      <c r="K2325" t="s">
        <v>10655</v>
      </c>
      <c r="L2325" t="s">
        <v>10390</v>
      </c>
      <c r="M2325" t="s">
        <v>8254</v>
      </c>
      <c r="N2325" t="s">
        <v>10656</v>
      </c>
      <c r="O2325" t="s">
        <v>8246</v>
      </c>
      <c r="P2325" t="s">
        <v>10657</v>
      </c>
      <c r="Q2325" t="s">
        <v>10658</v>
      </c>
      <c r="R2325">
        <v>9</v>
      </c>
      <c r="S2325">
        <v>16</v>
      </c>
    </row>
    <row r="2326" spans="1:19" x14ac:dyDescent="0.35">
      <c r="A2326">
        <v>9999</v>
      </c>
      <c r="B2326" t="s">
        <v>10929</v>
      </c>
      <c r="C2326" t="s">
        <v>42</v>
      </c>
      <c r="D2326" t="s">
        <v>10930</v>
      </c>
      <c r="E2326" t="e" cm="1">
        <f t="array" ref="E2326">- GLYCERYL TRINITRATE</f>
        <v>#NAME?</v>
      </c>
      <c r="F2326" t="s">
        <v>10931</v>
      </c>
      <c r="H2326" t="s">
        <v>10932</v>
      </c>
      <c r="I2326" t="s">
        <v>10933</v>
      </c>
      <c r="J2326" t="s">
        <v>10934</v>
      </c>
      <c r="K2326" t="s">
        <v>10935</v>
      </c>
      <c r="L2326" t="s">
        <v>10936</v>
      </c>
      <c r="M2326" t="s">
        <v>46</v>
      </c>
      <c r="N2326" t="s">
        <v>10937</v>
      </c>
      <c r="O2326" t="s">
        <v>10938</v>
      </c>
      <c r="P2326" t="s">
        <v>10939</v>
      </c>
      <c r="Q2326" t="s">
        <v>10940</v>
      </c>
      <c r="R2326">
        <v>9</v>
      </c>
      <c r="S2326">
        <v>16</v>
      </c>
    </row>
    <row r="2327" spans="1:19" x14ac:dyDescent="0.35">
      <c r="A2327">
        <v>6656</v>
      </c>
      <c r="B2327" t="s">
        <v>10941</v>
      </c>
      <c r="C2327" t="s">
        <v>42</v>
      </c>
      <c r="D2327" t="s">
        <v>10942</v>
      </c>
      <c r="E2327" t="e" cm="1">
        <f t="array" ref="E2327">- ACICLOVIR</f>
        <v>#NAME?</v>
      </c>
      <c r="F2327" t="s">
        <v>10943</v>
      </c>
      <c r="G2327" t="s">
        <v>539</v>
      </c>
      <c r="H2327" t="s">
        <v>10909</v>
      </c>
    </row>
    <row r="2328" spans="1:19" x14ac:dyDescent="0.35">
      <c r="A2328">
        <v>8263</v>
      </c>
      <c r="B2328" t="s">
        <v>551</v>
      </c>
      <c r="C2328" t="s">
        <v>42</v>
      </c>
      <c r="D2328" t="s">
        <v>10944</v>
      </c>
      <c r="E2328" t="e" cm="1">
        <f t="array" ref="E2328">- POVIDONE-IODINE</f>
        <v>#NAME?</v>
      </c>
      <c r="F2328" t="s">
        <v>10945</v>
      </c>
      <c r="G2328" t="s">
        <v>10946</v>
      </c>
      <c r="I2328" t="s">
        <v>10947</v>
      </c>
      <c r="J2328" t="s">
        <v>10948</v>
      </c>
      <c r="M2328" t="s">
        <v>554</v>
      </c>
      <c r="N2328" t="s">
        <v>555</v>
      </c>
      <c r="O2328" t="s">
        <v>10949</v>
      </c>
      <c r="P2328" t="s">
        <v>10950</v>
      </c>
      <c r="Q2328" t="s">
        <v>10951</v>
      </c>
      <c r="R2328">
        <v>9</v>
      </c>
      <c r="S2328">
        <v>16</v>
      </c>
    </row>
    <row r="2329" spans="1:19" x14ac:dyDescent="0.35">
      <c r="A2329">
        <v>1150</v>
      </c>
      <c r="B2329" t="s">
        <v>10846</v>
      </c>
      <c r="C2329" t="s">
        <v>42</v>
      </c>
      <c r="D2329" t="s">
        <v>10847</v>
      </c>
      <c r="E2329" t="e" cm="1">
        <f t="array" ref="E2329">- GUAIFENESIN</f>
        <v>#NAME?</v>
      </c>
      <c r="F2329" t="s">
        <v>10848</v>
      </c>
      <c r="G2329" t="s">
        <v>2241</v>
      </c>
      <c r="H2329" t="s">
        <v>10849</v>
      </c>
      <c r="I2329" t="s">
        <v>10850</v>
      </c>
      <c r="J2329" t="s">
        <v>334</v>
      </c>
      <c r="K2329" t="s">
        <v>10851</v>
      </c>
      <c r="L2329" t="s">
        <v>10852</v>
      </c>
    </row>
    <row r="2330" spans="1:19" x14ac:dyDescent="0.35">
      <c r="A2330">
        <v>237</v>
      </c>
      <c r="B2330" t="s">
        <v>10889</v>
      </c>
      <c r="C2330" t="s">
        <v>42</v>
      </c>
      <c r="D2330" t="s">
        <v>10890</v>
      </c>
      <c r="E2330" t="e" cm="1">
        <f t="array" ref="E2330">- SILDENAFIL CITRATE</f>
        <v>#NAME?</v>
      </c>
      <c r="F2330" t="s">
        <v>10891</v>
      </c>
      <c r="G2330" t="s">
        <v>8240</v>
      </c>
      <c r="H2330" t="s">
        <v>8241</v>
      </c>
      <c r="I2330" t="s">
        <v>8242</v>
      </c>
      <c r="J2330" t="s">
        <v>10892</v>
      </c>
      <c r="K2330" t="s">
        <v>8252</v>
      </c>
      <c r="L2330" t="s">
        <v>8253</v>
      </c>
      <c r="M2330" t="s">
        <v>46</v>
      </c>
      <c r="N2330" t="s">
        <v>2519</v>
      </c>
      <c r="O2330" t="s">
        <v>8246</v>
      </c>
      <c r="P2330" t="s">
        <v>10893</v>
      </c>
      <c r="Q2330" t="s">
        <v>10894</v>
      </c>
      <c r="R2330">
        <v>9</v>
      </c>
      <c r="S2330">
        <v>16</v>
      </c>
    </row>
    <row r="2331" spans="1:19" x14ac:dyDescent="0.35">
      <c r="A2331">
        <v>46</v>
      </c>
      <c r="B2331" t="s">
        <v>2902</v>
      </c>
      <c r="C2331" t="s">
        <v>42</v>
      </c>
      <c r="D2331" t="s">
        <v>10952</v>
      </c>
      <c r="E2331" t="e" cm="1">
        <f t="array" ref="E2331">- SILDENAFIL CITRATE</f>
        <v>#NAME?</v>
      </c>
      <c r="F2331" t="s">
        <v>10953</v>
      </c>
      <c r="G2331" t="s">
        <v>8185</v>
      </c>
      <c r="H2331" t="s">
        <v>3854</v>
      </c>
      <c r="I2331" t="s">
        <v>8186</v>
      </c>
      <c r="J2331" t="s">
        <v>8479</v>
      </c>
      <c r="L2331" t="s">
        <v>8188</v>
      </c>
      <c r="M2331" t="s">
        <v>46</v>
      </c>
      <c r="N2331" t="s">
        <v>2519</v>
      </c>
      <c r="O2331" t="s">
        <v>8189</v>
      </c>
      <c r="P2331" t="s">
        <v>10954</v>
      </c>
      <c r="Q2331" t="s">
        <v>10955</v>
      </c>
      <c r="R2331">
        <v>9</v>
      </c>
      <c r="S2331">
        <v>16</v>
      </c>
    </row>
    <row r="2332" spans="1:19" x14ac:dyDescent="0.35">
      <c r="A2332">
        <v>6327</v>
      </c>
      <c r="B2332" t="s">
        <v>10956</v>
      </c>
      <c r="C2332" t="s">
        <v>42</v>
      </c>
      <c r="D2332" t="s">
        <v>10957</v>
      </c>
      <c r="E2332" t="e" cm="1">
        <f t="array" ref="E2332">- METRONIDAZOLE. NYSTATIN</f>
        <v>#NAME?</v>
      </c>
      <c r="F2332" s="1">
        <v>18600</v>
      </c>
      <c r="H2332" t="s">
        <v>269</v>
      </c>
      <c r="I2332" t="s">
        <v>10958</v>
      </c>
      <c r="J2332" t="s">
        <v>10959</v>
      </c>
      <c r="L2332" t="s">
        <v>270</v>
      </c>
      <c r="M2332" t="s">
        <v>8891</v>
      </c>
      <c r="N2332" t="s">
        <v>10960</v>
      </c>
      <c r="O2332" t="s">
        <v>10961</v>
      </c>
      <c r="P2332" t="s">
        <v>10962</v>
      </c>
      <c r="Q2332" t="s">
        <v>10963</v>
      </c>
      <c r="R2332">
        <v>9</v>
      </c>
      <c r="S2332">
        <v>16</v>
      </c>
    </row>
    <row r="2333" spans="1:19" x14ac:dyDescent="0.35">
      <c r="A2333">
        <v>760</v>
      </c>
      <c r="B2333" t="s">
        <v>10964</v>
      </c>
      <c r="C2333" t="s">
        <v>42</v>
      </c>
      <c r="D2333" t="s">
        <v>10965</v>
      </c>
      <c r="E2333" t="e" cm="1">
        <f t="array" ref="E2333">- PSEUDOEPHEDRINE HYDROCHLORIDE</f>
        <v>#NAME?</v>
      </c>
      <c r="G2333" t="s">
        <v>2241</v>
      </c>
      <c r="H2333" t="s">
        <v>10966</v>
      </c>
      <c r="I2333" t="s">
        <v>10967</v>
      </c>
      <c r="J2333" t="s">
        <v>5085</v>
      </c>
      <c r="K2333" t="s">
        <v>10968</v>
      </c>
      <c r="L2333" t="s">
        <v>10969</v>
      </c>
      <c r="M2333" t="s">
        <v>46</v>
      </c>
      <c r="N2333" t="s">
        <v>8326</v>
      </c>
      <c r="O2333" t="s">
        <v>10970</v>
      </c>
      <c r="P2333" t="s">
        <v>10971</v>
      </c>
      <c r="Q2333" t="s">
        <v>10972</v>
      </c>
      <c r="R2333">
        <v>9</v>
      </c>
      <c r="S2333">
        <v>16</v>
      </c>
    </row>
    <row r="2334" spans="1:19" x14ac:dyDescent="0.35">
      <c r="A2334">
        <v>10040</v>
      </c>
      <c r="B2334" t="s">
        <v>10973</v>
      </c>
      <c r="C2334" t="s">
        <v>20</v>
      </c>
      <c r="D2334" t="s">
        <v>10974</v>
      </c>
      <c r="E2334" t="s">
        <v>10975</v>
      </c>
      <c r="F2334" t="s">
        <v>10976</v>
      </c>
      <c r="H2334" t="s">
        <v>10977</v>
      </c>
      <c r="I2334" t="s">
        <v>10978</v>
      </c>
      <c r="J2334" t="s">
        <v>75</v>
      </c>
      <c r="M2334" t="s">
        <v>38</v>
      </c>
      <c r="N2334" t="s">
        <v>10979</v>
      </c>
      <c r="O2334" t="s">
        <v>9548</v>
      </c>
      <c r="P2334" t="s">
        <v>10980</v>
      </c>
      <c r="Q2334" t="s">
        <v>10981</v>
      </c>
      <c r="R2334">
        <v>9</v>
      </c>
      <c r="S2334">
        <v>16</v>
      </c>
    </row>
    <row r="2335" spans="1:19" x14ac:dyDescent="0.35">
      <c r="A2335">
        <v>536</v>
      </c>
      <c r="B2335" t="s">
        <v>10982</v>
      </c>
      <c r="C2335" t="s">
        <v>42</v>
      </c>
      <c r="D2335" t="s">
        <v>10983</v>
      </c>
      <c r="E2335" t="e" cm="1">
        <f t="array" ref="E2335">- MONTELUKAST SODIUM</f>
        <v>#NAME?</v>
      </c>
      <c r="F2335" t="s">
        <v>10984</v>
      </c>
      <c r="G2335" t="s">
        <v>6310</v>
      </c>
      <c r="H2335" t="s">
        <v>10985</v>
      </c>
      <c r="I2335" t="s">
        <v>9400</v>
      </c>
      <c r="J2335" t="s">
        <v>45</v>
      </c>
      <c r="K2335" t="s">
        <v>4677</v>
      </c>
      <c r="L2335" t="s">
        <v>10986</v>
      </c>
      <c r="M2335" t="s">
        <v>46</v>
      </c>
      <c r="N2335" t="s">
        <v>1492</v>
      </c>
      <c r="O2335" t="s">
        <v>9402</v>
      </c>
      <c r="P2335" t="s">
        <v>10987</v>
      </c>
      <c r="Q2335" t="s">
        <v>10988</v>
      </c>
      <c r="R2335">
        <v>9</v>
      </c>
      <c r="S2335">
        <v>16</v>
      </c>
    </row>
    <row r="2336" spans="1:19" x14ac:dyDescent="0.35">
      <c r="A2336">
        <v>3689</v>
      </c>
      <c r="B2336" t="s">
        <v>10989</v>
      </c>
      <c r="C2336" t="s">
        <v>42</v>
      </c>
      <c r="D2336" t="s">
        <v>10990</v>
      </c>
      <c r="E2336" t="e" cm="1">
        <f t="array" ref="E2336">- DOMPERIDONE</f>
        <v>#NAME?</v>
      </c>
      <c r="F2336" t="s">
        <v>10991</v>
      </c>
      <c r="G2336" t="s">
        <v>7977</v>
      </c>
      <c r="H2336" t="s">
        <v>10992</v>
      </c>
      <c r="I2336" t="s">
        <v>10993</v>
      </c>
      <c r="J2336" t="s">
        <v>10994</v>
      </c>
      <c r="K2336" t="s">
        <v>10995</v>
      </c>
      <c r="L2336" t="s">
        <v>2711</v>
      </c>
      <c r="M2336" t="s">
        <v>824</v>
      </c>
      <c r="N2336" t="s">
        <v>341</v>
      </c>
      <c r="O2336" t="s">
        <v>10996</v>
      </c>
      <c r="P2336" t="s">
        <v>10997</v>
      </c>
      <c r="Q2336" t="s">
        <v>10998</v>
      </c>
      <c r="R2336">
        <v>9</v>
      </c>
      <c r="S2336">
        <v>16</v>
      </c>
    </row>
    <row r="2337" spans="1:19" x14ac:dyDescent="0.35">
      <c r="A2337">
        <v>2103</v>
      </c>
      <c r="B2337" t="s">
        <v>10999</v>
      </c>
      <c r="C2337" t="s">
        <v>42</v>
      </c>
      <c r="D2337" t="s">
        <v>11000</v>
      </c>
      <c r="E2337" t="e" cm="1">
        <f t="array" ref="E2337">- FLUNARIZINE HYDROCHLORIDE</f>
        <v>#NAME?</v>
      </c>
      <c r="F2337" t="s">
        <v>11001</v>
      </c>
      <c r="G2337" t="s">
        <v>2617</v>
      </c>
      <c r="H2337" t="s">
        <v>2618</v>
      </c>
      <c r="I2337" t="s">
        <v>9199</v>
      </c>
      <c r="J2337" t="s">
        <v>754</v>
      </c>
      <c r="K2337" t="s">
        <v>9201</v>
      </c>
      <c r="L2337" t="s">
        <v>9202</v>
      </c>
      <c r="M2337" t="s">
        <v>46</v>
      </c>
      <c r="N2337" t="s">
        <v>4516</v>
      </c>
      <c r="O2337" t="s">
        <v>9203</v>
      </c>
      <c r="P2337" t="s">
        <v>2623</v>
      </c>
      <c r="Q2337" t="s">
        <v>11002</v>
      </c>
      <c r="R2337">
        <v>9</v>
      </c>
      <c r="S2337">
        <v>16</v>
      </c>
    </row>
    <row r="2338" spans="1:19" x14ac:dyDescent="0.35">
      <c r="A2338">
        <v>9765</v>
      </c>
      <c r="B2338" t="s">
        <v>11003</v>
      </c>
      <c r="C2338" t="s">
        <v>42</v>
      </c>
      <c r="D2338" t="s">
        <v>11004</v>
      </c>
      <c r="E2338" t="e" cm="1">
        <f t="array" ref="E2338">- GEMFIBROZIL</f>
        <v>#NAME?</v>
      </c>
      <c r="F2338" t="s">
        <v>11005</v>
      </c>
      <c r="G2338" t="s">
        <v>11006</v>
      </c>
      <c r="H2338" t="s">
        <v>11007</v>
      </c>
      <c r="I2338" t="s">
        <v>11008</v>
      </c>
      <c r="J2338" t="s">
        <v>11009</v>
      </c>
      <c r="K2338" t="s">
        <v>11010</v>
      </c>
      <c r="L2338" t="s">
        <v>11011</v>
      </c>
      <c r="M2338" t="s">
        <v>38</v>
      </c>
      <c r="N2338" t="s">
        <v>6255</v>
      </c>
      <c r="O2338" t="s">
        <v>11012</v>
      </c>
      <c r="P2338" t="s">
        <v>11013</v>
      </c>
      <c r="Q2338" t="s">
        <v>11014</v>
      </c>
      <c r="R2338">
        <v>9</v>
      </c>
      <c r="S2338">
        <v>16</v>
      </c>
    </row>
    <row r="2339" spans="1:19" x14ac:dyDescent="0.35">
      <c r="A2339">
        <v>5</v>
      </c>
      <c r="B2339" t="s">
        <v>11015</v>
      </c>
      <c r="C2339" t="s">
        <v>42</v>
      </c>
      <c r="D2339" t="s">
        <v>11016</v>
      </c>
      <c r="E2339" t="e" cm="1">
        <f t="array" ref="E2339">- SILDENAFIL CITRATE</f>
        <v>#NAME?</v>
      </c>
      <c r="F2339" t="s">
        <v>11017</v>
      </c>
      <c r="G2339" t="s">
        <v>8240</v>
      </c>
      <c r="H2339" t="s">
        <v>8241</v>
      </c>
      <c r="I2339" t="s">
        <v>8242</v>
      </c>
      <c r="J2339" t="s">
        <v>10892</v>
      </c>
      <c r="K2339" t="s">
        <v>8252</v>
      </c>
      <c r="L2339" t="s">
        <v>8253</v>
      </c>
      <c r="M2339" t="s">
        <v>46</v>
      </c>
      <c r="N2339" t="s">
        <v>2519</v>
      </c>
      <c r="O2339" t="s">
        <v>8246</v>
      </c>
      <c r="P2339" t="s">
        <v>10893</v>
      </c>
      <c r="Q2339" t="s">
        <v>10894</v>
      </c>
      <c r="R2339">
        <v>9</v>
      </c>
      <c r="S2339">
        <v>16</v>
      </c>
    </row>
    <row r="2340" spans="1:19" x14ac:dyDescent="0.35">
      <c r="A2340">
        <v>45</v>
      </c>
      <c r="B2340" t="s">
        <v>2902</v>
      </c>
      <c r="C2340" t="s">
        <v>42</v>
      </c>
      <c r="D2340" t="s">
        <v>11018</v>
      </c>
      <c r="E2340" t="e" cm="1">
        <f t="array" ref="E2340">- SILDENAFIL CITRATE</f>
        <v>#NAME?</v>
      </c>
      <c r="F2340" t="s">
        <v>11019</v>
      </c>
      <c r="G2340" t="s">
        <v>8185</v>
      </c>
      <c r="H2340" t="s">
        <v>3854</v>
      </c>
      <c r="I2340" t="s">
        <v>8186</v>
      </c>
      <c r="J2340" t="s">
        <v>6160</v>
      </c>
      <c r="L2340" t="s">
        <v>8188</v>
      </c>
      <c r="M2340" t="s">
        <v>46</v>
      </c>
      <c r="N2340" t="s">
        <v>2519</v>
      </c>
      <c r="O2340" t="s">
        <v>8189</v>
      </c>
      <c r="P2340" t="s">
        <v>11020</v>
      </c>
      <c r="Q2340" t="s">
        <v>11021</v>
      </c>
      <c r="R2340">
        <v>9</v>
      </c>
      <c r="S2340">
        <v>16</v>
      </c>
    </row>
    <row r="2341" spans="1:19" x14ac:dyDescent="0.35">
      <c r="A2341">
        <v>4</v>
      </c>
      <c r="B2341" t="s">
        <v>11015</v>
      </c>
      <c r="C2341" t="s">
        <v>42</v>
      </c>
      <c r="D2341" t="s">
        <v>11016</v>
      </c>
      <c r="E2341" t="e" cm="1">
        <f t="array" ref="E2341">- SILDENAFIL CITRATE</f>
        <v>#NAME?</v>
      </c>
      <c r="F2341" t="s">
        <v>11017</v>
      </c>
      <c r="G2341" t="s">
        <v>8240</v>
      </c>
      <c r="H2341" t="s">
        <v>8241</v>
      </c>
      <c r="I2341" t="s">
        <v>8242</v>
      </c>
      <c r="J2341" t="s">
        <v>10892</v>
      </c>
      <c r="K2341" t="s">
        <v>8252</v>
      </c>
      <c r="L2341" t="s">
        <v>8253</v>
      </c>
      <c r="M2341" t="s">
        <v>46</v>
      </c>
      <c r="N2341" t="s">
        <v>2519</v>
      </c>
      <c r="O2341" t="s">
        <v>8246</v>
      </c>
      <c r="P2341" t="s">
        <v>10893</v>
      </c>
      <c r="Q2341" t="s">
        <v>10894</v>
      </c>
      <c r="R2341">
        <v>9</v>
      </c>
      <c r="S2341">
        <v>16</v>
      </c>
    </row>
    <row r="2342" spans="1:19" x14ac:dyDescent="0.35">
      <c r="A2342">
        <v>48</v>
      </c>
      <c r="B2342" t="s">
        <v>2902</v>
      </c>
      <c r="C2342" t="s">
        <v>42</v>
      </c>
      <c r="D2342" t="s">
        <v>8998</v>
      </c>
      <c r="E2342" t="e" cm="1">
        <f t="array" ref="E2342">- SILDENAFIL CITRATE</f>
        <v>#NAME?</v>
      </c>
      <c r="F2342" t="s">
        <v>8999</v>
      </c>
      <c r="G2342" t="s">
        <v>8185</v>
      </c>
      <c r="H2342" t="s">
        <v>3854</v>
      </c>
      <c r="I2342" t="s">
        <v>8186</v>
      </c>
      <c r="J2342" t="s">
        <v>8479</v>
      </c>
      <c r="L2342" t="s">
        <v>8188</v>
      </c>
      <c r="M2342" t="s">
        <v>46</v>
      </c>
      <c r="N2342" t="s">
        <v>2519</v>
      </c>
      <c r="O2342" t="s">
        <v>8189</v>
      </c>
      <c r="P2342" t="s">
        <v>9000</v>
      </c>
      <c r="Q2342" t="s">
        <v>10066</v>
      </c>
      <c r="R2342">
        <v>9</v>
      </c>
      <c r="S2342">
        <v>16</v>
      </c>
    </row>
    <row r="2343" spans="1:19" x14ac:dyDescent="0.35">
      <c r="A2343">
        <v>44</v>
      </c>
      <c r="B2343" t="s">
        <v>2902</v>
      </c>
      <c r="C2343" t="s">
        <v>42</v>
      </c>
      <c r="D2343" t="s">
        <v>11022</v>
      </c>
      <c r="E2343" t="e" cm="1">
        <f t="array" ref="E2343">- SILDENAFIL CITRATE</f>
        <v>#NAME?</v>
      </c>
      <c r="F2343" s="1">
        <v>23200</v>
      </c>
      <c r="G2343" t="s">
        <v>8185</v>
      </c>
      <c r="H2343" t="s">
        <v>8383</v>
      </c>
      <c r="I2343" t="s">
        <v>8186</v>
      </c>
      <c r="J2343" t="s">
        <v>8479</v>
      </c>
      <c r="L2343" t="s">
        <v>8188</v>
      </c>
      <c r="M2343" t="s">
        <v>46</v>
      </c>
      <c r="N2343" t="s">
        <v>2519</v>
      </c>
      <c r="O2343" t="s">
        <v>8189</v>
      </c>
      <c r="P2343" t="s">
        <v>9800</v>
      </c>
      <c r="Q2343" t="s">
        <v>9801</v>
      </c>
      <c r="R2343">
        <v>9</v>
      </c>
      <c r="S2343">
        <v>16</v>
      </c>
    </row>
    <row r="2344" spans="1:19" x14ac:dyDescent="0.35">
      <c r="A2344">
        <v>227</v>
      </c>
      <c r="B2344" t="s">
        <v>2902</v>
      </c>
      <c r="C2344" t="s">
        <v>42</v>
      </c>
      <c r="D2344" t="s">
        <v>11023</v>
      </c>
      <c r="E2344" t="e" cm="1">
        <f t="array" ref="E2344">- SILDENAFIL CITRATE</f>
        <v>#NAME?</v>
      </c>
      <c r="F2344" t="s">
        <v>11024</v>
      </c>
      <c r="G2344" t="s">
        <v>11025</v>
      </c>
      <c r="H2344" t="s">
        <v>1322</v>
      </c>
      <c r="I2344" t="s">
        <v>11026</v>
      </c>
      <c r="J2344" t="s">
        <v>11027</v>
      </c>
      <c r="M2344" t="s">
        <v>46</v>
      </c>
      <c r="N2344" t="s">
        <v>2519</v>
      </c>
      <c r="O2344" t="s">
        <v>11028</v>
      </c>
      <c r="P2344" t="s">
        <v>11029</v>
      </c>
      <c r="Q2344" t="s">
        <v>11030</v>
      </c>
      <c r="R2344">
        <v>9</v>
      </c>
      <c r="S2344">
        <v>16</v>
      </c>
    </row>
    <row r="2345" spans="1:19" x14ac:dyDescent="0.35">
      <c r="A2345">
        <v>233</v>
      </c>
      <c r="B2345" t="s">
        <v>11031</v>
      </c>
      <c r="C2345" t="s">
        <v>42</v>
      </c>
      <c r="D2345" t="s">
        <v>11032</v>
      </c>
      <c r="E2345" t="e" cm="1">
        <f t="array" ref="E2345">- SILDENAFIL CITRATE</f>
        <v>#NAME?</v>
      </c>
      <c r="F2345" s="1">
        <v>69500</v>
      </c>
      <c r="G2345" t="s">
        <v>8240</v>
      </c>
      <c r="H2345" t="s">
        <v>8241</v>
      </c>
      <c r="I2345" t="s">
        <v>8242</v>
      </c>
      <c r="J2345" t="s">
        <v>8281</v>
      </c>
      <c r="K2345" t="s">
        <v>11033</v>
      </c>
      <c r="L2345" t="s">
        <v>321</v>
      </c>
      <c r="M2345" t="s">
        <v>46</v>
      </c>
      <c r="N2345" t="s">
        <v>2519</v>
      </c>
      <c r="O2345" t="s">
        <v>8246</v>
      </c>
      <c r="P2345" t="s">
        <v>8285</v>
      </c>
      <c r="Q2345" t="s">
        <v>11034</v>
      </c>
      <c r="R2345">
        <v>9</v>
      </c>
      <c r="S2345">
        <v>16</v>
      </c>
    </row>
    <row r="2346" spans="1:19" x14ac:dyDescent="0.35">
      <c r="A2346">
        <v>1335</v>
      </c>
      <c r="B2346" t="s">
        <v>1899</v>
      </c>
      <c r="C2346" t="s">
        <v>42</v>
      </c>
      <c r="D2346" t="s">
        <v>1900</v>
      </c>
      <c r="E2346" t="e" cm="1">
        <f t="array" ref="E2346">- PARACETAMOL. CHLORPHENAMINE MALEATE. PHENYLPROPANOLAMINE HYDROCHLORIDE. DEXTROMETHORPHAN HYDROBROMIDE</f>
        <v>#NAME?</v>
      </c>
      <c r="F2346" t="s">
        <v>1901</v>
      </c>
      <c r="J2346" t="s">
        <v>381</v>
      </c>
      <c r="M2346" t="s">
        <v>291</v>
      </c>
      <c r="N2346" t="s">
        <v>11035</v>
      </c>
      <c r="P2346" t="s">
        <v>1902</v>
      </c>
      <c r="Q2346" t="s">
        <v>11036</v>
      </c>
      <c r="R2346">
        <v>9</v>
      </c>
      <c r="S2346">
        <v>16</v>
      </c>
    </row>
    <row r="2347" spans="1:19" x14ac:dyDescent="0.35">
      <c r="A2347">
        <v>6328</v>
      </c>
      <c r="B2347" t="s">
        <v>10956</v>
      </c>
      <c r="C2347" t="s">
        <v>42</v>
      </c>
      <c r="D2347" t="s">
        <v>10957</v>
      </c>
      <c r="E2347" t="e" cm="1">
        <f t="array" ref="E2347">- METRONIDAZOLE. NYSTATIN</f>
        <v>#NAME?</v>
      </c>
      <c r="F2347" s="1">
        <v>18600</v>
      </c>
      <c r="H2347" t="s">
        <v>269</v>
      </c>
      <c r="I2347" t="s">
        <v>10958</v>
      </c>
      <c r="J2347" t="s">
        <v>10959</v>
      </c>
      <c r="L2347" t="s">
        <v>270</v>
      </c>
      <c r="M2347" t="s">
        <v>8891</v>
      </c>
      <c r="N2347" t="s">
        <v>10960</v>
      </c>
      <c r="O2347" t="s">
        <v>10961</v>
      </c>
      <c r="P2347" t="s">
        <v>10962</v>
      </c>
      <c r="Q2347" t="s">
        <v>10963</v>
      </c>
      <c r="R2347">
        <v>9</v>
      </c>
      <c r="S2347">
        <v>16</v>
      </c>
    </row>
    <row r="2348" spans="1:19" x14ac:dyDescent="0.35">
      <c r="A2348">
        <v>3565</v>
      </c>
      <c r="B2348" t="s">
        <v>11037</v>
      </c>
      <c r="C2348" t="s">
        <v>42</v>
      </c>
      <c r="D2348" t="s">
        <v>11038</v>
      </c>
      <c r="E2348" t="e" cm="1">
        <f t="array" ref="E2348">- DOMPERIDONE</f>
        <v>#NAME?</v>
      </c>
      <c r="F2348" t="s">
        <v>11039</v>
      </c>
      <c r="G2348" t="s">
        <v>10502</v>
      </c>
      <c r="H2348" t="s">
        <v>10830</v>
      </c>
      <c r="I2348" t="s">
        <v>10831</v>
      </c>
      <c r="J2348" t="s">
        <v>334</v>
      </c>
      <c r="K2348" t="s">
        <v>10832</v>
      </c>
      <c r="L2348" t="s">
        <v>10833</v>
      </c>
      <c r="M2348" t="s">
        <v>271</v>
      </c>
      <c r="N2348" t="s">
        <v>341</v>
      </c>
      <c r="O2348" t="s">
        <v>10834</v>
      </c>
      <c r="P2348" t="s">
        <v>10835</v>
      </c>
      <c r="Q2348" t="s">
        <v>11040</v>
      </c>
      <c r="R2348">
        <v>9</v>
      </c>
      <c r="S2348">
        <v>16</v>
      </c>
    </row>
    <row r="2349" spans="1:19" x14ac:dyDescent="0.35">
      <c r="A2349">
        <v>6658</v>
      </c>
      <c r="B2349" t="s">
        <v>10941</v>
      </c>
      <c r="C2349" t="s">
        <v>42</v>
      </c>
      <c r="D2349" t="s">
        <v>10942</v>
      </c>
      <c r="E2349" t="e" cm="1">
        <f t="array" ref="E2349">- ACICLOVIR</f>
        <v>#NAME?</v>
      </c>
      <c r="F2349" t="s">
        <v>10943</v>
      </c>
      <c r="G2349" t="s">
        <v>539</v>
      </c>
      <c r="H2349" t="s">
        <v>10909</v>
      </c>
    </row>
    <row r="2350" spans="1:19" x14ac:dyDescent="0.35">
      <c r="A2350">
        <v>6657</v>
      </c>
      <c r="B2350" t="s">
        <v>10941</v>
      </c>
      <c r="C2350" t="s">
        <v>42</v>
      </c>
      <c r="D2350" t="s">
        <v>10942</v>
      </c>
      <c r="E2350" t="e" cm="1">
        <f t="array" ref="E2350">- ACICLOVIR</f>
        <v>#NAME?</v>
      </c>
      <c r="F2350" t="s">
        <v>10943</v>
      </c>
      <c r="G2350" t="s">
        <v>539</v>
      </c>
      <c r="H2350" t="s">
        <v>10909</v>
      </c>
    </row>
    <row r="2351" spans="1:19" x14ac:dyDescent="0.35">
      <c r="A2351">
        <v>234</v>
      </c>
      <c r="B2351" t="s">
        <v>11031</v>
      </c>
      <c r="C2351" t="s">
        <v>42</v>
      </c>
      <c r="D2351" t="s">
        <v>11032</v>
      </c>
      <c r="E2351" t="e" cm="1">
        <f t="array" ref="E2351">- SILDENAFIL CITRATE</f>
        <v>#NAME?</v>
      </c>
      <c r="F2351" s="1">
        <v>69500</v>
      </c>
      <c r="G2351" t="s">
        <v>8240</v>
      </c>
      <c r="H2351" t="s">
        <v>8241</v>
      </c>
      <c r="I2351" t="s">
        <v>8242</v>
      </c>
      <c r="J2351" t="s">
        <v>8281</v>
      </c>
      <c r="K2351" t="s">
        <v>11033</v>
      </c>
      <c r="L2351" t="s">
        <v>321</v>
      </c>
      <c r="M2351" t="s">
        <v>46</v>
      </c>
      <c r="N2351" t="s">
        <v>2519</v>
      </c>
      <c r="O2351" t="s">
        <v>8246</v>
      </c>
      <c r="P2351" t="s">
        <v>8285</v>
      </c>
      <c r="Q2351" t="s">
        <v>11034</v>
      </c>
      <c r="R2351">
        <v>9</v>
      </c>
      <c r="S2351">
        <v>16</v>
      </c>
    </row>
    <row r="2352" spans="1:19" x14ac:dyDescent="0.35">
      <c r="A2352">
        <v>235</v>
      </c>
      <c r="B2352" t="s">
        <v>11031</v>
      </c>
      <c r="C2352" t="s">
        <v>42</v>
      </c>
      <c r="D2352" t="s">
        <v>11032</v>
      </c>
      <c r="E2352" t="e" cm="1">
        <f t="array" ref="E2352">- SILDENAFIL CITRATE</f>
        <v>#NAME?</v>
      </c>
      <c r="F2352" s="1">
        <v>69500</v>
      </c>
      <c r="G2352" t="s">
        <v>8240</v>
      </c>
      <c r="H2352" t="s">
        <v>8241</v>
      </c>
      <c r="I2352" t="s">
        <v>8242</v>
      </c>
      <c r="J2352" t="s">
        <v>8281</v>
      </c>
      <c r="K2352" t="s">
        <v>11033</v>
      </c>
      <c r="L2352" t="s">
        <v>321</v>
      </c>
      <c r="M2352" t="s">
        <v>46</v>
      </c>
      <c r="N2352" t="s">
        <v>2519</v>
      </c>
      <c r="O2352" t="s">
        <v>8246</v>
      </c>
      <c r="P2352" t="s">
        <v>8285</v>
      </c>
      <c r="Q2352" t="s">
        <v>11034</v>
      </c>
      <c r="R2352">
        <v>9</v>
      </c>
      <c r="S2352">
        <v>16</v>
      </c>
    </row>
    <row r="2353" spans="1:19" x14ac:dyDescent="0.35">
      <c r="A2353">
        <v>236</v>
      </c>
      <c r="B2353" t="s">
        <v>11031</v>
      </c>
      <c r="C2353" t="s">
        <v>42</v>
      </c>
      <c r="D2353" t="s">
        <v>11032</v>
      </c>
      <c r="E2353" t="e" cm="1">
        <f t="array" ref="E2353">- SILDENAFIL CITRATE</f>
        <v>#NAME?</v>
      </c>
      <c r="F2353" s="1">
        <v>69500</v>
      </c>
      <c r="G2353" t="s">
        <v>8240</v>
      </c>
      <c r="H2353" t="s">
        <v>8241</v>
      </c>
      <c r="I2353" t="s">
        <v>8242</v>
      </c>
      <c r="J2353" t="s">
        <v>8281</v>
      </c>
      <c r="K2353" t="s">
        <v>11033</v>
      </c>
      <c r="L2353" t="s">
        <v>321</v>
      </c>
      <c r="M2353" t="s">
        <v>46</v>
      </c>
      <c r="N2353" t="s">
        <v>2519</v>
      </c>
      <c r="O2353" t="s">
        <v>8246</v>
      </c>
      <c r="P2353" t="s">
        <v>8285</v>
      </c>
      <c r="Q2353" t="s">
        <v>11034</v>
      </c>
      <c r="R2353">
        <v>9</v>
      </c>
      <c r="S2353">
        <v>16</v>
      </c>
    </row>
    <row r="2354" spans="1:19" x14ac:dyDescent="0.35">
      <c r="A2354">
        <v>10028</v>
      </c>
      <c r="B2354" t="s">
        <v>11041</v>
      </c>
      <c r="C2354" t="s">
        <v>42</v>
      </c>
      <c r="D2354" t="s">
        <v>11042</v>
      </c>
      <c r="E2354" t="e" cm="1">
        <f t="array" ref="E2354">- ANAGRELIDE HYDROCHLORIDE</f>
        <v>#NAME?</v>
      </c>
      <c r="F2354" t="s">
        <v>11043</v>
      </c>
      <c r="G2354" t="s">
        <v>60</v>
      </c>
      <c r="H2354" t="s">
        <v>11044</v>
      </c>
      <c r="I2354" t="s">
        <v>11045</v>
      </c>
      <c r="J2354" t="s">
        <v>11046</v>
      </c>
      <c r="K2354" t="s">
        <v>11047</v>
      </c>
      <c r="L2354" t="s">
        <v>11048</v>
      </c>
      <c r="M2354" t="s">
        <v>38</v>
      </c>
      <c r="N2354" t="s">
        <v>11049</v>
      </c>
      <c r="O2354" t="s">
        <v>11050</v>
      </c>
      <c r="P2354" t="s">
        <v>11051</v>
      </c>
      <c r="Q2354" t="s">
        <v>11052</v>
      </c>
      <c r="R2354">
        <v>9</v>
      </c>
      <c r="S2354">
        <v>16</v>
      </c>
    </row>
    <row r="2355" spans="1:19" x14ac:dyDescent="0.35">
      <c r="A2355">
        <v>6312</v>
      </c>
      <c r="B2355" t="s">
        <v>7588</v>
      </c>
      <c r="C2355" t="s">
        <v>42</v>
      </c>
      <c r="D2355" t="s">
        <v>7589</v>
      </c>
      <c r="E2355" t="e" cm="1">
        <f t="array" ref="E2355">- RIFAMPICIN. ISONIAZID</f>
        <v>#NAME?</v>
      </c>
      <c r="F2355" t="s">
        <v>7590</v>
      </c>
      <c r="G2355" t="s">
        <v>7591</v>
      </c>
      <c r="H2355" t="s">
        <v>7592</v>
      </c>
    </row>
    <row r="2356" spans="1:19" x14ac:dyDescent="0.35">
      <c r="A2356">
        <v>250</v>
      </c>
      <c r="B2356" t="s">
        <v>10926</v>
      </c>
      <c r="C2356" t="s">
        <v>42</v>
      </c>
      <c r="D2356" t="s">
        <v>10927</v>
      </c>
      <c r="E2356" t="e" cm="1">
        <f t="array" ref="E2356">- TADALAFIL</f>
        <v>#NAME?</v>
      </c>
      <c r="F2356" t="s">
        <v>10928</v>
      </c>
      <c r="G2356" t="s">
        <v>10652</v>
      </c>
      <c r="H2356" t="s">
        <v>10653</v>
      </c>
      <c r="I2356" t="s">
        <v>8242</v>
      </c>
      <c r="J2356" t="s">
        <v>10654</v>
      </c>
      <c r="K2356" t="s">
        <v>10655</v>
      </c>
      <c r="L2356" t="s">
        <v>10390</v>
      </c>
      <c r="M2356" t="s">
        <v>8254</v>
      </c>
      <c r="N2356" t="s">
        <v>10656</v>
      </c>
      <c r="O2356" t="s">
        <v>8246</v>
      </c>
      <c r="P2356" t="s">
        <v>10657</v>
      </c>
      <c r="Q2356" t="s">
        <v>10658</v>
      </c>
      <c r="R2356">
        <v>9</v>
      </c>
      <c r="S2356">
        <v>16</v>
      </c>
    </row>
    <row r="2357" spans="1:19" x14ac:dyDescent="0.35">
      <c r="A2357">
        <v>8262</v>
      </c>
      <c r="B2357" t="s">
        <v>551</v>
      </c>
      <c r="C2357" t="s">
        <v>42</v>
      </c>
      <c r="D2357" t="s">
        <v>10944</v>
      </c>
      <c r="E2357" t="e" cm="1">
        <f t="array" ref="E2357">- POVIDONE-IODINE</f>
        <v>#NAME?</v>
      </c>
      <c r="F2357" t="s">
        <v>10945</v>
      </c>
      <c r="G2357" t="s">
        <v>10946</v>
      </c>
      <c r="I2357" t="s">
        <v>10947</v>
      </c>
      <c r="J2357" t="s">
        <v>10948</v>
      </c>
      <c r="M2357" t="s">
        <v>554</v>
      </c>
      <c r="N2357" t="s">
        <v>555</v>
      </c>
      <c r="O2357" t="s">
        <v>10949</v>
      </c>
      <c r="P2357" t="s">
        <v>10950</v>
      </c>
      <c r="Q2357" t="s">
        <v>10951</v>
      </c>
      <c r="R2357">
        <v>9</v>
      </c>
      <c r="S2357">
        <v>16</v>
      </c>
    </row>
    <row r="2358" spans="1:19" x14ac:dyDescent="0.35">
      <c r="A2358">
        <v>1037</v>
      </c>
      <c r="B2358" t="s">
        <v>6281</v>
      </c>
      <c r="C2358" t="s">
        <v>42</v>
      </c>
      <c r="D2358" t="s">
        <v>11053</v>
      </c>
      <c r="E2358" t="e" cm="1">
        <f t="array" ref="E2358">- GUAIFENESIN</f>
        <v>#NAME?</v>
      </c>
      <c r="F2358" s="1">
        <v>97800</v>
      </c>
      <c r="G2358" t="s">
        <v>60</v>
      </c>
      <c r="H2358" t="s">
        <v>11054</v>
      </c>
      <c r="I2358" t="s">
        <v>11055</v>
      </c>
      <c r="J2358" t="s">
        <v>334</v>
      </c>
      <c r="K2358" t="s">
        <v>6286</v>
      </c>
      <c r="L2358" t="s">
        <v>11056</v>
      </c>
      <c r="M2358" t="s">
        <v>271</v>
      </c>
      <c r="N2358" t="s">
        <v>361</v>
      </c>
      <c r="O2358" t="s">
        <v>11057</v>
      </c>
      <c r="P2358" t="s">
        <v>6289</v>
      </c>
      <c r="Q2358" t="s">
        <v>11058</v>
      </c>
      <c r="R2358">
        <v>9</v>
      </c>
      <c r="S2358">
        <v>16</v>
      </c>
    </row>
    <row r="2359" spans="1:19" x14ac:dyDescent="0.35">
      <c r="A2359">
        <v>1389</v>
      </c>
      <c r="B2359" t="s">
        <v>49</v>
      </c>
      <c r="C2359" t="s">
        <v>20</v>
      </c>
      <c r="D2359" t="s">
        <v>11059</v>
      </c>
      <c r="E2359" t="s">
        <v>51</v>
      </c>
      <c r="F2359" s="1">
        <v>24800</v>
      </c>
      <c r="G2359" t="s">
        <v>2241</v>
      </c>
      <c r="H2359" t="s">
        <v>11060</v>
      </c>
      <c r="I2359" t="s">
        <v>11061</v>
      </c>
      <c r="J2359" t="s">
        <v>1136</v>
      </c>
      <c r="M2359" t="s">
        <v>46</v>
      </c>
      <c r="N2359" t="s">
        <v>54</v>
      </c>
      <c r="O2359" t="s">
        <v>11062</v>
      </c>
      <c r="P2359" t="s">
        <v>54</v>
      </c>
      <c r="Q2359" t="s">
        <v>11063</v>
      </c>
      <c r="R2359">
        <v>9</v>
      </c>
      <c r="S2359">
        <v>16</v>
      </c>
    </row>
    <row r="2360" spans="1:19" x14ac:dyDescent="0.35">
      <c r="A2360">
        <v>4795</v>
      </c>
      <c r="B2360" t="s">
        <v>11064</v>
      </c>
      <c r="C2360" t="s">
        <v>42</v>
      </c>
      <c r="D2360" t="s">
        <v>11065</v>
      </c>
      <c r="E2360" t="e" cm="1">
        <f t="array" ref="E2360">- PILOCARPINE</f>
        <v>#NAME?</v>
      </c>
      <c r="F2360" t="s">
        <v>11066</v>
      </c>
      <c r="G2360" t="s">
        <v>11067</v>
      </c>
      <c r="H2360" t="s">
        <v>7542</v>
      </c>
      <c r="I2360" t="s">
        <v>11068</v>
      </c>
      <c r="J2360" t="s">
        <v>9310</v>
      </c>
      <c r="K2360" t="s">
        <v>6097</v>
      </c>
      <c r="L2360" t="s">
        <v>11069</v>
      </c>
      <c r="M2360" t="s">
        <v>824</v>
      </c>
      <c r="N2360" t="s">
        <v>11070</v>
      </c>
      <c r="O2360" t="s">
        <v>11071</v>
      </c>
      <c r="P2360" t="s">
        <v>11072</v>
      </c>
      <c r="Q2360" t="s">
        <v>11073</v>
      </c>
      <c r="R2360">
        <v>9</v>
      </c>
      <c r="S2360">
        <v>16</v>
      </c>
    </row>
    <row r="2361" spans="1:19" x14ac:dyDescent="0.35">
      <c r="A2361">
        <v>1652</v>
      </c>
      <c r="B2361" t="s">
        <v>11074</v>
      </c>
      <c r="C2361" t="s">
        <v>42</v>
      </c>
      <c r="D2361" t="s">
        <v>11075</v>
      </c>
      <c r="E2361" t="e" cm="1">
        <f t="array" ref="E2361">- PARACETAMOL. PSEUDOEPHEDRINE HYDROCHLORIDE. CHLORPHENAMINE MALEATE. GUAIFENESIN</f>
        <v>#NAME?</v>
      </c>
      <c r="F2361" t="s">
        <v>11076</v>
      </c>
      <c r="J2361" t="s">
        <v>334</v>
      </c>
      <c r="M2361" t="s">
        <v>271</v>
      </c>
      <c r="N2361" t="s">
        <v>11077</v>
      </c>
      <c r="P2361" t="s">
        <v>11078</v>
      </c>
      <c r="Q2361" t="s">
        <v>11079</v>
      </c>
      <c r="R2361">
        <v>9</v>
      </c>
      <c r="S2361">
        <v>16</v>
      </c>
    </row>
    <row r="2362" spans="1:19" x14ac:dyDescent="0.35">
      <c r="A2362">
        <v>5051</v>
      </c>
      <c r="B2362" t="s">
        <v>11080</v>
      </c>
      <c r="C2362" t="s">
        <v>42</v>
      </c>
      <c r="D2362" t="s">
        <v>11081</v>
      </c>
      <c r="E2362" t="e" cm="1">
        <f t="array" ref="E2362">- FLUOCINOLONE ACETONIDE</f>
        <v>#NAME?</v>
      </c>
      <c r="F2362" t="s">
        <v>11082</v>
      </c>
      <c r="G2362" t="s">
        <v>11083</v>
      </c>
      <c r="H2362" t="s">
        <v>11084</v>
      </c>
      <c r="I2362" t="s">
        <v>11085</v>
      </c>
      <c r="J2362" t="s">
        <v>11086</v>
      </c>
      <c r="K2362" t="s">
        <v>11087</v>
      </c>
      <c r="L2362" t="s">
        <v>11088</v>
      </c>
      <c r="M2362" t="s">
        <v>1029</v>
      </c>
      <c r="N2362" t="s">
        <v>2766</v>
      </c>
      <c r="O2362" t="s">
        <v>11089</v>
      </c>
      <c r="P2362" t="s">
        <v>11090</v>
      </c>
      <c r="Q2362" t="s">
        <v>11091</v>
      </c>
      <c r="R2362">
        <v>9</v>
      </c>
      <c r="S2362">
        <v>16</v>
      </c>
    </row>
    <row r="2363" spans="1:19" x14ac:dyDescent="0.35">
      <c r="A2363">
        <v>1390</v>
      </c>
      <c r="B2363" t="s">
        <v>49</v>
      </c>
      <c r="C2363" t="s">
        <v>20</v>
      </c>
      <c r="D2363" t="s">
        <v>11059</v>
      </c>
      <c r="E2363" t="s">
        <v>51</v>
      </c>
      <c r="F2363" s="1">
        <v>24800</v>
      </c>
      <c r="G2363" t="s">
        <v>2241</v>
      </c>
      <c r="H2363" t="s">
        <v>11060</v>
      </c>
      <c r="I2363" t="s">
        <v>11061</v>
      </c>
      <c r="J2363" t="s">
        <v>1136</v>
      </c>
      <c r="M2363" t="s">
        <v>46</v>
      </c>
      <c r="N2363" t="s">
        <v>54</v>
      </c>
      <c r="O2363" t="s">
        <v>11062</v>
      </c>
      <c r="P2363" t="s">
        <v>54</v>
      </c>
      <c r="Q2363" t="s">
        <v>11063</v>
      </c>
      <c r="R2363">
        <v>9</v>
      </c>
      <c r="S2363">
        <v>16</v>
      </c>
    </row>
    <row r="2364" spans="1:19" x14ac:dyDescent="0.35">
      <c r="A2364">
        <v>5970</v>
      </c>
      <c r="B2364" t="s">
        <v>11092</v>
      </c>
      <c r="C2364" t="s">
        <v>42</v>
      </c>
      <c r="D2364" t="s">
        <v>11093</v>
      </c>
      <c r="E2364" t="e" cm="1">
        <f t="array" ref="E2364">- TETRACYCLINE HYDROCHLORIDE</f>
        <v>#NAME?</v>
      </c>
      <c r="F2364" t="s">
        <v>11094</v>
      </c>
      <c r="G2364" t="s">
        <v>8205</v>
      </c>
      <c r="H2364" t="s">
        <v>11095</v>
      </c>
      <c r="I2364" t="s">
        <v>11096</v>
      </c>
      <c r="J2364" t="s">
        <v>11097</v>
      </c>
      <c r="L2364" t="s">
        <v>321</v>
      </c>
      <c r="M2364" t="s">
        <v>38</v>
      </c>
      <c r="N2364" t="s">
        <v>3156</v>
      </c>
      <c r="O2364" t="s">
        <v>11098</v>
      </c>
      <c r="P2364" t="s">
        <v>11099</v>
      </c>
      <c r="Q2364" t="s">
        <v>11100</v>
      </c>
      <c r="R2364">
        <v>9</v>
      </c>
      <c r="S2364">
        <v>16</v>
      </c>
    </row>
    <row r="2365" spans="1:19" x14ac:dyDescent="0.35">
      <c r="A2365">
        <v>6701</v>
      </c>
      <c r="B2365" t="s">
        <v>11101</v>
      </c>
      <c r="C2365" t="s">
        <v>42</v>
      </c>
      <c r="D2365" t="s">
        <v>11102</v>
      </c>
      <c r="E2365" t="e" cm="1">
        <f t="array" ref="E2365">- METHISOPRINOL</f>
        <v>#NAME?</v>
      </c>
      <c r="F2365" t="s">
        <v>11103</v>
      </c>
      <c r="G2365" t="s">
        <v>1691</v>
      </c>
      <c r="H2365" t="s">
        <v>11104</v>
      </c>
      <c r="I2365" t="s">
        <v>11105</v>
      </c>
      <c r="J2365" t="s">
        <v>11106</v>
      </c>
      <c r="K2365" t="s">
        <v>11107</v>
      </c>
      <c r="L2365" t="s">
        <v>11108</v>
      </c>
      <c r="M2365" t="s">
        <v>46</v>
      </c>
      <c r="N2365" t="s">
        <v>322</v>
      </c>
      <c r="O2365" t="s">
        <v>11109</v>
      </c>
      <c r="P2365" t="s">
        <v>5651</v>
      </c>
      <c r="Q2365" t="s">
        <v>11110</v>
      </c>
      <c r="R2365">
        <v>9</v>
      </c>
      <c r="S2365">
        <v>16</v>
      </c>
    </row>
    <row r="2366" spans="1:19" x14ac:dyDescent="0.35">
      <c r="A2366">
        <v>3287</v>
      </c>
      <c r="B2366" t="s">
        <v>2118</v>
      </c>
      <c r="C2366" t="s">
        <v>42</v>
      </c>
      <c r="D2366" t="s">
        <v>2119</v>
      </c>
      <c r="E2366" t="e" cm="1">
        <f t="array" ref="E2366">- MAGNESIUM TRISILICATE. SIMETHICONE. DRIED ALUMINIUM HYDROXIDE GEL</f>
        <v>#NAME?</v>
      </c>
      <c r="F2366" t="s">
        <v>2120</v>
      </c>
      <c r="J2366" t="s">
        <v>2121</v>
      </c>
      <c r="M2366" t="s">
        <v>340</v>
      </c>
      <c r="N2366" t="s">
        <v>11111</v>
      </c>
      <c r="P2366" t="s">
        <v>2122</v>
      </c>
      <c r="Q2366" t="s">
        <v>11112</v>
      </c>
      <c r="R2366">
        <v>9</v>
      </c>
      <c r="S2366">
        <v>16</v>
      </c>
    </row>
    <row r="2367" spans="1:19" x14ac:dyDescent="0.35">
      <c r="A2367">
        <v>7947</v>
      </c>
      <c r="B2367" t="s">
        <v>11113</v>
      </c>
      <c r="C2367" t="s">
        <v>20</v>
      </c>
      <c r="D2367" t="s">
        <v>11114</v>
      </c>
      <c r="E2367" t="s">
        <v>11115</v>
      </c>
      <c r="F2367" t="s">
        <v>11116</v>
      </c>
      <c r="G2367" t="s">
        <v>11117</v>
      </c>
      <c r="H2367" t="s">
        <v>11118</v>
      </c>
      <c r="I2367" t="s">
        <v>11119</v>
      </c>
      <c r="J2367" t="s">
        <v>11120</v>
      </c>
      <c r="M2367" t="s">
        <v>63</v>
      </c>
      <c r="N2367" t="s">
        <v>11121</v>
      </c>
      <c r="O2367" t="s">
        <v>11122</v>
      </c>
      <c r="P2367" t="s">
        <v>11121</v>
      </c>
      <c r="Q2367" t="s">
        <v>11123</v>
      </c>
      <c r="R2367">
        <v>9</v>
      </c>
      <c r="S2367">
        <v>16</v>
      </c>
    </row>
    <row r="2368" spans="1:19" x14ac:dyDescent="0.35">
      <c r="A2368">
        <v>10051</v>
      </c>
      <c r="B2368" t="s">
        <v>11124</v>
      </c>
      <c r="C2368" t="s">
        <v>20</v>
      </c>
      <c r="D2368" t="s">
        <v>11125</v>
      </c>
      <c r="E2368" t="s">
        <v>11126</v>
      </c>
      <c r="F2368" t="s">
        <v>11127</v>
      </c>
      <c r="I2368" t="s">
        <v>6893</v>
      </c>
      <c r="J2368" t="s">
        <v>107</v>
      </c>
      <c r="M2368" t="s">
        <v>38</v>
      </c>
      <c r="N2368" t="s">
        <v>11128</v>
      </c>
      <c r="O2368" t="s">
        <v>6896</v>
      </c>
      <c r="P2368" t="s">
        <v>11129</v>
      </c>
      <c r="Q2368" t="s">
        <v>11130</v>
      </c>
      <c r="R2368">
        <v>9</v>
      </c>
      <c r="S2368">
        <v>16</v>
      </c>
    </row>
    <row r="2369" spans="1:19" x14ac:dyDescent="0.35">
      <c r="A2369">
        <v>2</v>
      </c>
      <c r="B2369" t="s">
        <v>11015</v>
      </c>
      <c r="C2369" t="s">
        <v>42</v>
      </c>
      <c r="D2369" t="s">
        <v>11016</v>
      </c>
      <c r="E2369" t="e" cm="1">
        <f t="array" ref="E2369">- SILDENAFIL CITRATE</f>
        <v>#NAME?</v>
      </c>
      <c r="F2369" t="s">
        <v>11017</v>
      </c>
      <c r="G2369" t="s">
        <v>8240</v>
      </c>
      <c r="H2369" t="s">
        <v>8241</v>
      </c>
      <c r="I2369" t="s">
        <v>8242</v>
      </c>
      <c r="J2369" t="s">
        <v>10892</v>
      </c>
      <c r="K2369" t="s">
        <v>8252</v>
      </c>
      <c r="L2369" t="s">
        <v>8253</v>
      </c>
      <c r="M2369" t="s">
        <v>46</v>
      </c>
      <c r="N2369" t="s">
        <v>2519</v>
      </c>
      <c r="O2369" t="s">
        <v>8246</v>
      </c>
      <c r="P2369" t="s">
        <v>10893</v>
      </c>
      <c r="Q2369" t="s">
        <v>10894</v>
      </c>
      <c r="R2369">
        <v>9</v>
      </c>
      <c r="S2369">
        <v>16</v>
      </c>
    </row>
    <row r="2370" spans="1:19" x14ac:dyDescent="0.35">
      <c r="A2370">
        <v>3288</v>
      </c>
      <c r="B2370" t="s">
        <v>2118</v>
      </c>
      <c r="C2370" t="s">
        <v>42</v>
      </c>
      <c r="D2370" t="s">
        <v>2119</v>
      </c>
      <c r="E2370" t="e" cm="1">
        <f t="array" ref="E2370">- SIMETHICONE. MAGNESIUM TRISILICATE. DRIED ALUMINIUM HYDROXIDE GEL</f>
        <v>#NAME?</v>
      </c>
      <c r="F2370" t="s">
        <v>2120</v>
      </c>
      <c r="J2370" t="s">
        <v>2121</v>
      </c>
      <c r="M2370" t="s">
        <v>340</v>
      </c>
      <c r="N2370" t="s">
        <v>11131</v>
      </c>
      <c r="P2370" t="s">
        <v>2122</v>
      </c>
      <c r="Q2370" t="s">
        <v>11132</v>
      </c>
      <c r="R2370">
        <v>9</v>
      </c>
      <c r="S2370">
        <v>16</v>
      </c>
    </row>
    <row r="2371" spans="1:19" x14ac:dyDescent="0.35">
      <c r="A2371">
        <v>1083</v>
      </c>
      <c r="B2371" t="s">
        <v>11133</v>
      </c>
      <c r="C2371" t="s">
        <v>42</v>
      </c>
      <c r="D2371" t="s">
        <v>11134</v>
      </c>
      <c r="E2371" t="e" cm="1">
        <f t="array" ref="E2371">- ERDOSTEINE</f>
        <v>#NAME?</v>
      </c>
      <c r="F2371" t="s">
        <v>11135</v>
      </c>
      <c r="G2371" t="s">
        <v>5233</v>
      </c>
      <c r="H2371" t="s">
        <v>11136</v>
      </c>
      <c r="I2371" t="s">
        <v>11137</v>
      </c>
      <c r="J2371" t="s">
        <v>334</v>
      </c>
      <c r="K2371" t="s">
        <v>11138</v>
      </c>
      <c r="L2371" t="s">
        <v>11139</v>
      </c>
      <c r="M2371" t="s">
        <v>271</v>
      </c>
      <c r="N2371" t="s">
        <v>471</v>
      </c>
      <c r="O2371" t="s">
        <v>11140</v>
      </c>
      <c r="P2371" t="s">
        <v>472</v>
      </c>
      <c r="Q2371" t="s">
        <v>11141</v>
      </c>
      <c r="R2371">
        <v>9</v>
      </c>
      <c r="S2371">
        <v>16</v>
      </c>
    </row>
    <row r="2372" spans="1:19" x14ac:dyDescent="0.35">
      <c r="A2372">
        <v>4983</v>
      </c>
      <c r="B2372" t="s">
        <v>11142</v>
      </c>
      <c r="C2372" t="s">
        <v>850</v>
      </c>
      <c r="D2372" t="s">
        <v>11143</v>
      </c>
      <c r="E2372" t="e" cm="1">
        <f t="array" ref="E2372">- Ichtammolum</f>
        <v>#NAME?</v>
      </c>
      <c r="F2372" s="1">
        <v>8500</v>
      </c>
      <c r="G2372" t="s">
        <v>11144</v>
      </c>
      <c r="H2372" t="s">
        <v>11145</v>
      </c>
      <c r="I2372" t="s">
        <v>11146</v>
      </c>
      <c r="J2372" t="s">
        <v>11147</v>
      </c>
      <c r="L2372" t="s">
        <v>11148</v>
      </c>
      <c r="M2372" t="s">
        <v>1029</v>
      </c>
      <c r="N2372" t="s">
        <v>1327</v>
      </c>
      <c r="O2372" t="s">
        <v>11149</v>
      </c>
      <c r="P2372" t="s">
        <v>11150</v>
      </c>
      <c r="Q2372" t="s">
        <v>11151</v>
      </c>
      <c r="R2372">
        <v>9</v>
      </c>
      <c r="S2372">
        <v>16</v>
      </c>
    </row>
    <row r="2373" spans="1:19" x14ac:dyDescent="0.35">
      <c r="A2373">
        <v>6700</v>
      </c>
      <c r="B2373" t="s">
        <v>11101</v>
      </c>
      <c r="C2373" t="s">
        <v>42</v>
      </c>
      <c r="D2373" t="s">
        <v>11102</v>
      </c>
      <c r="E2373" t="e" cm="1">
        <f t="array" ref="E2373">- METHISOPRINOL</f>
        <v>#NAME?</v>
      </c>
      <c r="F2373" t="s">
        <v>11103</v>
      </c>
      <c r="G2373" t="s">
        <v>1691</v>
      </c>
      <c r="H2373" t="s">
        <v>11104</v>
      </c>
      <c r="I2373" t="s">
        <v>11105</v>
      </c>
      <c r="J2373" t="s">
        <v>11106</v>
      </c>
      <c r="K2373" t="s">
        <v>11107</v>
      </c>
      <c r="L2373" t="s">
        <v>11108</v>
      </c>
      <c r="M2373" t="s">
        <v>46</v>
      </c>
      <c r="N2373" t="s">
        <v>322</v>
      </c>
      <c r="O2373" t="s">
        <v>11109</v>
      </c>
      <c r="P2373" t="s">
        <v>5651</v>
      </c>
      <c r="Q2373" t="s">
        <v>11110</v>
      </c>
      <c r="R2373">
        <v>9</v>
      </c>
      <c r="S2373">
        <v>16</v>
      </c>
    </row>
    <row r="2374" spans="1:19" x14ac:dyDescent="0.35">
      <c r="A2374">
        <v>7968</v>
      </c>
      <c r="B2374" t="s">
        <v>11152</v>
      </c>
      <c r="C2374" t="s">
        <v>20</v>
      </c>
      <c r="D2374" t="s">
        <v>11153</v>
      </c>
      <c r="E2374" t="s">
        <v>11154</v>
      </c>
      <c r="F2374" t="s">
        <v>11155</v>
      </c>
      <c r="G2374" t="s">
        <v>737</v>
      </c>
      <c r="H2374" t="s">
        <v>11156</v>
      </c>
      <c r="I2374" t="s">
        <v>3392</v>
      </c>
      <c r="J2374" t="s">
        <v>11157</v>
      </c>
      <c r="L2374" t="s">
        <v>11158</v>
      </c>
      <c r="N2374" t="s">
        <v>11159</v>
      </c>
      <c r="O2374" t="s">
        <v>3396</v>
      </c>
      <c r="P2374" t="s">
        <v>11160</v>
      </c>
      <c r="Q2374" t="s">
        <v>11161</v>
      </c>
      <c r="R2374">
        <v>9</v>
      </c>
      <c r="S2374">
        <v>16</v>
      </c>
    </row>
    <row r="2375" spans="1:19" x14ac:dyDescent="0.35">
      <c r="A2375">
        <v>7700</v>
      </c>
      <c r="B2375" t="s">
        <v>11162</v>
      </c>
      <c r="C2375" t="s">
        <v>20</v>
      </c>
      <c r="D2375" t="s">
        <v>11163</v>
      </c>
      <c r="E2375" t="s">
        <v>11164</v>
      </c>
      <c r="F2375" t="s">
        <v>11165</v>
      </c>
      <c r="G2375" t="s">
        <v>11166</v>
      </c>
      <c r="H2375" t="s">
        <v>11167</v>
      </c>
      <c r="I2375" t="s">
        <v>11168</v>
      </c>
      <c r="J2375" t="s">
        <v>11169</v>
      </c>
      <c r="M2375" t="s">
        <v>63</v>
      </c>
      <c r="N2375" t="s">
        <v>11170</v>
      </c>
      <c r="O2375" t="s">
        <v>11171</v>
      </c>
      <c r="P2375" t="s">
        <v>11172</v>
      </c>
      <c r="Q2375" t="s">
        <v>11173</v>
      </c>
      <c r="R2375">
        <v>9</v>
      </c>
      <c r="S2375">
        <v>16</v>
      </c>
    </row>
    <row r="2376" spans="1:19" x14ac:dyDescent="0.35">
      <c r="A2376">
        <v>4128</v>
      </c>
      <c r="B2376" t="s">
        <v>11174</v>
      </c>
      <c r="C2376" t="s">
        <v>42</v>
      </c>
      <c r="D2376" t="s">
        <v>11175</v>
      </c>
      <c r="E2376" t="e" cm="1">
        <f t="array" ref="E2376">- DEXAMETHASONE</f>
        <v>#NAME?</v>
      </c>
      <c r="F2376" t="s">
        <v>11176</v>
      </c>
      <c r="G2376" t="s">
        <v>11177</v>
      </c>
      <c r="H2376" t="s">
        <v>11178</v>
      </c>
      <c r="I2376" t="s">
        <v>11179</v>
      </c>
      <c r="J2376" t="s">
        <v>334</v>
      </c>
      <c r="K2376" t="s">
        <v>11180</v>
      </c>
      <c r="L2376" t="s">
        <v>11181</v>
      </c>
      <c r="M2376" t="s">
        <v>271</v>
      </c>
      <c r="N2376" t="s">
        <v>3779</v>
      </c>
      <c r="O2376" t="s">
        <v>11182</v>
      </c>
      <c r="P2376" t="s">
        <v>11183</v>
      </c>
      <c r="Q2376" t="s">
        <v>11184</v>
      </c>
      <c r="R2376">
        <v>9</v>
      </c>
      <c r="S2376">
        <v>16</v>
      </c>
    </row>
    <row r="2377" spans="1:19" x14ac:dyDescent="0.35">
      <c r="A2377">
        <v>53</v>
      </c>
      <c r="B2377" t="s">
        <v>2902</v>
      </c>
      <c r="C2377" t="s">
        <v>42</v>
      </c>
      <c r="D2377" t="s">
        <v>11185</v>
      </c>
      <c r="E2377" t="e" cm="1">
        <f t="array" ref="E2377">- SILDENAFIL CITRATE</f>
        <v>#NAME?</v>
      </c>
      <c r="F2377" s="1">
        <v>175300</v>
      </c>
      <c r="G2377" t="s">
        <v>8185</v>
      </c>
      <c r="H2377" t="s">
        <v>3854</v>
      </c>
      <c r="I2377" t="s">
        <v>8186</v>
      </c>
      <c r="J2377" t="s">
        <v>11186</v>
      </c>
      <c r="L2377" t="s">
        <v>8188</v>
      </c>
      <c r="M2377" t="s">
        <v>46</v>
      </c>
      <c r="N2377" t="s">
        <v>2519</v>
      </c>
      <c r="O2377" t="s">
        <v>8189</v>
      </c>
      <c r="P2377" t="s">
        <v>11187</v>
      </c>
      <c r="Q2377" t="s">
        <v>11188</v>
      </c>
      <c r="R2377">
        <v>9</v>
      </c>
      <c r="S2377">
        <v>16</v>
      </c>
    </row>
    <row r="2378" spans="1:19" x14ac:dyDescent="0.35">
      <c r="A2378">
        <v>4124</v>
      </c>
      <c r="B2378" t="s">
        <v>11189</v>
      </c>
      <c r="C2378" t="s">
        <v>42</v>
      </c>
      <c r="D2378" t="s">
        <v>11190</v>
      </c>
      <c r="E2378" t="e" cm="1">
        <f t="array" ref="E2378">- DEXCHLORPHENIRAMINE MALEATE. BETAMETHASONE</f>
        <v>#NAME?</v>
      </c>
      <c r="F2378" t="s">
        <v>11191</v>
      </c>
      <c r="G2378" t="s">
        <v>2241</v>
      </c>
      <c r="H2378" t="s">
        <v>11192</v>
      </c>
      <c r="I2378" t="s">
        <v>11193</v>
      </c>
      <c r="J2378" t="s">
        <v>5085</v>
      </c>
      <c r="K2378" t="s">
        <v>11194</v>
      </c>
      <c r="L2378" t="s">
        <v>11195</v>
      </c>
      <c r="M2378" t="s">
        <v>46</v>
      </c>
      <c r="N2378" t="s">
        <v>11196</v>
      </c>
      <c r="O2378" t="s">
        <v>11197</v>
      </c>
      <c r="P2378" t="s">
        <v>11198</v>
      </c>
      <c r="Q2378" t="s">
        <v>11199</v>
      </c>
      <c r="R2378">
        <v>9</v>
      </c>
      <c r="S2378">
        <v>16</v>
      </c>
    </row>
    <row r="2379" spans="1:19" x14ac:dyDescent="0.35">
      <c r="A2379">
        <v>4125</v>
      </c>
      <c r="B2379" t="s">
        <v>11200</v>
      </c>
      <c r="C2379" t="s">
        <v>42</v>
      </c>
      <c r="D2379" t="s">
        <v>11201</v>
      </c>
      <c r="E2379" t="e" cm="1">
        <f t="array" ref="E2379">- BETAMETHASONE. DEXCHLORPHENIRAMINE MALEATE</f>
        <v>#NAME?</v>
      </c>
      <c r="F2379" t="s">
        <v>11202</v>
      </c>
      <c r="G2379" t="s">
        <v>11203</v>
      </c>
      <c r="H2379" t="s">
        <v>11204</v>
      </c>
      <c r="I2379" t="s">
        <v>11193</v>
      </c>
      <c r="J2379" t="s">
        <v>334</v>
      </c>
      <c r="K2379" t="s">
        <v>11194</v>
      </c>
      <c r="L2379" t="s">
        <v>11195</v>
      </c>
      <c r="M2379" t="s">
        <v>271</v>
      </c>
      <c r="N2379" t="s">
        <v>3200</v>
      </c>
      <c r="O2379" t="s">
        <v>11197</v>
      </c>
      <c r="P2379" t="s">
        <v>11205</v>
      </c>
      <c r="Q2379" t="s">
        <v>11206</v>
      </c>
      <c r="R2379">
        <v>9</v>
      </c>
      <c r="S2379">
        <v>16</v>
      </c>
    </row>
    <row r="2380" spans="1:19" x14ac:dyDescent="0.35">
      <c r="A2380">
        <v>6280</v>
      </c>
      <c r="B2380" t="s">
        <v>11207</v>
      </c>
      <c r="C2380" t="s">
        <v>42</v>
      </c>
      <c r="D2380" t="s">
        <v>11208</v>
      </c>
      <c r="E2380" t="e" cm="1">
        <f t="array" ref="E2380">- AMOXICILLIN</f>
        <v>#NAME?</v>
      </c>
      <c r="F2380" t="s">
        <v>11209</v>
      </c>
      <c r="G2380" t="s">
        <v>11210</v>
      </c>
      <c r="H2380" t="s">
        <v>11211</v>
      </c>
      <c r="I2380" t="s">
        <v>11212</v>
      </c>
      <c r="J2380" t="s">
        <v>727</v>
      </c>
      <c r="K2380" t="s">
        <v>3952</v>
      </c>
      <c r="L2380" t="s">
        <v>11213</v>
      </c>
      <c r="M2380" t="s">
        <v>291</v>
      </c>
      <c r="N2380" t="s">
        <v>505</v>
      </c>
      <c r="O2380" t="s">
        <v>11214</v>
      </c>
      <c r="P2380" t="s">
        <v>11215</v>
      </c>
      <c r="Q2380" t="s">
        <v>11216</v>
      </c>
      <c r="R2380">
        <v>9</v>
      </c>
      <c r="S2380">
        <v>16</v>
      </c>
    </row>
    <row r="2381" spans="1:19" x14ac:dyDescent="0.35">
      <c r="A2381">
        <v>7755</v>
      </c>
      <c r="B2381" t="s">
        <v>11217</v>
      </c>
      <c r="C2381" t="s">
        <v>20</v>
      </c>
      <c r="D2381" t="s">
        <v>11218</v>
      </c>
      <c r="E2381" t="s">
        <v>11219</v>
      </c>
      <c r="F2381" t="s">
        <v>11220</v>
      </c>
      <c r="G2381" t="s">
        <v>60</v>
      </c>
      <c r="H2381" t="s">
        <v>11221</v>
      </c>
      <c r="I2381" t="s">
        <v>11222</v>
      </c>
      <c r="J2381" t="s">
        <v>2478</v>
      </c>
      <c r="K2381" t="s">
        <v>7921</v>
      </c>
      <c r="L2381" t="s">
        <v>11223</v>
      </c>
      <c r="M2381" t="s">
        <v>46</v>
      </c>
      <c r="N2381" t="s">
        <v>11224</v>
      </c>
      <c r="O2381" t="s">
        <v>7924</v>
      </c>
      <c r="P2381" t="s">
        <v>11224</v>
      </c>
      <c r="Q2381" t="s">
        <v>11225</v>
      </c>
      <c r="R2381">
        <v>9</v>
      </c>
      <c r="S2381">
        <v>16</v>
      </c>
    </row>
    <row r="2382" spans="1:19" x14ac:dyDescent="0.35">
      <c r="A2382">
        <v>52</v>
      </c>
      <c r="B2382" t="s">
        <v>2902</v>
      </c>
      <c r="C2382" t="s">
        <v>42</v>
      </c>
      <c r="D2382" t="s">
        <v>11226</v>
      </c>
      <c r="E2382" t="e" cm="1">
        <f t="array" ref="E2382">- SILDENAFIL CITRATE</f>
        <v>#NAME?</v>
      </c>
      <c r="F2382" t="s">
        <v>11227</v>
      </c>
      <c r="G2382" t="s">
        <v>8185</v>
      </c>
      <c r="H2382" t="s">
        <v>3854</v>
      </c>
      <c r="I2382" t="s">
        <v>8186</v>
      </c>
      <c r="J2382" t="s">
        <v>11228</v>
      </c>
      <c r="L2382" t="s">
        <v>8188</v>
      </c>
      <c r="M2382" t="s">
        <v>46</v>
      </c>
      <c r="N2382" t="s">
        <v>2519</v>
      </c>
      <c r="O2382" t="s">
        <v>8189</v>
      </c>
      <c r="P2382" t="s">
        <v>9498</v>
      </c>
      <c r="Q2382" t="s">
        <v>9499</v>
      </c>
      <c r="R2382">
        <v>9</v>
      </c>
      <c r="S2382">
        <v>16</v>
      </c>
    </row>
    <row r="2383" spans="1:19" x14ac:dyDescent="0.35">
      <c r="A2383">
        <v>546</v>
      </c>
      <c r="B2383" t="s">
        <v>10411</v>
      </c>
      <c r="C2383" t="s">
        <v>42</v>
      </c>
      <c r="D2383" t="s">
        <v>10412</v>
      </c>
      <c r="E2383" t="e" cm="1">
        <f t="array" ref="E2383">- SALBUTAMOL SULFATE</f>
        <v>#NAME?</v>
      </c>
      <c r="F2383" t="s">
        <v>10413</v>
      </c>
      <c r="H2383" t="s">
        <v>10414</v>
      </c>
      <c r="I2383" t="s">
        <v>10415</v>
      </c>
      <c r="J2383" t="s">
        <v>10416</v>
      </c>
      <c r="L2383" t="s">
        <v>2278</v>
      </c>
      <c r="M2383" t="s">
        <v>271</v>
      </c>
      <c r="N2383" t="s">
        <v>3424</v>
      </c>
      <c r="O2383" t="s">
        <v>10417</v>
      </c>
      <c r="P2383" t="s">
        <v>10418</v>
      </c>
      <c r="Q2383" t="s">
        <v>10419</v>
      </c>
      <c r="R2383">
        <v>9</v>
      </c>
      <c r="S2383">
        <v>16</v>
      </c>
    </row>
    <row r="2384" spans="1:19" x14ac:dyDescent="0.35">
      <c r="A2384">
        <v>1082</v>
      </c>
      <c r="B2384" t="s">
        <v>11133</v>
      </c>
      <c r="C2384" t="s">
        <v>42</v>
      </c>
      <c r="D2384" t="s">
        <v>11134</v>
      </c>
      <c r="E2384" t="e" cm="1">
        <f t="array" ref="E2384">- ERDOSTEINE</f>
        <v>#NAME?</v>
      </c>
      <c r="F2384" t="s">
        <v>11135</v>
      </c>
      <c r="G2384" t="s">
        <v>5233</v>
      </c>
      <c r="H2384" t="s">
        <v>11136</v>
      </c>
      <c r="I2384" t="s">
        <v>11137</v>
      </c>
      <c r="J2384" t="s">
        <v>334</v>
      </c>
      <c r="K2384" t="s">
        <v>11138</v>
      </c>
      <c r="L2384" t="s">
        <v>11139</v>
      </c>
      <c r="M2384" t="s">
        <v>271</v>
      </c>
      <c r="N2384" t="s">
        <v>471</v>
      </c>
      <c r="O2384" t="s">
        <v>11140</v>
      </c>
      <c r="P2384" t="s">
        <v>472</v>
      </c>
      <c r="Q2384" t="s">
        <v>11141</v>
      </c>
      <c r="R2384">
        <v>9</v>
      </c>
      <c r="S2384">
        <v>16</v>
      </c>
    </row>
    <row r="2385" spans="1:19" x14ac:dyDescent="0.35">
      <c r="A2385">
        <v>4996</v>
      </c>
      <c r="B2385" t="s">
        <v>11229</v>
      </c>
      <c r="C2385" t="s">
        <v>42</v>
      </c>
      <c r="D2385" t="s">
        <v>11230</v>
      </c>
      <c r="E2385" t="e" cm="1">
        <f t="array" ref="E2385">- DESOXIMETASONE</f>
        <v>#NAME?</v>
      </c>
      <c r="F2385" t="s">
        <v>11231</v>
      </c>
      <c r="G2385" t="s">
        <v>11232</v>
      </c>
      <c r="H2385" t="s">
        <v>11233</v>
      </c>
      <c r="I2385" t="s">
        <v>11234</v>
      </c>
      <c r="J2385" t="s">
        <v>1367</v>
      </c>
      <c r="K2385" t="s">
        <v>11235</v>
      </c>
      <c r="L2385" t="s">
        <v>11236</v>
      </c>
      <c r="M2385" t="s">
        <v>1289</v>
      </c>
      <c r="N2385" t="s">
        <v>8965</v>
      </c>
      <c r="O2385" t="s">
        <v>11237</v>
      </c>
      <c r="P2385" t="s">
        <v>11238</v>
      </c>
      <c r="Q2385" t="s">
        <v>11239</v>
      </c>
      <c r="R2385">
        <v>9</v>
      </c>
      <c r="S2385">
        <v>16</v>
      </c>
    </row>
    <row r="2386" spans="1:19" x14ac:dyDescent="0.35">
      <c r="A2386">
        <v>6703</v>
      </c>
      <c r="B2386" t="s">
        <v>11240</v>
      </c>
      <c r="C2386" t="s">
        <v>42</v>
      </c>
      <c r="D2386" t="s">
        <v>11241</v>
      </c>
      <c r="E2386" t="e" cm="1">
        <f t="array" ref="E2386">- ACICLOVIR</f>
        <v>#NAME?</v>
      </c>
      <c r="F2386" t="s">
        <v>11242</v>
      </c>
      <c r="G2386" t="s">
        <v>539</v>
      </c>
      <c r="H2386" t="s">
        <v>10909</v>
      </c>
    </row>
    <row r="2387" spans="1:19" x14ac:dyDescent="0.35">
      <c r="A2387">
        <v>8261</v>
      </c>
      <c r="B2387" t="s">
        <v>551</v>
      </c>
      <c r="C2387" t="s">
        <v>42</v>
      </c>
      <c r="D2387" t="s">
        <v>11243</v>
      </c>
      <c r="E2387" t="e" cm="1">
        <f t="array" ref="E2387">- POVIDONE-IODINE</f>
        <v>#NAME?</v>
      </c>
      <c r="F2387" t="s">
        <v>11244</v>
      </c>
      <c r="G2387" t="s">
        <v>11245</v>
      </c>
      <c r="H2387" t="s">
        <v>11246</v>
      </c>
      <c r="I2387" t="s">
        <v>3530</v>
      </c>
      <c r="J2387" t="s">
        <v>11247</v>
      </c>
      <c r="K2387" t="s">
        <v>3952</v>
      </c>
      <c r="L2387" t="s">
        <v>11248</v>
      </c>
      <c r="M2387" t="s">
        <v>554</v>
      </c>
      <c r="N2387" t="s">
        <v>555</v>
      </c>
      <c r="O2387" t="s">
        <v>9078</v>
      </c>
      <c r="P2387" t="s">
        <v>11249</v>
      </c>
      <c r="Q2387" t="s">
        <v>11250</v>
      </c>
      <c r="R2387">
        <v>9</v>
      </c>
      <c r="S2387">
        <v>16</v>
      </c>
    </row>
    <row r="2388" spans="1:19" x14ac:dyDescent="0.35">
      <c r="A2388">
        <v>857</v>
      </c>
      <c r="B2388" t="s">
        <v>11251</v>
      </c>
      <c r="C2388" t="s">
        <v>42</v>
      </c>
      <c r="D2388" t="s">
        <v>11252</v>
      </c>
      <c r="E2388" t="e" cm="1">
        <f t="array" ref="E2388">- PSEUDOEPHEDRINE HYDROCHLORIDE</f>
        <v>#NAME?</v>
      </c>
      <c r="F2388" t="s">
        <v>11253</v>
      </c>
      <c r="G2388" t="s">
        <v>2241</v>
      </c>
      <c r="H2388" t="s">
        <v>11254</v>
      </c>
      <c r="I2388" t="s">
        <v>11255</v>
      </c>
      <c r="J2388" t="s">
        <v>334</v>
      </c>
      <c r="K2388" t="s">
        <v>11256</v>
      </c>
      <c r="L2388" t="s">
        <v>11257</v>
      </c>
      <c r="M2388" t="s">
        <v>271</v>
      </c>
      <c r="N2388" t="s">
        <v>8326</v>
      </c>
      <c r="O2388" t="s">
        <v>11258</v>
      </c>
      <c r="P2388" t="s">
        <v>8328</v>
      </c>
      <c r="Q2388" t="s">
        <v>11259</v>
      </c>
      <c r="R2388">
        <v>9</v>
      </c>
      <c r="S2388">
        <v>16</v>
      </c>
    </row>
    <row r="2389" spans="1:19" x14ac:dyDescent="0.35">
      <c r="A2389">
        <v>4955</v>
      </c>
      <c r="B2389" t="s">
        <v>11260</v>
      </c>
      <c r="C2389" t="s">
        <v>42</v>
      </c>
      <c r="D2389" t="s">
        <v>11261</v>
      </c>
      <c r="E2389" t="e" cm="1">
        <f t="array" ref="E2389">- AZELAIC ACID</f>
        <v>#NAME?</v>
      </c>
      <c r="F2389" t="s">
        <v>11262</v>
      </c>
      <c r="G2389" t="s">
        <v>11263</v>
      </c>
      <c r="H2389" t="s">
        <v>11264</v>
      </c>
      <c r="I2389" t="s">
        <v>11265</v>
      </c>
      <c r="J2389" t="s">
        <v>7114</v>
      </c>
      <c r="K2389" t="s">
        <v>2726</v>
      </c>
      <c r="L2389" t="s">
        <v>11266</v>
      </c>
    </row>
    <row r="2390" spans="1:19" x14ac:dyDescent="0.35">
      <c r="A2390">
        <v>8260</v>
      </c>
      <c r="B2390" t="s">
        <v>551</v>
      </c>
      <c r="C2390" t="s">
        <v>42</v>
      </c>
      <c r="D2390" t="s">
        <v>11243</v>
      </c>
      <c r="E2390" t="e" cm="1">
        <f t="array" ref="E2390">- POVIDONE-IODINE</f>
        <v>#NAME?</v>
      </c>
      <c r="F2390" t="s">
        <v>11244</v>
      </c>
      <c r="G2390" t="s">
        <v>11245</v>
      </c>
      <c r="H2390" t="s">
        <v>11246</v>
      </c>
      <c r="I2390" t="s">
        <v>3530</v>
      </c>
      <c r="J2390" t="s">
        <v>11247</v>
      </c>
      <c r="K2390" t="s">
        <v>3952</v>
      </c>
      <c r="L2390" t="s">
        <v>11248</v>
      </c>
      <c r="M2390" t="s">
        <v>554</v>
      </c>
      <c r="N2390" t="s">
        <v>555</v>
      </c>
      <c r="O2390" t="s">
        <v>9078</v>
      </c>
      <c r="P2390" t="s">
        <v>11249</v>
      </c>
      <c r="Q2390" t="s">
        <v>11250</v>
      </c>
      <c r="R2390">
        <v>9</v>
      </c>
      <c r="S2390">
        <v>16</v>
      </c>
    </row>
    <row r="2391" spans="1:19" x14ac:dyDescent="0.35">
      <c r="A2391">
        <v>8030</v>
      </c>
      <c r="B2391" t="s">
        <v>11267</v>
      </c>
      <c r="C2391" t="s">
        <v>20</v>
      </c>
      <c r="D2391" t="s">
        <v>11268</v>
      </c>
      <c r="E2391" t="s">
        <v>11269</v>
      </c>
      <c r="F2391" t="s">
        <v>11270</v>
      </c>
      <c r="G2391" t="s">
        <v>539</v>
      </c>
      <c r="H2391" t="s">
        <v>6497</v>
      </c>
      <c r="I2391" t="s">
        <v>11271</v>
      </c>
      <c r="M2391" t="s">
        <v>291</v>
      </c>
      <c r="N2391" t="s">
        <v>11272</v>
      </c>
      <c r="O2391" t="s">
        <v>11273</v>
      </c>
      <c r="P2391" t="s">
        <v>11274</v>
      </c>
      <c r="Q2391" t="s">
        <v>11275</v>
      </c>
      <c r="R2391">
        <v>9</v>
      </c>
      <c r="S2391">
        <v>16</v>
      </c>
    </row>
    <row r="2392" spans="1:19" x14ac:dyDescent="0.35">
      <c r="A2392">
        <v>5977</v>
      </c>
      <c r="B2392" t="s">
        <v>1040</v>
      </c>
      <c r="C2392" t="s">
        <v>42</v>
      </c>
      <c r="D2392" t="s">
        <v>1041</v>
      </c>
      <c r="E2392" t="e" cm="1">
        <f t="array" ref="E2392">- AMOXICILLIN TRIHYDRATE. POTASSIUM CLAVULANATE WITH MICROCRYSTALLINE CELLULOSE</f>
        <v>#NAME?</v>
      </c>
      <c r="F2392" t="s">
        <v>1042</v>
      </c>
      <c r="J2392" t="s">
        <v>1043</v>
      </c>
      <c r="M2392" t="s">
        <v>291</v>
      </c>
      <c r="N2392" t="s">
        <v>11276</v>
      </c>
      <c r="P2392" t="s">
        <v>1044</v>
      </c>
      <c r="Q2392" t="s">
        <v>11277</v>
      </c>
      <c r="R2392">
        <v>9</v>
      </c>
      <c r="S2392">
        <v>16</v>
      </c>
    </row>
    <row r="2393" spans="1:19" x14ac:dyDescent="0.35">
      <c r="A2393">
        <v>8031</v>
      </c>
      <c r="B2393" t="s">
        <v>11278</v>
      </c>
      <c r="C2393" t="s">
        <v>20</v>
      </c>
      <c r="D2393" t="s">
        <v>11279</v>
      </c>
      <c r="E2393" t="s">
        <v>11280</v>
      </c>
      <c r="F2393" t="s">
        <v>11281</v>
      </c>
      <c r="H2393" t="s">
        <v>11282</v>
      </c>
      <c r="I2393" t="s">
        <v>11283</v>
      </c>
      <c r="J2393" t="s">
        <v>11284</v>
      </c>
      <c r="L2393" t="s">
        <v>11285</v>
      </c>
      <c r="M2393" t="s">
        <v>63</v>
      </c>
      <c r="N2393" t="s">
        <v>11286</v>
      </c>
      <c r="O2393" t="s">
        <v>11287</v>
      </c>
      <c r="P2393" t="s">
        <v>11288</v>
      </c>
      <c r="Q2393" t="s">
        <v>11289</v>
      </c>
      <c r="R2393">
        <v>9</v>
      </c>
      <c r="S2393">
        <v>16</v>
      </c>
    </row>
    <row r="2394" spans="1:19" x14ac:dyDescent="0.35">
      <c r="A2394">
        <v>51</v>
      </c>
      <c r="B2394" t="s">
        <v>2902</v>
      </c>
      <c r="C2394" t="s">
        <v>42</v>
      </c>
      <c r="D2394" t="s">
        <v>11290</v>
      </c>
      <c r="E2394" t="e" cm="1">
        <f t="array" ref="E2394">- SILDENAFIL CITRATE</f>
        <v>#NAME?</v>
      </c>
      <c r="F2394" s="1">
        <v>61900</v>
      </c>
      <c r="G2394" t="s">
        <v>8185</v>
      </c>
      <c r="H2394" t="s">
        <v>3854</v>
      </c>
      <c r="I2394" t="s">
        <v>8186</v>
      </c>
      <c r="J2394" t="s">
        <v>10876</v>
      </c>
      <c r="L2394" t="s">
        <v>8188</v>
      </c>
      <c r="M2394" t="s">
        <v>46</v>
      </c>
      <c r="N2394" t="s">
        <v>2519</v>
      </c>
      <c r="O2394" t="s">
        <v>8189</v>
      </c>
      <c r="P2394" t="s">
        <v>10811</v>
      </c>
      <c r="Q2394" t="s">
        <v>10812</v>
      </c>
      <c r="R2394">
        <v>9</v>
      </c>
      <c r="S2394">
        <v>16</v>
      </c>
    </row>
    <row r="2395" spans="1:19" x14ac:dyDescent="0.35">
      <c r="A2395">
        <v>3</v>
      </c>
      <c r="B2395" t="s">
        <v>11015</v>
      </c>
      <c r="C2395" t="s">
        <v>42</v>
      </c>
      <c r="D2395" t="s">
        <v>11016</v>
      </c>
      <c r="E2395" t="e" cm="1">
        <f t="array" ref="E2395">- SILDENAFIL CITRATE</f>
        <v>#NAME?</v>
      </c>
      <c r="F2395" t="s">
        <v>11017</v>
      </c>
      <c r="G2395" t="s">
        <v>8240</v>
      </c>
      <c r="H2395" t="s">
        <v>8241</v>
      </c>
      <c r="I2395" t="s">
        <v>8242</v>
      </c>
      <c r="J2395" t="s">
        <v>10892</v>
      </c>
      <c r="K2395" t="s">
        <v>8252</v>
      </c>
      <c r="L2395" t="s">
        <v>8253</v>
      </c>
      <c r="M2395" t="s">
        <v>46</v>
      </c>
      <c r="N2395" t="s">
        <v>2519</v>
      </c>
      <c r="O2395" t="s">
        <v>8246</v>
      </c>
      <c r="P2395" t="s">
        <v>10893</v>
      </c>
      <c r="Q2395" t="s">
        <v>10894</v>
      </c>
      <c r="R2395">
        <v>9</v>
      </c>
      <c r="S2395">
        <v>16</v>
      </c>
    </row>
    <row r="2396" spans="1:19" x14ac:dyDescent="0.35">
      <c r="A2396">
        <v>4206</v>
      </c>
      <c r="B2396" t="s">
        <v>11291</v>
      </c>
      <c r="C2396" t="s">
        <v>42</v>
      </c>
      <c r="D2396" t="s">
        <v>11292</v>
      </c>
      <c r="E2396" t="e" cm="1">
        <f t="array" ref="E2396">- DEXAMETHASONE</f>
        <v>#NAME?</v>
      </c>
      <c r="F2396" t="s">
        <v>11293</v>
      </c>
      <c r="G2396" t="s">
        <v>11294</v>
      </c>
      <c r="H2396" t="s">
        <v>11295</v>
      </c>
      <c r="I2396" t="s">
        <v>11296</v>
      </c>
      <c r="J2396" t="s">
        <v>1631</v>
      </c>
      <c r="L2396" t="s">
        <v>321</v>
      </c>
      <c r="M2396" t="s">
        <v>291</v>
      </c>
      <c r="N2396" t="s">
        <v>3779</v>
      </c>
      <c r="O2396" t="s">
        <v>11297</v>
      </c>
      <c r="P2396" t="s">
        <v>11298</v>
      </c>
      <c r="Q2396" t="s">
        <v>11299</v>
      </c>
      <c r="R2396">
        <v>9</v>
      </c>
      <c r="S2396">
        <v>16</v>
      </c>
    </row>
    <row r="2397" spans="1:19" x14ac:dyDescent="0.35">
      <c r="A2397">
        <v>7756</v>
      </c>
      <c r="B2397" t="s">
        <v>11217</v>
      </c>
      <c r="C2397" t="s">
        <v>20</v>
      </c>
      <c r="D2397" t="s">
        <v>11218</v>
      </c>
      <c r="E2397" t="s">
        <v>11219</v>
      </c>
      <c r="F2397" t="s">
        <v>11220</v>
      </c>
      <c r="G2397" t="s">
        <v>60</v>
      </c>
      <c r="H2397" t="s">
        <v>11221</v>
      </c>
      <c r="I2397" t="s">
        <v>11222</v>
      </c>
      <c r="J2397" t="s">
        <v>2478</v>
      </c>
      <c r="K2397" t="s">
        <v>7921</v>
      </c>
      <c r="L2397" t="s">
        <v>11223</v>
      </c>
      <c r="M2397" t="s">
        <v>46</v>
      </c>
      <c r="N2397" t="s">
        <v>11224</v>
      </c>
      <c r="O2397" t="s">
        <v>7924</v>
      </c>
      <c r="P2397" t="s">
        <v>11224</v>
      </c>
      <c r="Q2397" t="s">
        <v>11225</v>
      </c>
      <c r="R2397">
        <v>9</v>
      </c>
      <c r="S2397">
        <v>16</v>
      </c>
    </row>
    <row r="2398" spans="1:19" x14ac:dyDescent="0.35">
      <c r="A2398">
        <v>5484</v>
      </c>
      <c r="B2398" t="s">
        <v>11300</v>
      </c>
      <c r="C2398" t="s">
        <v>42</v>
      </c>
      <c r="D2398" t="s">
        <v>11301</v>
      </c>
      <c r="E2398" t="e" cm="1">
        <f t="array" ref="E2398">- FLUOCINOLONE ACETONIDE</f>
        <v>#NAME?</v>
      </c>
      <c r="F2398" t="s">
        <v>11302</v>
      </c>
      <c r="H2398" t="s">
        <v>319</v>
      </c>
      <c r="I2398" t="s">
        <v>11303</v>
      </c>
      <c r="J2398" t="s">
        <v>2040</v>
      </c>
      <c r="L2398" t="s">
        <v>321</v>
      </c>
      <c r="M2398" t="s">
        <v>1289</v>
      </c>
      <c r="N2398" t="s">
        <v>2766</v>
      </c>
      <c r="O2398" t="s">
        <v>11304</v>
      </c>
      <c r="P2398" t="s">
        <v>11305</v>
      </c>
      <c r="Q2398" t="s">
        <v>11306</v>
      </c>
      <c r="R2398">
        <v>10</v>
      </c>
      <c r="S2398">
        <v>16</v>
      </c>
    </row>
    <row r="2399" spans="1:19" x14ac:dyDescent="0.35">
      <c r="A2399">
        <v>1505</v>
      </c>
      <c r="B2399" t="s">
        <v>11307</v>
      </c>
      <c r="C2399" t="s">
        <v>42</v>
      </c>
      <c r="D2399" t="s">
        <v>11308</v>
      </c>
      <c r="E2399" t="e" cm="1">
        <f t="array" ref="E2399">- ACETYLCYSTEINE</f>
        <v>#NAME?</v>
      </c>
      <c r="F2399" s="1">
        <v>34800</v>
      </c>
      <c r="G2399" t="s">
        <v>2241</v>
      </c>
      <c r="H2399" t="s">
        <v>11309</v>
      </c>
      <c r="I2399" t="s">
        <v>11310</v>
      </c>
      <c r="J2399" t="s">
        <v>11311</v>
      </c>
      <c r="K2399" t="s">
        <v>2726</v>
      </c>
      <c r="L2399" t="s">
        <v>11312</v>
      </c>
      <c r="M2399" t="s">
        <v>38</v>
      </c>
      <c r="N2399" t="s">
        <v>9045</v>
      </c>
      <c r="O2399" t="s">
        <v>11313</v>
      </c>
      <c r="P2399" t="s">
        <v>11314</v>
      </c>
      <c r="Q2399" t="s">
        <v>11315</v>
      </c>
      <c r="R2399">
        <v>10</v>
      </c>
      <c r="S2399">
        <v>16</v>
      </c>
    </row>
    <row r="2400" spans="1:19" x14ac:dyDescent="0.35">
      <c r="A2400">
        <v>4760</v>
      </c>
      <c r="B2400" t="s">
        <v>11316</v>
      </c>
      <c r="C2400" t="s">
        <v>42</v>
      </c>
      <c r="D2400" t="s">
        <v>11317</v>
      </c>
      <c r="E2400" t="e" cm="1">
        <f t="array" ref="E2400">- BRINZOLAMIDE</f>
        <v>#NAME?</v>
      </c>
      <c r="F2400" t="s">
        <v>11318</v>
      </c>
      <c r="G2400" t="s">
        <v>7569</v>
      </c>
      <c r="H2400" t="s">
        <v>11319</v>
      </c>
      <c r="I2400" t="s">
        <v>11320</v>
      </c>
      <c r="J2400" t="s">
        <v>11321</v>
      </c>
      <c r="K2400" t="s">
        <v>11322</v>
      </c>
      <c r="L2400" t="s">
        <v>11323</v>
      </c>
      <c r="M2400" t="s">
        <v>824</v>
      </c>
      <c r="N2400" t="s">
        <v>11324</v>
      </c>
      <c r="O2400" t="s">
        <v>11325</v>
      </c>
      <c r="P2400" t="s">
        <v>11326</v>
      </c>
      <c r="Q2400" t="s">
        <v>11327</v>
      </c>
      <c r="R2400">
        <v>10</v>
      </c>
      <c r="S2400">
        <v>16</v>
      </c>
    </row>
    <row r="2401" spans="1:19" x14ac:dyDescent="0.35">
      <c r="A2401">
        <v>533</v>
      </c>
      <c r="B2401" t="s">
        <v>11328</v>
      </c>
      <c r="C2401" t="s">
        <v>42</v>
      </c>
      <c r="D2401" t="s">
        <v>11329</v>
      </c>
      <c r="E2401" t="e" cm="1">
        <f t="array" ref="E2401">- SALBUTAMOL SULFATE</f>
        <v>#NAME?</v>
      </c>
      <c r="F2401" t="s">
        <v>604</v>
      </c>
      <c r="G2401" t="s">
        <v>11330</v>
      </c>
      <c r="H2401" t="s">
        <v>11331</v>
      </c>
      <c r="I2401" t="s">
        <v>11332</v>
      </c>
      <c r="J2401" t="s">
        <v>381</v>
      </c>
      <c r="K2401" t="s">
        <v>2726</v>
      </c>
      <c r="L2401" t="s">
        <v>11333</v>
      </c>
      <c r="M2401" t="s">
        <v>46</v>
      </c>
      <c r="N2401" t="s">
        <v>3424</v>
      </c>
      <c r="O2401" t="s">
        <v>11334</v>
      </c>
      <c r="P2401" t="s">
        <v>11335</v>
      </c>
      <c r="Q2401" t="s">
        <v>11336</v>
      </c>
      <c r="R2401">
        <v>10</v>
      </c>
      <c r="S2401">
        <v>16</v>
      </c>
    </row>
    <row r="2402" spans="1:19" x14ac:dyDescent="0.35">
      <c r="A2402">
        <v>1468</v>
      </c>
      <c r="B2402" t="s">
        <v>11337</v>
      </c>
      <c r="C2402" t="s">
        <v>42</v>
      </c>
      <c r="D2402" t="s">
        <v>11338</v>
      </c>
      <c r="E2402" t="e" cm="1">
        <f t="array" ref="E2402">- AMMONIUM CHLORIDE</f>
        <v>#NAME?</v>
      </c>
      <c r="F2402" t="s">
        <v>11339</v>
      </c>
      <c r="H2402" t="s">
        <v>11340</v>
      </c>
      <c r="I2402" t="s">
        <v>11341</v>
      </c>
      <c r="J2402" t="s">
        <v>334</v>
      </c>
      <c r="K2402" t="s">
        <v>11342</v>
      </c>
      <c r="L2402" t="s">
        <v>11343</v>
      </c>
      <c r="M2402" t="s">
        <v>271</v>
      </c>
      <c r="N2402" t="s">
        <v>1672</v>
      </c>
      <c r="O2402" t="s">
        <v>11344</v>
      </c>
      <c r="P2402" t="s">
        <v>11345</v>
      </c>
      <c r="Q2402" t="s">
        <v>11346</v>
      </c>
      <c r="R2402">
        <v>10</v>
      </c>
      <c r="S2402">
        <v>16</v>
      </c>
    </row>
    <row r="2403" spans="1:19" x14ac:dyDescent="0.35">
      <c r="A2403">
        <v>166</v>
      </c>
      <c r="B2403" t="s">
        <v>2902</v>
      </c>
      <c r="C2403" t="s">
        <v>42</v>
      </c>
      <c r="D2403" t="s">
        <v>11347</v>
      </c>
      <c r="E2403" t="e" cm="1">
        <f t="array" ref="E2403">- SILDENAFIL CITRATE</f>
        <v>#NAME?</v>
      </c>
      <c r="F2403" t="s">
        <v>11348</v>
      </c>
      <c r="G2403" t="s">
        <v>11349</v>
      </c>
      <c r="H2403" t="s">
        <v>1322</v>
      </c>
      <c r="I2403" t="s">
        <v>11350</v>
      </c>
      <c r="J2403" t="s">
        <v>11351</v>
      </c>
      <c r="M2403" t="s">
        <v>46</v>
      </c>
      <c r="N2403" t="s">
        <v>2519</v>
      </c>
      <c r="O2403" t="s">
        <v>11352</v>
      </c>
      <c r="P2403" t="s">
        <v>11353</v>
      </c>
      <c r="Q2403" t="s">
        <v>11354</v>
      </c>
      <c r="R2403">
        <v>10</v>
      </c>
      <c r="S2403">
        <v>16</v>
      </c>
    </row>
    <row r="2404" spans="1:19" x14ac:dyDescent="0.35">
      <c r="A2404">
        <v>8958</v>
      </c>
      <c r="B2404" t="s">
        <v>11355</v>
      </c>
      <c r="C2404" t="s">
        <v>42</v>
      </c>
      <c r="D2404" t="s">
        <v>11356</v>
      </c>
      <c r="E2404" t="e" cm="1">
        <f t="array" ref="E2404">- FUROSEMIDE</f>
        <v>#NAME?</v>
      </c>
      <c r="F2404" t="s">
        <v>11357</v>
      </c>
      <c r="G2404" t="s">
        <v>9785</v>
      </c>
      <c r="H2404" t="s">
        <v>9786</v>
      </c>
      <c r="I2404" t="s">
        <v>9787</v>
      </c>
      <c r="J2404" t="s">
        <v>381</v>
      </c>
      <c r="K2404" t="s">
        <v>9788</v>
      </c>
      <c r="L2404" t="s">
        <v>9789</v>
      </c>
      <c r="M2404" t="s">
        <v>46</v>
      </c>
      <c r="N2404" t="s">
        <v>9790</v>
      </c>
      <c r="O2404" t="s">
        <v>9791</v>
      </c>
      <c r="P2404" t="s">
        <v>11358</v>
      </c>
      <c r="Q2404" t="s">
        <v>11359</v>
      </c>
      <c r="R2404">
        <v>10</v>
      </c>
      <c r="S2404">
        <v>16</v>
      </c>
    </row>
    <row r="2405" spans="1:19" x14ac:dyDescent="0.35">
      <c r="A2405">
        <v>1506</v>
      </c>
      <c r="B2405" t="s">
        <v>11360</v>
      </c>
      <c r="C2405" t="s">
        <v>42</v>
      </c>
      <c r="D2405" t="s">
        <v>11361</v>
      </c>
      <c r="E2405" t="e" cm="1">
        <f t="array" ref="E2405">- ACETYLCYSTEINE</f>
        <v>#NAME?</v>
      </c>
      <c r="F2405" t="s">
        <v>11362</v>
      </c>
      <c r="G2405" t="s">
        <v>2241</v>
      </c>
      <c r="H2405" t="s">
        <v>11363</v>
      </c>
      <c r="I2405" t="s">
        <v>11364</v>
      </c>
      <c r="J2405" t="s">
        <v>11365</v>
      </c>
      <c r="K2405" t="s">
        <v>11366</v>
      </c>
      <c r="L2405" t="s">
        <v>11367</v>
      </c>
      <c r="M2405" t="s">
        <v>271</v>
      </c>
      <c r="N2405" t="s">
        <v>9045</v>
      </c>
      <c r="O2405" t="s">
        <v>11368</v>
      </c>
      <c r="P2405" t="s">
        <v>11314</v>
      </c>
      <c r="Q2405" t="s">
        <v>11369</v>
      </c>
      <c r="R2405">
        <v>10</v>
      </c>
      <c r="S2405">
        <v>16</v>
      </c>
    </row>
    <row r="2406" spans="1:19" x14ac:dyDescent="0.35">
      <c r="A2406">
        <v>135</v>
      </c>
      <c r="B2406" t="s">
        <v>2902</v>
      </c>
      <c r="C2406" t="s">
        <v>42</v>
      </c>
      <c r="D2406" t="s">
        <v>11370</v>
      </c>
      <c r="E2406" t="e" cm="1">
        <f t="array" ref="E2406">- SILDENAFIL CITRATE</f>
        <v>#NAME?</v>
      </c>
      <c r="F2406" t="s">
        <v>11371</v>
      </c>
      <c r="G2406" t="s">
        <v>8185</v>
      </c>
      <c r="H2406" t="s">
        <v>3854</v>
      </c>
      <c r="I2406" t="s">
        <v>8186</v>
      </c>
      <c r="J2406" t="s">
        <v>9621</v>
      </c>
      <c r="L2406" t="s">
        <v>8188</v>
      </c>
      <c r="M2406" t="s">
        <v>46</v>
      </c>
      <c r="N2406" t="s">
        <v>2519</v>
      </c>
      <c r="O2406" t="s">
        <v>8189</v>
      </c>
      <c r="P2406" t="s">
        <v>11372</v>
      </c>
      <c r="Q2406" t="s">
        <v>11373</v>
      </c>
      <c r="R2406">
        <v>10</v>
      </c>
      <c r="S2406">
        <v>16</v>
      </c>
    </row>
    <row r="2407" spans="1:19" x14ac:dyDescent="0.35">
      <c r="A2407">
        <v>3815</v>
      </c>
      <c r="B2407" t="s">
        <v>11374</v>
      </c>
      <c r="C2407" t="s">
        <v>42</v>
      </c>
      <c r="D2407" t="s">
        <v>11375</v>
      </c>
      <c r="E2407" t="e" cm="1">
        <f t="array" ref="E2407">- LOPERAMIDE HYDROCHLORIDE</f>
        <v>#NAME?</v>
      </c>
      <c r="F2407" t="s">
        <v>11376</v>
      </c>
      <c r="G2407" t="s">
        <v>3098</v>
      </c>
      <c r="H2407" t="s">
        <v>11377</v>
      </c>
      <c r="I2407" t="s">
        <v>11378</v>
      </c>
      <c r="J2407" t="s">
        <v>1136</v>
      </c>
      <c r="K2407" t="s">
        <v>11379</v>
      </c>
      <c r="L2407" t="s">
        <v>270</v>
      </c>
      <c r="M2407" t="s">
        <v>46</v>
      </c>
      <c r="N2407" t="s">
        <v>1461</v>
      </c>
      <c r="O2407" t="s">
        <v>11380</v>
      </c>
      <c r="P2407" t="s">
        <v>11381</v>
      </c>
      <c r="Q2407" t="s">
        <v>11382</v>
      </c>
      <c r="R2407">
        <v>10</v>
      </c>
      <c r="S2407">
        <v>16</v>
      </c>
    </row>
    <row r="2408" spans="1:19" x14ac:dyDescent="0.35">
      <c r="A2408">
        <v>1084</v>
      </c>
      <c r="B2408" t="s">
        <v>11383</v>
      </c>
      <c r="C2408" t="s">
        <v>42</v>
      </c>
      <c r="D2408" t="s">
        <v>11384</v>
      </c>
      <c r="E2408" t="e" cm="1">
        <f t="array" ref="E2408">- CHLORPHENAMINE MALEATE</f>
        <v>#NAME?</v>
      </c>
      <c r="F2408" t="s">
        <v>11385</v>
      </c>
      <c r="G2408" t="s">
        <v>5301</v>
      </c>
      <c r="H2408" t="s">
        <v>11386</v>
      </c>
      <c r="I2408" t="s">
        <v>11387</v>
      </c>
      <c r="J2408" t="s">
        <v>846</v>
      </c>
      <c r="K2408" t="s">
        <v>11388</v>
      </c>
      <c r="L2408" t="s">
        <v>11389</v>
      </c>
      <c r="M2408" t="s">
        <v>271</v>
      </c>
      <c r="N2408" t="s">
        <v>1354</v>
      </c>
      <c r="O2408" t="s">
        <v>11390</v>
      </c>
      <c r="P2408" t="s">
        <v>11391</v>
      </c>
      <c r="Q2408" t="s">
        <v>11392</v>
      </c>
      <c r="R2408">
        <v>10</v>
      </c>
      <c r="S2408">
        <v>16</v>
      </c>
    </row>
    <row r="2409" spans="1:19" x14ac:dyDescent="0.35">
      <c r="A2409">
        <v>1241</v>
      </c>
      <c r="B2409" t="s">
        <v>11393</v>
      </c>
      <c r="C2409" t="s">
        <v>42</v>
      </c>
      <c r="D2409" t="s">
        <v>11394</v>
      </c>
      <c r="E2409" t="e" cm="1">
        <f t="array" ref="E2409">- PSEUDOEPHEDRINE HYDROCHLORIDE. TRIPROLIDINE HYDROCHLORIDE</f>
        <v>#NAME?</v>
      </c>
      <c r="G2409" t="s">
        <v>4469</v>
      </c>
      <c r="H2409" t="s">
        <v>8321</v>
      </c>
      <c r="I2409" t="s">
        <v>8322</v>
      </c>
      <c r="J2409" t="s">
        <v>381</v>
      </c>
      <c r="L2409" t="s">
        <v>11395</v>
      </c>
      <c r="M2409" t="s">
        <v>46</v>
      </c>
      <c r="N2409" t="s">
        <v>3820</v>
      </c>
      <c r="O2409" t="s">
        <v>8327</v>
      </c>
      <c r="P2409" t="s">
        <v>11396</v>
      </c>
      <c r="Q2409" t="s">
        <v>11397</v>
      </c>
      <c r="R2409">
        <v>10</v>
      </c>
      <c r="S2409">
        <v>16</v>
      </c>
    </row>
    <row r="2410" spans="1:19" x14ac:dyDescent="0.35">
      <c r="A2410">
        <v>3814</v>
      </c>
      <c r="B2410" t="s">
        <v>11374</v>
      </c>
      <c r="C2410" t="s">
        <v>42</v>
      </c>
      <c r="D2410" t="s">
        <v>11375</v>
      </c>
      <c r="E2410" t="e" cm="1">
        <f t="array" ref="E2410">- LOPERAMIDE HYDROCHLORIDE</f>
        <v>#NAME?</v>
      </c>
      <c r="F2410" t="s">
        <v>11376</v>
      </c>
      <c r="G2410" t="s">
        <v>3098</v>
      </c>
      <c r="H2410" t="s">
        <v>11377</v>
      </c>
      <c r="I2410" t="s">
        <v>11378</v>
      </c>
      <c r="J2410" t="s">
        <v>1136</v>
      </c>
      <c r="K2410" t="s">
        <v>11379</v>
      </c>
      <c r="L2410" t="s">
        <v>270</v>
      </c>
      <c r="M2410" t="s">
        <v>46</v>
      </c>
      <c r="N2410" t="s">
        <v>1461</v>
      </c>
      <c r="O2410" t="s">
        <v>11380</v>
      </c>
      <c r="P2410" t="s">
        <v>11381</v>
      </c>
      <c r="Q2410" t="s">
        <v>11382</v>
      </c>
      <c r="R2410">
        <v>10</v>
      </c>
      <c r="S2410">
        <v>16</v>
      </c>
    </row>
    <row r="2411" spans="1:19" x14ac:dyDescent="0.35">
      <c r="A2411">
        <v>9114</v>
      </c>
      <c r="B2411" t="s">
        <v>11398</v>
      </c>
      <c r="C2411" t="s">
        <v>42</v>
      </c>
      <c r="D2411" t="s">
        <v>11399</v>
      </c>
      <c r="E2411" t="e" cm="1">
        <f t="array" ref="E2411">- FUROSEMIDE</f>
        <v>#NAME?</v>
      </c>
      <c r="F2411" t="s">
        <v>11400</v>
      </c>
      <c r="G2411" t="s">
        <v>9785</v>
      </c>
      <c r="H2411" t="s">
        <v>9786</v>
      </c>
      <c r="I2411" t="s">
        <v>9787</v>
      </c>
      <c r="J2411" t="s">
        <v>8086</v>
      </c>
      <c r="K2411" t="s">
        <v>9788</v>
      </c>
      <c r="L2411" t="s">
        <v>9789</v>
      </c>
      <c r="M2411" t="s">
        <v>46</v>
      </c>
      <c r="N2411" t="s">
        <v>9790</v>
      </c>
      <c r="O2411" t="s">
        <v>9791</v>
      </c>
      <c r="P2411" t="s">
        <v>11401</v>
      </c>
      <c r="Q2411" t="s">
        <v>11402</v>
      </c>
      <c r="R2411">
        <v>10</v>
      </c>
      <c r="S2411">
        <v>16</v>
      </c>
    </row>
    <row r="2412" spans="1:19" x14ac:dyDescent="0.35">
      <c r="A2412">
        <v>3581</v>
      </c>
      <c r="B2412" t="s">
        <v>11403</v>
      </c>
      <c r="C2412" t="s">
        <v>42</v>
      </c>
      <c r="D2412" t="s">
        <v>11404</v>
      </c>
      <c r="E2412" t="e" cm="1">
        <f t="array" ref="E2412">- DOMPERIDONE MALEATE</f>
        <v>#NAME?</v>
      </c>
      <c r="F2412" t="s">
        <v>11405</v>
      </c>
      <c r="G2412" t="s">
        <v>10502</v>
      </c>
      <c r="H2412" t="s">
        <v>7978</v>
      </c>
      <c r="I2412" t="s">
        <v>11406</v>
      </c>
      <c r="J2412" t="s">
        <v>829</v>
      </c>
      <c r="K2412" t="s">
        <v>3168</v>
      </c>
      <c r="L2412" t="s">
        <v>10505</v>
      </c>
      <c r="M2412" t="s">
        <v>340</v>
      </c>
      <c r="N2412" t="s">
        <v>1609</v>
      </c>
      <c r="O2412" t="s">
        <v>11407</v>
      </c>
      <c r="P2412" t="s">
        <v>11408</v>
      </c>
      <c r="Q2412" t="s">
        <v>11409</v>
      </c>
      <c r="R2412">
        <v>10</v>
      </c>
      <c r="S2412">
        <v>16</v>
      </c>
    </row>
    <row r="2413" spans="1:19" x14ac:dyDescent="0.35">
      <c r="A2413">
        <v>5370</v>
      </c>
      <c r="B2413" t="s">
        <v>11410</v>
      </c>
      <c r="C2413" t="s">
        <v>42</v>
      </c>
      <c r="D2413" t="s">
        <v>11411</v>
      </c>
      <c r="E2413" t="e" cm="1">
        <f t="array" ref="E2413">- FLUOCINOLONE ACETONIDE</f>
        <v>#NAME?</v>
      </c>
      <c r="F2413" t="s">
        <v>11412</v>
      </c>
      <c r="H2413" t="s">
        <v>11413</v>
      </c>
      <c r="I2413" t="s">
        <v>11414</v>
      </c>
      <c r="J2413" t="s">
        <v>9720</v>
      </c>
      <c r="L2413" t="s">
        <v>11415</v>
      </c>
      <c r="M2413" t="s">
        <v>1289</v>
      </c>
      <c r="N2413" t="s">
        <v>2766</v>
      </c>
      <c r="O2413" t="s">
        <v>11416</v>
      </c>
      <c r="P2413" t="s">
        <v>11417</v>
      </c>
      <c r="Q2413" t="s">
        <v>11418</v>
      </c>
      <c r="R2413">
        <v>10</v>
      </c>
      <c r="S2413">
        <v>16</v>
      </c>
    </row>
    <row r="2414" spans="1:19" x14ac:dyDescent="0.35">
      <c r="A2414">
        <v>9113</v>
      </c>
      <c r="B2414" t="s">
        <v>11398</v>
      </c>
      <c r="C2414" t="s">
        <v>42</v>
      </c>
      <c r="D2414" t="s">
        <v>11399</v>
      </c>
      <c r="E2414" t="e" cm="1">
        <f t="array" ref="E2414">- FUROSEMIDE</f>
        <v>#NAME?</v>
      </c>
      <c r="F2414" t="s">
        <v>11400</v>
      </c>
      <c r="G2414" t="s">
        <v>9785</v>
      </c>
      <c r="H2414" t="s">
        <v>9786</v>
      </c>
      <c r="I2414" t="s">
        <v>9787</v>
      </c>
      <c r="J2414" t="s">
        <v>8086</v>
      </c>
      <c r="K2414" t="s">
        <v>9788</v>
      </c>
      <c r="L2414" t="s">
        <v>9789</v>
      </c>
      <c r="M2414" t="s">
        <v>46</v>
      </c>
      <c r="N2414" t="s">
        <v>9790</v>
      </c>
      <c r="O2414" t="s">
        <v>9791</v>
      </c>
      <c r="P2414" t="s">
        <v>11401</v>
      </c>
      <c r="Q2414" t="s">
        <v>11402</v>
      </c>
      <c r="R2414">
        <v>10</v>
      </c>
      <c r="S2414">
        <v>16</v>
      </c>
    </row>
    <row r="2415" spans="1:19" x14ac:dyDescent="0.35">
      <c r="A2415">
        <v>7726</v>
      </c>
      <c r="B2415" t="s">
        <v>11419</v>
      </c>
      <c r="C2415" t="s">
        <v>20</v>
      </c>
      <c r="D2415" t="s">
        <v>11420</v>
      </c>
      <c r="E2415" t="s">
        <v>11421</v>
      </c>
      <c r="F2415" t="s">
        <v>11422</v>
      </c>
      <c r="G2415" t="s">
        <v>11423</v>
      </c>
      <c r="H2415" t="s">
        <v>11424</v>
      </c>
      <c r="I2415" t="s">
        <v>11425</v>
      </c>
      <c r="J2415" t="s">
        <v>11426</v>
      </c>
      <c r="K2415" t="s">
        <v>11427</v>
      </c>
      <c r="L2415" t="s">
        <v>11428</v>
      </c>
      <c r="M2415" t="s">
        <v>46</v>
      </c>
      <c r="N2415" t="s">
        <v>11429</v>
      </c>
      <c r="O2415" t="s">
        <v>4005</v>
      </c>
      <c r="P2415" t="s">
        <v>11430</v>
      </c>
      <c r="Q2415" t="s">
        <v>11431</v>
      </c>
      <c r="R2415">
        <v>10</v>
      </c>
      <c r="S2415">
        <v>16</v>
      </c>
    </row>
    <row r="2416" spans="1:19" x14ac:dyDescent="0.35">
      <c r="A2416">
        <v>132</v>
      </c>
      <c r="B2416" t="s">
        <v>2902</v>
      </c>
      <c r="C2416" t="s">
        <v>42</v>
      </c>
      <c r="D2416" t="s">
        <v>11432</v>
      </c>
      <c r="E2416" t="e" cm="1">
        <f t="array" ref="E2416">- SILDENAFIL CITRATE</f>
        <v>#NAME?</v>
      </c>
      <c r="F2416" t="s">
        <v>11433</v>
      </c>
      <c r="G2416" t="s">
        <v>8185</v>
      </c>
      <c r="H2416" t="s">
        <v>3854</v>
      </c>
      <c r="I2416" t="s">
        <v>8186</v>
      </c>
      <c r="J2416" t="s">
        <v>9149</v>
      </c>
      <c r="L2416" t="s">
        <v>8188</v>
      </c>
      <c r="M2416" t="s">
        <v>46</v>
      </c>
      <c r="N2416" t="s">
        <v>2519</v>
      </c>
      <c r="O2416" t="s">
        <v>8189</v>
      </c>
      <c r="P2416" t="s">
        <v>11434</v>
      </c>
      <c r="Q2416" t="s">
        <v>11435</v>
      </c>
      <c r="R2416">
        <v>10</v>
      </c>
      <c r="S2416">
        <v>16</v>
      </c>
    </row>
    <row r="2417" spans="1:19" x14ac:dyDescent="0.35">
      <c r="A2417">
        <v>4747</v>
      </c>
      <c r="B2417" t="s">
        <v>11436</v>
      </c>
      <c r="C2417" t="s">
        <v>42</v>
      </c>
      <c r="D2417" t="s">
        <v>11437</v>
      </c>
      <c r="E2417" t="e" cm="1">
        <f t="array" ref="E2417">- CHLORAMPHENICOL</f>
        <v>#NAME?</v>
      </c>
      <c r="F2417" t="s">
        <v>11438</v>
      </c>
      <c r="G2417" t="s">
        <v>7569</v>
      </c>
      <c r="H2417" t="s">
        <v>11439</v>
      </c>
      <c r="I2417" t="s">
        <v>11440</v>
      </c>
      <c r="J2417" t="s">
        <v>1647</v>
      </c>
      <c r="K2417" t="s">
        <v>4677</v>
      </c>
      <c r="L2417" t="s">
        <v>11441</v>
      </c>
      <c r="M2417" t="s">
        <v>824</v>
      </c>
      <c r="N2417" t="s">
        <v>1188</v>
      </c>
      <c r="O2417" t="s">
        <v>11442</v>
      </c>
      <c r="P2417" t="s">
        <v>11443</v>
      </c>
      <c r="Q2417" t="s">
        <v>11444</v>
      </c>
      <c r="R2417">
        <v>10</v>
      </c>
      <c r="S2417">
        <v>16</v>
      </c>
    </row>
    <row r="2418" spans="1:19" x14ac:dyDescent="0.35">
      <c r="A2418">
        <v>531</v>
      </c>
      <c r="B2418" t="s">
        <v>11445</v>
      </c>
      <c r="C2418" t="s">
        <v>42</v>
      </c>
      <c r="D2418" t="s">
        <v>11446</v>
      </c>
      <c r="E2418" t="e" cm="1">
        <f t="array" ref="E2418">- SALBUTAMOL</f>
        <v>#NAME?</v>
      </c>
      <c r="F2418" t="s">
        <v>11447</v>
      </c>
      <c r="G2418" t="s">
        <v>737</v>
      </c>
      <c r="H2418" t="s">
        <v>11448</v>
      </c>
      <c r="I2418" t="s">
        <v>11449</v>
      </c>
      <c r="J2418" t="s">
        <v>381</v>
      </c>
      <c r="K2418" t="s">
        <v>11450</v>
      </c>
      <c r="L2418" t="s">
        <v>11451</v>
      </c>
      <c r="M2418" t="s">
        <v>46</v>
      </c>
      <c r="N2418" t="s">
        <v>3463</v>
      </c>
      <c r="O2418" t="s">
        <v>11452</v>
      </c>
      <c r="P2418" t="s">
        <v>11335</v>
      </c>
      <c r="Q2418" t="s">
        <v>11453</v>
      </c>
      <c r="R2418">
        <v>10</v>
      </c>
      <c r="S2418">
        <v>16</v>
      </c>
    </row>
    <row r="2419" spans="1:19" x14ac:dyDescent="0.35">
      <c r="A2419">
        <v>7837</v>
      </c>
      <c r="B2419" t="s">
        <v>11454</v>
      </c>
      <c r="C2419" t="s">
        <v>20</v>
      </c>
      <c r="D2419" t="s">
        <v>11455</v>
      </c>
      <c r="E2419" t="s">
        <v>11456</v>
      </c>
      <c r="F2419" t="s">
        <v>11457</v>
      </c>
      <c r="G2419" t="s">
        <v>2241</v>
      </c>
      <c r="H2419" t="s">
        <v>11458</v>
      </c>
      <c r="I2419" t="s">
        <v>11459</v>
      </c>
      <c r="J2419" t="s">
        <v>11460</v>
      </c>
      <c r="L2419" t="s">
        <v>11461</v>
      </c>
      <c r="N2419" t="s">
        <v>11462</v>
      </c>
      <c r="O2419" t="s">
        <v>11463</v>
      </c>
      <c r="P2419" t="s">
        <v>11464</v>
      </c>
      <c r="Q2419" t="s">
        <v>11465</v>
      </c>
      <c r="R2419">
        <v>10</v>
      </c>
      <c r="S2419">
        <v>16</v>
      </c>
    </row>
    <row r="2420" spans="1:19" x14ac:dyDescent="0.35">
      <c r="A2420">
        <v>9127</v>
      </c>
      <c r="B2420" t="s">
        <v>11466</v>
      </c>
      <c r="C2420" t="s">
        <v>42</v>
      </c>
      <c r="D2420" t="s">
        <v>11467</v>
      </c>
      <c r="E2420" t="e" cm="1">
        <f t="array" ref="E2420">- FUROSEMIDE</f>
        <v>#NAME?</v>
      </c>
      <c r="F2420" t="s">
        <v>11468</v>
      </c>
      <c r="G2420" t="s">
        <v>9785</v>
      </c>
      <c r="H2420" t="s">
        <v>9786</v>
      </c>
      <c r="I2420" t="s">
        <v>9787</v>
      </c>
      <c r="J2420" t="s">
        <v>8086</v>
      </c>
      <c r="K2420" t="s">
        <v>9788</v>
      </c>
      <c r="L2420" t="s">
        <v>9789</v>
      </c>
      <c r="M2420" t="s">
        <v>46</v>
      </c>
      <c r="N2420" t="s">
        <v>9790</v>
      </c>
      <c r="O2420" t="s">
        <v>9791</v>
      </c>
      <c r="P2420" t="s">
        <v>11469</v>
      </c>
      <c r="Q2420" t="s">
        <v>11470</v>
      </c>
      <c r="R2420">
        <v>10</v>
      </c>
      <c r="S2420">
        <v>16</v>
      </c>
    </row>
    <row r="2421" spans="1:19" x14ac:dyDescent="0.35">
      <c r="A2421">
        <v>8959</v>
      </c>
      <c r="B2421" t="s">
        <v>11355</v>
      </c>
      <c r="C2421" t="s">
        <v>42</v>
      </c>
      <c r="D2421" t="s">
        <v>11356</v>
      </c>
      <c r="E2421" t="e" cm="1">
        <f t="array" ref="E2421">- FUROSEMIDE</f>
        <v>#NAME?</v>
      </c>
      <c r="F2421" t="s">
        <v>11357</v>
      </c>
      <c r="G2421" t="s">
        <v>9785</v>
      </c>
      <c r="H2421" t="s">
        <v>9786</v>
      </c>
      <c r="I2421" t="s">
        <v>9787</v>
      </c>
      <c r="J2421" t="s">
        <v>381</v>
      </c>
      <c r="K2421" t="s">
        <v>9788</v>
      </c>
      <c r="L2421" t="s">
        <v>9789</v>
      </c>
      <c r="M2421" t="s">
        <v>46</v>
      </c>
      <c r="N2421" t="s">
        <v>9790</v>
      </c>
      <c r="O2421" t="s">
        <v>9791</v>
      </c>
      <c r="P2421" t="s">
        <v>11358</v>
      </c>
      <c r="Q2421" t="s">
        <v>11359</v>
      </c>
      <c r="R2421">
        <v>10</v>
      </c>
      <c r="S2421">
        <v>16</v>
      </c>
    </row>
    <row r="2422" spans="1:19" x14ac:dyDescent="0.35">
      <c r="A2422">
        <v>9128</v>
      </c>
      <c r="B2422" t="s">
        <v>11466</v>
      </c>
      <c r="C2422" t="s">
        <v>42</v>
      </c>
      <c r="D2422" t="s">
        <v>11467</v>
      </c>
      <c r="E2422" t="e" cm="1">
        <f t="array" ref="E2422">- FUROSEMIDE</f>
        <v>#NAME?</v>
      </c>
      <c r="F2422" t="s">
        <v>11468</v>
      </c>
      <c r="G2422" t="s">
        <v>9785</v>
      </c>
      <c r="H2422" t="s">
        <v>9786</v>
      </c>
      <c r="I2422" t="s">
        <v>9787</v>
      </c>
      <c r="J2422" t="s">
        <v>8086</v>
      </c>
      <c r="K2422" t="s">
        <v>9788</v>
      </c>
      <c r="L2422" t="s">
        <v>9789</v>
      </c>
      <c r="M2422" t="s">
        <v>46</v>
      </c>
      <c r="N2422" t="s">
        <v>9790</v>
      </c>
      <c r="O2422" t="s">
        <v>9791</v>
      </c>
      <c r="P2422" t="s">
        <v>11469</v>
      </c>
      <c r="Q2422" t="s">
        <v>11470</v>
      </c>
      <c r="R2422">
        <v>10</v>
      </c>
      <c r="S2422">
        <v>16</v>
      </c>
    </row>
    <row r="2423" spans="1:19" x14ac:dyDescent="0.35">
      <c r="A2423">
        <v>134</v>
      </c>
      <c r="B2423" t="s">
        <v>2902</v>
      </c>
      <c r="C2423" t="s">
        <v>42</v>
      </c>
      <c r="D2423" t="s">
        <v>11471</v>
      </c>
      <c r="E2423" t="e" cm="1">
        <f t="array" ref="E2423">- SILDENAFIL CITRATE</f>
        <v>#NAME?</v>
      </c>
      <c r="F2423" t="s">
        <v>11472</v>
      </c>
      <c r="G2423" t="s">
        <v>8185</v>
      </c>
      <c r="H2423" t="s">
        <v>3854</v>
      </c>
      <c r="I2423" t="s">
        <v>8186</v>
      </c>
      <c r="J2423" t="s">
        <v>9621</v>
      </c>
      <c r="L2423" t="s">
        <v>8188</v>
      </c>
      <c r="M2423" t="s">
        <v>46</v>
      </c>
      <c r="N2423" t="s">
        <v>2519</v>
      </c>
      <c r="O2423" t="s">
        <v>8189</v>
      </c>
      <c r="P2423" t="s">
        <v>11473</v>
      </c>
      <c r="Q2423" t="s">
        <v>11474</v>
      </c>
      <c r="R2423">
        <v>10</v>
      </c>
      <c r="S2423">
        <v>16</v>
      </c>
    </row>
    <row r="2424" spans="1:19" x14ac:dyDescent="0.35">
      <c r="A2424">
        <v>8960</v>
      </c>
      <c r="B2424" t="s">
        <v>11355</v>
      </c>
      <c r="C2424" t="s">
        <v>42</v>
      </c>
      <c r="D2424" t="s">
        <v>11356</v>
      </c>
      <c r="E2424" t="e" cm="1">
        <f t="array" ref="E2424">- FUROSEMIDE</f>
        <v>#NAME?</v>
      </c>
      <c r="F2424" t="s">
        <v>11357</v>
      </c>
      <c r="G2424" t="s">
        <v>9785</v>
      </c>
      <c r="H2424" t="s">
        <v>9786</v>
      </c>
      <c r="I2424" t="s">
        <v>9787</v>
      </c>
      <c r="J2424" t="s">
        <v>381</v>
      </c>
      <c r="K2424" t="s">
        <v>9788</v>
      </c>
      <c r="L2424" t="s">
        <v>9789</v>
      </c>
      <c r="M2424" t="s">
        <v>46</v>
      </c>
      <c r="N2424" t="s">
        <v>9790</v>
      </c>
      <c r="O2424" t="s">
        <v>9791</v>
      </c>
      <c r="P2424" t="s">
        <v>11358</v>
      </c>
      <c r="Q2424" t="s">
        <v>11359</v>
      </c>
      <c r="R2424">
        <v>10</v>
      </c>
      <c r="S2424">
        <v>16</v>
      </c>
    </row>
    <row r="2425" spans="1:19" x14ac:dyDescent="0.35">
      <c r="A2425">
        <v>169</v>
      </c>
      <c r="B2425" t="s">
        <v>2902</v>
      </c>
      <c r="C2425" t="s">
        <v>42</v>
      </c>
      <c r="D2425" t="s">
        <v>11475</v>
      </c>
      <c r="E2425" t="e" cm="1">
        <f t="array" ref="E2425">- SILDENAFIL CITRATE</f>
        <v>#NAME?</v>
      </c>
      <c r="F2425" t="s">
        <v>11476</v>
      </c>
      <c r="J2425" t="s">
        <v>9479</v>
      </c>
      <c r="M2425" t="s">
        <v>46</v>
      </c>
      <c r="N2425" t="s">
        <v>2519</v>
      </c>
      <c r="P2425" t="s">
        <v>11477</v>
      </c>
      <c r="Q2425" t="s">
        <v>11478</v>
      </c>
      <c r="R2425">
        <v>10</v>
      </c>
      <c r="S2425">
        <v>16</v>
      </c>
    </row>
    <row r="2426" spans="1:19" x14ac:dyDescent="0.35">
      <c r="A2426">
        <v>4870</v>
      </c>
      <c r="B2426" t="s">
        <v>11479</v>
      </c>
      <c r="C2426" t="s">
        <v>42</v>
      </c>
      <c r="D2426" t="s">
        <v>11480</v>
      </c>
      <c r="E2426" t="e" cm="1">
        <f t="array" ref="E2426">- LEVOFLOXACIN</f>
        <v>#NAME?</v>
      </c>
      <c r="F2426" t="s">
        <v>11481</v>
      </c>
      <c r="G2426" t="s">
        <v>11482</v>
      </c>
      <c r="H2426" t="s">
        <v>11483</v>
      </c>
      <c r="I2426" t="s">
        <v>11484</v>
      </c>
      <c r="J2426" t="s">
        <v>9310</v>
      </c>
      <c r="K2426" t="s">
        <v>11485</v>
      </c>
      <c r="L2426" t="s">
        <v>11486</v>
      </c>
      <c r="M2426" t="s">
        <v>824</v>
      </c>
      <c r="N2426" t="s">
        <v>11487</v>
      </c>
      <c r="O2426" t="s">
        <v>11488</v>
      </c>
      <c r="P2426" t="s">
        <v>11489</v>
      </c>
      <c r="Q2426" t="s">
        <v>11490</v>
      </c>
      <c r="R2426">
        <v>10</v>
      </c>
      <c r="S2426">
        <v>16</v>
      </c>
    </row>
    <row r="2427" spans="1:19" x14ac:dyDescent="0.35">
      <c r="A2427">
        <v>7840</v>
      </c>
      <c r="B2427" t="s">
        <v>11491</v>
      </c>
      <c r="C2427" t="s">
        <v>20</v>
      </c>
      <c r="D2427" t="s">
        <v>11492</v>
      </c>
      <c r="E2427" t="s">
        <v>11493</v>
      </c>
      <c r="F2427" t="s">
        <v>11494</v>
      </c>
      <c r="J2427" t="s">
        <v>11495</v>
      </c>
      <c r="M2427" t="s">
        <v>38</v>
      </c>
      <c r="N2427" t="s">
        <v>11496</v>
      </c>
      <c r="P2427" t="s">
        <v>11497</v>
      </c>
      <c r="Q2427" t="s">
        <v>11498</v>
      </c>
      <c r="R2427">
        <v>10</v>
      </c>
      <c r="S2427">
        <v>16</v>
      </c>
    </row>
    <row r="2428" spans="1:19" x14ac:dyDescent="0.35">
      <c r="A2428">
        <v>7841</v>
      </c>
      <c r="B2428" t="s">
        <v>11491</v>
      </c>
      <c r="C2428" t="s">
        <v>20</v>
      </c>
      <c r="D2428" t="s">
        <v>11492</v>
      </c>
      <c r="E2428" t="s">
        <v>11499</v>
      </c>
      <c r="F2428" t="s">
        <v>11494</v>
      </c>
      <c r="J2428" t="s">
        <v>11495</v>
      </c>
      <c r="M2428" t="s">
        <v>38</v>
      </c>
      <c r="N2428" t="s">
        <v>11500</v>
      </c>
      <c r="P2428" t="s">
        <v>11497</v>
      </c>
      <c r="Q2428" t="s">
        <v>11498</v>
      </c>
      <c r="R2428">
        <v>10</v>
      </c>
      <c r="S2428">
        <v>16</v>
      </c>
    </row>
    <row r="2429" spans="1:19" x14ac:dyDescent="0.35">
      <c r="A2429">
        <v>4868</v>
      </c>
      <c r="B2429" t="s">
        <v>11501</v>
      </c>
      <c r="C2429" t="s">
        <v>42</v>
      </c>
      <c r="D2429" t="s">
        <v>11502</v>
      </c>
      <c r="E2429" t="e" cm="1">
        <f t="array" ref="E2429">- OLOPATADINE HYDROCHLORIDE</f>
        <v>#NAME?</v>
      </c>
      <c r="F2429" s="1">
        <v>113000</v>
      </c>
      <c r="G2429" t="s">
        <v>11503</v>
      </c>
      <c r="H2429" t="s">
        <v>11504</v>
      </c>
      <c r="I2429" t="s">
        <v>11505</v>
      </c>
      <c r="J2429" t="s">
        <v>11506</v>
      </c>
      <c r="K2429" t="s">
        <v>11507</v>
      </c>
      <c r="L2429" t="s">
        <v>11508</v>
      </c>
      <c r="M2429" t="s">
        <v>824</v>
      </c>
      <c r="N2429" t="s">
        <v>11509</v>
      </c>
      <c r="O2429" t="s">
        <v>11510</v>
      </c>
      <c r="P2429" t="s">
        <v>11511</v>
      </c>
      <c r="Q2429" t="s">
        <v>11512</v>
      </c>
      <c r="R2429">
        <v>10</v>
      </c>
      <c r="S2429">
        <v>16</v>
      </c>
    </row>
    <row r="2430" spans="1:19" x14ac:dyDescent="0.35">
      <c r="A2430">
        <v>1081</v>
      </c>
      <c r="B2430" t="s">
        <v>11513</v>
      </c>
      <c r="C2430" t="s">
        <v>42</v>
      </c>
      <c r="D2430" t="s">
        <v>11514</v>
      </c>
      <c r="E2430" t="e" cm="1">
        <f t="array" ref="E2430">- ERDOSTEINE</f>
        <v>#NAME?</v>
      </c>
      <c r="F2430" s="1">
        <v>41500</v>
      </c>
      <c r="G2430" t="s">
        <v>11515</v>
      </c>
      <c r="H2430" t="s">
        <v>11516</v>
      </c>
      <c r="I2430" t="s">
        <v>11517</v>
      </c>
      <c r="J2430" t="s">
        <v>334</v>
      </c>
      <c r="K2430" t="s">
        <v>11518</v>
      </c>
      <c r="L2430" t="s">
        <v>11519</v>
      </c>
      <c r="M2430" t="s">
        <v>271</v>
      </c>
      <c r="N2430" t="s">
        <v>471</v>
      </c>
      <c r="O2430" t="s">
        <v>11520</v>
      </c>
      <c r="P2430" t="s">
        <v>471</v>
      </c>
      <c r="Q2430" t="s">
        <v>11521</v>
      </c>
      <c r="R2430">
        <v>10</v>
      </c>
      <c r="S2430">
        <v>16</v>
      </c>
    </row>
    <row r="2431" spans="1:19" x14ac:dyDescent="0.35">
      <c r="A2431">
        <v>3582</v>
      </c>
      <c r="B2431" t="s">
        <v>11403</v>
      </c>
      <c r="C2431" t="s">
        <v>42</v>
      </c>
      <c r="D2431" t="s">
        <v>11404</v>
      </c>
      <c r="E2431" t="e" cm="1">
        <f t="array" ref="E2431">- DOMPERIDONE MALEATE</f>
        <v>#NAME?</v>
      </c>
      <c r="F2431" t="s">
        <v>11405</v>
      </c>
      <c r="G2431" t="s">
        <v>10502</v>
      </c>
      <c r="H2431" t="s">
        <v>7978</v>
      </c>
      <c r="I2431" t="s">
        <v>11406</v>
      </c>
      <c r="J2431" t="s">
        <v>829</v>
      </c>
      <c r="K2431" t="s">
        <v>3168</v>
      </c>
      <c r="L2431" t="s">
        <v>10505</v>
      </c>
      <c r="M2431" t="s">
        <v>340</v>
      </c>
      <c r="N2431" t="s">
        <v>1609</v>
      </c>
      <c r="O2431" t="s">
        <v>11407</v>
      </c>
      <c r="P2431" t="s">
        <v>11408</v>
      </c>
      <c r="Q2431" t="s">
        <v>11409</v>
      </c>
      <c r="R2431">
        <v>10</v>
      </c>
      <c r="S2431">
        <v>16</v>
      </c>
    </row>
    <row r="2432" spans="1:19" x14ac:dyDescent="0.35">
      <c r="A2432">
        <v>5490</v>
      </c>
      <c r="B2432" t="s">
        <v>7345</v>
      </c>
      <c r="C2432" t="s">
        <v>42</v>
      </c>
      <c r="D2432" t="s">
        <v>7346</v>
      </c>
      <c r="E2432" t="e" cm="1">
        <f t="array" ref="E2432">- GENTAMICIN SULFATE. BETAMETHASONE VALERATE</f>
        <v>#NAME?</v>
      </c>
      <c r="F2432" t="s">
        <v>7347</v>
      </c>
      <c r="G2432" t="s">
        <v>7348</v>
      </c>
      <c r="H2432" t="s">
        <v>7349</v>
      </c>
      <c r="I2432" t="s">
        <v>7350</v>
      </c>
      <c r="J2432" t="s">
        <v>1367</v>
      </c>
      <c r="K2432" t="s">
        <v>7351</v>
      </c>
      <c r="L2432" t="s">
        <v>7352</v>
      </c>
      <c r="M2432" t="s">
        <v>1289</v>
      </c>
      <c r="N2432" t="s">
        <v>11522</v>
      </c>
      <c r="O2432" t="s">
        <v>7353</v>
      </c>
      <c r="P2432" t="s">
        <v>7354</v>
      </c>
      <c r="Q2432" t="s">
        <v>11523</v>
      </c>
      <c r="R2432">
        <v>10</v>
      </c>
      <c r="S2432">
        <v>16</v>
      </c>
    </row>
    <row r="2433" spans="1:19" x14ac:dyDescent="0.35">
      <c r="A2433">
        <v>4547</v>
      </c>
      <c r="B2433" t="s">
        <v>11524</v>
      </c>
      <c r="C2433" t="s">
        <v>42</v>
      </c>
      <c r="D2433" t="s">
        <v>11525</v>
      </c>
      <c r="E2433" t="e" cm="1">
        <f t="array" ref="E2433">- TETRAHYDROZOLINE HYDROCHLORIDE</f>
        <v>#NAME?</v>
      </c>
      <c r="F2433" t="s">
        <v>11526</v>
      </c>
      <c r="G2433" t="s">
        <v>11527</v>
      </c>
      <c r="H2433" t="s">
        <v>11528</v>
      </c>
      <c r="I2433" t="s">
        <v>11529</v>
      </c>
      <c r="J2433" t="s">
        <v>743</v>
      </c>
      <c r="K2433" t="s">
        <v>11530</v>
      </c>
      <c r="L2433" t="s">
        <v>11531</v>
      </c>
      <c r="M2433" t="s">
        <v>824</v>
      </c>
      <c r="N2433" t="s">
        <v>3512</v>
      </c>
      <c r="O2433" t="s">
        <v>11532</v>
      </c>
      <c r="P2433" t="s">
        <v>11533</v>
      </c>
      <c r="Q2433" t="s">
        <v>11534</v>
      </c>
      <c r="R2433">
        <v>10</v>
      </c>
      <c r="S2433">
        <v>16</v>
      </c>
    </row>
    <row r="2434" spans="1:19" x14ac:dyDescent="0.35">
      <c r="A2434">
        <v>532</v>
      </c>
      <c r="B2434" t="s">
        <v>11328</v>
      </c>
      <c r="C2434" t="s">
        <v>42</v>
      </c>
      <c r="D2434" t="s">
        <v>11329</v>
      </c>
      <c r="E2434" t="e" cm="1">
        <f t="array" ref="E2434">- SALBUTAMOL SULFATE</f>
        <v>#NAME?</v>
      </c>
      <c r="F2434" t="s">
        <v>604</v>
      </c>
      <c r="G2434" t="s">
        <v>11330</v>
      </c>
      <c r="H2434" t="s">
        <v>11331</v>
      </c>
      <c r="I2434" t="s">
        <v>11332</v>
      </c>
      <c r="J2434" t="s">
        <v>381</v>
      </c>
      <c r="K2434" t="s">
        <v>2726</v>
      </c>
      <c r="L2434" t="s">
        <v>11333</v>
      </c>
      <c r="M2434" t="s">
        <v>46</v>
      </c>
      <c r="N2434" t="s">
        <v>3424</v>
      </c>
      <c r="O2434" t="s">
        <v>11334</v>
      </c>
      <c r="P2434" t="s">
        <v>11335</v>
      </c>
      <c r="Q2434" t="s">
        <v>11336</v>
      </c>
      <c r="R2434">
        <v>10</v>
      </c>
      <c r="S2434">
        <v>16</v>
      </c>
    </row>
    <row r="2435" spans="1:19" x14ac:dyDescent="0.35">
      <c r="A2435">
        <v>8308</v>
      </c>
      <c r="B2435" t="s">
        <v>551</v>
      </c>
      <c r="C2435" t="s">
        <v>42</v>
      </c>
      <c r="D2435" t="s">
        <v>11535</v>
      </c>
      <c r="E2435" t="e" cm="1">
        <f t="array" ref="E2435">- POVIDONE-IODINE</f>
        <v>#NAME?</v>
      </c>
      <c r="F2435" t="s">
        <v>11536</v>
      </c>
      <c r="H2435" t="s">
        <v>1322</v>
      </c>
      <c r="I2435" t="s">
        <v>11537</v>
      </c>
      <c r="J2435" t="s">
        <v>11538</v>
      </c>
      <c r="M2435" t="s">
        <v>554</v>
      </c>
      <c r="N2435" t="s">
        <v>555</v>
      </c>
      <c r="O2435" t="s">
        <v>8920</v>
      </c>
      <c r="P2435" t="s">
        <v>11539</v>
      </c>
      <c r="Q2435" t="s">
        <v>11540</v>
      </c>
      <c r="R2435">
        <v>10</v>
      </c>
      <c r="S2435">
        <v>16</v>
      </c>
    </row>
    <row r="2436" spans="1:19" x14ac:dyDescent="0.35">
      <c r="A2436">
        <v>8330</v>
      </c>
      <c r="B2436" t="s">
        <v>551</v>
      </c>
      <c r="C2436" t="s">
        <v>42</v>
      </c>
      <c r="D2436" t="s">
        <v>11541</v>
      </c>
      <c r="E2436" t="e" cm="1">
        <f t="array" ref="E2436">- POVIDONE-IODINE</f>
        <v>#NAME?</v>
      </c>
      <c r="F2436" t="s">
        <v>11542</v>
      </c>
      <c r="G2436" t="s">
        <v>11543</v>
      </c>
      <c r="I2436" t="s">
        <v>11544</v>
      </c>
      <c r="J2436" t="s">
        <v>11545</v>
      </c>
      <c r="M2436" t="s">
        <v>554</v>
      </c>
      <c r="N2436" t="s">
        <v>555</v>
      </c>
      <c r="O2436" t="s">
        <v>11546</v>
      </c>
      <c r="P2436" t="s">
        <v>6691</v>
      </c>
      <c r="Q2436" t="s">
        <v>11547</v>
      </c>
      <c r="R2436">
        <v>10</v>
      </c>
      <c r="S2436">
        <v>16</v>
      </c>
    </row>
    <row r="2437" spans="1:19" x14ac:dyDescent="0.35">
      <c r="A2437">
        <v>4761</v>
      </c>
      <c r="B2437" t="s">
        <v>11316</v>
      </c>
      <c r="C2437" t="s">
        <v>42</v>
      </c>
      <c r="D2437" t="s">
        <v>11317</v>
      </c>
      <c r="E2437" t="e" cm="1">
        <f t="array" ref="E2437">- BRINZOLAMIDE</f>
        <v>#NAME?</v>
      </c>
      <c r="F2437" t="s">
        <v>11318</v>
      </c>
      <c r="G2437" t="s">
        <v>7569</v>
      </c>
      <c r="H2437" t="s">
        <v>11319</v>
      </c>
      <c r="I2437" t="s">
        <v>11320</v>
      </c>
      <c r="J2437" t="s">
        <v>11321</v>
      </c>
      <c r="K2437" t="s">
        <v>11322</v>
      </c>
      <c r="L2437" t="s">
        <v>11323</v>
      </c>
      <c r="M2437" t="s">
        <v>824</v>
      </c>
      <c r="N2437" t="s">
        <v>11324</v>
      </c>
      <c r="O2437" t="s">
        <v>11325</v>
      </c>
      <c r="P2437" t="s">
        <v>11326</v>
      </c>
      <c r="Q2437" t="s">
        <v>11327</v>
      </c>
      <c r="R2437">
        <v>10</v>
      </c>
      <c r="S2437">
        <v>16</v>
      </c>
    </row>
    <row r="2438" spans="1:19" x14ac:dyDescent="0.35">
      <c r="A2438">
        <v>4788</v>
      </c>
      <c r="B2438" t="s">
        <v>11548</v>
      </c>
      <c r="C2438" t="s">
        <v>42</v>
      </c>
      <c r="D2438" t="s">
        <v>11549</v>
      </c>
      <c r="E2438" t="e" cm="1">
        <f t="array" ref="E2438">- PILOCARPINE HYDROCHLORIDE</f>
        <v>#NAME?</v>
      </c>
      <c r="F2438" t="s">
        <v>11550</v>
      </c>
      <c r="G2438" t="s">
        <v>11067</v>
      </c>
      <c r="H2438" t="s">
        <v>7542</v>
      </c>
      <c r="I2438" t="s">
        <v>11068</v>
      </c>
      <c r="J2438" t="s">
        <v>11321</v>
      </c>
      <c r="K2438" t="s">
        <v>6097</v>
      </c>
      <c r="L2438" t="s">
        <v>11069</v>
      </c>
      <c r="M2438" t="s">
        <v>824</v>
      </c>
      <c r="N2438" t="s">
        <v>11551</v>
      </c>
      <c r="O2438" t="s">
        <v>11071</v>
      </c>
      <c r="P2438" t="s">
        <v>11072</v>
      </c>
      <c r="Q2438" t="s">
        <v>11552</v>
      </c>
      <c r="R2438">
        <v>10</v>
      </c>
      <c r="S2438">
        <v>16</v>
      </c>
    </row>
    <row r="2439" spans="1:19" x14ac:dyDescent="0.35">
      <c r="A2439">
        <v>4789</v>
      </c>
      <c r="B2439" t="s">
        <v>11548</v>
      </c>
      <c r="C2439" t="s">
        <v>42</v>
      </c>
      <c r="D2439" t="s">
        <v>11549</v>
      </c>
      <c r="E2439" t="e" cm="1">
        <f t="array" ref="E2439">- PILOCARPINE HYDROCHLORIDE</f>
        <v>#NAME?</v>
      </c>
      <c r="F2439" t="s">
        <v>11550</v>
      </c>
      <c r="G2439" t="s">
        <v>11067</v>
      </c>
      <c r="H2439" t="s">
        <v>7542</v>
      </c>
      <c r="I2439" t="s">
        <v>11068</v>
      </c>
      <c r="J2439" t="s">
        <v>11321</v>
      </c>
      <c r="K2439" t="s">
        <v>6097</v>
      </c>
      <c r="L2439" t="s">
        <v>11069</v>
      </c>
      <c r="M2439" t="s">
        <v>824</v>
      </c>
      <c r="N2439" t="s">
        <v>11551</v>
      </c>
      <c r="O2439" t="s">
        <v>11071</v>
      </c>
      <c r="P2439" t="s">
        <v>11072</v>
      </c>
      <c r="Q2439" t="s">
        <v>11552</v>
      </c>
      <c r="R2439">
        <v>10</v>
      </c>
      <c r="S2439">
        <v>16</v>
      </c>
    </row>
    <row r="2440" spans="1:19" x14ac:dyDescent="0.35">
      <c r="A2440">
        <v>4790</v>
      </c>
      <c r="B2440" t="s">
        <v>11548</v>
      </c>
      <c r="C2440" t="s">
        <v>42</v>
      </c>
      <c r="D2440" t="s">
        <v>11549</v>
      </c>
      <c r="E2440" t="e" cm="1">
        <f t="array" ref="E2440">- PILOCARPINE HYDROCHLORIDE</f>
        <v>#NAME?</v>
      </c>
      <c r="F2440" t="s">
        <v>11550</v>
      </c>
      <c r="G2440" t="s">
        <v>11067</v>
      </c>
      <c r="H2440" t="s">
        <v>7542</v>
      </c>
      <c r="I2440" t="s">
        <v>11068</v>
      </c>
      <c r="J2440" t="s">
        <v>11321</v>
      </c>
      <c r="K2440" t="s">
        <v>6097</v>
      </c>
      <c r="L2440" t="s">
        <v>11069</v>
      </c>
      <c r="M2440" t="s">
        <v>824</v>
      </c>
      <c r="N2440" t="s">
        <v>11551</v>
      </c>
      <c r="O2440" t="s">
        <v>11071</v>
      </c>
      <c r="P2440" t="s">
        <v>11072</v>
      </c>
      <c r="Q2440" t="s">
        <v>11552</v>
      </c>
      <c r="R2440">
        <v>10</v>
      </c>
      <c r="S2440">
        <v>16</v>
      </c>
    </row>
    <row r="2441" spans="1:19" x14ac:dyDescent="0.35">
      <c r="A2441">
        <v>4791</v>
      </c>
      <c r="B2441" t="s">
        <v>11064</v>
      </c>
      <c r="C2441" t="s">
        <v>42</v>
      </c>
      <c r="D2441" t="s">
        <v>11065</v>
      </c>
      <c r="E2441" t="e" cm="1">
        <f t="array" ref="E2441">- PILOCARPINE HYDROCHLORIDE</f>
        <v>#NAME?</v>
      </c>
      <c r="F2441" t="s">
        <v>11066</v>
      </c>
      <c r="G2441" t="s">
        <v>11067</v>
      </c>
      <c r="H2441" t="s">
        <v>7542</v>
      </c>
      <c r="I2441" t="s">
        <v>11068</v>
      </c>
      <c r="J2441" t="s">
        <v>9310</v>
      </c>
      <c r="K2441" t="s">
        <v>6097</v>
      </c>
      <c r="L2441" t="s">
        <v>11069</v>
      </c>
      <c r="M2441" t="s">
        <v>824</v>
      </c>
      <c r="N2441" t="s">
        <v>11551</v>
      </c>
      <c r="O2441" t="s">
        <v>11071</v>
      </c>
      <c r="P2441" t="s">
        <v>11072</v>
      </c>
      <c r="Q2441" t="s">
        <v>11552</v>
      </c>
      <c r="R2441">
        <v>10</v>
      </c>
      <c r="S2441">
        <v>16</v>
      </c>
    </row>
    <row r="2442" spans="1:19" x14ac:dyDescent="0.35">
      <c r="A2442">
        <v>4792</v>
      </c>
      <c r="B2442" t="s">
        <v>11064</v>
      </c>
      <c r="C2442" t="s">
        <v>42</v>
      </c>
      <c r="D2442" t="s">
        <v>11065</v>
      </c>
      <c r="E2442" t="e" cm="1">
        <f t="array" ref="E2442">- PILOCARPINE HYDROCHLORIDE</f>
        <v>#NAME?</v>
      </c>
      <c r="F2442" t="s">
        <v>11066</v>
      </c>
      <c r="G2442" t="s">
        <v>11067</v>
      </c>
      <c r="H2442" t="s">
        <v>7542</v>
      </c>
      <c r="I2442" t="s">
        <v>11068</v>
      </c>
      <c r="J2442" t="s">
        <v>9310</v>
      </c>
      <c r="K2442" t="s">
        <v>6097</v>
      </c>
      <c r="L2442" t="s">
        <v>11069</v>
      </c>
      <c r="M2442" t="s">
        <v>824</v>
      </c>
      <c r="N2442" t="s">
        <v>11551</v>
      </c>
      <c r="O2442" t="s">
        <v>11071</v>
      </c>
      <c r="P2442" t="s">
        <v>11072</v>
      </c>
      <c r="Q2442" t="s">
        <v>11552</v>
      </c>
      <c r="R2442">
        <v>10</v>
      </c>
      <c r="S2442">
        <v>16</v>
      </c>
    </row>
    <row r="2443" spans="1:19" x14ac:dyDescent="0.35">
      <c r="A2443">
        <v>4793</v>
      </c>
      <c r="B2443" t="s">
        <v>11064</v>
      </c>
      <c r="C2443" t="s">
        <v>42</v>
      </c>
      <c r="D2443" t="s">
        <v>11065</v>
      </c>
      <c r="E2443" t="e" cm="1">
        <f t="array" ref="E2443">- PILOCARPINE HYDROCHLORIDE</f>
        <v>#NAME?</v>
      </c>
      <c r="F2443" t="s">
        <v>11066</v>
      </c>
      <c r="G2443" t="s">
        <v>11067</v>
      </c>
      <c r="H2443" t="s">
        <v>7542</v>
      </c>
      <c r="I2443" t="s">
        <v>11068</v>
      </c>
      <c r="J2443" t="s">
        <v>9310</v>
      </c>
      <c r="K2443" t="s">
        <v>6097</v>
      </c>
      <c r="L2443" t="s">
        <v>11069</v>
      </c>
      <c r="M2443" t="s">
        <v>824</v>
      </c>
      <c r="N2443" t="s">
        <v>11551</v>
      </c>
      <c r="O2443" t="s">
        <v>11071</v>
      </c>
      <c r="P2443" t="s">
        <v>11072</v>
      </c>
      <c r="Q2443" t="s">
        <v>11552</v>
      </c>
      <c r="R2443">
        <v>10</v>
      </c>
      <c r="S2443">
        <v>16</v>
      </c>
    </row>
    <row r="2444" spans="1:19" x14ac:dyDescent="0.35">
      <c r="A2444">
        <v>7300</v>
      </c>
      <c r="B2444" t="s">
        <v>11553</v>
      </c>
      <c r="C2444" t="s">
        <v>20</v>
      </c>
      <c r="D2444" t="s">
        <v>11554</v>
      </c>
      <c r="E2444" t="s">
        <v>11555</v>
      </c>
      <c r="F2444" t="s">
        <v>11556</v>
      </c>
      <c r="G2444" t="s">
        <v>11557</v>
      </c>
      <c r="H2444" t="s">
        <v>9172</v>
      </c>
      <c r="I2444" t="s">
        <v>11558</v>
      </c>
      <c r="J2444" t="s">
        <v>11559</v>
      </c>
      <c r="L2444" t="s">
        <v>11560</v>
      </c>
      <c r="M2444" t="s">
        <v>3453</v>
      </c>
      <c r="N2444" t="s">
        <v>11561</v>
      </c>
      <c r="O2444" t="s">
        <v>11562</v>
      </c>
      <c r="P2444" t="s">
        <v>11561</v>
      </c>
      <c r="Q2444" t="s">
        <v>11563</v>
      </c>
      <c r="R2444">
        <v>10</v>
      </c>
      <c r="S2444">
        <v>16</v>
      </c>
    </row>
    <row r="2445" spans="1:19" x14ac:dyDescent="0.35">
      <c r="A2445">
        <v>977</v>
      </c>
      <c r="B2445" t="s">
        <v>11564</v>
      </c>
      <c r="C2445" t="s">
        <v>42</v>
      </c>
      <c r="D2445" t="s">
        <v>11565</v>
      </c>
      <c r="E2445" t="e" cm="1">
        <f t="array" ref="E2445">- AMMONIUM CHLORIDE</f>
        <v>#NAME?</v>
      </c>
      <c r="F2445" t="s">
        <v>11566</v>
      </c>
      <c r="G2445" t="s">
        <v>2241</v>
      </c>
      <c r="H2445" t="s">
        <v>11567</v>
      </c>
      <c r="I2445" t="s">
        <v>11568</v>
      </c>
      <c r="J2445" t="s">
        <v>374</v>
      </c>
      <c r="K2445" t="s">
        <v>11569</v>
      </c>
      <c r="L2445" t="s">
        <v>11570</v>
      </c>
      <c r="M2445" t="s">
        <v>271</v>
      </c>
      <c r="N2445" t="s">
        <v>1672</v>
      </c>
      <c r="O2445" t="s">
        <v>11571</v>
      </c>
      <c r="P2445" t="s">
        <v>11572</v>
      </c>
      <c r="Q2445" t="s">
        <v>11573</v>
      </c>
      <c r="R2445">
        <v>10</v>
      </c>
      <c r="S2445">
        <v>16</v>
      </c>
    </row>
    <row r="2446" spans="1:19" x14ac:dyDescent="0.35">
      <c r="A2446">
        <v>4540</v>
      </c>
      <c r="B2446" t="s">
        <v>11524</v>
      </c>
      <c r="C2446" t="s">
        <v>42</v>
      </c>
      <c r="D2446" t="s">
        <v>11525</v>
      </c>
      <c r="E2446" t="e" cm="1">
        <f t="array" ref="E2446">- TETRAHYDROZOLINE HYDROCHLORIDE</f>
        <v>#NAME?</v>
      </c>
      <c r="F2446" t="s">
        <v>11526</v>
      </c>
      <c r="G2446" t="s">
        <v>11527</v>
      </c>
      <c r="H2446" t="s">
        <v>11528</v>
      </c>
      <c r="I2446" t="s">
        <v>11529</v>
      </c>
      <c r="J2446" t="s">
        <v>743</v>
      </c>
      <c r="K2446" t="s">
        <v>11530</v>
      </c>
      <c r="L2446" t="s">
        <v>11531</v>
      </c>
      <c r="M2446" t="s">
        <v>824</v>
      </c>
      <c r="N2446" t="s">
        <v>3512</v>
      </c>
      <c r="O2446" t="s">
        <v>11532</v>
      </c>
      <c r="P2446" t="s">
        <v>11533</v>
      </c>
      <c r="Q2446" t="s">
        <v>11534</v>
      </c>
      <c r="R2446">
        <v>10</v>
      </c>
      <c r="S2446">
        <v>16</v>
      </c>
    </row>
    <row r="2447" spans="1:19" x14ac:dyDescent="0.35">
      <c r="A2447">
        <v>7301</v>
      </c>
      <c r="B2447" t="s">
        <v>11553</v>
      </c>
      <c r="C2447" t="s">
        <v>20</v>
      </c>
      <c r="D2447" t="s">
        <v>11574</v>
      </c>
      <c r="E2447" t="s">
        <v>11555</v>
      </c>
      <c r="F2447" t="s">
        <v>11575</v>
      </c>
      <c r="G2447" t="s">
        <v>11557</v>
      </c>
      <c r="H2447" t="s">
        <v>9172</v>
      </c>
      <c r="I2447" t="s">
        <v>11558</v>
      </c>
      <c r="J2447" t="s">
        <v>11576</v>
      </c>
      <c r="L2447" t="s">
        <v>11560</v>
      </c>
      <c r="M2447" t="s">
        <v>3453</v>
      </c>
      <c r="N2447" t="s">
        <v>11561</v>
      </c>
      <c r="O2447" t="s">
        <v>11562</v>
      </c>
      <c r="P2447" t="s">
        <v>11561</v>
      </c>
      <c r="Q2447" t="s">
        <v>11563</v>
      </c>
      <c r="R2447">
        <v>10</v>
      </c>
      <c r="S2447">
        <v>16</v>
      </c>
    </row>
    <row r="2448" spans="1:19" x14ac:dyDescent="0.35">
      <c r="A2448">
        <v>4794</v>
      </c>
      <c r="B2448" t="s">
        <v>11064</v>
      </c>
      <c r="C2448" t="s">
        <v>42</v>
      </c>
      <c r="D2448" t="s">
        <v>11065</v>
      </c>
      <c r="E2448" t="e" cm="1">
        <f t="array" ref="E2448">- PILOCARPINE HYDROCHLORIDE</f>
        <v>#NAME?</v>
      </c>
      <c r="F2448" t="s">
        <v>11066</v>
      </c>
      <c r="G2448" t="s">
        <v>11067</v>
      </c>
      <c r="H2448" t="s">
        <v>7542</v>
      </c>
      <c r="I2448" t="s">
        <v>11068</v>
      </c>
      <c r="J2448" t="s">
        <v>9310</v>
      </c>
      <c r="K2448" t="s">
        <v>6097</v>
      </c>
      <c r="L2448" t="s">
        <v>11069</v>
      </c>
      <c r="M2448" t="s">
        <v>824</v>
      </c>
      <c r="N2448" t="s">
        <v>11551</v>
      </c>
      <c r="O2448" t="s">
        <v>11071</v>
      </c>
      <c r="P2448" t="s">
        <v>11072</v>
      </c>
      <c r="Q2448" t="s">
        <v>11552</v>
      </c>
      <c r="R2448">
        <v>10</v>
      </c>
      <c r="S2448">
        <v>16</v>
      </c>
    </row>
    <row r="2449" spans="1:19" x14ac:dyDescent="0.35">
      <c r="A2449">
        <v>8153</v>
      </c>
      <c r="B2449" t="s">
        <v>551</v>
      </c>
      <c r="C2449" t="s">
        <v>42</v>
      </c>
      <c r="D2449" t="s">
        <v>11577</v>
      </c>
      <c r="E2449" t="e" cm="1">
        <f t="array" ref="E2449">- POVIDONE-IODINE</f>
        <v>#NAME?</v>
      </c>
      <c r="F2449" t="s">
        <v>11578</v>
      </c>
      <c r="G2449" t="s">
        <v>9438</v>
      </c>
      <c r="H2449" t="s">
        <v>11579</v>
      </c>
      <c r="I2449" t="s">
        <v>11580</v>
      </c>
      <c r="J2449" t="s">
        <v>11581</v>
      </c>
      <c r="M2449" t="s">
        <v>554</v>
      </c>
      <c r="N2449" t="s">
        <v>555</v>
      </c>
      <c r="O2449" t="s">
        <v>11582</v>
      </c>
      <c r="P2449" t="s">
        <v>11583</v>
      </c>
      <c r="Q2449" t="s">
        <v>11584</v>
      </c>
      <c r="R2449">
        <v>10</v>
      </c>
      <c r="S2449">
        <v>16</v>
      </c>
    </row>
    <row r="2450" spans="1:19" x14ac:dyDescent="0.35">
      <c r="A2450">
        <v>9012</v>
      </c>
      <c r="B2450" t="s">
        <v>11585</v>
      </c>
      <c r="C2450" t="s">
        <v>42</v>
      </c>
      <c r="D2450" t="s">
        <v>11586</v>
      </c>
      <c r="E2450" t="e" cm="1">
        <f t="array" ref="E2450">- INDAPAMIDE</f>
        <v>#NAME?</v>
      </c>
      <c r="F2450" t="s">
        <v>11587</v>
      </c>
      <c r="G2450" t="s">
        <v>11588</v>
      </c>
      <c r="H2450" t="s">
        <v>2643</v>
      </c>
      <c r="I2450" t="s">
        <v>11589</v>
      </c>
      <c r="J2450" t="s">
        <v>11590</v>
      </c>
      <c r="K2450" t="s">
        <v>11591</v>
      </c>
      <c r="L2450" t="s">
        <v>11592</v>
      </c>
      <c r="M2450" t="s">
        <v>46</v>
      </c>
      <c r="N2450" t="s">
        <v>4755</v>
      </c>
      <c r="O2450" t="s">
        <v>11593</v>
      </c>
      <c r="P2450" t="s">
        <v>11594</v>
      </c>
      <c r="Q2450" t="s">
        <v>11595</v>
      </c>
      <c r="R2450">
        <v>10</v>
      </c>
      <c r="S2450">
        <v>16</v>
      </c>
    </row>
    <row r="2451" spans="1:19" x14ac:dyDescent="0.35">
      <c r="A2451">
        <v>8152</v>
      </c>
      <c r="B2451" t="s">
        <v>551</v>
      </c>
      <c r="C2451" t="s">
        <v>42</v>
      </c>
      <c r="D2451" t="s">
        <v>11577</v>
      </c>
      <c r="E2451" t="e" cm="1">
        <f t="array" ref="E2451">- POVIDONE-IODINE</f>
        <v>#NAME?</v>
      </c>
      <c r="F2451" t="s">
        <v>11578</v>
      </c>
      <c r="G2451" t="s">
        <v>9438</v>
      </c>
      <c r="H2451" t="s">
        <v>11579</v>
      </c>
      <c r="I2451" t="s">
        <v>11580</v>
      </c>
      <c r="J2451" t="s">
        <v>11581</v>
      </c>
      <c r="M2451" t="s">
        <v>554</v>
      </c>
      <c r="N2451" t="s">
        <v>555</v>
      </c>
      <c r="O2451" t="s">
        <v>11582</v>
      </c>
      <c r="P2451" t="s">
        <v>11583</v>
      </c>
      <c r="Q2451" t="s">
        <v>11584</v>
      </c>
      <c r="R2451">
        <v>10</v>
      </c>
      <c r="S2451">
        <v>16</v>
      </c>
    </row>
    <row r="2452" spans="1:19" x14ac:dyDescent="0.35">
      <c r="A2452">
        <v>3634</v>
      </c>
      <c r="B2452" t="s">
        <v>11596</v>
      </c>
      <c r="C2452" t="s">
        <v>42</v>
      </c>
      <c r="D2452" t="s">
        <v>11597</v>
      </c>
      <c r="E2452" t="e" cm="1">
        <f t="array" ref="E2452">- ONDANSETRON</f>
        <v>#NAME?</v>
      </c>
      <c r="F2452" t="s">
        <v>11598</v>
      </c>
      <c r="G2452" t="s">
        <v>60</v>
      </c>
      <c r="H2452" t="s">
        <v>11599</v>
      </c>
      <c r="I2452" t="s">
        <v>11600</v>
      </c>
      <c r="J2452" t="s">
        <v>11601</v>
      </c>
      <c r="K2452" t="s">
        <v>11602</v>
      </c>
      <c r="L2452" t="s">
        <v>11603</v>
      </c>
      <c r="M2452" t="s">
        <v>46</v>
      </c>
      <c r="N2452" t="s">
        <v>1869</v>
      </c>
      <c r="O2452" t="s">
        <v>11604</v>
      </c>
      <c r="P2452" t="s">
        <v>1870</v>
      </c>
      <c r="Q2452" t="s">
        <v>11605</v>
      </c>
      <c r="R2452">
        <v>10</v>
      </c>
      <c r="S2452">
        <v>16</v>
      </c>
    </row>
    <row r="2453" spans="1:19" x14ac:dyDescent="0.35">
      <c r="A2453">
        <v>4880</v>
      </c>
      <c r="B2453" t="s">
        <v>11606</v>
      </c>
      <c r="C2453" t="s">
        <v>42</v>
      </c>
      <c r="D2453" t="s">
        <v>11607</v>
      </c>
      <c r="E2453" t="e" cm="1">
        <f t="array" ref="E2453">- CHLORAMPHENICOL</f>
        <v>#NAME?</v>
      </c>
      <c r="F2453" t="s">
        <v>11608</v>
      </c>
      <c r="H2453" t="s">
        <v>11609</v>
      </c>
      <c r="I2453" t="s">
        <v>11610</v>
      </c>
      <c r="J2453" t="s">
        <v>11611</v>
      </c>
      <c r="K2453" t="s">
        <v>2726</v>
      </c>
      <c r="L2453" t="s">
        <v>11612</v>
      </c>
      <c r="M2453" t="s">
        <v>824</v>
      </c>
      <c r="N2453" t="s">
        <v>1188</v>
      </c>
      <c r="O2453" t="s">
        <v>11613</v>
      </c>
      <c r="P2453" t="s">
        <v>11614</v>
      </c>
      <c r="Q2453" t="s">
        <v>11615</v>
      </c>
      <c r="R2453">
        <v>10</v>
      </c>
      <c r="S2453">
        <v>16</v>
      </c>
    </row>
    <row r="2454" spans="1:19" x14ac:dyDescent="0.35">
      <c r="A2454">
        <v>321</v>
      </c>
      <c r="B2454" t="s">
        <v>11616</v>
      </c>
      <c r="C2454" t="s">
        <v>42</v>
      </c>
      <c r="D2454" t="s">
        <v>11617</v>
      </c>
      <c r="E2454" t="e" cm="1">
        <f t="array" ref="E2454">- CLOMIFENE CITRATE</f>
        <v>#NAME?</v>
      </c>
      <c r="F2454" t="s">
        <v>11618</v>
      </c>
      <c r="H2454" t="s">
        <v>11619</v>
      </c>
      <c r="I2454" t="s">
        <v>11620</v>
      </c>
      <c r="J2454" t="s">
        <v>11621</v>
      </c>
      <c r="K2454" t="s">
        <v>11622</v>
      </c>
      <c r="L2454" t="s">
        <v>11623</v>
      </c>
      <c r="M2454" t="s">
        <v>46</v>
      </c>
      <c r="N2454" t="s">
        <v>5738</v>
      </c>
      <c r="O2454" t="s">
        <v>11624</v>
      </c>
      <c r="P2454" t="s">
        <v>11625</v>
      </c>
      <c r="Q2454" t="s">
        <v>11626</v>
      </c>
      <c r="R2454">
        <v>10</v>
      </c>
      <c r="S2454">
        <v>16</v>
      </c>
    </row>
    <row r="2455" spans="1:19" x14ac:dyDescent="0.35">
      <c r="A2455">
        <v>8309</v>
      </c>
      <c r="B2455" t="s">
        <v>551</v>
      </c>
      <c r="C2455" t="s">
        <v>42</v>
      </c>
      <c r="D2455" t="s">
        <v>11535</v>
      </c>
      <c r="E2455" t="e" cm="1">
        <f t="array" ref="E2455">- POVIDONE-IODINE</f>
        <v>#NAME?</v>
      </c>
      <c r="F2455" t="s">
        <v>11536</v>
      </c>
      <c r="H2455" t="s">
        <v>1322</v>
      </c>
      <c r="I2455" t="s">
        <v>11537</v>
      </c>
      <c r="J2455" t="s">
        <v>11538</v>
      </c>
      <c r="M2455" t="s">
        <v>554</v>
      </c>
      <c r="N2455" t="s">
        <v>555</v>
      </c>
      <c r="O2455" t="s">
        <v>8920</v>
      </c>
      <c r="P2455" t="s">
        <v>11539</v>
      </c>
      <c r="Q2455" t="s">
        <v>11540</v>
      </c>
      <c r="R2455">
        <v>10</v>
      </c>
      <c r="S2455">
        <v>16</v>
      </c>
    </row>
    <row r="2456" spans="1:19" x14ac:dyDescent="0.35">
      <c r="A2456">
        <v>8236</v>
      </c>
      <c r="B2456" t="s">
        <v>551</v>
      </c>
      <c r="C2456" t="s">
        <v>42</v>
      </c>
      <c r="D2456" t="s">
        <v>11627</v>
      </c>
      <c r="E2456" t="e" cm="1">
        <f t="array" ref="E2456">- POVIDONE-IODINE</f>
        <v>#NAME?</v>
      </c>
      <c r="F2456" t="s">
        <v>11628</v>
      </c>
      <c r="G2456" t="s">
        <v>9438</v>
      </c>
      <c r="H2456" t="s">
        <v>1322</v>
      </c>
      <c r="I2456" t="s">
        <v>9439</v>
      </c>
      <c r="J2456" t="s">
        <v>11629</v>
      </c>
      <c r="M2456" t="s">
        <v>554</v>
      </c>
      <c r="N2456" t="s">
        <v>555</v>
      </c>
      <c r="O2456" t="s">
        <v>9441</v>
      </c>
      <c r="P2456" t="s">
        <v>11630</v>
      </c>
      <c r="Q2456" t="s">
        <v>11631</v>
      </c>
      <c r="R2456">
        <v>10</v>
      </c>
      <c r="S2456">
        <v>16</v>
      </c>
    </row>
    <row r="2457" spans="1:19" x14ac:dyDescent="0.35">
      <c r="A2457">
        <v>7312</v>
      </c>
      <c r="B2457" t="s">
        <v>11632</v>
      </c>
      <c r="C2457" t="s">
        <v>20</v>
      </c>
      <c r="D2457" t="s">
        <v>11633</v>
      </c>
      <c r="E2457" t="s">
        <v>11634</v>
      </c>
      <c r="F2457" s="1">
        <v>446000</v>
      </c>
      <c r="G2457" t="s">
        <v>11635</v>
      </c>
      <c r="H2457" t="s">
        <v>11636</v>
      </c>
      <c r="I2457" t="s">
        <v>11637</v>
      </c>
      <c r="J2457" t="s">
        <v>11638</v>
      </c>
      <c r="M2457" t="s">
        <v>38</v>
      </c>
      <c r="N2457" t="s">
        <v>11639</v>
      </c>
      <c r="O2457" t="s">
        <v>11640</v>
      </c>
      <c r="P2457" t="s">
        <v>11639</v>
      </c>
      <c r="Q2457" t="s">
        <v>11641</v>
      </c>
      <c r="R2457">
        <v>10</v>
      </c>
      <c r="S2457">
        <v>16</v>
      </c>
    </row>
    <row r="2458" spans="1:19" x14ac:dyDescent="0.35">
      <c r="A2458">
        <v>8237</v>
      </c>
      <c r="B2458" t="s">
        <v>551</v>
      </c>
      <c r="C2458" t="s">
        <v>42</v>
      </c>
      <c r="D2458" t="s">
        <v>11627</v>
      </c>
      <c r="E2458" t="e" cm="1">
        <f t="array" ref="E2458">- POVIDONE-IODINE</f>
        <v>#NAME?</v>
      </c>
      <c r="F2458" t="s">
        <v>11628</v>
      </c>
      <c r="G2458" t="s">
        <v>9438</v>
      </c>
      <c r="H2458" t="s">
        <v>1322</v>
      </c>
      <c r="I2458" t="s">
        <v>9439</v>
      </c>
      <c r="J2458" t="s">
        <v>11629</v>
      </c>
      <c r="M2458" t="s">
        <v>554</v>
      </c>
      <c r="N2458" t="s">
        <v>555</v>
      </c>
      <c r="O2458" t="s">
        <v>9441</v>
      </c>
      <c r="P2458" t="s">
        <v>11630</v>
      </c>
      <c r="Q2458" t="s">
        <v>11631</v>
      </c>
      <c r="R2458">
        <v>10</v>
      </c>
      <c r="S2458">
        <v>16</v>
      </c>
    </row>
    <row r="2459" spans="1:19" x14ac:dyDescent="0.35">
      <c r="A2459">
        <v>8306</v>
      </c>
      <c r="B2459" t="s">
        <v>551</v>
      </c>
      <c r="C2459" t="s">
        <v>42</v>
      </c>
      <c r="D2459" t="s">
        <v>11642</v>
      </c>
      <c r="E2459" t="e" cm="1">
        <f t="array" ref="E2459">- POVIDONE-IODINE</f>
        <v>#NAME?</v>
      </c>
      <c r="F2459" t="s">
        <v>11643</v>
      </c>
      <c r="H2459" t="s">
        <v>1322</v>
      </c>
      <c r="I2459" t="s">
        <v>11537</v>
      </c>
      <c r="J2459" t="s">
        <v>11644</v>
      </c>
      <c r="M2459" t="s">
        <v>554</v>
      </c>
      <c r="N2459" t="s">
        <v>555</v>
      </c>
      <c r="O2459" t="s">
        <v>8920</v>
      </c>
      <c r="P2459" t="s">
        <v>11645</v>
      </c>
      <c r="Q2459" t="s">
        <v>11646</v>
      </c>
      <c r="R2459">
        <v>10</v>
      </c>
      <c r="S2459">
        <v>16</v>
      </c>
    </row>
    <row r="2460" spans="1:19" x14ac:dyDescent="0.35">
      <c r="A2460">
        <v>7321</v>
      </c>
      <c r="B2460" t="s">
        <v>9371</v>
      </c>
      <c r="C2460" t="s">
        <v>42</v>
      </c>
      <c r="D2460" t="s">
        <v>9372</v>
      </c>
      <c r="E2460" t="e" cm="1">
        <f t="array" ref="E2460">- LEVONORGESTREL. ETHINYLESTRADIOL</f>
        <v>#NAME?</v>
      </c>
      <c r="F2460" t="s">
        <v>9373</v>
      </c>
      <c r="G2460" t="s">
        <v>9374</v>
      </c>
      <c r="H2460" t="s">
        <v>2643</v>
      </c>
      <c r="I2460" t="s">
        <v>9375</v>
      </c>
      <c r="J2460" t="s">
        <v>9376</v>
      </c>
      <c r="K2460" t="s">
        <v>9377</v>
      </c>
      <c r="L2460" t="s">
        <v>9378</v>
      </c>
      <c r="M2460" t="s">
        <v>46</v>
      </c>
      <c r="N2460" t="s">
        <v>7687</v>
      </c>
      <c r="O2460" t="s">
        <v>9379</v>
      </c>
      <c r="P2460" t="s">
        <v>9380</v>
      </c>
      <c r="Q2460" t="s">
        <v>11647</v>
      </c>
      <c r="R2460">
        <v>10</v>
      </c>
      <c r="S2460">
        <v>16</v>
      </c>
    </row>
    <row r="2461" spans="1:19" x14ac:dyDescent="0.35">
      <c r="A2461">
        <v>3854</v>
      </c>
      <c r="B2461" t="s">
        <v>11648</v>
      </c>
      <c r="C2461" t="s">
        <v>42</v>
      </c>
      <c r="D2461" t="s">
        <v>11649</v>
      </c>
      <c r="E2461" t="e" cm="1">
        <f t="array" ref="E2461">- LOPERAMIDE HYDROCHLORIDE</f>
        <v>#NAME?</v>
      </c>
      <c r="F2461" t="s">
        <v>11650</v>
      </c>
      <c r="G2461" t="s">
        <v>60</v>
      </c>
      <c r="H2461" t="s">
        <v>11651</v>
      </c>
      <c r="I2461" t="s">
        <v>11652</v>
      </c>
      <c r="J2461" t="s">
        <v>11653</v>
      </c>
      <c r="K2461" t="s">
        <v>11654</v>
      </c>
      <c r="L2461" t="s">
        <v>11655</v>
      </c>
      <c r="M2461" t="s">
        <v>46</v>
      </c>
      <c r="N2461" t="s">
        <v>1461</v>
      </c>
      <c r="O2461" t="s">
        <v>11656</v>
      </c>
      <c r="P2461" t="s">
        <v>11657</v>
      </c>
      <c r="Q2461" t="s">
        <v>11658</v>
      </c>
      <c r="R2461">
        <v>10</v>
      </c>
      <c r="S2461">
        <v>16</v>
      </c>
    </row>
    <row r="2462" spans="1:19" x14ac:dyDescent="0.35">
      <c r="A2462">
        <v>3855</v>
      </c>
      <c r="B2462" t="s">
        <v>11648</v>
      </c>
      <c r="C2462" t="s">
        <v>42</v>
      </c>
      <c r="D2462" t="s">
        <v>11649</v>
      </c>
      <c r="E2462" t="e" cm="1">
        <f t="array" ref="E2462">- LOPERAMIDE HYDROCHLORIDE</f>
        <v>#NAME?</v>
      </c>
      <c r="F2462" t="s">
        <v>11650</v>
      </c>
      <c r="G2462" t="s">
        <v>60</v>
      </c>
      <c r="H2462" t="s">
        <v>11651</v>
      </c>
      <c r="I2462" t="s">
        <v>11652</v>
      </c>
      <c r="J2462" t="s">
        <v>11653</v>
      </c>
      <c r="K2462" t="s">
        <v>11654</v>
      </c>
      <c r="L2462" t="s">
        <v>11655</v>
      </c>
      <c r="M2462" t="s">
        <v>46</v>
      </c>
      <c r="N2462" t="s">
        <v>1461</v>
      </c>
      <c r="O2462" t="s">
        <v>11656</v>
      </c>
      <c r="P2462" t="s">
        <v>11657</v>
      </c>
      <c r="Q2462" t="s">
        <v>11658</v>
      </c>
      <c r="R2462">
        <v>10</v>
      </c>
      <c r="S2462">
        <v>16</v>
      </c>
    </row>
    <row r="2463" spans="1:19" x14ac:dyDescent="0.35">
      <c r="A2463">
        <v>8307</v>
      </c>
      <c r="B2463" t="s">
        <v>551</v>
      </c>
      <c r="C2463" t="s">
        <v>42</v>
      </c>
      <c r="D2463" t="s">
        <v>11642</v>
      </c>
      <c r="E2463" t="e" cm="1">
        <f t="array" ref="E2463">- POVIDONE-IODINE</f>
        <v>#NAME?</v>
      </c>
      <c r="F2463" t="s">
        <v>11643</v>
      </c>
      <c r="H2463" t="s">
        <v>1322</v>
      </c>
      <c r="I2463" t="s">
        <v>11537</v>
      </c>
      <c r="J2463" t="s">
        <v>11644</v>
      </c>
      <c r="M2463" t="s">
        <v>554</v>
      </c>
      <c r="N2463" t="s">
        <v>555</v>
      </c>
      <c r="O2463" t="s">
        <v>8920</v>
      </c>
      <c r="P2463" t="s">
        <v>11645</v>
      </c>
      <c r="Q2463" t="s">
        <v>11646</v>
      </c>
      <c r="R2463">
        <v>10</v>
      </c>
      <c r="S2463">
        <v>16</v>
      </c>
    </row>
    <row r="2464" spans="1:19" x14ac:dyDescent="0.35">
      <c r="A2464">
        <v>3856</v>
      </c>
      <c r="B2464" t="s">
        <v>11648</v>
      </c>
      <c r="C2464" t="s">
        <v>42</v>
      </c>
      <c r="D2464" t="s">
        <v>11649</v>
      </c>
      <c r="E2464" t="e" cm="1">
        <f t="array" ref="E2464">- LOPERAMIDE HYDROCHLORIDE</f>
        <v>#NAME?</v>
      </c>
      <c r="F2464" t="s">
        <v>11650</v>
      </c>
      <c r="G2464" t="s">
        <v>60</v>
      </c>
      <c r="H2464" t="s">
        <v>11651</v>
      </c>
      <c r="I2464" t="s">
        <v>11652</v>
      </c>
      <c r="J2464" t="s">
        <v>11653</v>
      </c>
      <c r="K2464" t="s">
        <v>11654</v>
      </c>
      <c r="L2464" t="s">
        <v>11655</v>
      </c>
      <c r="M2464" t="s">
        <v>46</v>
      </c>
      <c r="N2464" t="s">
        <v>1461</v>
      </c>
      <c r="O2464" t="s">
        <v>11656</v>
      </c>
      <c r="P2464" t="s">
        <v>11657</v>
      </c>
      <c r="Q2464" t="s">
        <v>11658</v>
      </c>
      <c r="R2464">
        <v>10</v>
      </c>
      <c r="S2464">
        <v>16</v>
      </c>
    </row>
    <row r="2465" spans="1:19" x14ac:dyDescent="0.35">
      <c r="A2465">
        <v>3857</v>
      </c>
      <c r="B2465" t="s">
        <v>11648</v>
      </c>
      <c r="C2465" t="s">
        <v>42</v>
      </c>
      <c r="D2465" t="s">
        <v>11649</v>
      </c>
      <c r="E2465" t="e" cm="1">
        <f t="array" ref="E2465">- LOPERAMIDE HYDROCHLORIDE</f>
        <v>#NAME?</v>
      </c>
      <c r="F2465" t="s">
        <v>11650</v>
      </c>
      <c r="G2465" t="s">
        <v>60</v>
      </c>
      <c r="H2465" t="s">
        <v>11651</v>
      </c>
      <c r="I2465" t="s">
        <v>11652</v>
      </c>
      <c r="J2465" t="s">
        <v>11653</v>
      </c>
      <c r="K2465" t="s">
        <v>11654</v>
      </c>
      <c r="L2465" t="s">
        <v>11655</v>
      </c>
      <c r="M2465" t="s">
        <v>46</v>
      </c>
      <c r="N2465" t="s">
        <v>1461</v>
      </c>
      <c r="O2465" t="s">
        <v>11656</v>
      </c>
      <c r="P2465" t="s">
        <v>11657</v>
      </c>
      <c r="Q2465" t="s">
        <v>11658</v>
      </c>
      <c r="R2465">
        <v>10</v>
      </c>
      <c r="S2465">
        <v>16</v>
      </c>
    </row>
    <row r="2466" spans="1:19" x14ac:dyDescent="0.35">
      <c r="A2466">
        <v>148</v>
      </c>
      <c r="B2466" t="s">
        <v>2902</v>
      </c>
      <c r="C2466" t="s">
        <v>42</v>
      </c>
      <c r="D2466" t="s">
        <v>11659</v>
      </c>
      <c r="E2466" t="e" cm="1">
        <f t="array" ref="E2466">- SILDENAFIL CITRATE</f>
        <v>#NAME?</v>
      </c>
      <c r="F2466" t="s">
        <v>11660</v>
      </c>
      <c r="G2466" t="s">
        <v>8185</v>
      </c>
      <c r="H2466" t="s">
        <v>1322</v>
      </c>
      <c r="I2466" t="s">
        <v>8186</v>
      </c>
      <c r="J2466" t="s">
        <v>11661</v>
      </c>
      <c r="L2466" t="s">
        <v>11662</v>
      </c>
      <c r="M2466" t="s">
        <v>46</v>
      </c>
      <c r="N2466" t="s">
        <v>2519</v>
      </c>
      <c r="O2466" t="s">
        <v>8189</v>
      </c>
      <c r="P2466" t="s">
        <v>11663</v>
      </c>
      <c r="Q2466" t="s">
        <v>11664</v>
      </c>
      <c r="R2466">
        <v>10</v>
      </c>
      <c r="S2466">
        <v>16</v>
      </c>
    </row>
    <row r="2467" spans="1:19" x14ac:dyDescent="0.35">
      <c r="A2467">
        <v>4787</v>
      </c>
      <c r="B2467" t="s">
        <v>11548</v>
      </c>
      <c r="C2467" t="s">
        <v>42</v>
      </c>
      <c r="D2467" t="s">
        <v>11549</v>
      </c>
      <c r="E2467" t="e" cm="1">
        <f t="array" ref="E2467">- PILOCARPINE HYDROCHLORIDE</f>
        <v>#NAME?</v>
      </c>
      <c r="F2467" t="s">
        <v>11550</v>
      </c>
      <c r="G2467" t="s">
        <v>11067</v>
      </c>
      <c r="H2467" t="s">
        <v>7542</v>
      </c>
      <c r="I2467" t="s">
        <v>11068</v>
      </c>
      <c r="J2467" t="s">
        <v>11321</v>
      </c>
      <c r="K2467" t="s">
        <v>6097</v>
      </c>
      <c r="L2467" t="s">
        <v>11069</v>
      </c>
      <c r="M2467" t="s">
        <v>824</v>
      </c>
      <c r="N2467" t="s">
        <v>11551</v>
      </c>
      <c r="O2467" t="s">
        <v>11071</v>
      </c>
      <c r="P2467" t="s">
        <v>11072</v>
      </c>
      <c r="Q2467" t="s">
        <v>11552</v>
      </c>
      <c r="R2467">
        <v>10</v>
      </c>
      <c r="S2467">
        <v>16</v>
      </c>
    </row>
    <row r="2468" spans="1:19" x14ac:dyDescent="0.35">
      <c r="A2468">
        <v>8318</v>
      </c>
      <c r="B2468" t="s">
        <v>551</v>
      </c>
      <c r="C2468" t="s">
        <v>42</v>
      </c>
      <c r="D2468" t="s">
        <v>11665</v>
      </c>
      <c r="E2468" t="e" cm="1">
        <f t="array" ref="E2468">- POVIDONE-IODINE</f>
        <v>#NAME?</v>
      </c>
      <c r="F2468" t="s">
        <v>11666</v>
      </c>
      <c r="I2468" t="s">
        <v>11667</v>
      </c>
      <c r="J2468" t="s">
        <v>11668</v>
      </c>
      <c r="M2468" t="s">
        <v>554</v>
      </c>
      <c r="N2468" t="s">
        <v>555</v>
      </c>
      <c r="O2468" t="s">
        <v>11669</v>
      </c>
      <c r="P2468" t="s">
        <v>11670</v>
      </c>
      <c r="Q2468" t="s">
        <v>11671</v>
      </c>
      <c r="R2468">
        <v>10</v>
      </c>
      <c r="S2468">
        <v>16</v>
      </c>
    </row>
    <row r="2469" spans="1:19" x14ac:dyDescent="0.35">
      <c r="A2469">
        <v>8319</v>
      </c>
      <c r="B2469" t="s">
        <v>551</v>
      </c>
      <c r="C2469" t="s">
        <v>42</v>
      </c>
      <c r="D2469" t="s">
        <v>11665</v>
      </c>
      <c r="E2469" t="e" cm="1">
        <f t="array" ref="E2469">- POVIDONE-IODINE</f>
        <v>#NAME?</v>
      </c>
      <c r="F2469" t="s">
        <v>11666</v>
      </c>
      <c r="I2469" t="s">
        <v>11667</v>
      </c>
      <c r="J2469" t="s">
        <v>11668</v>
      </c>
      <c r="M2469" t="s">
        <v>554</v>
      </c>
      <c r="N2469" t="s">
        <v>555</v>
      </c>
      <c r="O2469" t="s">
        <v>11669</v>
      </c>
      <c r="P2469" t="s">
        <v>11670</v>
      </c>
      <c r="Q2469" t="s">
        <v>11671</v>
      </c>
      <c r="R2469">
        <v>10</v>
      </c>
      <c r="S2469">
        <v>16</v>
      </c>
    </row>
    <row r="2470" spans="1:19" x14ac:dyDescent="0.35">
      <c r="A2470">
        <v>4786</v>
      </c>
      <c r="B2470" t="s">
        <v>11548</v>
      </c>
      <c r="C2470" t="s">
        <v>42</v>
      </c>
      <c r="D2470" t="s">
        <v>11549</v>
      </c>
      <c r="E2470" t="e" cm="1">
        <f t="array" ref="E2470">- PILOCARPINE HYDROCHLORIDE</f>
        <v>#NAME?</v>
      </c>
      <c r="F2470" t="s">
        <v>11550</v>
      </c>
      <c r="G2470" t="s">
        <v>11067</v>
      </c>
      <c r="H2470" t="s">
        <v>7542</v>
      </c>
      <c r="I2470" t="s">
        <v>11068</v>
      </c>
      <c r="J2470" t="s">
        <v>11321</v>
      </c>
      <c r="K2470" t="s">
        <v>6097</v>
      </c>
      <c r="L2470" t="s">
        <v>11069</v>
      </c>
      <c r="M2470" t="s">
        <v>824</v>
      </c>
      <c r="N2470" t="s">
        <v>11551</v>
      </c>
      <c r="O2470" t="s">
        <v>11071</v>
      </c>
      <c r="P2470" t="s">
        <v>11072</v>
      </c>
      <c r="Q2470" t="s">
        <v>11552</v>
      </c>
      <c r="R2470">
        <v>10</v>
      </c>
      <c r="S2470">
        <v>16</v>
      </c>
    </row>
    <row r="2471" spans="1:19" x14ac:dyDescent="0.35">
      <c r="A2471">
        <v>318</v>
      </c>
      <c r="B2471" t="s">
        <v>11616</v>
      </c>
      <c r="C2471" t="s">
        <v>42</v>
      </c>
      <c r="D2471" t="s">
        <v>11617</v>
      </c>
      <c r="E2471" t="e" cm="1">
        <f t="array" ref="E2471">- CLOMIFENE CITRATE</f>
        <v>#NAME?</v>
      </c>
      <c r="F2471" t="s">
        <v>11618</v>
      </c>
      <c r="H2471" t="s">
        <v>11619</v>
      </c>
      <c r="I2471" t="s">
        <v>11620</v>
      </c>
      <c r="J2471" t="s">
        <v>11621</v>
      </c>
      <c r="K2471" t="s">
        <v>11622</v>
      </c>
      <c r="L2471" t="s">
        <v>11623</v>
      </c>
      <c r="M2471" t="s">
        <v>46</v>
      </c>
      <c r="N2471" t="s">
        <v>5738</v>
      </c>
      <c r="O2471" t="s">
        <v>11624</v>
      </c>
      <c r="P2471" t="s">
        <v>11625</v>
      </c>
      <c r="Q2471" t="s">
        <v>11626</v>
      </c>
      <c r="R2471">
        <v>10</v>
      </c>
      <c r="S2471">
        <v>16</v>
      </c>
    </row>
    <row r="2472" spans="1:19" x14ac:dyDescent="0.35">
      <c r="A2472">
        <v>5480</v>
      </c>
      <c r="B2472" t="s">
        <v>11672</v>
      </c>
      <c r="C2472" t="s">
        <v>42</v>
      </c>
      <c r="D2472" t="s">
        <v>11673</v>
      </c>
      <c r="E2472" t="e" cm="1">
        <f t="array" ref="E2472">- BETAMETHASONE VALERATE</f>
        <v>#NAME?</v>
      </c>
      <c r="F2472" t="s">
        <v>11674</v>
      </c>
      <c r="G2472" t="s">
        <v>5456</v>
      </c>
      <c r="H2472" t="s">
        <v>2764</v>
      </c>
      <c r="I2472" t="s">
        <v>11675</v>
      </c>
      <c r="J2472" t="s">
        <v>11676</v>
      </c>
      <c r="K2472" t="s">
        <v>11677</v>
      </c>
      <c r="L2472" t="s">
        <v>11678</v>
      </c>
      <c r="M2472" t="s">
        <v>1289</v>
      </c>
      <c r="N2472" t="s">
        <v>2059</v>
      </c>
      <c r="O2472" t="s">
        <v>11679</v>
      </c>
      <c r="P2472" t="s">
        <v>11680</v>
      </c>
      <c r="Q2472" t="s">
        <v>11681</v>
      </c>
      <c r="R2472">
        <v>10</v>
      </c>
      <c r="S2472">
        <v>16</v>
      </c>
    </row>
    <row r="2473" spans="1:19" x14ac:dyDescent="0.35">
      <c r="A2473">
        <v>3825</v>
      </c>
      <c r="B2473" t="s">
        <v>11682</v>
      </c>
      <c r="C2473" t="s">
        <v>42</v>
      </c>
      <c r="D2473" t="s">
        <v>11683</v>
      </c>
      <c r="E2473" t="e" cm="1">
        <f t="array" ref="E2473">- LOPERAMIDE HYDROCHLORIDE</f>
        <v>#NAME?</v>
      </c>
      <c r="F2473" t="s">
        <v>11684</v>
      </c>
      <c r="G2473" t="s">
        <v>3098</v>
      </c>
      <c r="H2473" t="s">
        <v>11685</v>
      </c>
      <c r="I2473" t="s">
        <v>11378</v>
      </c>
      <c r="J2473" t="s">
        <v>9705</v>
      </c>
      <c r="K2473" t="s">
        <v>11686</v>
      </c>
      <c r="L2473" t="s">
        <v>11687</v>
      </c>
      <c r="M2473" t="s">
        <v>46</v>
      </c>
      <c r="N2473" t="s">
        <v>1461</v>
      </c>
      <c r="O2473" t="s">
        <v>11380</v>
      </c>
      <c r="P2473" t="s">
        <v>11688</v>
      </c>
      <c r="Q2473" t="s">
        <v>11689</v>
      </c>
      <c r="R2473">
        <v>10</v>
      </c>
      <c r="S2473">
        <v>16</v>
      </c>
    </row>
    <row r="2474" spans="1:19" x14ac:dyDescent="0.35">
      <c r="A2474">
        <v>8331</v>
      </c>
      <c r="B2474" t="s">
        <v>551</v>
      </c>
      <c r="C2474" t="s">
        <v>42</v>
      </c>
      <c r="D2474" t="s">
        <v>11541</v>
      </c>
      <c r="E2474" t="e" cm="1">
        <f t="array" ref="E2474">- POVIDONE-IODINE</f>
        <v>#NAME?</v>
      </c>
      <c r="F2474" t="s">
        <v>11542</v>
      </c>
      <c r="G2474" t="s">
        <v>11543</v>
      </c>
      <c r="I2474" t="s">
        <v>11544</v>
      </c>
      <c r="J2474" t="s">
        <v>11545</v>
      </c>
      <c r="M2474" t="s">
        <v>554</v>
      </c>
      <c r="N2474" t="s">
        <v>555</v>
      </c>
      <c r="O2474" t="s">
        <v>11546</v>
      </c>
      <c r="P2474" t="s">
        <v>6691</v>
      </c>
      <c r="Q2474" t="s">
        <v>11547</v>
      </c>
      <c r="R2474">
        <v>10</v>
      </c>
      <c r="S2474">
        <v>16</v>
      </c>
    </row>
    <row r="2475" spans="1:19" x14ac:dyDescent="0.35">
      <c r="A2475">
        <v>8134</v>
      </c>
      <c r="B2475" t="s">
        <v>551</v>
      </c>
      <c r="C2475" t="s">
        <v>42</v>
      </c>
      <c r="D2475" t="s">
        <v>11690</v>
      </c>
      <c r="E2475" t="e" cm="1">
        <f t="array" ref="E2475">- POVIDONE-IODINE</f>
        <v>#NAME?</v>
      </c>
      <c r="F2475" t="s">
        <v>11691</v>
      </c>
      <c r="I2475" t="s">
        <v>9439</v>
      </c>
      <c r="J2475" t="s">
        <v>11692</v>
      </c>
      <c r="L2475" t="s">
        <v>9649</v>
      </c>
      <c r="M2475" t="s">
        <v>554</v>
      </c>
      <c r="N2475" t="s">
        <v>555</v>
      </c>
      <c r="O2475" t="s">
        <v>9441</v>
      </c>
      <c r="P2475" t="s">
        <v>11693</v>
      </c>
      <c r="Q2475" t="s">
        <v>11694</v>
      </c>
      <c r="R2475">
        <v>10</v>
      </c>
      <c r="S2475">
        <v>16</v>
      </c>
    </row>
    <row r="2476" spans="1:19" x14ac:dyDescent="0.35">
      <c r="A2476">
        <v>3826</v>
      </c>
      <c r="B2476" t="s">
        <v>11682</v>
      </c>
      <c r="C2476" t="s">
        <v>42</v>
      </c>
      <c r="D2476" t="s">
        <v>11683</v>
      </c>
      <c r="E2476" t="e" cm="1">
        <f t="array" ref="E2476">- LOPERAMIDE HYDROCHLORIDE</f>
        <v>#NAME?</v>
      </c>
      <c r="F2476" t="s">
        <v>11684</v>
      </c>
      <c r="G2476" t="s">
        <v>3098</v>
      </c>
      <c r="H2476" t="s">
        <v>11685</v>
      </c>
      <c r="I2476" t="s">
        <v>11378</v>
      </c>
      <c r="J2476" t="s">
        <v>9705</v>
      </c>
      <c r="K2476" t="s">
        <v>11686</v>
      </c>
      <c r="L2476" t="s">
        <v>11687</v>
      </c>
      <c r="M2476" t="s">
        <v>46</v>
      </c>
      <c r="N2476" t="s">
        <v>1461</v>
      </c>
      <c r="O2476" t="s">
        <v>11380</v>
      </c>
      <c r="P2476" t="s">
        <v>11688</v>
      </c>
      <c r="Q2476" t="s">
        <v>11689</v>
      </c>
      <c r="R2476">
        <v>10</v>
      </c>
      <c r="S2476">
        <v>16</v>
      </c>
    </row>
    <row r="2477" spans="1:19" x14ac:dyDescent="0.35">
      <c r="A2477">
        <v>552</v>
      </c>
      <c r="B2477" t="s">
        <v>11695</v>
      </c>
      <c r="C2477" t="s">
        <v>42</v>
      </c>
      <c r="D2477" t="s">
        <v>11696</v>
      </c>
      <c r="E2477" t="e" cm="1">
        <f t="array" ref="E2477">- SALBUTAMOL</f>
        <v>#NAME?</v>
      </c>
      <c r="F2477" t="s">
        <v>11697</v>
      </c>
      <c r="G2477" t="s">
        <v>737</v>
      </c>
      <c r="H2477" t="s">
        <v>11448</v>
      </c>
      <c r="I2477" t="s">
        <v>11449</v>
      </c>
      <c r="J2477" t="s">
        <v>11698</v>
      </c>
      <c r="K2477" t="s">
        <v>11699</v>
      </c>
      <c r="L2477" t="s">
        <v>11700</v>
      </c>
      <c r="M2477" t="s">
        <v>46</v>
      </c>
      <c r="N2477" t="s">
        <v>3463</v>
      </c>
      <c r="O2477" t="s">
        <v>11452</v>
      </c>
      <c r="P2477" t="s">
        <v>11701</v>
      </c>
      <c r="Q2477" t="s">
        <v>11702</v>
      </c>
      <c r="R2477">
        <v>10</v>
      </c>
      <c r="S2477">
        <v>16</v>
      </c>
    </row>
    <row r="2478" spans="1:19" x14ac:dyDescent="0.35">
      <c r="A2478">
        <v>8135</v>
      </c>
      <c r="B2478" t="s">
        <v>551</v>
      </c>
      <c r="C2478" t="s">
        <v>42</v>
      </c>
      <c r="D2478" t="s">
        <v>11690</v>
      </c>
      <c r="E2478" t="e" cm="1">
        <f t="array" ref="E2478">- POVIDONE-IODINE</f>
        <v>#NAME?</v>
      </c>
      <c r="F2478" t="s">
        <v>11691</v>
      </c>
      <c r="I2478" t="s">
        <v>9439</v>
      </c>
      <c r="J2478" t="s">
        <v>11692</v>
      </c>
      <c r="L2478" t="s">
        <v>9649</v>
      </c>
      <c r="M2478" t="s">
        <v>554</v>
      </c>
      <c r="N2478" t="s">
        <v>555</v>
      </c>
      <c r="O2478" t="s">
        <v>9441</v>
      </c>
      <c r="P2478" t="s">
        <v>11693</v>
      </c>
      <c r="Q2478" t="s">
        <v>11694</v>
      </c>
      <c r="R2478">
        <v>10</v>
      </c>
      <c r="S2478">
        <v>16</v>
      </c>
    </row>
    <row r="2479" spans="1:19" x14ac:dyDescent="0.35">
      <c r="A2479">
        <v>1485</v>
      </c>
      <c r="B2479" t="s">
        <v>11703</v>
      </c>
      <c r="C2479" t="s">
        <v>42</v>
      </c>
      <c r="D2479" t="s">
        <v>11704</v>
      </c>
      <c r="E2479" t="e" cm="1">
        <f t="array" ref="E2479">- ACETYLCYSTEINE</f>
        <v>#NAME?</v>
      </c>
      <c r="F2479" t="s">
        <v>11705</v>
      </c>
      <c r="G2479" t="s">
        <v>11706</v>
      </c>
      <c r="H2479" t="s">
        <v>11707</v>
      </c>
      <c r="I2479" t="s">
        <v>11708</v>
      </c>
      <c r="J2479" t="s">
        <v>8311</v>
      </c>
      <c r="K2479" t="s">
        <v>11366</v>
      </c>
      <c r="L2479" t="s">
        <v>11709</v>
      </c>
      <c r="M2479" t="s">
        <v>38</v>
      </c>
      <c r="N2479" t="s">
        <v>9045</v>
      </c>
      <c r="O2479" t="s">
        <v>11710</v>
      </c>
      <c r="P2479" t="s">
        <v>11711</v>
      </c>
      <c r="Q2479" t="s">
        <v>11712</v>
      </c>
      <c r="R2479">
        <v>10</v>
      </c>
      <c r="S2479">
        <v>16</v>
      </c>
    </row>
    <row r="2480" spans="1:19" x14ac:dyDescent="0.35">
      <c r="A2480">
        <v>4546</v>
      </c>
      <c r="B2480" t="s">
        <v>11524</v>
      </c>
      <c r="C2480" t="s">
        <v>42</v>
      </c>
      <c r="D2480" t="s">
        <v>11525</v>
      </c>
      <c r="E2480" t="e" cm="1">
        <f t="array" ref="E2480">- TETRYZOLINE HYDROCHLORIDE</f>
        <v>#NAME?</v>
      </c>
      <c r="F2480" t="s">
        <v>11526</v>
      </c>
      <c r="G2480" t="s">
        <v>11527</v>
      </c>
      <c r="H2480" t="s">
        <v>11528</v>
      </c>
      <c r="I2480" t="s">
        <v>11529</v>
      </c>
      <c r="J2480" t="s">
        <v>743</v>
      </c>
      <c r="K2480" t="s">
        <v>11530</v>
      </c>
      <c r="L2480" t="s">
        <v>11531</v>
      </c>
      <c r="M2480" t="s">
        <v>824</v>
      </c>
      <c r="N2480" t="s">
        <v>11713</v>
      </c>
      <c r="O2480" t="s">
        <v>11532</v>
      </c>
      <c r="P2480" t="s">
        <v>11533</v>
      </c>
      <c r="Q2480" t="s">
        <v>11714</v>
      </c>
      <c r="R2480">
        <v>10</v>
      </c>
      <c r="S2480">
        <v>16</v>
      </c>
    </row>
    <row r="2481" spans="1:19" x14ac:dyDescent="0.35">
      <c r="A2481">
        <v>319</v>
      </c>
      <c r="B2481" t="s">
        <v>11616</v>
      </c>
      <c r="C2481" t="s">
        <v>42</v>
      </c>
      <c r="D2481" t="s">
        <v>11617</v>
      </c>
      <c r="E2481" t="e" cm="1">
        <f t="array" ref="E2481">- CLOMIFENE CITRATE</f>
        <v>#NAME?</v>
      </c>
      <c r="F2481" t="s">
        <v>11618</v>
      </c>
      <c r="H2481" t="s">
        <v>11619</v>
      </c>
      <c r="I2481" t="s">
        <v>11620</v>
      </c>
      <c r="J2481" t="s">
        <v>11621</v>
      </c>
      <c r="K2481" t="s">
        <v>11622</v>
      </c>
      <c r="L2481" t="s">
        <v>11623</v>
      </c>
      <c r="M2481" t="s">
        <v>46</v>
      </c>
      <c r="N2481" t="s">
        <v>5738</v>
      </c>
      <c r="O2481" t="s">
        <v>11624</v>
      </c>
      <c r="P2481" t="s">
        <v>11625</v>
      </c>
      <c r="Q2481" t="s">
        <v>11626</v>
      </c>
      <c r="R2481">
        <v>10</v>
      </c>
      <c r="S2481">
        <v>16</v>
      </c>
    </row>
    <row r="2482" spans="1:19" x14ac:dyDescent="0.35">
      <c r="A2482">
        <v>3830</v>
      </c>
      <c r="B2482" t="s">
        <v>9457</v>
      </c>
      <c r="C2482" t="s">
        <v>42</v>
      </c>
      <c r="D2482" t="s">
        <v>9458</v>
      </c>
      <c r="E2482" t="e" cm="1">
        <f t="array" ref="E2482">- KAOLIN. PECTIN</f>
        <v>#NAME?</v>
      </c>
      <c r="F2482" t="s">
        <v>9459</v>
      </c>
      <c r="G2482" t="s">
        <v>3098</v>
      </c>
      <c r="H2482" t="s">
        <v>9460</v>
      </c>
      <c r="I2482" t="s">
        <v>7230</v>
      </c>
      <c r="J2482" t="s">
        <v>9461</v>
      </c>
      <c r="K2482" t="s">
        <v>9462</v>
      </c>
      <c r="L2482" t="s">
        <v>9463</v>
      </c>
      <c r="M2482" t="s">
        <v>46</v>
      </c>
      <c r="N2482" t="s">
        <v>3159</v>
      </c>
      <c r="O2482" t="s">
        <v>7234</v>
      </c>
      <c r="P2482" t="s">
        <v>9464</v>
      </c>
      <c r="Q2482" t="s">
        <v>11715</v>
      </c>
      <c r="R2482">
        <v>10</v>
      </c>
      <c r="S2482">
        <v>16</v>
      </c>
    </row>
    <row r="2483" spans="1:19" x14ac:dyDescent="0.35">
      <c r="A2483">
        <v>7646</v>
      </c>
      <c r="B2483" t="s">
        <v>11716</v>
      </c>
      <c r="C2483" t="s">
        <v>20</v>
      </c>
      <c r="D2483" t="s">
        <v>11717</v>
      </c>
      <c r="E2483" t="s">
        <v>11718</v>
      </c>
      <c r="F2483" t="s">
        <v>11719</v>
      </c>
      <c r="J2483" t="s">
        <v>11720</v>
      </c>
      <c r="N2483" t="s">
        <v>11721</v>
      </c>
      <c r="P2483" t="s">
        <v>11722</v>
      </c>
      <c r="Q2483" t="s">
        <v>11723</v>
      </c>
      <c r="R2483">
        <v>10</v>
      </c>
      <c r="S2483">
        <v>16</v>
      </c>
    </row>
    <row r="2484" spans="1:19" x14ac:dyDescent="0.35">
      <c r="A2484">
        <v>7692</v>
      </c>
      <c r="B2484" t="s">
        <v>11724</v>
      </c>
      <c r="C2484" t="s">
        <v>20</v>
      </c>
      <c r="D2484" t="s">
        <v>11725</v>
      </c>
      <c r="E2484" t="s">
        <v>11726</v>
      </c>
      <c r="F2484" t="s">
        <v>11727</v>
      </c>
      <c r="G2484" t="s">
        <v>539</v>
      </c>
      <c r="H2484" t="s">
        <v>11728</v>
      </c>
      <c r="I2484" t="s">
        <v>4525</v>
      </c>
      <c r="J2484" t="s">
        <v>5765</v>
      </c>
      <c r="M2484" t="s">
        <v>38</v>
      </c>
      <c r="N2484" t="s">
        <v>11729</v>
      </c>
      <c r="O2484" t="s">
        <v>4528</v>
      </c>
      <c r="P2484" t="s">
        <v>11729</v>
      </c>
      <c r="Q2484" t="s">
        <v>11730</v>
      </c>
      <c r="R2484">
        <v>10</v>
      </c>
      <c r="S2484">
        <v>16</v>
      </c>
    </row>
    <row r="2485" spans="1:19" x14ac:dyDescent="0.35">
      <c r="A2485">
        <v>976</v>
      </c>
      <c r="B2485" t="s">
        <v>11564</v>
      </c>
      <c r="C2485" t="s">
        <v>42</v>
      </c>
      <c r="D2485" t="s">
        <v>11565</v>
      </c>
      <c r="E2485" t="e" cm="1">
        <f t="array" ref="E2485">- AMMONIUM CHLORIDE</f>
        <v>#NAME?</v>
      </c>
      <c r="F2485" t="s">
        <v>11566</v>
      </c>
      <c r="G2485" t="s">
        <v>2241</v>
      </c>
      <c r="H2485" t="s">
        <v>11567</v>
      </c>
      <c r="I2485" t="s">
        <v>11568</v>
      </c>
      <c r="J2485" t="s">
        <v>374</v>
      </c>
      <c r="K2485" t="s">
        <v>11569</v>
      </c>
      <c r="L2485" t="s">
        <v>11570</v>
      </c>
      <c r="M2485" t="s">
        <v>271</v>
      </c>
      <c r="N2485" t="s">
        <v>1672</v>
      </c>
      <c r="O2485" t="s">
        <v>11571</v>
      </c>
      <c r="P2485" t="s">
        <v>11572</v>
      </c>
      <c r="Q2485" t="s">
        <v>11573</v>
      </c>
      <c r="R2485">
        <v>10</v>
      </c>
      <c r="S2485">
        <v>16</v>
      </c>
    </row>
    <row r="2486" spans="1:19" x14ac:dyDescent="0.35">
      <c r="A2486">
        <v>4545</v>
      </c>
      <c r="B2486" t="s">
        <v>11524</v>
      </c>
      <c r="C2486" t="s">
        <v>42</v>
      </c>
      <c r="D2486" t="s">
        <v>11525</v>
      </c>
      <c r="E2486" t="e" cm="1">
        <f t="array" ref="E2486">- TETRAHYDROZOLINE HYDROCHLORIDE</f>
        <v>#NAME?</v>
      </c>
      <c r="F2486" t="s">
        <v>11526</v>
      </c>
      <c r="G2486" t="s">
        <v>11527</v>
      </c>
      <c r="H2486" t="s">
        <v>11528</v>
      </c>
      <c r="I2486" t="s">
        <v>11529</v>
      </c>
      <c r="J2486" t="s">
        <v>743</v>
      </c>
      <c r="K2486" t="s">
        <v>11530</v>
      </c>
      <c r="L2486" t="s">
        <v>11531</v>
      </c>
      <c r="M2486" t="s">
        <v>824</v>
      </c>
      <c r="N2486" t="s">
        <v>3512</v>
      </c>
      <c r="O2486" t="s">
        <v>11532</v>
      </c>
      <c r="P2486" t="s">
        <v>11533</v>
      </c>
      <c r="Q2486" t="s">
        <v>11534</v>
      </c>
      <c r="R2486">
        <v>10</v>
      </c>
      <c r="S2486">
        <v>16</v>
      </c>
    </row>
    <row r="2487" spans="1:19" x14ac:dyDescent="0.35">
      <c r="A2487">
        <v>4841</v>
      </c>
      <c r="B2487" t="s">
        <v>11731</v>
      </c>
      <c r="C2487" t="s">
        <v>42</v>
      </c>
      <c r="D2487" t="s">
        <v>11732</v>
      </c>
      <c r="E2487" t="e" cm="1">
        <f t="array" ref="E2487">- ATROPINE SULFATE</f>
        <v>#NAME?</v>
      </c>
      <c r="F2487" t="s">
        <v>11733</v>
      </c>
      <c r="G2487" t="s">
        <v>7569</v>
      </c>
      <c r="H2487" t="s">
        <v>7570</v>
      </c>
      <c r="I2487" t="s">
        <v>11734</v>
      </c>
      <c r="J2487" t="s">
        <v>7561</v>
      </c>
      <c r="L2487" t="s">
        <v>270</v>
      </c>
      <c r="M2487" t="s">
        <v>824</v>
      </c>
      <c r="N2487" t="s">
        <v>11735</v>
      </c>
      <c r="O2487" t="s">
        <v>11736</v>
      </c>
      <c r="P2487" t="s">
        <v>11737</v>
      </c>
      <c r="Q2487" t="s">
        <v>11738</v>
      </c>
      <c r="R2487">
        <v>10</v>
      </c>
      <c r="S2487">
        <v>16</v>
      </c>
    </row>
    <row r="2488" spans="1:19" x14ac:dyDescent="0.35">
      <c r="A2488">
        <v>4840</v>
      </c>
      <c r="B2488" t="s">
        <v>11731</v>
      </c>
      <c r="C2488" t="s">
        <v>42</v>
      </c>
      <c r="D2488" t="s">
        <v>11732</v>
      </c>
      <c r="E2488" t="e" cm="1">
        <f t="array" ref="E2488">- ATROPINE SULFATE</f>
        <v>#NAME?</v>
      </c>
      <c r="F2488" t="s">
        <v>11733</v>
      </c>
      <c r="G2488" t="s">
        <v>7569</v>
      </c>
      <c r="H2488" t="s">
        <v>7570</v>
      </c>
      <c r="I2488" t="s">
        <v>11734</v>
      </c>
      <c r="J2488" t="s">
        <v>7561</v>
      </c>
      <c r="L2488" t="s">
        <v>270</v>
      </c>
      <c r="M2488" t="s">
        <v>824</v>
      </c>
      <c r="N2488" t="s">
        <v>11735</v>
      </c>
      <c r="O2488" t="s">
        <v>11736</v>
      </c>
      <c r="P2488" t="s">
        <v>11737</v>
      </c>
      <c r="Q2488" t="s">
        <v>11738</v>
      </c>
      <c r="R2488">
        <v>10</v>
      </c>
      <c r="S2488">
        <v>16</v>
      </c>
    </row>
    <row r="2489" spans="1:19" x14ac:dyDescent="0.35">
      <c r="A2489">
        <v>320</v>
      </c>
      <c r="B2489" t="s">
        <v>11616</v>
      </c>
      <c r="C2489" t="s">
        <v>42</v>
      </c>
      <c r="D2489" t="s">
        <v>11617</v>
      </c>
      <c r="E2489" t="e" cm="1">
        <f t="array" ref="E2489">- CLOMIFENE CITRATE</f>
        <v>#NAME?</v>
      </c>
      <c r="F2489" t="s">
        <v>11618</v>
      </c>
      <c r="H2489" t="s">
        <v>11619</v>
      </c>
      <c r="I2489" t="s">
        <v>11620</v>
      </c>
      <c r="J2489" t="s">
        <v>11621</v>
      </c>
      <c r="K2489" t="s">
        <v>11622</v>
      </c>
      <c r="L2489" t="s">
        <v>11623</v>
      </c>
      <c r="M2489" t="s">
        <v>46</v>
      </c>
      <c r="N2489" t="s">
        <v>5738</v>
      </c>
      <c r="O2489" t="s">
        <v>11624</v>
      </c>
      <c r="P2489" t="s">
        <v>11625</v>
      </c>
      <c r="Q2489" t="s">
        <v>11626</v>
      </c>
      <c r="R2489">
        <v>10</v>
      </c>
      <c r="S2489">
        <v>16</v>
      </c>
    </row>
    <row r="2490" spans="1:19" x14ac:dyDescent="0.35">
      <c r="A2490">
        <v>7727</v>
      </c>
      <c r="B2490" t="s">
        <v>11419</v>
      </c>
      <c r="C2490" t="s">
        <v>20</v>
      </c>
      <c r="D2490" t="s">
        <v>11739</v>
      </c>
      <c r="E2490" t="s">
        <v>11421</v>
      </c>
      <c r="F2490" t="s">
        <v>11740</v>
      </c>
      <c r="H2490" t="s">
        <v>11424</v>
      </c>
      <c r="I2490" t="s">
        <v>11425</v>
      </c>
      <c r="J2490" t="s">
        <v>6004</v>
      </c>
      <c r="K2490" t="s">
        <v>11427</v>
      </c>
      <c r="L2490" t="s">
        <v>11428</v>
      </c>
      <c r="M2490" t="s">
        <v>46</v>
      </c>
      <c r="N2490" t="s">
        <v>11429</v>
      </c>
      <c r="O2490" t="s">
        <v>4005</v>
      </c>
      <c r="P2490" t="s">
        <v>11430</v>
      </c>
      <c r="Q2490" t="s">
        <v>11431</v>
      </c>
      <c r="R2490">
        <v>10</v>
      </c>
      <c r="S2490">
        <v>16</v>
      </c>
    </row>
    <row r="2491" spans="1:19" x14ac:dyDescent="0.35">
      <c r="A2491">
        <v>4839</v>
      </c>
      <c r="B2491" t="s">
        <v>11731</v>
      </c>
      <c r="C2491" t="s">
        <v>42</v>
      </c>
      <c r="D2491" t="s">
        <v>11732</v>
      </c>
      <c r="E2491" t="e" cm="1">
        <f t="array" ref="E2491">- ATROPINE SULFATE</f>
        <v>#NAME?</v>
      </c>
      <c r="F2491" t="s">
        <v>11733</v>
      </c>
      <c r="G2491" t="s">
        <v>7569</v>
      </c>
      <c r="H2491" t="s">
        <v>7570</v>
      </c>
      <c r="I2491" t="s">
        <v>11734</v>
      </c>
      <c r="J2491" t="s">
        <v>7561</v>
      </c>
      <c r="L2491" t="s">
        <v>270</v>
      </c>
      <c r="M2491" t="s">
        <v>824</v>
      </c>
      <c r="N2491" t="s">
        <v>11735</v>
      </c>
      <c r="O2491" t="s">
        <v>11736</v>
      </c>
      <c r="P2491" t="s">
        <v>11737</v>
      </c>
      <c r="Q2491" t="s">
        <v>11738</v>
      </c>
      <c r="R2491">
        <v>10</v>
      </c>
      <c r="S2491">
        <v>16</v>
      </c>
    </row>
    <row r="2492" spans="1:19" x14ac:dyDescent="0.35">
      <c r="A2492">
        <v>4544</v>
      </c>
      <c r="B2492" t="s">
        <v>11524</v>
      </c>
      <c r="C2492" t="s">
        <v>42</v>
      </c>
      <c r="D2492" t="s">
        <v>11525</v>
      </c>
      <c r="E2492" t="e" cm="1">
        <f t="array" ref="E2492">- TETRAHYDROZOLINE HYDROCHLORIDE</f>
        <v>#NAME?</v>
      </c>
      <c r="F2492" t="s">
        <v>11526</v>
      </c>
      <c r="G2492" t="s">
        <v>11527</v>
      </c>
      <c r="H2492" t="s">
        <v>11528</v>
      </c>
      <c r="I2492" t="s">
        <v>11529</v>
      </c>
      <c r="J2492" t="s">
        <v>743</v>
      </c>
      <c r="K2492" t="s">
        <v>11530</v>
      </c>
      <c r="L2492" t="s">
        <v>11531</v>
      </c>
      <c r="M2492" t="s">
        <v>824</v>
      </c>
      <c r="N2492" t="s">
        <v>3512</v>
      </c>
      <c r="O2492" t="s">
        <v>11532</v>
      </c>
      <c r="P2492" t="s">
        <v>11533</v>
      </c>
      <c r="Q2492" t="s">
        <v>11534</v>
      </c>
      <c r="R2492">
        <v>10</v>
      </c>
      <c r="S2492">
        <v>16</v>
      </c>
    </row>
    <row r="2493" spans="1:19" x14ac:dyDescent="0.35">
      <c r="A2493">
        <v>4838</v>
      </c>
      <c r="B2493" t="s">
        <v>11731</v>
      </c>
      <c r="C2493" t="s">
        <v>42</v>
      </c>
      <c r="D2493" t="s">
        <v>11732</v>
      </c>
      <c r="E2493" t="e" cm="1">
        <f t="array" ref="E2493">- ATROPINE SULFATE</f>
        <v>#NAME?</v>
      </c>
      <c r="F2493" t="s">
        <v>11733</v>
      </c>
      <c r="G2493" t="s">
        <v>7569</v>
      </c>
      <c r="H2493" t="s">
        <v>7570</v>
      </c>
      <c r="I2493" t="s">
        <v>11734</v>
      </c>
      <c r="J2493" t="s">
        <v>7561</v>
      </c>
      <c r="L2493" t="s">
        <v>270</v>
      </c>
      <c r="M2493" t="s">
        <v>824</v>
      </c>
      <c r="N2493" t="s">
        <v>11735</v>
      </c>
      <c r="O2493" t="s">
        <v>11736</v>
      </c>
      <c r="P2493" t="s">
        <v>11737</v>
      </c>
      <c r="Q2493" t="s">
        <v>11738</v>
      </c>
      <c r="R2493">
        <v>10</v>
      </c>
      <c r="S2493">
        <v>16</v>
      </c>
    </row>
    <row r="2494" spans="1:19" x14ac:dyDescent="0.35">
      <c r="A2494">
        <v>4837</v>
      </c>
      <c r="B2494" t="s">
        <v>11731</v>
      </c>
      <c r="C2494" t="s">
        <v>42</v>
      </c>
      <c r="D2494" t="s">
        <v>11732</v>
      </c>
      <c r="E2494" t="e" cm="1">
        <f t="array" ref="E2494">- ATROPINE SULFATE</f>
        <v>#NAME?</v>
      </c>
      <c r="F2494" t="s">
        <v>11733</v>
      </c>
      <c r="G2494" t="s">
        <v>7569</v>
      </c>
      <c r="H2494" t="s">
        <v>7570</v>
      </c>
      <c r="I2494" t="s">
        <v>11734</v>
      </c>
      <c r="J2494" t="s">
        <v>7561</v>
      </c>
      <c r="L2494" t="s">
        <v>270</v>
      </c>
      <c r="M2494" t="s">
        <v>824</v>
      </c>
      <c r="N2494" t="s">
        <v>11735</v>
      </c>
      <c r="O2494" t="s">
        <v>11736</v>
      </c>
      <c r="P2494" t="s">
        <v>11737</v>
      </c>
      <c r="Q2494" t="s">
        <v>11738</v>
      </c>
      <c r="R2494">
        <v>10</v>
      </c>
      <c r="S2494">
        <v>16</v>
      </c>
    </row>
    <row r="2495" spans="1:19" x14ac:dyDescent="0.35">
      <c r="A2495">
        <v>4543</v>
      </c>
      <c r="B2495" t="s">
        <v>11524</v>
      </c>
      <c r="C2495" t="s">
        <v>42</v>
      </c>
      <c r="D2495" t="s">
        <v>11525</v>
      </c>
      <c r="E2495" t="e" cm="1">
        <f t="array" ref="E2495">- TETRAHYDROZOLINE HYDROCHLORIDE</f>
        <v>#NAME?</v>
      </c>
      <c r="F2495" t="s">
        <v>11526</v>
      </c>
      <c r="G2495" t="s">
        <v>11527</v>
      </c>
      <c r="H2495" t="s">
        <v>11528</v>
      </c>
      <c r="I2495" t="s">
        <v>11529</v>
      </c>
      <c r="J2495" t="s">
        <v>743</v>
      </c>
      <c r="K2495" t="s">
        <v>11530</v>
      </c>
      <c r="L2495" t="s">
        <v>11531</v>
      </c>
      <c r="M2495" t="s">
        <v>824</v>
      </c>
      <c r="N2495" t="s">
        <v>3512</v>
      </c>
      <c r="O2495" t="s">
        <v>11532</v>
      </c>
      <c r="P2495" t="s">
        <v>11533</v>
      </c>
      <c r="Q2495" t="s">
        <v>11534</v>
      </c>
      <c r="R2495">
        <v>10</v>
      </c>
      <c r="S2495">
        <v>16</v>
      </c>
    </row>
    <row r="2496" spans="1:19" x14ac:dyDescent="0.35">
      <c r="A2496">
        <v>4542</v>
      </c>
      <c r="B2496" t="s">
        <v>11524</v>
      </c>
      <c r="C2496" t="s">
        <v>42</v>
      </c>
      <c r="D2496" t="s">
        <v>11525</v>
      </c>
      <c r="E2496" t="e" cm="1">
        <f t="array" ref="E2496">- TETRAHYDROZOLINE HYDROCHLORIDE</f>
        <v>#NAME?</v>
      </c>
      <c r="F2496" t="s">
        <v>11526</v>
      </c>
      <c r="G2496" t="s">
        <v>11527</v>
      </c>
      <c r="H2496" t="s">
        <v>11528</v>
      </c>
      <c r="I2496" t="s">
        <v>11529</v>
      </c>
      <c r="J2496" t="s">
        <v>743</v>
      </c>
      <c r="K2496" t="s">
        <v>11530</v>
      </c>
      <c r="L2496" t="s">
        <v>11531</v>
      </c>
      <c r="M2496" t="s">
        <v>824</v>
      </c>
      <c r="N2496" t="s">
        <v>3512</v>
      </c>
      <c r="O2496" t="s">
        <v>11532</v>
      </c>
      <c r="P2496" t="s">
        <v>11533</v>
      </c>
      <c r="Q2496" t="s">
        <v>11534</v>
      </c>
      <c r="R2496">
        <v>10</v>
      </c>
      <c r="S2496">
        <v>16</v>
      </c>
    </row>
    <row r="2497" spans="1:19" x14ac:dyDescent="0.35">
      <c r="A2497">
        <v>4836</v>
      </c>
      <c r="B2497" t="s">
        <v>11731</v>
      </c>
      <c r="C2497" t="s">
        <v>42</v>
      </c>
      <c r="D2497" t="s">
        <v>11732</v>
      </c>
      <c r="E2497" t="e" cm="1">
        <f t="array" ref="E2497">- ATROPINE SULFATE</f>
        <v>#NAME?</v>
      </c>
      <c r="F2497" t="s">
        <v>11733</v>
      </c>
      <c r="G2497" t="s">
        <v>7569</v>
      </c>
      <c r="H2497" t="s">
        <v>7570</v>
      </c>
      <c r="I2497" t="s">
        <v>11734</v>
      </c>
      <c r="J2497" t="s">
        <v>7561</v>
      </c>
      <c r="L2497" t="s">
        <v>270</v>
      </c>
      <c r="M2497" t="s">
        <v>824</v>
      </c>
      <c r="N2497" t="s">
        <v>11735</v>
      </c>
      <c r="O2497" t="s">
        <v>11736</v>
      </c>
      <c r="P2497" t="s">
        <v>11737</v>
      </c>
      <c r="Q2497" t="s">
        <v>11738</v>
      </c>
      <c r="R2497">
        <v>10</v>
      </c>
      <c r="S2497">
        <v>16</v>
      </c>
    </row>
    <row r="2498" spans="1:19" x14ac:dyDescent="0.35">
      <c r="A2498">
        <v>5392</v>
      </c>
      <c r="B2498" t="s">
        <v>7287</v>
      </c>
      <c r="C2498" t="s">
        <v>42</v>
      </c>
      <c r="D2498" t="s">
        <v>7288</v>
      </c>
      <c r="E2498" t="e" cm="1">
        <f t="array" ref="E2498">- BACITRACIN ZINC. NEOMYCIN SULFATE</f>
        <v>#NAME?</v>
      </c>
      <c r="F2498" t="s">
        <v>7289</v>
      </c>
      <c r="G2498" t="s">
        <v>7290</v>
      </c>
      <c r="H2498" t="s">
        <v>7291</v>
      </c>
      <c r="I2498" t="s">
        <v>7292</v>
      </c>
      <c r="J2498" t="s">
        <v>7293</v>
      </c>
      <c r="K2498" t="s">
        <v>7294</v>
      </c>
      <c r="L2498" t="s">
        <v>4032</v>
      </c>
      <c r="M2498" t="s">
        <v>1280</v>
      </c>
      <c r="N2498" t="s">
        <v>11741</v>
      </c>
      <c r="O2498" t="s">
        <v>7296</v>
      </c>
      <c r="P2498" t="s">
        <v>7297</v>
      </c>
      <c r="Q2498" t="s">
        <v>11742</v>
      </c>
      <c r="R2498">
        <v>10</v>
      </c>
      <c r="S2498">
        <v>16</v>
      </c>
    </row>
    <row r="2499" spans="1:19" x14ac:dyDescent="0.35">
      <c r="A2499">
        <v>4541</v>
      </c>
      <c r="B2499" t="s">
        <v>11524</v>
      </c>
      <c r="C2499" t="s">
        <v>42</v>
      </c>
      <c r="D2499" t="s">
        <v>11525</v>
      </c>
      <c r="E2499" t="e" cm="1">
        <f t="array" ref="E2499">- TETRAHYDROZOLINE HYDROCHLORIDE</f>
        <v>#NAME?</v>
      </c>
      <c r="F2499" t="s">
        <v>11526</v>
      </c>
      <c r="G2499" t="s">
        <v>11527</v>
      </c>
      <c r="H2499" t="s">
        <v>11528</v>
      </c>
      <c r="I2499" t="s">
        <v>11529</v>
      </c>
      <c r="J2499" t="s">
        <v>743</v>
      </c>
      <c r="K2499" t="s">
        <v>11530</v>
      </c>
      <c r="L2499" t="s">
        <v>11531</v>
      </c>
      <c r="M2499" t="s">
        <v>824</v>
      </c>
      <c r="N2499" t="s">
        <v>3512</v>
      </c>
      <c r="O2499" t="s">
        <v>11532</v>
      </c>
      <c r="P2499" t="s">
        <v>11533</v>
      </c>
      <c r="Q2499" t="s">
        <v>11534</v>
      </c>
      <c r="R2499">
        <v>10</v>
      </c>
      <c r="S2499">
        <v>16</v>
      </c>
    </row>
    <row r="2500" spans="1:19" x14ac:dyDescent="0.35">
      <c r="A2500">
        <v>7731</v>
      </c>
      <c r="B2500" t="s">
        <v>4466</v>
      </c>
      <c r="C2500" t="s">
        <v>42</v>
      </c>
      <c r="D2500" t="s">
        <v>4467</v>
      </c>
      <c r="E2500" t="e" cm="1">
        <f t="array" ref="E2500">- THIAMINE DISULFIDE. PYRIDOXINE HYDROCHLORIDE. MECOBALAMIN</f>
        <v>#NAME?</v>
      </c>
      <c r="F2500" t="s">
        <v>4468</v>
      </c>
      <c r="G2500" t="s">
        <v>4469</v>
      </c>
      <c r="H2500" t="s">
        <v>4470</v>
      </c>
      <c r="I2500" t="s">
        <v>4471</v>
      </c>
      <c r="J2500" t="s">
        <v>4472</v>
      </c>
      <c r="L2500" t="s">
        <v>4473</v>
      </c>
      <c r="M2500" t="s">
        <v>38</v>
      </c>
      <c r="N2500" t="s">
        <v>11743</v>
      </c>
      <c r="O2500" t="s">
        <v>4475</v>
      </c>
      <c r="P2500" t="s">
        <v>4476</v>
      </c>
      <c r="Q2500" t="s">
        <v>11744</v>
      </c>
      <c r="R2500">
        <v>10</v>
      </c>
      <c r="S2500">
        <v>16</v>
      </c>
    </row>
    <row r="2501" spans="1:19" x14ac:dyDescent="0.35">
      <c r="A2501">
        <v>5478</v>
      </c>
      <c r="B2501" t="s">
        <v>11672</v>
      </c>
      <c r="C2501" t="s">
        <v>42</v>
      </c>
      <c r="D2501" t="s">
        <v>11745</v>
      </c>
      <c r="E2501" t="e" cm="1">
        <f t="array" ref="E2501">- BETAMETHASONE VALERATE</f>
        <v>#NAME?</v>
      </c>
      <c r="F2501" t="s">
        <v>11746</v>
      </c>
      <c r="G2501" t="s">
        <v>5456</v>
      </c>
      <c r="H2501" t="s">
        <v>2764</v>
      </c>
      <c r="I2501" t="s">
        <v>11675</v>
      </c>
      <c r="J2501" t="s">
        <v>11747</v>
      </c>
      <c r="K2501" t="s">
        <v>11677</v>
      </c>
      <c r="L2501" t="s">
        <v>11748</v>
      </c>
      <c r="M2501" t="s">
        <v>1289</v>
      </c>
      <c r="N2501" t="s">
        <v>2059</v>
      </c>
      <c r="O2501" t="s">
        <v>11679</v>
      </c>
      <c r="P2501" t="s">
        <v>11680</v>
      </c>
      <c r="Q2501" t="s">
        <v>11681</v>
      </c>
      <c r="R2501">
        <v>10</v>
      </c>
      <c r="S2501">
        <v>16</v>
      </c>
    </row>
    <row r="2502" spans="1:19" x14ac:dyDescent="0.35">
      <c r="A2502">
        <v>2883</v>
      </c>
      <c r="B2502" t="s">
        <v>11749</v>
      </c>
      <c r="C2502" t="s">
        <v>42</v>
      </c>
      <c r="D2502" t="s">
        <v>11750</v>
      </c>
      <c r="E2502" t="e" cm="1">
        <f t="array" ref="E2502">- PARACETAMOL</f>
        <v>#NAME?</v>
      </c>
      <c r="F2502" t="s">
        <v>11751</v>
      </c>
      <c r="H2502" t="s">
        <v>11752</v>
      </c>
    </row>
    <row r="2503" spans="1:19" x14ac:dyDescent="0.35">
      <c r="A2503">
        <v>3708</v>
      </c>
      <c r="B2503" t="s">
        <v>11753</v>
      </c>
      <c r="C2503" t="s">
        <v>42</v>
      </c>
      <c r="D2503" t="s">
        <v>11754</v>
      </c>
      <c r="E2503" t="e" cm="1">
        <f t="array" ref="E2503">- LOPERAMIDE HYDROCHLORIDE</f>
        <v>#NAME?</v>
      </c>
      <c r="F2503" t="s">
        <v>11755</v>
      </c>
      <c r="G2503" t="s">
        <v>60</v>
      </c>
      <c r="H2503" t="s">
        <v>11756</v>
      </c>
      <c r="I2503" t="s">
        <v>11757</v>
      </c>
      <c r="J2503" t="s">
        <v>381</v>
      </c>
      <c r="K2503" t="s">
        <v>11758</v>
      </c>
      <c r="L2503" t="s">
        <v>11759</v>
      </c>
      <c r="M2503" t="s">
        <v>46</v>
      </c>
      <c r="N2503" t="s">
        <v>1461</v>
      </c>
      <c r="O2503" t="s">
        <v>11656</v>
      </c>
      <c r="P2503" t="s">
        <v>11760</v>
      </c>
      <c r="Q2503" t="s">
        <v>11761</v>
      </c>
      <c r="R2503">
        <v>10</v>
      </c>
      <c r="S2503">
        <v>16</v>
      </c>
    </row>
    <row r="2504" spans="1:19" x14ac:dyDescent="0.35">
      <c r="A2504">
        <v>1466</v>
      </c>
      <c r="B2504" t="s">
        <v>11762</v>
      </c>
      <c r="C2504" t="s">
        <v>42</v>
      </c>
      <c r="D2504" t="s">
        <v>11763</v>
      </c>
      <c r="E2504" t="e" cm="1">
        <f t="array" ref="E2504">- CHLORPHENAMINE MALEATE</f>
        <v>#NAME?</v>
      </c>
      <c r="F2504" t="s">
        <v>11764</v>
      </c>
      <c r="H2504" t="s">
        <v>11765</v>
      </c>
      <c r="I2504" t="s">
        <v>11766</v>
      </c>
      <c r="J2504" t="s">
        <v>334</v>
      </c>
      <c r="K2504" t="s">
        <v>11767</v>
      </c>
      <c r="L2504" t="s">
        <v>11768</v>
      </c>
      <c r="M2504" t="s">
        <v>271</v>
      </c>
      <c r="N2504" t="s">
        <v>1354</v>
      </c>
      <c r="O2504" t="s">
        <v>11769</v>
      </c>
      <c r="P2504" t="s">
        <v>11770</v>
      </c>
      <c r="Q2504" t="s">
        <v>11771</v>
      </c>
      <c r="R2504">
        <v>10</v>
      </c>
      <c r="S2504">
        <v>16</v>
      </c>
    </row>
    <row r="2505" spans="1:19" x14ac:dyDescent="0.35">
      <c r="A2505">
        <v>3750</v>
      </c>
      <c r="B2505" t="s">
        <v>7228</v>
      </c>
      <c r="C2505" t="s">
        <v>42</v>
      </c>
      <c r="D2505" t="s">
        <v>9187</v>
      </c>
      <c r="E2505" t="e" cm="1">
        <f t="array" ref="E2505">- ATTAPULGITE. PECTIN</f>
        <v>#NAME?</v>
      </c>
      <c r="F2505" t="s">
        <v>9188</v>
      </c>
      <c r="G2505" t="s">
        <v>60</v>
      </c>
      <c r="H2505" t="s">
        <v>9189</v>
      </c>
      <c r="I2505" t="s">
        <v>9190</v>
      </c>
      <c r="J2505" t="s">
        <v>381</v>
      </c>
      <c r="K2505" t="s">
        <v>9191</v>
      </c>
      <c r="L2505" t="s">
        <v>9192</v>
      </c>
      <c r="M2505" t="s">
        <v>46</v>
      </c>
      <c r="N2505" t="s">
        <v>5042</v>
      </c>
      <c r="O2505" t="s">
        <v>9193</v>
      </c>
      <c r="P2505" t="s">
        <v>7235</v>
      </c>
      <c r="Q2505" t="s">
        <v>11772</v>
      </c>
      <c r="R2505">
        <v>10</v>
      </c>
      <c r="S2505">
        <v>16</v>
      </c>
    </row>
    <row r="2506" spans="1:19" x14ac:dyDescent="0.35">
      <c r="A2506">
        <v>3749</v>
      </c>
      <c r="B2506" t="s">
        <v>7228</v>
      </c>
      <c r="C2506" t="s">
        <v>42</v>
      </c>
      <c r="D2506" t="s">
        <v>9187</v>
      </c>
      <c r="E2506" t="e" cm="1">
        <f t="array" ref="E2506">- ATTAPULGITE. PECTIN</f>
        <v>#NAME?</v>
      </c>
      <c r="F2506" t="s">
        <v>9188</v>
      </c>
      <c r="G2506" t="s">
        <v>60</v>
      </c>
      <c r="H2506" t="s">
        <v>9189</v>
      </c>
      <c r="I2506" t="s">
        <v>9190</v>
      </c>
      <c r="J2506" t="s">
        <v>381</v>
      </c>
      <c r="K2506" t="s">
        <v>9191</v>
      </c>
      <c r="L2506" t="s">
        <v>9192</v>
      </c>
      <c r="M2506" t="s">
        <v>46</v>
      </c>
      <c r="N2506" t="s">
        <v>5042</v>
      </c>
      <c r="O2506" t="s">
        <v>9193</v>
      </c>
      <c r="P2506" t="s">
        <v>7235</v>
      </c>
      <c r="Q2506" t="s">
        <v>11772</v>
      </c>
      <c r="R2506">
        <v>10</v>
      </c>
      <c r="S2506">
        <v>16</v>
      </c>
    </row>
    <row r="2507" spans="1:19" x14ac:dyDescent="0.35">
      <c r="A2507">
        <v>5002</v>
      </c>
      <c r="B2507" t="s">
        <v>11773</v>
      </c>
      <c r="C2507" t="s">
        <v>42</v>
      </c>
      <c r="D2507" t="s">
        <v>11774</v>
      </c>
      <c r="E2507" t="e" cm="1">
        <f t="array" ref="E2507">- BETAMETHASONE VALERATE</f>
        <v>#NAME?</v>
      </c>
      <c r="F2507" t="s">
        <v>11775</v>
      </c>
      <c r="G2507" t="s">
        <v>11776</v>
      </c>
      <c r="H2507" t="s">
        <v>11777</v>
      </c>
      <c r="I2507" t="s">
        <v>11778</v>
      </c>
      <c r="J2507" t="s">
        <v>2040</v>
      </c>
      <c r="K2507" t="s">
        <v>11779</v>
      </c>
      <c r="L2507" t="s">
        <v>11780</v>
      </c>
      <c r="M2507" t="s">
        <v>1289</v>
      </c>
      <c r="N2507" t="s">
        <v>2059</v>
      </c>
      <c r="O2507" t="s">
        <v>11781</v>
      </c>
      <c r="P2507" t="s">
        <v>11782</v>
      </c>
      <c r="Q2507" t="s">
        <v>11783</v>
      </c>
      <c r="R2507">
        <v>10</v>
      </c>
      <c r="S2507">
        <v>16</v>
      </c>
    </row>
    <row r="2508" spans="1:19" x14ac:dyDescent="0.35">
      <c r="A2508">
        <v>8790</v>
      </c>
      <c r="B2508" t="s">
        <v>2388</v>
      </c>
      <c r="C2508" t="s">
        <v>42</v>
      </c>
      <c r="D2508" t="s">
        <v>11784</v>
      </c>
      <c r="E2508" t="e" cm="1">
        <f t="array" ref="E2508">- PIOGLITAZONE HYDROCHLORIDE</f>
        <v>#NAME?</v>
      </c>
      <c r="F2508" t="s">
        <v>11785</v>
      </c>
      <c r="I2508" t="s">
        <v>11786</v>
      </c>
      <c r="J2508" t="s">
        <v>11787</v>
      </c>
      <c r="M2508" t="s">
        <v>46</v>
      </c>
      <c r="N2508" t="s">
        <v>2389</v>
      </c>
      <c r="O2508" t="s">
        <v>11788</v>
      </c>
      <c r="P2508" t="s">
        <v>11789</v>
      </c>
      <c r="Q2508" t="s">
        <v>11790</v>
      </c>
      <c r="R2508">
        <v>10</v>
      </c>
      <c r="S2508">
        <v>16</v>
      </c>
    </row>
    <row r="2509" spans="1:19" x14ac:dyDescent="0.35">
      <c r="A2509">
        <v>3251</v>
      </c>
      <c r="B2509" t="s">
        <v>11791</v>
      </c>
      <c r="C2509" t="s">
        <v>42</v>
      </c>
      <c r="D2509" t="s">
        <v>11792</v>
      </c>
      <c r="E2509" t="e" cm="1">
        <f t="array" ref="E2509">- LANSOPRAZOLE</f>
        <v>#NAME?</v>
      </c>
      <c r="F2509" t="s">
        <v>11793</v>
      </c>
      <c r="G2509" t="s">
        <v>11794</v>
      </c>
      <c r="H2509" t="s">
        <v>11795</v>
      </c>
      <c r="I2509" t="s">
        <v>11796</v>
      </c>
      <c r="J2509" t="s">
        <v>11797</v>
      </c>
      <c r="L2509" t="s">
        <v>8032</v>
      </c>
      <c r="M2509" t="s">
        <v>38</v>
      </c>
      <c r="N2509" t="s">
        <v>4225</v>
      </c>
      <c r="O2509" t="s">
        <v>11798</v>
      </c>
      <c r="P2509" t="s">
        <v>11799</v>
      </c>
      <c r="Q2509" t="s">
        <v>11800</v>
      </c>
      <c r="R2509">
        <v>10</v>
      </c>
      <c r="S2509">
        <v>16</v>
      </c>
    </row>
    <row r="2510" spans="1:19" x14ac:dyDescent="0.35">
      <c r="A2510">
        <v>3097</v>
      </c>
      <c r="B2510" t="s">
        <v>11801</v>
      </c>
      <c r="C2510" t="s">
        <v>42</v>
      </c>
      <c r="D2510" t="s">
        <v>11802</v>
      </c>
      <c r="E2510" t="e" cm="1">
        <f t="array" ref="E2510">- SUCRALFATE</f>
        <v>#NAME?</v>
      </c>
      <c r="F2510" t="s">
        <v>11803</v>
      </c>
      <c r="G2510" t="s">
        <v>11804</v>
      </c>
      <c r="H2510" t="s">
        <v>11805</v>
      </c>
      <c r="I2510" t="s">
        <v>11806</v>
      </c>
      <c r="J2510" t="s">
        <v>2083</v>
      </c>
      <c r="K2510" t="s">
        <v>3473</v>
      </c>
      <c r="L2510" t="s">
        <v>11807</v>
      </c>
      <c r="M2510" t="s">
        <v>340</v>
      </c>
      <c r="N2510" t="s">
        <v>375</v>
      </c>
      <c r="O2510" t="s">
        <v>11808</v>
      </c>
      <c r="P2510" t="s">
        <v>375</v>
      </c>
      <c r="Q2510" t="s">
        <v>11809</v>
      </c>
      <c r="R2510">
        <v>10</v>
      </c>
      <c r="S2510">
        <v>16</v>
      </c>
    </row>
    <row r="2511" spans="1:19" x14ac:dyDescent="0.35">
      <c r="A2511">
        <v>3098</v>
      </c>
      <c r="B2511" t="s">
        <v>11801</v>
      </c>
      <c r="C2511" t="s">
        <v>42</v>
      </c>
      <c r="D2511" t="s">
        <v>11802</v>
      </c>
      <c r="E2511" t="e" cm="1">
        <f t="array" ref="E2511">- SUCRALFATE</f>
        <v>#NAME?</v>
      </c>
      <c r="F2511" t="s">
        <v>11803</v>
      </c>
      <c r="G2511" t="s">
        <v>11804</v>
      </c>
      <c r="H2511" t="s">
        <v>11805</v>
      </c>
      <c r="I2511" t="s">
        <v>11806</v>
      </c>
      <c r="J2511" t="s">
        <v>2083</v>
      </c>
      <c r="K2511" t="s">
        <v>3473</v>
      </c>
      <c r="L2511" t="s">
        <v>11807</v>
      </c>
      <c r="M2511" t="s">
        <v>340</v>
      </c>
      <c r="N2511" t="s">
        <v>375</v>
      </c>
      <c r="O2511" t="s">
        <v>11808</v>
      </c>
      <c r="P2511" t="s">
        <v>375</v>
      </c>
      <c r="Q2511" t="s">
        <v>11809</v>
      </c>
      <c r="R2511">
        <v>10</v>
      </c>
      <c r="S2511">
        <v>16</v>
      </c>
    </row>
    <row r="2512" spans="1:19" x14ac:dyDescent="0.35">
      <c r="A2512">
        <v>350</v>
      </c>
      <c r="B2512" t="s">
        <v>11810</v>
      </c>
      <c r="C2512" t="s">
        <v>42</v>
      </c>
      <c r="D2512" t="s">
        <v>11811</v>
      </c>
      <c r="E2512" t="e" cm="1">
        <f t="array" ref="E2512">- ALLYLESTRENOL</f>
        <v>#NAME?</v>
      </c>
      <c r="F2512" t="s">
        <v>11812</v>
      </c>
      <c r="H2512" t="s">
        <v>11813</v>
      </c>
      <c r="I2512" t="s">
        <v>11814</v>
      </c>
      <c r="J2512" t="s">
        <v>11815</v>
      </c>
      <c r="K2512" t="s">
        <v>2964</v>
      </c>
      <c r="L2512" t="s">
        <v>11816</v>
      </c>
      <c r="M2512" t="s">
        <v>46</v>
      </c>
      <c r="N2512" t="s">
        <v>368</v>
      </c>
      <c r="O2512" t="s">
        <v>11817</v>
      </c>
      <c r="P2512" t="s">
        <v>11818</v>
      </c>
      <c r="Q2512" t="s">
        <v>11819</v>
      </c>
      <c r="R2512">
        <v>10</v>
      </c>
      <c r="S2512">
        <v>16</v>
      </c>
    </row>
    <row r="2513" spans="1:19" x14ac:dyDescent="0.35">
      <c r="A2513">
        <v>3249</v>
      </c>
      <c r="B2513" t="s">
        <v>11820</v>
      </c>
      <c r="C2513" t="s">
        <v>42</v>
      </c>
      <c r="D2513" t="s">
        <v>11821</v>
      </c>
      <c r="E2513" t="e" cm="1">
        <f t="array" ref="E2513">- LANSOPRAZOLE</f>
        <v>#NAME?</v>
      </c>
      <c r="F2513" t="s">
        <v>11822</v>
      </c>
      <c r="G2513" t="s">
        <v>11823</v>
      </c>
      <c r="H2513" t="s">
        <v>4222</v>
      </c>
      <c r="I2513" t="s">
        <v>11824</v>
      </c>
      <c r="J2513" t="s">
        <v>11825</v>
      </c>
      <c r="K2513" t="s">
        <v>11826</v>
      </c>
      <c r="L2513" t="s">
        <v>11827</v>
      </c>
      <c r="M2513" t="s">
        <v>38</v>
      </c>
      <c r="N2513" t="s">
        <v>4225</v>
      </c>
      <c r="O2513" t="s">
        <v>11828</v>
      </c>
      <c r="P2513" t="s">
        <v>11829</v>
      </c>
      <c r="Q2513" t="s">
        <v>11830</v>
      </c>
      <c r="R2513">
        <v>10</v>
      </c>
      <c r="S2513">
        <v>16</v>
      </c>
    </row>
    <row r="2514" spans="1:19" x14ac:dyDescent="0.35">
      <c r="A2514">
        <v>3099</v>
      </c>
      <c r="B2514" t="s">
        <v>11801</v>
      </c>
      <c r="C2514" t="s">
        <v>42</v>
      </c>
      <c r="D2514" t="s">
        <v>11802</v>
      </c>
      <c r="E2514" t="e" cm="1">
        <f t="array" ref="E2514">- SUCRALFATE</f>
        <v>#NAME?</v>
      </c>
      <c r="F2514" t="s">
        <v>11803</v>
      </c>
      <c r="G2514" t="s">
        <v>11804</v>
      </c>
      <c r="H2514" t="s">
        <v>11805</v>
      </c>
      <c r="I2514" t="s">
        <v>11806</v>
      </c>
      <c r="J2514" t="s">
        <v>2083</v>
      </c>
      <c r="K2514" t="s">
        <v>3473</v>
      </c>
      <c r="L2514" t="s">
        <v>11807</v>
      </c>
      <c r="M2514" t="s">
        <v>340</v>
      </c>
      <c r="N2514" t="s">
        <v>375</v>
      </c>
      <c r="O2514" t="s">
        <v>11808</v>
      </c>
      <c r="P2514" t="s">
        <v>375</v>
      </c>
      <c r="Q2514" t="s">
        <v>11809</v>
      </c>
      <c r="R2514">
        <v>10</v>
      </c>
      <c r="S2514">
        <v>16</v>
      </c>
    </row>
    <row r="2515" spans="1:19" x14ac:dyDescent="0.35">
      <c r="A2515">
        <v>3100</v>
      </c>
      <c r="B2515" t="s">
        <v>11801</v>
      </c>
      <c r="C2515" t="s">
        <v>42</v>
      </c>
      <c r="D2515" t="s">
        <v>11802</v>
      </c>
      <c r="E2515" t="e" cm="1">
        <f t="array" ref="E2515">- SUCRALFATE</f>
        <v>#NAME?</v>
      </c>
      <c r="F2515" t="s">
        <v>11803</v>
      </c>
      <c r="G2515" t="s">
        <v>11804</v>
      </c>
      <c r="H2515" t="s">
        <v>11805</v>
      </c>
      <c r="I2515" t="s">
        <v>11806</v>
      </c>
      <c r="J2515" t="s">
        <v>2083</v>
      </c>
      <c r="K2515" t="s">
        <v>3473</v>
      </c>
      <c r="L2515" t="s">
        <v>11807</v>
      </c>
      <c r="M2515" t="s">
        <v>340</v>
      </c>
      <c r="N2515" t="s">
        <v>375</v>
      </c>
      <c r="O2515" t="s">
        <v>11808</v>
      </c>
      <c r="P2515" t="s">
        <v>375</v>
      </c>
      <c r="Q2515" t="s">
        <v>11809</v>
      </c>
      <c r="R2515">
        <v>10</v>
      </c>
      <c r="S2515">
        <v>16</v>
      </c>
    </row>
    <row r="2516" spans="1:19" x14ac:dyDescent="0.35">
      <c r="A2516">
        <v>3101</v>
      </c>
      <c r="B2516" t="s">
        <v>11801</v>
      </c>
      <c r="C2516" t="s">
        <v>42</v>
      </c>
      <c r="D2516" t="s">
        <v>11802</v>
      </c>
      <c r="E2516" t="e" cm="1">
        <f t="array" ref="E2516">- SUCRALFATE</f>
        <v>#NAME?</v>
      </c>
      <c r="F2516" t="s">
        <v>11803</v>
      </c>
      <c r="G2516" t="s">
        <v>11804</v>
      </c>
      <c r="H2516" t="s">
        <v>11805</v>
      </c>
      <c r="I2516" t="s">
        <v>11806</v>
      </c>
      <c r="J2516" t="s">
        <v>2083</v>
      </c>
      <c r="K2516" t="s">
        <v>3473</v>
      </c>
      <c r="L2516" t="s">
        <v>11807</v>
      </c>
      <c r="M2516" t="s">
        <v>340</v>
      </c>
      <c r="N2516" t="s">
        <v>375</v>
      </c>
      <c r="O2516" t="s">
        <v>11808</v>
      </c>
      <c r="P2516" t="s">
        <v>375</v>
      </c>
      <c r="Q2516" t="s">
        <v>11809</v>
      </c>
      <c r="R2516">
        <v>10</v>
      </c>
      <c r="S2516">
        <v>16</v>
      </c>
    </row>
    <row r="2517" spans="1:19" x14ac:dyDescent="0.35">
      <c r="A2517">
        <v>8778</v>
      </c>
      <c r="B2517" t="s">
        <v>2388</v>
      </c>
      <c r="C2517" t="s">
        <v>42</v>
      </c>
      <c r="D2517" t="s">
        <v>11831</v>
      </c>
      <c r="E2517" t="e" cm="1">
        <f t="array" ref="E2517">- PIOGLITAZONE HYDROCHLORIDE</f>
        <v>#NAME?</v>
      </c>
      <c r="F2517" t="s">
        <v>11832</v>
      </c>
      <c r="G2517" t="s">
        <v>11833</v>
      </c>
      <c r="H2517" t="s">
        <v>1322</v>
      </c>
      <c r="I2517" t="s">
        <v>11834</v>
      </c>
      <c r="J2517" t="s">
        <v>11835</v>
      </c>
      <c r="M2517" t="s">
        <v>46</v>
      </c>
      <c r="N2517" t="s">
        <v>2389</v>
      </c>
      <c r="O2517" t="s">
        <v>11836</v>
      </c>
      <c r="P2517" t="s">
        <v>11837</v>
      </c>
      <c r="Q2517" t="s">
        <v>11838</v>
      </c>
      <c r="R2517">
        <v>10</v>
      </c>
      <c r="S2517">
        <v>16</v>
      </c>
    </row>
    <row r="2518" spans="1:19" x14ac:dyDescent="0.35">
      <c r="A2518">
        <v>8777</v>
      </c>
      <c r="B2518" t="s">
        <v>2388</v>
      </c>
      <c r="C2518" t="s">
        <v>42</v>
      </c>
      <c r="D2518" t="s">
        <v>11839</v>
      </c>
      <c r="E2518" t="e" cm="1">
        <f t="array" ref="E2518">- PIOGLITAZONE HYDROCHLORIDE</f>
        <v>#NAME?</v>
      </c>
      <c r="F2518" t="s">
        <v>11840</v>
      </c>
      <c r="G2518" t="s">
        <v>11833</v>
      </c>
      <c r="H2518" t="s">
        <v>1322</v>
      </c>
      <c r="I2518" t="s">
        <v>11834</v>
      </c>
      <c r="J2518" t="s">
        <v>11841</v>
      </c>
      <c r="L2518" t="s">
        <v>11842</v>
      </c>
      <c r="M2518" t="s">
        <v>46</v>
      </c>
      <c r="N2518" t="s">
        <v>2389</v>
      </c>
      <c r="O2518" t="s">
        <v>11836</v>
      </c>
      <c r="P2518" t="s">
        <v>11837</v>
      </c>
      <c r="Q2518" t="s">
        <v>11838</v>
      </c>
      <c r="R2518">
        <v>10</v>
      </c>
      <c r="S2518">
        <v>16</v>
      </c>
    </row>
    <row r="2519" spans="1:19" x14ac:dyDescent="0.35">
      <c r="A2519">
        <v>204</v>
      </c>
      <c r="B2519" t="s">
        <v>2902</v>
      </c>
      <c r="C2519" t="s">
        <v>42</v>
      </c>
      <c r="D2519" t="s">
        <v>11843</v>
      </c>
      <c r="E2519" t="e" cm="1">
        <f t="array" ref="E2519">- SILDENAFIL CITRATE</f>
        <v>#NAME?</v>
      </c>
      <c r="F2519" t="s">
        <v>11844</v>
      </c>
      <c r="G2519" t="s">
        <v>11845</v>
      </c>
      <c r="H2519" t="s">
        <v>1322</v>
      </c>
      <c r="I2519" t="s">
        <v>11846</v>
      </c>
      <c r="J2519" t="s">
        <v>5354</v>
      </c>
      <c r="M2519" t="s">
        <v>46</v>
      </c>
      <c r="N2519" t="s">
        <v>2519</v>
      </c>
      <c r="O2519" t="s">
        <v>11352</v>
      </c>
      <c r="P2519" t="s">
        <v>11353</v>
      </c>
      <c r="Q2519" t="s">
        <v>11354</v>
      </c>
      <c r="R2519">
        <v>10</v>
      </c>
      <c r="S2519">
        <v>16</v>
      </c>
    </row>
    <row r="2520" spans="1:19" x14ac:dyDescent="0.35">
      <c r="A2520">
        <v>205</v>
      </c>
      <c r="B2520" t="s">
        <v>2902</v>
      </c>
      <c r="C2520" t="s">
        <v>42</v>
      </c>
      <c r="D2520" t="s">
        <v>11847</v>
      </c>
      <c r="E2520" t="e" cm="1">
        <f t="array" ref="E2520">- SILDENAFIL CITRATE</f>
        <v>#NAME?</v>
      </c>
      <c r="F2520" t="s">
        <v>11848</v>
      </c>
      <c r="G2520" t="s">
        <v>11845</v>
      </c>
      <c r="H2520" t="s">
        <v>1322</v>
      </c>
      <c r="I2520" t="s">
        <v>11846</v>
      </c>
      <c r="J2520" t="s">
        <v>11849</v>
      </c>
      <c r="M2520" t="s">
        <v>46</v>
      </c>
      <c r="N2520" t="s">
        <v>2519</v>
      </c>
      <c r="O2520" t="s">
        <v>11352</v>
      </c>
      <c r="P2520" t="s">
        <v>11353</v>
      </c>
      <c r="Q2520" t="s">
        <v>11354</v>
      </c>
      <c r="R2520">
        <v>10</v>
      </c>
      <c r="S2520">
        <v>16</v>
      </c>
    </row>
    <row r="2521" spans="1:19" x14ac:dyDescent="0.35">
      <c r="A2521">
        <v>5149</v>
      </c>
      <c r="B2521" t="s">
        <v>11850</v>
      </c>
      <c r="C2521" t="s">
        <v>42</v>
      </c>
      <c r="D2521" t="s">
        <v>11851</v>
      </c>
      <c r="E2521" t="e" cm="1">
        <f t="array" ref="E2521">- TRIAMCINOLONE ACETONIDE</f>
        <v>#NAME?</v>
      </c>
      <c r="F2521" t="s">
        <v>11852</v>
      </c>
      <c r="G2521" t="s">
        <v>11853</v>
      </c>
      <c r="H2521" t="s">
        <v>11854</v>
      </c>
      <c r="I2521" t="s">
        <v>11855</v>
      </c>
      <c r="J2521" t="s">
        <v>11856</v>
      </c>
      <c r="K2521" t="s">
        <v>11857</v>
      </c>
      <c r="L2521" t="s">
        <v>11858</v>
      </c>
      <c r="M2521" t="s">
        <v>1289</v>
      </c>
      <c r="N2521" t="s">
        <v>11859</v>
      </c>
      <c r="O2521" t="s">
        <v>11860</v>
      </c>
      <c r="P2521" t="s">
        <v>11861</v>
      </c>
      <c r="Q2521" t="s">
        <v>11862</v>
      </c>
      <c r="R2521">
        <v>10</v>
      </c>
      <c r="S2521">
        <v>16</v>
      </c>
    </row>
    <row r="2522" spans="1:19" x14ac:dyDescent="0.35">
      <c r="A2522">
        <v>7520</v>
      </c>
      <c r="B2522" t="s">
        <v>11863</v>
      </c>
      <c r="C2522" t="s">
        <v>42</v>
      </c>
      <c r="D2522" t="s">
        <v>11864</v>
      </c>
      <c r="E2522" t="e" cm="1">
        <f t="array" ref="E2522">- CALCIUM PHOSPHATE DIBASIC</f>
        <v>#NAME?</v>
      </c>
      <c r="F2522" t="s">
        <v>11865</v>
      </c>
      <c r="G2522" t="s">
        <v>11866</v>
      </c>
      <c r="H2522" t="s">
        <v>11867</v>
      </c>
      <c r="I2522" t="s">
        <v>11868</v>
      </c>
      <c r="J2522" t="s">
        <v>5934</v>
      </c>
      <c r="K2522" t="s">
        <v>3952</v>
      </c>
      <c r="L2522" t="s">
        <v>11869</v>
      </c>
      <c r="M2522" t="s">
        <v>46</v>
      </c>
      <c r="N2522" t="s">
        <v>11870</v>
      </c>
      <c r="O2522" t="s">
        <v>11871</v>
      </c>
      <c r="P2522" t="s">
        <v>11872</v>
      </c>
      <c r="Q2522" t="s">
        <v>11873</v>
      </c>
      <c r="R2522">
        <v>10</v>
      </c>
      <c r="S2522">
        <v>16</v>
      </c>
    </row>
    <row r="2523" spans="1:19" x14ac:dyDescent="0.35">
      <c r="A2523">
        <v>5146</v>
      </c>
      <c r="B2523" t="s">
        <v>11874</v>
      </c>
      <c r="C2523" t="s">
        <v>42</v>
      </c>
      <c r="D2523" t="s">
        <v>11875</v>
      </c>
      <c r="E2523" t="e" cm="1">
        <f t="array" ref="E2523">- BETAMETHASONE DIPROPIONATE</f>
        <v>#NAME?</v>
      </c>
      <c r="F2523" t="s">
        <v>11876</v>
      </c>
      <c r="H2523" t="s">
        <v>11877</v>
      </c>
      <c r="I2523" t="s">
        <v>11878</v>
      </c>
      <c r="J2523" t="s">
        <v>11879</v>
      </c>
      <c r="K2523" t="s">
        <v>11880</v>
      </c>
      <c r="L2523" t="s">
        <v>11881</v>
      </c>
      <c r="M2523" t="s">
        <v>1289</v>
      </c>
      <c r="N2523" t="s">
        <v>2685</v>
      </c>
      <c r="O2523" t="s">
        <v>11882</v>
      </c>
      <c r="P2523" t="s">
        <v>11883</v>
      </c>
      <c r="Q2523" t="s">
        <v>11884</v>
      </c>
      <c r="R2523">
        <v>10</v>
      </c>
      <c r="S2523">
        <v>16</v>
      </c>
    </row>
    <row r="2524" spans="1:19" x14ac:dyDescent="0.35">
      <c r="A2524">
        <v>5001</v>
      </c>
      <c r="B2524" t="s">
        <v>11773</v>
      </c>
      <c r="C2524" t="s">
        <v>42</v>
      </c>
      <c r="D2524" t="s">
        <v>11774</v>
      </c>
      <c r="E2524" t="e" cm="1">
        <f t="array" ref="E2524">- BETAMETHASONE VALERATE</f>
        <v>#NAME?</v>
      </c>
      <c r="F2524" t="s">
        <v>11775</v>
      </c>
      <c r="G2524" t="s">
        <v>11776</v>
      </c>
      <c r="H2524" t="s">
        <v>11777</v>
      </c>
      <c r="I2524" t="s">
        <v>11778</v>
      </c>
      <c r="J2524" t="s">
        <v>2040</v>
      </c>
      <c r="K2524" t="s">
        <v>11779</v>
      </c>
      <c r="L2524" t="s">
        <v>11780</v>
      </c>
      <c r="M2524" t="s">
        <v>1289</v>
      </c>
      <c r="N2524" t="s">
        <v>2059</v>
      </c>
      <c r="O2524" t="s">
        <v>11781</v>
      </c>
      <c r="P2524" t="s">
        <v>11782</v>
      </c>
      <c r="Q2524" t="s">
        <v>11783</v>
      </c>
      <c r="R2524">
        <v>10</v>
      </c>
      <c r="S2524">
        <v>16</v>
      </c>
    </row>
    <row r="2525" spans="1:19" x14ac:dyDescent="0.35">
      <c r="A2525">
        <v>5000</v>
      </c>
      <c r="B2525" t="s">
        <v>11773</v>
      </c>
      <c r="C2525" t="s">
        <v>42</v>
      </c>
      <c r="D2525" t="s">
        <v>11885</v>
      </c>
      <c r="E2525" t="e" cm="1">
        <f t="array" ref="E2525">- BETAMETHASONE VALERATE</f>
        <v>#NAME?</v>
      </c>
      <c r="F2525" t="s">
        <v>11886</v>
      </c>
      <c r="G2525" t="s">
        <v>11887</v>
      </c>
      <c r="H2525" t="s">
        <v>11777</v>
      </c>
      <c r="I2525" t="s">
        <v>11888</v>
      </c>
      <c r="J2525" t="s">
        <v>7187</v>
      </c>
      <c r="K2525" t="s">
        <v>8963</v>
      </c>
      <c r="L2525" t="s">
        <v>11889</v>
      </c>
      <c r="M2525" t="s">
        <v>1289</v>
      </c>
      <c r="N2525" t="s">
        <v>2059</v>
      </c>
      <c r="O2525" t="s">
        <v>11781</v>
      </c>
      <c r="P2525" t="s">
        <v>11782</v>
      </c>
      <c r="Q2525" t="s">
        <v>11783</v>
      </c>
      <c r="R2525">
        <v>10</v>
      </c>
      <c r="S2525">
        <v>16</v>
      </c>
    </row>
    <row r="2526" spans="1:19" x14ac:dyDescent="0.35">
      <c r="A2526">
        <v>4999</v>
      </c>
      <c r="B2526" t="s">
        <v>11773</v>
      </c>
      <c r="C2526" t="s">
        <v>42</v>
      </c>
      <c r="D2526" t="s">
        <v>11885</v>
      </c>
      <c r="E2526" t="e" cm="1">
        <f t="array" ref="E2526">- BETAMETHASONE VALERATE</f>
        <v>#NAME?</v>
      </c>
      <c r="F2526" t="s">
        <v>11886</v>
      </c>
      <c r="G2526" t="s">
        <v>11887</v>
      </c>
      <c r="H2526" t="s">
        <v>11777</v>
      </c>
      <c r="I2526" t="s">
        <v>11888</v>
      </c>
      <c r="J2526" t="s">
        <v>7187</v>
      </c>
      <c r="K2526" t="s">
        <v>8963</v>
      </c>
      <c r="L2526" t="s">
        <v>11889</v>
      </c>
      <c r="M2526" t="s">
        <v>1289</v>
      </c>
      <c r="N2526" t="s">
        <v>2059</v>
      </c>
      <c r="O2526" t="s">
        <v>11781</v>
      </c>
      <c r="P2526" t="s">
        <v>11782</v>
      </c>
      <c r="Q2526" t="s">
        <v>11783</v>
      </c>
      <c r="R2526">
        <v>10</v>
      </c>
      <c r="S2526">
        <v>16</v>
      </c>
    </row>
    <row r="2527" spans="1:19" x14ac:dyDescent="0.35">
      <c r="A2527">
        <v>8455</v>
      </c>
      <c r="B2527" t="s">
        <v>551</v>
      </c>
      <c r="C2527" t="s">
        <v>42</v>
      </c>
      <c r="D2527" t="s">
        <v>11890</v>
      </c>
      <c r="E2527" t="e" cm="1">
        <f t="array" ref="E2527">- POVIDONE-IODINE</f>
        <v>#NAME?</v>
      </c>
      <c r="F2527" t="s">
        <v>11891</v>
      </c>
      <c r="I2527" t="s">
        <v>11892</v>
      </c>
      <c r="J2527" t="s">
        <v>11893</v>
      </c>
      <c r="M2527" t="s">
        <v>554</v>
      </c>
      <c r="N2527" t="s">
        <v>555</v>
      </c>
      <c r="O2527" t="s">
        <v>11894</v>
      </c>
      <c r="P2527" t="s">
        <v>11895</v>
      </c>
      <c r="Q2527" t="s">
        <v>11896</v>
      </c>
      <c r="R2527">
        <v>10</v>
      </c>
      <c r="S2527">
        <v>16</v>
      </c>
    </row>
    <row r="2528" spans="1:19" x14ac:dyDescent="0.35">
      <c r="A2528">
        <v>3304</v>
      </c>
      <c r="B2528" t="s">
        <v>11897</v>
      </c>
      <c r="C2528" t="s">
        <v>42</v>
      </c>
      <c r="D2528" t="s">
        <v>11898</v>
      </c>
      <c r="E2528" t="e" cm="1">
        <f t="array" ref="E2528">- DRIED ALUMINIUM HYDROXIDE GEL</f>
        <v>#NAME?</v>
      </c>
      <c r="F2528" t="s">
        <v>11899</v>
      </c>
      <c r="G2528" t="s">
        <v>11900</v>
      </c>
      <c r="H2528" t="s">
        <v>11901</v>
      </c>
      <c r="I2528" t="s">
        <v>11902</v>
      </c>
      <c r="J2528" t="s">
        <v>11903</v>
      </c>
      <c r="K2528" t="s">
        <v>11904</v>
      </c>
      <c r="L2528" t="s">
        <v>11905</v>
      </c>
      <c r="M2528" t="s">
        <v>340</v>
      </c>
      <c r="N2528" t="s">
        <v>4172</v>
      </c>
      <c r="O2528" t="s">
        <v>11906</v>
      </c>
      <c r="P2528" t="s">
        <v>11907</v>
      </c>
      <c r="Q2528" t="s">
        <v>11908</v>
      </c>
      <c r="R2528">
        <v>10</v>
      </c>
      <c r="S2528">
        <v>16</v>
      </c>
    </row>
    <row r="2529" spans="1:19" x14ac:dyDescent="0.35">
      <c r="A2529">
        <v>3303</v>
      </c>
      <c r="B2529" t="s">
        <v>11897</v>
      </c>
      <c r="C2529" t="s">
        <v>42</v>
      </c>
      <c r="D2529" t="s">
        <v>11898</v>
      </c>
      <c r="E2529" t="e" cm="1">
        <f t="array" ref="E2529">- DRIED ALUMINIUM HYDROXIDE GEL</f>
        <v>#NAME?</v>
      </c>
      <c r="F2529" t="s">
        <v>11899</v>
      </c>
      <c r="G2529" t="s">
        <v>11900</v>
      </c>
      <c r="H2529" t="s">
        <v>11901</v>
      </c>
      <c r="I2529" t="s">
        <v>11902</v>
      </c>
      <c r="J2529" t="s">
        <v>11903</v>
      </c>
      <c r="K2529" t="s">
        <v>11904</v>
      </c>
      <c r="L2529" t="s">
        <v>11905</v>
      </c>
      <c r="M2529" t="s">
        <v>340</v>
      </c>
      <c r="N2529" t="s">
        <v>4172</v>
      </c>
      <c r="O2529" t="s">
        <v>11906</v>
      </c>
      <c r="P2529" t="s">
        <v>11907</v>
      </c>
      <c r="Q2529" t="s">
        <v>11908</v>
      </c>
      <c r="R2529">
        <v>10</v>
      </c>
      <c r="S2529">
        <v>16</v>
      </c>
    </row>
    <row r="2530" spans="1:19" x14ac:dyDescent="0.35">
      <c r="A2530">
        <v>4957</v>
      </c>
      <c r="B2530" t="s">
        <v>11909</v>
      </c>
      <c r="C2530" t="s">
        <v>42</v>
      </c>
      <c r="D2530" t="s">
        <v>11910</v>
      </c>
      <c r="E2530" t="e" cm="1">
        <f t="array" ref="E2530">- FLUOCINOLONE ACETONIDE</f>
        <v>#NAME?</v>
      </c>
      <c r="F2530" t="s">
        <v>11911</v>
      </c>
      <c r="G2530" t="s">
        <v>11912</v>
      </c>
      <c r="H2530" t="s">
        <v>11913</v>
      </c>
      <c r="I2530" t="s">
        <v>11914</v>
      </c>
      <c r="J2530" t="s">
        <v>11915</v>
      </c>
      <c r="K2530" t="s">
        <v>11916</v>
      </c>
      <c r="L2530" t="s">
        <v>11917</v>
      </c>
      <c r="M2530" t="s">
        <v>1289</v>
      </c>
      <c r="N2530" t="s">
        <v>2766</v>
      </c>
      <c r="O2530" t="s">
        <v>11918</v>
      </c>
      <c r="P2530" t="s">
        <v>11919</v>
      </c>
      <c r="Q2530" t="s">
        <v>11920</v>
      </c>
      <c r="R2530">
        <v>10</v>
      </c>
      <c r="S2530">
        <v>16</v>
      </c>
    </row>
    <row r="2531" spans="1:19" x14ac:dyDescent="0.35">
      <c r="A2531">
        <v>4958</v>
      </c>
      <c r="B2531" t="s">
        <v>11909</v>
      </c>
      <c r="C2531" t="s">
        <v>42</v>
      </c>
      <c r="D2531" t="s">
        <v>11910</v>
      </c>
      <c r="E2531" t="e" cm="1">
        <f t="array" ref="E2531">- FLUOCINOLONE ACETONIDE</f>
        <v>#NAME?</v>
      </c>
      <c r="F2531" t="s">
        <v>11911</v>
      </c>
      <c r="G2531" t="s">
        <v>11912</v>
      </c>
      <c r="H2531" t="s">
        <v>11913</v>
      </c>
      <c r="I2531" t="s">
        <v>11914</v>
      </c>
      <c r="J2531" t="s">
        <v>11915</v>
      </c>
      <c r="K2531" t="s">
        <v>11916</v>
      </c>
      <c r="L2531" t="s">
        <v>11917</v>
      </c>
      <c r="M2531" t="s">
        <v>1289</v>
      </c>
      <c r="N2531" t="s">
        <v>2766</v>
      </c>
      <c r="O2531" t="s">
        <v>11918</v>
      </c>
      <c r="P2531" t="s">
        <v>11919</v>
      </c>
      <c r="Q2531" t="s">
        <v>11920</v>
      </c>
      <c r="R2531">
        <v>10</v>
      </c>
      <c r="S2531">
        <v>16</v>
      </c>
    </row>
    <row r="2532" spans="1:19" x14ac:dyDescent="0.35">
      <c r="A2532">
        <v>3677</v>
      </c>
      <c r="B2532" t="s">
        <v>11921</v>
      </c>
      <c r="C2532" t="s">
        <v>42</v>
      </c>
      <c r="D2532" t="s">
        <v>11922</v>
      </c>
      <c r="E2532" t="e" cm="1">
        <f t="array" ref="E2532">- DOMPERIDONE</f>
        <v>#NAME?</v>
      </c>
      <c r="F2532" t="s">
        <v>11923</v>
      </c>
      <c r="G2532" t="s">
        <v>7977</v>
      </c>
      <c r="H2532" t="s">
        <v>11924</v>
      </c>
      <c r="I2532" t="s">
        <v>11925</v>
      </c>
      <c r="J2532" t="s">
        <v>1647</v>
      </c>
      <c r="K2532" t="s">
        <v>11926</v>
      </c>
      <c r="L2532" t="s">
        <v>11927</v>
      </c>
      <c r="M2532" t="s">
        <v>824</v>
      </c>
      <c r="N2532" t="s">
        <v>341</v>
      </c>
      <c r="O2532" t="s">
        <v>11928</v>
      </c>
      <c r="P2532" t="s">
        <v>11929</v>
      </c>
      <c r="Q2532" t="s">
        <v>11930</v>
      </c>
      <c r="R2532">
        <v>10</v>
      </c>
      <c r="S2532">
        <v>16</v>
      </c>
    </row>
    <row r="2533" spans="1:19" x14ac:dyDescent="0.35">
      <c r="A2533">
        <v>3767</v>
      </c>
      <c r="B2533" t="s">
        <v>11931</v>
      </c>
      <c r="C2533" t="s">
        <v>42</v>
      </c>
      <c r="D2533" t="s">
        <v>11932</v>
      </c>
      <c r="E2533" t="e" cm="1">
        <f t="array" ref="E2533">- LOPERAMIDE HYDROCHLORIDE</f>
        <v>#NAME?</v>
      </c>
      <c r="F2533" t="s">
        <v>11933</v>
      </c>
      <c r="G2533" t="s">
        <v>60</v>
      </c>
      <c r="H2533" t="s">
        <v>11651</v>
      </c>
      <c r="I2533" t="s">
        <v>11652</v>
      </c>
      <c r="J2533" t="s">
        <v>11934</v>
      </c>
      <c r="K2533" t="s">
        <v>11935</v>
      </c>
      <c r="L2533" t="s">
        <v>5051</v>
      </c>
      <c r="M2533" t="s">
        <v>46</v>
      </c>
      <c r="N2533" t="s">
        <v>1461</v>
      </c>
      <c r="O2533" t="s">
        <v>11656</v>
      </c>
      <c r="P2533" t="s">
        <v>11936</v>
      </c>
      <c r="Q2533" t="s">
        <v>11937</v>
      </c>
      <c r="R2533">
        <v>10</v>
      </c>
      <c r="S2533">
        <v>16</v>
      </c>
    </row>
    <row r="2534" spans="1:19" x14ac:dyDescent="0.35">
      <c r="A2534">
        <v>3296</v>
      </c>
      <c r="B2534" t="s">
        <v>3546</v>
      </c>
      <c r="C2534" t="s">
        <v>42</v>
      </c>
      <c r="D2534" t="s">
        <v>3547</v>
      </c>
      <c r="E2534" t="e" cm="1">
        <f t="array" ref="E2534">- MAGNESIUM HYDROXIDE. DRIED ALUMINIUM HYDROXIDE GEL. SIMETHICONE</f>
        <v>#NAME?</v>
      </c>
      <c r="F2534" t="s">
        <v>3548</v>
      </c>
      <c r="H2534" t="s">
        <v>3549</v>
      </c>
      <c r="I2534" t="s">
        <v>3550</v>
      </c>
      <c r="J2534" t="s">
        <v>614</v>
      </c>
      <c r="M2534" t="s">
        <v>340</v>
      </c>
      <c r="N2534" t="s">
        <v>10805</v>
      </c>
      <c r="O2534" t="s">
        <v>271</v>
      </c>
      <c r="P2534" t="s">
        <v>3551</v>
      </c>
      <c r="Q2534" t="s">
        <v>11938</v>
      </c>
      <c r="R2534">
        <v>10</v>
      </c>
      <c r="S2534">
        <v>16</v>
      </c>
    </row>
    <row r="2535" spans="1:19" x14ac:dyDescent="0.35">
      <c r="A2535">
        <v>3295</v>
      </c>
      <c r="B2535" t="s">
        <v>3546</v>
      </c>
      <c r="C2535" t="s">
        <v>42</v>
      </c>
      <c r="D2535" t="s">
        <v>3547</v>
      </c>
      <c r="E2535" t="e" cm="1">
        <f t="array" ref="E2535">- MAGNESIUM HYDROXIDE. DRIED ALUMINIUM HYDROXIDE GEL. SIMETHICONE</f>
        <v>#NAME?</v>
      </c>
      <c r="F2535" t="s">
        <v>3548</v>
      </c>
      <c r="H2535" t="s">
        <v>3549</v>
      </c>
      <c r="I2535" t="s">
        <v>3550</v>
      </c>
      <c r="J2535" t="s">
        <v>614</v>
      </c>
      <c r="M2535" t="s">
        <v>340</v>
      </c>
      <c r="N2535" t="s">
        <v>10805</v>
      </c>
      <c r="O2535" t="s">
        <v>271</v>
      </c>
      <c r="P2535" t="s">
        <v>3551</v>
      </c>
      <c r="Q2535" t="s">
        <v>11938</v>
      </c>
      <c r="R2535">
        <v>10</v>
      </c>
      <c r="S2535">
        <v>16</v>
      </c>
    </row>
    <row r="2536" spans="1:19" x14ac:dyDescent="0.35">
      <c r="A2536">
        <v>1299</v>
      </c>
      <c r="B2536" t="s">
        <v>11939</v>
      </c>
      <c r="C2536" t="s">
        <v>42</v>
      </c>
      <c r="D2536" t="s">
        <v>11940</v>
      </c>
      <c r="E2536" t="e" cm="1">
        <f t="array" ref="E2536">- ERDOSTEINE</f>
        <v>#NAME?</v>
      </c>
      <c r="F2536" t="s">
        <v>11941</v>
      </c>
      <c r="G2536" t="s">
        <v>11942</v>
      </c>
      <c r="H2536" t="s">
        <v>11943</v>
      </c>
      <c r="I2536" t="s">
        <v>11944</v>
      </c>
      <c r="J2536" t="s">
        <v>9486</v>
      </c>
      <c r="L2536" t="s">
        <v>11945</v>
      </c>
      <c r="M2536" t="s">
        <v>38</v>
      </c>
      <c r="N2536" t="s">
        <v>471</v>
      </c>
      <c r="O2536" t="s">
        <v>11946</v>
      </c>
      <c r="P2536" t="s">
        <v>1004</v>
      </c>
      <c r="Q2536" t="s">
        <v>11947</v>
      </c>
      <c r="R2536">
        <v>10</v>
      </c>
      <c r="S2536">
        <v>16</v>
      </c>
    </row>
    <row r="2537" spans="1:19" x14ac:dyDescent="0.35">
      <c r="A2537">
        <v>8745</v>
      </c>
      <c r="B2537" t="s">
        <v>11948</v>
      </c>
      <c r="C2537" t="s">
        <v>42</v>
      </c>
      <c r="D2537" t="s">
        <v>11949</v>
      </c>
      <c r="E2537" t="e" cm="1">
        <f t="array" ref="E2537">- GLIBENCLAMIDE</f>
        <v>#NAME?</v>
      </c>
      <c r="F2537" t="s">
        <v>11950</v>
      </c>
      <c r="G2537" t="s">
        <v>11951</v>
      </c>
      <c r="H2537" t="s">
        <v>11952</v>
      </c>
      <c r="I2537" t="s">
        <v>11953</v>
      </c>
      <c r="J2537" t="s">
        <v>5221</v>
      </c>
      <c r="K2537" t="s">
        <v>11954</v>
      </c>
      <c r="L2537" t="s">
        <v>11955</v>
      </c>
      <c r="M2537" t="s">
        <v>46</v>
      </c>
      <c r="N2537" t="s">
        <v>1260</v>
      </c>
      <c r="O2537" t="s">
        <v>11956</v>
      </c>
      <c r="P2537" t="s">
        <v>11957</v>
      </c>
      <c r="Q2537" t="s">
        <v>11958</v>
      </c>
      <c r="R2537">
        <v>10</v>
      </c>
      <c r="S2537">
        <v>16</v>
      </c>
    </row>
    <row r="2538" spans="1:19" x14ac:dyDescent="0.35">
      <c r="A2538">
        <v>8174</v>
      </c>
      <c r="B2538" t="s">
        <v>551</v>
      </c>
      <c r="C2538" t="s">
        <v>42</v>
      </c>
      <c r="D2538" t="s">
        <v>11959</v>
      </c>
      <c r="E2538" t="e" cm="1">
        <f t="array" ref="E2538">- POVIDONE-IODINE</f>
        <v>#NAME?</v>
      </c>
      <c r="F2538" t="s">
        <v>11960</v>
      </c>
      <c r="G2538" t="s">
        <v>11961</v>
      </c>
      <c r="H2538" t="s">
        <v>1322</v>
      </c>
      <c r="I2538" t="s">
        <v>11962</v>
      </c>
      <c r="J2538" t="s">
        <v>11963</v>
      </c>
      <c r="L2538" t="s">
        <v>11964</v>
      </c>
      <c r="M2538" t="s">
        <v>554</v>
      </c>
      <c r="N2538" t="s">
        <v>555</v>
      </c>
      <c r="O2538" t="s">
        <v>11965</v>
      </c>
      <c r="P2538" t="s">
        <v>11966</v>
      </c>
      <c r="Q2538" t="s">
        <v>11967</v>
      </c>
      <c r="R2538">
        <v>10</v>
      </c>
      <c r="S2538">
        <v>16</v>
      </c>
    </row>
    <row r="2539" spans="1:19" x14ac:dyDescent="0.35">
      <c r="A2539">
        <v>8176</v>
      </c>
      <c r="B2539" t="s">
        <v>551</v>
      </c>
      <c r="C2539" t="s">
        <v>42</v>
      </c>
      <c r="D2539" t="s">
        <v>11968</v>
      </c>
      <c r="E2539" t="e" cm="1">
        <f t="array" ref="E2539">- POVIDONE-IODINE</f>
        <v>#NAME?</v>
      </c>
      <c r="F2539" t="s">
        <v>11969</v>
      </c>
      <c r="H2539" t="s">
        <v>1322</v>
      </c>
      <c r="I2539" t="s">
        <v>11537</v>
      </c>
      <c r="J2539" t="s">
        <v>11970</v>
      </c>
      <c r="M2539" t="s">
        <v>554</v>
      </c>
      <c r="N2539" t="s">
        <v>555</v>
      </c>
      <c r="O2539" t="s">
        <v>8920</v>
      </c>
      <c r="P2539" t="s">
        <v>11971</v>
      </c>
      <c r="Q2539" t="s">
        <v>11972</v>
      </c>
      <c r="R2539">
        <v>10</v>
      </c>
      <c r="S2539">
        <v>16</v>
      </c>
    </row>
    <row r="2540" spans="1:19" x14ac:dyDescent="0.35">
      <c r="A2540">
        <v>8450</v>
      </c>
      <c r="B2540" t="s">
        <v>551</v>
      </c>
      <c r="C2540" t="s">
        <v>42</v>
      </c>
      <c r="D2540" t="s">
        <v>11973</v>
      </c>
      <c r="E2540" t="e" cm="1">
        <f t="array" ref="E2540">- POVIDONE-IODINE</f>
        <v>#NAME?</v>
      </c>
      <c r="F2540" t="s">
        <v>11974</v>
      </c>
      <c r="I2540" t="s">
        <v>11892</v>
      </c>
      <c r="J2540" t="s">
        <v>11975</v>
      </c>
      <c r="M2540" t="s">
        <v>554</v>
      </c>
      <c r="N2540" t="s">
        <v>555</v>
      </c>
      <c r="O2540" t="s">
        <v>11894</v>
      </c>
      <c r="P2540" t="s">
        <v>11976</v>
      </c>
      <c r="Q2540" t="s">
        <v>11977</v>
      </c>
      <c r="R2540">
        <v>10</v>
      </c>
      <c r="S2540">
        <v>16</v>
      </c>
    </row>
    <row r="2541" spans="1:19" x14ac:dyDescent="0.35">
      <c r="A2541">
        <v>8451</v>
      </c>
      <c r="B2541" t="s">
        <v>551</v>
      </c>
      <c r="C2541" t="s">
        <v>42</v>
      </c>
      <c r="D2541" t="s">
        <v>11973</v>
      </c>
      <c r="E2541" t="e" cm="1">
        <f t="array" ref="E2541">- POVIDONE-IODINE</f>
        <v>#NAME?</v>
      </c>
      <c r="F2541" t="s">
        <v>11974</v>
      </c>
      <c r="I2541" t="s">
        <v>11892</v>
      </c>
      <c r="J2541" t="s">
        <v>11975</v>
      </c>
      <c r="M2541" t="s">
        <v>554</v>
      </c>
      <c r="N2541" t="s">
        <v>555</v>
      </c>
      <c r="O2541" t="s">
        <v>11894</v>
      </c>
      <c r="P2541" t="s">
        <v>11976</v>
      </c>
      <c r="Q2541" t="s">
        <v>11977</v>
      </c>
      <c r="R2541">
        <v>10</v>
      </c>
      <c r="S2541">
        <v>16</v>
      </c>
    </row>
    <row r="2542" spans="1:19" x14ac:dyDescent="0.35">
      <c r="A2542">
        <v>5178</v>
      </c>
      <c r="B2542" t="s">
        <v>7087</v>
      </c>
      <c r="C2542" t="s">
        <v>42</v>
      </c>
      <c r="D2542" t="s">
        <v>7088</v>
      </c>
      <c r="E2542" t="e" cm="1">
        <f t="array" ref="E2542">- FLUOCINOLONE ACETONIDE. NEOMYCIN SULFATE</f>
        <v>#NAME?</v>
      </c>
      <c r="F2542" t="s">
        <v>7089</v>
      </c>
      <c r="G2542" t="s">
        <v>7090</v>
      </c>
      <c r="H2542" t="s">
        <v>7091</v>
      </c>
      <c r="I2542" t="s">
        <v>7092</v>
      </c>
      <c r="J2542" t="s">
        <v>2040</v>
      </c>
      <c r="K2542" t="s">
        <v>7093</v>
      </c>
      <c r="L2542" t="s">
        <v>7094</v>
      </c>
      <c r="M2542" t="s">
        <v>1289</v>
      </c>
      <c r="N2542" t="s">
        <v>9723</v>
      </c>
      <c r="O2542" t="s">
        <v>7095</v>
      </c>
      <c r="P2542" t="s">
        <v>7096</v>
      </c>
      <c r="Q2542" t="s">
        <v>11978</v>
      </c>
      <c r="R2542">
        <v>10</v>
      </c>
      <c r="S2542">
        <v>16</v>
      </c>
    </row>
    <row r="2543" spans="1:19" x14ac:dyDescent="0.35">
      <c r="A2543">
        <v>8177</v>
      </c>
      <c r="B2543" t="s">
        <v>551</v>
      </c>
      <c r="C2543" t="s">
        <v>42</v>
      </c>
      <c r="D2543" t="s">
        <v>11968</v>
      </c>
      <c r="E2543" t="e" cm="1">
        <f t="array" ref="E2543">- POVIDONE-IODINE</f>
        <v>#NAME?</v>
      </c>
      <c r="F2543" t="s">
        <v>11969</v>
      </c>
      <c r="H2543" t="s">
        <v>1322</v>
      </c>
      <c r="I2543" t="s">
        <v>11537</v>
      </c>
      <c r="J2543" t="s">
        <v>11970</v>
      </c>
      <c r="M2543" t="s">
        <v>554</v>
      </c>
      <c r="N2543" t="s">
        <v>555</v>
      </c>
      <c r="O2543" t="s">
        <v>8920</v>
      </c>
      <c r="P2543" t="s">
        <v>11971</v>
      </c>
      <c r="Q2543" t="s">
        <v>11972</v>
      </c>
      <c r="R2543">
        <v>10</v>
      </c>
      <c r="S2543">
        <v>16</v>
      </c>
    </row>
    <row r="2544" spans="1:19" x14ac:dyDescent="0.35">
      <c r="A2544">
        <v>8452</v>
      </c>
      <c r="B2544" t="s">
        <v>551</v>
      </c>
      <c r="C2544" t="s">
        <v>42</v>
      </c>
      <c r="D2544" t="s">
        <v>11979</v>
      </c>
      <c r="E2544" t="e" cm="1">
        <f t="array" ref="E2544">- POVIDONE-IODINE</f>
        <v>#NAME?</v>
      </c>
      <c r="F2544" t="s">
        <v>11980</v>
      </c>
      <c r="I2544" t="s">
        <v>11892</v>
      </c>
      <c r="J2544" t="s">
        <v>11981</v>
      </c>
      <c r="M2544" t="s">
        <v>554</v>
      </c>
      <c r="N2544" t="s">
        <v>555</v>
      </c>
      <c r="O2544" t="s">
        <v>11894</v>
      </c>
      <c r="P2544" t="s">
        <v>11976</v>
      </c>
      <c r="Q2544" t="s">
        <v>11977</v>
      </c>
      <c r="R2544">
        <v>10</v>
      </c>
      <c r="S2544">
        <v>16</v>
      </c>
    </row>
    <row r="2545" spans="1:19" x14ac:dyDescent="0.35">
      <c r="A2545">
        <v>8453</v>
      </c>
      <c r="B2545" t="s">
        <v>551</v>
      </c>
      <c r="C2545" t="s">
        <v>42</v>
      </c>
      <c r="D2545" t="s">
        <v>11979</v>
      </c>
      <c r="E2545" t="e" cm="1">
        <f t="array" ref="E2545">- POVIDONE-IODINE</f>
        <v>#NAME?</v>
      </c>
      <c r="F2545" t="s">
        <v>11980</v>
      </c>
      <c r="I2545" t="s">
        <v>11892</v>
      </c>
      <c r="J2545" t="s">
        <v>11981</v>
      </c>
      <c r="M2545" t="s">
        <v>554</v>
      </c>
      <c r="N2545" t="s">
        <v>555</v>
      </c>
      <c r="O2545" t="s">
        <v>11894</v>
      </c>
      <c r="P2545" t="s">
        <v>11976</v>
      </c>
      <c r="Q2545" t="s">
        <v>11977</v>
      </c>
      <c r="R2545">
        <v>10</v>
      </c>
      <c r="S2545">
        <v>16</v>
      </c>
    </row>
    <row r="2546" spans="1:19" x14ac:dyDescent="0.35">
      <c r="A2546">
        <v>1300</v>
      </c>
      <c r="B2546" t="s">
        <v>11939</v>
      </c>
      <c r="C2546" t="s">
        <v>42</v>
      </c>
      <c r="D2546" t="s">
        <v>11940</v>
      </c>
      <c r="E2546" t="e" cm="1">
        <f t="array" ref="E2546">- ERDOSTEINE</f>
        <v>#NAME?</v>
      </c>
      <c r="F2546" t="s">
        <v>11941</v>
      </c>
      <c r="G2546" t="s">
        <v>11942</v>
      </c>
      <c r="H2546" t="s">
        <v>11943</v>
      </c>
      <c r="I2546" t="s">
        <v>11944</v>
      </c>
      <c r="J2546" t="s">
        <v>9486</v>
      </c>
      <c r="L2546" t="s">
        <v>11945</v>
      </c>
      <c r="M2546" t="s">
        <v>38</v>
      </c>
      <c r="N2546" t="s">
        <v>471</v>
      </c>
      <c r="O2546" t="s">
        <v>11946</v>
      </c>
      <c r="P2546" t="s">
        <v>1004</v>
      </c>
      <c r="Q2546" t="s">
        <v>11947</v>
      </c>
      <c r="R2546">
        <v>10</v>
      </c>
      <c r="S2546">
        <v>16</v>
      </c>
    </row>
    <row r="2547" spans="1:19" x14ac:dyDescent="0.35">
      <c r="A2547">
        <v>8454</v>
      </c>
      <c r="B2547" t="s">
        <v>551</v>
      </c>
      <c r="C2547" t="s">
        <v>42</v>
      </c>
      <c r="D2547" t="s">
        <v>11890</v>
      </c>
      <c r="E2547" t="e" cm="1">
        <f t="array" ref="E2547">- POVIDONE-IODINE</f>
        <v>#NAME?</v>
      </c>
      <c r="F2547" t="s">
        <v>11891</v>
      </c>
      <c r="I2547" t="s">
        <v>11892</v>
      </c>
      <c r="J2547" t="s">
        <v>11893</v>
      </c>
      <c r="M2547" t="s">
        <v>554</v>
      </c>
      <c r="N2547" t="s">
        <v>555</v>
      </c>
      <c r="O2547" t="s">
        <v>11894</v>
      </c>
      <c r="P2547" t="s">
        <v>11895</v>
      </c>
      <c r="Q2547" t="s">
        <v>11896</v>
      </c>
      <c r="R2547">
        <v>10</v>
      </c>
      <c r="S2547">
        <v>16</v>
      </c>
    </row>
    <row r="2548" spans="1:19" x14ac:dyDescent="0.35">
      <c r="A2548">
        <v>8175</v>
      </c>
      <c r="B2548" t="s">
        <v>551</v>
      </c>
      <c r="C2548" t="s">
        <v>42</v>
      </c>
      <c r="D2548" t="s">
        <v>11959</v>
      </c>
      <c r="E2548" t="e" cm="1">
        <f t="array" ref="E2548">- POVIDONE-IODINE</f>
        <v>#NAME?</v>
      </c>
      <c r="F2548" t="s">
        <v>11960</v>
      </c>
      <c r="G2548" t="s">
        <v>11961</v>
      </c>
      <c r="H2548" t="s">
        <v>1322</v>
      </c>
      <c r="I2548" t="s">
        <v>11962</v>
      </c>
      <c r="J2548" t="s">
        <v>11963</v>
      </c>
      <c r="L2548" t="s">
        <v>11964</v>
      </c>
      <c r="M2548" t="s">
        <v>554</v>
      </c>
      <c r="N2548" t="s">
        <v>555</v>
      </c>
      <c r="O2548" t="s">
        <v>11965</v>
      </c>
      <c r="P2548" t="s">
        <v>11966</v>
      </c>
      <c r="Q2548" t="s">
        <v>11967</v>
      </c>
      <c r="R2548">
        <v>10</v>
      </c>
      <c r="S2548">
        <v>16</v>
      </c>
    </row>
    <row r="2549" spans="1:19" x14ac:dyDescent="0.35">
      <c r="A2549">
        <v>8850</v>
      </c>
      <c r="B2549" t="s">
        <v>11982</v>
      </c>
      <c r="C2549" t="s">
        <v>20</v>
      </c>
      <c r="D2549" t="s">
        <v>11983</v>
      </c>
      <c r="E2549" t="s">
        <v>11984</v>
      </c>
      <c r="F2549" t="s">
        <v>11985</v>
      </c>
      <c r="G2549" t="s">
        <v>5233</v>
      </c>
      <c r="H2549" t="s">
        <v>7616</v>
      </c>
      <c r="I2549" t="s">
        <v>5531</v>
      </c>
      <c r="J2549" t="s">
        <v>3812</v>
      </c>
      <c r="L2549" t="s">
        <v>11986</v>
      </c>
      <c r="M2549" t="s">
        <v>38</v>
      </c>
      <c r="N2549" t="s">
        <v>11987</v>
      </c>
      <c r="O2549" t="s">
        <v>5535</v>
      </c>
      <c r="P2549" t="s">
        <v>11988</v>
      </c>
      <c r="Q2549" t="s">
        <v>11989</v>
      </c>
      <c r="R2549">
        <v>10</v>
      </c>
      <c r="S2549">
        <v>16</v>
      </c>
    </row>
    <row r="2550" spans="1:19" x14ac:dyDescent="0.35">
      <c r="A2550">
        <v>3234</v>
      </c>
      <c r="B2550" t="s">
        <v>5161</v>
      </c>
      <c r="C2550" t="s">
        <v>42</v>
      </c>
      <c r="D2550" t="s">
        <v>5162</v>
      </c>
      <c r="E2550" t="e" cm="1">
        <f t="array" ref="E2550">- SIMETHICONE. MAGNESIUM HYDROXIDE. DRIED ALUMINIUM HYDROXIDE GEL</f>
        <v>#NAME?</v>
      </c>
      <c r="F2550" t="s">
        <v>5163</v>
      </c>
      <c r="J2550" t="s">
        <v>885</v>
      </c>
      <c r="M2550" t="s">
        <v>46</v>
      </c>
      <c r="N2550" t="s">
        <v>11990</v>
      </c>
      <c r="P2550" t="s">
        <v>5164</v>
      </c>
      <c r="Q2550" t="s">
        <v>11991</v>
      </c>
      <c r="R2550">
        <v>10</v>
      </c>
      <c r="S2550">
        <v>16</v>
      </c>
    </row>
    <row r="2551" spans="1:19" x14ac:dyDescent="0.35">
      <c r="A2551">
        <v>3735</v>
      </c>
      <c r="B2551" t="s">
        <v>11992</v>
      </c>
      <c r="C2551" t="s">
        <v>42</v>
      </c>
      <c r="D2551" t="s">
        <v>11993</v>
      </c>
      <c r="E2551" t="e" cm="1">
        <f t="array" ref="E2551">- LOPERAMIDE HYDROCHLORIDE</f>
        <v>#NAME?</v>
      </c>
      <c r="F2551" t="s">
        <v>11994</v>
      </c>
      <c r="G2551" t="s">
        <v>60</v>
      </c>
      <c r="H2551" t="s">
        <v>11651</v>
      </c>
      <c r="I2551" t="s">
        <v>11757</v>
      </c>
      <c r="J2551" t="s">
        <v>381</v>
      </c>
      <c r="K2551" t="s">
        <v>11995</v>
      </c>
      <c r="L2551" t="s">
        <v>11996</v>
      </c>
      <c r="M2551" t="s">
        <v>46</v>
      </c>
      <c r="N2551" t="s">
        <v>1461</v>
      </c>
      <c r="O2551" t="s">
        <v>11656</v>
      </c>
      <c r="P2551" t="s">
        <v>1094</v>
      </c>
      <c r="Q2551" t="s">
        <v>11997</v>
      </c>
      <c r="R2551">
        <v>10</v>
      </c>
      <c r="S2551">
        <v>16</v>
      </c>
    </row>
    <row r="2552" spans="1:19" x14ac:dyDescent="0.35">
      <c r="A2552">
        <v>358</v>
      </c>
      <c r="B2552" t="s">
        <v>11998</v>
      </c>
      <c r="C2552" t="s">
        <v>42</v>
      </c>
      <c r="D2552" t="s">
        <v>11999</v>
      </c>
      <c r="E2552" t="e" cm="1">
        <f t="array" ref="E2552">- ALLYLESTRENOL</f>
        <v>#NAME?</v>
      </c>
      <c r="F2552" t="s">
        <v>12000</v>
      </c>
      <c r="G2552" t="s">
        <v>1691</v>
      </c>
      <c r="H2552" t="s">
        <v>12001</v>
      </c>
      <c r="I2552" t="s">
        <v>12002</v>
      </c>
      <c r="J2552" t="s">
        <v>11815</v>
      </c>
      <c r="K2552" t="s">
        <v>2964</v>
      </c>
      <c r="L2552" t="s">
        <v>12003</v>
      </c>
      <c r="M2552" t="s">
        <v>46</v>
      </c>
      <c r="N2552" t="s">
        <v>368</v>
      </c>
      <c r="O2552" t="s">
        <v>12004</v>
      </c>
      <c r="P2552" t="s">
        <v>12005</v>
      </c>
      <c r="Q2552" t="s">
        <v>12006</v>
      </c>
      <c r="R2552">
        <v>10</v>
      </c>
      <c r="S2552">
        <v>16</v>
      </c>
    </row>
    <row r="2553" spans="1:19" x14ac:dyDescent="0.35">
      <c r="A2553">
        <v>208</v>
      </c>
      <c r="B2553" t="s">
        <v>2902</v>
      </c>
      <c r="C2553" t="s">
        <v>42</v>
      </c>
      <c r="D2553" t="s">
        <v>12007</v>
      </c>
      <c r="E2553" t="e" cm="1">
        <f t="array" ref="E2553">- SILDENAFIL CITRATE</f>
        <v>#NAME?</v>
      </c>
      <c r="F2553" t="s">
        <v>12008</v>
      </c>
      <c r="G2553" t="s">
        <v>12009</v>
      </c>
      <c r="H2553" t="s">
        <v>1322</v>
      </c>
      <c r="I2553" t="s">
        <v>12010</v>
      </c>
      <c r="J2553" t="s">
        <v>12011</v>
      </c>
      <c r="M2553" t="s">
        <v>46</v>
      </c>
      <c r="N2553" t="s">
        <v>2519</v>
      </c>
      <c r="O2553" t="s">
        <v>12012</v>
      </c>
      <c r="P2553" t="s">
        <v>12013</v>
      </c>
      <c r="Q2553" t="s">
        <v>12014</v>
      </c>
      <c r="R2553">
        <v>10</v>
      </c>
      <c r="S2553">
        <v>16</v>
      </c>
    </row>
    <row r="2554" spans="1:19" x14ac:dyDescent="0.35">
      <c r="A2554">
        <v>354</v>
      </c>
      <c r="B2554" t="s">
        <v>12015</v>
      </c>
      <c r="C2554" t="s">
        <v>42</v>
      </c>
      <c r="D2554" t="s">
        <v>12016</v>
      </c>
      <c r="E2554" t="e" cm="1">
        <f t="array" ref="E2554">- ALLYLESTRENOL</f>
        <v>#NAME?</v>
      </c>
      <c r="F2554" t="s">
        <v>12017</v>
      </c>
      <c r="G2554" t="s">
        <v>6135</v>
      </c>
      <c r="H2554" t="s">
        <v>12018</v>
      </c>
      <c r="I2554" t="s">
        <v>12019</v>
      </c>
      <c r="J2554" t="s">
        <v>599</v>
      </c>
      <c r="L2554" t="s">
        <v>270</v>
      </c>
      <c r="M2554" t="s">
        <v>46</v>
      </c>
      <c r="N2554" t="s">
        <v>368</v>
      </c>
      <c r="O2554" t="s">
        <v>12020</v>
      </c>
      <c r="P2554" t="s">
        <v>12021</v>
      </c>
      <c r="Q2554" t="s">
        <v>12022</v>
      </c>
      <c r="R2554">
        <v>10</v>
      </c>
      <c r="S2554">
        <v>16</v>
      </c>
    </row>
    <row r="2555" spans="1:19" x14ac:dyDescent="0.35">
      <c r="A2555">
        <v>3209</v>
      </c>
      <c r="B2555" t="s">
        <v>12023</v>
      </c>
      <c r="C2555" t="s">
        <v>42</v>
      </c>
      <c r="D2555" t="s">
        <v>12024</v>
      </c>
      <c r="E2555" t="e" cm="1">
        <f t="array" ref="E2555">- SUCRALFATE</f>
        <v>#NAME?</v>
      </c>
      <c r="F2555" t="s">
        <v>12025</v>
      </c>
      <c r="G2555" t="s">
        <v>12026</v>
      </c>
      <c r="H2555" t="s">
        <v>12027</v>
      </c>
      <c r="I2555" t="s">
        <v>12028</v>
      </c>
      <c r="J2555" t="s">
        <v>374</v>
      </c>
      <c r="K2555" t="s">
        <v>12029</v>
      </c>
      <c r="L2555" t="s">
        <v>12030</v>
      </c>
      <c r="M2555" t="s">
        <v>340</v>
      </c>
      <c r="N2555" t="s">
        <v>375</v>
      </c>
      <c r="O2555" t="s">
        <v>12031</v>
      </c>
      <c r="P2555" t="s">
        <v>12032</v>
      </c>
      <c r="Q2555" t="s">
        <v>12033</v>
      </c>
      <c r="R2555">
        <v>10</v>
      </c>
      <c r="S2555">
        <v>16</v>
      </c>
    </row>
    <row r="2556" spans="1:19" x14ac:dyDescent="0.35">
      <c r="A2556">
        <v>8632</v>
      </c>
      <c r="B2556" t="s">
        <v>12034</v>
      </c>
      <c r="C2556" t="s">
        <v>42</v>
      </c>
      <c r="D2556" t="s">
        <v>12035</v>
      </c>
      <c r="E2556" t="e" cm="1">
        <f t="array" ref="E2556">- ACARBOSE</f>
        <v>#NAME?</v>
      </c>
      <c r="F2556" t="s">
        <v>12036</v>
      </c>
      <c r="G2556" t="s">
        <v>12037</v>
      </c>
      <c r="H2556" t="s">
        <v>12038</v>
      </c>
      <c r="I2556" t="s">
        <v>12039</v>
      </c>
      <c r="J2556" t="s">
        <v>532</v>
      </c>
      <c r="K2556" t="s">
        <v>12040</v>
      </c>
      <c r="L2556" t="s">
        <v>12041</v>
      </c>
      <c r="M2556" t="s">
        <v>46</v>
      </c>
      <c r="N2556" t="s">
        <v>970</v>
      </c>
      <c r="O2556" t="s">
        <v>12042</v>
      </c>
      <c r="P2556" t="s">
        <v>12043</v>
      </c>
      <c r="Q2556" t="s">
        <v>12044</v>
      </c>
      <c r="R2556">
        <v>10</v>
      </c>
      <c r="S2556">
        <v>16</v>
      </c>
    </row>
    <row r="2557" spans="1:19" x14ac:dyDescent="0.35">
      <c r="A2557">
        <v>3208</v>
      </c>
      <c r="B2557" t="s">
        <v>12023</v>
      </c>
      <c r="C2557" t="s">
        <v>42</v>
      </c>
      <c r="D2557" t="s">
        <v>12024</v>
      </c>
      <c r="E2557" t="e" cm="1">
        <f t="array" ref="E2557">- SUCRALFATE</f>
        <v>#NAME?</v>
      </c>
      <c r="F2557" t="s">
        <v>12025</v>
      </c>
      <c r="G2557" t="s">
        <v>12026</v>
      </c>
      <c r="H2557" t="s">
        <v>12027</v>
      </c>
      <c r="I2557" t="s">
        <v>12028</v>
      </c>
      <c r="J2557" t="s">
        <v>374</v>
      </c>
      <c r="K2557" t="s">
        <v>12029</v>
      </c>
      <c r="L2557" t="s">
        <v>12030</v>
      </c>
      <c r="M2557" t="s">
        <v>340</v>
      </c>
      <c r="N2557" t="s">
        <v>375</v>
      </c>
      <c r="O2557" t="s">
        <v>12031</v>
      </c>
      <c r="P2557" t="s">
        <v>12032</v>
      </c>
      <c r="Q2557" t="s">
        <v>12033</v>
      </c>
      <c r="R2557">
        <v>10</v>
      </c>
      <c r="S2557">
        <v>16</v>
      </c>
    </row>
    <row r="2558" spans="1:19" x14ac:dyDescent="0.35">
      <c r="A2558">
        <v>211</v>
      </c>
      <c r="B2558" t="s">
        <v>2902</v>
      </c>
      <c r="C2558" t="s">
        <v>42</v>
      </c>
      <c r="D2558" t="s">
        <v>12045</v>
      </c>
      <c r="E2558" t="e" cm="1">
        <f t="array" ref="E2558">- SILDENAFIL CITRATE</f>
        <v>#NAME?</v>
      </c>
      <c r="F2558" t="s">
        <v>12046</v>
      </c>
      <c r="G2558" t="s">
        <v>11845</v>
      </c>
      <c r="H2558" t="s">
        <v>1322</v>
      </c>
      <c r="I2558" t="s">
        <v>11846</v>
      </c>
      <c r="J2558" t="s">
        <v>12047</v>
      </c>
      <c r="M2558" t="s">
        <v>46</v>
      </c>
      <c r="N2558" t="s">
        <v>2519</v>
      </c>
      <c r="O2558" t="s">
        <v>11352</v>
      </c>
      <c r="P2558" t="s">
        <v>12048</v>
      </c>
      <c r="Q2558" t="s">
        <v>12049</v>
      </c>
      <c r="R2558">
        <v>10</v>
      </c>
      <c r="S2558">
        <v>16</v>
      </c>
    </row>
    <row r="2559" spans="1:19" x14ac:dyDescent="0.35">
      <c r="A2559">
        <v>3207</v>
      </c>
      <c r="B2559" t="s">
        <v>12023</v>
      </c>
      <c r="C2559" t="s">
        <v>42</v>
      </c>
      <c r="D2559" t="s">
        <v>12024</v>
      </c>
      <c r="E2559" t="e" cm="1">
        <f t="array" ref="E2559">- SUCRALFATE</f>
        <v>#NAME?</v>
      </c>
      <c r="F2559" t="s">
        <v>12025</v>
      </c>
      <c r="G2559" t="s">
        <v>12026</v>
      </c>
      <c r="H2559" t="s">
        <v>12027</v>
      </c>
      <c r="I2559" t="s">
        <v>12028</v>
      </c>
      <c r="J2559" t="s">
        <v>374</v>
      </c>
      <c r="K2559" t="s">
        <v>12029</v>
      </c>
      <c r="L2559" t="s">
        <v>12030</v>
      </c>
      <c r="M2559" t="s">
        <v>340</v>
      </c>
      <c r="N2559" t="s">
        <v>375</v>
      </c>
      <c r="O2559" t="s">
        <v>12031</v>
      </c>
      <c r="P2559" t="s">
        <v>12032</v>
      </c>
      <c r="Q2559" t="s">
        <v>12033</v>
      </c>
      <c r="R2559">
        <v>10</v>
      </c>
      <c r="S2559">
        <v>16</v>
      </c>
    </row>
    <row r="2560" spans="1:19" x14ac:dyDescent="0.35">
      <c r="A2560">
        <v>7545</v>
      </c>
      <c r="B2560" t="s">
        <v>12050</v>
      </c>
      <c r="C2560" t="s">
        <v>20</v>
      </c>
      <c r="D2560" t="s">
        <v>12051</v>
      </c>
      <c r="E2560" t="s">
        <v>12052</v>
      </c>
      <c r="F2560" t="s">
        <v>12053</v>
      </c>
      <c r="G2560" t="s">
        <v>12054</v>
      </c>
      <c r="H2560" t="s">
        <v>12055</v>
      </c>
      <c r="I2560" t="s">
        <v>12056</v>
      </c>
      <c r="J2560" t="s">
        <v>7857</v>
      </c>
      <c r="M2560" t="s">
        <v>38</v>
      </c>
      <c r="N2560" t="s">
        <v>12057</v>
      </c>
      <c r="O2560" t="s">
        <v>12058</v>
      </c>
      <c r="P2560" t="s">
        <v>12057</v>
      </c>
      <c r="Q2560" t="s">
        <v>12059</v>
      </c>
      <c r="R2560">
        <v>10</v>
      </c>
      <c r="S2560">
        <v>16</v>
      </c>
    </row>
    <row r="2561" spans="1:19" x14ac:dyDescent="0.35">
      <c r="A2561">
        <v>3206</v>
      </c>
      <c r="B2561" t="s">
        <v>12023</v>
      </c>
      <c r="C2561" t="s">
        <v>42</v>
      </c>
      <c r="D2561" t="s">
        <v>12024</v>
      </c>
      <c r="E2561" t="e" cm="1">
        <f t="array" ref="E2561">- SUCRALFATE</f>
        <v>#NAME?</v>
      </c>
      <c r="F2561" t="s">
        <v>12025</v>
      </c>
      <c r="G2561" t="s">
        <v>12026</v>
      </c>
      <c r="H2561" t="s">
        <v>12027</v>
      </c>
      <c r="I2561" t="s">
        <v>12028</v>
      </c>
      <c r="J2561" t="s">
        <v>374</v>
      </c>
      <c r="K2561" t="s">
        <v>12029</v>
      </c>
      <c r="L2561" t="s">
        <v>12030</v>
      </c>
      <c r="M2561" t="s">
        <v>340</v>
      </c>
      <c r="N2561" t="s">
        <v>375</v>
      </c>
      <c r="O2561" t="s">
        <v>12031</v>
      </c>
      <c r="P2561" t="s">
        <v>12032</v>
      </c>
      <c r="Q2561" t="s">
        <v>12033</v>
      </c>
      <c r="R2561">
        <v>10</v>
      </c>
      <c r="S2561">
        <v>16</v>
      </c>
    </row>
    <row r="2562" spans="1:19" x14ac:dyDescent="0.35">
      <c r="A2562">
        <v>357</v>
      </c>
      <c r="B2562" t="s">
        <v>12060</v>
      </c>
      <c r="C2562" t="s">
        <v>42</v>
      </c>
      <c r="D2562" t="s">
        <v>12061</v>
      </c>
      <c r="E2562" t="e" cm="1">
        <f t="array" ref="E2562">- ALLYLESTRENOL</f>
        <v>#NAME?</v>
      </c>
      <c r="F2562" t="s">
        <v>12062</v>
      </c>
      <c r="G2562" t="s">
        <v>12063</v>
      </c>
      <c r="H2562" t="s">
        <v>12064</v>
      </c>
    </row>
    <row r="2563" spans="1:19" x14ac:dyDescent="0.35">
      <c r="A2563">
        <v>356</v>
      </c>
      <c r="B2563" t="s">
        <v>12015</v>
      </c>
      <c r="C2563" t="s">
        <v>42</v>
      </c>
      <c r="D2563" t="s">
        <v>12016</v>
      </c>
      <c r="E2563" t="e" cm="1">
        <f t="array" ref="E2563">- ALLYLESTRENOL</f>
        <v>#NAME?</v>
      </c>
      <c r="F2563" t="s">
        <v>12017</v>
      </c>
      <c r="G2563" t="s">
        <v>6135</v>
      </c>
      <c r="H2563" t="s">
        <v>12018</v>
      </c>
      <c r="I2563" t="s">
        <v>12019</v>
      </c>
      <c r="J2563" t="s">
        <v>599</v>
      </c>
      <c r="L2563" t="s">
        <v>270</v>
      </c>
      <c r="M2563" t="s">
        <v>46</v>
      </c>
      <c r="N2563" t="s">
        <v>368</v>
      </c>
      <c r="O2563" t="s">
        <v>12020</v>
      </c>
      <c r="P2563" t="s">
        <v>12021</v>
      </c>
      <c r="Q2563" t="s">
        <v>12022</v>
      </c>
      <c r="R2563">
        <v>10</v>
      </c>
      <c r="S2563">
        <v>16</v>
      </c>
    </row>
    <row r="2564" spans="1:19" x14ac:dyDescent="0.35">
      <c r="A2564">
        <v>3170</v>
      </c>
      <c r="B2564" t="s">
        <v>12065</v>
      </c>
      <c r="C2564" t="s">
        <v>42</v>
      </c>
      <c r="D2564" t="s">
        <v>12066</v>
      </c>
      <c r="E2564" t="e" cm="1">
        <f t="array" ref="E2564">- SUCRALFATE</f>
        <v>#NAME?</v>
      </c>
      <c r="F2564" t="s">
        <v>12067</v>
      </c>
      <c r="G2564" t="s">
        <v>12068</v>
      </c>
      <c r="H2564" t="s">
        <v>12069</v>
      </c>
      <c r="I2564" t="s">
        <v>12070</v>
      </c>
      <c r="J2564" t="s">
        <v>12071</v>
      </c>
      <c r="K2564" t="s">
        <v>12072</v>
      </c>
      <c r="L2564" t="s">
        <v>12073</v>
      </c>
      <c r="M2564" t="s">
        <v>340</v>
      </c>
      <c r="N2564" t="s">
        <v>375</v>
      </c>
      <c r="O2564" t="s">
        <v>12074</v>
      </c>
      <c r="P2564" t="s">
        <v>12075</v>
      </c>
      <c r="Q2564" t="s">
        <v>12076</v>
      </c>
      <c r="R2564">
        <v>10</v>
      </c>
      <c r="S2564">
        <v>16</v>
      </c>
    </row>
    <row r="2565" spans="1:19" x14ac:dyDescent="0.35">
      <c r="A2565">
        <v>3171</v>
      </c>
      <c r="B2565" t="s">
        <v>12065</v>
      </c>
      <c r="C2565" t="s">
        <v>42</v>
      </c>
      <c r="D2565" t="s">
        <v>12066</v>
      </c>
      <c r="E2565" t="e" cm="1">
        <f t="array" ref="E2565">- SUCRALFATE</f>
        <v>#NAME?</v>
      </c>
      <c r="F2565" t="s">
        <v>12067</v>
      </c>
      <c r="G2565" t="s">
        <v>12068</v>
      </c>
      <c r="H2565" t="s">
        <v>12069</v>
      </c>
      <c r="I2565" t="s">
        <v>12070</v>
      </c>
      <c r="J2565" t="s">
        <v>12071</v>
      </c>
      <c r="K2565" t="s">
        <v>12072</v>
      </c>
      <c r="L2565" t="s">
        <v>12073</v>
      </c>
      <c r="M2565" t="s">
        <v>340</v>
      </c>
      <c r="N2565" t="s">
        <v>375</v>
      </c>
      <c r="O2565" t="s">
        <v>12074</v>
      </c>
      <c r="P2565" t="s">
        <v>12075</v>
      </c>
      <c r="Q2565" t="s">
        <v>12076</v>
      </c>
      <c r="R2565">
        <v>10</v>
      </c>
      <c r="S2565">
        <v>16</v>
      </c>
    </row>
    <row r="2566" spans="1:19" x14ac:dyDescent="0.35">
      <c r="A2566">
        <v>355</v>
      </c>
      <c r="B2566" t="s">
        <v>12015</v>
      </c>
      <c r="C2566" t="s">
        <v>42</v>
      </c>
      <c r="D2566" t="s">
        <v>12016</v>
      </c>
      <c r="E2566" t="e" cm="1">
        <f t="array" ref="E2566">- ALLYLESTRENOL</f>
        <v>#NAME?</v>
      </c>
      <c r="F2566" t="s">
        <v>12017</v>
      </c>
      <c r="G2566" t="s">
        <v>6135</v>
      </c>
      <c r="H2566" t="s">
        <v>12018</v>
      </c>
      <c r="I2566" t="s">
        <v>12019</v>
      </c>
      <c r="J2566" t="s">
        <v>599</v>
      </c>
      <c r="L2566" t="s">
        <v>270</v>
      </c>
      <c r="M2566" t="s">
        <v>46</v>
      </c>
      <c r="N2566" t="s">
        <v>368</v>
      </c>
      <c r="O2566" t="s">
        <v>12020</v>
      </c>
      <c r="P2566" t="s">
        <v>12021</v>
      </c>
      <c r="Q2566" t="s">
        <v>12022</v>
      </c>
      <c r="R2566">
        <v>10</v>
      </c>
      <c r="S2566">
        <v>16</v>
      </c>
    </row>
    <row r="2567" spans="1:19" x14ac:dyDescent="0.35">
      <c r="A2567">
        <v>3707</v>
      </c>
      <c r="B2567" t="s">
        <v>11753</v>
      </c>
      <c r="C2567" t="s">
        <v>42</v>
      </c>
      <c r="D2567" t="s">
        <v>11754</v>
      </c>
      <c r="E2567" t="e" cm="1">
        <f t="array" ref="E2567">- LOPERAMIDE HYDROCHLORIDE</f>
        <v>#NAME?</v>
      </c>
      <c r="F2567" t="s">
        <v>11755</v>
      </c>
      <c r="G2567" t="s">
        <v>60</v>
      </c>
      <c r="H2567" t="s">
        <v>11756</v>
      </c>
      <c r="I2567" t="s">
        <v>11757</v>
      </c>
      <c r="J2567" t="s">
        <v>381</v>
      </c>
      <c r="K2567" t="s">
        <v>11758</v>
      </c>
      <c r="L2567" t="s">
        <v>11759</v>
      </c>
      <c r="M2567" t="s">
        <v>46</v>
      </c>
      <c r="N2567" t="s">
        <v>1461</v>
      </c>
      <c r="O2567" t="s">
        <v>11656</v>
      </c>
      <c r="P2567" t="s">
        <v>11760</v>
      </c>
      <c r="Q2567" t="s">
        <v>11761</v>
      </c>
      <c r="R2567">
        <v>10</v>
      </c>
      <c r="S2567">
        <v>16</v>
      </c>
    </row>
    <row r="2568" spans="1:19" x14ac:dyDescent="0.35">
      <c r="A2568">
        <v>212</v>
      </c>
      <c r="B2568" t="s">
        <v>2902</v>
      </c>
      <c r="C2568" t="s">
        <v>42</v>
      </c>
      <c r="D2568" t="s">
        <v>12077</v>
      </c>
      <c r="E2568" t="e" cm="1">
        <f t="array" ref="E2568">- SILDENAFIL CITRATE</f>
        <v>#NAME?</v>
      </c>
      <c r="F2568" t="s">
        <v>12078</v>
      </c>
      <c r="G2568" t="s">
        <v>11845</v>
      </c>
      <c r="H2568" t="s">
        <v>1322</v>
      </c>
      <c r="I2568" t="s">
        <v>11846</v>
      </c>
      <c r="J2568" t="s">
        <v>12079</v>
      </c>
      <c r="M2568" t="s">
        <v>46</v>
      </c>
      <c r="N2568" t="s">
        <v>2519</v>
      </c>
      <c r="O2568" t="s">
        <v>11352</v>
      </c>
      <c r="P2568" t="s">
        <v>12048</v>
      </c>
      <c r="Q2568" t="s">
        <v>12049</v>
      </c>
      <c r="R2568">
        <v>10</v>
      </c>
      <c r="S2568">
        <v>16</v>
      </c>
    </row>
    <row r="2569" spans="1:19" x14ac:dyDescent="0.35">
      <c r="A2569">
        <v>3709</v>
      </c>
      <c r="B2569" t="s">
        <v>11753</v>
      </c>
      <c r="C2569" t="s">
        <v>42</v>
      </c>
      <c r="D2569" t="s">
        <v>11754</v>
      </c>
      <c r="E2569" t="e" cm="1">
        <f t="array" ref="E2569">- LOPERAMIDE HYDROCHLORIDE</f>
        <v>#NAME?</v>
      </c>
      <c r="F2569" t="s">
        <v>11755</v>
      </c>
      <c r="G2569" t="s">
        <v>60</v>
      </c>
      <c r="H2569" t="s">
        <v>11756</v>
      </c>
      <c r="I2569" t="s">
        <v>11757</v>
      </c>
      <c r="J2569" t="s">
        <v>381</v>
      </c>
      <c r="K2569" t="s">
        <v>11758</v>
      </c>
      <c r="L2569" t="s">
        <v>11759</v>
      </c>
      <c r="M2569" t="s">
        <v>46</v>
      </c>
      <c r="N2569" t="s">
        <v>1461</v>
      </c>
      <c r="O2569" t="s">
        <v>11656</v>
      </c>
      <c r="P2569" t="s">
        <v>11760</v>
      </c>
      <c r="Q2569" t="s">
        <v>11761</v>
      </c>
      <c r="R2569">
        <v>10</v>
      </c>
      <c r="S2569">
        <v>16</v>
      </c>
    </row>
    <row r="2570" spans="1:19" x14ac:dyDescent="0.35">
      <c r="A2570">
        <v>1412</v>
      </c>
      <c r="B2570" t="s">
        <v>3301</v>
      </c>
      <c r="C2570" t="s">
        <v>42</v>
      </c>
      <c r="D2570" t="s">
        <v>3302</v>
      </c>
      <c r="E2570" t="e" cm="1">
        <f t="array" ref="E2570">- DEXTROMETHORPHAN HYDROBROMIDE. CHLORPHENAMINE MALEATE. AMMONIUM CHLORIDE. GUAIFENESIN</f>
        <v>#NAME?</v>
      </c>
      <c r="F2570" t="s">
        <v>3303</v>
      </c>
      <c r="M2570" t="s">
        <v>271</v>
      </c>
      <c r="N2570" t="s">
        <v>12080</v>
      </c>
      <c r="P2570" t="s">
        <v>3304</v>
      </c>
      <c r="Q2570" t="s">
        <v>12081</v>
      </c>
      <c r="R2570">
        <v>10</v>
      </c>
      <c r="S2570">
        <v>16</v>
      </c>
    </row>
    <row r="2571" spans="1:19" x14ac:dyDescent="0.35">
      <c r="A2571">
        <v>5107</v>
      </c>
      <c r="B2571" t="s">
        <v>12082</v>
      </c>
      <c r="C2571" t="s">
        <v>42</v>
      </c>
      <c r="D2571" t="s">
        <v>12083</v>
      </c>
      <c r="E2571" t="e" cm="1">
        <f t="array" ref="E2571">- FLUOCINOLONE ACETONIDE</f>
        <v>#NAME?</v>
      </c>
      <c r="F2571" t="s">
        <v>12084</v>
      </c>
      <c r="G2571" t="s">
        <v>12085</v>
      </c>
      <c r="H2571" t="s">
        <v>12086</v>
      </c>
      <c r="I2571" t="s">
        <v>12087</v>
      </c>
      <c r="J2571" t="s">
        <v>2040</v>
      </c>
      <c r="K2571" t="s">
        <v>12088</v>
      </c>
      <c r="L2571" t="s">
        <v>12089</v>
      </c>
      <c r="M2571" t="s">
        <v>1289</v>
      </c>
      <c r="N2571" t="s">
        <v>2766</v>
      </c>
      <c r="O2571" t="s">
        <v>12090</v>
      </c>
      <c r="P2571" t="s">
        <v>12091</v>
      </c>
      <c r="Q2571" t="s">
        <v>12092</v>
      </c>
      <c r="R2571">
        <v>10</v>
      </c>
      <c r="S2571">
        <v>16</v>
      </c>
    </row>
    <row r="2572" spans="1:19" x14ac:dyDescent="0.35">
      <c r="A2572">
        <v>5108</v>
      </c>
      <c r="B2572" t="s">
        <v>12082</v>
      </c>
      <c r="C2572" t="s">
        <v>42</v>
      </c>
      <c r="D2572" t="s">
        <v>12083</v>
      </c>
      <c r="E2572" t="e" cm="1">
        <f t="array" ref="E2572">- FLUOCINOLONE ACETONIDE</f>
        <v>#NAME?</v>
      </c>
      <c r="F2572" t="s">
        <v>12084</v>
      </c>
      <c r="G2572" t="s">
        <v>12085</v>
      </c>
      <c r="H2572" t="s">
        <v>12086</v>
      </c>
      <c r="I2572" t="s">
        <v>12087</v>
      </c>
      <c r="J2572" t="s">
        <v>2040</v>
      </c>
      <c r="K2572" t="s">
        <v>12088</v>
      </c>
      <c r="L2572" t="s">
        <v>12089</v>
      </c>
      <c r="M2572" t="s">
        <v>1289</v>
      </c>
      <c r="N2572" t="s">
        <v>2766</v>
      </c>
      <c r="O2572" t="s">
        <v>12090</v>
      </c>
      <c r="P2572" t="s">
        <v>12091</v>
      </c>
      <c r="Q2572" t="s">
        <v>12092</v>
      </c>
      <c r="R2572">
        <v>10</v>
      </c>
      <c r="S2572">
        <v>16</v>
      </c>
    </row>
    <row r="2573" spans="1:19" x14ac:dyDescent="0.35">
      <c r="A2573">
        <v>353</v>
      </c>
      <c r="B2573" t="s">
        <v>12015</v>
      </c>
      <c r="C2573" t="s">
        <v>42</v>
      </c>
      <c r="D2573" t="s">
        <v>12016</v>
      </c>
      <c r="E2573" t="e" cm="1">
        <f t="array" ref="E2573">- ALLYLESTRENOL</f>
        <v>#NAME?</v>
      </c>
      <c r="F2573" t="s">
        <v>12017</v>
      </c>
      <c r="G2573" t="s">
        <v>6135</v>
      </c>
      <c r="H2573" t="s">
        <v>12018</v>
      </c>
      <c r="I2573" t="s">
        <v>12019</v>
      </c>
      <c r="J2573" t="s">
        <v>599</v>
      </c>
      <c r="L2573" t="s">
        <v>270</v>
      </c>
      <c r="M2573" t="s">
        <v>46</v>
      </c>
      <c r="N2573" t="s">
        <v>368</v>
      </c>
      <c r="O2573" t="s">
        <v>12020</v>
      </c>
      <c r="P2573" t="s">
        <v>12021</v>
      </c>
      <c r="Q2573" t="s">
        <v>12022</v>
      </c>
      <c r="R2573">
        <v>10</v>
      </c>
      <c r="S2573">
        <v>16</v>
      </c>
    </row>
    <row r="2574" spans="1:19" x14ac:dyDescent="0.35">
      <c r="A2574">
        <v>352</v>
      </c>
      <c r="B2574" t="s">
        <v>11810</v>
      </c>
      <c r="C2574" t="s">
        <v>42</v>
      </c>
      <c r="D2574" t="s">
        <v>11811</v>
      </c>
      <c r="E2574" t="e" cm="1">
        <f t="array" ref="E2574">- ALLYLESTRENOL</f>
        <v>#NAME?</v>
      </c>
      <c r="F2574" t="s">
        <v>11812</v>
      </c>
      <c r="H2574" t="s">
        <v>11813</v>
      </c>
      <c r="I2574" t="s">
        <v>11814</v>
      </c>
      <c r="J2574" t="s">
        <v>11815</v>
      </c>
      <c r="K2574" t="s">
        <v>2964</v>
      </c>
      <c r="L2574" t="s">
        <v>11816</v>
      </c>
      <c r="M2574" t="s">
        <v>46</v>
      </c>
      <c r="N2574" t="s">
        <v>368</v>
      </c>
      <c r="O2574" t="s">
        <v>11817</v>
      </c>
      <c r="P2574" t="s">
        <v>11818</v>
      </c>
      <c r="Q2574" t="s">
        <v>11819</v>
      </c>
      <c r="R2574">
        <v>10</v>
      </c>
      <c r="S2574">
        <v>16</v>
      </c>
    </row>
    <row r="2575" spans="1:19" x14ac:dyDescent="0.35">
      <c r="A2575">
        <v>3733</v>
      </c>
      <c r="B2575" t="s">
        <v>12093</v>
      </c>
      <c r="C2575" t="s">
        <v>42</v>
      </c>
      <c r="D2575" t="s">
        <v>12094</v>
      </c>
      <c r="E2575" t="e" cm="1">
        <f t="array" ref="E2575">- LOPERAMIDE HYDROCHLORIDE</f>
        <v>#NAME?</v>
      </c>
      <c r="F2575" t="s">
        <v>12095</v>
      </c>
      <c r="G2575" t="s">
        <v>60</v>
      </c>
      <c r="H2575" t="s">
        <v>11651</v>
      </c>
      <c r="I2575" t="s">
        <v>11757</v>
      </c>
      <c r="J2575" t="s">
        <v>12096</v>
      </c>
      <c r="K2575" t="s">
        <v>3952</v>
      </c>
    </row>
    <row r="2576" spans="1:19" x14ac:dyDescent="0.35">
      <c r="A2576">
        <v>3732</v>
      </c>
      <c r="B2576" t="s">
        <v>12093</v>
      </c>
      <c r="C2576" t="s">
        <v>42</v>
      </c>
      <c r="D2576" t="s">
        <v>12094</v>
      </c>
      <c r="E2576" t="e" cm="1">
        <f t="array" ref="E2576">- LOPERAMIDE HYDROCHLORIDE</f>
        <v>#NAME?</v>
      </c>
      <c r="F2576" t="s">
        <v>12095</v>
      </c>
      <c r="G2576" t="s">
        <v>60</v>
      </c>
      <c r="H2576" t="s">
        <v>11651</v>
      </c>
      <c r="I2576" t="s">
        <v>11757</v>
      </c>
      <c r="J2576" t="s">
        <v>12096</v>
      </c>
      <c r="K2576" t="s">
        <v>3952</v>
      </c>
    </row>
    <row r="2577" spans="1:19" x14ac:dyDescent="0.35">
      <c r="A2577">
        <v>4656</v>
      </c>
      <c r="B2577" t="s">
        <v>12097</v>
      </c>
      <c r="C2577" t="s">
        <v>42</v>
      </c>
      <c r="D2577" t="s">
        <v>12098</v>
      </c>
      <c r="E2577" t="e" cm="1">
        <f t="array" ref="E2577">- POTASSIUM IODIDE</f>
        <v>#NAME?</v>
      </c>
      <c r="F2577" t="s">
        <v>12099</v>
      </c>
      <c r="G2577" t="s">
        <v>12100</v>
      </c>
      <c r="H2577" t="s">
        <v>12101</v>
      </c>
      <c r="I2577" t="s">
        <v>12102</v>
      </c>
      <c r="J2577" t="s">
        <v>12103</v>
      </c>
      <c r="K2577" t="s">
        <v>3473</v>
      </c>
      <c r="L2577" t="s">
        <v>270</v>
      </c>
      <c r="M2577" t="s">
        <v>824</v>
      </c>
      <c r="N2577" t="s">
        <v>12104</v>
      </c>
      <c r="O2577" t="s">
        <v>12105</v>
      </c>
      <c r="P2577" t="s">
        <v>12106</v>
      </c>
      <c r="Q2577" t="s">
        <v>12107</v>
      </c>
      <c r="R2577">
        <v>10</v>
      </c>
      <c r="S2577">
        <v>16</v>
      </c>
    </row>
    <row r="2578" spans="1:19" x14ac:dyDescent="0.35">
      <c r="A2578">
        <v>8690</v>
      </c>
      <c r="B2578" t="s">
        <v>12108</v>
      </c>
      <c r="C2578" t="s">
        <v>42</v>
      </c>
      <c r="D2578" t="s">
        <v>12109</v>
      </c>
      <c r="E2578" t="e" cm="1">
        <f t="array" ref="E2578">- ACARBOSE</f>
        <v>#NAME?</v>
      </c>
      <c r="F2578" t="s">
        <v>12110</v>
      </c>
      <c r="G2578" t="s">
        <v>12037</v>
      </c>
      <c r="H2578" t="s">
        <v>12038</v>
      </c>
      <c r="I2578" t="s">
        <v>12039</v>
      </c>
      <c r="J2578" t="s">
        <v>969</v>
      </c>
      <c r="K2578" t="s">
        <v>12040</v>
      </c>
      <c r="L2578" t="s">
        <v>12041</v>
      </c>
      <c r="M2578" t="s">
        <v>46</v>
      </c>
      <c r="N2578" t="s">
        <v>970</v>
      </c>
      <c r="O2578" t="s">
        <v>12042</v>
      </c>
      <c r="P2578" t="s">
        <v>12111</v>
      </c>
      <c r="Q2578" t="s">
        <v>12112</v>
      </c>
      <c r="R2578">
        <v>10</v>
      </c>
      <c r="S2578">
        <v>16</v>
      </c>
    </row>
    <row r="2579" spans="1:19" x14ac:dyDescent="0.35">
      <c r="A2579">
        <v>8689</v>
      </c>
      <c r="B2579" t="s">
        <v>12108</v>
      </c>
      <c r="C2579" t="s">
        <v>42</v>
      </c>
      <c r="D2579" t="s">
        <v>12109</v>
      </c>
      <c r="E2579" t="e" cm="1">
        <f t="array" ref="E2579">- ACARBOSE</f>
        <v>#NAME?</v>
      </c>
      <c r="F2579" t="s">
        <v>12110</v>
      </c>
      <c r="G2579" t="s">
        <v>12037</v>
      </c>
      <c r="H2579" t="s">
        <v>12038</v>
      </c>
      <c r="I2579" t="s">
        <v>12039</v>
      </c>
      <c r="J2579" t="s">
        <v>969</v>
      </c>
      <c r="K2579" t="s">
        <v>12040</v>
      </c>
      <c r="L2579" t="s">
        <v>12041</v>
      </c>
      <c r="M2579" t="s">
        <v>46</v>
      </c>
      <c r="N2579" t="s">
        <v>970</v>
      </c>
      <c r="O2579" t="s">
        <v>12042</v>
      </c>
      <c r="P2579" t="s">
        <v>12111</v>
      </c>
      <c r="Q2579" t="s">
        <v>12112</v>
      </c>
      <c r="R2579">
        <v>10</v>
      </c>
      <c r="S2579">
        <v>16</v>
      </c>
    </row>
    <row r="2580" spans="1:19" x14ac:dyDescent="0.35">
      <c r="A2580">
        <v>3731</v>
      </c>
      <c r="B2580" t="s">
        <v>12113</v>
      </c>
      <c r="C2580" t="s">
        <v>42</v>
      </c>
      <c r="D2580" t="s">
        <v>12114</v>
      </c>
      <c r="E2580" t="e" cm="1">
        <f t="array" ref="E2580">- KAOLIN.  LIGHT</f>
        <v>#NAME?</v>
      </c>
      <c r="F2580" t="s">
        <v>12115</v>
      </c>
      <c r="G2580" t="s">
        <v>12116</v>
      </c>
      <c r="H2580" t="s">
        <v>12117</v>
      </c>
      <c r="I2580" t="s">
        <v>12118</v>
      </c>
      <c r="J2580" t="s">
        <v>1144</v>
      </c>
      <c r="K2580" t="s">
        <v>12119</v>
      </c>
      <c r="L2580" t="s">
        <v>12120</v>
      </c>
      <c r="M2580" t="s">
        <v>340</v>
      </c>
      <c r="N2580" t="s">
        <v>12121</v>
      </c>
      <c r="O2580" t="s">
        <v>12122</v>
      </c>
      <c r="P2580" t="s">
        <v>12123</v>
      </c>
      <c r="Q2580" t="s">
        <v>12124</v>
      </c>
      <c r="R2580">
        <v>10</v>
      </c>
      <c r="S2580">
        <v>16</v>
      </c>
    </row>
    <row r="2581" spans="1:19" x14ac:dyDescent="0.35">
      <c r="A2581">
        <v>3730</v>
      </c>
      <c r="B2581" t="s">
        <v>12113</v>
      </c>
      <c r="C2581" t="s">
        <v>42</v>
      </c>
      <c r="D2581" t="s">
        <v>12114</v>
      </c>
      <c r="E2581" t="e" cm="1">
        <f t="array" ref="E2581">- KAOLIN. PECTIN</f>
        <v>#NAME?</v>
      </c>
      <c r="F2581" t="s">
        <v>12115</v>
      </c>
      <c r="G2581" t="s">
        <v>12116</v>
      </c>
      <c r="H2581" t="s">
        <v>12117</v>
      </c>
      <c r="I2581" t="s">
        <v>12118</v>
      </c>
      <c r="J2581" t="s">
        <v>1144</v>
      </c>
      <c r="K2581" t="s">
        <v>12119</v>
      </c>
      <c r="L2581" t="s">
        <v>12120</v>
      </c>
      <c r="M2581" t="s">
        <v>340</v>
      </c>
      <c r="N2581" t="s">
        <v>3159</v>
      </c>
      <c r="O2581" t="s">
        <v>12122</v>
      </c>
      <c r="P2581" t="s">
        <v>12123</v>
      </c>
      <c r="Q2581" t="s">
        <v>12125</v>
      </c>
      <c r="R2581">
        <v>10</v>
      </c>
      <c r="S2581">
        <v>16</v>
      </c>
    </row>
    <row r="2582" spans="1:19" x14ac:dyDescent="0.35">
      <c r="A2582">
        <v>3729</v>
      </c>
      <c r="B2582" t="s">
        <v>12113</v>
      </c>
      <c r="C2582" t="s">
        <v>42</v>
      </c>
      <c r="D2582" t="s">
        <v>12114</v>
      </c>
      <c r="E2582" t="e" cm="1">
        <f t="array" ref="E2582">- PECTIN. KAOLIN</f>
        <v>#NAME?</v>
      </c>
      <c r="F2582" t="s">
        <v>12115</v>
      </c>
      <c r="G2582" t="s">
        <v>12116</v>
      </c>
      <c r="H2582" t="s">
        <v>12117</v>
      </c>
      <c r="I2582" t="s">
        <v>12118</v>
      </c>
      <c r="J2582" t="s">
        <v>1144</v>
      </c>
      <c r="K2582" t="s">
        <v>12119</v>
      </c>
      <c r="L2582" t="s">
        <v>12120</v>
      </c>
      <c r="M2582" t="s">
        <v>340</v>
      </c>
      <c r="N2582" t="s">
        <v>12126</v>
      </c>
      <c r="O2582" t="s">
        <v>12122</v>
      </c>
      <c r="P2582" t="s">
        <v>12123</v>
      </c>
      <c r="Q2582" t="s">
        <v>12127</v>
      </c>
      <c r="R2582">
        <v>10</v>
      </c>
      <c r="S2582">
        <v>16</v>
      </c>
    </row>
    <row r="2583" spans="1:19" x14ac:dyDescent="0.35">
      <c r="A2583">
        <v>4655</v>
      </c>
      <c r="B2583" t="s">
        <v>12097</v>
      </c>
      <c r="C2583" t="s">
        <v>42</v>
      </c>
      <c r="D2583" t="s">
        <v>12098</v>
      </c>
      <c r="E2583" t="e" cm="1">
        <f t="array" ref="E2583">- POTASSIUM IODIDE</f>
        <v>#NAME?</v>
      </c>
      <c r="F2583" t="s">
        <v>12099</v>
      </c>
      <c r="G2583" t="s">
        <v>12100</v>
      </c>
      <c r="H2583" t="s">
        <v>12101</v>
      </c>
      <c r="I2583" t="s">
        <v>12102</v>
      </c>
      <c r="J2583" t="s">
        <v>12103</v>
      </c>
      <c r="K2583" t="s">
        <v>3473</v>
      </c>
      <c r="L2583" t="s">
        <v>270</v>
      </c>
      <c r="M2583" t="s">
        <v>824</v>
      </c>
      <c r="N2583" t="s">
        <v>12104</v>
      </c>
      <c r="O2583" t="s">
        <v>12105</v>
      </c>
      <c r="P2583" t="s">
        <v>12106</v>
      </c>
      <c r="Q2583" t="s">
        <v>12107</v>
      </c>
      <c r="R2583">
        <v>10</v>
      </c>
      <c r="S2583">
        <v>16</v>
      </c>
    </row>
    <row r="2584" spans="1:19" x14ac:dyDescent="0.35">
      <c r="A2584">
        <v>224</v>
      </c>
      <c r="B2584" t="s">
        <v>2902</v>
      </c>
      <c r="C2584" t="s">
        <v>42</v>
      </c>
      <c r="D2584" t="s">
        <v>12128</v>
      </c>
      <c r="E2584" t="e" cm="1">
        <f t="array" ref="E2584">- SILDENAFIL CITRATE</f>
        <v>#NAME?</v>
      </c>
      <c r="F2584" s="1">
        <v>3900</v>
      </c>
      <c r="G2584" t="s">
        <v>8483</v>
      </c>
      <c r="H2584" t="s">
        <v>1322</v>
      </c>
      <c r="I2584" t="s">
        <v>8484</v>
      </c>
      <c r="J2584" t="s">
        <v>8485</v>
      </c>
      <c r="L2584" t="s">
        <v>8486</v>
      </c>
      <c r="M2584" t="s">
        <v>46</v>
      </c>
      <c r="N2584" t="s">
        <v>2519</v>
      </c>
      <c r="O2584" t="s">
        <v>8487</v>
      </c>
      <c r="P2584" t="s">
        <v>12129</v>
      </c>
      <c r="Q2584" t="s">
        <v>12130</v>
      </c>
      <c r="R2584">
        <v>10</v>
      </c>
      <c r="S2584">
        <v>16</v>
      </c>
    </row>
    <row r="2585" spans="1:19" x14ac:dyDescent="0.35">
      <c r="A2585">
        <v>4654</v>
      </c>
      <c r="B2585" t="s">
        <v>12097</v>
      </c>
      <c r="C2585" t="s">
        <v>42</v>
      </c>
      <c r="D2585" t="s">
        <v>12098</v>
      </c>
      <c r="E2585" t="e" cm="1">
        <f t="array" ref="E2585">- POTASSIUM IODIDE</f>
        <v>#NAME?</v>
      </c>
      <c r="F2585" t="s">
        <v>12099</v>
      </c>
      <c r="G2585" t="s">
        <v>12100</v>
      </c>
      <c r="H2585" t="s">
        <v>12101</v>
      </c>
      <c r="I2585" t="s">
        <v>12102</v>
      </c>
      <c r="J2585" t="s">
        <v>12103</v>
      </c>
      <c r="K2585" t="s">
        <v>3473</v>
      </c>
      <c r="L2585" t="s">
        <v>270</v>
      </c>
      <c r="M2585" t="s">
        <v>824</v>
      </c>
      <c r="N2585" t="s">
        <v>12104</v>
      </c>
      <c r="O2585" t="s">
        <v>12105</v>
      </c>
      <c r="P2585" t="s">
        <v>12106</v>
      </c>
      <c r="Q2585" t="s">
        <v>12107</v>
      </c>
      <c r="R2585">
        <v>10</v>
      </c>
      <c r="S2585">
        <v>16</v>
      </c>
    </row>
    <row r="2586" spans="1:19" x14ac:dyDescent="0.35">
      <c r="A2586">
        <v>351</v>
      </c>
      <c r="B2586" t="s">
        <v>11810</v>
      </c>
      <c r="C2586" t="s">
        <v>42</v>
      </c>
      <c r="D2586" t="s">
        <v>11811</v>
      </c>
      <c r="E2586" t="e" cm="1">
        <f t="array" ref="E2586">- ALLYLESTRENOL</f>
        <v>#NAME?</v>
      </c>
      <c r="F2586" t="s">
        <v>11812</v>
      </c>
      <c r="H2586" t="s">
        <v>11813</v>
      </c>
      <c r="I2586" t="s">
        <v>11814</v>
      </c>
      <c r="J2586" t="s">
        <v>11815</v>
      </c>
      <c r="K2586" t="s">
        <v>2964</v>
      </c>
      <c r="L2586" t="s">
        <v>11816</v>
      </c>
      <c r="M2586" t="s">
        <v>46</v>
      </c>
      <c r="N2586" t="s">
        <v>368</v>
      </c>
      <c r="O2586" t="s">
        <v>11817</v>
      </c>
      <c r="P2586" t="s">
        <v>11818</v>
      </c>
      <c r="Q2586" t="s">
        <v>11819</v>
      </c>
      <c r="R2586">
        <v>10</v>
      </c>
      <c r="S2586">
        <v>16</v>
      </c>
    </row>
    <row r="2587" spans="1:19" x14ac:dyDescent="0.35">
      <c r="A2587">
        <v>3140</v>
      </c>
      <c r="B2587" t="s">
        <v>12131</v>
      </c>
      <c r="C2587" t="s">
        <v>850</v>
      </c>
      <c r="D2587" t="s">
        <v>12132</v>
      </c>
      <c r="E2587" t="e" cm="1">
        <f t="array" ref="E2587">- MAGNESIUM Sulfat</f>
        <v>#NAME?</v>
      </c>
      <c r="F2587" t="s">
        <v>12133</v>
      </c>
      <c r="G2587" t="s">
        <v>12134</v>
      </c>
      <c r="H2587" t="s">
        <v>12135</v>
      </c>
      <c r="I2587" t="s">
        <v>4003</v>
      </c>
      <c r="J2587" t="s">
        <v>12136</v>
      </c>
      <c r="L2587" t="s">
        <v>4508</v>
      </c>
      <c r="N2587" t="s">
        <v>12137</v>
      </c>
      <c r="O2587" t="s">
        <v>4005</v>
      </c>
      <c r="P2587" t="s">
        <v>12138</v>
      </c>
      <c r="Q2587" t="s">
        <v>12139</v>
      </c>
      <c r="R2587">
        <v>10</v>
      </c>
      <c r="S2587">
        <v>16</v>
      </c>
    </row>
    <row r="2588" spans="1:19" x14ac:dyDescent="0.35">
      <c r="A2588">
        <v>220</v>
      </c>
      <c r="B2588" t="s">
        <v>2902</v>
      </c>
      <c r="C2588" t="s">
        <v>42</v>
      </c>
      <c r="D2588" t="s">
        <v>12140</v>
      </c>
      <c r="E2588" t="e" cm="1">
        <f t="array" ref="E2588">- SILDENAFIL CITRATE</f>
        <v>#NAME?</v>
      </c>
      <c r="F2588" t="s">
        <v>12141</v>
      </c>
      <c r="G2588" t="s">
        <v>8483</v>
      </c>
      <c r="H2588" t="s">
        <v>1322</v>
      </c>
      <c r="I2588" t="s">
        <v>8484</v>
      </c>
      <c r="J2588" t="s">
        <v>12142</v>
      </c>
      <c r="L2588" t="s">
        <v>8486</v>
      </c>
      <c r="M2588" t="s">
        <v>46</v>
      </c>
      <c r="N2588" t="s">
        <v>2519</v>
      </c>
      <c r="O2588" t="s">
        <v>8487</v>
      </c>
      <c r="P2588" t="s">
        <v>12143</v>
      </c>
      <c r="Q2588" t="s">
        <v>12144</v>
      </c>
      <c r="R2588">
        <v>10</v>
      </c>
      <c r="S2588">
        <v>16</v>
      </c>
    </row>
    <row r="2589" spans="1:19" x14ac:dyDescent="0.35">
      <c r="A2589">
        <v>3697</v>
      </c>
      <c r="B2589" t="s">
        <v>12145</v>
      </c>
      <c r="C2589" t="s">
        <v>42</v>
      </c>
      <c r="D2589" t="s">
        <v>12146</v>
      </c>
      <c r="E2589" t="e" cm="1">
        <f t="array" ref="E2589">- LOPERAMIDE HYDROCHLORIDE</f>
        <v>#NAME?</v>
      </c>
      <c r="F2589" t="s">
        <v>12147</v>
      </c>
      <c r="G2589" t="s">
        <v>60</v>
      </c>
      <c r="H2589" t="s">
        <v>12148</v>
      </c>
      <c r="I2589" t="s">
        <v>11757</v>
      </c>
      <c r="J2589" t="s">
        <v>1093</v>
      </c>
      <c r="K2589" t="s">
        <v>12149</v>
      </c>
      <c r="L2589" t="s">
        <v>12150</v>
      </c>
      <c r="M2589" t="s">
        <v>46</v>
      </c>
      <c r="N2589" t="s">
        <v>1461</v>
      </c>
      <c r="O2589" t="s">
        <v>11656</v>
      </c>
      <c r="P2589" t="s">
        <v>12151</v>
      </c>
      <c r="Q2589" t="s">
        <v>12152</v>
      </c>
      <c r="R2589">
        <v>10</v>
      </c>
      <c r="S2589">
        <v>16</v>
      </c>
    </row>
    <row r="2590" spans="1:19" x14ac:dyDescent="0.35">
      <c r="A2590">
        <v>219</v>
      </c>
      <c r="B2590" t="s">
        <v>2902</v>
      </c>
      <c r="C2590" t="s">
        <v>42</v>
      </c>
      <c r="D2590" t="s">
        <v>12153</v>
      </c>
      <c r="E2590" t="e" cm="1">
        <f t="array" ref="E2590">- SILDENAFIL CITRATE</f>
        <v>#NAME?</v>
      </c>
      <c r="F2590" t="s">
        <v>12154</v>
      </c>
      <c r="G2590" t="s">
        <v>12155</v>
      </c>
      <c r="H2590" t="s">
        <v>1322</v>
      </c>
      <c r="I2590" t="s">
        <v>12156</v>
      </c>
      <c r="J2590" t="s">
        <v>5484</v>
      </c>
      <c r="L2590" t="s">
        <v>8486</v>
      </c>
      <c r="M2590" t="s">
        <v>46</v>
      </c>
      <c r="N2590" t="s">
        <v>2519</v>
      </c>
      <c r="O2590" t="s">
        <v>12157</v>
      </c>
      <c r="P2590" t="s">
        <v>12158</v>
      </c>
      <c r="Q2590" t="s">
        <v>12159</v>
      </c>
      <c r="R2590">
        <v>10</v>
      </c>
      <c r="S2590">
        <v>16</v>
      </c>
    </row>
    <row r="2591" spans="1:19" x14ac:dyDescent="0.35">
      <c r="A2591">
        <v>8502</v>
      </c>
      <c r="B2591" t="s">
        <v>551</v>
      </c>
      <c r="C2591" t="s">
        <v>42</v>
      </c>
      <c r="D2591" t="s">
        <v>12160</v>
      </c>
      <c r="E2591" t="e" cm="1">
        <f t="array" ref="E2591">- POVIDONE-IODINE</f>
        <v>#NAME?</v>
      </c>
      <c r="F2591" t="s">
        <v>12161</v>
      </c>
      <c r="J2591" t="s">
        <v>4132</v>
      </c>
      <c r="M2591" t="s">
        <v>554</v>
      </c>
      <c r="N2591" t="s">
        <v>555</v>
      </c>
      <c r="P2591" t="s">
        <v>12162</v>
      </c>
      <c r="Q2591" t="s">
        <v>12163</v>
      </c>
      <c r="R2591">
        <v>10</v>
      </c>
      <c r="S2591">
        <v>16</v>
      </c>
    </row>
    <row r="2592" spans="1:19" x14ac:dyDescent="0.35">
      <c r="A2592">
        <v>8503</v>
      </c>
      <c r="B2592" t="s">
        <v>551</v>
      </c>
      <c r="C2592" t="s">
        <v>42</v>
      </c>
      <c r="D2592" t="s">
        <v>12160</v>
      </c>
      <c r="E2592" t="e" cm="1">
        <f t="array" ref="E2592">- POVIDONE-IODINE</f>
        <v>#NAME?</v>
      </c>
      <c r="F2592" t="s">
        <v>12161</v>
      </c>
      <c r="J2592" t="s">
        <v>4132</v>
      </c>
      <c r="M2592" t="s">
        <v>554</v>
      </c>
      <c r="N2592" t="s">
        <v>555</v>
      </c>
      <c r="P2592" t="s">
        <v>12162</v>
      </c>
      <c r="Q2592" t="s">
        <v>12163</v>
      </c>
      <c r="R2592">
        <v>10</v>
      </c>
      <c r="S2592">
        <v>16</v>
      </c>
    </row>
    <row r="2593" spans="1:19" x14ac:dyDescent="0.35">
      <c r="A2593">
        <v>3698</v>
      </c>
      <c r="B2593" t="s">
        <v>12145</v>
      </c>
      <c r="C2593" t="s">
        <v>42</v>
      </c>
      <c r="D2593" t="s">
        <v>12146</v>
      </c>
      <c r="E2593" t="e" cm="1">
        <f t="array" ref="E2593">- LOPERAMIDE HYDROCHLORIDE</f>
        <v>#NAME?</v>
      </c>
      <c r="F2593" t="s">
        <v>12147</v>
      </c>
      <c r="G2593" t="s">
        <v>60</v>
      </c>
      <c r="H2593" t="s">
        <v>12148</v>
      </c>
      <c r="I2593" t="s">
        <v>11757</v>
      </c>
      <c r="J2593" t="s">
        <v>1093</v>
      </c>
      <c r="K2593" t="s">
        <v>12149</v>
      </c>
      <c r="L2593" t="s">
        <v>12150</v>
      </c>
      <c r="M2593" t="s">
        <v>46</v>
      </c>
      <c r="N2593" t="s">
        <v>1461</v>
      </c>
      <c r="O2593" t="s">
        <v>11656</v>
      </c>
      <c r="P2593" t="s">
        <v>12151</v>
      </c>
      <c r="Q2593" t="s">
        <v>12152</v>
      </c>
      <c r="R2593">
        <v>10</v>
      </c>
      <c r="S2593">
        <v>16</v>
      </c>
    </row>
    <row r="2594" spans="1:19" x14ac:dyDescent="0.35">
      <c r="A2594">
        <v>359</v>
      </c>
      <c r="B2594" t="s">
        <v>11998</v>
      </c>
      <c r="C2594" t="s">
        <v>42</v>
      </c>
      <c r="D2594" t="s">
        <v>11999</v>
      </c>
      <c r="E2594" t="e" cm="1">
        <f t="array" ref="E2594">- ALLYLESTRENOL</f>
        <v>#NAME?</v>
      </c>
      <c r="F2594" t="s">
        <v>12000</v>
      </c>
      <c r="G2594" t="s">
        <v>1691</v>
      </c>
      <c r="H2594" t="s">
        <v>12001</v>
      </c>
      <c r="I2594" t="s">
        <v>12002</v>
      </c>
      <c r="J2594" t="s">
        <v>11815</v>
      </c>
      <c r="K2594" t="s">
        <v>2964</v>
      </c>
      <c r="L2594" t="s">
        <v>12003</v>
      </c>
      <c r="M2594" t="s">
        <v>46</v>
      </c>
      <c r="N2594" t="s">
        <v>368</v>
      </c>
      <c r="O2594" t="s">
        <v>12004</v>
      </c>
      <c r="P2594" t="s">
        <v>12005</v>
      </c>
      <c r="Q2594" t="s">
        <v>12006</v>
      </c>
      <c r="R2594">
        <v>10</v>
      </c>
      <c r="S2594">
        <v>16</v>
      </c>
    </row>
    <row r="2595" spans="1:19" x14ac:dyDescent="0.35">
      <c r="A2595">
        <v>1313</v>
      </c>
      <c r="B2595" t="s">
        <v>12164</v>
      </c>
      <c r="C2595" t="s">
        <v>42</v>
      </c>
      <c r="D2595" t="s">
        <v>12165</v>
      </c>
      <c r="E2595" t="e" cm="1">
        <f t="array" ref="E2595">- CHLORPHENAMINE MALEATE</f>
        <v>#NAME?</v>
      </c>
      <c r="F2595" t="s">
        <v>12166</v>
      </c>
      <c r="G2595" t="s">
        <v>539</v>
      </c>
      <c r="H2595" t="s">
        <v>12167</v>
      </c>
      <c r="I2595" t="s">
        <v>12168</v>
      </c>
      <c r="M2595" t="s">
        <v>271</v>
      </c>
      <c r="N2595" t="s">
        <v>1354</v>
      </c>
      <c r="O2595" t="s">
        <v>12169</v>
      </c>
      <c r="P2595" t="s">
        <v>12170</v>
      </c>
      <c r="Q2595" t="s">
        <v>12171</v>
      </c>
      <c r="R2595">
        <v>10</v>
      </c>
      <c r="S2595">
        <v>16</v>
      </c>
    </row>
    <row r="2596" spans="1:19" x14ac:dyDescent="0.35">
      <c r="A2596">
        <v>8851</v>
      </c>
      <c r="B2596" t="s">
        <v>11982</v>
      </c>
      <c r="C2596" t="s">
        <v>20</v>
      </c>
      <c r="D2596" t="s">
        <v>12172</v>
      </c>
      <c r="E2596" t="s">
        <v>11984</v>
      </c>
      <c r="F2596" t="s">
        <v>12173</v>
      </c>
      <c r="G2596" t="s">
        <v>4545</v>
      </c>
      <c r="H2596" t="s">
        <v>7616</v>
      </c>
      <c r="I2596" t="s">
        <v>5531</v>
      </c>
      <c r="J2596" t="s">
        <v>12174</v>
      </c>
      <c r="L2596" t="s">
        <v>11986</v>
      </c>
      <c r="M2596" t="s">
        <v>38</v>
      </c>
      <c r="N2596" t="s">
        <v>11987</v>
      </c>
      <c r="O2596" t="s">
        <v>5535</v>
      </c>
      <c r="P2596" t="s">
        <v>11988</v>
      </c>
      <c r="Q2596" t="s">
        <v>11989</v>
      </c>
      <c r="R2596">
        <v>10</v>
      </c>
      <c r="S2596">
        <v>16</v>
      </c>
    </row>
    <row r="2597" spans="1:19" x14ac:dyDescent="0.35">
      <c r="A2597">
        <v>8852</v>
      </c>
      <c r="B2597" t="s">
        <v>11982</v>
      </c>
      <c r="C2597" t="s">
        <v>20</v>
      </c>
      <c r="D2597" t="s">
        <v>12175</v>
      </c>
      <c r="E2597" t="s">
        <v>11984</v>
      </c>
      <c r="F2597" t="s">
        <v>12176</v>
      </c>
      <c r="G2597" t="s">
        <v>4545</v>
      </c>
      <c r="H2597" t="s">
        <v>7616</v>
      </c>
      <c r="I2597" t="s">
        <v>5531</v>
      </c>
      <c r="J2597" t="s">
        <v>75</v>
      </c>
      <c r="L2597" t="s">
        <v>11986</v>
      </c>
      <c r="M2597" t="s">
        <v>38</v>
      </c>
      <c r="N2597" t="s">
        <v>11987</v>
      </c>
      <c r="O2597" t="s">
        <v>5535</v>
      </c>
      <c r="P2597" t="s">
        <v>11988</v>
      </c>
      <c r="Q2597" t="s">
        <v>11989</v>
      </c>
      <c r="R2597">
        <v>10</v>
      </c>
      <c r="S2597">
        <v>16</v>
      </c>
    </row>
    <row r="2598" spans="1:19" x14ac:dyDescent="0.35">
      <c r="A2598">
        <v>4951</v>
      </c>
      <c r="B2598" t="s">
        <v>12177</v>
      </c>
      <c r="C2598" t="s">
        <v>42</v>
      </c>
      <c r="D2598" t="s">
        <v>12178</v>
      </c>
      <c r="E2598" t="e" cm="1">
        <f t="array" ref="E2598">- TRETINOIN</f>
        <v>#NAME?</v>
      </c>
      <c r="F2598" t="s">
        <v>12179</v>
      </c>
      <c r="G2598" t="s">
        <v>12180</v>
      </c>
      <c r="H2598" t="s">
        <v>12181</v>
      </c>
      <c r="I2598" t="s">
        <v>12182</v>
      </c>
      <c r="J2598" t="s">
        <v>7187</v>
      </c>
      <c r="K2598" t="s">
        <v>12183</v>
      </c>
      <c r="L2598" t="s">
        <v>12184</v>
      </c>
    </row>
    <row r="2599" spans="1:19" x14ac:dyDescent="0.35">
      <c r="A2599">
        <v>5302</v>
      </c>
      <c r="B2599" t="s">
        <v>12185</v>
      </c>
      <c r="C2599" t="s">
        <v>42</v>
      </c>
      <c r="D2599" t="s">
        <v>12186</v>
      </c>
      <c r="E2599" t="e" cm="1">
        <f t="array" ref="E2599">- BIFONAZOLE</f>
        <v>#NAME?</v>
      </c>
      <c r="F2599" t="s">
        <v>12187</v>
      </c>
      <c r="G2599" t="s">
        <v>12188</v>
      </c>
      <c r="H2599" t="s">
        <v>12189</v>
      </c>
    </row>
    <row r="2600" spans="1:19" x14ac:dyDescent="0.35">
      <c r="A2600">
        <v>5301</v>
      </c>
      <c r="B2600" t="s">
        <v>12185</v>
      </c>
      <c r="C2600" t="s">
        <v>42</v>
      </c>
      <c r="D2600" t="s">
        <v>12186</v>
      </c>
      <c r="E2600" t="e" cm="1">
        <f t="array" ref="E2600">- BIFONAZOLE</f>
        <v>#NAME?</v>
      </c>
      <c r="F2600" t="s">
        <v>12187</v>
      </c>
      <c r="G2600" t="s">
        <v>12188</v>
      </c>
      <c r="H2600" t="s">
        <v>12189</v>
      </c>
    </row>
    <row r="2601" spans="1:19" x14ac:dyDescent="0.35">
      <c r="A2601">
        <v>8929</v>
      </c>
      <c r="B2601" t="s">
        <v>12190</v>
      </c>
      <c r="C2601" t="s">
        <v>42</v>
      </c>
      <c r="D2601" t="s">
        <v>12191</v>
      </c>
      <c r="E2601" t="e" cm="1">
        <f t="array" ref="E2601">- FUROSEMIDE</f>
        <v>#NAME?</v>
      </c>
      <c r="F2601" t="s">
        <v>12192</v>
      </c>
      <c r="G2601" t="s">
        <v>9785</v>
      </c>
      <c r="H2601" t="s">
        <v>9786</v>
      </c>
      <c r="I2601" t="s">
        <v>9787</v>
      </c>
      <c r="J2601" t="s">
        <v>754</v>
      </c>
      <c r="K2601" t="s">
        <v>9788</v>
      </c>
      <c r="L2601" t="s">
        <v>9789</v>
      </c>
      <c r="M2601" t="s">
        <v>46</v>
      </c>
      <c r="N2601" t="s">
        <v>9790</v>
      </c>
      <c r="O2601" t="s">
        <v>9791</v>
      </c>
      <c r="P2601" t="s">
        <v>12193</v>
      </c>
      <c r="Q2601" t="s">
        <v>12194</v>
      </c>
      <c r="R2601">
        <v>10</v>
      </c>
      <c r="S2601">
        <v>16</v>
      </c>
    </row>
    <row r="2602" spans="1:19" x14ac:dyDescent="0.35">
      <c r="A2602">
        <v>8928</v>
      </c>
      <c r="B2602" t="s">
        <v>12190</v>
      </c>
      <c r="C2602" t="s">
        <v>42</v>
      </c>
      <c r="D2602" t="s">
        <v>12191</v>
      </c>
      <c r="E2602" t="e" cm="1">
        <f t="array" ref="E2602">- FUROSEMIDE</f>
        <v>#NAME?</v>
      </c>
      <c r="F2602" t="s">
        <v>12192</v>
      </c>
      <c r="G2602" t="s">
        <v>9785</v>
      </c>
      <c r="H2602" t="s">
        <v>9786</v>
      </c>
      <c r="I2602" t="s">
        <v>9787</v>
      </c>
      <c r="J2602" t="s">
        <v>754</v>
      </c>
      <c r="K2602" t="s">
        <v>9788</v>
      </c>
      <c r="L2602" t="s">
        <v>9789</v>
      </c>
      <c r="M2602" t="s">
        <v>46</v>
      </c>
      <c r="N2602" t="s">
        <v>9790</v>
      </c>
      <c r="O2602" t="s">
        <v>9791</v>
      </c>
      <c r="P2602" t="s">
        <v>12193</v>
      </c>
      <c r="Q2602" t="s">
        <v>12194</v>
      </c>
      <c r="R2602">
        <v>10</v>
      </c>
      <c r="S2602">
        <v>16</v>
      </c>
    </row>
    <row r="2603" spans="1:19" x14ac:dyDescent="0.35">
      <c r="A2603">
        <v>8927</v>
      </c>
      <c r="B2603" t="s">
        <v>12190</v>
      </c>
      <c r="C2603" t="s">
        <v>42</v>
      </c>
      <c r="D2603" t="s">
        <v>12191</v>
      </c>
      <c r="E2603" t="e" cm="1">
        <f t="array" ref="E2603">- FUROSEMIDE</f>
        <v>#NAME?</v>
      </c>
      <c r="F2603" t="s">
        <v>12192</v>
      </c>
      <c r="G2603" t="s">
        <v>9785</v>
      </c>
      <c r="H2603" t="s">
        <v>9786</v>
      </c>
      <c r="I2603" t="s">
        <v>9787</v>
      </c>
      <c r="J2603" t="s">
        <v>754</v>
      </c>
      <c r="K2603" t="s">
        <v>9788</v>
      </c>
      <c r="L2603" t="s">
        <v>9789</v>
      </c>
      <c r="M2603" t="s">
        <v>46</v>
      </c>
      <c r="N2603" t="s">
        <v>9790</v>
      </c>
      <c r="O2603" t="s">
        <v>9791</v>
      </c>
      <c r="P2603" t="s">
        <v>12193</v>
      </c>
      <c r="Q2603" t="s">
        <v>12194</v>
      </c>
      <c r="R2603">
        <v>10</v>
      </c>
      <c r="S2603">
        <v>16</v>
      </c>
    </row>
    <row r="2604" spans="1:19" x14ac:dyDescent="0.35">
      <c r="A2604">
        <v>8926</v>
      </c>
      <c r="B2604" t="s">
        <v>12190</v>
      </c>
      <c r="C2604" t="s">
        <v>42</v>
      </c>
      <c r="D2604" t="s">
        <v>12191</v>
      </c>
      <c r="E2604" t="e" cm="1">
        <f t="array" ref="E2604">- FUROSEMIDE</f>
        <v>#NAME?</v>
      </c>
      <c r="F2604" t="s">
        <v>12192</v>
      </c>
      <c r="G2604" t="s">
        <v>9785</v>
      </c>
      <c r="H2604" t="s">
        <v>9786</v>
      </c>
      <c r="I2604" t="s">
        <v>9787</v>
      </c>
      <c r="J2604" t="s">
        <v>754</v>
      </c>
      <c r="K2604" t="s">
        <v>9788</v>
      </c>
      <c r="L2604" t="s">
        <v>9789</v>
      </c>
      <c r="M2604" t="s">
        <v>46</v>
      </c>
      <c r="N2604" t="s">
        <v>9790</v>
      </c>
      <c r="O2604" t="s">
        <v>9791</v>
      </c>
      <c r="P2604" t="s">
        <v>12193</v>
      </c>
      <c r="Q2604" t="s">
        <v>12194</v>
      </c>
      <c r="R2604">
        <v>10</v>
      </c>
      <c r="S2604">
        <v>16</v>
      </c>
    </row>
    <row r="2605" spans="1:19" x14ac:dyDescent="0.35">
      <c r="A2605">
        <v>5300</v>
      </c>
      <c r="B2605" t="s">
        <v>12185</v>
      </c>
      <c r="C2605" t="s">
        <v>42</v>
      </c>
      <c r="D2605" t="s">
        <v>12186</v>
      </c>
      <c r="E2605" t="e" cm="1">
        <f t="array" ref="E2605">- BIFONAZOLE</f>
        <v>#NAME?</v>
      </c>
      <c r="F2605" t="s">
        <v>12187</v>
      </c>
      <c r="G2605" t="s">
        <v>12188</v>
      </c>
      <c r="H2605" t="s">
        <v>12189</v>
      </c>
    </row>
    <row r="2606" spans="1:19" x14ac:dyDescent="0.35">
      <c r="A2606">
        <v>7803</v>
      </c>
      <c r="B2606" t="s">
        <v>12195</v>
      </c>
      <c r="C2606" t="s">
        <v>20</v>
      </c>
      <c r="D2606" t="s">
        <v>12196</v>
      </c>
      <c r="E2606" t="s">
        <v>12197</v>
      </c>
      <c r="F2606" t="s">
        <v>12198</v>
      </c>
      <c r="G2606" t="s">
        <v>12199</v>
      </c>
      <c r="H2606" t="s">
        <v>12200</v>
      </c>
      <c r="I2606" t="s">
        <v>12201</v>
      </c>
      <c r="J2606" t="s">
        <v>10175</v>
      </c>
      <c r="M2606" t="s">
        <v>38</v>
      </c>
      <c r="N2606" t="s">
        <v>12202</v>
      </c>
      <c r="O2606" t="s">
        <v>12203</v>
      </c>
      <c r="P2606" t="s">
        <v>12204</v>
      </c>
      <c r="Q2606" t="s">
        <v>12205</v>
      </c>
      <c r="R2606">
        <v>10</v>
      </c>
      <c r="S2606">
        <v>16</v>
      </c>
    </row>
    <row r="2607" spans="1:19" x14ac:dyDescent="0.35">
      <c r="A2607">
        <v>1372</v>
      </c>
      <c r="B2607" t="s">
        <v>2074</v>
      </c>
      <c r="C2607" t="s">
        <v>42</v>
      </c>
      <c r="D2607" t="s">
        <v>12206</v>
      </c>
      <c r="E2607" t="e" cm="1">
        <f t="array" ref="E2607">- GUAIFENESIN</f>
        <v>#NAME?</v>
      </c>
      <c r="F2607" s="1">
        <v>199900</v>
      </c>
      <c r="H2607" t="s">
        <v>12207</v>
      </c>
      <c r="I2607" t="s">
        <v>12208</v>
      </c>
      <c r="J2607" t="s">
        <v>334</v>
      </c>
      <c r="M2607" t="s">
        <v>46</v>
      </c>
      <c r="N2607" t="s">
        <v>361</v>
      </c>
      <c r="O2607" t="s">
        <v>12209</v>
      </c>
      <c r="P2607" t="s">
        <v>12210</v>
      </c>
      <c r="Q2607" t="s">
        <v>12211</v>
      </c>
      <c r="R2607">
        <v>10</v>
      </c>
      <c r="S2607">
        <v>16</v>
      </c>
    </row>
    <row r="2608" spans="1:19" x14ac:dyDescent="0.35">
      <c r="A2608">
        <v>7415</v>
      </c>
      <c r="B2608" t="s">
        <v>12212</v>
      </c>
      <c r="C2608" t="s">
        <v>42</v>
      </c>
      <c r="D2608" t="s">
        <v>12213</v>
      </c>
      <c r="E2608" t="e" cm="1">
        <f t="array" ref="E2608">- CYANOCOBALAMIN</f>
        <v>#NAME?</v>
      </c>
      <c r="F2608" t="s">
        <v>12214</v>
      </c>
      <c r="I2608" t="s">
        <v>12215</v>
      </c>
      <c r="J2608" t="s">
        <v>571</v>
      </c>
      <c r="M2608" t="s">
        <v>46</v>
      </c>
      <c r="N2608" t="s">
        <v>677</v>
      </c>
      <c r="O2608" t="s">
        <v>12216</v>
      </c>
      <c r="P2608" t="s">
        <v>12217</v>
      </c>
      <c r="Q2608" t="s">
        <v>12218</v>
      </c>
      <c r="R2608">
        <v>10</v>
      </c>
      <c r="S2608">
        <v>16</v>
      </c>
    </row>
    <row r="2609" spans="1:19" x14ac:dyDescent="0.35">
      <c r="A2609">
        <v>7613</v>
      </c>
      <c r="B2609" t="s">
        <v>12219</v>
      </c>
      <c r="C2609" t="s">
        <v>20</v>
      </c>
      <c r="D2609" t="s">
        <v>12220</v>
      </c>
      <c r="E2609" t="s">
        <v>12221</v>
      </c>
      <c r="F2609" t="s">
        <v>12222</v>
      </c>
      <c r="G2609" t="s">
        <v>12223</v>
      </c>
      <c r="I2609" t="s">
        <v>12224</v>
      </c>
      <c r="J2609" t="s">
        <v>12225</v>
      </c>
      <c r="M2609" t="s">
        <v>38</v>
      </c>
      <c r="N2609" t="s">
        <v>12226</v>
      </c>
      <c r="O2609" t="s">
        <v>12227</v>
      </c>
      <c r="P2609" t="s">
        <v>12228</v>
      </c>
      <c r="Q2609" t="s">
        <v>12229</v>
      </c>
      <c r="R2609">
        <v>10</v>
      </c>
      <c r="S2609">
        <v>16</v>
      </c>
    </row>
    <row r="2610" spans="1:19" x14ac:dyDescent="0.35">
      <c r="A2610">
        <v>2954</v>
      </c>
      <c r="B2610" t="s">
        <v>12230</v>
      </c>
      <c r="C2610" t="s">
        <v>42</v>
      </c>
      <c r="D2610" t="s">
        <v>12231</v>
      </c>
      <c r="E2610" t="e" cm="1">
        <f t="array" ref="E2610">- PARACETAMOL</f>
        <v>#NAME?</v>
      </c>
      <c r="F2610" t="s">
        <v>12232</v>
      </c>
      <c r="G2610" t="s">
        <v>60</v>
      </c>
      <c r="H2610" t="s">
        <v>12233</v>
      </c>
      <c r="I2610" t="s">
        <v>12234</v>
      </c>
      <c r="J2610" t="s">
        <v>334</v>
      </c>
      <c r="K2610" t="s">
        <v>6767</v>
      </c>
      <c r="L2610" t="s">
        <v>7641</v>
      </c>
      <c r="M2610" t="s">
        <v>271</v>
      </c>
      <c r="N2610" t="s">
        <v>584</v>
      </c>
      <c r="O2610" t="s">
        <v>12235</v>
      </c>
      <c r="P2610" t="s">
        <v>860</v>
      </c>
      <c r="Q2610" t="s">
        <v>12236</v>
      </c>
      <c r="R2610">
        <v>10</v>
      </c>
      <c r="S2610">
        <v>16</v>
      </c>
    </row>
    <row r="2611" spans="1:19" x14ac:dyDescent="0.35">
      <c r="A2611">
        <v>2955</v>
      </c>
      <c r="B2611" t="s">
        <v>12230</v>
      </c>
      <c r="C2611" t="s">
        <v>42</v>
      </c>
      <c r="D2611" t="s">
        <v>12231</v>
      </c>
      <c r="E2611" t="e" cm="1">
        <f t="array" ref="E2611">- PARACETAMOL</f>
        <v>#NAME?</v>
      </c>
      <c r="F2611" t="s">
        <v>12232</v>
      </c>
      <c r="G2611" t="s">
        <v>60</v>
      </c>
      <c r="H2611" t="s">
        <v>12233</v>
      </c>
      <c r="I2611" t="s">
        <v>12234</v>
      </c>
      <c r="J2611" t="s">
        <v>334</v>
      </c>
      <c r="K2611" t="s">
        <v>6767</v>
      </c>
      <c r="L2611" t="s">
        <v>7641</v>
      </c>
      <c r="M2611" t="s">
        <v>271</v>
      </c>
      <c r="N2611" t="s">
        <v>584</v>
      </c>
      <c r="O2611" t="s">
        <v>12235</v>
      </c>
      <c r="P2611" t="s">
        <v>860</v>
      </c>
      <c r="Q2611" t="s">
        <v>12236</v>
      </c>
      <c r="R2611">
        <v>10</v>
      </c>
      <c r="S2611">
        <v>16</v>
      </c>
    </row>
    <row r="2612" spans="1:19" x14ac:dyDescent="0.35">
      <c r="A2612">
        <v>7421</v>
      </c>
      <c r="B2612" t="s">
        <v>12237</v>
      </c>
      <c r="C2612" t="s">
        <v>42</v>
      </c>
      <c r="D2612" t="s">
        <v>12238</v>
      </c>
      <c r="E2612" t="e" cm="1">
        <f t="array" ref="E2612">- CYANOCOBALAMIN</f>
        <v>#NAME?</v>
      </c>
      <c r="F2612" t="s">
        <v>12239</v>
      </c>
      <c r="G2612" t="s">
        <v>1258</v>
      </c>
      <c r="H2612" t="s">
        <v>9899</v>
      </c>
      <c r="I2612" t="s">
        <v>12240</v>
      </c>
      <c r="J2612" t="s">
        <v>12241</v>
      </c>
      <c r="K2612" t="s">
        <v>3952</v>
      </c>
      <c r="L2612" t="s">
        <v>9901</v>
      </c>
      <c r="M2612" t="s">
        <v>46</v>
      </c>
      <c r="N2612" t="s">
        <v>677</v>
      </c>
      <c r="O2612" t="s">
        <v>12242</v>
      </c>
      <c r="P2612" t="s">
        <v>9903</v>
      </c>
      <c r="Q2612" t="s">
        <v>12243</v>
      </c>
      <c r="R2612">
        <v>10</v>
      </c>
      <c r="S2612">
        <v>16</v>
      </c>
    </row>
    <row r="2613" spans="1:19" x14ac:dyDescent="0.35">
      <c r="A2613">
        <v>1432</v>
      </c>
      <c r="B2613" t="s">
        <v>12244</v>
      </c>
      <c r="C2613" t="s">
        <v>42</v>
      </c>
      <c r="D2613" t="s">
        <v>12245</v>
      </c>
      <c r="E2613" t="e" cm="1">
        <f t="array" ref="E2613">- CHLORPHENAMINE MALEATE</f>
        <v>#NAME?</v>
      </c>
      <c r="F2613" t="s">
        <v>12246</v>
      </c>
      <c r="G2613" t="s">
        <v>4482</v>
      </c>
      <c r="H2613" t="s">
        <v>12247</v>
      </c>
      <c r="I2613" t="s">
        <v>12248</v>
      </c>
      <c r="J2613" t="s">
        <v>10205</v>
      </c>
      <c r="L2613" t="s">
        <v>12249</v>
      </c>
      <c r="M2613" t="s">
        <v>271</v>
      </c>
      <c r="N2613" t="s">
        <v>1354</v>
      </c>
      <c r="O2613" t="s">
        <v>12250</v>
      </c>
      <c r="P2613" t="s">
        <v>12251</v>
      </c>
      <c r="Q2613" t="s">
        <v>12252</v>
      </c>
      <c r="R2613">
        <v>10</v>
      </c>
      <c r="S2613">
        <v>16</v>
      </c>
    </row>
    <row r="2614" spans="1:19" x14ac:dyDescent="0.35">
      <c r="A2614">
        <v>1431</v>
      </c>
      <c r="B2614" t="s">
        <v>12244</v>
      </c>
      <c r="C2614" t="s">
        <v>42</v>
      </c>
      <c r="D2614" t="s">
        <v>12245</v>
      </c>
      <c r="E2614" t="e" cm="1">
        <f t="array" ref="E2614">- CHLORPHENAMINE MALEATE</f>
        <v>#NAME?</v>
      </c>
      <c r="F2614" t="s">
        <v>12246</v>
      </c>
      <c r="G2614" t="s">
        <v>4482</v>
      </c>
      <c r="H2614" t="s">
        <v>12247</v>
      </c>
      <c r="I2614" t="s">
        <v>12248</v>
      </c>
      <c r="J2614" t="s">
        <v>10205</v>
      </c>
      <c r="L2614" t="s">
        <v>12249</v>
      </c>
      <c r="M2614" t="s">
        <v>271</v>
      </c>
      <c r="N2614" t="s">
        <v>1354</v>
      </c>
      <c r="O2614" t="s">
        <v>12250</v>
      </c>
      <c r="P2614" t="s">
        <v>12251</v>
      </c>
      <c r="Q2614" t="s">
        <v>12252</v>
      </c>
      <c r="R2614">
        <v>10</v>
      </c>
      <c r="S2614">
        <v>16</v>
      </c>
    </row>
    <row r="2615" spans="1:19" x14ac:dyDescent="0.35">
      <c r="A2615">
        <v>2973</v>
      </c>
      <c r="B2615" t="s">
        <v>12253</v>
      </c>
      <c r="C2615" t="s">
        <v>42</v>
      </c>
      <c r="D2615" t="s">
        <v>12254</v>
      </c>
      <c r="E2615" t="e" cm="1">
        <f t="array" ref="E2615">- PARACETAMOL</f>
        <v>#NAME?</v>
      </c>
      <c r="F2615" t="s">
        <v>12255</v>
      </c>
      <c r="G2615" t="s">
        <v>12256</v>
      </c>
      <c r="H2615" t="s">
        <v>12257</v>
      </c>
      <c r="I2615" t="s">
        <v>12258</v>
      </c>
      <c r="J2615" t="s">
        <v>12259</v>
      </c>
      <c r="K2615" t="s">
        <v>12260</v>
      </c>
      <c r="L2615" t="s">
        <v>12261</v>
      </c>
      <c r="M2615" t="s">
        <v>12262</v>
      </c>
      <c r="N2615" t="s">
        <v>584</v>
      </c>
      <c r="O2615" t="s">
        <v>12263</v>
      </c>
      <c r="P2615" t="s">
        <v>12264</v>
      </c>
      <c r="Q2615" t="s">
        <v>12265</v>
      </c>
      <c r="R2615">
        <v>10</v>
      </c>
      <c r="S2615">
        <v>16</v>
      </c>
    </row>
    <row r="2616" spans="1:19" x14ac:dyDescent="0.35">
      <c r="A2616">
        <v>7748</v>
      </c>
      <c r="B2616" t="s">
        <v>12266</v>
      </c>
      <c r="C2616" t="s">
        <v>20</v>
      </c>
      <c r="D2616" t="s">
        <v>12267</v>
      </c>
      <c r="E2616" t="s">
        <v>12268</v>
      </c>
      <c r="F2616" t="s">
        <v>12269</v>
      </c>
      <c r="I2616" t="s">
        <v>12270</v>
      </c>
      <c r="J2616" t="s">
        <v>5788</v>
      </c>
      <c r="M2616" t="s">
        <v>38</v>
      </c>
      <c r="N2616" t="s">
        <v>12271</v>
      </c>
      <c r="O2616" t="s">
        <v>12272</v>
      </c>
      <c r="P2616" t="s">
        <v>12273</v>
      </c>
      <c r="Q2616" t="s">
        <v>12274</v>
      </c>
      <c r="R2616">
        <v>10</v>
      </c>
      <c r="S2616">
        <v>16</v>
      </c>
    </row>
    <row r="2617" spans="1:19" x14ac:dyDescent="0.35">
      <c r="A2617">
        <v>2975</v>
      </c>
      <c r="B2617" t="s">
        <v>12275</v>
      </c>
      <c r="C2617" t="s">
        <v>42</v>
      </c>
      <c r="D2617" t="s">
        <v>12276</v>
      </c>
      <c r="E2617" t="e" cm="1">
        <f t="array" ref="E2617">- PARACETAMOL</f>
        <v>#NAME?</v>
      </c>
      <c r="F2617" t="s">
        <v>12277</v>
      </c>
      <c r="H2617" t="s">
        <v>12278</v>
      </c>
      <c r="I2617" t="s">
        <v>12279</v>
      </c>
      <c r="J2617" t="s">
        <v>12280</v>
      </c>
      <c r="K2617" t="s">
        <v>12281</v>
      </c>
      <c r="L2617" t="s">
        <v>12282</v>
      </c>
      <c r="M2617" t="s">
        <v>271</v>
      </c>
      <c r="N2617" t="s">
        <v>584</v>
      </c>
      <c r="O2617" t="s">
        <v>12283</v>
      </c>
      <c r="P2617" t="s">
        <v>12284</v>
      </c>
      <c r="Q2617" t="s">
        <v>12285</v>
      </c>
      <c r="R2617">
        <v>10</v>
      </c>
      <c r="S2617">
        <v>16</v>
      </c>
    </row>
    <row r="2618" spans="1:19" x14ac:dyDescent="0.35">
      <c r="A2618">
        <v>5303</v>
      </c>
      <c r="B2618" t="s">
        <v>12185</v>
      </c>
      <c r="C2618" t="s">
        <v>42</v>
      </c>
      <c r="D2618" t="s">
        <v>12186</v>
      </c>
      <c r="E2618" t="e" cm="1">
        <f t="array" ref="E2618">- BIFONAZOLE</f>
        <v>#NAME?</v>
      </c>
      <c r="F2618" t="s">
        <v>12187</v>
      </c>
      <c r="G2618" t="s">
        <v>12188</v>
      </c>
      <c r="H2618" t="s">
        <v>12189</v>
      </c>
    </row>
    <row r="2619" spans="1:19" x14ac:dyDescent="0.35">
      <c r="A2619">
        <v>8934</v>
      </c>
      <c r="B2619" t="s">
        <v>12286</v>
      </c>
      <c r="C2619" t="s">
        <v>42</v>
      </c>
      <c r="D2619" t="s">
        <v>12287</v>
      </c>
      <c r="E2619" t="e" cm="1">
        <f t="array" ref="E2619">- PROPRANOLOL HYDROCHLORIDE</f>
        <v>#NAME?</v>
      </c>
      <c r="F2619" t="s">
        <v>12288</v>
      </c>
      <c r="G2619" t="s">
        <v>5568</v>
      </c>
      <c r="H2619" t="s">
        <v>12289</v>
      </c>
    </row>
    <row r="2620" spans="1:19" x14ac:dyDescent="0.35">
      <c r="A2620">
        <v>8935</v>
      </c>
      <c r="B2620" t="s">
        <v>12286</v>
      </c>
      <c r="C2620" t="s">
        <v>42</v>
      </c>
      <c r="D2620" t="s">
        <v>12287</v>
      </c>
      <c r="E2620" t="e" cm="1">
        <f t="array" ref="E2620">- PROPRANOLOL HYDROCHLORIDE</f>
        <v>#NAME?</v>
      </c>
      <c r="F2620" t="s">
        <v>12288</v>
      </c>
      <c r="G2620" t="s">
        <v>5568</v>
      </c>
      <c r="H2620" t="s">
        <v>12289</v>
      </c>
    </row>
    <row r="2621" spans="1:19" x14ac:dyDescent="0.35">
      <c r="A2621">
        <v>2918</v>
      </c>
      <c r="B2621" t="s">
        <v>12290</v>
      </c>
      <c r="C2621" t="s">
        <v>42</v>
      </c>
      <c r="D2621" t="s">
        <v>12291</v>
      </c>
      <c r="E2621" t="e" cm="1">
        <f t="array" ref="E2621">- PARACETAMOL</f>
        <v>#NAME?</v>
      </c>
      <c r="F2621" t="s">
        <v>12292</v>
      </c>
      <c r="H2621" t="s">
        <v>12293</v>
      </c>
      <c r="I2621" t="s">
        <v>12294</v>
      </c>
      <c r="J2621" t="s">
        <v>743</v>
      </c>
      <c r="M2621" t="s">
        <v>824</v>
      </c>
      <c r="N2621" t="s">
        <v>584</v>
      </c>
      <c r="O2621" t="s">
        <v>12295</v>
      </c>
      <c r="P2621" t="s">
        <v>12296</v>
      </c>
      <c r="Q2621" t="s">
        <v>12297</v>
      </c>
      <c r="R2621">
        <v>10</v>
      </c>
      <c r="S2621">
        <v>16</v>
      </c>
    </row>
    <row r="2622" spans="1:19" x14ac:dyDescent="0.35">
      <c r="A2622">
        <v>3445</v>
      </c>
      <c r="B2622" t="s">
        <v>12298</v>
      </c>
      <c r="C2622" t="s">
        <v>42</v>
      </c>
      <c r="D2622" t="s">
        <v>12299</v>
      </c>
      <c r="E2622" t="e" cm="1">
        <f t="array" ref="E2622">- SUCRALFATE</f>
        <v>#NAME?</v>
      </c>
      <c r="F2622" t="s">
        <v>12300</v>
      </c>
      <c r="I2622" t="s">
        <v>12301</v>
      </c>
      <c r="J2622" t="s">
        <v>374</v>
      </c>
      <c r="M2622" t="s">
        <v>340</v>
      </c>
      <c r="N2622" t="s">
        <v>375</v>
      </c>
      <c r="O2622" t="s">
        <v>12031</v>
      </c>
      <c r="P2622" t="s">
        <v>12302</v>
      </c>
      <c r="Q2622" t="s">
        <v>12303</v>
      </c>
      <c r="R2622">
        <v>10</v>
      </c>
      <c r="S2622">
        <v>16</v>
      </c>
    </row>
    <row r="2623" spans="1:19" x14ac:dyDescent="0.35">
      <c r="A2623">
        <v>3444</v>
      </c>
      <c r="B2623" t="s">
        <v>12298</v>
      </c>
      <c r="C2623" t="s">
        <v>42</v>
      </c>
      <c r="D2623" t="s">
        <v>12299</v>
      </c>
      <c r="E2623" t="e" cm="1">
        <f t="array" ref="E2623">- SUCRALFATE</f>
        <v>#NAME?</v>
      </c>
      <c r="F2623" t="s">
        <v>12300</v>
      </c>
      <c r="I2623" t="s">
        <v>12301</v>
      </c>
      <c r="J2623" t="s">
        <v>374</v>
      </c>
      <c r="M2623" t="s">
        <v>340</v>
      </c>
      <c r="N2623" t="s">
        <v>375</v>
      </c>
      <c r="O2623" t="s">
        <v>12031</v>
      </c>
      <c r="P2623" t="s">
        <v>12302</v>
      </c>
      <c r="Q2623" t="s">
        <v>12303</v>
      </c>
      <c r="R2623">
        <v>10</v>
      </c>
      <c r="S2623">
        <v>16</v>
      </c>
    </row>
    <row r="2624" spans="1:19" x14ac:dyDescent="0.35">
      <c r="A2624">
        <v>4881</v>
      </c>
      <c r="B2624" t="s">
        <v>11606</v>
      </c>
      <c r="C2624" t="s">
        <v>42</v>
      </c>
      <c r="D2624" t="s">
        <v>11607</v>
      </c>
      <c r="E2624" t="e" cm="1">
        <f t="array" ref="E2624">- CHLORAMPHENICOL</f>
        <v>#NAME?</v>
      </c>
      <c r="F2624" t="s">
        <v>11608</v>
      </c>
      <c r="H2624" t="s">
        <v>11609</v>
      </c>
      <c r="I2624" t="s">
        <v>11610</v>
      </c>
      <c r="J2624" t="s">
        <v>11611</v>
      </c>
      <c r="K2624" t="s">
        <v>2726</v>
      </c>
      <c r="L2624" t="s">
        <v>11612</v>
      </c>
      <c r="M2624" t="s">
        <v>824</v>
      </c>
      <c r="N2624" t="s">
        <v>1188</v>
      </c>
      <c r="O2624" t="s">
        <v>11613</v>
      </c>
      <c r="P2624" t="s">
        <v>11614</v>
      </c>
      <c r="Q2624" t="s">
        <v>11615</v>
      </c>
      <c r="R2624">
        <v>10</v>
      </c>
      <c r="S2624">
        <v>16</v>
      </c>
    </row>
    <row r="2625" spans="1:19" x14ac:dyDescent="0.35">
      <c r="A2625">
        <v>4882</v>
      </c>
      <c r="B2625" t="s">
        <v>11606</v>
      </c>
      <c r="C2625" t="s">
        <v>42</v>
      </c>
      <c r="D2625" t="s">
        <v>11607</v>
      </c>
      <c r="E2625" t="e" cm="1">
        <f t="array" ref="E2625">- CHLORAMPHENICOL</f>
        <v>#NAME?</v>
      </c>
      <c r="F2625" t="s">
        <v>11608</v>
      </c>
      <c r="H2625" t="s">
        <v>11609</v>
      </c>
      <c r="I2625" t="s">
        <v>11610</v>
      </c>
      <c r="J2625" t="s">
        <v>11611</v>
      </c>
      <c r="K2625" t="s">
        <v>2726</v>
      </c>
      <c r="L2625" t="s">
        <v>11612</v>
      </c>
      <c r="M2625" t="s">
        <v>824</v>
      </c>
      <c r="N2625" t="s">
        <v>1188</v>
      </c>
      <c r="O2625" t="s">
        <v>11613</v>
      </c>
      <c r="P2625" t="s">
        <v>11614</v>
      </c>
      <c r="Q2625" t="s">
        <v>11615</v>
      </c>
      <c r="R2625">
        <v>10</v>
      </c>
      <c r="S2625">
        <v>16</v>
      </c>
    </row>
    <row r="2626" spans="1:19" x14ac:dyDescent="0.35">
      <c r="A2626">
        <v>8957</v>
      </c>
      <c r="B2626" t="s">
        <v>11355</v>
      </c>
      <c r="C2626" t="s">
        <v>42</v>
      </c>
      <c r="D2626" t="s">
        <v>11356</v>
      </c>
      <c r="E2626" t="e" cm="1">
        <f t="array" ref="E2626">- FUROSEMIDE</f>
        <v>#NAME?</v>
      </c>
      <c r="F2626" t="s">
        <v>11357</v>
      </c>
      <c r="G2626" t="s">
        <v>9785</v>
      </c>
      <c r="H2626" t="s">
        <v>9786</v>
      </c>
      <c r="I2626" t="s">
        <v>9787</v>
      </c>
      <c r="J2626" t="s">
        <v>381</v>
      </c>
      <c r="K2626" t="s">
        <v>9788</v>
      </c>
      <c r="L2626" t="s">
        <v>9789</v>
      </c>
      <c r="M2626" t="s">
        <v>46</v>
      </c>
      <c r="N2626" t="s">
        <v>9790</v>
      </c>
      <c r="O2626" t="s">
        <v>9791</v>
      </c>
      <c r="P2626" t="s">
        <v>11358</v>
      </c>
      <c r="Q2626" t="s">
        <v>11359</v>
      </c>
      <c r="R2626">
        <v>10</v>
      </c>
      <c r="S2626">
        <v>16</v>
      </c>
    </row>
    <row r="2627" spans="1:19" x14ac:dyDescent="0.35">
      <c r="A2627">
        <v>1462</v>
      </c>
      <c r="B2627" t="s">
        <v>12304</v>
      </c>
      <c r="C2627" t="s">
        <v>42</v>
      </c>
      <c r="D2627" t="s">
        <v>12305</v>
      </c>
      <c r="E2627" t="e" cm="1">
        <f t="array" ref="E2627">- ERDOSTEINE</f>
        <v>#NAME?</v>
      </c>
      <c r="F2627" t="s">
        <v>12306</v>
      </c>
      <c r="G2627" t="s">
        <v>2241</v>
      </c>
      <c r="H2627" t="s">
        <v>8844</v>
      </c>
      <c r="I2627" t="s">
        <v>12307</v>
      </c>
      <c r="J2627" t="s">
        <v>12308</v>
      </c>
      <c r="K2627" t="s">
        <v>12309</v>
      </c>
      <c r="L2627" t="s">
        <v>12310</v>
      </c>
      <c r="M2627" t="s">
        <v>38</v>
      </c>
      <c r="N2627" t="s">
        <v>471</v>
      </c>
      <c r="O2627" t="s">
        <v>12311</v>
      </c>
      <c r="P2627" t="s">
        <v>12312</v>
      </c>
      <c r="Q2627" t="s">
        <v>12313</v>
      </c>
      <c r="R2627">
        <v>10</v>
      </c>
      <c r="S2627">
        <v>16</v>
      </c>
    </row>
    <row r="2628" spans="1:19" x14ac:dyDescent="0.35">
      <c r="A2628">
        <v>8956</v>
      </c>
      <c r="B2628" t="s">
        <v>11355</v>
      </c>
      <c r="C2628" t="s">
        <v>42</v>
      </c>
      <c r="D2628" t="s">
        <v>11356</v>
      </c>
      <c r="E2628" t="e" cm="1">
        <f t="array" ref="E2628">- FUROSEMIDE</f>
        <v>#NAME?</v>
      </c>
      <c r="F2628" t="s">
        <v>11357</v>
      </c>
      <c r="G2628" t="s">
        <v>9785</v>
      </c>
      <c r="H2628" t="s">
        <v>9786</v>
      </c>
      <c r="I2628" t="s">
        <v>9787</v>
      </c>
      <c r="J2628" t="s">
        <v>381</v>
      </c>
      <c r="K2628" t="s">
        <v>9788</v>
      </c>
      <c r="L2628" t="s">
        <v>9789</v>
      </c>
      <c r="M2628" t="s">
        <v>46</v>
      </c>
      <c r="N2628" t="s">
        <v>9790</v>
      </c>
      <c r="O2628" t="s">
        <v>9791</v>
      </c>
      <c r="P2628" t="s">
        <v>11358</v>
      </c>
      <c r="Q2628" t="s">
        <v>11359</v>
      </c>
      <c r="R2628">
        <v>10</v>
      </c>
      <c r="S2628">
        <v>16</v>
      </c>
    </row>
    <row r="2629" spans="1:19" x14ac:dyDescent="0.35">
      <c r="A2629">
        <v>8955</v>
      </c>
      <c r="B2629" t="s">
        <v>11355</v>
      </c>
      <c r="C2629" t="s">
        <v>42</v>
      </c>
      <c r="D2629" t="s">
        <v>11356</v>
      </c>
      <c r="E2629" t="e" cm="1">
        <f t="array" ref="E2629">- FUROSEMIDE</f>
        <v>#NAME?</v>
      </c>
      <c r="F2629" t="s">
        <v>11357</v>
      </c>
      <c r="G2629" t="s">
        <v>9785</v>
      </c>
      <c r="H2629" t="s">
        <v>9786</v>
      </c>
      <c r="I2629" t="s">
        <v>9787</v>
      </c>
      <c r="J2629" t="s">
        <v>381</v>
      </c>
      <c r="K2629" t="s">
        <v>9788</v>
      </c>
      <c r="L2629" t="s">
        <v>9789</v>
      </c>
      <c r="M2629" t="s">
        <v>46</v>
      </c>
      <c r="N2629" t="s">
        <v>9790</v>
      </c>
      <c r="O2629" t="s">
        <v>9791</v>
      </c>
      <c r="P2629" t="s">
        <v>11358</v>
      </c>
      <c r="Q2629" t="s">
        <v>11359</v>
      </c>
      <c r="R2629">
        <v>10</v>
      </c>
      <c r="S2629">
        <v>16</v>
      </c>
    </row>
    <row r="2630" spans="1:19" x14ac:dyDescent="0.35">
      <c r="A2630">
        <v>4883</v>
      </c>
      <c r="B2630" t="s">
        <v>12314</v>
      </c>
      <c r="C2630" t="s">
        <v>42</v>
      </c>
      <c r="D2630" t="s">
        <v>12315</v>
      </c>
      <c r="E2630" t="e" cm="1">
        <f t="array" ref="E2630">- CHLORAMPHENICOL</f>
        <v>#NAME?</v>
      </c>
      <c r="F2630" t="s">
        <v>12316</v>
      </c>
      <c r="H2630" t="s">
        <v>12317</v>
      </c>
      <c r="I2630" t="s">
        <v>11610</v>
      </c>
      <c r="J2630" t="s">
        <v>12318</v>
      </c>
      <c r="K2630" t="s">
        <v>2726</v>
      </c>
      <c r="L2630" t="s">
        <v>12319</v>
      </c>
      <c r="M2630" t="s">
        <v>1029</v>
      </c>
      <c r="N2630" t="s">
        <v>1188</v>
      </c>
      <c r="O2630" t="s">
        <v>11613</v>
      </c>
      <c r="P2630" t="s">
        <v>12320</v>
      </c>
      <c r="Q2630" t="s">
        <v>12321</v>
      </c>
      <c r="R2630">
        <v>10</v>
      </c>
      <c r="S2630">
        <v>16</v>
      </c>
    </row>
    <row r="2631" spans="1:19" x14ac:dyDescent="0.35">
      <c r="A2631">
        <v>1427</v>
      </c>
      <c r="B2631" t="s">
        <v>9861</v>
      </c>
      <c r="C2631" t="s">
        <v>42</v>
      </c>
      <c r="D2631" t="s">
        <v>9862</v>
      </c>
      <c r="E2631" t="e" cm="1">
        <f t="array" ref="E2631">- AMBROXOL HYDROCHLORIDE</f>
        <v>#NAME?</v>
      </c>
      <c r="F2631" t="s">
        <v>9863</v>
      </c>
      <c r="G2631" t="s">
        <v>2241</v>
      </c>
      <c r="H2631" t="s">
        <v>9864</v>
      </c>
      <c r="I2631" t="s">
        <v>9865</v>
      </c>
      <c r="J2631" t="s">
        <v>334</v>
      </c>
      <c r="L2631" t="s">
        <v>9866</v>
      </c>
      <c r="M2631" t="s">
        <v>271</v>
      </c>
      <c r="N2631" t="s">
        <v>1800</v>
      </c>
      <c r="O2631" t="s">
        <v>9868</v>
      </c>
      <c r="P2631" t="s">
        <v>9869</v>
      </c>
      <c r="Q2631" t="s">
        <v>12322</v>
      </c>
      <c r="R2631">
        <v>10</v>
      </c>
      <c r="S2631">
        <v>16</v>
      </c>
    </row>
    <row r="2632" spans="1:19" x14ac:dyDescent="0.35">
      <c r="A2632">
        <v>4884</v>
      </c>
      <c r="B2632" t="s">
        <v>12314</v>
      </c>
      <c r="C2632" t="s">
        <v>42</v>
      </c>
      <c r="D2632" t="s">
        <v>12315</v>
      </c>
      <c r="E2632" t="e" cm="1">
        <f t="array" ref="E2632">- CHLORAMPHENICOL</f>
        <v>#NAME?</v>
      </c>
      <c r="F2632" t="s">
        <v>12316</v>
      </c>
      <c r="H2632" t="s">
        <v>12317</v>
      </c>
      <c r="I2632" t="s">
        <v>11610</v>
      </c>
      <c r="J2632" t="s">
        <v>12318</v>
      </c>
      <c r="K2632" t="s">
        <v>2726</v>
      </c>
      <c r="L2632" t="s">
        <v>12319</v>
      </c>
      <c r="M2632" t="s">
        <v>1029</v>
      </c>
      <c r="N2632" t="s">
        <v>1188</v>
      </c>
      <c r="O2632" t="s">
        <v>11613</v>
      </c>
      <c r="P2632" t="s">
        <v>12320</v>
      </c>
      <c r="Q2632" t="s">
        <v>12321</v>
      </c>
      <c r="R2632">
        <v>10</v>
      </c>
      <c r="S2632">
        <v>16</v>
      </c>
    </row>
    <row r="2633" spans="1:19" x14ac:dyDescent="0.35">
      <c r="A2633">
        <v>5320</v>
      </c>
      <c r="B2633" t="s">
        <v>7148</v>
      </c>
      <c r="C2633" t="s">
        <v>42</v>
      </c>
      <c r="D2633" t="s">
        <v>12323</v>
      </c>
      <c r="E2633" t="e" cm="1">
        <f t="array" ref="E2633">- SULFADIAZINE SILVER</f>
        <v>#NAME?</v>
      </c>
      <c r="F2633" s="1">
        <v>25900</v>
      </c>
      <c r="G2633" t="s">
        <v>12324</v>
      </c>
      <c r="H2633" t="s">
        <v>12325</v>
      </c>
      <c r="I2633" t="s">
        <v>12326</v>
      </c>
      <c r="J2633" t="s">
        <v>12327</v>
      </c>
      <c r="K2633" t="s">
        <v>2726</v>
      </c>
      <c r="L2633" t="s">
        <v>12328</v>
      </c>
      <c r="M2633" t="s">
        <v>1289</v>
      </c>
      <c r="N2633" t="s">
        <v>2849</v>
      </c>
      <c r="O2633" t="s">
        <v>12329</v>
      </c>
      <c r="P2633" t="s">
        <v>12330</v>
      </c>
      <c r="Q2633" t="s">
        <v>12331</v>
      </c>
      <c r="R2633">
        <v>10</v>
      </c>
      <c r="S2633">
        <v>16</v>
      </c>
    </row>
    <row r="2634" spans="1:19" x14ac:dyDescent="0.35">
      <c r="A2634">
        <v>5319</v>
      </c>
      <c r="B2634" t="s">
        <v>7148</v>
      </c>
      <c r="C2634" t="s">
        <v>42</v>
      </c>
      <c r="D2634" t="s">
        <v>12323</v>
      </c>
      <c r="E2634" t="e" cm="1">
        <f t="array" ref="E2634">- SULFADIAZINE SILVER</f>
        <v>#NAME?</v>
      </c>
      <c r="F2634" s="1">
        <v>25900</v>
      </c>
      <c r="G2634" t="s">
        <v>12324</v>
      </c>
      <c r="H2634" t="s">
        <v>12325</v>
      </c>
      <c r="I2634" t="s">
        <v>12326</v>
      </c>
      <c r="J2634" t="s">
        <v>12327</v>
      </c>
      <c r="K2634" t="s">
        <v>2726</v>
      </c>
      <c r="L2634" t="s">
        <v>12328</v>
      </c>
      <c r="M2634" t="s">
        <v>1289</v>
      </c>
      <c r="N2634" t="s">
        <v>2849</v>
      </c>
      <c r="O2634" t="s">
        <v>12329</v>
      </c>
      <c r="P2634" t="s">
        <v>12330</v>
      </c>
      <c r="Q2634" t="s">
        <v>12331</v>
      </c>
      <c r="R2634">
        <v>10</v>
      </c>
      <c r="S2634">
        <v>16</v>
      </c>
    </row>
    <row r="2635" spans="1:19" x14ac:dyDescent="0.35">
      <c r="A2635">
        <v>1062</v>
      </c>
      <c r="B2635" t="s">
        <v>12332</v>
      </c>
      <c r="C2635" t="s">
        <v>42</v>
      </c>
      <c r="D2635" t="s">
        <v>12333</v>
      </c>
      <c r="E2635" t="e" cm="1">
        <f t="array" ref="E2635">- CHLORPHENAMINE MALEATE</f>
        <v>#NAME?</v>
      </c>
      <c r="F2635" t="s">
        <v>12334</v>
      </c>
      <c r="J2635" t="s">
        <v>12335</v>
      </c>
      <c r="M2635" t="s">
        <v>271</v>
      </c>
      <c r="N2635" t="s">
        <v>1354</v>
      </c>
      <c r="P2635" t="s">
        <v>12336</v>
      </c>
      <c r="Q2635" t="s">
        <v>12337</v>
      </c>
      <c r="R2635">
        <v>10</v>
      </c>
      <c r="S2635">
        <v>16</v>
      </c>
    </row>
    <row r="2636" spans="1:19" x14ac:dyDescent="0.35">
      <c r="A2636">
        <v>7805</v>
      </c>
      <c r="B2636" t="s">
        <v>12338</v>
      </c>
      <c r="C2636" t="s">
        <v>20</v>
      </c>
      <c r="D2636" t="s">
        <v>12339</v>
      </c>
      <c r="E2636" t="s">
        <v>12197</v>
      </c>
      <c r="F2636" t="s">
        <v>12340</v>
      </c>
      <c r="G2636" t="s">
        <v>12199</v>
      </c>
      <c r="H2636" t="s">
        <v>12200</v>
      </c>
      <c r="I2636" t="s">
        <v>12201</v>
      </c>
      <c r="J2636" t="s">
        <v>3409</v>
      </c>
      <c r="M2636" t="s">
        <v>38</v>
      </c>
      <c r="N2636" t="s">
        <v>12202</v>
      </c>
      <c r="O2636" t="s">
        <v>12203</v>
      </c>
      <c r="P2636" t="s">
        <v>12204</v>
      </c>
      <c r="Q2636" t="s">
        <v>12205</v>
      </c>
      <c r="R2636">
        <v>10</v>
      </c>
      <c r="S2636">
        <v>16</v>
      </c>
    </row>
    <row r="2637" spans="1:19" x14ac:dyDescent="0.35">
      <c r="A2637">
        <v>1061</v>
      </c>
      <c r="B2637" t="s">
        <v>12332</v>
      </c>
      <c r="C2637" t="s">
        <v>42</v>
      </c>
      <c r="D2637" t="s">
        <v>12333</v>
      </c>
      <c r="E2637" t="e" cm="1">
        <f t="array" ref="E2637">- CHLORPHENAMINE MALEATE</f>
        <v>#NAME?</v>
      </c>
      <c r="F2637" t="s">
        <v>12334</v>
      </c>
      <c r="J2637" t="s">
        <v>12335</v>
      </c>
      <c r="M2637" t="s">
        <v>271</v>
      </c>
      <c r="N2637" t="s">
        <v>1354</v>
      </c>
      <c r="P2637" t="s">
        <v>12336</v>
      </c>
      <c r="Q2637" t="s">
        <v>12337</v>
      </c>
      <c r="R2637">
        <v>10</v>
      </c>
      <c r="S2637">
        <v>16</v>
      </c>
    </row>
    <row r="2638" spans="1:19" x14ac:dyDescent="0.35">
      <c r="A2638">
        <v>7626</v>
      </c>
      <c r="B2638" t="s">
        <v>12341</v>
      </c>
      <c r="C2638" t="s">
        <v>20</v>
      </c>
      <c r="D2638" t="s">
        <v>12342</v>
      </c>
      <c r="E2638" t="s">
        <v>12343</v>
      </c>
      <c r="F2638" t="s">
        <v>12344</v>
      </c>
      <c r="I2638" t="s">
        <v>12345</v>
      </c>
      <c r="J2638" t="s">
        <v>12346</v>
      </c>
      <c r="M2638" t="s">
        <v>63</v>
      </c>
      <c r="N2638" t="s">
        <v>12347</v>
      </c>
      <c r="O2638" t="s">
        <v>12348</v>
      </c>
      <c r="P2638" t="s">
        <v>12349</v>
      </c>
      <c r="Q2638" t="s">
        <v>12350</v>
      </c>
      <c r="R2638">
        <v>10</v>
      </c>
      <c r="S2638">
        <v>16</v>
      </c>
    </row>
    <row r="2639" spans="1:19" x14ac:dyDescent="0.35">
      <c r="A2639">
        <v>3425</v>
      </c>
      <c r="B2639" t="s">
        <v>12351</v>
      </c>
      <c r="C2639" t="s">
        <v>42</v>
      </c>
      <c r="D2639" t="s">
        <v>12352</v>
      </c>
      <c r="E2639" t="e" cm="1">
        <f t="array" ref="E2639">- SUCRALFATE</f>
        <v>#NAME?</v>
      </c>
      <c r="F2639" t="s">
        <v>12353</v>
      </c>
      <c r="G2639" t="s">
        <v>12026</v>
      </c>
      <c r="H2639" t="s">
        <v>12354</v>
      </c>
      <c r="I2639" t="s">
        <v>12028</v>
      </c>
      <c r="J2639" t="s">
        <v>12355</v>
      </c>
      <c r="K2639" t="s">
        <v>12029</v>
      </c>
      <c r="L2639" t="s">
        <v>321</v>
      </c>
      <c r="M2639" t="s">
        <v>340</v>
      </c>
      <c r="N2639" t="s">
        <v>375</v>
      </c>
      <c r="O2639" t="s">
        <v>12031</v>
      </c>
      <c r="P2639" t="s">
        <v>12356</v>
      </c>
      <c r="Q2639" t="s">
        <v>12357</v>
      </c>
      <c r="R2639">
        <v>10</v>
      </c>
      <c r="S2639">
        <v>16</v>
      </c>
    </row>
    <row r="2640" spans="1:19" x14ac:dyDescent="0.35">
      <c r="A2640">
        <v>7804</v>
      </c>
      <c r="B2640" t="s">
        <v>12195</v>
      </c>
      <c r="C2640" t="s">
        <v>20</v>
      </c>
      <c r="D2640" t="s">
        <v>12358</v>
      </c>
      <c r="E2640" t="s">
        <v>12197</v>
      </c>
      <c r="F2640" t="s">
        <v>12359</v>
      </c>
      <c r="G2640" t="s">
        <v>12360</v>
      </c>
      <c r="H2640" t="s">
        <v>12200</v>
      </c>
      <c r="I2640" t="s">
        <v>12201</v>
      </c>
      <c r="J2640" t="s">
        <v>8311</v>
      </c>
      <c r="M2640" t="s">
        <v>38</v>
      </c>
      <c r="N2640" t="s">
        <v>12202</v>
      </c>
      <c r="O2640" t="s">
        <v>12203</v>
      </c>
      <c r="P2640" t="s">
        <v>12204</v>
      </c>
      <c r="Q2640" t="s">
        <v>12205</v>
      </c>
      <c r="R2640">
        <v>10</v>
      </c>
      <c r="S2640">
        <v>16</v>
      </c>
    </row>
    <row r="2641" spans="1:19" x14ac:dyDescent="0.35">
      <c r="A2641">
        <v>2917</v>
      </c>
      <c r="B2641" t="s">
        <v>12290</v>
      </c>
      <c r="C2641" t="s">
        <v>42</v>
      </c>
      <c r="D2641" t="s">
        <v>12291</v>
      </c>
      <c r="E2641" t="e" cm="1">
        <f t="array" ref="E2641">- PARACETAMOL</f>
        <v>#NAME?</v>
      </c>
      <c r="F2641" t="s">
        <v>12292</v>
      </c>
      <c r="H2641" t="s">
        <v>12293</v>
      </c>
      <c r="I2641" t="s">
        <v>12294</v>
      </c>
      <c r="J2641" t="s">
        <v>743</v>
      </c>
      <c r="M2641" t="s">
        <v>824</v>
      </c>
      <c r="N2641" t="s">
        <v>584</v>
      </c>
      <c r="O2641" t="s">
        <v>12295</v>
      </c>
      <c r="P2641" t="s">
        <v>12296</v>
      </c>
      <c r="Q2641" t="s">
        <v>12297</v>
      </c>
      <c r="R2641">
        <v>10</v>
      </c>
      <c r="S2641">
        <v>16</v>
      </c>
    </row>
    <row r="2642" spans="1:19" x14ac:dyDescent="0.35">
      <c r="A2642">
        <v>7407</v>
      </c>
      <c r="B2642" t="s">
        <v>12361</v>
      </c>
      <c r="C2642" t="s">
        <v>42</v>
      </c>
      <c r="D2642" t="s">
        <v>12362</v>
      </c>
      <c r="E2642" t="e" cm="1">
        <f t="array" ref="E2642">- CYANOCOBALAMIN</f>
        <v>#NAME?</v>
      </c>
      <c r="F2642" t="s">
        <v>12363</v>
      </c>
      <c r="G2642" t="s">
        <v>12364</v>
      </c>
      <c r="H2642" t="s">
        <v>12365</v>
      </c>
      <c r="I2642" t="s">
        <v>12366</v>
      </c>
      <c r="J2642" t="s">
        <v>5221</v>
      </c>
      <c r="M2642" t="s">
        <v>46</v>
      </c>
      <c r="N2642" t="s">
        <v>677</v>
      </c>
      <c r="O2642" t="s">
        <v>12367</v>
      </c>
      <c r="P2642" t="s">
        <v>12368</v>
      </c>
      <c r="Q2642" t="s">
        <v>12369</v>
      </c>
      <c r="R2642">
        <v>10</v>
      </c>
      <c r="S2642">
        <v>16</v>
      </c>
    </row>
    <row r="2643" spans="1:19" x14ac:dyDescent="0.35">
      <c r="A2643">
        <v>1293</v>
      </c>
      <c r="B2643" t="s">
        <v>12370</v>
      </c>
      <c r="C2643" t="s">
        <v>42</v>
      </c>
      <c r="D2643" t="s">
        <v>12371</v>
      </c>
      <c r="E2643" t="e" cm="1">
        <f t="array" ref="E2643">- ERDOSTEINE</f>
        <v>#NAME?</v>
      </c>
      <c r="F2643" t="s">
        <v>12372</v>
      </c>
      <c r="G2643" t="s">
        <v>4849</v>
      </c>
      <c r="H2643" t="s">
        <v>12373</v>
      </c>
      <c r="I2643" t="s">
        <v>12374</v>
      </c>
      <c r="J2643" t="s">
        <v>1181</v>
      </c>
      <c r="K2643" t="s">
        <v>12375</v>
      </c>
      <c r="L2643" t="s">
        <v>12376</v>
      </c>
      <c r="M2643" t="s">
        <v>38</v>
      </c>
      <c r="N2643" t="s">
        <v>471</v>
      </c>
      <c r="O2643" t="s">
        <v>12377</v>
      </c>
      <c r="P2643" t="s">
        <v>12378</v>
      </c>
      <c r="Q2643" t="s">
        <v>12379</v>
      </c>
      <c r="R2643">
        <v>10</v>
      </c>
      <c r="S2643">
        <v>16</v>
      </c>
    </row>
    <row r="2644" spans="1:19" x14ac:dyDescent="0.35">
      <c r="A2644">
        <v>3791</v>
      </c>
      <c r="B2644" t="s">
        <v>12380</v>
      </c>
      <c r="C2644" t="s">
        <v>42</v>
      </c>
      <c r="D2644" t="s">
        <v>12381</v>
      </c>
      <c r="E2644" t="e" cm="1">
        <f t="array" ref="E2644">- LOPERAMIDE HYDROCHLORIDE</f>
        <v>#NAME?</v>
      </c>
      <c r="F2644" t="s">
        <v>12382</v>
      </c>
      <c r="G2644" t="s">
        <v>60</v>
      </c>
      <c r="H2644" t="s">
        <v>11651</v>
      </c>
      <c r="I2644" t="s">
        <v>11652</v>
      </c>
      <c r="J2644" t="s">
        <v>381</v>
      </c>
      <c r="L2644" t="s">
        <v>11655</v>
      </c>
      <c r="M2644" t="s">
        <v>46</v>
      </c>
      <c r="N2644" t="s">
        <v>1461</v>
      </c>
      <c r="O2644" t="s">
        <v>11656</v>
      </c>
      <c r="P2644" t="s">
        <v>12383</v>
      </c>
      <c r="Q2644" t="s">
        <v>12384</v>
      </c>
      <c r="R2644">
        <v>10</v>
      </c>
      <c r="S2644">
        <v>16</v>
      </c>
    </row>
    <row r="2645" spans="1:19" x14ac:dyDescent="0.35">
      <c r="A2645">
        <v>271</v>
      </c>
      <c r="B2645" t="s">
        <v>12385</v>
      </c>
      <c r="C2645" t="s">
        <v>42</v>
      </c>
      <c r="D2645" t="s">
        <v>12386</v>
      </c>
      <c r="E2645" t="e" cm="1">
        <f t="array" ref="E2645">- SILDENAFIL CITRATE</f>
        <v>#NAME?</v>
      </c>
      <c r="F2645" t="s">
        <v>12387</v>
      </c>
      <c r="G2645" t="s">
        <v>12388</v>
      </c>
      <c r="H2645" t="s">
        <v>10387</v>
      </c>
      <c r="I2645" t="s">
        <v>8242</v>
      </c>
      <c r="J2645" t="s">
        <v>10654</v>
      </c>
      <c r="K2645" t="s">
        <v>10389</v>
      </c>
      <c r="L2645" t="s">
        <v>10390</v>
      </c>
      <c r="M2645" t="s">
        <v>8254</v>
      </c>
      <c r="N2645" t="s">
        <v>2519</v>
      </c>
      <c r="O2645" t="s">
        <v>8246</v>
      </c>
      <c r="P2645" t="s">
        <v>12389</v>
      </c>
      <c r="Q2645" t="s">
        <v>12390</v>
      </c>
      <c r="R2645">
        <v>10</v>
      </c>
      <c r="S2645">
        <v>16</v>
      </c>
    </row>
    <row r="2646" spans="1:19" x14ac:dyDescent="0.35">
      <c r="A2646">
        <v>3022</v>
      </c>
      <c r="B2646" t="s">
        <v>12391</v>
      </c>
      <c r="C2646" t="s">
        <v>42</v>
      </c>
      <c r="D2646" t="s">
        <v>12392</v>
      </c>
      <c r="E2646" t="e" cm="1">
        <f t="array" ref="E2646">- SUCRALFATE</f>
        <v>#NAME?</v>
      </c>
      <c r="F2646" t="s">
        <v>12393</v>
      </c>
      <c r="G2646" t="s">
        <v>12394</v>
      </c>
      <c r="H2646" t="s">
        <v>12395</v>
      </c>
      <c r="I2646" t="s">
        <v>12396</v>
      </c>
      <c r="J2646" t="s">
        <v>374</v>
      </c>
      <c r="K2646" t="s">
        <v>12397</v>
      </c>
      <c r="L2646" t="s">
        <v>12398</v>
      </c>
      <c r="M2646" t="s">
        <v>340</v>
      </c>
      <c r="N2646" t="s">
        <v>375</v>
      </c>
      <c r="O2646" t="s">
        <v>12399</v>
      </c>
      <c r="P2646" t="s">
        <v>12400</v>
      </c>
      <c r="Q2646" t="s">
        <v>12401</v>
      </c>
      <c r="R2646">
        <v>10</v>
      </c>
      <c r="S2646">
        <v>16</v>
      </c>
    </row>
    <row r="2647" spans="1:19" x14ac:dyDescent="0.35">
      <c r="A2647">
        <v>3023</v>
      </c>
      <c r="B2647" t="s">
        <v>12391</v>
      </c>
      <c r="C2647" t="s">
        <v>42</v>
      </c>
      <c r="D2647" t="s">
        <v>12392</v>
      </c>
      <c r="E2647" t="e" cm="1">
        <f t="array" ref="E2647">- SUCRALFATE</f>
        <v>#NAME?</v>
      </c>
      <c r="F2647" t="s">
        <v>12393</v>
      </c>
      <c r="G2647" t="s">
        <v>12394</v>
      </c>
      <c r="H2647" t="s">
        <v>12395</v>
      </c>
      <c r="I2647" t="s">
        <v>12396</v>
      </c>
      <c r="J2647" t="s">
        <v>374</v>
      </c>
      <c r="K2647" t="s">
        <v>12397</v>
      </c>
      <c r="L2647" t="s">
        <v>12398</v>
      </c>
      <c r="M2647" t="s">
        <v>340</v>
      </c>
      <c r="N2647" t="s">
        <v>375</v>
      </c>
      <c r="O2647" t="s">
        <v>12399</v>
      </c>
      <c r="P2647" t="s">
        <v>12400</v>
      </c>
      <c r="Q2647" t="s">
        <v>12401</v>
      </c>
      <c r="R2647">
        <v>10</v>
      </c>
      <c r="S2647">
        <v>16</v>
      </c>
    </row>
    <row r="2648" spans="1:19" x14ac:dyDescent="0.35">
      <c r="A2648">
        <v>3024</v>
      </c>
      <c r="B2648" t="s">
        <v>12391</v>
      </c>
      <c r="C2648" t="s">
        <v>42</v>
      </c>
      <c r="D2648" t="s">
        <v>12392</v>
      </c>
      <c r="E2648" t="e" cm="1">
        <f t="array" ref="E2648">- SUCRALFATE</f>
        <v>#NAME?</v>
      </c>
      <c r="F2648" t="s">
        <v>12393</v>
      </c>
      <c r="G2648" t="s">
        <v>12394</v>
      </c>
      <c r="H2648" t="s">
        <v>12395</v>
      </c>
      <c r="I2648" t="s">
        <v>12396</v>
      </c>
      <c r="J2648" t="s">
        <v>374</v>
      </c>
      <c r="K2648" t="s">
        <v>12397</v>
      </c>
      <c r="L2648" t="s">
        <v>12398</v>
      </c>
      <c r="M2648" t="s">
        <v>340</v>
      </c>
      <c r="N2648" t="s">
        <v>375</v>
      </c>
      <c r="O2648" t="s">
        <v>12399</v>
      </c>
      <c r="P2648" t="s">
        <v>12400</v>
      </c>
      <c r="Q2648" t="s">
        <v>12401</v>
      </c>
      <c r="R2648">
        <v>10</v>
      </c>
      <c r="S2648">
        <v>16</v>
      </c>
    </row>
    <row r="2649" spans="1:19" x14ac:dyDescent="0.35">
      <c r="A2649">
        <v>8427</v>
      </c>
      <c r="B2649" t="s">
        <v>551</v>
      </c>
      <c r="C2649" t="s">
        <v>42</v>
      </c>
      <c r="D2649" t="s">
        <v>12402</v>
      </c>
      <c r="E2649" t="e" cm="1">
        <f t="array" ref="E2649">- POVIDONE-IODINE</f>
        <v>#NAME?</v>
      </c>
      <c r="F2649" t="s">
        <v>12403</v>
      </c>
      <c r="I2649" t="s">
        <v>12404</v>
      </c>
      <c r="J2649" t="s">
        <v>12405</v>
      </c>
      <c r="M2649" t="s">
        <v>554</v>
      </c>
      <c r="N2649" t="s">
        <v>555</v>
      </c>
      <c r="O2649" t="s">
        <v>12406</v>
      </c>
      <c r="P2649" t="s">
        <v>12407</v>
      </c>
      <c r="Q2649" t="s">
        <v>12408</v>
      </c>
      <c r="R2649">
        <v>10</v>
      </c>
      <c r="S2649">
        <v>16</v>
      </c>
    </row>
    <row r="2650" spans="1:19" x14ac:dyDescent="0.35">
      <c r="A2650">
        <v>3025</v>
      </c>
      <c r="B2650" t="s">
        <v>12391</v>
      </c>
      <c r="C2650" t="s">
        <v>42</v>
      </c>
      <c r="D2650" t="s">
        <v>12392</v>
      </c>
      <c r="E2650" t="e" cm="1">
        <f t="array" ref="E2650">- SUCRALFATE</f>
        <v>#NAME?</v>
      </c>
      <c r="F2650" t="s">
        <v>12393</v>
      </c>
      <c r="G2650" t="s">
        <v>12394</v>
      </c>
      <c r="H2650" t="s">
        <v>12395</v>
      </c>
      <c r="I2650" t="s">
        <v>12396</v>
      </c>
      <c r="J2650" t="s">
        <v>374</v>
      </c>
      <c r="K2650" t="s">
        <v>12397</v>
      </c>
      <c r="L2650" t="s">
        <v>12398</v>
      </c>
      <c r="M2650" t="s">
        <v>340</v>
      </c>
      <c r="N2650" t="s">
        <v>375</v>
      </c>
      <c r="O2650" t="s">
        <v>12399</v>
      </c>
      <c r="P2650" t="s">
        <v>12400</v>
      </c>
      <c r="Q2650" t="s">
        <v>12401</v>
      </c>
      <c r="R2650">
        <v>10</v>
      </c>
      <c r="S2650">
        <v>16</v>
      </c>
    </row>
    <row r="2651" spans="1:19" x14ac:dyDescent="0.35">
      <c r="A2651">
        <v>3026</v>
      </c>
      <c r="B2651" t="s">
        <v>12391</v>
      </c>
      <c r="C2651" t="s">
        <v>42</v>
      </c>
      <c r="D2651" t="s">
        <v>12409</v>
      </c>
      <c r="E2651" t="e" cm="1">
        <f t="array" ref="E2651">- SUCRALFATE</f>
        <v>#NAME?</v>
      </c>
      <c r="F2651" t="s">
        <v>12410</v>
      </c>
      <c r="G2651" t="s">
        <v>12394</v>
      </c>
      <c r="H2651" t="s">
        <v>12411</v>
      </c>
      <c r="I2651" t="s">
        <v>12412</v>
      </c>
      <c r="J2651" t="s">
        <v>2083</v>
      </c>
      <c r="K2651" t="s">
        <v>4677</v>
      </c>
      <c r="L2651" t="s">
        <v>12398</v>
      </c>
      <c r="M2651" t="s">
        <v>340</v>
      </c>
      <c r="N2651" t="s">
        <v>375</v>
      </c>
      <c r="O2651" t="s">
        <v>12399</v>
      </c>
      <c r="P2651" t="s">
        <v>12400</v>
      </c>
      <c r="Q2651" t="s">
        <v>12401</v>
      </c>
      <c r="R2651">
        <v>10</v>
      </c>
      <c r="S2651">
        <v>16</v>
      </c>
    </row>
    <row r="2652" spans="1:19" x14ac:dyDescent="0.35">
      <c r="A2652">
        <v>3027</v>
      </c>
      <c r="B2652" t="s">
        <v>12391</v>
      </c>
      <c r="C2652" t="s">
        <v>42</v>
      </c>
      <c r="D2652" t="s">
        <v>12409</v>
      </c>
      <c r="E2652" t="e" cm="1">
        <f t="array" ref="E2652">- SUCRALFATE</f>
        <v>#NAME?</v>
      </c>
      <c r="F2652" t="s">
        <v>12410</v>
      </c>
      <c r="G2652" t="s">
        <v>12394</v>
      </c>
      <c r="H2652" t="s">
        <v>12411</v>
      </c>
      <c r="I2652" t="s">
        <v>12412</v>
      </c>
      <c r="J2652" t="s">
        <v>2083</v>
      </c>
      <c r="K2652" t="s">
        <v>4677</v>
      </c>
      <c r="L2652" t="s">
        <v>12398</v>
      </c>
      <c r="M2652" t="s">
        <v>340</v>
      </c>
      <c r="N2652" t="s">
        <v>375</v>
      </c>
      <c r="O2652" t="s">
        <v>12399</v>
      </c>
      <c r="P2652" t="s">
        <v>12400</v>
      </c>
      <c r="Q2652" t="s">
        <v>12401</v>
      </c>
      <c r="R2652">
        <v>10</v>
      </c>
      <c r="S2652">
        <v>16</v>
      </c>
    </row>
    <row r="2653" spans="1:19" x14ac:dyDescent="0.35">
      <c r="A2653">
        <v>3028</v>
      </c>
      <c r="B2653" t="s">
        <v>12391</v>
      </c>
      <c r="C2653" t="s">
        <v>42</v>
      </c>
      <c r="D2653" t="s">
        <v>12409</v>
      </c>
      <c r="E2653" t="e" cm="1">
        <f t="array" ref="E2653">- SUCRALFATE</f>
        <v>#NAME?</v>
      </c>
      <c r="F2653" t="s">
        <v>12410</v>
      </c>
      <c r="G2653" t="s">
        <v>12394</v>
      </c>
      <c r="H2653" t="s">
        <v>12411</v>
      </c>
      <c r="I2653" t="s">
        <v>12412</v>
      </c>
      <c r="J2653" t="s">
        <v>2083</v>
      </c>
      <c r="K2653" t="s">
        <v>4677</v>
      </c>
      <c r="L2653" t="s">
        <v>12398</v>
      </c>
      <c r="M2653" t="s">
        <v>340</v>
      </c>
      <c r="N2653" t="s">
        <v>375</v>
      </c>
      <c r="O2653" t="s">
        <v>12399</v>
      </c>
      <c r="P2653" t="s">
        <v>12400</v>
      </c>
      <c r="Q2653" t="s">
        <v>12401</v>
      </c>
      <c r="R2653">
        <v>10</v>
      </c>
      <c r="S2653">
        <v>16</v>
      </c>
    </row>
    <row r="2654" spans="1:19" x14ac:dyDescent="0.35">
      <c r="A2654">
        <v>3029</v>
      </c>
      <c r="B2654" t="s">
        <v>12391</v>
      </c>
      <c r="C2654" t="s">
        <v>42</v>
      </c>
      <c r="D2654" t="s">
        <v>12409</v>
      </c>
      <c r="E2654" t="e" cm="1">
        <f t="array" ref="E2654">- SUCRALFATE</f>
        <v>#NAME?</v>
      </c>
      <c r="F2654" t="s">
        <v>12410</v>
      </c>
      <c r="G2654" t="s">
        <v>12394</v>
      </c>
      <c r="H2654" t="s">
        <v>12411</v>
      </c>
      <c r="I2654" t="s">
        <v>12412</v>
      </c>
      <c r="J2654" t="s">
        <v>2083</v>
      </c>
      <c r="K2654" t="s">
        <v>4677</v>
      </c>
      <c r="L2654" t="s">
        <v>12398</v>
      </c>
      <c r="M2654" t="s">
        <v>340</v>
      </c>
      <c r="N2654" t="s">
        <v>375</v>
      </c>
      <c r="O2654" t="s">
        <v>12399</v>
      </c>
      <c r="P2654" t="s">
        <v>12400</v>
      </c>
      <c r="Q2654" t="s">
        <v>12401</v>
      </c>
      <c r="R2654">
        <v>10</v>
      </c>
      <c r="S2654">
        <v>16</v>
      </c>
    </row>
    <row r="2655" spans="1:19" x14ac:dyDescent="0.35">
      <c r="A2655">
        <v>3021</v>
      </c>
      <c r="B2655" t="s">
        <v>12391</v>
      </c>
      <c r="C2655" t="s">
        <v>42</v>
      </c>
      <c r="D2655" t="s">
        <v>12392</v>
      </c>
      <c r="E2655" t="e" cm="1">
        <f t="array" ref="E2655">- SUCRALFATE</f>
        <v>#NAME?</v>
      </c>
      <c r="F2655" t="s">
        <v>12393</v>
      </c>
      <c r="G2655" t="s">
        <v>12394</v>
      </c>
      <c r="H2655" t="s">
        <v>12395</v>
      </c>
      <c r="I2655" t="s">
        <v>12396</v>
      </c>
      <c r="J2655" t="s">
        <v>374</v>
      </c>
      <c r="K2655" t="s">
        <v>12397</v>
      </c>
      <c r="L2655" t="s">
        <v>12398</v>
      </c>
      <c r="M2655" t="s">
        <v>340</v>
      </c>
      <c r="N2655" t="s">
        <v>375</v>
      </c>
      <c r="O2655" t="s">
        <v>12399</v>
      </c>
      <c r="P2655" t="s">
        <v>12400</v>
      </c>
      <c r="Q2655" t="s">
        <v>12401</v>
      </c>
      <c r="R2655">
        <v>10</v>
      </c>
      <c r="S2655">
        <v>16</v>
      </c>
    </row>
    <row r="2656" spans="1:19" x14ac:dyDescent="0.35">
      <c r="A2656">
        <v>3030</v>
      </c>
      <c r="B2656" t="s">
        <v>12391</v>
      </c>
      <c r="C2656" t="s">
        <v>42</v>
      </c>
      <c r="D2656" t="s">
        <v>12409</v>
      </c>
      <c r="E2656" t="e" cm="1">
        <f t="array" ref="E2656">- SUCRALFATE</f>
        <v>#NAME?</v>
      </c>
      <c r="F2656" t="s">
        <v>12410</v>
      </c>
      <c r="G2656" t="s">
        <v>12394</v>
      </c>
      <c r="H2656" t="s">
        <v>12411</v>
      </c>
      <c r="I2656" t="s">
        <v>12412</v>
      </c>
      <c r="J2656" t="s">
        <v>2083</v>
      </c>
      <c r="K2656" t="s">
        <v>4677</v>
      </c>
      <c r="L2656" t="s">
        <v>12398</v>
      </c>
      <c r="M2656" t="s">
        <v>340</v>
      </c>
      <c r="N2656" t="s">
        <v>375</v>
      </c>
      <c r="O2656" t="s">
        <v>12399</v>
      </c>
      <c r="P2656" t="s">
        <v>12400</v>
      </c>
      <c r="Q2656" t="s">
        <v>12401</v>
      </c>
      <c r="R2656">
        <v>10</v>
      </c>
      <c r="S2656">
        <v>16</v>
      </c>
    </row>
    <row r="2657" spans="1:19" x14ac:dyDescent="0.35">
      <c r="A2657">
        <v>8428</v>
      </c>
      <c r="B2657" t="s">
        <v>551</v>
      </c>
      <c r="C2657" t="s">
        <v>42</v>
      </c>
      <c r="D2657" t="s">
        <v>12413</v>
      </c>
      <c r="E2657" t="e" cm="1">
        <f t="array" ref="E2657">- POVIDONE-IODINE</f>
        <v>#NAME?</v>
      </c>
      <c r="F2657" t="s">
        <v>12414</v>
      </c>
      <c r="I2657" t="s">
        <v>12404</v>
      </c>
      <c r="J2657" t="s">
        <v>12405</v>
      </c>
      <c r="M2657" t="s">
        <v>554</v>
      </c>
      <c r="N2657" t="s">
        <v>555</v>
      </c>
      <c r="O2657" t="s">
        <v>12406</v>
      </c>
      <c r="P2657" t="s">
        <v>12415</v>
      </c>
      <c r="Q2657" t="s">
        <v>12416</v>
      </c>
      <c r="R2657">
        <v>10</v>
      </c>
      <c r="S2657">
        <v>16</v>
      </c>
    </row>
    <row r="2658" spans="1:19" x14ac:dyDescent="0.35">
      <c r="A2658">
        <v>8429</v>
      </c>
      <c r="B2658" t="s">
        <v>551</v>
      </c>
      <c r="C2658" t="s">
        <v>42</v>
      </c>
      <c r="D2658" t="s">
        <v>12413</v>
      </c>
      <c r="E2658" t="e" cm="1">
        <f t="array" ref="E2658">- POVIDONE-IODINE</f>
        <v>#NAME?</v>
      </c>
      <c r="F2658" t="s">
        <v>12414</v>
      </c>
      <c r="I2658" t="s">
        <v>12404</v>
      </c>
      <c r="J2658" t="s">
        <v>12405</v>
      </c>
      <c r="M2658" t="s">
        <v>554</v>
      </c>
      <c r="N2658" t="s">
        <v>555</v>
      </c>
      <c r="O2658" t="s">
        <v>12406</v>
      </c>
      <c r="P2658" t="s">
        <v>12415</v>
      </c>
      <c r="Q2658" t="s">
        <v>12416</v>
      </c>
      <c r="R2658">
        <v>10</v>
      </c>
      <c r="S2658">
        <v>16</v>
      </c>
    </row>
    <row r="2659" spans="1:19" x14ac:dyDescent="0.35">
      <c r="A2659">
        <v>183</v>
      </c>
      <c r="B2659" t="s">
        <v>2902</v>
      </c>
      <c r="C2659" t="s">
        <v>42</v>
      </c>
      <c r="D2659" t="s">
        <v>12417</v>
      </c>
      <c r="E2659" t="e" cm="1">
        <f t="array" ref="E2659">- SILDENAFIL CITRATE</f>
        <v>#NAME?</v>
      </c>
      <c r="F2659" t="s">
        <v>12418</v>
      </c>
      <c r="J2659" t="s">
        <v>8677</v>
      </c>
      <c r="M2659" t="s">
        <v>46</v>
      </c>
      <c r="N2659" t="s">
        <v>2519</v>
      </c>
      <c r="P2659" t="s">
        <v>12419</v>
      </c>
      <c r="Q2659" t="s">
        <v>12420</v>
      </c>
      <c r="R2659">
        <v>10</v>
      </c>
      <c r="S2659">
        <v>16</v>
      </c>
    </row>
    <row r="2660" spans="1:19" x14ac:dyDescent="0.35">
      <c r="A2660">
        <v>256</v>
      </c>
      <c r="B2660" t="s">
        <v>12421</v>
      </c>
      <c r="C2660" t="s">
        <v>42</v>
      </c>
      <c r="D2660" t="s">
        <v>12422</v>
      </c>
      <c r="E2660" t="e" cm="1">
        <f t="array" ref="E2660">- VARDENAFIL HYDROCHLORIDE TRIHYDRATE</f>
        <v>#NAME?</v>
      </c>
      <c r="F2660" t="s">
        <v>12423</v>
      </c>
      <c r="G2660" t="s">
        <v>12424</v>
      </c>
      <c r="H2660" t="s">
        <v>12425</v>
      </c>
      <c r="I2660" t="s">
        <v>12426</v>
      </c>
      <c r="J2660" t="s">
        <v>10892</v>
      </c>
      <c r="K2660" t="s">
        <v>12427</v>
      </c>
      <c r="L2660" t="s">
        <v>12428</v>
      </c>
    </row>
    <row r="2661" spans="1:19" x14ac:dyDescent="0.35">
      <c r="A2661">
        <v>255</v>
      </c>
      <c r="B2661" t="s">
        <v>12421</v>
      </c>
      <c r="C2661" t="s">
        <v>42</v>
      </c>
      <c r="D2661" t="s">
        <v>12422</v>
      </c>
      <c r="E2661" t="e" cm="1">
        <f t="array" ref="E2661">- VARDENAFIL HYDROCHLORIDE TRIHYDRATE</f>
        <v>#NAME?</v>
      </c>
      <c r="F2661" t="s">
        <v>12423</v>
      </c>
      <c r="G2661" t="s">
        <v>12424</v>
      </c>
      <c r="H2661" t="s">
        <v>12425</v>
      </c>
      <c r="I2661" t="s">
        <v>12426</v>
      </c>
      <c r="J2661" t="s">
        <v>10892</v>
      </c>
      <c r="K2661" t="s">
        <v>12427</v>
      </c>
      <c r="L2661" t="s">
        <v>12428</v>
      </c>
    </row>
    <row r="2662" spans="1:19" x14ac:dyDescent="0.35">
      <c r="A2662">
        <v>3676</v>
      </c>
      <c r="B2662" t="s">
        <v>11921</v>
      </c>
      <c r="C2662" t="s">
        <v>42</v>
      </c>
      <c r="D2662" t="s">
        <v>11922</v>
      </c>
      <c r="E2662" t="e" cm="1">
        <f t="array" ref="E2662">- DOMPERIDONE</f>
        <v>#NAME?</v>
      </c>
      <c r="F2662" t="s">
        <v>11923</v>
      </c>
      <c r="G2662" t="s">
        <v>7977</v>
      </c>
      <c r="H2662" t="s">
        <v>11924</v>
      </c>
      <c r="I2662" t="s">
        <v>11925</v>
      </c>
      <c r="J2662" t="s">
        <v>1647</v>
      </c>
      <c r="K2662" t="s">
        <v>11926</v>
      </c>
      <c r="L2662" t="s">
        <v>11927</v>
      </c>
      <c r="M2662" t="s">
        <v>824</v>
      </c>
      <c r="N2662" t="s">
        <v>341</v>
      </c>
      <c r="O2662" t="s">
        <v>11928</v>
      </c>
      <c r="P2662" t="s">
        <v>11929</v>
      </c>
      <c r="Q2662" t="s">
        <v>11930</v>
      </c>
      <c r="R2662">
        <v>10</v>
      </c>
      <c r="S2662">
        <v>16</v>
      </c>
    </row>
    <row r="2663" spans="1:19" x14ac:dyDescent="0.35">
      <c r="A2663">
        <v>7468</v>
      </c>
      <c r="B2663" t="s">
        <v>12429</v>
      </c>
      <c r="C2663" t="s">
        <v>20</v>
      </c>
      <c r="D2663" t="s">
        <v>12430</v>
      </c>
      <c r="E2663" t="s">
        <v>12431</v>
      </c>
      <c r="F2663" t="s">
        <v>12432</v>
      </c>
      <c r="G2663" t="s">
        <v>12433</v>
      </c>
      <c r="H2663" t="s">
        <v>12434</v>
      </c>
      <c r="I2663" t="s">
        <v>12435</v>
      </c>
      <c r="J2663" t="s">
        <v>107</v>
      </c>
      <c r="K2663" t="s">
        <v>12436</v>
      </c>
      <c r="L2663" t="s">
        <v>12437</v>
      </c>
      <c r="M2663" t="s">
        <v>38</v>
      </c>
      <c r="N2663" t="s">
        <v>12438</v>
      </c>
      <c r="O2663" t="s">
        <v>12439</v>
      </c>
      <c r="P2663" t="s">
        <v>12440</v>
      </c>
      <c r="Q2663" t="s">
        <v>12441</v>
      </c>
      <c r="R2663">
        <v>10</v>
      </c>
      <c r="S2663">
        <v>16</v>
      </c>
    </row>
    <row r="2664" spans="1:19" x14ac:dyDescent="0.35">
      <c r="A2664">
        <v>184</v>
      </c>
      <c r="B2664" t="s">
        <v>2902</v>
      </c>
      <c r="C2664" t="s">
        <v>42</v>
      </c>
      <c r="D2664" t="s">
        <v>12442</v>
      </c>
      <c r="E2664" t="e" cm="1">
        <f t="array" ref="E2664">- SILDENAFIL CITRATE</f>
        <v>#NAME?</v>
      </c>
      <c r="F2664" t="s">
        <v>12443</v>
      </c>
      <c r="J2664" t="s">
        <v>8677</v>
      </c>
      <c r="M2664" t="s">
        <v>46</v>
      </c>
      <c r="N2664" t="s">
        <v>2519</v>
      </c>
      <c r="P2664" t="s">
        <v>12444</v>
      </c>
      <c r="Q2664" t="s">
        <v>12445</v>
      </c>
      <c r="R2664">
        <v>10</v>
      </c>
      <c r="S2664">
        <v>16</v>
      </c>
    </row>
    <row r="2665" spans="1:19" x14ac:dyDescent="0.35">
      <c r="A2665">
        <v>4950</v>
      </c>
      <c r="B2665" t="s">
        <v>12177</v>
      </c>
      <c r="C2665" t="s">
        <v>42</v>
      </c>
      <c r="D2665" t="s">
        <v>12178</v>
      </c>
      <c r="E2665" t="e" cm="1">
        <f t="array" ref="E2665">- TRETINOIN</f>
        <v>#NAME?</v>
      </c>
      <c r="F2665" t="s">
        <v>12179</v>
      </c>
      <c r="G2665" t="s">
        <v>12180</v>
      </c>
      <c r="H2665" t="s">
        <v>12181</v>
      </c>
      <c r="I2665" t="s">
        <v>12182</v>
      </c>
      <c r="J2665" t="s">
        <v>7187</v>
      </c>
      <c r="K2665" t="s">
        <v>12183</v>
      </c>
      <c r="L2665" t="s">
        <v>12184</v>
      </c>
    </row>
    <row r="2666" spans="1:19" x14ac:dyDescent="0.35">
      <c r="A2666">
        <v>3031</v>
      </c>
      <c r="B2666" t="s">
        <v>12391</v>
      </c>
      <c r="C2666" t="s">
        <v>42</v>
      </c>
      <c r="D2666" t="s">
        <v>12409</v>
      </c>
      <c r="E2666" t="e" cm="1">
        <f t="array" ref="E2666">- SUCRALFATE</f>
        <v>#NAME?</v>
      </c>
      <c r="F2666" t="s">
        <v>12410</v>
      </c>
      <c r="G2666" t="s">
        <v>12394</v>
      </c>
      <c r="H2666" t="s">
        <v>12411</v>
      </c>
      <c r="I2666" t="s">
        <v>12412</v>
      </c>
      <c r="J2666" t="s">
        <v>2083</v>
      </c>
      <c r="K2666" t="s">
        <v>4677</v>
      </c>
      <c r="L2666" t="s">
        <v>12398</v>
      </c>
      <c r="M2666" t="s">
        <v>340</v>
      </c>
      <c r="N2666" t="s">
        <v>375</v>
      </c>
      <c r="O2666" t="s">
        <v>12399</v>
      </c>
      <c r="P2666" t="s">
        <v>12400</v>
      </c>
      <c r="Q2666" t="s">
        <v>12401</v>
      </c>
      <c r="R2666">
        <v>10</v>
      </c>
      <c r="S2666">
        <v>16</v>
      </c>
    </row>
    <row r="2667" spans="1:19" x14ac:dyDescent="0.35">
      <c r="A2667">
        <v>2884</v>
      </c>
      <c r="B2667" t="s">
        <v>11749</v>
      </c>
      <c r="C2667" t="s">
        <v>42</v>
      </c>
      <c r="D2667" t="s">
        <v>11750</v>
      </c>
      <c r="E2667" t="e" cm="1">
        <f t="array" ref="E2667">- PARACETAMOL</f>
        <v>#NAME?</v>
      </c>
      <c r="F2667" t="s">
        <v>11751</v>
      </c>
      <c r="H2667" t="s">
        <v>11752</v>
      </c>
    </row>
    <row r="2668" spans="1:19" x14ac:dyDescent="0.35">
      <c r="A2668">
        <v>3020</v>
      </c>
      <c r="B2668" t="s">
        <v>12391</v>
      </c>
      <c r="C2668" t="s">
        <v>42</v>
      </c>
      <c r="D2668" t="s">
        <v>12392</v>
      </c>
      <c r="E2668" t="e" cm="1">
        <f t="array" ref="E2668">- SUCRALFATE</f>
        <v>#NAME?</v>
      </c>
      <c r="F2668" t="s">
        <v>12393</v>
      </c>
      <c r="G2668" t="s">
        <v>12394</v>
      </c>
      <c r="H2668" t="s">
        <v>12395</v>
      </c>
      <c r="I2668" t="s">
        <v>12396</v>
      </c>
      <c r="J2668" t="s">
        <v>374</v>
      </c>
      <c r="K2668" t="s">
        <v>12397</v>
      </c>
      <c r="L2668" t="s">
        <v>12398</v>
      </c>
      <c r="M2668" t="s">
        <v>340</v>
      </c>
      <c r="N2668" t="s">
        <v>375</v>
      </c>
      <c r="O2668" t="s">
        <v>12399</v>
      </c>
      <c r="P2668" t="s">
        <v>12400</v>
      </c>
      <c r="Q2668" t="s">
        <v>12401</v>
      </c>
      <c r="R2668">
        <v>10</v>
      </c>
      <c r="S2668">
        <v>16</v>
      </c>
    </row>
    <row r="2669" spans="1:19" x14ac:dyDescent="0.35">
      <c r="A2669">
        <v>8426</v>
      </c>
      <c r="B2669" t="s">
        <v>551</v>
      </c>
      <c r="C2669" t="s">
        <v>42</v>
      </c>
      <c r="D2669" t="s">
        <v>12402</v>
      </c>
      <c r="E2669" t="e" cm="1">
        <f t="array" ref="E2669">- POVIDONE-IODINE</f>
        <v>#NAME?</v>
      </c>
      <c r="F2669" t="s">
        <v>12403</v>
      </c>
      <c r="I2669" t="s">
        <v>12404</v>
      </c>
      <c r="J2669" t="s">
        <v>12405</v>
      </c>
      <c r="M2669" t="s">
        <v>554</v>
      </c>
      <c r="N2669" t="s">
        <v>555</v>
      </c>
      <c r="O2669" t="s">
        <v>12406</v>
      </c>
      <c r="P2669" t="s">
        <v>12407</v>
      </c>
      <c r="Q2669" t="s">
        <v>12408</v>
      </c>
      <c r="R2669">
        <v>10</v>
      </c>
      <c r="S2669">
        <v>16</v>
      </c>
    </row>
    <row r="2670" spans="1:19" x14ac:dyDescent="0.35">
      <c r="A2670">
        <v>2982</v>
      </c>
      <c r="B2670" t="s">
        <v>12446</v>
      </c>
      <c r="C2670" t="s">
        <v>42</v>
      </c>
      <c r="D2670" t="s">
        <v>12447</v>
      </c>
      <c r="E2670" t="e" cm="1">
        <f t="array" ref="E2670">- PARACETAMOL</f>
        <v>#NAME?</v>
      </c>
      <c r="F2670" t="s">
        <v>12448</v>
      </c>
      <c r="G2670" t="s">
        <v>2241</v>
      </c>
      <c r="H2670" t="s">
        <v>12449</v>
      </c>
      <c r="I2670" t="s">
        <v>12450</v>
      </c>
      <c r="J2670" t="s">
        <v>743</v>
      </c>
      <c r="L2670" t="s">
        <v>12451</v>
      </c>
      <c r="M2670" t="s">
        <v>824</v>
      </c>
      <c r="N2670" t="s">
        <v>584</v>
      </c>
      <c r="O2670" t="s">
        <v>12452</v>
      </c>
      <c r="P2670" t="s">
        <v>12453</v>
      </c>
      <c r="Q2670" t="s">
        <v>12454</v>
      </c>
      <c r="R2670">
        <v>10</v>
      </c>
      <c r="S2670">
        <v>16</v>
      </c>
    </row>
    <row r="2671" spans="1:19" x14ac:dyDescent="0.35">
      <c r="A2671">
        <v>2983</v>
      </c>
      <c r="B2671" t="s">
        <v>12455</v>
      </c>
      <c r="C2671" t="s">
        <v>42</v>
      </c>
      <c r="D2671" t="s">
        <v>12456</v>
      </c>
      <c r="E2671" t="e" cm="1">
        <f t="array" ref="E2671">- PARACETAMOL</f>
        <v>#NAME?</v>
      </c>
      <c r="F2671" t="s">
        <v>12457</v>
      </c>
      <c r="G2671" t="s">
        <v>2241</v>
      </c>
      <c r="H2671" t="s">
        <v>12458</v>
      </c>
      <c r="I2671" t="s">
        <v>12459</v>
      </c>
      <c r="J2671" t="s">
        <v>334</v>
      </c>
      <c r="K2671" t="s">
        <v>2726</v>
      </c>
      <c r="L2671" t="s">
        <v>12460</v>
      </c>
      <c r="M2671" t="s">
        <v>271</v>
      </c>
      <c r="N2671" t="s">
        <v>584</v>
      </c>
      <c r="O2671" t="s">
        <v>12461</v>
      </c>
      <c r="P2671" t="s">
        <v>12462</v>
      </c>
      <c r="Q2671" t="s">
        <v>12463</v>
      </c>
      <c r="R2671">
        <v>10</v>
      </c>
      <c r="S2671">
        <v>16</v>
      </c>
    </row>
    <row r="2672" spans="1:19" x14ac:dyDescent="0.35">
      <c r="A2672">
        <v>4679</v>
      </c>
      <c r="B2672" t="s">
        <v>12464</v>
      </c>
      <c r="C2672" t="s">
        <v>42</v>
      </c>
      <c r="D2672" t="s">
        <v>12465</v>
      </c>
      <c r="E2672" t="e" cm="1">
        <f t="array" ref="E2672">- GATIFLOXACIN</f>
        <v>#NAME?</v>
      </c>
      <c r="F2672" s="1">
        <v>113000</v>
      </c>
      <c r="G2672" t="s">
        <v>7569</v>
      </c>
      <c r="H2672" t="s">
        <v>12466</v>
      </c>
      <c r="I2672" t="s">
        <v>12467</v>
      </c>
      <c r="J2672" t="s">
        <v>12468</v>
      </c>
      <c r="K2672" t="s">
        <v>2858</v>
      </c>
      <c r="L2672" t="s">
        <v>12469</v>
      </c>
      <c r="M2672" t="s">
        <v>824</v>
      </c>
      <c r="N2672" t="s">
        <v>12470</v>
      </c>
      <c r="O2672" t="s">
        <v>12471</v>
      </c>
      <c r="P2672" t="s">
        <v>12472</v>
      </c>
      <c r="Q2672" t="s">
        <v>12473</v>
      </c>
      <c r="R2672">
        <v>10</v>
      </c>
      <c r="S2672">
        <v>16</v>
      </c>
    </row>
    <row r="2673" spans="1:19" x14ac:dyDescent="0.35">
      <c r="A2673">
        <v>3790</v>
      </c>
      <c r="B2673" t="s">
        <v>12380</v>
      </c>
      <c r="C2673" t="s">
        <v>42</v>
      </c>
      <c r="D2673" t="s">
        <v>12381</v>
      </c>
      <c r="E2673" t="e" cm="1">
        <f t="array" ref="E2673">- LOPERAMIDE HYDROCHLORIDE</f>
        <v>#NAME?</v>
      </c>
      <c r="F2673" t="s">
        <v>12382</v>
      </c>
      <c r="G2673" t="s">
        <v>60</v>
      </c>
      <c r="H2673" t="s">
        <v>11651</v>
      </c>
      <c r="I2673" t="s">
        <v>11652</v>
      </c>
      <c r="J2673" t="s">
        <v>381</v>
      </c>
      <c r="L2673" t="s">
        <v>11655</v>
      </c>
      <c r="M2673" t="s">
        <v>46</v>
      </c>
      <c r="N2673" t="s">
        <v>1461</v>
      </c>
      <c r="O2673" t="s">
        <v>11656</v>
      </c>
      <c r="P2673" t="s">
        <v>12383</v>
      </c>
      <c r="Q2673" t="s">
        <v>12384</v>
      </c>
      <c r="R2673">
        <v>10</v>
      </c>
      <c r="S2673">
        <v>16</v>
      </c>
    </row>
    <row r="2674" spans="1:19" x14ac:dyDescent="0.35">
      <c r="A2674">
        <v>8166</v>
      </c>
      <c r="B2674" t="s">
        <v>551</v>
      </c>
      <c r="C2674" t="s">
        <v>42</v>
      </c>
      <c r="D2674" t="s">
        <v>12474</v>
      </c>
      <c r="E2674" t="e" cm="1">
        <f t="array" ref="E2674">- POVIDONE-IODINE</f>
        <v>#NAME?</v>
      </c>
      <c r="F2674" t="s">
        <v>12475</v>
      </c>
      <c r="G2674" t="s">
        <v>11543</v>
      </c>
      <c r="I2674" t="s">
        <v>11544</v>
      </c>
      <c r="J2674" t="s">
        <v>12476</v>
      </c>
      <c r="M2674" t="s">
        <v>554</v>
      </c>
      <c r="N2674" t="s">
        <v>555</v>
      </c>
      <c r="O2674" t="s">
        <v>11546</v>
      </c>
      <c r="P2674" t="s">
        <v>12477</v>
      </c>
      <c r="Q2674" t="s">
        <v>12478</v>
      </c>
      <c r="R2674">
        <v>10</v>
      </c>
      <c r="S2674">
        <v>16</v>
      </c>
    </row>
    <row r="2675" spans="1:19" x14ac:dyDescent="0.35">
      <c r="A2675">
        <v>5246</v>
      </c>
      <c r="B2675" t="s">
        <v>12479</v>
      </c>
      <c r="C2675" t="s">
        <v>42</v>
      </c>
      <c r="D2675" t="s">
        <v>12480</v>
      </c>
      <c r="E2675" t="e" cm="1">
        <f t="array" ref="E2675">- MUPIROCIN</f>
        <v>#NAME?</v>
      </c>
      <c r="F2675" t="s">
        <v>12481</v>
      </c>
      <c r="G2675" t="s">
        <v>11083</v>
      </c>
      <c r="H2675" t="s">
        <v>12482</v>
      </c>
      <c r="I2675" t="s">
        <v>12483</v>
      </c>
      <c r="J2675" t="s">
        <v>2049</v>
      </c>
      <c r="K2675" t="s">
        <v>2858</v>
      </c>
      <c r="L2675" t="s">
        <v>12484</v>
      </c>
      <c r="M2675" t="s">
        <v>1029</v>
      </c>
      <c r="N2675" t="s">
        <v>3904</v>
      </c>
      <c r="O2675" t="s">
        <v>12485</v>
      </c>
      <c r="P2675" t="s">
        <v>12486</v>
      </c>
      <c r="Q2675" t="s">
        <v>12487</v>
      </c>
      <c r="R2675">
        <v>10</v>
      </c>
      <c r="S2675">
        <v>16</v>
      </c>
    </row>
    <row r="2676" spans="1:19" x14ac:dyDescent="0.35">
      <c r="A2676">
        <v>270</v>
      </c>
      <c r="B2676" t="s">
        <v>12385</v>
      </c>
      <c r="C2676" t="s">
        <v>42</v>
      </c>
      <c r="D2676" t="s">
        <v>12386</v>
      </c>
      <c r="E2676" t="e" cm="1">
        <f t="array" ref="E2676">- SILDENAFIL CITRATE</f>
        <v>#NAME?</v>
      </c>
      <c r="F2676" t="s">
        <v>12387</v>
      </c>
      <c r="G2676" t="s">
        <v>12388</v>
      </c>
      <c r="H2676" t="s">
        <v>10387</v>
      </c>
      <c r="I2676" t="s">
        <v>8242</v>
      </c>
      <c r="J2676" t="s">
        <v>10654</v>
      </c>
      <c r="K2676" t="s">
        <v>10389</v>
      </c>
      <c r="L2676" t="s">
        <v>10390</v>
      </c>
      <c r="M2676" t="s">
        <v>8254</v>
      </c>
      <c r="N2676" t="s">
        <v>2519</v>
      </c>
      <c r="O2676" t="s">
        <v>8246</v>
      </c>
      <c r="P2676" t="s">
        <v>12389</v>
      </c>
      <c r="Q2676" t="s">
        <v>12390</v>
      </c>
      <c r="R2676">
        <v>10</v>
      </c>
      <c r="S2676">
        <v>16</v>
      </c>
    </row>
    <row r="2677" spans="1:19" x14ac:dyDescent="0.35">
      <c r="A2677">
        <v>5245</v>
      </c>
      <c r="B2677" t="s">
        <v>12488</v>
      </c>
      <c r="C2677" t="s">
        <v>42</v>
      </c>
      <c r="D2677" t="s">
        <v>12489</v>
      </c>
      <c r="E2677" t="e" cm="1">
        <f t="array" ref="E2677">- BACITRACIN. NEOMYCIN SULFATE</f>
        <v>#NAME?</v>
      </c>
      <c r="F2677" t="s">
        <v>12490</v>
      </c>
      <c r="G2677" t="s">
        <v>12491</v>
      </c>
      <c r="H2677" t="s">
        <v>12492</v>
      </c>
      <c r="I2677" t="s">
        <v>12493</v>
      </c>
      <c r="J2677" t="s">
        <v>12494</v>
      </c>
      <c r="K2677" t="s">
        <v>2726</v>
      </c>
      <c r="L2677" t="s">
        <v>12495</v>
      </c>
      <c r="M2677" t="s">
        <v>1280</v>
      </c>
      <c r="N2677" t="s">
        <v>12496</v>
      </c>
      <c r="O2677" t="s">
        <v>12497</v>
      </c>
      <c r="P2677" t="s">
        <v>12498</v>
      </c>
      <c r="Q2677" t="s">
        <v>12499</v>
      </c>
      <c r="R2677">
        <v>10</v>
      </c>
      <c r="S2677">
        <v>16</v>
      </c>
    </row>
    <row r="2678" spans="1:19" x14ac:dyDescent="0.35">
      <c r="A2678">
        <v>8167</v>
      </c>
      <c r="B2678" t="s">
        <v>551</v>
      </c>
      <c r="C2678" t="s">
        <v>42</v>
      </c>
      <c r="D2678" t="s">
        <v>12474</v>
      </c>
      <c r="E2678" t="e" cm="1">
        <f t="array" ref="E2678">- POVIDONE-IODINE</f>
        <v>#NAME?</v>
      </c>
      <c r="F2678" t="s">
        <v>12475</v>
      </c>
      <c r="G2678" t="s">
        <v>11543</v>
      </c>
      <c r="I2678" t="s">
        <v>11544</v>
      </c>
      <c r="J2678" t="s">
        <v>12476</v>
      </c>
      <c r="M2678" t="s">
        <v>554</v>
      </c>
      <c r="N2678" t="s">
        <v>555</v>
      </c>
      <c r="O2678" t="s">
        <v>11546</v>
      </c>
      <c r="P2678" t="s">
        <v>12477</v>
      </c>
      <c r="Q2678" t="s">
        <v>12478</v>
      </c>
      <c r="R2678">
        <v>10</v>
      </c>
      <c r="S2678">
        <v>16</v>
      </c>
    </row>
    <row r="2679" spans="1:19" x14ac:dyDescent="0.35">
      <c r="A2679">
        <v>3017</v>
      </c>
      <c r="B2679" t="s">
        <v>12500</v>
      </c>
      <c r="C2679" t="s">
        <v>42</v>
      </c>
      <c r="D2679" t="s">
        <v>12501</v>
      </c>
      <c r="E2679" t="e" cm="1">
        <f t="array" ref="E2679">- SUCRALFATE</f>
        <v>#NAME?</v>
      </c>
      <c r="F2679" t="s">
        <v>12502</v>
      </c>
      <c r="G2679" t="s">
        <v>12503</v>
      </c>
      <c r="H2679" t="s">
        <v>11805</v>
      </c>
      <c r="I2679" t="s">
        <v>11806</v>
      </c>
      <c r="J2679" t="s">
        <v>614</v>
      </c>
      <c r="K2679" t="s">
        <v>3473</v>
      </c>
      <c r="L2679" t="s">
        <v>11807</v>
      </c>
      <c r="M2679" t="s">
        <v>340</v>
      </c>
      <c r="N2679" t="s">
        <v>375</v>
      </c>
      <c r="O2679" t="s">
        <v>11808</v>
      </c>
      <c r="P2679" t="s">
        <v>375</v>
      </c>
      <c r="Q2679" t="s">
        <v>11809</v>
      </c>
      <c r="R2679">
        <v>10</v>
      </c>
      <c r="S2679">
        <v>16</v>
      </c>
    </row>
    <row r="2680" spans="1:19" x14ac:dyDescent="0.35">
      <c r="A2680">
        <v>7441</v>
      </c>
      <c r="B2680" t="s">
        <v>12504</v>
      </c>
      <c r="C2680" t="s">
        <v>42</v>
      </c>
      <c r="D2680" t="s">
        <v>12505</v>
      </c>
      <c r="E2680" t="e" cm="1">
        <f t="array" ref="E2680">- CALCIUM PANTOTHENATE</f>
        <v>#NAME?</v>
      </c>
      <c r="F2680" t="s">
        <v>12506</v>
      </c>
      <c r="G2680" t="s">
        <v>12507</v>
      </c>
      <c r="H2680" t="s">
        <v>12508</v>
      </c>
      <c r="I2680" t="s">
        <v>12509</v>
      </c>
      <c r="J2680" t="s">
        <v>12510</v>
      </c>
      <c r="K2680" t="s">
        <v>4677</v>
      </c>
      <c r="L2680" t="s">
        <v>12511</v>
      </c>
      <c r="M2680" t="s">
        <v>46</v>
      </c>
      <c r="N2680" t="s">
        <v>12512</v>
      </c>
      <c r="O2680" t="s">
        <v>12513</v>
      </c>
      <c r="P2680" t="s">
        <v>12514</v>
      </c>
      <c r="Q2680" t="s">
        <v>12515</v>
      </c>
      <c r="R2680">
        <v>10</v>
      </c>
      <c r="S2680">
        <v>16</v>
      </c>
    </row>
    <row r="2681" spans="1:19" x14ac:dyDescent="0.35">
      <c r="A2681">
        <v>269</v>
      </c>
      <c r="B2681" t="s">
        <v>12516</v>
      </c>
      <c r="C2681" t="s">
        <v>42</v>
      </c>
      <c r="D2681" t="s">
        <v>12517</v>
      </c>
      <c r="E2681" t="e" cm="1">
        <f t="array" ref="E2681">- SILDENAFIL CITRATE</f>
        <v>#NAME?</v>
      </c>
      <c r="F2681" t="s">
        <v>12518</v>
      </c>
      <c r="G2681" t="s">
        <v>12388</v>
      </c>
      <c r="H2681" t="s">
        <v>10387</v>
      </c>
      <c r="I2681" t="s">
        <v>8242</v>
      </c>
      <c r="J2681" t="s">
        <v>10654</v>
      </c>
      <c r="K2681" t="s">
        <v>10389</v>
      </c>
      <c r="L2681" t="s">
        <v>10390</v>
      </c>
      <c r="M2681" t="s">
        <v>8254</v>
      </c>
      <c r="N2681" t="s">
        <v>2519</v>
      </c>
      <c r="O2681" t="s">
        <v>8246</v>
      </c>
      <c r="P2681" t="s">
        <v>12389</v>
      </c>
      <c r="Q2681" t="s">
        <v>12390</v>
      </c>
      <c r="R2681">
        <v>10</v>
      </c>
      <c r="S2681">
        <v>16</v>
      </c>
    </row>
    <row r="2682" spans="1:19" x14ac:dyDescent="0.35">
      <c r="A2682">
        <v>3779</v>
      </c>
      <c r="B2682" t="s">
        <v>8757</v>
      </c>
      <c r="C2682" t="s">
        <v>42</v>
      </c>
      <c r="D2682" t="s">
        <v>8758</v>
      </c>
      <c r="E2682" t="e" cm="1">
        <f t="array" ref="E2682">- KAOLIN. PECTIN</f>
        <v>#NAME?</v>
      </c>
      <c r="F2682" s="1">
        <v>4600</v>
      </c>
      <c r="G2682" t="s">
        <v>8759</v>
      </c>
      <c r="H2682" t="s">
        <v>8760</v>
      </c>
      <c r="I2682" t="s">
        <v>8761</v>
      </c>
      <c r="J2682" t="s">
        <v>8762</v>
      </c>
      <c r="K2682" t="s">
        <v>8763</v>
      </c>
      <c r="L2682" t="s">
        <v>8764</v>
      </c>
      <c r="M2682" t="s">
        <v>46</v>
      </c>
      <c r="N2682" t="s">
        <v>3159</v>
      </c>
      <c r="O2682" t="s">
        <v>8765</v>
      </c>
      <c r="P2682" t="s">
        <v>7135</v>
      </c>
      <c r="Q2682" t="s">
        <v>12519</v>
      </c>
      <c r="R2682">
        <v>10</v>
      </c>
      <c r="S2682">
        <v>16</v>
      </c>
    </row>
    <row r="2683" spans="1:19" x14ac:dyDescent="0.35">
      <c r="A2683">
        <v>268</v>
      </c>
      <c r="B2683" t="s">
        <v>12516</v>
      </c>
      <c r="C2683" t="s">
        <v>42</v>
      </c>
      <c r="D2683" t="s">
        <v>12517</v>
      </c>
      <c r="E2683" t="e" cm="1">
        <f t="array" ref="E2683">- SILDENAFIL CITRATE</f>
        <v>#NAME?</v>
      </c>
      <c r="F2683" t="s">
        <v>12518</v>
      </c>
      <c r="G2683" t="s">
        <v>12388</v>
      </c>
      <c r="H2683" t="s">
        <v>10387</v>
      </c>
      <c r="I2683" t="s">
        <v>8242</v>
      </c>
      <c r="J2683" t="s">
        <v>10654</v>
      </c>
      <c r="K2683" t="s">
        <v>10389</v>
      </c>
      <c r="L2683" t="s">
        <v>10390</v>
      </c>
      <c r="M2683" t="s">
        <v>8254</v>
      </c>
      <c r="N2683" t="s">
        <v>2519</v>
      </c>
      <c r="O2683" t="s">
        <v>8246</v>
      </c>
      <c r="P2683" t="s">
        <v>12389</v>
      </c>
      <c r="Q2683" t="s">
        <v>12390</v>
      </c>
      <c r="R2683">
        <v>10</v>
      </c>
      <c r="S2683">
        <v>16</v>
      </c>
    </row>
    <row r="2684" spans="1:19" x14ac:dyDescent="0.35">
      <c r="A2684">
        <v>7802</v>
      </c>
      <c r="B2684" t="s">
        <v>12520</v>
      </c>
      <c r="C2684" t="s">
        <v>20</v>
      </c>
      <c r="D2684" t="s">
        <v>12521</v>
      </c>
      <c r="E2684" t="s">
        <v>12197</v>
      </c>
      <c r="F2684" t="s">
        <v>12522</v>
      </c>
      <c r="G2684" t="s">
        <v>12199</v>
      </c>
      <c r="H2684" t="s">
        <v>12523</v>
      </c>
      <c r="I2684" t="s">
        <v>12201</v>
      </c>
      <c r="J2684" t="s">
        <v>7681</v>
      </c>
      <c r="M2684" t="s">
        <v>818</v>
      </c>
      <c r="N2684" t="s">
        <v>12202</v>
      </c>
      <c r="O2684" t="s">
        <v>12203</v>
      </c>
      <c r="P2684" t="s">
        <v>12204</v>
      </c>
      <c r="Q2684" t="s">
        <v>12524</v>
      </c>
      <c r="R2684">
        <v>10</v>
      </c>
      <c r="S2684">
        <v>16</v>
      </c>
    </row>
    <row r="2685" spans="1:19" x14ac:dyDescent="0.35">
      <c r="A2685">
        <v>3350</v>
      </c>
      <c r="B2685" t="s">
        <v>12525</v>
      </c>
      <c r="C2685" t="s">
        <v>42</v>
      </c>
      <c r="D2685" t="s">
        <v>12526</v>
      </c>
      <c r="E2685" t="e" cm="1">
        <f t="array" ref="E2685">- SUCRALFATE</f>
        <v>#NAME?</v>
      </c>
      <c r="F2685" t="s">
        <v>12527</v>
      </c>
      <c r="G2685" t="s">
        <v>737</v>
      </c>
      <c r="H2685" t="s">
        <v>12528</v>
      </c>
      <c r="I2685" t="s">
        <v>12070</v>
      </c>
      <c r="J2685" t="s">
        <v>12529</v>
      </c>
      <c r="K2685" t="s">
        <v>12530</v>
      </c>
      <c r="L2685" t="s">
        <v>12073</v>
      </c>
      <c r="M2685" t="s">
        <v>340</v>
      </c>
      <c r="N2685" t="s">
        <v>375</v>
      </c>
      <c r="O2685" t="s">
        <v>12074</v>
      </c>
      <c r="P2685" t="s">
        <v>12075</v>
      </c>
      <c r="Q2685" t="s">
        <v>12076</v>
      </c>
      <c r="R2685">
        <v>10</v>
      </c>
      <c r="S2685">
        <v>16</v>
      </c>
    </row>
    <row r="2686" spans="1:19" x14ac:dyDescent="0.35">
      <c r="A2686">
        <v>3349</v>
      </c>
      <c r="B2686" t="s">
        <v>12531</v>
      </c>
      <c r="C2686" t="s">
        <v>42</v>
      </c>
      <c r="D2686" t="s">
        <v>12532</v>
      </c>
      <c r="E2686" t="e" cm="1">
        <f t="array" ref="E2686">- SUCRALFATE</f>
        <v>#NAME?</v>
      </c>
      <c r="F2686" t="s">
        <v>12533</v>
      </c>
      <c r="G2686" t="s">
        <v>737</v>
      </c>
      <c r="H2686" t="s">
        <v>12534</v>
      </c>
      <c r="I2686" t="s">
        <v>12070</v>
      </c>
      <c r="J2686" t="s">
        <v>12535</v>
      </c>
      <c r="K2686" t="s">
        <v>12530</v>
      </c>
      <c r="L2686" t="s">
        <v>12536</v>
      </c>
      <c r="M2686" t="s">
        <v>46</v>
      </c>
      <c r="N2686" t="s">
        <v>375</v>
      </c>
      <c r="O2686" t="s">
        <v>12074</v>
      </c>
      <c r="P2686" t="s">
        <v>12075</v>
      </c>
      <c r="Q2686" t="s">
        <v>12537</v>
      </c>
      <c r="R2686">
        <v>10</v>
      </c>
      <c r="S2686">
        <v>16</v>
      </c>
    </row>
    <row r="2687" spans="1:19" x14ac:dyDescent="0.35">
      <c r="A2687">
        <v>3348</v>
      </c>
      <c r="B2687" t="s">
        <v>12531</v>
      </c>
      <c r="C2687" t="s">
        <v>42</v>
      </c>
      <c r="D2687" t="s">
        <v>12532</v>
      </c>
      <c r="E2687" t="e" cm="1">
        <f t="array" ref="E2687">- SUCRALFATE</f>
        <v>#NAME?</v>
      </c>
      <c r="F2687" t="s">
        <v>12533</v>
      </c>
      <c r="G2687" t="s">
        <v>737</v>
      </c>
      <c r="H2687" t="s">
        <v>12534</v>
      </c>
      <c r="I2687" t="s">
        <v>12070</v>
      </c>
      <c r="J2687" t="s">
        <v>12535</v>
      </c>
      <c r="K2687" t="s">
        <v>12530</v>
      </c>
      <c r="L2687" t="s">
        <v>12536</v>
      </c>
      <c r="M2687" t="s">
        <v>46</v>
      </c>
      <c r="N2687" t="s">
        <v>375</v>
      </c>
      <c r="O2687" t="s">
        <v>12074</v>
      </c>
      <c r="P2687" t="s">
        <v>12075</v>
      </c>
      <c r="Q2687" t="s">
        <v>12537</v>
      </c>
      <c r="R2687">
        <v>10</v>
      </c>
      <c r="S2687">
        <v>16</v>
      </c>
    </row>
    <row r="2688" spans="1:19" x14ac:dyDescent="0.35">
      <c r="A2688">
        <v>3009</v>
      </c>
      <c r="B2688" t="s">
        <v>8787</v>
      </c>
      <c r="C2688" t="s">
        <v>42</v>
      </c>
      <c r="D2688" t="s">
        <v>8788</v>
      </c>
      <c r="E2688" t="e" cm="1">
        <f t="array" ref="E2688">- SUCRALFATE SUSPENSION</f>
        <v>#NAME?</v>
      </c>
      <c r="F2688" t="s">
        <v>8789</v>
      </c>
      <c r="G2688" t="s">
        <v>8790</v>
      </c>
      <c r="H2688" t="s">
        <v>8791</v>
      </c>
      <c r="I2688" t="s">
        <v>8792</v>
      </c>
      <c r="J2688" t="s">
        <v>374</v>
      </c>
      <c r="K2688" t="s">
        <v>8793</v>
      </c>
      <c r="L2688" t="s">
        <v>8794</v>
      </c>
      <c r="M2688" t="s">
        <v>340</v>
      </c>
      <c r="N2688" t="s">
        <v>2084</v>
      </c>
      <c r="O2688" t="s">
        <v>8795</v>
      </c>
      <c r="P2688" t="s">
        <v>8796</v>
      </c>
      <c r="Q2688" t="s">
        <v>12538</v>
      </c>
      <c r="R2688">
        <v>10</v>
      </c>
      <c r="S2688">
        <v>16</v>
      </c>
    </row>
    <row r="2689" spans="1:19" x14ac:dyDescent="0.35">
      <c r="A2689">
        <v>3010</v>
      </c>
      <c r="B2689" t="s">
        <v>8787</v>
      </c>
      <c r="C2689" t="s">
        <v>42</v>
      </c>
      <c r="D2689" t="s">
        <v>8788</v>
      </c>
      <c r="E2689" t="e" cm="1">
        <f t="array" ref="E2689">- SUCRALFATE SUSPENSION</f>
        <v>#NAME?</v>
      </c>
      <c r="F2689" t="s">
        <v>8789</v>
      </c>
      <c r="G2689" t="s">
        <v>8790</v>
      </c>
      <c r="H2689" t="s">
        <v>8791</v>
      </c>
      <c r="I2689" t="s">
        <v>8792</v>
      </c>
      <c r="J2689" t="s">
        <v>374</v>
      </c>
      <c r="K2689" t="s">
        <v>8793</v>
      </c>
      <c r="L2689" t="s">
        <v>8794</v>
      </c>
      <c r="M2689" t="s">
        <v>340</v>
      </c>
      <c r="N2689" t="s">
        <v>2084</v>
      </c>
      <c r="O2689" t="s">
        <v>8795</v>
      </c>
      <c r="P2689" t="s">
        <v>8796</v>
      </c>
      <c r="Q2689" t="s">
        <v>12538</v>
      </c>
      <c r="R2689">
        <v>10</v>
      </c>
      <c r="S2689">
        <v>16</v>
      </c>
    </row>
    <row r="2690" spans="1:19" x14ac:dyDescent="0.35">
      <c r="A2690">
        <v>7442</v>
      </c>
      <c r="B2690" t="s">
        <v>12504</v>
      </c>
      <c r="C2690" t="s">
        <v>42</v>
      </c>
      <c r="D2690" t="s">
        <v>12505</v>
      </c>
      <c r="E2690" t="e" cm="1">
        <f t="array" ref="E2690">- CALCIUM PANTOTHENATE</f>
        <v>#NAME?</v>
      </c>
      <c r="F2690" t="s">
        <v>12506</v>
      </c>
      <c r="G2690" t="s">
        <v>12507</v>
      </c>
      <c r="H2690" t="s">
        <v>12508</v>
      </c>
      <c r="I2690" t="s">
        <v>12509</v>
      </c>
      <c r="J2690" t="s">
        <v>12510</v>
      </c>
      <c r="K2690" t="s">
        <v>4677</v>
      </c>
      <c r="L2690" t="s">
        <v>12511</v>
      </c>
      <c r="M2690" t="s">
        <v>46</v>
      </c>
      <c r="N2690" t="s">
        <v>12512</v>
      </c>
      <c r="O2690" t="s">
        <v>12513</v>
      </c>
      <c r="P2690" t="s">
        <v>12514</v>
      </c>
      <c r="Q2690" t="s">
        <v>12515</v>
      </c>
      <c r="R2690">
        <v>10</v>
      </c>
      <c r="S2690">
        <v>16</v>
      </c>
    </row>
    <row r="2691" spans="1:19" x14ac:dyDescent="0.35">
      <c r="A2691">
        <v>130</v>
      </c>
      <c r="B2691" t="s">
        <v>2902</v>
      </c>
      <c r="C2691" t="s">
        <v>42</v>
      </c>
      <c r="D2691" t="s">
        <v>12539</v>
      </c>
      <c r="E2691" t="e" cm="1">
        <f t="array" ref="E2691">- SILDENAFIL CITRATE</f>
        <v>#NAME?</v>
      </c>
      <c r="F2691" t="s">
        <v>12540</v>
      </c>
      <c r="G2691" t="s">
        <v>8185</v>
      </c>
      <c r="H2691" t="s">
        <v>3854</v>
      </c>
      <c r="I2691" t="s">
        <v>8186</v>
      </c>
      <c r="J2691" t="s">
        <v>9621</v>
      </c>
      <c r="L2691" t="s">
        <v>8188</v>
      </c>
      <c r="M2691" t="s">
        <v>46</v>
      </c>
      <c r="N2691" t="s">
        <v>2519</v>
      </c>
      <c r="O2691" t="s">
        <v>8189</v>
      </c>
      <c r="P2691" t="s">
        <v>12541</v>
      </c>
      <c r="Q2691" t="s">
        <v>12542</v>
      </c>
      <c r="R2691">
        <v>10</v>
      </c>
      <c r="S2691">
        <v>16</v>
      </c>
    </row>
    <row r="2692" spans="1:19" x14ac:dyDescent="0.35">
      <c r="A2692">
        <v>2669</v>
      </c>
      <c r="B2692" t="s">
        <v>12543</v>
      </c>
      <c r="C2692" t="s">
        <v>42</v>
      </c>
      <c r="D2692" t="s">
        <v>12544</v>
      </c>
      <c r="E2692" t="e" cm="1">
        <f t="array" ref="E2692">- PARACETAMOL</f>
        <v>#NAME?</v>
      </c>
      <c r="F2692" s="1">
        <v>11400</v>
      </c>
      <c r="H2692" t="s">
        <v>12545</v>
      </c>
      <c r="I2692" t="s">
        <v>12546</v>
      </c>
      <c r="L2692" t="s">
        <v>270</v>
      </c>
      <c r="M2692" t="s">
        <v>720</v>
      </c>
      <c r="N2692" t="s">
        <v>584</v>
      </c>
      <c r="O2692" t="s">
        <v>12547</v>
      </c>
      <c r="P2692" t="s">
        <v>12548</v>
      </c>
      <c r="Q2692" t="s">
        <v>12549</v>
      </c>
      <c r="R2692">
        <v>10</v>
      </c>
      <c r="S2692">
        <v>16</v>
      </c>
    </row>
    <row r="2693" spans="1:19" x14ac:dyDescent="0.35">
      <c r="A2693">
        <v>1508</v>
      </c>
      <c r="B2693" t="s">
        <v>12550</v>
      </c>
      <c r="C2693" t="s">
        <v>42</v>
      </c>
      <c r="D2693" t="s">
        <v>12551</v>
      </c>
      <c r="E2693" t="e" cm="1">
        <f t="array" ref="E2693">- ACETYLCYSTEINE</f>
        <v>#NAME?</v>
      </c>
      <c r="F2693" t="s">
        <v>12552</v>
      </c>
      <c r="G2693" t="s">
        <v>2241</v>
      </c>
      <c r="H2693" t="s">
        <v>12553</v>
      </c>
      <c r="I2693" t="s">
        <v>11310</v>
      </c>
      <c r="J2693" t="s">
        <v>12554</v>
      </c>
      <c r="L2693" t="s">
        <v>12555</v>
      </c>
      <c r="M2693" t="s">
        <v>271</v>
      </c>
      <c r="N2693" t="s">
        <v>9045</v>
      </c>
      <c r="O2693" t="s">
        <v>11313</v>
      </c>
      <c r="P2693" t="s">
        <v>11314</v>
      </c>
      <c r="Q2693" t="s">
        <v>12556</v>
      </c>
      <c r="R2693">
        <v>10</v>
      </c>
      <c r="S2693">
        <v>16</v>
      </c>
    </row>
    <row r="2694" spans="1:19" x14ac:dyDescent="0.35">
      <c r="A2694">
        <v>6881</v>
      </c>
      <c r="B2694" t="s">
        <v>12557</v>
      </c>
      <c r="C2694" t="s">
        <v>850</v>
      </c>
      <c r="D2694" t="s">
        <v>12558</v>
      </c>
      <c r="E2694" t="e" cm="1">
        <f t="array" ref="E2694">- Camphor</f>
        <v>#NAME?</v>
      </c>
      <c r="F2694" t="s">
        <v>12559</v>
      </c>
      <c r="G2694" t="s">
        <v>12560</v>
      </c>
      <c r="H2694" t="s">
        <v>1322</v>
      </c>
      <c r="I2694" t="s">
        <v>12561</v>
      </c>
      <c r="J2694" t="s">
        <v>12562</v>
      </c>
      <c r="L2694" t="s">
        <v>12563</v>
      </c>
      <c r="N2694" t="s">
        <v>853</v>
      </c>
      <c r="O2694" t="s">
        <v>12564</v>
      </c>
      <c r="P2694" t="s">
        <v>12565</v>
      </c>
      <c r="Q2694" t="s">
        <v>12566</v>
      </c>
      <c r="R2694">
        <v>10</v>
      </c>
      <c r="S2694">
        <v>16</v>
      </c>
    </row>
    <row r="2695" spans="1:19" x14ac:dyDescent="0.35">
      <c r="A2695">
        <v>6888</v>
      </c>
      <c r="B2695" t="s">
        <v>12567</v>
      </c>
      <c r="C2695" t="s">
        <v>42</v>
      </c>
      <c r="D2695" t="s">
        <v>12568</v>
      </c>
      <c r="E2695" t="e" cm="1">
        <f t="array" ref="E2695">- EPERISONE</f>
        <v>#NAME?</v>
      </c>
      <c r="F2695" t="s">
        <v>12569</v>
      </c>
      <c r="G2695" t="s">
        <v>5923</v>
      </c>
      <c r="H2695" t="s">
        <v>12570</v>
      </c>
      <c r="I2695" t="s">
        <v>12571</v>
      </c>
      <c r="J2695" t="s">
        <v>10764</v>
      </c>
      <c r="K2695" t="s">
        <v>12572</v>
      </c>
      <c r="L2695" t="s">
        <v>12573</v>
      </c>
      <c r="M2695" t="s">
        <v>46</v>
      </c>
      <c r="N2695" t="s">
        <v>12574</v>
      </c>
      <c r="O2695" t="s">
        <v>12575</v>
      </c>
      <c r="P2695" t="s">
        <v>12576</v>
      </c>
      <c r="Q2695" t="s">
        <v>12577</v>
      </c>
      <c r="R2695">
        <v>10</v>
      </c>
      <c r="S2695">
        <v>16</v>
      </c>
    </row>
    <row r="2696" spans="1:19" x14ac:dyDescent="0.35">
      <c r="A2696">
        <v>2198</v>
      </c>
      <c r="B2696" t="s">
        <v>12578</v>
      </c>
      <c r="C2696" t="s">
        <v>42</v>
      </c>
      <c r="D2696" t="s">
        <v>12579</v>
      </c>
      <c r="E2696" t="e" cm="1">
        <f t="array" ref="E2696">- PARACETAMOL</f>
        <v>#NAME?</v>
      </c>
      <c r="F2696" t="s">
        <v>12580</v>
      </c>
      <c r="G2696" t="s">
        <v>12581</v>
      </c>
      <c r="H2696" t="s">
        <v>12582</v>
      </c>
      <c r="I2696" t="s">
        <v>12583</v>
      </c>
      <c r="J2696" t="s">
        <v>12584</v>
      </c>
      <c r="K2696" t="s">
        <v>12585</v>
      </c>
      <c r="L2696" t="s">
        <v>12586</v>
      </c>
      <c r="M2696" t="s">
        <v>720</v>
      </c>
      <c r="N2696" t="s">
        <v>584</v>
      </c>
      <c r="O2696" t="s">
        <v>12587</v>
      </c>
      <c r="P2696" t="s">
        <v>6854</v>
      </c>
      <c r="Q2696" t="s">
        <v>12588</v>
      </c>
      <c r="R2696">
        <v>10</v>
      </c>
      <c r="S2696">
        <v>16</v>
      </c>
    </row>
    <row r="2697" spans="1:19" x14ac:dyDescent="0.35">
      <c r="A2697">
        <v>2199</v>
      </c>
      <c r="B2697" t="s">
        <v>12578</v>
      </c>
      <c r="C2697" t="s">
        <v>42</v>
      </c>
      <c r="D2697" t="s">
        <v>12579</v>
      </c>
      <c r="E2697" t="e" cm="1">
        <f t="array" ref="E2697">- PARACETAMOL</f>
        <v>#NAME?</v>
      </c>
      <c r="F2697" t="s">
        <v>12580</v>
      </c>
      <c r="G2697" t="s">
        <v>12581</v>
      </c>
      <c r="H2697" t="s">
        <v>12582</v>
      </c>
      <c r="I2697" t="s">
        <v>12583</v>
      </c>
      <c r="J2697" t="s">
        <v>12584</v>
      </c>
      <c r="K2697" t="s">
        <v>12585</v>
      </c>
      <c r="L2697" t="s">
        <v>12586</v>
      </c>
      <c r="M2697" t="s">
        <v>720</v>
      </c>
      <c r="N2697" t="s">
        <v>584</v>
      </c>
      <c r="O2697" t="s">
        <v>12587</v>
      </c>
      <c r="P2697" t="s">
        <v>6854</v>
      </c>
      <c r="Q2697" t="s">
        <v>12588</v>
      </c>
      <c r="R2697">
        <v>10</v>
      </c>
      <c r="S2697">
        <v>16</v>
      </c>
    </row>
    <row r="2698" spans="1:19" x14ac:dyDescent="0.35">
      <c r="A2698">
        <v>6893</v>
      </c>
      <c r="B2698" t="s">
        <v>12589</v>
      </c>
      <c r="C2698" t="s">
        <v>42</v>
      </c>
      <c r="D2698" t="s">
        <v>12590</v>
      </c>
      <c r="E2698" t="e" cm="1">
        <f t="array" ref="E2698">- EPERISONE HYDROCHLORIDE</f>
        <v>#NAME?</v>
      </c>
      <c r="F2698" t="s">
        <v>12591</v>
      </c>
      <c r="G2698" t="s">
        <v>6135</v>
      </c>
      <c r="H2698" t="s">
        <v>12592</v>
      </c>
      <c r="I2698" t="s">
        <v>12593</v>
      </c>
      <c r="J2698" t="s">
        <v>12594</v>
      </c>
      <c r="K2698" t="s">
        <v>12595</v>
      </c>
      <c r="L2698" t="s">
        <v>12596</v>
      </c>
      <c r="M2698" t="s">
        <v>46</v>
      </c>
      <c r="N2698" t="s">
        <v>7745</v>
      </c>
      <c r="O2698" t="s">
        <v>12597</v>
      </c>
      <c r="P2698" t="s">
        <v>12598</v>
      </c>
      <c r="Q2698" t="s">
        <v>12599</v>
      </c>
      <c r="R2698">
        <v>10</v>
      </c>
      <c r="S2698">
        <v>16</v>
      </c>
    </row>
    <row r="2699" spans="1:19" x14ac:dyDescent="0.35">
      <c r="A2699">
        <v>2207</v>
      </c>
      <c r="B2699" t="s">
        <v>12600</v>
      </c>
      <c r="C2699" t="s">
        <v>42</v>
      </c>
      <c r="D2699" t="s">
        <v>12601</v>
      </c>
      <c r="E2699" t="e" cm="1">
        <f t="array" ref="E2699">- CAFFEINE</f>
        <v>#NAME?</v>
      </c>
      <c r="F2699" t="s">
        <v>12602</v>
      </c>
      <c r="G2699" t="s">
        <v>12603</v>
      </c>
      <c r="H2699" t="s">
        <v>12604</v>
      </c>
      <c r="I2699" t="s">
        <v>12605</v>
      </c>
      <c r="J2699" t="s">
        <v>12606</v>
      </c>
      <c r="K2699" t="s">
        <v>12607</v>
      </c>
      <c r="L2699" t="s">
        <v>12608</v>
      </c>
      <c r="M2699" t="s">
        <v>46</v>
      </c>
      <c r="N2699" t="s">
        <v>2359</v>
      </c>
      <c r="O2699" t="s">
        <v>12609</v>
      </c>
      <c r="P2699" t="s">
        <v>12610</v>
      </c>
      <c r="Q2699" t="s">
        <v>12611</v>
      </c>
      <c r="R2699">
        <v>10</v>
      </c>
      <c r="S2699">
        <v>16</v>
      </c>
    </row>
    <row r="2700" spans="1:19" x14ac:dyDescent="0.35">
      <c r="A2700">
        <v>6902</v>
      </c>
      <c r="B2700" t="s">
        <v>1803</v>
      </c>
      <c r="C2700" t="s">
        <v>42</v>
      </c>
      <c r="D2700" t="s">
        <v>12612</v>
      </c>
      <c r="E2700" t="e" cm="1">
        <f t="array" ref="E2700">- TIZANIDINE HYDROCHLORIDE</f>
        <v>#NAME?</v>
      </c>
      <c r="F2700" s="1">
        <v>21700</v>
      </c>
      <c r="G2700" t="s">
        <v>12613</v>
      </c>
      <c r="I2700" t="s">
        <v>12614</v>
      </c>
      <c r="J2700" t="s">
        <v>12615</v>
      </c>
      <c r="M2700" t="s">
        <v>46</v>
      </c>
      <c r="N2700" t="s">
        <v>1806</v>
      </c>
      <c r="O2700" t="s">
        <v>12616</v>
      </c>
      <c r="P2700" t="s">
        <v>12617</v>
      </c>
      <c r="Q2700" t="s">
        <v>12618</v>
      </c>
      <c r="R2700">
        <v>10</v>
      </c>
      <c r="S2700">
        <v>16</v>
      </c>
    </row>
    <row r="2701" spans="1:19" x14ac:dyDescent="0.35">
      <c r="A2701">
        <v>428</v>
      </c>
      <c r="B2701" t="s">
        <v>12619</v>
      </c>
      <c r="C2701" t="s">
        <v>20</v>
      </c>
      <c r="D2701" t="s">
        <v>12620</v>
      </c>
      <c r="E2701" t="s">
        <v>12621</v>
      </c>
      <c r="F2701" t="s">
        <v>12622</v>
      </c>
      <c r="H2701" t="s">
        <v>12623</v>
      </c>
      <c r="I2701" t="s">
        <v>12624</v>
      </c>
      <c r="J2701" t="s">
        <v>12625</v>
      </c>
      <c r="M2701" t="s">
        <v>38</v>
      </c>
      <c r="N2701" t="s">
        <v>12626</v>
      </c>
      <c r="O2701" t="s">
        <v>12627</v>
      </c>
      <c r="P2701" t="s">
        <v>12628</v>
      </c>
      <c r="Q2701" t="s">
        <v>12629</v>
      </c>
      <c r="R2701">
        <v>10</v>
      </c>
      <c r="S2701">
        <v>16</v>
      </c>
    </row>
    <row r="2702" spans="1:19" x14ac:dyDescent="0.35">
      <c r="A2702">
        <v>6905</v>
      </c>
      <c r="B2702" t="s">
        <v>1803</v>
      </c>
      <c r="C2702" t="s">
        <v>42</v>
      </c>
      <c r="D2702" t="s">
        <v>12630</v>
      </c>
      <c r="E2702" t="e" cm="1">
        <f t="array" ref="E2702">- TIZANIDINE HYDROCHLORIDE</f>
        <v>#NAME?</v>
      </c>
      <c r="F2702" t="s">
        <v>12631</v>
      </c>
      <c r="G2702" t="s">
        <v>8185</v>
      </c>
      <c r="H2702" t="s">
        <v>3854</v>
      </c>
      <c r="I2702" t="s">
        <v>8186</v>
      </c>
      <c r="J2702" t="s">
        <v>12632</v>
      </c>
      <c r="L2702" t="s">
        <v>8188</v>
      </c>
      <c r="M2702" t="s">
        <v>46</v>
      </c>
      <c r="N2702" t="s">
        <v>1806</v>
      </c>
      <c r="O2702" t="s">
        <v>8189</v>
      </c>
      <c r="P2702" t="s">
        <v>12633</v>
      </c>
      <c r="Q2702" t="s">
        <v>12634</v>
      </c>
      <c r="R2702">
        <v>10</v>
      </c>
      <c r="S2702">
        <v>16</v>
      </c>
    </row>
    <row r="2703" spans="1:19" x14ac:dyDescent="0.35">
      <c r="A2703">
        <v>6909</v>
      </c>
      <c r="B2703" t="s">
        <v>1803</v>
      </c>
      <c r="C2703" t="s">
        <v>42</v>
      </c>
      <c r="D2703" t="s">
        <v>12635</v>
      </c>
      <c r="E2703" t="e" cm="1">
        <f t="array" ref="E2703">- TIZANIDINE HYDROCHLORIDE</f>
        <v>#NAME?</v>
      </c>
      <c r="F2703" s="1">
        <v>70600</v>
      </c>
      <c r="G2703" t="s">
        <v>8185</v>
      </c>
      <c r="H2703" t="s">
        <v>3854</v>
      </c>
      <c r="I2703" t="s">
        <v>8186</v>
      </c>
      <c r="J2703" t="s">
        <v>12636</v>
      </c>
      <c r="L2703" t="s">
        <v>8188</v>
      </c>
      <c r="M2703" t="s">
        <v>46</v>
      </c>
      <c r="N2703" t="s">
        <v>1806</v>
      </c>
      <c r="O2703" t="s">
        <v>8189</v>
      </c>
      <c r="P2703" t="s">
        <v>12637</v>
      </c>
      <c r="Q2703" t="s">
        <v>12638</v>
      </c>
      <c r="R2703">
        <v>10</v>
      </c>
      <c r="S2703">
        <v>16</v>
      </c>
    </row>
    <row r="2704" spans="1:19" x14ac:dyDescent="0.35">
      <c r="A2704">
        <v>427</v>
      </c>
      <c r="B2704" t="s">
        <v>12619</v>
      </c>
      <c r="C2704" t="s">
        <v>20</v>
      </c>
      <c r="D2704" t="s">
        <v>12620</v>
      </c>
      <c r="E2704" t="s">
        <v>12621</v>
      </c>
      <c r="F2704" t="s">
        <v>12622</v>
      </c>
      <c r="H2704" t="s">
        <v>12623</v>
      </c>
      <c r="I2704" t="s">
        <v>12624</v>
      </c>
      <c r="J2704" t="s">
        <v>12625</v>
      </c>
      <c r="M2704" t="s">
        <v>38</v>
      </c>
      <c r="N2704" t="s">
        <v>12626</v>
      </c>
      <c r="O2704" t="s">
        <v>12627</v>
      </c>
      <c r="P2704" t="s">
        <v>12628</v>
      </c>
      <c r="Q2704" t="s">
        <v>12629</v>
      </c>
      <c r="R2704">
        <v>10</v>
      </c>
      <c r="S2704">
        <v>16</v>
      </c>
    </row>
    <row r="2705" spans="1:19" x14ac:dyDescent="0.35">
      <c r="A2705">
        <v>905</v>
      </c>
      <c r="B2705" t="s">
        <v>12639</v>
      </c>
      <c r="C2705" t="s">
        <v>42</v>
      </c>
      <c r="D2705" t="s">
        <v>12640</v>
      </c>
      <c r="E2705" t="e" cm="1">
        <f t="array" ref="E2705">- CHLORPHENAMINE MALEATE</f>
        <v>#NAME?</v>
      </c>
      <c r="F2705" t="s">
        <v>12641</v>
      </c>
      <c r="G2705" t="s">
        <v>60</v>
      </c>
      <c r="H2705" t="s">
        <v>12642</v>
      </c>
      <c r="I2705" t="s">
        <v>12643</v>
      </c>
      <c r="J2705" t="s">
        <v>12644</v>
      </c>
      <c r="K2705" t="s">
        <v>12645</v>
      </c>
      <c r="L2705" t="s">
        <v>12646</v>
      </c>
      <c r="M2705" t="s">
        <v>46</v>
      </c>
      <c r="N2705" t="s">
        <v>1354</v>
      </c>
      <c r="O2705" t="s">
        <v>12647</v>
      </c>
      <c r="P2705" t="s">
        <v>12648</v>
      </c>
      <c r="Q2705" t="s">
        <v>12649</v>
      </c>
      <c r="R2705">
        <v>10</v>
      </c>
      <c r="S2705">
        <v>16</v>
      </c>
    </row>
    <row r="2706" spans="1:19" x14ac:dyDescent="0.35">
      <c r="A2706">
        <v>6916</v>
      </c>
      <c r="B2706" t="s">
        <v>1803</v>
      </c>
      <c r="C2706" t="s">
        <v>42</v>
      </c>
      <c r="D2706" t="s">
        <v>12650</v>
      </c>
      <c r="E2706" t="e" cm="1">
        <f t="array" ref="E2706">- TIZANIDINE HYDROCHLORIDE</f>
        <v>#NAME?</v>
      </c>
      <c r="F2706" t="s">
        <v>12651</v>
      </c>
      <c r="G2706" t="s">
        <v>8185</v>
      </c>
      <c r="H2706" t="s">
        <v>3854</v>
      </c>
      <c r="I2706" t="s">
        <v>8186</v>
      </c>
      <c r="J2706" t="s">
        <v>8980</v>
      </c>
      <c r="L2706" t="s">
        <v>8188</v>
      </c>
      <c r="M2706" t="s">
        <v>46</v>
      </c>
      <c r="N2706" t="s">
        <v>1806</v>
      </c>
      <c r="O2706" t="s">
        <v>8189</v>
      </c>
      <c r="P2706" t="s">
        <v>12652</v>
      </c>
      <c r="Q2706" t="s">
        <v>12653</v>
      </c>
      <c r="R2706">
        <v>10</v>
      </c>
      <c r="S2706">
        <v>16</v>
      </c>
    </row>
    <row r="2707" spans="1:19" x14ac:dyDescent="0.35">
      <c r="A2707">
        <v>6917</v>
      </c>
      <c r="B2707" t="s">
        <v>1803</v>
      </c>
      <c r="C2707" t="s">
        <v>42</v>
      </c>
      <c r="D2707" t="s">
        <v>12654</v>
      </c>
      <c r="E2707" t="e" cm="1">
        <f t="array" ref="E2707">- TIZANIDINE HYDROCHLORIDE</f>
        <v>#NAME?</v>
      </c>
      <c r="F2707" t="s">
        <v>12655</v>
      </c>
      <c r="G2707" t="s">
        <v>8185</v>
      </c>
      <c r="H2707" t="s">
        <v>3854</v>
      </c>
      <c r="I2707" t="s">
        <v>8186</v>
      </c>
      <c r="J2707" t="s">
        <v>8980</v>
      </c>
      <c r="L2707" t="s">
        <v>8188</v>
      </c>
      <c r="M2707" t="s">
        <v>46</v>
      </c>
      <c r="N2707" t="s">
        <v>1806</v>
      </c>
      <c r="O2707" t="s">
        <v>8189</v>
      </c>
      <c r="P2707" t="s">
        <v>12656</v>
      </c>
      <c r="Q2707" t="s">
        <v>12657</v>
      </c>
      <c r="R2707">
        <v>10</v>
      </c>
      <c r="S2707">
        <v>16</v>
      </c>
    </row>
    <row r="2708" spans="1:19" x14ac:dyDescent="0.35">
      <c r="A2708">
        <v>6919</v>
      </c>
      <c r="B2708" t="s">
        <v>1803</v>
      </c>
      <c r="C2708" t="s">
        <v>42</v>
      </c>
      <c r="D2708" t="s">
        <v>12658</v>
      </c>
      <c r="E2708" t="e" cm="1">
        <f t="array" ref="E2708">- TIZANIDINE HYDROCHLORIDE</f>
        <v>#NAME?</v>
      </c>
      <c r="F2708" t="s">
        <v>12659</v>
      </c>
      <c r="G2708" t="s">
        <v>8185</v>
      </c>
      <c r="H2708" t="s">
        <v>8383</v>
      </c>
      <c r="I2708" t="s">
        <v>8186</v>
      </c>
      <c r="J2708" t="s">
        <v>9661</v>
      </c>
      <c r="L2708" t="s">
        <v>8188</v>
      </c>
      <c r="M2708" t="s">
        <v>46</v>
      </c>
      <c r="N2708" t="s">
        <v>1806</v>
      </c>
      <c r="O2708" t="s">
        <v>8189</v>
      </c>
      <c r="P2708" t="s">
        <v>12660</v>
      </c>
      <c r="Q2708" t="s">
        <v>12661</v>
      </c>
      <c r="R2708">
        <v>10</v>
      </c>
      <c r="S2708">
        <v>16</v>
      </c>
    </row>
    <row r="2709" spans="1:19" x14ac:dyDescent="0.35">
      <c r="A2709">
        <v>6920</v>
      </c>
      <c r="B2709" t="s">
        <v>1803</v>
      </c>
      <c r="C2709" t="s">
        <v>42</v>
      </c>
      <c r="D2709" t="s">
        <v>12662</v>
      </c>
      <c r="E2709" t="e" cm="1">
        <f t="array" ref="E2709">- TIZANIDINE HYDROCHLORIDE</f>
        <v>#NAME?</v>
      </c>
      <c r="F2709" s="1">
        <v>25500</v>
      </c>
      <c r="G2709" t="s">
        <v>8185</v>
      </c>
      <c r="H2709" t="s">
        <v>3854</v>
      </c>
      <c r="I2709" t="s">
        <v>8186</v>
      </c>
      <c r="J2709" t="s">
        <v>6198</v>
      </c>
      <c r="L2709" t="s">
        <v>8188</v>
      </c>
      <c r="M2709" t="s">
        <v>46</v>
      </c>
      <c r="N2709" t="s">
        <v>1806</v>
      </c>
      <c r="O2709" t="s">
        <v>8189</v>
      </c>
      <c r="P2709" t="s">
        <v>12637</v>
      </c>
      <c r="Q2709" t="s">
        <v>12638</v>
      </c>
      <c r="R2709">
        <v>10</v>
      </c>
      <c r="S2709">
        <v>16</v>
      </c>
    </row>
    <row r="2710" spans="1:19" x14ac:dyDescent="0.35">
      <c r="A2710">
        <v>6921</v>
      </c>
      <c r="B2710" t="s">
        <v>1803</v>
      </c>
      <c r="C2710" t="s">
        <v>42</v>
      </c>
      <c r="D2710" t="s">
        <v>12663</v>
      </c>
      <c r="E2710" t="e" cm="1">
        <f t="array" ref="E2710">- TIZANIDINE HYDROCHLORIDE</f>
        <v>#NAME?</v>
      </c>
      <c r="F2710" t="s">
        <v>12664</v>
      </c>
      <c r="G2710" t="s">
        <v>8185</v>
      </c>
      <c r="H2710" t="s">
        <v>3854</v>
      </c>
      <c r="I2710" t="s">
        <v>8186</v>
      </c>
      <c r="J2710" t="s">
        <v>9149</v>
      </c>
      <c r="L2710" t="s">
        <v>8188</v>
      </c>
      <c r="M2710" t="s">
        <v>46</v>
      </c>
      <c r="N2710" t="s">
        <v>1806</v>
      </c>
      <c r="O2710" t="s">
        <v>8189</v>
      </c>
      <c r="P2710" t="s">
        <v>12665</v>
      </c>
      <c r="Q2710" t="s">
        <v>12666</v>
      </c>
      <c r="R2710">
        <v>10</v>
      </c>
      <c r="S2710">
        <v>16</v>
      </c>
    </row>
    <row r="2711" spans="1:19" x14ac:dyDescent="0.35">
      <c r="A2711">
        <v>6923</v>
      </c>
      <c r="B2711" t="s">
        <v>1803</v>
      </c>
      <c r="C2711" t="s">
        <v>42</v>
      </c>
      <c r="D2711" t="s">
        <v>11432</v>
      </c>
      <c r="E2711" t="e" cm="1">
        <f t="array" ref="E2711">- TIZANIDINE HYDROCHLORIDE</f>
        <v>#NAME?</v>
      </c>
      <c r="F2711" t="s">
        <v>11433</v>
      </c>
      <c r="G2711" t="s">
        <v>8185</v>
      </c>
      <c r="H2711" t="s">
        <v>3854</v>
      </c>
      <c r="I2711" t="s">
        <v>8186</v>
      </c>
      <c r="J2711" t="s">
        <v>9149</v>
      </c>
      <c r="L2711" t="s">
        <v>8188</v>
      </c>
      <c r="M2711" t="s">
        <v>46</v>
      </c>
      <c r="N2711" t="s">
        <v>1806</v>
      </c>
      <c r="O2711" t="s">
        <v>8189</v>
      </c>
      <c r="P2711" t="s">
        <v>11434</v>
      </c>
      <c r="Q2711" t="s">
        <v>12667</v>
      </c>
      <c r="R2711">
        <v>10</v>
      </c>
      <c r="S2711">
        <v>16</v>
      </c>
    </row>
    <row r="2712" spans="1:19" x14ac:dyDescent="0.35">
      <c r="A2712">
        <v>64</v>
      </c>
      <c r="B2712" t="s">
        <v>2902</v>
      </c>
      <c r="C2712" t="s">
        <v>42</v>
      </c>
      <c r="D2712" t="s">
        <v>12668</v>
      </c>
      <c r="E2712" t="e" cm="1">
        <f t="array" ref="E2712">- SILDENAFIL CITRATE</f>
        <v>#NAME?</v>
      </c>
      <c r="F2712" s="1">
        <v>19900</v>
      </c>
      <c r="G2712" t="s">
        <v>8185</v>
      </c>
      <c r="H2712" t="s">
        <v>8383</v>
      </c>
      <c r="I2712" t="s">
        <v>8186</v>
      </c>
      <c r="J2712" t="s">
        <v>9507</v>
      </c>
      <c r="L2712" t="s">
        <v>11662</v>
      </c>
      <c r="M2712" t="s">
        <v>46</v>
      </c>
      <c r="N2712" t="s">
        <v>2519</v>
      </c>
      <c r="O2712" t="s">
        <v>8189</v>
      </c>
      <c r="P2712" t="s">
        <v>11663</v>
      </c>
      <c r="Q2712" t="s">
        <v>11664</v>
      </c>
      <c r="R2712">
        <v>10</v>
      </c>
      <c r="S2712">
        <v>16</v>
      </c>
    </row>
    <row r="2713" spans="1:19" x14ac:dyDescent="0.35">
      <c r="A2713">
        <v>9361</v>
      </c>
      <c r="B2713" t="s">
        <v>6301</v>
      </c>
      <c r="C2713" t="s">
        <v>42</v>
      </c>
      <c r="D2713" t="s">
        <v>12669</v>
      </c>
      <c r="E2713" t="s">
        <v>6303</v>
      </c>
      <c r="F2713" t="s">
        <v>12670</v>
      </c>
      <c r="J2713" t="s">
        <v>12671</v>
      </c>
      <c r="M2713" t="s">
        <v>46</v>
      </c>
      <c r="N2713" t="s">
        <v>6304</v>
      </c>
      <c r="P2713" t="s">
        <v>12672</v>
      </c>
      <c r="Q2713" t="s">
        <v>12673</v>
      </c>
      <c r="R2713">
        <v>10</v>
      </c>
      <c r="S2713">
        <v>16</v>
      </c>
    </row>
    <row r="2714" spans="1:19" x14ac:dyDescent="0.35">
      <c r="A2714">
        <v>65</v>
      </c>
      <c r="B2714" t="s">
        <v>2902</v>
      </c>
      <c r="C2714" t="s">
        <v>42</v>
      </c>
      <c r="D2714" t="s">
        <v>12674</v>
      </c>
      <c r="E2714" t="e" cm="1">
        <f t="array" ref="E2714">- SILDENAFIL CITRATE</f>
        <v>#NAME?</v>
      </c>
      <c r="F2714" t="s">
        <v>12675</v>
      </c>
      <c r="G2714" t="s">
        <v>9171</v>
      </c>
      <c r="H2714" t="s">
        <v>9172</v>
      </c>
      <c r="I2714" t="s">
        <v>5601</v>
      </c>
      <c r="J2714" t="s">
        <v>12676</v>
      </c>
      <c r="M2714" t="s">
        <v>46</v>
      </c>
      <c r="N2714" t="s">
        <v>2519</v>
      </c>
      <c r="O2714" t="s">
        <v>5603</v>
      </c>
      <c r="P2714" t="s">
        <v>12677</v>
      </c>
      <c r="Q2714" t="s">
        <v>12678</v>
      </c>
      <c r="R2714">
        <v>10</v>
      </c>
      <c r="S2714">
        <v>16</v>
      </c>
    </row>
    <row r="2715" spans="1:19" x14ac:dyDescent="0.35">
      <c r="A2715">
        <v>9346</v>
      </c>
      <c r="B2715" t="s">
        <v>6301</v>
      </c>
      <c r="C2715" t="s">
        <v>42</v>
      </c>
      <c r="D2715" t="s">
        <v>12679</v>
      </c>
      <c r="E2715" t="s">
        <v>6303</v>
      </c>
      <c r="F2715" t="s">
        <v>12680</v>
      </c>
      <c r="G2715" t="s">
        <v>11833</v>
      </c>
      <c r="H2715" t="s">
        <v>1322</v>
      </c>
      <c r="I2715" t="s">
        <v>12681</v>
      </c>
      <c r="J2715" t="s">
        <v>11841</v>
      </c>
      <c r="M2715" t="s">
        <v>46</v>
      </c>
      <c r="N2715" t="s">
        <v>6304</v>
      </c>
      <c r="O2715" t="s">
        <v>12682</v>
      </c>
      <c r="P2715" t="s">
        <v>12683</v>
      </c>
      <c r="Q2715" t="s">
        <v>12684</v>
      </c>
      <c r="R2715">
        <v>10</v>
      </c>
      <c r="S2715">
        <v>16</v>
      </c>
    </row>
    <row r="2716" spans="1:19" x14ac:dyDescent="0.35">
      <c r="A2716">
        <v>6912</v>
      </c>
      <c r="B2716" t="s">
        <v>1803</v>
      </c>
      <c r="C2716" t="s">
        <v>42</v>
      </c>
      <c r="D2716" t="s">
        <v>12685</v>
      </c>
      <c r="E2716" t="e" cm="1">
        <f t="array" ref="E2716">- TIZANIDINE HYDROCHLORIDE</f>
        <v>#NAME?</v>
      </c>
      <c r="F2716" t="s">
        <v>12686</v>
      </c>
      <c r="G2716" t="s">
        <v>8185</v>
      </c>
      <c r="H2716" t="s">
        <v>3854</v>
      </c>
      <c r="I2716" t="s">
        <v>8186</v>
      </c>
      <c r="J2716" t="s">
        <v>9799</v>
      </c>
      <c r="L2716" t="s">
        <v>10925</v>
      </c>
      <c r="M2716" t="s">
        <v>46</v>
      </c>
      <c r="N2716" t="s">
        <v>1806</v>
      </c>
      <c r="O2716" t="s">
        <v>8189</v>
      </c>
      <c r="P2716" t="s">
        <v>12687</v>
      </c>
      <c r="Q2716" t="s">
        <v>12688</v>
      </c>
      <c r="R2716">
        <v>10</v>
      </c>
      <c r="S2716">
        <v>16</v>
      </c>
    </row>
    <row r="2717" spans="1:19" x14ac:dyDescent="0.35">
      <c r="A2717">
        <v>6864</v>
      </c>
      <c r="B2717" t="s">
        <v>12689</v>
      </c>
      <c r="C2717" t="s">
        <v>42</v>
      </c>
      <c r="D2717" t="s">
        <v>12690</v>
      </c>
      <c r="E2717" t="e" cm="1">
        <f t="array" ref="E2717">- EPERISONE</f>
        <v>#NAME?</v>
      </c>
      <c r="F2717" t="s">
        <v>12691</v>
      </c>
      <c r="G2717" t="s">
        <v>2241</v>
      </c>
      <c r="H2717" t="s">
        <v>12570</v>
      </c>
      <c r="I2717" t="s">
        <v>12571</v>
      </c>
      <c r="J2717" t="s">
        <v>381</v>
      </c>
      <c r="K2717" t="s">
        <v>12572</v>
      </c>
      <c r="L2717" t="s">
        <v>12573</v>
      </c>
      <c r="M2717" t="s">
        <v>46</v>
      </c>
      <c r="N2717" t="s">
        <v>12574</v>
      </c>
      <c r="O2717" t="s">
        <v>12575</v>
      </c>
      <c r="P2717" t="s">
        <v>12692</v>
      </c>
      <c r="Q2717" t="s">
        <v>12693</v>
      </c>
      <c r="R2717">
        <v>10</v>
      </c>
      <c r="S2717">
        <v>16</v>
      </c>
    </row>
    <row r="2718" spans="1:19" x14ac:dyDescent="0.35">
      <c r="A2718">
        <v>55</v>
      </c>
      <c r="B2718" t="s">
        <v>2902</v>
      </c>
      <c r="C2718" t="s">
        <v>42</v>
      </c>
      <c r="D2718" t="s">
        <v>12635</v>
      </c>
      <c r="E2718" t="e" cm="1">
        <f t="array" ref="E2718">- SILDENAFIL CITRATE</f>
        <v>#NAME?</v>
      </c>
      <c r="F2718" s="1">
        <v>70600</v>
      </c>
      <c r="G2718" t="s">
        <v>8185</v>
      </c>
      <c r="H2718" t="s">
        <v>3854</v>
      </c>
      <c r="I2718" t="s">
        <v>8186</v>
      </c>
      <c r="J2718" t="s">
        <v>12636</v>
      </c>
      <c r="L2718" t="s">
        <v>8188</v>
      </c>
      <c r="M2718" t="s">
        <v>46</v>
      </c>
      <c r="N2718" t="s">
        <v>2519</v>
      </c>
      <c r="O2718" t="s">
        <v>8189</v>
      </c>
      <c r="P2718" t="s">
        <v>12637</v>
      </c>
      <c r="Q2718" t="s">
        <v>12694</v>
      </c>
      <c r="R2718">
        <v>10</v>
      </c>
      <c r="S2718">
        <v>16</v>
      </c>
    </row>
    <row r="2719" spans="1:19" x14ac:dyDescent="0.35">
      <c r="A2719">
        <v>1507</v>
      </c>
      <c r="B2719" t="s">
        <v>12550</v>
      </c>
      <c r="C2719" t="s">
        <v>42</v>
      </c>
      <c r="D2719" t="s">
        <v>12551</v>
      </c>
      <c r="E2719" t="e" cm="1">
        <f t="array" ref="E2719">- ACETYLCYSTEINE</f>
        <v>#NAME?</v>
      </c>
      <c r="F2719" t="s">
        <v>12552</v>
      </c>
      <c r="G2719" t="s">
        <v>2241</v>
      </c>
      <c r="H2719" t="s">
        <v>12553</v>
      </c>
      <c r="I2719" t="s">
        <v>11310</v>
      </c>
      <c r="J2719" t="s">
        <v>12554</v>
      </c>
      <c r="L2719" t="s">
        <v>12555</v>
      </c>
      <c r="M2719" t="s">
        <v>271</v>
      </c>
      <c r="N2719" t="s">
        <v>9045</v>
      </c>
      <c r="O2719" t="s">
        <v>11313</v>
      </c>
      <c r="P2719" t="s">
        <v>11314</v>
      </c>
      <c r="Q2719" t="s">
        <v>12556</v>
      </c>
      <c r="R2719">
        <v>10</v>
      </c>
      <c r="S2719">
        <v>16</v>
      </c>
    </row>
    <row r="2720" spans="1:19" x14ac:dyDescent="0.35">
      <c r="A2720">
        <v>2094</v>
      </c>
      <c r="B2720" t="s">
        <v>12695</v>
      </c>
      <c r="C2720" t="s">
        <v>42</v>
      </c>
      <c r="D2720" t="s">
        <v>12696</v>
      </c>
      <c r="E2720" t="e" cm="1">
        <f t="array" ref="E2720">- CAFFEINE</f>
        <v>#NAME?</v>
      </c>
      <c r="F2720" t="s">
        <v>12697</v>
      </c>
      <c r="G2720" t="s">
        <v>2617</v>
      </c>
      <c r="H2720" t="s">
        <v>12698</v>
      </c>
      <c r="I2720" t="s">
        <v>12699</v>
      </c>
      <c r="J2720" t="s">
        <v>12700</v>
      </c>
      <c r="K2720" t="s">
        <v>12701</v>
      </c>
      <c r="L2720" t="s">
        <v>12702</v>
      </c>
      <c r="M2720" t="s">
        <v>291</v>
      </c>
      <c r="N2720" t="s">
        <v>2359</v>
      </c>
      <c r="O2720" t="s">
        <v>12703</v>
      </c>
      <c r="P2720" t="s">
        <v>12704</v>
      </c>
      <c r="Q2720" t="s">
        <v>12705</v>
      </c>
      <c r="R2720">
        <v>10</v>
      </c>
      <c r="S2720">
        <v>16</v>
      </c>
    </row>
    <row r="2721" spans="1:19" x14ac:dyDescent="0.35">
      <c r="A2721">
        <v>9773</v>
      </c>
      <c r="B2721" t="s">
        <v>12706</v>
      </c>
      <c r="C2721" t="s">
        <v>42</v>
      </c>
      <c r="D2721" t="s">
        <v>12707</v>
      </c>
      <c r="E2721" t="e" cm="1">
        <f t="array" ref="E2721">- SIMVASTATIN</f>
        <v>#NAME?</v>
      </c>
      <c r="F2721" t="s">
        <v>12708</v>
      </c>
      <c r="G2721" t="s">
        <v>60</v>
      </c>
      <c r="H2721" t="s">
        <v>12709</v>
      </c>
      <c r="I2721" t="s">
        <v>12710</v>
      </c>
      <c r="J2721" t="s">
        <v>12711</v>
      </c>
      <c r="K2721" t="s">
        <v>6720</v>
      </c>
      <c r="L2721" t="s">
        <v>6721</v>
      </c>
      <c r="M2721" t="s">
        <v>46</v>
      </c>
      <c r="N2721" t="s">
        <v>1150</v>
      </c>
      <c r="O2721" t="s">
        <v>12712</v>
      </c>
      <c r="P2721" t="s">
        <v>1151</v>
      </c>
      <c r="Q2721" t="s">
        <v>12713</v>
      </c>
      <c r="R2721">
        <v>10</v>
      </c>
      <c r="S2721">
        <v>16</v>
      </c>
    </row>
    <row r="2722" spans="1:19" x14ac:dyDescent="0.35">
      <c r="A2722">
        <v>9770</v>
      </c>
      <c r="B2722" t="s">
        <v>12714</v>
      </c>
      <c r="C2722" t="s">
        <v>42</v>
      </c>
      <c r="D2722" t="s">
        <v>12715</v>
      </c>
      <c r="E2722" t="e" cm="1">
        <f t="array" ref="E2722">- SIMVASTATIN</f>
        <v>#NAME?</v>
      </c>
      <c r="F2722" s="1">
        <v>2500</v>
      </c>
      <c r="G2722" t="s">
        <v>12716</v>
      </c>
      <c r="H2722" t="s">
        <v>6718</v>
      </c>
      <c r="I2722" t="s">
        <v>12710</v>
      </c>
      <c r="J2722" t="s">
        <v>1093</v>
      </c>
      <c r="M2722" t="s">
        <v>46</v>
      </c>
      <c r="N2722" t="s">
        <v>1150</v>
      </c>
      <c r="O2722" t="s">
        <v>12712</v>
      </c>
      <c r="P2722" t="s">
        <v>12717</v>
      </c>
      <c r="Q2722" t="s">
        <v>12718</v>
      </c>
      <c r="R2722">
        <v>10</v>
      </c>
      <c r="S2722">
        <v>16</v>
      </c>
    </row>
    <row r="2723" spans="1:19" x14ac:dyDescent="0.35">
      <c r="A2723">
        <v>892</v>
      </c>
      <c r="B2723" t="s">
        <v>12719</v>
      </c>
      <c r="C2723" t="s">
        <v>42</v>
      </c>
      <c r="D2723" t="s">
        <v>12720</v>
      </c>
      <c r="E2723" t="e" cm="1">
        <f t="array" ref="E2723">- PSEUDOEPHEDRINE HYDROCHLORIDE</f>
        <v>#NAME?</v>
      </c>
      <c r="F2723" t="s">
        <v>12721</v>
      </c>
      <c r="G2723" t="s">
        <v>2241</v>
      </c>
      <c r="H2723" t="s">
        <v>12722</v>
      </c>
      <c r="I2723" t="s">
        <v>12723</v>
      </c>
      <c r="J2723" t="s">
        <v>630</v>
      </c>
      <c r="K2723" t="s">
        <v>12724</v>
      </c>
      <c r="L2723" t="s">
        <v>12725</v>
      </c>
      <c r="M2723" t="s">
        <v>271</v>
      </c>
      <c r="N2723" t="s">
        <v>8326</v>
      </c>
      <c r="O2723" t="s">
        <v>12726</v>
      </c>
      <c r="P2723" t="s">
        <v>12727</v>
      </c>
      <c r="Q2723" t="s">
        <v>12728</v>
      </c>
      <c r="R2723">
        <v>10</v>
      </c>
      <c r="S2723">
        <v>16</v>
      </c>
    </row>
    <row r="2724" spans="1:19" x14ac:dyDescent="0.35">
      <c r="A2724">
        <v>4098</v>
      </c>
      <c r="B2724" t="s">
        <v>12729</v>
      </c>
      <c r="C2724" t="s">
        <v>42</v>
      </c>
      <c r="D2724" t="s">
        <v>12730</v>
      </c>
      <c r="E2724" t="e" cm="1">
        <f t="array" ref="E2724">- CLOROTEPINE MALEATE</f>
        <v>#NAME?</v>
      </c>
      <c r="F2724" t="s">
        <v>12731</v>
      </c>
      <c r="G2724" t="s">
        <v>2241</v>
      </c>
      <c r="H2724" t="s">
        <v>12732</v>
      </c>
      <c r="I2724" t="s">
        <v>12733</v>
      </c>
      <c r="J2724" t="s">
        <v>12734</v>
      </c>
      <c r="K2724" t="s">
        <v>2726</v>
      </c>
      <c r="L2724" t="s">
        <v>12735</v>
      </c>
      <c r="M2724" t="s">
        <v>291</v>
      </c>
      <c r="N2724" t="s">
        <v>12736</v>
      </c>
      <c r="O2724" t="s">
        <v>12737</v>
      </c>
      <c r="P2724" t="s">
        <v>12738</v>
      </c>
      <c r="Q2724" t="s">
        <v>12739</v>
      </c>
      <c r="R2724">
        <v>10</v>
      </c>
      <c r="S2724">
        <v>16</v>
      </c>
    </row>
    <row r="2725" spans="1:19" x14ac:dyDescent="0.35">
      <c r="A2725">
        <v>4097</v>
      </c>
      <c r="B2725" t="s">
        <v>12729</v>
      </c>
      <c r="C2725" t="s">
        <v>42</v>
      </c>
      <c r="D2725" t="s">
        <v>12730</v>
      </c>
      <c r="E2725" t="e" cm="1">
        <f t="array" ref="E2725">- CHLORPHENAMINE MALEATE</f>
        <v>#NAME?</v>
      </c>
      <c r="F2725" t="s">
        <v>12731</v>
      </c>
      <c r="G2725" t="s">
        <v>2241</v>
      </c>
      <c r="H2725" t="s">
        <v>12732</v>
      </c>
      <c r="I2725" t="s">
        <v>12733</v>
      </c>
      <c r="J2725" t="s">
        <v>12734</v>
      </c>
      <c r="K2725" t="s">
        <v>2726</v>
      </c>
      <c r="L2725" t="s">
        <v>12735</v>
      </c>
      <c r="M2725" t="s">
        <v>291</v>
      </c>
      <c r="N2725" t="s">
        <v>1354</v>
      </c>
      <c r="O2725" t="s">
        <v>12737</v>
      </c>
      <c r="P2725" t="s">
        <v>12738</v>
      </c>
      <c r="Q2725" t="s">
        <v>12740</v>
      </c>
      <c r="R2725">
        <v>10</v>
      </c>
      <c r="S2725">
        <v>16</v>
      </c>
    </row>
    <row r="2726" spans="1:19" x14ac:dyDescent="0.35">
      <c r="A2726">
        <v>47</v>
      </c>
      <c r="B2726" t="s">
        <v>2902</v>
      </c>
      <c r="C2726" t="s">
        <v>42</v>
      </c>
      <c r="D2726" t="s">
        <v>12741</v>
      </c>
      <c r="E2726" t="e" cm="1">
        <f t="array" ref="E2726">- SILDENAFIL CITRATE</f>
        <v>#NAME?</v>
      </c>
      <c r="F2726" t="s">
        <v>12742</v>
      </c>
      <c r="G2726" t="s">
        <v>8185</v>
      </c>
      <c r="H2726" t="s">
        <v>3854</v>
      </c>
      <c r="I2726" t="s">
        <v>8186</v>
      </c>
      <c r="J2726" t="s">
        <v>8479</v>
      </c>
      <c r="L2726" t="s">
        <v>8188</v>
      </c>
      <c r="M2726" t="s">
        <v>46</v>
      </c>
      <c r="N2726" t="s">
        <v>2519</v>
      </c>
      <c r="O2726" t="s">
        <v>8189</v>
      </c>
      <c r="P2726" t="s">
        <v>12652</v>
      </c>
      <c r="Q2726" t="s">
        <v>12743</v>
      </c>
      <c r="R2726">
        <v>10</v>
      </c>
      <c r="S2726">
        <v>16</v>
      </c>
    </row>
    <row r="2727" spans="1:19" x14ac:dyDescent="0.35">
      <c r="A2727">
        <v>9755</v>
      </c>
      <c r="B2727" t="s">
        <v>12744</v>
      </c>
      <c r="C2727" t="s">
        <v>20</v>
      </c>
      <c r="D2727" t="s">
        <v>12745</v>
      </c>
      <c r="E2727" t="s">
        <v>12746</v>
      </c>
      <c r="F2727" t="s">
        <v>12747</v>
      </c>
      <c r="G2727" t="s">
        <v>4545</v>
      </c>
      <c r="H2727" t="s">
        <v>12748</v>
      </c>
      <c r="I2727" t="s">
        <v>12749</v>
      </c>
      <c r="J2727" t="s">
        <v>5765</v>
      </c>
      <c r="M2727" t="s">
        <v>38</v>
      </c>
      <c r="N2727" t="s">
        <v>12750</v>
      </c>
      <c r="O2727" t="s">
        <v>12751</v>
      </c>
      <c r="P2727" t="s">
        <v>12752</v>
      </c>
      <c r="Q2727" t="s">
        <v>12753</v>
      </c>
      <c r="R2727">
        <v>10</v>
      </c>
      <c r="S2727">
        <v>16</v>
      </c>
    </row>
    <row r="2728" spans="1:19" x14ac:dyDescent="0.35">
      <c r="A2728">
        <v>49</v>
      </c>
      <c r="B2728" t="s">
        <v>2902</v>
      </c>
      <c r="C2728" t="s">
        <v>42</v>
      </c>
      <c r="D2728" t="s">
        <v>12754</v>
      </c>
      <c r="E2728" t="e" cm="1">
        <f t="array" ref="E2728">- SILDENAFIL CITRATE</f>
        <v>#NAME?</v>
      </c>
      <c r="F2728" s="1">
        <v>17900</v>
      </c>
      <c r="H2728" t="s">
        <v>3854</v>
      </c>
      <c r="I2728" t="s">
        <v>8186</v>
      </c>
      <c r="J2728" t="s">
        <v>8479</v>
      </c>
      <c r="M2728" t="s">
        <v>46</v>
      </c>
      <c r="N2728" t="s">
        <v>2519</v>
      </c>
      <c r="O2728" t="s">
        <v>8189</v>
      </c>
      <c r="P2728" t="s">
        <v>12755</v>
      </c>
      <c r="Q2728" t="s">
        <v>12756</v>
      </c>
      <c r="R2728">
        <v>10</v>
      </c>
      <c r="S2728">
        <v>16</v>
      </c>
    </row>
    <row r="2729" spans="1:19" x14ac:dyDescent="0.35">
      <c r="A2729">
        <v>9736</v>
      </c>
      <c r="B2729" t="s">
        <v>12757</v>
      </c>
      <c r="C2729" t="s">
        <v>42</v>
      </c>
      <c r="D2729" t="s">
        <v>12758</v>
      </c>
      <c r="E2729" t="e" cm="1">
        <f t="array" ref="E2729">- SIMVASTATIN</f>
        <v>#NAME?</v>
      </c>
      <c r="F2729" t="s">
        <v>12759</v>
      </c>
      <c r="G2729" t="s">
        <v>12760</v>
      </c>
      <c r="H2729" t="s">
        <v>6718</v>
      </c>
      <c r="I2729" t="s">
        <v>12761</v>
      </c>
      <c r="J2729" t="s">
        <v>12762</v>
      </c>
      <c r="K2729" t="s">
        <v>12763</v>
      </c>
      <c r="L2729" t="s">
        <v>12764</v>
      </c>
      <c r="M2729" t="s">
        <v>46</v>
      </c>
      <c r="N2729" t="s">
        <v>1150</v>
      </c>
      <c r="O2729" t="s">
        <v>12712</v>
      </c>
      <c r="P2729" t="s">
        <v>12765</v>
      </c>
      <c r="Q2729" t="s">
        <v>12766</v>
      </c>
      <c r="R2729">
        <v>10</v>
      </c>
      <c r="S2729">
        <v>16</v>
      </c>
    </row>
    <row r="2730" spans="1:19" x14ac:dyDescent="0.35">
      <c r="A2730">
        <v>9735</v>
      </c>
      <c r="B2730" t="s">
        <v>12767</v>
      </c>
      <c r="C2730" t="s">
        <v>42</v>
      </c>
      <c r="D2730" t="s">
        <v>12768</v>
      </c>
      <c r="E2730" t="e" cm="1">
        <f t="array" ref="E2730">- SIMVASTATIN</f>
        <v>#NAME?</v>
      </c>
      <c r="F2730" t="s">
        <v>12769</v>
      </c>
      <c r="G2730" t="s">
        <v>12760</v>
      </c>
      <c r="H2730" t="s">
        <v>6718</v>
      </c>
      <c r="I2730" t="s">
        <v>12761</v>
      </c>
      <c r="J2730" t="s">
        <v>12762</v>
      </c>
      <c r="K2730" t="s">
        <v>12763</v>
      </c>
      <c r="L2730" t="s">
        <v>12764</v>
      </c>
      <c r="M2730" t="s">
        <v>46</v>
      </c>
      <c r="N2730" t="s">
        <v>1150</v>
      </c>
      <c r="O2730" t="s">
        <v>12712</v>
      </c>
      <c r="P2730" t="s">
        <v>12765</v>
      </c>
      <c r="Q2730" t="s">
        <v>12766</v>
      </c>
      <c r="R2730">
        <v>10</v>
      </c>
      <c r="S2730">
        <v>16</v>
      </c>
    </row>
    <row r="2731" spans="1:19" x14ac:dyDescent="0.35">
      <c r="A2731">
        <v>9725</v>
      </c>
      <c r="B2731" t="s">
        <v>12770</v>
      </c>
      <c r="C2731" t="s">
        <v>42</v>
      </c>
      <c r="D2731" t="s">
        <v>12771</v>
      </c>
      <c r="E2731" t="e" cm="1">
        <f t="array" ref="E2731">- SIMVASTATIN</f>
        <v>#NAME?</v>
      </c>
      <c r="F2731" t="s">
        <v>12772</v>
      </c>
      <c r="G2731" t="s">
        <v>12760</v>
      </c>
      <c r="H2731" t="s">
        <v>6718</v>
      </c>
      <c r="I2731" t="s">
        <v>12761</v>
      </c>
      <c r="J2731" t="s">
        <v>4095</v>
      </c>
      <c r="K2731" t="s">
        <v>12773</v>
      </c>
      <c r="L2731" t="s">
        <v>12764</v>
      </c>
      <c r="M2731" t="s">
        <v>291</v>
      </c>
      <c r="N2731" t="s">
        <v>1150</v>
      </c>
      <c r="O2731" t="s">
        <v>12712</v>
      </c>
      <c r="P2731" t="s">
        <v>12774</v>
      </c>
      <c r="Q2731" t="s">
        <v>12775</v>
      </c>
      <c r="R2731">
        <v>10</v>
      </c>
      <c r="S2731">
        <v>16</v>
      </c>
    </row>
    <row r="2732" spans="1:19" x14ac:dyDescent="0.35">
      <c r="A2732">
        <v>6732</v>
      </c>
      <c r="B2732" t="s">
        <v>12776</v>
      </c>
      <c r="C2732" t="s">
        <v>42</v>
      </c>
      <c r="D2732" t="s">
        <v>12777</v>
      </c>
      <c r="E2732" t="e" cm="1">
        <f t="array" ref="E2732">- Ossein-hydroxyapatite compound</f>
        <v>#NAME?</v>
      </c>
      <c r="F2732" t="s">
        <v>12778</v>
      </c>
      <c r="G2732" t="s">
        <v>737</v>
      </c>
      <c r="H2732" t="s">
        <v>12779</v>
      </c>
      <c r="I2732" t="s">
        <v>12780</v>
      </c>
      <c r="J2732" t="s">
        <v>12781</v>
      </c>
      <c r="K2732" t="s">
        <v>12782</v>
      </c>
      <c r="L2732" t="s">
        <v>12783</v>
      </c>
      <c r="M2732" t="s">
        <v>291</v>
      </c>
      <c r="N2732" t="s">
        <v>12784</v>
      </c>
      <c r="O2732" t="s">
        <v>12785</v>
      </c>
      <c r="P2732" t="s">
        <v>12786</v>
      </c>
      <c r="Q2732" t="s">
        <v>12787</v>
      </c>
      <c r="R2732">
        <v>10</v>
      </c>
      <c r="S2732">
        <v>16</v>
      </c>
    </row>
    <row r="2733" spans="1:19" x14ac:dyDescent="0.35">
      <c r="A2733">
        <v>4084</v>
      </c>
      <c r="B2733" t="s">
        <v>12788</v>
      </c>
      <c r="C2733" t="s">
        <v>42</v>
      </c>
      <c r="D2733" t="s">
        <v>12789</v>
      </c>
      <c r="E2733" t="e" cm="1">
        <f t="array" ref="E2733">- LORATADINE</f>
        <v>#NAME?</v>
      </c>
      <c r="F2733" t="s">
        <v>12790</v>
      </c>
      <c r="G2733" t="s">
        <v>12791</v>
      </c>
      <c r="H2733" t="s">
        <v>12792</v>
      </c>
      <c r="I2733" t="s">
        <v>9222</v>
      </c>
      <c r="J2733" t="s">
        <v>381</v>
      </c>
      <c r="K2733" t="s">
        <v>12793</v>
      </c>
      <c r="L2733" t="s">
        <v>12794</v>
      </c>
      <c r="M2733" t="s">
        <v>46</v>
      </c>
      <c r="N2733" t="s">
        <v>9225</v>
      </c>
      <c r="O2733" t="s">
        <v>9226</v>
      </c>
      <c r="P2733" t="s">
        <v>12795</v>
      </c>
      <c r="Q2733" t="s">
        <v>12796</v>
      </c>
      <c r="R2733">
        <v>10</v>
      </c>
      <c r="S2733">
        <v>16</v>
      </c>
    </row>
    <row r="2734" spans="1:19" x14ac:dyDescent="0.35">
      <c r="A2734">
        <v>4083</v>
      </c>
      <c r="B2734" t="s">
        <v>12788</v>
      </c>
      <c r="C2734" t="s">
        <v>42</v>
      </c>
      <c r="D2734" t="s">
        <v>12789</v>
      </c>
      <c r="E2734" t="e" cm="1">
        <f t="array" ref="E2734">- LORATADINE</f>
        <v>#NAME?</v>
      </c>
      <c r="F2734" t="s">
        <v>12790</v>
      </c>
      <c r="G2734" t="s">
        <v>12791</v>
      </c>
      <c r="H2734" t="s">
        <v>12792</v>
      </c>
      <c r="I2734" t="s">
        <v>9222</v>
      </c>
      <c r="J2734" t="s">
        <v>381</v>
      </c>
      <c r="K2734" t="s">
        <v>12793</v>
      </c>
      <c r="L2734" t="s">
        <v>12794</v>
      </c>
      <c r="M2734" t="s">
        <v>46</v>
      </c>
      <c r="N2734" t="s">
        <v>9225</v>
      </c>
      <c r="O2734" t="s">
        <v>9226</v>
      </c>
      <c r="P2734" t="s">
        <v>12795</v>
      </c>
      <c r="Q2734" t="s">
        <v>12796</v>
      </c>
      <c r="R2734">
        <v>10</v>
      </c>
      <c r="S2734">
        <v>16</v>
      </c>
    </row>
    <row r="2735" spans="1:19" x14ac:dyDescent="0.35">
      <c r="A2735">
        <v>6734</v>
      </c>
      <c r="B2735" t="s">
        <v>12797</v>
      </c>
      <c r="C2735" t="s">
        <v>42</v>
      </c>
      <c r="D2735" t="s">
        <v>12798</v>
      </c>
      <c r="E2735" t="e" cm="1">
        <f t="array" ref="E2735">- ALENDRONATE SODIUM TRIHYDRATE</f>
        <v>#NAME?</v>
      </c>
      <c r="F2735" t="s">
        <v>12799</v>
      </c>
      <c r="G2735" t="s">
        <v>12800</v>
      </c>
      <c r="H2735" t="s">
        <v>4751</v>
      </c>
      <c r="I2735" t="s">
        <v>12801</v>
      </c>
      <c r="J2735" t="s">
        <v>2992</v>
      </c>
      <c r="K2735" t="s">
        <v>12802</v>
      </c>
      <c r="L2735" t="s">
        <v>12803</v>
      </c>
      <c r="M2735" t="s">
        <v>46</v>
      </c>
      <c r="N2735" t="s">
        <v>12804</v>
      </c>
      <c r="O2735" t="s">
        <v>12805</v>
      </c>
      <c r="P2735" t="s">
        <v>12806</v>
      </c>
      <c r="Q2735" t="s">
        <v>12807</v>
      </c>
      <c r="R2735">
        <v>10</v>
      </c>
      <c r="S2735">
        <v>16</v>
      </c>
    </row>
    <row r="2736" spans="1:19" x14ac:dyDescent="0.35">
      <c r="A2736">
        <v>4082</v>
      </c>
      <c r="B2736" t="s">
        <v>12788</v>
      </c>
      <c r="C2736" t="s">
        <v>42</v>
      </c>
      <c r="D2736" t="s">
        <v>12789</v>
      </c>
      <c r="E2736" t="e" cm="1">
        <f t="array" ref="E2736">- LORATADINE</f>
        <v>#NAME?</v>
      </c>
      <c r="F2736" t="s">
        <v>12790</v>
      </c>
      <c r="G2736" t="s">
        <v>12791</v>
      </c>
      <c r="H2736" t="s">
        <v>12792</v>
      </c>
      <c r="I2736" t="s">
        <v>9222</v>
      </c>
      <c r="J2736" t="s">
        <v>381</v>
      </c>
      <c r="K2736" t="s">
        <v>12793</v>
      </c>
      <c r="L2736" t="s">
        <v>12794</v>
      </c>
      <c r="M2736" t="s">
        <v>46</v>
      </c>
      <c r="N2736" t="s">
        <v>9225</v>
      </c>
      <c r="O2736" t="s">
        <v>9226</v>
      </c>
      <c r="P2736" t="s">
        <v>12795</v>
      </c>
      <c r="Q2736" t="s">
        <v>12796</v>
      </c>
      <c r="R2736">
        <v>10</v>
      </c>
      <c r="S2736">
        <v>16</v>
      </c>
    </row>
    <row r="2737" spans="1:19" x14ac:dyDescent="0.35">
      <c r="A2737">
        <v>737</v>
      </c>
      <c r="B2737" t="s">
        <v>12808</v>
      </c>
      <c r="C2737" t="s">
        <v>20</v>
      </c>
      <c r="D2737" t="s">
        <v>12809</v>
      </c>
      <c r="E2737" t="s">
        <v>12810</v>
      </c>
      <c r="F2737" t="s">
        <v>12811</v>
      </c>
      <c r="J2737" t="s">
        <v>12812</v>
      </c>
      <c r="M2737" t="s">
        <v>2115</v>
      </c>
      <c r="N2737" t="s">
        <v>12813</v>
      </c>
      <c r="P2737" t="s">
        <v>12814</v>
      </c>
      <c r="Q2737" t="s">
        <v>12815</v>
      </c>
      <c r="R2737">
        <v>10</v>
      </c>
      <c r="S2737">
        <v>16</v>
      </c>
    </row>
    <row r="2738" spans="1:19" x14ac:dyDescent="0.35">
      <c r="A2738">
        <v>736</v>
      </c>
      <c r="B2738" t="s">
        <v>12808</v>
      </c>
      <c r="C2738" t="s">
        <v>20</v>
      </c>
      <c r="D2738" t="s">
        <v>12809</v>
      </c>
      <c r="E2738" t="s">
        <v>12816</v>
      </c>
      <c r="F2738" t="s">
        <v>12811</v>
      </c>
      <c r="J2738" t="s">
        <v>12812</v>
      </c>
      <c r="M2738" t="s">
        <v>2115</v>
      </c>
      <c r="N2738" t="s">
        <v>12813</v>
      </c>
      <c r="P2738" t="s">
        <v>12814</v>
      </c>
      <c r="Q2738" t="s">
        <v>12815</v>
      </c>
      <c r="R2738">
        <v>10</v>
      </c>
      <c r="S2738">
        <v>16</v>
      </c>
    </row>
    <row r="2739" spans="1:19" x14ac:dyDescent="0.35">
      <c r="A2739">
        <v>735</v>
      </c>
      <c r="B2739" t="s">
        <v>12817</v>
      </c>
      <c r="C2739" t="s">
        <v>20</v>
      </c>
      <c r="D2739" t="s">
        <v>12818</v>
      </c>
      <c r="E2739" t="s">
        <v>12819</v>
      </c>
      <c r="F2739" t="s">
        <v>12820</v>
      </c>
      <c r="J2739" t="s">
        <v>12812</v>
      </c>
      <c r="M2739" t="s">
        <v>2115</v>
      </c>
      <c r="N2739" t="s">
        <v>12821</v>
      </c>
      <c r="P2739" t="s">
        <v>12822</v>
      </c>
      <c r="Q2739" t="s">
        <v>12823</v>
      </c>
      <c r="R2739">
        <v>10</v>
      </c>
      <c r="S2739">
        <v>16</v>
      </c>
    </row>
    <row r="2740" spans="1:19" x14ac:dyDescent="0.35">
      <c r="A2740">
        <v>734</v>
      </c>
      <c r="B2740" t="s">
        <v>12817</v>
      </c>
      <c r="C2740" t="s">
        <v>20</v>
      </c>
      <c r="D2740" t="s">
        <v>12818</v>
      </c>
      <c r="E2740" t="s">
        <v>12819</v>
      </c>
      <c r="F2740" t="s">
        <v>12820</v>
      </c>
      <c r="J2740" t="s">
        <v>12812</v>
      </c>
      <c r="M2740" t="s">
        <v>2115</v>
      </c>
      <c r="N2740" t="s">
        <v>12821</v>
      </c>
      <c r="P2740" t="s">
        <v>12822</v>
      </c>
      <c r="Q2740" t="s">
        <v>12823</v>
      </c>
      <c r="R2740">
        <v>10</v>
      </c>
      <c r="S2740">
        <v>16</v>
      </c>
    </row>
    <row r="2741" spans="1:19" x14ac:dyDescent="0.35">
      <c r="A2741">
        <v>8033</v>
      </c>
      <c r="B2741" t="s">
        <v>12824</v>
      </c>
      <c r="C2741" t="s">
        <v>20</v>
      </c>
      <c r="D2741" t="s">
        <v>12825</v>
      </c>
      <c r="E2741" t="s">
        <v>12826</v>
      </c>
      <c r="F2741" t="s">
        <v>12827</v>
      </c>
      <c r="H2741" t="s">
        <v>12828</v>
      </c>
      <c r="I2741" t="s">
        <v>12829</v>
      </c>
      <c r="J2741" t="s">
        <v>12625</v>
      </c>
      <c r="M2741" t="s">
        <v>38</v>
      </c>
      <c r="N2741" t="s">
        <v>12830</v>
      </c>
      <c r="O2741" t="s">
        <v>12831</v>
      </c>
      <c r="P2741" t="s">
        <v>12832</v>
      </c>
      <c r="Q2741" t="s">
        <v>12833</v>
      </c>
      <c r="R2741">
        <v>10</v>
      </c>
      <c r="S2741">
        <v>16</v>
      </c>
    </row>
    <row r="2742" spans="1:19" x14ac:dyDescent="0.35">
      <c r="A2742">
        <v>8034</v>
      </c>
      <c r="B2742" t="s">
        <v>12824</v>
      </c>
      <c r="C2742" t="s">
        <v>20</v>
      </c>
      <c r="D2742" t="s">
        <v>12825</v>
      </c>
      <c r="E2742" t="s">
        <v>12826</v>
      </c>
      <c r="F2742" t="s">
        <v>12827</v>
      </c>
      <c r="H2742" t="s">
        <v>12828</v>
      </c>
      <c r="I2742" t="s">
        <v>12829</v>
      </c>
      <c r="J2742" t="s">
        <v>12625</v>
      </c>
      <c r="M2742" t="s">
        <v>38</v>
      </c>
      <c r="N2742" t="s">
        <v>12830</v>
      </c>
      <c r="O2742" t="s">
        <v>12831</v>
      </c>
      <c r="P2742" t="s">
        <v>12832</v>
      </c>
      <c r="Q2742" t="s">
        <v>12833</v>
      </c>
      <c r="R2742">
        <v>10</v>
      </c>
      <c r="S2742">
        <v>16</v>
      </c>
    </row>
    <row r="2743" spans="1:19" x14ac:dyDescent="0.35">
      <c r="A2743">
        <v>9345</v>
      </c>
      <c r="B2743" t="s">
        <v>6301</v>
      </c>
      <c r="C2743" t="s">
        <v>42</v>
      </c>
      <c r="D2743" t="s">
        <v>12834</v>
      </c>
      <c r="E2743" t="s">
        <v>6303</v>
      </c>
      <c r="F2743" t="s">
        <v>12835</v>
      </c>
      <c r="G2743" t="s">
        <v>11833</v>
      </c>
      <c r="H2743" t="s">
        <v>1322</v>
      </c>
      <c r="I2743" t="s">
        <v>12836</v>
      </c>
      <c r="J2743" t="s">
        <v>12837</v>
      </c>
      <c r="L2743" t="s">
        <v>11842</v>
      </c>
      <c r="M2743" t="s">
        <v>46</v>
      </c>
      <c r="N2743" t="s">
        <v>6304</v>
      </c>
      <c r="O2743" t="s">
        <v>12838</v>
      </c>
      <c r="P2743" t="s">
        <v>12839</v>
      </c>
      <c r="Q2743" t="s">
        <v>12840</v>
      </c>
      <c r="R2743">
        <v>10</v>
      </c>
      <c r="S2743">
        <v>16</v>
      </c>
    </row>
    <row r="2744" spans="1:19" x14ac:dyDescent="0.35">
      <c r="A2744">
        <v>9774</v>
      </c>
      <c r="B2744" t="s">
        <v>12706</v>
      </c>
      <c r="C2744" t="s">
        <v>42</v>
      </c>
      <c r="D2744" t="s">
        <v>12707</v>
      </c>
      <c r="E2744" t="e" cm="1">
        <f t="array" ref="E2744">- SIMVASTATIN</f>
        <v>#NAME?</v>
      </c>
      <c r="F2744" t="s">
        <v>12708</v>
      </c>
      <c r="G2744" t="s">
        <v>60</v>
      </c>
      <c r="H2744" t="s">
        <v>12709</v>
      </c>
      <c r="I2744" t="s">
        <v>12710</v>
      </c>
      <c r="J2744" t="s">
        <v>12711</v>
      </c>
      <c r="K2744" t="s">
        <v>6720</v>
      </c>
      <c r="L2744" t="s">
        <v>6721</v>
      </c>
      <c r="M2744" t="s">
        <v>46</v>
      </c>
      <c r="N2744" t="s">
        <v>1150</v>
      </c>
      <c r="O2744" t="s">
        <v>12712</v>
      </c>
      <c r="P2744" t="s">
        <v>1151</v>
      </c>
      <c r="Q2744" t="s">
        <v>12713</v>
      </c>
      <c r="R2744">
        <v>10</v>
      </c>
      <c r="S2744">
        <v>16</v>
      </c>
    </row>
    <row r="2745" spans="1:19" x14ac:dyDescent="0.35">
      <c r="A2745">
        <v>4347</v>
      </c>
      <c r="B2745" t="s">
        <v>12841</v>
      </c>
      <c r="C2745" t="s">
        <v>42</v>
      </c>
      <c r="D2745" t="s">
        <v>12842</v>
      </c>
      <c r="E2745" t="e" cm="1">
        <f t="array" ref="E2745">- OFLOXACIN</f>
        <v>#NAME?</v>
      </c>
      <c r="F2745" t="s">
        <v>12843</v>
      </c>
      <c r="G2745" t="s">
        <v>12844</v>
      </c>
      <c r="H2745" t="s">
        <v>12845</v>
      </c>
      <c r="I2745" t="s">
        <v>12846</v>
      </c>
      <c r="J2745" t="s">
        <v>9310</v>
      </c>
      <c r="K2745" t="s">
        <v>2858</v>
      </c>
      <c r="L2745" t="s">
        <v>12847</v>
      </c>
      <c r="M2745" t="s">
        <v>824</v>
      </c>
      <c r="N2745" t="s">
        <v>1640</v>
      </c>
      <c r="O2745" t="s">
        <v>12848</v>
      </c>
      <c r="P2745" t="s">
        <v>12849</v>
      </c>
      <c r="Q2745" t="s">
        <v>12850</v>
      </c>
      <c r="R2745">
        <v>10</v>
      </c>
      <c r="S2745">
        <v>16</v>
      </c>
    </row>
    <row r="2746" spans="1:19" x14ac:dyDescent="0.35">
      <c r="A2746">
        <v>9333</v>
      </c>
      <c r="B2746" t="s">
        <v>12851</v>
      </c>
      <c r="C2746" t="s">
        <v>42</v>
      </c>
      <c r="D2746" t="s">
        <v>12852</v>
      </c>
      <c r="E2746" t="e" cm="1">
        <f t="array" ref="E2746">- FUROSEMIDE</f>
        <v>#NAME?</v>
      </c>
      <c r="F2746" t="s">
        <v>12853</v>
      </c>
      <c r="G2746" t="s">
        <v>9785</v>
      </c>
      <c r="H2746" t="s">
        <v>9786</v>
      </c>
      <c r="I2746" t="s">
        <v>9787</v>
      </c>
      <c r="J2746" t="s">
        <v>12854</v>
      </c>
      <c r="K2746" t="s">
        <v>9788</v>
      </c>
      <c r="L2746" t="s">
        <v>9789</v>
      </c>
      <c r="M2746" t="s">
        <v>46</v>
      </c>
      <c r="N2746" t="s">
        <v>9790</v>
      </c>
      <c r="O2746" t="s">
        <v>9791</v>
      </c>
      <c r="P2746" t="s">
        <v>12855</v>
      </c>
      <c r="Q2746" t="s">
        <v>12856</v>
      </c>
      <c r="R2746">
        <v>10</v>
      </c>
      <c r="S2746">
        <v>16</v>
      </c>
    </row>
    <row r="2747" spans="1:19" x14ac:dyDescent="0.35">
      <c r="A2747">
        <v>2372</v>
      </c>
      <c r="B2747" t="s">
        <v>12857</v>
      </c>
      <c r="C2747" t="s">
        <v>42</v>
      </c>
      <c r="D2747" t="s">
        <v>12858</v>
      </c>
      <c r="E2747" t="e" cm="1">
        <f t="array" ref="E2747">- CYANOCOBALAMIN</f>
        <v>#NAME?</v>
      </c>
      <c r="F2747" t="s">
        <v>12859</v>
      </c>
      <c r="H2747" t="s">
        <v>12860</v>
      </c>
      <c r="I2747" t="s">
        <v>12861</v>
      </c>
      <c r="J2747" t="s">
        <v>12862</v>
      </c>
      <c r="L2747" t="s">
        <v>321</v>
      </c>
      <c r="M2747" t="s">
        <v>291</v>
      </c>
      <c r="N2747" t="s">
        <v>677</v>
      </c>
      <c r="O2747" t="s">
        <v>12863</v>
      </c>
      <c r="P2747" t="s">
        <v>12864</v>
      </c>
      <c r="Q2747" t="s">
        <v>12865</v>
      </c>
      <c r="R2747">
        <v>10</v>
      </c>
      <c r="S2747">
        <v>16</v>
      </c>
    </row>
    <row r="2748" spans="1:19" x14ac:dyDescent="0.35">
      <c r="A2748">
        <v>7004</v>
      </c>
      <c r="B2748" t="s">
        <v>1803</v>
      </c>
      <c r="C2748" t="s">
        <v>42</v>
      </c>
      <c r="D2748" t="s">
        <v>11347</v>
      </c>
      <c r="E2748" t="e" cm="1">
        <f t="array" ref="E2748">- TIZANIDINE HYDROCHLORIDE</f>
        <v>#NAME?</v>
      </c>
      <c r="F2748" t="s">
        <v>11348</v>
      </c>
      <c r="G2748" t="s">
        <v>11349</v>
      </c>
      <c r="H2748" t="s">
        <v>1322</v>
      </c>
      <c r="I2748" t="s">
        <v>11350</v>
      </c>
      <c r="J2748" t="s">
        <v>11351</v>
      </c>
      <c r="M2748" t="s">
        <v>46</v>
      </c>
      <c r="N2748" t="s">
        <v>1806</v>
      </c>
      <c r="O2748" t="s">
        <v>11352</v>
      </c>
      <c r="P2748" t="s">
        <v>11353</v>
      </c>
      <c r="Q2748" t="s">
        <v>12866</v>
      </c>
      <c r="R2748">
        <v>10</v>
      </c>
      <c r="S2748">
        <v>16</v>
      </c>
    </row>
    <row r="2749" spans="1:19" x14ac:dyDescent="0.35">
      <c r="A2749">
        <v>84</v>
      </c>
      <c r="B2749" t="s">
        <v>2902</v>
      </c>
      <c r="C2749" t="s">
        <v>42</v>
      </c>
      <c r="D2749" t="s">
        <v>12867</v>
      </c>
      <c r="E2749" t="e" cm="1">
        <f t="array" ref="E2749">- SILDENAFIL CITRATE</f>
        <v>#NAME?</v>
      </c>
      <c r="F2749" t="s">
        <v>12868</v>
      </c>
      <c r="G2749" t="s">
        <v>12869</v>
      </c>
      <c r="H2749" t="s">
        <v>1322</v>
      </c>
      <c r="I2749" t="s">
        <v>12870</v>
      </c>
      <c r="J2749" t="s">
        <v>12871</v>
      </c>
      <c r="L2749" t="s">
        <v>11662</v>
      </c>
      <c r="M2749" t="s">
        <v>46</v>
      </c>
      <c r="N2749" t="s">
        <v>2519</v>
      </c>
      <c r="O2749" t="s">
        <v>8189</v>
      </c>
      <c r="P2749" t="s">
        <v>12872</v>
      </c>
      <c r="Q2749" t="s">
        <v>12873</v>
      </c>
      <c r="R2749">
        <v>10</v>
      </c>
      <c r="S2749">
        <v>16</v>
      </c>
    </row>
    <row r="2750" spans="1:19" x14ac:dyDescent="0.35">
      <c r="A2750">
        <v>85</v>
      </c>
      <c r="B2750" t="s">
        <v>2902</v>
      </c>
      <c r="C2750" t="s">
        <v>42</v>
      </c>
      <c r="D2750" t="s">
        <v>12874</v>
      </c>
      <c r="E2750" t="e" cm="1">
        <f t="array" ref="E2750">- SILDENAFIL CITRATE</f>
        <v>#NAME?</v>
      </c>
      <c r="F2750" s="1">
        <v>96900</v>
      </c>
      <c r="G2750" t="s">
        <v>8668</v>
      </c>
      <c r="H2750" t="s">
        <v>8263</v>
      </c>
      <c r="I2750" t="s">
        <v>12875</v>
      </c>
      <c r="J2750" t="s">
        <v>12876</v>
      </c>
      <c r="M2750" t="s">
        <v>46</v>
      </c>
      <c r="N2750" t="s">
        <v>2519</v>
      </c>
      <c r="O2750" t="s">
        <v>12877</v>
      </c>
      <c r="P2750" t="s">
        <v>12878</v>
      </c>
      <c r="Q2750" t="s">
        <v>12879</v>
      </c>
      <c r="R2750">
        <v>10</v>
      </c>
      <c r="S2750">
        <v>16</v>
      </c>
    </row>
    <row r="2751" spans="1:19" x14ac:dyDescent="0.35">
      <c r="A2751">
        <v>7007</v>
      </c>
      <c r="B2751" t="s">
        <v>1803</v>
      </c>
      <c r="C2751" t="s">
        <v>42</v>
      </c>
      <c r="D2751" t="s">
        <v>11475</v>
      </c>
      <c r="E2751" t="e" cm="1">
        <f t="array" ref="E2751">- TIZANIDINE HYDROCHLORIDE</f>
        <v>#NAME?</v>
      </c>
      <c r="F2751" t="s">
        <v>11476</v>
      </c>
      <c r="J2751" t="s">
        <v>9479</v>
      </c>
      <c r="M2751" t="s">
        <v>46</v>
      </c>
      <c r="N2751" t="s">
        <v>1806</v>
      </c>
      <c r="P2751" t="s">
        <v>11477</v>
      </c>
      <c r="Q2751" t="s">
        <v>12880</v>
      </c>
      <c r="R2751">
        <v>10</v>
      </c>
      <c r="S2751">
        <v>16</v>
      </c>
    </row>
    <row r="2752" spans="1:19" x14ac:dyDescent="0.35">
      <c r="A2752">
        <v>9262</v>
      </c>
      <c r="B2752" t="s">
        <v>12881</v>
      </c>
      <c r="C2752" t="s">
        <v>42</v>
      </c>
      <c r="D2752" t="s">
        <v>12882</v>
      </c>
      <c r="E2752" t="e" cm="1">
        <f t="array" ref="E2752">- BISOPROLOL FUMARATE</f>
        <v>#NAME?</v>
      </c>
      <c r="F2752" t="s">
        <v>12883</v>
      </c>
      <c r="G2752" t="s">
        <v>12884</v>
      </c>
      <c r="H2752" t="s">
        <v>12885</v>
      </c>
      <c r="I2752" t="s">
        <v>12886</v>
      </c>
      <c r="J2752" t="s">
        <v>12887</v>
      </c>
      <c r="K2752" t="s">
        <v>12888</v>
      </c>
      <c r="L2752" t="s">
        <v>12889</v>
      </c>
      <c r="M2752" t="s">
        <v>46</v>
      </c>
      <c r="N2752" t="s">
        <v>6182</v>
      </c>
      <c r="O2752" t="s">
        <v>12890</v>
      </c>
      <c r="P2752" t="s">
        <v>12891</v>
      </c>
      <c r="Q2752" t="s">
        <v>12892</v>
      </c>
      <c r="R2752">
        <v>10</v>
      </c>
      <c r="S2752">
        <v>16</v>
      </c>
    </row>
    <row r="2753" spans="1:19" x14ac:dyDescent="0.35">
      <c r="A2753">
        <v>1604</v>
      </c>
      <c r="B2753" t="s">
        <v>12893</v>
      </c>
      <c r="C2753" t="s">
        <v>42</v>
      </c>
      <c r="D2753" t="s">
        <v>12894</v>
      </c>
      <c r="E2753" t="e" cm="1">
        <f t="array" ref="E2753">- PSEUDOEPHEDRINE HYDROCHLORIDE</f>
        <v>#NAME?</v>
      </c>
      <c r="F2753" t="s">
        <v>12895</v>
      </c>
      <c r="G2753" t="s">
        <v>2241</v>
      </c>
      <c r="H2753" t="s">
        <v>12896</v>
      </c>
      <c r="I2753" t="s">
        <v>12897</v>
      </c>
      <c r="J2753" t="s">
        <v>3926</v>
      </c>
      <c r="K2753" t="s">
        <v>12898</v>
      </c>
      <c r="M2753" t="s">
        <v>271</v>
      </c>
      <c r="N2753" t="s">
        <v>8326</v>
      </c>
      <c r="O2753" t="s">
        <v>12899</v>
      </c>
      <c r="P2753" t="s">
        <v>12900</v>
      </c>
      <c r="Q2753" t="s">
        <v>12901</v>
      </c>
      <c r="R2753">
        <v>10</v>
      </c>
      <c r="S2753">
        <v>16</v>
      </c>
    </row>
    <row r="2754" spans="1:19" x14ac:dyDescent="0.35">
      <c r="A2754">
        <v>94</v>
      </c>
      <c r="B2754" t="s">
        <v>2902</v>
      </c>
      <c r="C2754" t="s">
        <v>42</v>
      </c>
      <c r="D2754" t="s">
        <v>12685</v>
      </c>
      <c r="E2754" t="e" cm="1">
        <f t="array" ref="E2754">- SILDENAFIL CITRATE</f>
        <v>#NAME?</v>
      </c>
      <c r="F2754" t="s">
        <v>12686</v>
      </c>
      <c r="G2754" t="s">
        <v>8185</v>
      </c>
      <c r="H2754" t="s">
        <v>3854</v>
      </c>
      <c r="I2754" t="s">
        <v>8186</v>
      </c>
      <c r="J2754" t="s">
        <v>9799</v>
      </c>
      <c r="L2754" t="s">
        <v>10925</v>
      </c>
      <c r="M2754" t="s">
        <v>46</v>
      </c>
      <c r="N2754" t="s">
        <v>2519</v>
      </c>
      <c r="O2754" t="s">
        <v>8189</v>
      </c>
      <c r="P2754" t="s">
        <v>12687</v>
      </c>
      <c r="Q2754" t="s">
        <v>12902</v>
      </c>
      <c r="R2754">
        <v>10</v>
      </c>
      <c r="S2754">
        <v>16</v>
      </c>
    </row>
    <row r="2755" spans="1:19" x14ac:dyDescent="0.35">
      <c r="A2755">
        <v>96</v>
      </c>
      <c r="B2755" t="s">
        <v>2902</v>
      </c>
      <c r="C2755" t="s">
        <v>42</v>
      </c>
      <c r="D2755" t="s">
        <v>12903</v>
      </c>
      <c r="E2755" t="e" cm="1">
        <f t="array" ref="E2755">- SILDENAFIL CITRATE</f>
        <v>#NAME?</v>
      </c>
      <c r="F2755" t="s">
        <v>12904</v>
      </c>
      <c r="G2755" t="s">
        <v>8185</v>
      </c>
      <c r="H2755" t="s">
        <v>3854</v>
      </c>
      <c r="I2755" t="s">
        <v>8186</v>
      </c>
      <c r="J2755" t="s">
        <v>6198</v>
      </c>
      <c r="L2755" t="s">
        <v>8188</v>
      </c>
      <c r="M2755" t="s">
        <v>46</v>
      </c>
      <c r="N2755" t="s">
        <v>2519</v>
      </c>
      <c r="O2755" t="s">
        <v>8189</v>
      </c>
      <c r="P2755" t="s">
        <v>12905</v>
      </c>
      <c r="Q2755" t="s">
        <v>12906</v>
      </c>
      <c r="R2755">
        <v>10</v>
      </c>
      <c r="S2755">
        <v>16</v>
      </c>
    </row>
    <row r="2756" spans="1:19" x14ac:dyDescent="0.35">
      <c r="A2756">
        <v>7021</v>
      </c>
      <c r="B2756" t="s">
        <v>1803</v>
      </c>
      <c r="C2756" t="s">
        <v>42</v>
      </c>
      <c r="D2756" t="s">
        <v>12417</v>
      </c>
      <c r="E2756" t="e" cm="1">
        <f t="array" ref="E2756">- TIZANIDINE HYDROCHLORIDE</f>
        <v>#NAME?</v>
      </c>
      <c r="F2756" t="s">
        <v>12418</v>
      </c>
      <c r="J2756" t="s">
        <v>8677</v>
      </c>
      <c r="M2756" t="s">
        <v>46</v>
      </c>
      <c r="N2756" t="s">
        <v>1806</v>
      </c>
      <c r="P2756" t="s">
        <v>12419</v>
      </c>
      <c r="Q2756" t="s">
        <v>12907</v>
      </c>
      <c r="R2756">
        <v>10</v>
      </c>
      <c r="S2756">
        <v>16</v>
      </c>
    </row>
    <row r="2757" spans="1:19" x14ac:dyDescent="0.35">
      <c r="A2757">
        <v>4033</v>
      </c>
      <c r="B2757" t="s">
        <v>12908</v>
      </c>
      <c r="C2757" t="s">
        <v>42</v>
      </c>
      <c r="D2757" t="s">
        <v>12909</v>
      </c>
      <c r="E2757" t="e" cm="1">
        <f t="array" ref="E2757">- LACTULOSE</f>
        <v>#NAME?</v>
      </c>
      <c r="F2757" t="s">
        <v>12910</v>
      </c>
      <c r="G2757" t="s">
        <v>12911</v>
      </c>
      <c r="H2757" t="s">
        <v>12912</v>
      </c>
      <c r="I2757" t="s">
        <v>12913</v>
      </c>
      <c r="J2757" t="s">
        <v>1144</v>
      </c>
      <c r="K2757" t="s">
        <v>12914</v>
      </c>
      <c r="L2757" t="s">
        <v>12915</v>
      </c>
      <c r="M2757" t="s">
        <v>271</v>
      </c>
      <c r="N2757" t="s">
        <v>1156</v>
      </c>
      <c r="O2757" t="s">
        <v>12916</v>
      </c>
      <c r="P2757" t="s">
        <v>12917</v>
      </c>
      <c r="Q2757" t="s">
        <v>12918</v>
      </c>
      <c r="R2757">
        <v>10</v>
      </c>
      <c r="S2757">
        <v>16</v>
      </c>
    </row>
    <row r="2758" spans="1:19" x14ac:dyDescent="0.35">
      <c r="A2758">
        <v>9253</v>
      </c>
      <c r="B2758" t="s">
        <v>12919</v>
      </c>
      <c r="C2758" t="s">
        <v>42</v>
      </c>
      <c r="D2758" t="s">
        <v>12920</v>
      </c>
      <c r="E2758" t="e" cm="1">
        <f t="array" ref="E2758">- PROPRANOLOL HYDROCHLORIDE</f>
        <v>#NAME?</v>
      </c>
      <c r="F2758" t="s">
        <v>12921</v>
      </c>
      <c r="G2758" t="s">
        <v>5568</v>
      </c>
      <c r="H2758" t="s">
        <v>12289</v>
      </c>
    </row>
    <row r="2759" spans="1:19" x14ac:dyDescent="0.35">
      <c r="A2759">
        <v>7022</v>
      </c>
      <c r="B2759" t="s">
        <v>1803</v>
      </c>
      <c r="C2759" t="s">
        <v>42</v>
      </c>
      <c r="D2759" t="s">
        <v>12442</v>
      </c>
      <c r="E2759" t="e" cm="1">
        <f t="array" ref="E2759">- TIZANIDINE HYDROCHLORIDE</f>
        <v>#NAME?</v>
      </c>
      <c r="F2759" t="s">
        <v>12443</v>
      </c>
      <c r="J2759" t="s">
        <v>8677</v>
      </c>
      <c r="M2759" t="s">
        <v>46</v>
      </c>
      <c r="N2759" t="s">
        <v>1806</v>
      </c>
      <c r="P2759" t="s">
        <v>12444</v>
      </c>
      <c r="Q2759" t="s">
        <v>12922</v>
      </c>
      <c r="R2759">
        <v>10</v>
      </c>
      <c r="S2759">
        <v>16</v>
      </c>
    </row>
    <row r="2760" spans="1:19" x14ac:dyDescent="0.35">
      <c r="A2760">
        <v>9251</v>
      </c>
      <c r="B2760" t="s">
        <v>12919</v>
      </c>
      <c r="C2760" t="s">
        <v>42</v>
      </c>
      <c r="D2760" t="s">
        <v>12920</v>
      </c>
      <c r="E2760" t="e" cm="1">
        <f t="array" ref="E2760">- PROPRANOLOL HYDROCHLORIDE</f>
        <v>#NAME?</v>
      </c>
      <c r="F2760" t="s">
        <v>12921</v>
      </c>
      <c r="G2760" t="s">
        <v>5568</v>
      </c>
      <c r="H2760" t="s">
        <v>12289</v>
      </c>
    </row>
    <row r="2761" spans="1:19" x14ac:dyDescent="0.35">
      <c r="A2761">
        <v>1109</v>
      </c>
      <c r="B2761" t="s">
        <v>12923</v>
      </c>
      <c r="C2761" t="s">
        <v>42</v>
      </c>
      <c r="D2761" t="s">
        <v>12924</v>
      </c>
      <c r="E2761" t="e" cm="1">
        <f t="array" ref="E2761">- DEXTROMETHORPHAN HYDROBROMIDE</f>
        <v>#NAME?</v>
      </c>
      <c r="F2761" t="s">
        <v>12925</v>
      </c>
      <c r="G2761" t="s">
        <v>60</v>
      </c>
      <c r="H2761" t="s">
        <v>12926</v>
      </c>
      <c r="I2761" t="s">
        <v>12927</v>
      </c>
      <c r="J2761" t="s">
        <v>8495</v>
      </c>
      <c r="K2761" t="s">
        <v>12928</v>
      </c>
      <c r="L2761" t="s">
        <v>12929</v>
      </c>
    </row>
    <row r="2762" spans="1:19" x14ac:dyDescent="0.35">
      <c r="A2762">
        <v>2433</v>
      </c>
      <c r="B2762" t="s">
        <v>12930</v>
      </c>
      <c r="C2762" t="s">
        <v>42</v>
      </c>
      <c r="D2762" t="s">
        <v>12931</v>
      </c>
      <c r="E2762" t="e" cm="1">
        <f t="array" ref="E2762">- THIAMINE MONONITRATE. PYRIDOXINE HYDROCHLORIDE. CYANOCOBALAMIN. PARACETAMOL</f>
        <v>#NAME?</v>
      </c>
      <c r="F2762" t="s">
        <v>12932</v>
      </c>
      <c r="G2762" t="s">
        <v>2960</v>
      </c>
      <c r="H2762" t="s">
        <v>12933</v>
      </c>
      <c r="I2762" t="s">
        <v>2962</v>
      </c>
      <c r="J2762" t="s">
        <v>2327</v>
      </c>
      <c r="K2762" t="s">
        <v>12934</v>
      </c>
      <c r="L2762" t="s">
        <v>2965</v>
      </c>
      <c r="M2762" t="s">
        <v>291</v>
      </c>
      <c r="N2762" t="s">
        <v>12935</v>
      </c>
      <c r="O2762" t="s">
        <v>2966</v>
      </c>
      <c r="P2762" t="s">
        <v>12936</v>
      </c>
      <c r="Q2762" t="s">
        <v>12937</v>
      </c>
      <c r="R2762">
        <v>10</v>
      </c>
      <c r="S2762">
        <v>16</v>
      </c>
    </row>
    <row r="2763" spans="1:19" x14ac:dyDescent="0.35">
      <c r="A2763">
        <v>1201</v>
      </c>
      <c r="B2763" t="s">
        <v>12938</v>
      </c>
      <c r="C2763" t="s">
        <v>42</v>
      </c>
      <c r="D2763" t="s">
        <v>12939</v>
      </c>
      <c r="E2763" t="e" cm="1">
        <f t="array" ref="E2763">- PSEUDOEPHEDRINE HYDROCHLORIDE</f>
        <v>#NAME?</v>
      </c>
      <c r="G2763" t="s">
        <v>2241</v>
      </c>
      <c r="H2763" t="s">
        <v>12940</v>
      </c>
    </row>
    <row r="2764" spans="1:19" x14ac:dyDescent="0.35">
      <c r="A2764">
        <v>103</v>
      </c>
      <c r="B2764" t="s">
        <v>2902</v>
      </c>
      <c r="C2764" t="s">
        <v>42</v>
      </c>
      <c r="D2764" t="s">
        <v>12941</v>
      </c>
      <c r="E2764" t="e" cm="1">
        <f t="array" ref="E2764">- SILDENAFIL CITRATE</f>
        <v>#NAME?</v>
      </c>
      <c r="F2764" t="s">
        <v>12942</v>
      </c>
      <c r="G2764" t="s">
        <v>8185</v>
      </c>
      <c r="H2764" t="s">
        <v>3854</v>
      </c>
      <c r="I2764" t="s">
        <v>8186</v>
      </c>
      <c r="J2764" t="s">
        <v>8169</v>
      </c>
      <c r="L2764" t="s">
        <v>8188</v>
      </c>
      <c r="M2764" t="s">
        <v>46</v>
      </c>
      <c r="N2764" t="s">
        <v>2519</v>
      </c>
      <c r="O2764" t="s">
        <v>8189</v>
      </c>
      <c r="P2764" t="s">
        <v>12943</v>
      </c>
      <c r="Q2764" t="s">
        <v>12944</v>
      </c>
      <c r="R2764">
        <v>10</v>
      </c>
      <c r="S2764">
        <v>16</v>
      </c>
    </row>
    <row r="2765" spans="1:19" x14ac:dyDescent="0.35">
      <c r="A2765">
        <v>7042</v>
      </c>
      <c r="B2765" t="s">
        <v>1803</v>
      </c>
      <c r="C2765" t="s">
        <v>42</v>
      </c>
      <c r="D2765" t="s">
        <v>11843</v>
      </c>
      <c r="E2765" t="e" cm="1">
        <f t="array" ref="E2765">- TIZANIDINE HYDROCHLORIDE</f>
        <v>#NAME?</v>
      </c>
      <c r="F2765" t="s">
        <v>11844</v>
      </c>
      <c r="G2765" t="s">
        <v>11845</v>
      </c>
      <c r="H2765" t="s">
        <v>1322</v>
      </c>
      <c r="I2765" t="s">
        <v>11846</v>
      </c>
      <c r="J2765" t="s">
        <v>5354</v>
      </c>
      <c r="M2765" t="s">
        <v>46</v>
      </c>
      <c r="N2765" t="s">
        <v>1806</v>
      </c>
      <c r="O2765" t="s">
        <v>11352</v>
      </c>
      <c r="P2765" t="s">
        <v>11353</v>
      </c>
      <c r="Q2765" t="s">
        <v>12866</v>
      </c>
      <c r="R2765">
        <v>10</v>
      </c>
      <c r="S2765">
        <v>16</v>
      </c>
    </row>
    <row r="2766" spans="1:19" x14ac:dyDescent="0.35">
      <c r="A2766">
        <v>7043</v>
      </c>
      <c r="B2766" t="s">
        <v>1803</v>
      </c>
      <c r="C2766" t="s">
        <v>42</v>
      </c>
      <c r="D2766" t="s">
        <v>11847</v>
      </c>
      <c r="E2766" t="e" cm="1">
        <f t="array" ref="E2766">- TIZANIDINE HYDROCHLORIDE</f>
        <v>#NAME?</v>
      </c>
      <c r="F2766" t="s">
        <v>11848</v>
      </c>
      <c r="G2766" t="s">
        <v>11845</v>
      </c>
      <c r="H2766" t="s">
        <v>1322</v>
      </c>
      <c r="I2766" t="s">
        <v>11846</v>
      </c>
      <c r="J2766" t="s">
        <v>11849</v>
      </c>
      <c r="M2766" t="s">
        <v>46</v>
      </c>
      <c r="N2766" t="s">
        <v>1806</v>
      </c>
      <c r="O2766" t="s">
        <v>11352</v>
      </c>
      <c r="P2766" t="s">
        <v>11353</v>
      </c>
      <c r="Q2766" t="s">
        <v>12866</v>
      </c>
      <c r="R2766">
        <v>10</v>
      </c>
      <c r="S2766">
        <v>16</v>
      </c>
    </row>
    <row r="2767" spans="1:19" x14ac:dyDescent="0.35">
      <c r="A2767">
        <v>105</v>
      </c>
      <c r="B2767" t="s">
        <v>2902</v>
      </c>
      <c r="C2767" t="s">
        <v>42</v>
      </c>
      <c r="D2767" t="s">
        <v>12945</v>
      </c>
      <c r="E2767" t="e" cm="1">
        <f t="array" ref="E2767">- SILDENAFIL CITRATE</f>
        <v>#NAME?</v>
      </c>
      <c r="F2767" t="s">
        <v>12946</v>
      </c>
      <c r="G2767" t="s">
        <v>8185</v>
      </c>
      <c r="I2767" t="s">
        <v>8186</v>
      </c>
      <c r="J2767" t="s">
        <v>8169</v>
      </c>
      <c r="M2767" t="s">
        <v>46</v>
      </c>
      <c r="N2767" t="s">
        <v>2519</v>
      </c>
      <c r="O2767" t="s">
        <v>8189</v>
      </c>
      <c r="P2767" t="s">
        <v>12947</v>
      </c>
      <c r="Q2767" t="s">
        <v>12948</v>
      </c>
      <c r="R2767">
        <v>10</v>
      </c>
      <c r="S2767">
        <v>16</v>
      </c>
    </row>
    <row r="2768" spans="1:19" x14ac:dyDescent="0.35">
      <c r="A2768">
        <v>7046</v>
      </c>
      <c r="B2768" t="s">
        <v>1803</v>
      </c>
      <c r="C2768" t="s">
        <v>42</v>
      </c>
      <c r="D2768" t="s">
        <v>12007</v>
      </c>
      <c r="E2768" t="e" cm="1">
        <f t="array" ref="E2768">- TIZANIDINE HYDROCHLORIDE</f>
        <v>#NAME?</v>
      </c>
      <c r="F2768" t="s">
        <v>12008</v>
      </c>
      <c r="G2768" t="s">
        <v>12009</v>
      </c>
      <c r="H2768" t="s">
        <v>1322</v>
      </c>
      <c r="I2768" t="s">
        <v>12010</v>
      </c>
      <c r="J2768" t="s">
        <v>12011</v>
      </c>
      <c r="M2768" t="s">
        <v>46</v>
      </c>
      <c r="N2768" t="s">
        <v>1806</v>
      </c>
      <c r="O2768" t="s">
        <v>12012</v>
      </c>
      <c r="P2768" t="s">
        <v>12013</v>
      </c>
      <c r="Q2768" t="s">
        <v>12949</v>
      </c>
      <c r="R2768">
        <v>10</v>
      </c>
      <c r="S2768">
        <v>16</v>
      </c>
    </row>
    <row r="2769" spans="1:19" x14ac:dyDescent="0.35">
      <c r="A2769">
        <v>9252</v>
      </c>
      <c r="B2769" t="s">
        <v>12919</v>
      </c>
      <c r="C2769" t="s">
        <v>42</v>
      </c>
      <c r="D2769" t="s">
        <v>12920</v>
      </c>
      <c r="E2769" t="e" cm="1">
        <f t="array" ref="E2769">- PROPRANOLOL HYDROCHLORIDE</f>
        <v>#NAME?</v>
      </c>
      <c r="F2769" t="s">
        <v>12921</v>
      </c>
      <c r="G2769" t="s">
        <v>5568</v>
      </c>
      <c r="H2769" t="s">
        <v>12289</v>
      </c>
    </row>
    <row r="2770" spans="1:19" x14ac:dyDescent="0.35">
      <c r="A2770">
        <v>4370</v>
      </c>
      <c r="B2770" t="s">
        <v>1637</v>
      </c>
      <c r="C2770" t="s">
        <v>42</v>
      </c>
      <c r="D2770" t="s">
        <v>12206</v>
      </c>
      <c r="E2770" t="e" cm="1">
        <f t="array" ref="E2770">- OFLOXACIN</f>
        <v>#NAME?</v>
      </c>
      <c r="F2770" s="1">
        <v>199900</v>
      </c>
      <c r="H2770" t="s">
        <v>12207</v>
      </c>
      <c r="I2770" t="s">
        <v>12208</v>
      </c>
      <c r="J2770" t="s">
        <v>334</v>
      </c>
      <c r="M2770" t="s">
        <v>824</v>
      </c>
      <c r="N2770" t="s">
        <v>1640</v>
      </c>
      <c r="O2770" t="s">
        <v>12209</v>
      </c>
      <c r="P2770" t="s">
        <v>12210</v>
      </c>
      <c r="Q2770" t="s">
        <v>12950</v>
      </c>
      <c r="R2770">
        <v>10</v>
      </c>
      <c r="S2770">
        <v>16</v>
      </c>
    </row>
    <row r="2771" spans="1:19" x14ac:dyDescent="0.35">
      <c r="A2771">
        <v>6984</v>
      </c>
      <c r="B2771" t="s">
        <v>1803</v>
      </c>
      <c r="C2771" t="s">
        <v>42</v>
      </c>
      <c r="D2771" t="s">
        <v>12951</v>
      </c>
      <c r="E2771" t="e" cm="1">
        <f t="array" ref="E2771">- TIZANIDINE HYDROCHLORIDE</f>
        <v>#NAME?</v>
      </c>
      <c r="F2771" t="s">
        <v>12952</v>
      </c>
      <c r="J2771" t="s">
        <v>8169</v>
      </c>
      <c r="M2771" t="s">
        <v>46</v>
      </c>
      <c r="N2771" t="s">
        <v>1806</v>
      </c>
      <c r="P2771" t="s">
        <v>12953</v>
      </c>
      <c r="Q2771" t="s">
        <v>12954</v>
      </c>
      <c r="R2771">
        <v>10</v>
      </c>
      <c r="S2771">
        <v>16</v>
      </c>
    </row>
    <row r="2772" spans="1:19" x14ac:dyDescent="0.35">
      <c r="A2772">
        <v>75</v>
      </c>
      <c r="B2772" t="s">
        <v>2902</v>
      </c>
      <c r="C2772" t="s">
        <v>42</v>
      </c>
      <c r="D2772" t="s">
        <v>12874</v>
      </c>
      <c r="E2772" t="e" cm="1">
        <f t="array" ref="E2772">- SILDENAFIL CITRATE</f>
        <v>#NAME?</v>
      </c>
      <c r="F2772" s="1">
        <v>96900</v>
      </c>
      <c r="G2772" t="s">
        <v>8668</v>
      </c>
      <c r="H2772" t="s">
        <v>8263</v>
      </c>
      <c r="I2772" t="s">
        <v>12875</v>
      </c>
      <c r="J2772" t="s">
        <v>12876</v>
      </c>
      <c r="M2772" t="s">
        <v>46</v>
      </c>
      <c r="N2772" t="s">
        <v>2519</v>
      </c>
      <c r="O2772" t="s">
        <v>12877</v>
      </c>
      <c r="P2772" t="s">
        <v>12878</v>
      </c>
      <c r="Q2772" t="s">
        <v>12879</v>
      </c>
      <c r="R2772">
        <v>10</v>
      </c>
      <c r="S2772">
        <v>16</v>
      </c>
    </row>
    <row r="2773" spans="1:19" x14ac:dyDescent="0.35">
      <c r="A2773">
        <v>6962</v>
      </c>
      <c r="B2773" t="s">
        <v>1803</v>
      </c>
      <c r="C2773" t="s">
        <v>42</v>
      </c>
      <c r="D2773" t="s">
        <v>12955</v>
      </c>
      <c r="E2773" t="e" cm="1">
        <f t="array" ref="E2773">- TIZANIDINE HYDROCHLORIDE</f>
        <v>#NAME?</v>
      </c>
      <c r="F2773" s="1">
        <v>90000</v>
      </c>
      <c r="G2773" t="s">
        <v>12956</v>
      </c>
      <c r="H2773" t="s">
        <v>12957</v>
      </c>
      <c r="I2773" t="s">
        <v>12958</v>
      </c>
      <c r="J2773" t="s">
        <v>12676</v>
      </c>
      <c r="K2773" t="s">
        <v>2726</v>
      </c>
      <c r="L2773" t="s">
        <v>12959</v>
      </c>
      <c r="M2773" t="s">
        <v>46</v>
      </c>
      <c r="N2773" t="s">
        <v>1806</v>
      </c>
      <c r="O2773" t="s">
        <v>12960</v>
      </c>
      <c r="P2773" t="s">
        <v>5387</v>
      </c>
      <c r="Q2773" t="s">
        <v>12961</v>
      </c>
      <c r="R2773">
        <v>10</v>
      </c>
      <c r="S2773">
        <v>16</v>
      </c>
    </row>
    <row r="2774" spans="1:19" x14ac:dyDescent="0.35">
      <c r="A2774">
        <v>9332</v>
      </c>
      <c r="B2774" t="s">
        <v>12851</v>
      </c>
      <c r="C2774" t="s">
        <v>42</v>
      </c>
      <c r="D2774" t="s">
        <v>12852</v>
      </c>
      <c r="E2774" t="e" cm="1">
        <f t="array" ref="E2774">- FUROSEMIDE</f>
        <v>#NAME?</v>
      </c>
      <c r="F2774" t="s">
        <v>12853</v>
      </c>
      <c r="G2774" t="s">
        <v>9785</v>
      </c>
      <c r="H2774" t="s">
        <v>9786</v>
      </c>
      <c r="I2774" t="s">
        <v>9787</v>
      </c>
      <c r="J2774" t="s">
        <v>12854</v>
      </c>
      <c r="K2774" t="s">
        <v>9788</v>
      </c>
      <c r="L2774" t="s">
        <v>9789</v>
      </c>
      <c r="M2774" t="s">
        <v>46</v>
      </c>
      <c r="N2774" t="s">
        <v>9790</v>
      </c>
      <c r="O2774" t="s">
        <v>9791</v>
      </c>
      <c r="P2774" t="s">
        <v>12855</v>
      </c>
      <c r="Q2774" t="s">
        <v>12856</v>
      </c>
      <c r="R2774">
        <v>10</v>
      </c>
      <c r="S2774">
        <v>16</v>
      </c>
    </row>
    <row r="2775" spans="1:19" x14ac:dyDescent="0.35">
      <c r="A2775">
        <v>9331</v>
      </c>
      <c r="B2775" t="s">
        <v>12851</v>
      </c>
      <c r="C2775" t="s">
        <v>42</v>
      </c>
      <c r="D2775" t="s">
        <v>12852</v>
      </c>
      <c r="E2775" t="e" cm="1">
        <f t="array" ref="E2775">- FUROSEMIDE</f>
        <v>#NAME?</v>
      </c>
      <c r="F2775" t="s">
        <v>12853</v>
      </c>
      <c r="G2775" t="s">
        <v>9785</v>
      </c>
      <c r="H2775" t="s">
        <v>9786</v>
      </c>
      <c r="I2775" t="s">
        <v>9787</v>
      </c>
      <c r="J2775" t="s">
        <v>12854</v>
      </c>
      <c r="K2775" t="s">
        <v>9788</v>
      </c>
      <c r="L2775" t="s">
        <v>9789</v>
      </c>
      <c r="M2775" t="s">
        <v>46</v>
      </c>
      <c r="N2775" t="s">
        <v>9790</v>
      </c>
      <c r="O2775" t="s">
        <v>9791</v>
      </c>
      <c r="P2775" t="s">
        <v>12855</v>
      </c>
      <c r="Q2775" t="s">
        <v>12856</v>
      </c>
      <c r="R2775">
        <v>10</v>
      </c>
      <c r="S2775">
        <v>16</v>
      </c>
    </row>
    <row r="2776" spans="1:19" x14ac:dyDescent="0.35">
      <c r="A2776">
        <v>4349</v>
      </c>
      <c r="B2776" t="s">
        <v>12962</v>
      </c>
      <c r="C2776" t="s">
        <v>42</v>
      </c>
      <c r="D2776" t="s">
        <v>12963</v>
      </c>
      <c r="E2776" t="e" cm="1">
        <f t="array" ref="E2776">- FLUDROCORTISONE ACETATE</f>
        <v>#NAME?</v>
      </c>
      <c r="F2776" t="s">
        <v>12964</v>
      </c>
      <c r="G2776" t="s">
        <v>12844</v>
      </c>
      <c r="H2776" t="s">
        <v>12965</v>
      </c>
      <c r="I2776" t="s">
        <v>12966</v>
      </c>
      <c r="J2776" t="s">
        <v>12967</v>
      </c>
      <c r="K2776" t="s">
        <v>12968</v>
      </c>
      <c r="L2776" t="s">
        <v>12969</v>
      </c>
      <c r="M2776" t="s">
        <v>824</v>
      </c>
      <c r="N2776" t="s">
        <v>12970</v>
      </c>
      <c r="O2776" t="s">
        <v>12971</v>
      </c>
      <c r="P2776" t="s">
        <v>12972</v>
      </c>
      <c r="Q2776" t="s">
        <v>12973</v>
      </c>
      <c r="R2776">
        <v>10</v>
      </c>
      <c r="S2776">
        <v>16</v>
      </c>
    </row>
    <row r="2777" spans="1:19" x14ac:dyDescent="0.35">
      <c r="A2777">
        <v>4052</v>
      </c>
      <c r="B2777" t="s">
        <v>7440</v>
      </c>
      <c r="C2777" t="s">
        <v>42</v>
      </c>
      <c r="D2777" t="s">
        <v>7441</v>
      </c>
      <c r="E2777" t="e" cm="1">
        <f t="array" ref="E2777">- DEXCHLORPHENIRAMINE MALEATE. BETAMETHASONE</f>
        <v>#NAME?</v>
      </c>
      <c r="F2777" t="s">
        <v>7442</v>
      </c>
      <c r="G2777" t="s">
        <v>3970</v>
      </c>
      <c r="H2777" t="s">
        <v>7443</v>
      </c>
      <c r="I2777" t="s">
        <v>7444</v>
      </c>
      <c r="J2777" t="s">
        <v>334</v>
      </c>
      <c r="K2777" t="s">
        <v>7445</v>
      </c>
      <c r="L2777" t="s">
        <v>7446</v>
      </c>
    </row>
    <row r="2778" spans="1:19" x14ac:dyDescent="0.35">
      <c r="A2778">
        <v>9312</v>
      </c>
      <c r="B2778" t="s">
        <v>7025</v>
      </c>
      <c r="C2778" t="s">
        <v>42</v>
      </c>
      <c r="D2778" t="s">
        <v>7026</v>
      </c>
      <c r="E2778" t="e" cm="1">
        <f t="array" ref="E2778">- CANDESARTAN CILEXETIL. AMLODIPINE BESILATE</f>
        <v>#NAME?</v>
      </c>
      <c r="F2778" s="1">
        <v>191700</v>
      </c>
      <c r="G2778" t="s">
        <v>6869</v>
      </c>
      <c r="H2778" t="s">
        <v>2643</v>
      </c>
      <c r="I2778" t="s">
        <v>7027</v>
      </c>
      <c r="J2778" t="s">
        <v>7028</v>
      </c>
      <c r="K2778" t="s">
        <v>7029</v>
      </c>
      <c r="L2778" t="s">
        <v>7030</v>
      </c>
      <c r="M2778" t="s">
        <v>46</v>
      </c>
      <c r="N2778" t="s">
        <v>12974</v>
      </c>
      <c r="O2778" t="s">
        <v>7031</v>
      </c>
      <c r="P2778" t="s">
        <v>7032</v>
      </c>
      <c r="Q2778" t="s">
        <v>12975</v>
      </c>
      <c r="R2778">
        <v>10</v>
      </c>
      <c r="S2778">
        <v>16</v>
      </c>
    </row>
    <row r="2779" spans="1:19" x14ac:dyDescent="0.35">
      <c r="A2779">
        <v>9311</v>
      </c>
      <c r="B2779" t="s">
        <v>7025</v>
      </c>
      <c r="C2779" t="s">
        <v>42</v>
      </c>
      <c r="D2779" t="s">
        <v>7026</v>
      </c>
      <c r="E2779" t="e" cm="1">
        <f t="array" ref="E2779">- CANDESARTAN CILEXETIL. AMLODIPINE BESILATE</f>
        <v>#NAME?</v>
      </c>
      <c r="F2779" s="1">
        <v>191700</v>
      </c>
      <c r="G2779" t="s">
        <v>6869</v>
      </c>
      <c r="H2779" t="s">
        <v>2643</v>
      </c>
      <c r="I2779" t="s">
        <v>7027</v>
      </c>
      <c r="J2779" t="s">
        <v>7028</v>
      </c>
      <c r="K2779" t="s">
        <v>7029</v>
      </c>
      <c r="L2779" t="s">
        <v>7030</v>
      </c>
      <c r="M2779" t="s">
        <v>46</v>
      </c>
      <c r="N2779" t="s">
        <v>12974</v>
      </c>
      <c r="O2779" t="s">
        <v>7031</v>
      </c>
      <c r="P2779" t="s">
        <v>7032</v>
      </c>
      <c r="Q2779" t="s">
        <v>12975</v>
      </c>
      <c r="R2779">
        <v>10</v>
      </c>
      <c r="S2779">
        <v>16</v>
      </c>
    </row>
    <row r="2780" spans="1:19" x14ac:dyDescent="0.35">
      <c r="A2780">
        <v>2305</v>
      </c>
      <c r="B2780" t="s">
        <v>12976</v>
      </c>
      <c r="C2780" t="s">
        <v>42</v>
      </c>
      <c r="D2780" t="s">
        <v>12977</v>
      </c>
      <c r="E2780" t="e" cm="1">
        <f t="array" ref="E2780">- CYANOCOBALAMIN</f>
        <v>#NAME?</v>
      </c>
      <c r="F2780" t="s">
        <v>12978</v>
      </c>
      <c r="G2780" t="s">
        <v>12979</v>
      </c>
      <c r="H2780" t="s">
        <v>12980</v>
      </c>
      <c r="I2780" t="s">
        <v>12981</v>
      </c>
      <c r="J2780" t="s">
        <v>12982</v>
      </c>
      <c r="K2780" t="s">
        <v>12983</v>
      </c>
      <c r="L2780" t="s">
        <v>12984</v>
      </c>
      <c r="M2780" t="s">
        <v>46</v>
      </c>
      <c r="N2780" t="s">
        <v>677</v>
      </c>
      <c r="O2780" t="s">
        <v>12985</v>
      </c>
      <c r="P2780" t="s">
        <v>12986</v>
      </c>
      <c r="Q2780" t="s">
        <v>12987</v>
      </c>
      <c r="R2780">
        <v>10</v>
      </c>
      <c r="S2780">
        <v>16</v>
      </c>
    </row>
    <row r="2781" spans="1:19" x14ac:dyDescent="0.35">
      <c r="A2781">
        <v>2306</v>
      </c>
      <c r="B2781" t="s">
        <v>12976</v>
      </c>
      <c r="C2781" t="s">
        <v>42</v>
      </c>
      <c r="D2781" t="s">
        <v>12977</v>
      </c>
      <c r="E2781" t="e" cm="1">
        <f t="array" ref="E2781">- CYANOCOBALAMIN</f>
        <v>#NAME?</v>
      </c>
      <c r="F2781" t="s">
        <v>12978</v>
      </c>
      <c r="G2781" t="s">
        <v>12979</v>
      </c>
      <c r="H2781" t="s">
        <v>12980</v>
      </c>
      <c r="I2781" t="s">
        <v>12981</v>
      </c>
      <c r="J2781" t="s">
        <v>12982</v>
      </c>
      <c r="K2781" t="s">
        <v>12983</v>
      </c>
      <c r="L2781" t="s">
        <v>12984</v>
      </c>
      <c r="M2781" t="s">
        <v>46</v>
      </c>
      <c r="N2781" t="s">
        <v>677</v>
      </c>
      <c r="O2781" t="s">
        <v>12985</v>
      </c>
      <c r="P2781" t="s">
        <v>12986</v>
      </c>
      <c r="Q2781" t="s">
        <v>12987</v>
      </c>
      <c r="R2781">
        <v>10</v>
      </c>
      <c r="S2781">
        <v>16</v>
      </c>
    </row>
    <row r="2782" spans="1:19" x14ac:dyDescent="0.35">
      <c r="A2782">
        <v>2307</v>
      </c>
      <c r="B2782" t="s">
        <v>12988</v>
      </c>
      <c r="C2782" t="s">
        <v>42</v>
      </c>
      <c r="D2782" t="s">
        <v>12989</v>
      </c>
      <c r="E2782" t="e" cm="1">
        <f t="array" ref="E2782">- CYANOCOBALAMIN</f>
        <v>#NAME?</v>
      </c>
      <c r="F2782" t="s">
        <v>12990</v>
      </c>
      <c r="G2782" t="s">
        <v>3970</v>
      </c>
      <c r="H2782" t="s">
        <v>5688</v>
      </c>
      <c r="I2782" t="s">
        <v>12991</v>
      </c>
      <c r="J2782" t="s">
        <v>727</v>
      </c>
      <c r="K2782" t="s">
        <v>12992</v>
      </c>
      <c r="L2782" t="s">
        <v>12993</v>
      </c>
      <c r="M2782" t="s">
        <v>291</v>
      </c>
      <c r="N2782" t="s">
        <v>677</v>
      </c>
      <c r="O2782" t="s">
        <v>12994</v>
      </c>
      <c r="P2782" t="s">
        <v>12995</v>
      </c>
      <c r="Q2782" t="s">
        <v>12996</v>
      </c>
      <c r="R2782">
        <v>10</v>
      </c>
      <c r="S2782">
        <v>16</v>
      </c>
    </row>
    <row r="2783" spans="1:19" x14ac:dyDescent="0.35">
      <c r="A2783">
        <v>4051</v>
      </c>
      <c r="B2783" t="s">
        <v>7440</v>
      </c>
      <c r="C2783" t="s">
        <v>42</v>
      </c>
      <c r="D2783" t="s">
        <v>7441</v>
      </c>
      <c r="E2783" t="e" cm="1">
        <f t="array" ref="E2783">- BETAMETHASONE. DEXCHLORPHENIRAMINE MALEATE</f>
        <v>#NAME?</v>
      </c>
      <c r="F2783" t="s">
        <v>7442</v>
      </c>
      <c r="G2783" t="s">
        <v>3970</v>
      </c>
      <c r="H2783" t="s">
        <v>7443</v>
      </c>
      <c r="I2783" t="s">
        <v>7444</v>
      </c>
      <c r="J2783" t="s">
        <v>334</v>
      </c>
      <c r="K2783" t="s">
        <v>7445</v>
      </c>
      <c r="L2783" t="s">
        <v>7446</v>
      </c>
    </row>
    <row r="2784" spans="1:19" x14ac:dyDescent="0.35">
      <c r="A2784">
        <v>5819</v>
      </c>
      <c r="B2784" t="s">
        <v>12997</v>
      </c>
      <c r="C2784" t="s">
        <v>42</v>
      </c>
      <c r="D2784" t="s">
        <v>12998</v>
      </c>
      <c r="E2784" t="e" cm="1">
        <f t="array" ref="E2784">- AZITHROMYCIN DIHYDRATE</f>
        <v>#NAME?</v>
      </c>
      <c r="F2784" t="s">
        <v>12999</v>
      </c>
      <c r="G2784" t="s">
        <v>1691</v>
      </c>
      <c r="H2784" t="s">
        <v>13000</v>
      </c>
      <c r="I2784" t="s">
        <v>13001</v>
      </c>
      <c r="J2784" t="s">
        <v>13002</v>
      </c>
      <c r="K2784" t="s">
        <v>13003</v>
      </c>
      <c r="L2784" t="s">
        <v>13004</v>
      </c>
      <c r="M2784" t="s">
        <v>291</v>
      </c>
      <c r="N2784" t="s">
        <v>13005</v>
      </c>
      <c r="O2784" t="s">
        <v>13006</v>
      </c>
      <c r="P2784" t="s">
        <v>13007</v>
      </c>
      <c r="Q2784" t="s">
        <v>13008</v>
      </c>
      <c r="R2784">
        <v>10</v>
      </c>
      <c r="S2784">
        <v>16</v>
      </c>
    </row>
    <row r="2785" spans="1:19" x14ac:dyDescent="0.35">
      <c r="A2785">
        <v>5818</v>
      </c>
      <c r="B2785" t="s">
        <v>12997</v>
      </c>
      <c r="C2785" t="s">
        <v>42</v>
      </c>
      <c r="D2785" t="s">
        <v>12998</v>
      </c>
      <c r="E2785" t="e" cm="1">
        <f t="array" ref="E2785">- AZITHROMYCIN DIHYDRATE</f>
        <v>#NAME?</v>
      </c>
      <c r="F2785" t="s">
        <v>12999</v>
      </c>
      <c r="G2785" t="s">
        <v>1691</v>
      </c>
      <c r="H2785" t="s">
        <v>13000</v>
      </c>
      <c r="I2785" t="s">
        <v>13001</v>
      </c>
      <c r="J2785" t="s">
        <v>13002</v>
      </c>
      <c r="K2785" t="s">
        <v>13003</v>
      </c>
      <c r="L2785" t="s">
        <v>13004</v>
      </c>
      <c r="M2785" t="s">
        <v>291</v>
      </c>
      <c r="N2785" t="s">
        <v>13005</v>
      </c>
      <c r="O2785" t="s">
        <v>13006</v>
      </c>
      <c r="P2785" t="s">
        <v>13007</v>
      </c>
      <c r="Q2785" t="s">
        <v>13008</v>
      </c>
      <c r="R2785">
        <v>10</v>
      </c>
      <c r="S2785">
        <v>16</v>
      </c>
    </row>
    <row r="2786" spans="1:19" x14ac:dyDescent="0.35">
      <c r="A2786">
        <v>5817</v>
      </c>
      <c r="B2786" t="s">
        <v>12997</v>
      </c>
      <c r="C2786" t="s">
        <v>42</v>
      </c>
      <c r="D2786" t="s">
        <v>12998</v>
      </c>
      <c r="E2786" t="e" cm="1">
        <f t="array" ref="E2786">- AZITHROMYCIN DIHYDRATE</f>
        <v>#NAME?</v>
      </c>
      <c r="F2786" t="s">
        <v>12999</v>
      </c>
      <c r="G2786" t="s">
        <v>1691</v>
      </c>
      <c r="H2786" t="s">
        <v>13000</v>
      </c>
      <c r="I2786" t="s">
        <v>13001</v>
      </c>
      <c r="J2786" t="s">
        <v>13002</v>
      </c>
      <c r="K2786" t="s">
        <v>13003</v>
      </c>
      <c r="L2786" t="s">
        <v>13004</v>
      </c>
      <c r="M2786" t="s">
        <v>291</v>
      </c>
      <c r="N2786" t="s">
        <v>13005</v>
      </c>
      <c r="O2786" t="s">
        <v>13006</v>
      </c>
      <c r="P2786" t="s">
        <v>13007</v>
      </c>
      <c r="Q2786" t="s">
        <v>13008</v>
      </c>
      <c r="R2786">
        <v>10</v>
      </c>
      <c r="S2786">
        <v>16</v>
      </c>
    </row>
    <row r="2787" spans="1:19" x14ac:dyDescent="0.35">
      <c r="A2787">
        <v>4046</v>
      </c>
      <c r="B2787" t="s">
        <v>13009</v>
      </c>
      <c r="C2787" t="s">
        <v>42</v>
      </c>
      <c r="D2787" t="s">
        <v>13010</v>
      </c>
      <c r="E2787" t="e" cm="1">
        <f t="array" ref="E2787">- LORATADINE</f>
        <v>#NAME?</v>
      </c>
      <c r="F2787" t="s">
        <v>13011</v>
      </c>
      <c r="G2787" t="s">
        <v>4420</v>
      </c>
      <c r="H2787" t="s">
        <v>9221</v>
      </c>
      <c r="I2787" t="s">
        <v>9222</v>
      </c>
      <c r="J2787" t="s">
        <v>381</v>
      </c>
      <c r="K2787" t="s">
        <v>9223</v>
      </c>
      <c r="L2787" t="s">
        <v>9224</v>
      </c>
      <c r="M2787" t="s">
        <v>46</v>
      </c>
      <c r="N2787" t="s">
        <v>9225</v>
      </c>
      <c r="O2787" t="s">
        <v>9226</v>
      </c>
      <c r="P2787" t="s">
        <v>13012</v>
      </c>
      <c r="Q2787" t="s">
        <v>13013</v>
      </c>
      <c r="R2787">
        <v>10</v>
      </c>
      <c r="S2787">
        <v>16</v>
      </c>
    </row>
    <row r="2788" spans="1:19" x14ac:dyDescent="0.35">
      <c r="A2788">
        <v>2327</v>
      </c>
      <c r="B2788" t="s">
        <v>13014</v>
      </c>
      <c r="C2788" t="s">
        <v>42</v>
      </c>
      <c r="D2788" t="s">
        <v>13015</v>
      </c>
      <c r="E2788" t="e" cm="1">
        <f t="array" ref="E2788">- ACETYLSALICYLIC ACID</f>
        <v>#NAME?</v>
      </c>
      <c r="F2788" t="s">
        <v>13016</v>
      </c>
      <c r="G2788" t="s">
        <v>2241</v>
      </c>
      <c r="H2788" t="s">
        <v>13017</v>
      </c>
      <c r="I2788" t="s">
        <v>13018</v>
      </c>
      <c r="J2788" t="s">
        <v>13019</v>
      </c>
      <c r="K2788" t="s">
        <v>13020</v>
      </c>
      <c r="L2788" t="s">
        <v>13021</v>
      </c>
      <c r="M2788" t="s">
        <v>291</v>
      </c>
      <c r="N2788" t="s">
        <v>2579</v>
      </c>
      <c r="O2788" t="s">
        <v>13022</v>
      </c>
      <c r="P2788" t="s">
        <v>13023</v>
      </c>
      <c r="Q2788" t="s">
        <v>13024</v>
      </c>
      <c r="R2788">
        <v>10</v>
      </c>
      <c r="S2788">
        <v>16</v>
      </c>
    </row>
    <row r="2789" spans="1:19" x14ac:dyDescent="0.35">
      <c r="A2789">
        <v>5816</v>
      </c>
      <c r="B2789" t="s">
        <v>12997</v>
      </c>
      <c r="C2789" t="s">
        <v>42</v>
      </c>
      <c r="D2789" t="s">
        <v>12998</v>
      </c>
      <c r="E2789" t="e" cm="1">
        <f t="array" ref="E2789">- AZITHROMYCIN DIHYDRATE</f>
        <v>#NAME?</v>
      </c>
      <c r="F2789" t="s">
        <v>12999</v>
      </c>
      <c r="G2789" t="s">
        <v>1691</v>
      </c>
      <c r="H2789" t="s">
        <v>13000</v>
      </c>
      <c r="I2789" t="s">
        <v>13001</v>
      </c>
      <c r="J2789" t="s">
        <v>13002</v>
      </c>
      <c r="K2789" t="s">
        <v>13003</v>
      </c>
      <c r="L2789" t="s">
        <v>13004</v>
      </c>
      <c r="M2789" t="s">
        <v>291</v>
      </c>
      <c r="N2789" t="s">
        <v>13005</v>
      </c>
      <c r="O2789" t="s">
        <v>13006</v>
      </c>
      <c r="P2789" t="s">
        <v>13007</v>
      </c>
      <c r="Q2789" t="s">
        <v>13008</v>
      </c>
      <c r="R2789">
        <v>10</v>
      </c>
      <c r="S2789">
        <v>16</v>
      </c>
    </row>
    <row r="2790" spans="1:19" x14ac:dyDescent="0.35">
      <c r="A2790">
        <v>6982</v>
      </c>
      <c r="B2790" t="s">
        <v>1803</v>
      </c>
      <c r="C2790" t="s">
        <v>42</v>
      </c>
      <c r="D2790" t="s">
        <v>13025</v>
      </c>
      <c r="E2790" t="e" cm="1">
        <f t="array" ref="E2790">- TIZANIDINE HYDROCHLORIDE</f>
        <v>#NAME?</v>
      </c>
      <c r="F2790" t="s">
        <v>13026</v>
      </c>
      <c r="J2790" t="s">
        <v>8289</v>
      </c>
      <c r="M2790" t="s">
        <v>46</v>
      </c>
      <c r="N2790" t="s">
        <v>1806</v>
      </c>
      <c r="P2790" t="s">
        <v>13027</v>
      </c>
      <c r="Q2790" t="s">
        <v>13028</v>
      </c>
      <c r="R2790">
        <v>10</v>
      </c>
      <c r="S2790">
        <v>16</v>
      </c>
    </row>
    <row r="2791" spans="1:19" x14ac:dyDescent="0.35">
      <c r="A2791">
        <v>9289</v>
      </c>
      <c r="B2791" t="s">
        <v>13029</v>
      </c>
      <c r="C2791" t="s">
        <v>42</v>
      </c>
      <c r="D2791" t="s">
        <v>13030</v>
      </c>
      <c r="E2791" t="e" cm="1">
        <f t="array" ref="E2791">- ENALAPRIL MALEATE</f>
        <v>#NAME?</v>
      </c>
      <c r="F2791" t="s">
        <v>13031</v>
      </c>
      <c r="G2791" t="s">
        <v>13032</v>
      </c>
      <c r="H2791" t="s">
        <v>13033</v>
      </c>
      <c r="I2791" t="s">
        <v>13034</v>
      </c>
      <c r="J2791" t="s">
        <v>599</v>
      </c>
      <c r="K2791" t="s">
        <v>13035</v>
      </c>
      <c r="L2791" t="s">
        <v>13036</v>
      </c>
      <c r="M2791" t="s">
        <v>46</v>
      </c>
      <c r="N2791" t="s">
        <v>2739</v>
      </c>
      <c r="O2791" t="s">
        <v>13037</v>
      </c>
      <c r="P2791" t="s">
        <v>13038</v>
      </c>
      <c r="Q2791" t="s">
        <v>13039</v>
      </c>
      <c r="R2791">
        <v>10</v>
      </c>
      <c r="S2791">
        <v>16</v>
      </c>
    </row>
    <row r="2792" spans="1:19" x14ac:dyDescent="0.35">
      <c r="A2792">
        <v>5810</v>
      </c>
      <c r="B2792" t="s">
        <v>13040</v>
      </c>
      <c r="C2792" t="s">
        <v>42</v>
      </c>
      <c r="D2792" t="s">
        <v>13041</v>
      </c>
      <c r="E2792" t="e" cm="1">
        <f t="array" ref="E2792">- ISONIAZID. PYRIDOXINE HYDROCHLORIDE</f>
        <v>#NAME?</v>
      </c>
      <c r="F2792" t="s">
        <v>13042</v>
      </c>
      <c r="G2792" t="s">
        <v>13043</v>
      </c>
      <c r="H2792" t="s">
        <v>8065</v>
      </c>
    </row>
    <row r="2793" spans="1:19" x14ac:dyDescent="0.35">
      <c r="A2793">
        <v>6983</v>
      </c>
      <c r="B2793" t="s">
        <v>1803</v>
      </c>
      <c r="C2793" t="s">
        <v>42</v>
      </c>
      <c r="D2793" t="s">
        <v>13044</v>
      </c>
      <c r="E2793" t="e" cm="1">
        <f t="array" ref="E2793">- TIZANIDINE HYDROCHLORIDE</f>
        <v>#NAME?</v>
      </c>
      <c r="F2793" t="s">
        <v>13045</v>
      </c>
      <c r="J2793" t="s">
        <v>8169</v>
      </c>
      <c r="M2793" t="s">
        <v>46</v>
      </c>
      <c r="N2793" t="s">
        <v>1806</v>
      </c>
      <c r="P2793" t="s">
        <v>13046</v>
      </c>
      <c r="Q2793" t="s">
        <v>13047</v>
      </c>
      <c r="R2793">
        <v>10</v>
      </c>
      <c r="S2793">
        <v>16</v>
      </c>
    </row>
    <row r="2794" spans="1:19" x14ac:dyDescent="0.35">
      <c r="A2794">
        <v>2348</v>
      </c>
      <c r="B2794" t="s">
        <v>2957</v>
      </c>
      <c r="C2794" t="s">
        <v>42</v>
      </c>
      <c r="D2794" t="s">
        <v>2958</v>
      </c>
      <c r="E2794" t="e" cm="1">
        <f t="array" ref="E2794">- PARACETAMOL. THIAMINE HYDROCHLORIDE. PYRIDOXINE HYDROCHLORIDE. CYANOCOBALAMIN</f>
        <v>#NAME?</v>
      </c>
      <c r="F2794" t="s">
        <v>2959</v>
      </c>
      <c r="G2794" t="s">
        <v>2960</v>
      </c>
      <c r="H2794" t="s">
        <v>2961</v>
      </c>
      <c r="I2794" t="s">
        <v>2962</v>
      </c>
      <c r="J2794" t="s">
        <v>2963</v>
      </c>
      <c r="K2794" t="s">
        <v>2964</v>
      </c>
      <c r="L2794" t="s">
        <v>2965</v>
      </c>
      <c r="M2794" t="s">
        <v>38</v>
      </c>
      <c r="N2794" t="s">
        <v>13048</v>
      </c>
      <c r="O2794" t="s">
        <v>2966</v>
      </c>
      <c r="P2794" t="s">
        <v>2967</v>
      </c>
      <c r="Q2794" t="s">
        <v>13049</v>
      </c>
      <c r="R2794">
        <v>10</v>
      </c>
      <c r="S2794">
        <v>16</v>
      </c>
    </row>
    <row r="2795" spans="1:19" x14ac:dyDescent="0.35">
      <c r="A2795">
        <v>74</v>
      </c>
      <c r="B2795" t="s">
        <v>2902</v>
      </c>
      <c r="C2795" t="s">
        <v>42</v>
      </c>
      <c r="D2795" t="s">
        <v>12867</v>
      </c>
      <c r="E2795" t="e" cm="1">
        <f t="array" ref="E2795">- SILDENAFIL CITRATE</f>
        <v>#NAME?</v>
      </c>
      <c r="F2795" t="s">
        <v>12868</v>
      </c>
      <c r="G2795" t="s">
        <v>12869</v>
      </c>
      <c r="H2795" t="s">
        <v>1322</v>
      </c>
      <c r="I2795" t="s">
        <v>12870</v>
      </c>
      <c r="J2795" t="s">
        <v>12871</v>
      </c>
      <c r="L2795" t="s">
        <v>11662</v>
      </c>
      <c r="M2795" t="s">
        <v>46</v>
      </c>
      <c r="N2795" t="s">
        <v>2519</v>
      </c>
      <c r="O2795" t="s">
        <v>8189</v>
      </c>
      <c r="P2795" t="s">
        <v>12872</v>
      </c>
      <c r="Q2795" t="s">
        <v>12873</v>
      </c>
      <c r="R2795">
        <v>10</v>
      </c>
      <c r="S2795">
        <v>16</v>
      </c>
    </row>
    <row r="2796" spans="1:19" x14ac:dyDescent="0.35">
      <c r="A2796">
        <v>9334</v>
      </c>
      <c r="B2796" t="s">
        <v>12851</v>
      </c>
      <c r="C2796" t="s">
        <v>42</v>
      </c>
      <c r="D2796" t="s">
        <v>12852</v>
      </c>
      <c r="E2796" t="e" cm="1">
        <f t="array" ref="E2796">- FUROSEMIDE</f>
        <v>#NAME?</v>
      </c>
      <c r="F2796" t="s">
        <v>12853</v>
      </c>
      <c r="G2796" t="s">
        <v>9785</v>
      </c>
      <c r="H2796" t="s">
        <v>9786</v>
      </c>
      <c r="I2796" t="s">
        <v>9787</v>
      </c>
      <c r="J2796" t="s">
        <v>12854</v>
      </c>
      <c r="K2796" t="s">
        <v>9788</v>
      </c>
      <c r="L2796" t="s">
        <v>9789</v>
      </c>
      <c r="M2796" t="s">
        <v>46</v>
      </c>
      <c r="N2796" t="s">
        <v>9790</v>
      </c>
      <c r="O2796" t="s">
        <v>9791</v>
      </c>
      <c r="P2796" t="s">
        <v>12855</v>
      </c>
      <c r="Q2796" t="s">
        <v>12856</v>
      </c>
      <c r="R2796">
        <v>10</v>
      </c>
      <c r="S2796">
        <v>16</v>
      </c>
    </row>
    <row r="2797" spans="1:19" x14ac:dyDescent="0.35">
      <c r="A2797">
        <v>7049</v>
      </c>
      <c r="B2797" t="s">
        <v>1803</v>
      </c>
      <c r="C2797" t="s">
        <v>42</v>
      </c>
      <c r="D2797" t="s">
        <v>12045</v>
      </c>
      <c r="E2797" t="e" cm="1">
        <f t="array" ref="E2797">- TIZANIDINE HYDROCHLORIDE</f>
        <v>#NAME?</v>
      </c>
      <c r="F2797" t="s">
        <v>12046</v>
      </c>
      <c r="G2797" t="s">
        <v>11845</v>
      </c>
      <c r="H2797" t="s">
        <v>1322</v>
      </c>
      <c r="I2797" t="s">
        <v>11846</v>
      </c>
      <c r="J2797" t="s">
        <v>12047</v>
      </c>
      <c r="M2797" t="s">
        <v>46</v>
      </c>
      <c r="N2797" t="s">
        <v>1806</v>
      </c>
      <c r="O2797" t="s">
        <v>11352</v>
      </c>
      <c r="P2797" t="s">
        <v>12048</v>
      </c>
      <c r="Q2797" t="s">
        <v>13050</v>
      </c>
      <c r="R2797">
        <v>10</v>
      </c>
      <c r="S2797">
        <v>16</v>
      </c>
    </row>
    <row r="2798" spans="1:19" x14ac:dyDescent="0.35">
      <c r="A2798">
        <v>42</v>
      </c>
      <c r="B2798" t="s">
        <v>2902</v>
      </c>
      <c r="C2798" t="s">
        <v>42</v>
      </c>
      <c r="D2798" t="s">
        <v>13051</v>
      </c>
      <c r="E2798" t="e" cm="1">
        <f t="array" ref="E2798">- SILDENAFIL CITRATE</f>
        <v>#NAME?</v>
      </c>
      <c r="F2798" s="1">
        <v>148500</v>
      </c>
      <c r="I2798" t="s">
        <v>8186</v>
      </c>
      <c r="J2798" t="s">
        <v>9799</v>
      </c>
      <c r="M2798" t="s">
        <v>46</v>
      </c>
      <c r="N2798" t="s">
        <v>2519</v>
      </c>
      <c r="O2798" t="s">
        <v>8189</v>
      </c>
      <c r="P2798" t="s">
        <v>13052</v>
      </c>
      <c r="Q2798" t="s">
        <v>13053</v>
      </c>
      <c r="R2798">
        <v>10</v>
      </c>
      <c r="S2798">
        <v>16</v>
      </c>
    </row>
    <row r="2799" spans="1:19" x14ac:dyDescent="0.35">
      <c r="A2799">
        <v>418</v>
      </c>
      <c r="B2799" t="s">
        <v>8270</v>
      </c>
      <c r="C2799" t="s">
        <v>20</v>
      </c>
      <c r="D2799" t="s">
        <v>13054</v>
      </c>
      <c r="E2799" t="s">
        <v>8272</v>
      </c>
      <c r="F2799" t="s">
        <v>13055</v>
      </c>
      <c r="I2799" t="s">
        <v>13056</v>
      </c>
      <c r="J2799" t="s">
        <v>334</v>
      </c>
      <c r="M2799" t="s">
        <v>38</v>
      </c>
      <c r="N2799" t="s">
        <v>8274</v>
      </c>
      <c r="O2799" t="s">
        <v>13057</v>
      </c>
      <c r="P2799" t="s">
        <v>8274</v>
      </c>
      <c r="Q2799" t="s">
        <v>13058</v>
      </c>
      <c r="R2799">
        <v>10</v>
      </c>
      <c r="S2799">
        <v>16</v>
      </c>
    </row>
    <row r="2800" spans="1:19" x14ac:dyDescent="0.35">
      <c r="A2800">
        <v>4183</v>
      </c>
      <c r="B2800" t="s">
        <v>13059</v>
      </c>
      <c r="C2800" t="s">
        <v>42</v>
      </c>
      <c r="D2800" t="s">
        <v>13060</v>
      </c>
      <c r="E2800" t="e" cm="1">
        <f t="array" ref="E2800">- LORATADINE</f>
        <v>#NAME?</v>
      </c>
      <c r="F2800" t="s">
        <v>13061</v>
      </c>
      <c r="G2800" t="s">
        <v>12791</v>
      </c>
      <c r="H2800" t="s">
        <v>13062</v>
      </c>
      <c r="I2800" t="s">
        <v>9222</v>
      </c>
      <c r="J2800" t="s">
        <v>334</v>
      </c>
      <c r="K2800" t="s">
        <v>12793</v>
      </c>
      <c r="L2800" t="s">
        <v>12794</v>
      </c>
      <c r="M2800" t="s">
        <v>271</v>
      </c>
      <c r="N2800" t="s">
        <v>9225</v>
      </c>
      <c r="O2800" t="s">
        <v>9226</v>
      </c>
      <c r="P2800" t="s">
        <v>12795</v>
      </c>
      <c r="Q2800" t="s">
        <v>13063</v>
      </c>
      <c r="R2800">
        <v>10</v>
      </c>
      <c r="S2800">
        <v>16</v>
      </c>
    </row>
    <row r="2801" spans="1:19" x14ac:dyDescent="0.35">
      <c r="A2801">
        <v>1861</v>
      </c>
      <c r="B2801" t="s">
        <v>13064</v>
      </c>
      <c r="C2801" t="s">
        <v>42</v>
      </c>
      <c r="D2801" t="s">
        <v>13065</v>
      </c>
      <c r="E2801" t="e" cm="1">
        <f t="array" ref="E2801">- PSEUDOEPHEDRINE HYDROCHLORIDE</f>
        <v>#NAME?</v>
      </c>
      <c r="F2801" s="1">
        <v>62400</v>
      </c>
      <c r="G2801" t="s">
        <v>2241</v>
      </c>
      <c r="H2801" t="s">
        <v>13066</v>
      </c>
      <c r="I2801" t="s">
        <v>13067</v>
      </c>
      <c r="J2801" t="s">
        <v>743</v>
      </c>
      <c r="K2801" t="s">
        <v>13068</v>
      </c>
      <c r="L2801" t="s">
        <v>13069</v>
      </c>
      <c r="M2801" t="s">
        <v>824</v>
      </c>
      <c r="N2801" t="s">
        <v>8326</v>
      </c>
      <c r="O2801" t="s">
        <v>13070</v>
      </c>
      <c r="P2801" t="s">
        <v>13071</v>
      </c>
      <c r="Q2801" t="s">
        <v>13072</v>
      </c>
      <c r="R2801">
        <v>10</v>
      </c>
      <c r="S2801">
        <v>16</v>
      </c>
    </row>
    <row r="2802" spans="1:19" x14ac:dyDescent="0.35">
      <c r="A2802">
        <v>7965</v>
      </c>
      <c r="B2802" t="s">
        <v>13073</v>
      </c>
      <c r="C2802" t="s">
        <v>20</v>
      </c>
      <c r="D2802" t="s">
        <v>13074</v>
      </c>
      <c r="E2802" t="s">
        <v>13075</v>
      </c>
      <c r="F2802" s="1">
        <v>110700</v>
      </c>
      <c r="G2802" t="s">
        <v>2241</v>
      </c>
      <c r="H2802" t="s">
        <v>13076</v>
      </c>
      <c r="I2802" t="s">
        <v>4525</v>
      </c>
      <c r="J2802" t="s">
        <v>441</v>
      </c>
      <c r="N2802" t="s">
        <v>13077</v>
      </c>
      <c r="O2802" t="s">
        <v>4528</v>
      </c>
      <c r="P2802" t="s">
        <v>13078</v>
      </c>
      <c r="Q2802" t="s">
        <v>13079</v>
      </c>
      <c r="R2802">
        <v>10</v>
      </c>
      <c r="S2802">
        <v>16</v>
      </c>
    </row>
    <row r="2803" spans="1:19" x14ac:dyDescent="0.35">
      <c r="A2803">
        <v>6465</v>
      </c>
      <c r="B2803" t="s">
        <v>13080</v>
      </c>
      <c r="C2803" t="s">
        <v>42</v>
      </c>
      <c r="D2803" t="s">
        <v>13081</v>
      </c>
      <c r="E2803" t="e" cm="1">
        <f t="array" ref="E2803">- METRONIDAZOLE</f>
        <v>#NAME?</v>
      </c>
      <c r="F2803" t="s">
        <v>13082</v>
      </c>
      <c r="G2803" t="s">
        <v>13083</v>
      </c>
      <c r="H2803" t="s">
        <v>13084</v>
      </c>
      <c r="I2803" t="s">
        <v>13085</v>
      </c>
      <c r="J2803" t="s">
        <v>13086</v>
      </c>
      <c r="K2803" t="s">
        <v>3952</v>
      </c>
      <c r="L2803" t="s">
        <v>13087</v>
      </c>
      <c r="M2803" t="s">
        <v>8891</v>
      </c>
      <c r="N2803" t="s">
        <v>1049</v>
      </c>
      <c r="O2803" t="s">
        <v>13088</v>
      </c>
      <c r="P2803" t="s">
        <v>13089</v>
      </c>
      <c r="Q2803" t="s">
        <v>13090</v>
      </c>
      <c r="R2803">
        <v>10</v>
      </c>
      <c r="S2803">
        <v>16</v>
      </c>
    </row>
    <row r="2804" spans="1:19" x14ac:dyDescent="0.35">
      <c r="A2804">
        <v>6466</v>
      </c>
      <c r="B2804" t="s">
        <v>13080</v>
      </c>
      <c r="C2804" t="s">
        <v>42</v>
      </c>
      <c r="D2804" t="s">
        <v>13081</v>
      </c>
      <c r="E2804" t="e" cm="1">
        <f t="array" ref="E2804">- METRONIDAZOLE</f>
        <v>#NAME?</v>
      </c>
      <c r="F2804" t="s">
        <v>13082</v>
      </c>
      <c r="G2804" t="s">
        <v>13083</v>
      </c>
      <c r="H2804" t="s">
        <v>13084</v>
      </c>
      <c r="I2804" t="s">
        <v>13085</v>
      </c>
      <c r="J2804" t="s">
        <v>13086</v>
      </c>
      <c r="K2804" t="s">
        <v>3952</v>
      </c>
      <c r="L2804" t="s">
        <v>13087</v>
      </c>
      <c r="M2804" t="s">
        <v>8891</v>
      </c>
      <c r="N2804" t="s">
        <v>1049</v>
      </c>
      <c r="O2804" t="s">
        <v>13088</v>
      </c>
      <c r="P2804" t="s">
        <v>13089</v>
      </c>
      <c r="Q2804" t="s">
        <v>13090</v>
      </c>
      <c r="R2804">
        <v>10</v>
      </c>
      <c r="S2804">
        <v>16</v>
      </c>
    </row>
    <row r="2805" spans="1:19" x14ac:dyDescent="0.35">
      <c r="A2805">
        <v>4171</v>
      </c>
      <c r="B2805" t="s">
        <v>13091</v>
      </c>
      <c r="C2805" t="s">
        <v>42</v>
      </c>
      <c r="D2805" t="s">
        <v>13092</v>
      </c>
      <c r="E2805" t="e" cm="1">
        <f t="array" ref="E2805">- HYDROXYZINE HYDROCHLORIDE</f>
        <v>#NAME?</v>
      </c>
      <c r="G2805" t="s">
        <v>6310</v>
      </c>
      <c r="H2805" t="s">
        <v>13093</v>
      </c>
    </row>
    <row r="2806" spans="1:19" x14ac:dyDescent="0.35">
      <c r="A2806">
        <v>9921</v>
      </c>
      <c r="B2806" t="s">
        <v>13094</v>
      </c>
      <c r="C2806" t="s">
        <v>42</v>
      </c>
      <c r="D2806" t="s">
        <v>13095</v>
      </c>
      <c r="E2806" t="e" cm="1">
        <f t="array" ref="E2806">- TRIMETAZIDINE HYDROCHLORIDE</f>
        <v>#NAME?</v>
      </c>
      <c r="F2806" t="s">
        <v>13096</v>
      </c>
      <c r="G2806" t="s">
        <v>13097</v>
      </c>
      <c r="H2806" t="s">
        <v>13098</v>
      </c>
      <c r="I2806" t="s">
        <v>13099</v>
      </c>
      <c r="J2806" t="s">
        <v>13100</v>
      </c>
      <c r="K2806" t="s">
        <v>13101</v>
      </c>
      <c r="L2806" t="s">
        <v>13102</v>
      </c>
      <c r="M2806" t="s">
        <v>46</v>
      </c>
      <c r="N2806" t="s">
        <v>6684</v>
      </c>
      <c r="O2806" t="s">
        <v>13103</v>
      </c>
      <c r="P2806" t="s">
        <v>13104</v>
      </c>
      <c r="Q2806" t="s">
        <v>13105</v>
      </c>
      <c r="R2806">
        <v>10</v>
      </c>
      <c r="S2806">
        <v>16</v>
      </c>
    </row>
    <row r="2807" spans="1:19" x14ac:dyDescent="0.35">
      <c r="A2807">
        <v>9920</v>
      </c>
      <c r="B2807" t="s">
        <v>13094</v>
      </c>
      <c r="C2807" t="s">
        <v>42</v>
      </c>
      <c r="D2807" t="s">
        <v>13095</v>
      </c>
      <c r="E2807" t="e" cm="1">
        <f t="array" ref="E2807">- TRIMETAZIDINE DIHYDROCHLORIDE</f>
        <v>#NAME?</v>
      </c>
      <c r="F2807" t="s">
        <v>13096</v>
      </c>
      <c r="G2807" t="s">
        <v>13097</v>
      </c>
      <c r="H2807" t="s">
        <v>13098</v>
      </c>
      <c r="I2807" t="s">
        <v>13099</v>
      </c>
      <c r="J2807" t="s">
        <v>13100</v>
      </c>
      <c r="K2807" t="s">
        <v>13101</v>
      </c>
      <c r="L2807" t="s">
        <v>13102</v>
      </c>
      <c r="M2807" t="s">
        <v>46</v>
      </c>
      <c r="N2807" t="s">
        <v>6655</v>
      </c>
      <c r="O2807" t="s">
        <v>13103</v>
      </c>
      <c r="P2807" t="s">
        <v>13104</v>
      </c>
      <c r="Q2807" t="s">
        <v>13106</v>
      </c>
      <c r="R2807">
        <v>10</v>
      </c>
      <c r="S2807">
        <v>16</v>
      </c>
    </row>
    <row r="2808" spans="1:19" x14ac:dyDescent="0.35">
      <c r="A2808">
        <v>6165</v>
      </c>
      <c r="B2808" t="s">
        <v>13107</v>
      </c>
      <c r="C2808" t="s">
        <v>42</v>
      </c>
      <c r="D2808" t="s">
        <v>13108</v>
      </c>
      <c r="E2808" t="e" cm="1">
        <f t="array" ref="E2808">- LINCOMYCIN HYDROCHLORIDE</f>
        <v>#NAME?</v>
      </c>
      <c r="F2808" s="1">
        <v>143600</v>
      </c>
      <c r="G2808" t="s">
        <v>13109</v>
      </c>
      <c r="H2808" t="s">
        <v>13110</v>
      </c>
      <c r="I2808" t="s">
        <v>13111</v>
      </c>
      <c r="J2808" t="s">
        <v>347</v>
      </c>
      <c r="K2808" t="s">
        <v>13112</v>
      </c>
      <c r="L2808" t="s">
        <v>13113</v>
      </c>
      <c r="M2808" t="s">
        <v>38</v>
      </c>
      <c r="N2808" t="s">
        <v>9272</v>
      </c>
      <c r="O2808" t="s">
        <v>13114</v>
      </c>
      <c r="P2808" t="s">
        <v>13115</v>
      </c>
      <c r="Q2808" t="s">
        <v>13116</v>
      </c>
      <c r="R2808">
        <v>10</v>
      </c>
      <c r="S2808">
        <v>16</v>
      </c>
    </row>
    <row r="2809" spans="1:19" x14ac:dyDescent="0.35">
      <c r="A2809">
        <v>9913</v>
      </c>
      <c r="B2809" t="s">
        <v>13117</v>
      </c>
      <c r="C2809" t="s">
        <v>42</v>
      </c>
      <c r="D2809" t="s">
        <v>13118</v>
      </c>
      <c r="E2809" t="e" cm="1">
        <f t="array" ref="E2809">- PENTOXIFYLLINE</f>
        <v>#NAME?</v>
      </c>
      <c r="F2809" t="s">
        <v>13119</v>
      </c>
      <c r="G2809" t="s">
        <v>13120</v>
      </c>
      <c r="H2809" t="s">
        <v>13121</v>
      </c>
      <c r="I2809" t="s">
        <v>13122</v>
      </c>
      <c r="J2809" t="s">
        <v>754</v>
      </c>
      <c r="K2809" t="s">
        <v>13123</v>
      </c>
      <c r="L2809" t="s">
        <v>13124</v>
      </c>
      <c r="M2809" t="s">
        <v>46</v>
      </c>
      <c r="N2809" t="s">
        <v>13125</v>
      </c>
      <c r="O2809" t="s">
        <v>13126</v>
      </c>
      <c r="P2809" t="s">
        <v>13127</v>
      </c>
      <c r="Q2809" t="s">
        <v>13128</v>
      </c>
      <c r="R2809">
        <v>10</v>
      </c>
      <c r="S2809">
        <v>16</v>
      </c>
    </row>
    <row r="2810" spans="1:19" x14ac:dyDescent="0.35">
      <c r="A2810">
        <v>4184</v>
      </c>
      <c r="B2810" t="s">
        <v>13059</v>
      </c>
      <c r="C2810" t="s">
        <v>42</v>
      </c>
      <c r="D2810" t="s">
        <v>13060</v>
      </c>
      <c r="E2810" t="e" cm="1">
        <f t="array" ref="E2810">- LORATADINE</f>
        <v>#NAME?</v>
      </c>
      <c r="F2810" t="s">
        <v>13061</v>
      </c>
      <c r="G2810" t="s">
        <v>12791</v>
      </c>
      <c r="H2810" t="s">
        <v>13062</v>
      </c>
      <c r="I2810" t="s">
        <v>9222</v>
      </c>
      <c r="J2810" t="s">
        <v>334</v>
      </c>
      <c r="K2810" t="s">
        <v>12793</v>
      </c>
      <c r="L2810" t="s">
        <v>12794</v>
      </c>
      <c r="M2810" t="s">
        <v>271</v>
      </c>
      <c r="N2810" t="s">
        <v>9225</v>
      </c>
      <c r="O2810" t="s">
        <v>9226</v>
      </c>
      <c r="P2810" t="s">
        <v>12795</v>
      </c>
      <c r="Q2810" t="s">
        <v>13063</v>
      </c>
      <c r="R2810">
        <v>10</v>
      </c>
      <c r="S2810">
        <v>16</v>
      </c>
    </row>
    <row r="2811" spans="1:19" x14ac:dyDescent="0.35">
      <c r="A2811">
        <v>6164</v>
      </c>
      <c r="B2811" t="s">
        <v>13107</v>
      </c>
      <c r="C2811" t="s">
        <v>42</v>
      </c>
      <c r="D2811" t="s">
        <v>13108</v>
      </c>
      <c r="E2811" t="e" cm="1">
        <f t="array" ref="E2811">- LINCOMYCIN HYDROCHLORIDE</f>
        <v>#NAME?</v>
      </c>
      <c r="F2811" s="1">
        <v>143600</v>
      </c>
      <c r="G2811" t="s">
        <v>13109</v>
      </c>
      <c r="H2811" t="s">
        <v>13110</v>
      </c>
      <c r="I2811" t="s">
        <v>13111</v>
      </c>
      <c r="J2811" t="s">
        <v>347</v>
      </c>
      <c r="K2811" t="s">
        <v>13112</v>
      </c>
      <c r="L2811" t="s">
        <v>13113</v>
      </c>
      <c r="M2811" t="s">
        <v>38</v>
      </c>
      <c r="N2811" t="s">
        <v>9272</v>
      </c>
      <c r="O2811" t="s">
        <v>13114</v>
      </c>
      <c r="P2811" t="s">
        <v>13115</v>
      </c>
      <c r="Q2811" t="s">
        <v>13116</v>
      </c>
      <c r="R2811">
        <v>10</v>
      </c>
      <c r="S2811">
        <v>16</v>
      </c>
    </row>
    <row r="2812" spans="1:19" x14ac:dyDescent="0.35">
      <c r="A2812">
        <v>1907</v>
      </c>
      <c r="B2812" t="s">
        <v>13129</v>
      </c>
      <c r="C2812" t="s">
        <v>20</v>
      </c>
      <c r="D2812" t="s">
        <v>13130</v>
      </c>
      <c r="E2812" t="s">
        <v>13131</v>
      </c>
      <c r="F2812" t="s">
        <v>13132</v>
      </c>
      <c r="G2812" t="s">
        <v>2241</v>
      </c>
      <c r="H2812" t="s">
        <v>13133</v>
      </c>
      <c r="I2812" t="s">
        <v>13134</v>
      </c>
      <c r="J2812" t="s">
        <v>334</v>
      </c>
      <c r="K2812" t="s">
        <v>4677</v>
      </c>
      <c r="L2812" t="s">
        <v>13135</v>
      </c>
      <c r="M2812" t="s">
        <v>271</v>
      </c>
      <c r="N2812" t="s">
        <v>13136</v>
      </c>
      <c r="O2812" t="s">
        <v>13137</v>
      </c>
      <c r="P2812" t="s">
        <v>13136</v>
      </c>
      <c r="Q2812" t="s">
        <v>13138</v>
      </c>
      <c r="R2812">
        <v>10</v>
      </c>
      <c r="S2812">
        <v>16</v>
      </c>
    </row>
    <row r="2813" spans="1:19" x14ac:dyDescent="0.35">
      <c r="A2813">
        <v>1908</v>
      </c>
      <c r="B2813" t="s">
        <v>13129</v>
      </c>
      <c r="C2813" t="s">
        <v>20</v>
      </c>
      <c r="D2813" t="s">
        <v>13130</v>
      </c>
      <c r="E2813" t="s">
        <v>13131</v>
      </c>
      <c r="F2813" t="s">
        <v>13132</v>
      </c>
      <c r="G2813" t="s">
        <v>2241</v>
      </c>
      <c r="H2813" t="s">
        <v>13133</v>
      </c>
      <c r="I2813" t="s">
        <v>13134</v>
      </c>
      <c r="J2813" t="s">
        <v>334</v>
      </c>
      <c r="K2813" t="s">
        <v>4677</v>
      </c>
      <c r="L2813" t="s">
        <v>13135</v>
      </c>
      <c r="M2813" t="s">
        <v>271</v>
      </c>
      <c r="N2813" t="s">
        <v>13136</v>
      </c>
      <c r="O2813" t="s">
        <v>13137</v>
      </c>
      <c r="P2813" t="s">
        <v>13136</v>
      </c>
      <c r="Q2813" t="s">
        <v>13138</v>
      </c>
      <c r="R2813">
        <v>10</v>
      </c>
      <c r="S2813">
        <v>16</v>
      </c>
    </row>
    <row r="2814" spans="1:19" x14ac:dyDescent="0.35">
      <c r="A2814">
        <v>1909</v>
      </c>
      <c r="B2814" t="s">
        <v>6703</v>
      </c>
      <c r="C2814" t="s">
        <v>20</v>
      </c>
      <c r="D2814" t="s">
        <v>13139</v>
      </c>
      <c r="E2814" t="s">
        <v>6705</v>
      </c>
      <c r="F2814" t="s">
        <v>13140</v>
      </c>
      <c r="G2814" t="s">
        <v>6707</v>
      </c>
      <c r="H2814" t="s">
        <v>13141</v>
      </c>
      <c r="I2814" t="s">
        <v>6709</v>
      </c>
      <c r="J2814" t="s">
        <v>13142</v>
      </c>
      <c r="L2814" t="s">
        <v>6711</v>
      </c>
      <c r="N2814" t="s">
        <v>6712</v>
      </c>
      <c r="O2814" t="s">
        <v>5144</v>
      </c>
      <c r="P2814" t="s">
        <v>13143</v>
      </c>
      <c r="Q2814" t="s">
        <v>13144</v>
      </c>
      <c r="R2814">
        <v>10</v>
      </c>
      <c r="S2814">
        <v>16</v>
      </c>
    </row>
    <row r="2815" spans="1:19" x14ac:dyDescent="0.35">
      <c r="A2815">
        <v>9894</v>
      </c>
      <c r="B2815" t="s">
        <v>13145</v>
      </c>
      <c r="C2815" t="s">
        <v>42</v>
      </c>
      <c r="D2815" t="s">
        <v>13146</v>
      </c>
      <c r="E2815" t="e" cm="1">
        <f t="array" ref="E2815">- ACETYLSALICYLIC ACID</f>
        <v>#NAME?</v>
      </c>
      <c r="F2815" t="s">
        <v>13147</v>
      </c>
      <c r="G2815" t="s">
        <v>13148</v>
      </c>
      <c r="H2815" t="s">
        <v>13149</v>
      </c>
      <c r="I2815" t="s">
        <v>13150</v>
      </c>
      <c r="J2815" t="s">
        <v>13151</v>
      </c>
      <c r="K2815" t="s">
        <v>13152</v>
      </c>
      <c r="L2815" t="s">
        <v>13153</v>
      </c>
      <c r="M2815" t="s">
        <v>46</v>
      </c>
      <c r="N2815" t="s">
        <v>2579</v>
      </c>
      <c r="O2815" t="s">
        <v>13154</v>
      </c>
      <c r="P2815" t="s">
        <v>13155</v>
      </c>
      <c r="Q2815" t="s">
        <v>13156</v>
      </c>
      <c r="R2815">
        <v>10</v>
      </c>
      <c r="S2815">
        <v>16</v>
      </c>
    </row>
    <row r="2816" spans="1:19" x14ac:dyDescent="0.35">
      <c r="A2816">
        <v>1911</v>
      </c>
      <c r="B2816" t="s">
        <v>6703</v>
      </c>
      <c r="C2816" t="s">
        <v>20</v>
      </c>
      <c r="D2816" t="s">
        <v>13139</v>
      </c>
      <c r="E2816" t="s">
        <v>6705</v>
      </c>
      <c r="F2816" t="s">
        <v>13140</v>
      </c>
      <c r="G2816" t="s">
        <v>6707</v>
      </c>
      <c r="H2816" t="s">
        <v>13141</v>
      </c>
      <c r="I2816" t="s">
        <v>6709</v>
      </c>
      <c r="J2816" t="s">
        <v>13142</v>
      </c>
      <c r="L2816" t="s">
        <v>6711</v>
      </c>
      <c r="N2816" t="s">
        <v>6712</v>
      </c>
      <c r="O2816" t="s">
        <v>5144</v>
      </c>
      <c r="P2816" t="s">
        <v>13143</v>
      </c>
      <c r="Q2816" t="s">
        <v>13144</v>
      </c>
      <c r="R2816">
        <v>10</v>
      </c>
      <c r="S2816">
        <v>16</v>
      </c>
    </row>
    <row r="2817" spans="1:19" x14ac:dyDescent="0.35">
      <c r="A2817">
        <v>6528</v>
      </c>
      <c r="B2817" t="s">
        <v>13157</v>
      </c>
      <c r="C2817" t="s">
        <v>42</v>
      </c>
      <c r="D2817" t="s">
        <v>13158</v>
      </c>
      <c r="E2817" t="e" cm="1">
        <f t="array" ref="E2817">- AZITHROMYCIN DIHYDRATE</f>
        <v>#NAME?</v>
      </c>
      <c r="F2817" t="s">
        <v>13159</v>
      </c>
      <c r="G2817" t="s">
        <v>5568</v>
      </c>
      <c r="H2817" t="s">
        <v>13160</v>
      </c>
      <c r="I2817" t="s">
        <v>13161</v>
      </c>
      <c r="J2817" t="s">
        <v>13162</v>
      </c>
      <c r="K2817" t="s">
        <v>13163</v>
      </c>
      <c r="L2817" t="s">
        <v>13164</v>
      </c>
      <c r="M2817" t="s">
        <v>291</v>
      </c>
      <c r="N2817" t="s">
        <v>13005</v>
      </c>
      <c r="O2817" t="s">
        <v>13165</v>
      </c>
      <c r="P2817" t="s">
        <v>13166</v>
      </c>
      <c r="Q2817" t="s">
        <v>13167</v>
      </c>
      <c r="R2817">
        <v>10</v>
      </c>
      <c r="S2817">
        <v>16</v>
      </c>
    </row>
    <row r="2818" spans="1:19" x14ac:dyDescent="0.35">
      <c r="A2818">
        <v>4260</v>
      </c>
      <c r="B2818" t="s">
        <v>7397</v>
      </c>
      <c r="C2818" t="s">
        <v>42</v>
      </c>
      <c r="D2818" t="s">
        <v>7398</v>
      </c>
      <c r="E2818" t="e" cm="1">
        <f t="array" ref="E2818">- DEXCHLORPHENIRAMINE MALEATE. BETAMETHASONE</f>
        <v>#NAME?</v>
      </c>
      <c r="F2818" t="s">
        <v>7399</v>
      </c>
      <c r="G2818" t="s">
        <v>7400</v>
      </c>
      <c r="H2818" t="s">
        <v>7401</v>
      </c>
    </row>
    <row r="2819" spans="1:19" x14ac:dyDescent="0.35">
      <c r="A2819">
        <v>413</v>
      </c>
      <c r="B2819" t="s">
        <v>8270</v>
      </c>
      <c r="C2819" t="s">
        <v>20</v>
      </c>
      <c r="D2819" t="s">
        <v>13054</v>
      </c>
      <c r="E2819" t="s">
        <v>8272</v>
      </c>
      <c r="F2819" t="s">
        <v>13055</v>
      </c>
      <c r="I2819" t="s">
        <v>13056</v>
      </c>
      <c r="J2819" t="s">
        <v>334</v>
      </c>
      <c r="M2819" t="s">
        <v>38</v>
      </c>
      <c r="N2819" t="s">
        <v>8274</v>
      </c>
      <c r="O2819" t="s">
        <v>13057</v>
      </c>
      <c r="P2819" t="s">
        <v>8274</v>
      </c>
      <c r="Q2819" t="s">
        <v>13058</v>
      </c>
      <c r="R2819">
        <v>10</v>
      </c>
      <c r="S2819">
        <v>16</v>
      </c>
    </row>
    <row r="2820" spans="1:19" x14ac:dyDescent="0.35">
      <c r="A2820">
        <v>6542</v>
      </c>
      <c r="B2820" t="s">
        <v>13168</v>
      </c>
      <c r="C2820" t="s">
        <v>42</v>
      </c>
      <c r="D2820" t="s">
        <v>13169</v>
      </c>
      <c r="E2820" t="e" cm="1">
        <f t="array" ref="E2820">- NYSTATIN</f>
        <v>#NAME?</v>
      </c>
      <c r="F2820" t="s">
        <v>13170</v>
      </c>
      <c r="G2820" t="s">
        <v>4939</v>
      </c>
      <c r="H2820" t="s">
        <v>13171</v>
      </c>
      <c r="I2820" t="s">
        <v>13172</v>
      </c>
      <c r="J2820" t="s">
        <v>1824</v>
      </c>
      <c r="K2820" t="s">
        <v>4677</v>
      </c>
      <c r="L2820" t="s">
        <v>10781</v>
      </c>
      <c r="M2820" t="s">
        <v>340</v>
      </c>
      <c r="N2820" t="s">
        <v>1818</v>
      </c>
      <c r="O2820" t="s">
        <v>13173</v>
      </c>
      <c r="P2820" t="s">
        <v>13174</v>
      </c>
      <c r="Q2820" t="s">
        <v>13175</v>
      </c>
      <c r="R2820">
        <v>10</v>
      </c>
      <c r="S2820">
        <v>16</v>
      </c>
    </row>
    <row r="2821" spans="1:19" x14ac:dyDescent="0.35">
      <c r="A2821">
        <v>414</v>
      </c>
      <c r="B2821" t="s">
        <v>8270</v>
      </c>
      <c r="C2821" t="s">
        <v>20</v>
      </c>
      <c r="D2821" t="s">
        <v>13054</v>
      </c>
      <c r="E2821" t="s">
        <v>8272</v>
      </c>
      <c r="F2821" t="s">
        <v>13055</v>
      </c>
      <c r="I2821" t="s">
        <v>13056</v>
      </c>
      <c r="J2821" t="s">
        <v>334</v>
      </c>
      <c r="M2821" t="s">
        <v>38</v>
      </c>
      <c r="N2821" t="s">
        <v>8274</v>
      </c>
      <c r="O2821" t="s">
        <v>13057</v>
      </c>
      <c r="P2821" t="s">
        <v>8274</v>
      </c>
      <c r="Q2821" t="s">
        <v>13058</v>
      </c>
      <c r="R2821">
        <v>10</v>
      </c>
      <c r="S2821">
        <v>16</v>
      </c>
    </row>
    <row r="2822" spans="1:19" x14ac:dyDescent="0.35">
      <c r="A2822">
        <v>9895</v>
      </c>
      <c r="B2822" t="s">
        <v>13145</v>
      </c>
      <c r="C2822" t="s">
        <v>42</v>
      </c>
      <c r="D2822" t="s">
        <v>13146</v>
      </c>
      <c r="E2822" t="e" cm="1">
        <f t="array" ref="E2822">- ACETYLSALICYLIC ACID</f>
        <v>#NAME?</v>
      </c>
      <c r="F2822" t="s">
        <v>13147</v>
      </c>
      <c r="G2822" t="s">
        <v>13148</v>
      </c>
      <c r="H2822" t="s">
        <v>13149</v>
      </c>
      <c r="I2822" t="s">
        <v>13150</v>
      </c>
      <c r="J2822" t="s">
        <v>13151</v>
      </c>
      <c r="K2822" t="s">
        <v>13152</v>
      </c>
      <c r="L2822" t="s">
        <v>13153</v>
      </c>
      <c r="M2822" t="s">
        <v>46</v>
      </c>
      <c r="N2822" t="s">
        <v>2579</v>
      </c>
      <c r="O2822" t="s">
        <v>13154</v>
      </c>
      <c r="P2822" t="s">
        <v>13155</v>
      </c>
      <c r="Q2822" t="s">
        <v>13156</v>
      </c>
      <c r="R2822">
        <v>10</v>
      </c>
      <c r="S2822">
        <v>16</v>
      </c>
    </row>
    <row r="2823" spans="1:19" x14ac:dyDescent="0.35">
      <c r="A2823">
        <v>4185</v>
      </c>
      <c r="B2823" t="s">
        <v>13059</v>
      </c>
      <c r="C2823" t="s">
        <v>42</v>
      </c>
      <c r="D2823" t="s">
        <v>13060</v>
      </c>
      <c r="E2823" t="e" cm="1">
        <f t="array" ref="E2823">- LORATADINE</f>
        <v>#NAME?</v>
      </c>
      <c r="F2823" t="s">
        <v>13061</v>
      </c>
      <c r="G2823" t="s">
        <v>12791</v>
      </c>
      <c r="H2823" t="s">
        <v>13062</v>
      </c>
      <c r="I2823" t="s">
        <v>9222</v>
      </c>
      <c r="J2823" t="s">
        <v>334</v>
      </c>
      <c r="K2823" t="s">
        <v>12793</v>
      </c>
      <c r="L2823" t="s">
        <v>12794</v>
      </c>
      <c r="M2823" t="s">
        <v>271</v>
      </c>
      <c r="N2823" t="s">
        <v>9225</v>
      </c>
      <c r="O2823" t="s">
        <v>9226</v>
      </c>
      <c r="P2823" t="s">
        <v>12795</v>
      </c>
      <c r="Q2823" t="s">
        <v>13063</v>
      </c>
      <c r="R2823">
        <v>10</v>
      </c>
      <c r="S2823">
        <v>16</v>
      </c>
    </row>
    <row r="2824" spans="1:19" x14ac:dyDescent="0.35">
      <c r="A2824">
        <v>1837</v>
      </c>
      <c r="B2824" t="s">
        <v>10254</v>
      </c>
      <c r="C2824" t="s">
        <v>42</v>
      </c>
      <c r="D2824" t="s">
        <v>10255</v>
      </c>
      <c r="E2824" t="e" cm="1">
        <f t="array" ref="E2824">- DEXTROMETHORPHAN HYDROBROMIDE. GUAIFENESIN</f>
        <v>#NAME?</v>
      </c>
      <c r="F2824" t="s">
        <v>10256</v>
      </c>
      <c r="G2824" t="s">
        <v>2241</v>
      </c>
      <c r="H2824" t="s">
        <v>10257</v>
      </c>
      <c r="I2824" t="s">
        <v>10258</v>
      </c>
      <c r="J2824" t="s">
        <v>10259</v>
      </c>
      <c r="K2824" t="s">
        <v>10260</v>
      </c>
      <c r="L2824" t="s">
        <v>10261</v>
      </c>
      <c r="M2824" t="s">
        <v>271</v>
      </c>
      <c r="N2824" t="s">
        <v>13176</v>
      </c>
      <c r="O2824" t="s">
        <v>6172</v>
      </c>
      <c r="P2824" t="s">
        <v>10262</v>
      </c>
      <c r="Q2824" t="s">
        <v>13177</v>
      </c>
      <c r="R2824">
        <v>10</v>
      </c>
      <c r="S2824">
        <v>16</v>
      </c>
    </row>
    <row r="2825" spans="1:19" x14ac:dyDescent="0.35">
      <c r="A2825">
        <v>1836</v>
      </c>
      <c r="B2825" t="s">
        <v>10254</v>
      </c>
      <c r="C2825" t="s">
        <v>42</v>
      </c>
      <c r="D2825" t="s">
        <v>10255</v>
      </c>
      <c r="E2825" t="e" cm="1">
        <f t="array" ref="E2825">- DEXTROMETHORPHAN HYDROBROMIDE. GUAIFENESIN</f>
        <v>#NAME?</v>
      </c>
      <c r="F2825" t="s">
        <v>10256</v>
      </c>
      <c r="G2825" t="s">
        <v>2241</v>
      </c>
      <c r="H2825" t="s">
        <v>10257</v>
      </c>
      <c r="I2825" t="s">
        <v>10258</v>
      </c>
      <c r="J2825" t="s">
        <v>10259</v>
      </c>
      <c r="K2825" t="s">
        <v>10260</v>
      </c>
      <c r="L2825" t="s">
        <v>10261</v>
      </c>
      <c r="M2825" t="s">
        <v>271</v>
      </c>
      <c r="N2825" t="s">
        <v>13176</v>
      </c>
      <c r="O2825" t="s">
        <v>6172</v>
      </c>
      <c r="P2825" t="s">
        <v>10262</v>
      </c>
      <c r="Q2825" t="s">
        <v>13177</v>
      </c>
      <c r="R2825">
        <v>10</v>
      </c>
      <c r="S2825">
        <v>16</v>
      </c>
    </row>
    <row r="2826" spans="1:19" x14ac:dyDescent="0.35">
      <c r="A2826">
        <v>10054</v>
      </c>
      <c r="B2826" t="s">
        <v>13178</v>
      </c>
      <c r="C2826" t="s">
        <v>20</v>
      </c>
      <c r="D2826" t="s">
        <v>13179</v>
      </c>
      <c r="E2826" t="s">
        <v>13180</v>
      </c>
      <c r="F2826" t="s">
        <v>13181</v>
      </c>
      <c r="G2826" t="s">
        <v>2241</v>
      </c>
      <c r="H2826" t="s">
        <v>5312</v>
      </c>
      <c r="I2826" t="s">
        <v>13182</v>
      </c>
      <c r="J2826" t="s">
        <v>3964</v>
      </c>
      <c r="M2826" t="s">
        <v>2374</v>
      </c>
      <c r="N2826" t="s">
        <v>13183</v>
      </c>
      <c r="O2826" t="s">
        <v>13184</v>
      </c>
      <c r="P2826" t="s">
        <v>13185</v>
      </c>
      <c r="Q2826" t="s">
        <v>13186</v>
      </c>
      <c r="R2826">
        <v>10</v>
      </c>
      <c r="S2826">
        <v>16</v>
      </c>
    </row>
    <row r="2827" spans="1:19" x14ac:dyDescent="0.35">
      <c r="A2827">
        <v>1153</v>
      </c>
      <c r="B2827" t="s">
        <v>13187</v>
      </c>
      <c r="C2827" t="s">
        <v>42</v>
      </c>
      <c r="D2827" t="s">
        <v>13188</v>
      </c>
      <c r="E2827" t="e" cm="1">
        <f t="array" ref="E2827">- GUAIFENESIN</f>
        <v>#NAME?</v>
      </c>
      <c r="F2827" s="1">
        <v>39800</v>
      </c>
      <c r="H2827" t="s">
        <v>13189</v>
      </c>
      <c r="I2827" t="s">
        <v>13190</v>
      </c>
      <c r="J2827" t="s">
        <v>846</v>
      </c>
      <c r="M2827" t="s">
        <v>271</v>
      </c>
      <c r="N2827" t="s">
        <v>361</v>
      </c>
      <c r="O2827" t="s">
        <v>13191</v>
      </c>
      <c r="P2827" t="s">
        <v>13192</v>
      </c>
      <c r="Q2827" t="s">
        <v>13193</v>
      </c>
      <c r="R2827">
        <v>10</v>
      </c>
      <c r="S2827">
        <v>16</v>
      </c>
    </row>
    <row r="2828" spans="1:19" x14ac:dyDescent="0.35">
      <c r="A2828">
        <v>1735</v>
      </c>
      <c r="B2828" t="s">
        <v>13194</v>
      </c>
      <c r="C2828" t="s">
        <v>850</v>
      </c>
      <c r="D2828" t="s">
        <v>13195</v>
      </c>
      <c r="E2828" t="e" cm="1">
        <f t="array" ref="E2828">- Camphor</f>
        <v>#NAME?</v>
      </c>
      <c r="F2828" t="s">
        <v>13196</v>
      </c>
      <c r="G2828" t="s">
        <v>13197</v>
      </c>
      <c r="H2828" t="s">
        <v>13198</v>
      </c>
      <c r="I2828" t="s">
        <v>13199</v>
      </c>
      <c r="J2828" t="s">
        <v>13200</v>
      </c>
      <c r="N2828" t="s">
        <v>853</v>
      </c>
      <c r="O2828" t="s">
        <v>13201</v>
      </c>
      <c r="P2828" t="s">
        <v>13202</v>
      </c>
      <c r="Q2828" t="s">
        <v>13203</v>
      </c>
      <c r="R2828">
        <v>10</v>
      </c>
      <c r="S2828">
        <v>16</v>
      </c>
    </row>
    <row r="2829" spans="1:19" x14ac:dyDescent="0.35">
      <c r="A2829">
        <v>4220</v>
      </c>
      <c r="B2829" t="s">
        <v>13204</v>
      </c>
      <c r="C2829" t="s">
        <v>42</v>
      </c>
      <c r="D2829" t="s">
        <v>13205</v>
      </c>
      <c r="E2829" t="e" cm="1">
        <f t="array" ref="E2829">- HOMOCHLORCYCLYZINE HYDROCHLORIDE</f>
        <v>#NAME?</v>
      </c>
      <c r="F2829" t="s">
        <v>13206</v>
      </c>
      <c r="G2829" t="s">
        <v>2855</v>
      </c>
      <c r="H2829" t="s">
        <v>13207</v>
      </c>
      <c r="I2829" t="s">
        <v>13208</v>
      </c>
      <c r="J2829" t="s">
        <v>5085</v>
      </c>
      <c r="K2829" t="s">
        <v>13209</v>
      </c>
      <c r="L2829" t="s">
        <v>13210</v>
      </c>
      <c r="M2829" t="s">
        <v>46</v>
      </c>
      <c r="N2829" t="s">
        <v>13211</v>
      </c>
      <c r="O2829" t="s">
        <v>13212</v>
      </c>
      <c r="P2829" t="s">
        <v>13213</v>
      </c>
      <c r="Q2829" t="s">
        <v>13214</v>
      </c>
      <c r="R2829">
        <v>10</v>
      </c>
      <c r="S2829">
        <v>16</v>
      </c>
    </row>
    <row r="2830" spans="1:19" x14ac:dyDescent="0.35">
      <c r="A2830">
        <v>6332</v>
      </c>
      <c r="B2830" t="s">
        <v>7593</v>
      </c>
      <c r="C2830" t="s">
        <v>42</v>
      </c>
      <c r="D2830" t="s">
        <v>7594</v>
      </c>
      <c r="E2830" t="e" cm="1">
        <f t="array" ref="E2830">- ISONIAZID. PYRIDOXINE HYDROCHLORIDE</f>
        <v>#NAME?</v>
      </c>
      <c r="F2830" t="s">
        <v>7595</v>
      </c>
      <c r="G2830" t="s">
        <v>7596</v>
      </c>
      <c r="H2830" t="s">
        <v>7597</v>
      </c>
      <c r="I2830" t="s">
        <v>7598</v>
      </c>
      <c r="J2830" t="s">
        <v>3298</v>
      </c>
      <c r="L2830" t="s">
        <v>7599</v>
      </c>
      <c r="M2830" t="s">
        <v>271</v>
      </c>
      <c r="N2830" t="s">
        <v>4715</v>
      </c>
      <c r="O2830" t="s">
        <v>7600</v>
      </c>
      <c r="P2830" t="s">
        <v>7601</v>
      </c>
      <c r="Q2830" t="s">
        <v>13215</v>
      </c>
      <c r="R2830">
        <v>10</v>
      </c>
      <c r="S2830">
        <v>16</v>
      </c>
    </row>
    <row r="2831" spans="1:19" x14ac:dyDescent="0.35">
      <c r="A2831">
        <v>6331</v>
      </c>
      <c r="B2831" t="s">
        <v>7593</v>
      </c>
      <c r="C2831" t="s">
        <v>42</v>
      </c>
      <c r="D2831" t="s">
        <v>7594</v>
      </c>
      <c r="E2831" t="e" cm="1">
        <f t="array" ref="E2831">- ISONIAZID. PYRIDOXINE HYDROCHLORIDE</f>
        <v>#NAME?</v>
      </c>
      <c r="F2831" t="s">
        <v>7595</v>
      </c>
      <c r="G2831" t="s">
        <v>7596</v>
      </c>
      <c r="H2831" t="s">
        <v>7597</v>
      </c>
      <c r="I2831" t="s">
        <v>7598</v>
      </c>
      <c r="J2831" t="s">
        <v>3298</v>
      </c>
      <c r="L2831" t="s">
        <v>7599</v>
      </c>
      <c r="M2831" t="s">
        <v>271</v>
      </c>
      <c r="N2831" t="s">
        <v>4715</v>
      </c>
      <c r="O2831" t="s">
        <v>7600</v>
      </c>
      <c r="P2831" t="s">
        <v>7601</v>
      </c>
      <c r="Q2831" t="s">
        <v>13215</v>
      </c>
      <c r="R2831">
        <v>10</v>
      </c>
      <c r="S2831">
        <v>16</v>
      </c>
    </row>
    <row r="2832" spans="1:19" x14ac:dyDescent="0.35">
      <c r="A2832">
        <v>4219</v>
      </c>
      <c r="B2832" t="s">
        <v>13204</v>
      </c>
      <c r="C2832" t="s">
        <v>42</v>
      </c>
      <c r="D2832" t="s">
        <v>13205</v>
      </c>
      <c r="E2832" t="e" cm="1">
        <f t="array" ref="E2832">- HOMOCHLORCYCLYZINE HYDROCHLORIDE</f>
        <v>#NAME?</v>
      </c>
      <c r="F2832" t="s">
        <v>13206</v>
      </c>
      <c r="G2832" t="s">
        <v>2855</v>
      </c>
      <c r="H2832" t="s">
        <v>13207</v>
      </c>
      <c r="I2832" t="s">
        <v>13208</v>
      </c>
      <c r="J2832" t="s">
        <v>5085</v>
      </c>
      <c r="K2832" t="s">
        <v>13209</v>
      </c>
      <c r="L2832" t="s">
        <v>13210</v>
      </c>
      <c r="M2832" t="s">
        <v>46</v>
      </c>
      <c r="N2832" t="s">
        <v>13211</v>
      </c>
      <c r="O2832" t="s">
        <v>13212</v>
      </c>
      <c r="P2832" t="s">
        <v>13213</v>
      </c>
      <c r="Q2832" t="s">
        <v>13214</v>
      </c>
      <c r="R2832">
        <v>10</v>
      </c>
      <c r="S2832">
        <v>16</v>
      </c>
    </row>
    <row r="2833" spans="1:19" x14ac:dyDescent="0.35">
      <c r="A2833">
        <v>10045</v>
      </c>
      <c r="B2833" t="s">
        <v>13216</v>
      </c>
      <c r="C2833" t="s">
        <v>20</v>
      </c>
      <c r="D2833" t="s">
        <v>13217</v>
      </c>
      <c r="E2833" t="s">
        <v>13218</v>
      </c>
      <c r="F2833" t="s">
        <v>13219</v>
      </c>
      <c r="H2833" t="s">
        <v>13220</v>
      </c>
      <c r="I2833" t="s">
        <v>13221</v>
      </c>
      <c r="J2833" t="s">
        <v>3393</v>
      </c>
      <c r="L2833" t="s">
        <v>13222</v>
      </c>
      <c r="M2833" t="s">
        <v>38</v>
      </c>
      <c r="N2833" t="s">
        <v>13223</v>
      </c>
      <c r="O2833" t="s">
        <v>13224</v>
      </c>
      <c r="P2833" t="s">
        <v>13223</v>
      </c>
      <c r="Q2833" t="s">
        <v>13225</v>
      </c>
      <c r="R2833">
        <v>10</v>
      </c>
      <c r="S2833">
        <v>16</v>
      </c>
    </row>
    <row r="2834" spans="1:19" x14ac:dyDescent="0.35">
      <c r="A2834">
        <v>1734</v>
      </c>
      <c r="B2834" t="s">
        <v>13194</v>
      </c>
      <c r="C2834" t="s">
        <v>850</v>
      </c>
      <c r="D2834" t="s">
        <v>13226</v>
      </c>
      <c r="E2834" t="e" cm="1">
        <f t="array" ref="E2834">- Camphor</f>
        <v>#NAME?</v>
      </c>
      <c r="F2834" s="1">
        <v>8200</v>
      </c>
      <c r="G2834" t="s">
        <v>13197</v>
      </c>
      <c r="H2834" t="s">
        <v>13198</v>
      </c>
      <c r="I2834" t="s">
        <v>13199</v>
      </c>
      <c r="J2834" t="s">
        <v>13227</v>
      </c>
      <c r="N2834" t="s">
        <v>853</v>
      </c>
      <c r="O2834" t="s">
        <v>13201</v>
      </c>
      <c r="P2834" t="s">
        <v>13202</v>
      </c>
      <c r="Q2834" t="s">
        <v>13203</v>
      </c>
      <c r="R2834">
        <v>10</v>
      </c>
      <c r="S2834">
        <v>16</v>
      </c>
    </row>
    <row r="2835" spans="1:19" x14ac:dyDescent="0.35">
      <c r="A2835">
        <v>6326</v>
      </c>
      <c r="B2835" t="s">
        <v>13228</v>
      </c>
      <c r="C2835" t="s">
        <v>42</v>
      </c>
      <c r="D2835" t="s">
        <v>13229</v>
      </c>
      <c r="E2835" t="e" cm="1">
        <f t="array" ref="E2835">- THIAMPHENICOL</f>
        <v>#NAME?</v>
      </c>
      <c r="F2835" t="s">
        <v>13230</v>
      </c>
      <c r="G2835" t="s">
        <v>5568</v>
      </c>
      <c r="H2835" t="s">
        <v>13231</v>
      </c>
      <c r="I2835" t="s">
        <v>13232</v>
      </c>
      <c r="J2835" t="s">
        <v>13233</v>
      </c>
      <c r="K2835" t="s">
        <v>13234</v>
      </c>
      <c r="L2835" t="s">
        <v>13235</v>
      </c>
      <c r="M2835" t="s">
        <v>38</v>
      </c>
      <c r="N2835" t="s">
        <v>272</v>
      </c>
      <c r="O2835" t="s">
        <v>13236</v>
      </c>
      <c r="P2835" t="s">
        <v>13237</v>
      </c>
      <c r="Q2835" t="s">
        <v>13238</v>
      </c>
      <c r="R2835">
        <v>10</v>
      </c>
      <c r="S2835">
        <v>16</v>
      </c>
    </row>
    <row r="2836" spans="1:19" x14ac:dyDescent="0.35">
      <c r="A2836">
        <v>6325</v>
      </c>
      <c r="B2836" t="s">
        <v>13228</v>
      </c>
      <c r="C2836" t="s">
        <v>42</v>
      </c>
      <c r="D2836" t="s">
        <v>13229</v>
      </c>
      <c r="E2836" t="e" cm="1">
        <f t="array" ref="E2836">- THIAMPHENICOL</f>
        <v>#NAME?</v>
      </c>
      <c r="F2836" t="s">
        <v>13230</v>
      </c>
      <c r="G2836" t="s">
        <v>5568</v>
      </c>
      <c r="H2836" t="s">
        <v>13231</v>
      </c>
      <c r="I2836" t="s">
        <v>13232</v>
      </c>
      <c r="J2836" t="s">
        <v>13233</v>
      </c>
      <c r="K2836" t="s">
        <v>13234</v>
      </c>
      <c r="L2836" t="s">
        <v>13235</v>
      </c>
      <c r="M2836" t="s">
        <v>38</v>
      </c>
      <c r="N2836" t="s">
        <v>272</v>
      </c>
      <c r="O2836" t="s">
        <v>13236</v>
      </c>
      <c r="P2836" t="s">
        <v>13237</v>
      </c>
      <c r="Q2836" t="s">
        <v>13238</v>
      </c>
      <c r="R2836">
        <v>10</v>
      </c>
      <c r="S2836">
        <v>16</v>
      </c>
    </row>
    <row r="2837" spans="1:19" x14ac:dyDescent="0.35">
      <c r="A2837">
        <v>1733</v>
      </c>
      <c r="B2837" t="s">
        <v>13194</v>
      </c>
      <c r="C2837" t="s">
        <v>850</v>
      </c>
      <c r="D2837" t="s">
        <v>13239</v>
      </c>
      <c r="E2837" t="e" cm="1">
        <f t="array" ref="E2837">- Camphor</f>
        <v>#NAME?</v>
      </c>
      <c r="F2837" t="s">
        <v>13240</v>
      </c>
      <c r="G2837" t="s">
        <v>13197</v>
      </c>
      <c r="H2837" t="s">
        <v>13198</v>
      </c>
      <c r="I2837" t="s">
        <v>13199</v>
      </c>
      <c r="J2837" t="s">
        <v>13241</v>
      </c>
      <c r="N2837" t="s">
        <v>853</v>
      </c>
      <c r="O2837" t="s">
        <v>13201</v>
      </c>
      <c r="P2837" t="s">
        <v>13202</v>
      </c>
      <c r="Q2837" t="s">
        <v>13203</v>
      </c>
      <c r="R2837">
        <v>10</v>
      </c>
      <c r="S2837">
        <v>16</v>
      </c>
    </row>
    <row r="2838" spans="1:19" x14ac:dyDescent="0.35">
      <c r="A2838">
        <v>6281</v>
      </c>
      <c r="B2838" t="s">
        <v>13242</v>
      </c>
      <c r="C2838" t="s">
        <v>42</v>
      </c>
      <c r="D2838" t="s">
        <v>13243</v>
      </c>
      <c r="E2838" t="e" cm="1">
        <f t="array" ref="E2838">- AMOXICILLIN TRIHYDRATE</f>
        <v>#NAME?</v>
      </c>
      <c r="F2838" t="s">
        <v>13244</v>
      </c>
      <c r="G2838" t="s">
        <v>7359</v>
      </c>
      <c r="H2838" t="s">
        <v>13245</v>
      </c>
      <c r="I2838" t="s">
        <v>13246</v>
      </c>
      <c r="J2838" t="s">
        <v>945</v>
      </c>
      <c r="K2838" t="s">
        <v>2726</v>
      </c>
      <c r="L2838" t="s">
        <v>13247</v>
      </c>
      <c r="M2838" t="s">
        <v>271</v>
      </c>
      <c r="N2838" t="s">
        <v>1523</v>
      </c>
      <c r="O2838" t="s">
        <v>13248</v>
      </c>
      <c r="P2838" t="s">
        <v>11215</v>
      </c>
      <c r="Q2838" t="s">
        <v>13249</v>
      </c>
      <c r="R2838">
        <v>10</v>
      </c>
      <c r="S2838">
        <v>16</v>
      </c>
    </row>
    <row r="2839" spans="1:19" x14ac:dyDescent="0.35">
      <c r="A2839">
        <v>1793</v>
      </c>
      <c r="B2839" t="s">
        <v>13250</v>
      </c>
      <c r="C2839" t="s">
        <v>850</v>
      </c>
      <c r="D2839" t="s">
        <v>12206</v>
      </c>
      <c r="E2839" t="e" cm="1">
        <f t="array" ref="E2839">- Lemon Oil</f>
        <v>#NAME?</v>
      </c>
      <c r="F2839" s="1">
        <v>199900</v>
      </c>
      <c r="H2839" t="s">
        <v>12207</v>
      </c>
      <c r="I2839" t="s">
        <v>12208</v>
      </c>
      <c r="J2839" t="s">
        <v>334</v>
      </c>
      <c r="N2839" t="s">
        <v>13251</v>
      </c>
      <c r="O2839" t="s">
        <v>12209</v>
      </c>
      <c r="P2839" t="s">
        <v>12210</v>
      </c>
      <c r="Q2839" t="s">
        <v>13252</v>
      </c>
      <c r="R2839">
        <v>10</v>
      </c>
      <c r="S2839">
        <v>16</v>
      </c>
    </row>
    <row r="2840" spans="1:19" x14ac:dyDescent="0.35">
      <c r="A2840">
        <v>4238</v>
      </c>
      <c r="B2840" t="s">
        <v>13253</v>
      </c>
      <c r="C2840" t="s">
        <v>42</v>
      </c>
      <c r="D2840" t="s">
        <v>13254</v>
      </c>
      <c r="E2840" t="e" cm="1">
        <f t="array" ref="E2840">- LORATADINE</f>
        <v>#NAME?</v>
      </c>
      <c r="F2840" t="s">
        <v>13255</v>
      </c>
      <c r="G2840" t="s">
        <v>737</v>
      </c>
      <c r="H2840" t="s">
        <v>13256</v>
      </c>
      <c r="I2840" t="s">
        <v>13257</v>
      </c>
      <c r="J2840" t="s">
        <v>10377</v>
      </c>
      <c r="K2840" t="s">
        <v>13258</v>
      </c>
      <c r="L2840" t="s">
        <v>13259</v>
      </c>
      <c r="M2840" t="s">
        <v>271</v>
      </c>
      <c r="N2840" t="s">
        <v>9225</v>
      </c>
      <c r="O2840" t="s">
        <v>13260</v>
      </c>
      <c r="P2840" t="s">
        <v>13261</v>
      </c>
      <c r="Q2840" t="s">
        <v>13262</v>
      </c>
      <c r="R2840">
        <v>10</v>
      </c>
      <c r="S2840">
        <v>16</v>
      </c>
    </row>
    <row r="2841" spans="1:19" x14ac:dyDescent="0.35">
      <c r="A2841">
        <v>6428</v>
      </c>
      <c r="B2841" t="s">
        <v>1809</v>
      </c>
      <c r="C2841" t="s">
        <v>42</v>
      </c>
      <c r="D2841" t="s">
        <v>8063</v>
      </c>
      <c r="E2841" t="e" cm="1">
        <f t="array" ref="E2841">- ISONIAZID. PYRIDOXINE HYDROCHLORIDE</f>
        <v>#NAME?</v>
      </c>
      <c r="F2841" t="s">
        <v>8064</v>
      </c>
      <c r="H2841" t="s">
        <v>8065</v>
      </c>
    </row>
    <row r="2842" spans="1:19" x14ac:dyDescent="0.35">
      <c r="A2842">
        <v>6249</v>
      </c>
      <c r="B2842" t="s">
        <v>13263</v>
      </c>
      <c r="C2842" t="s">
        <v>42</v>
      </c>
      <c r="D2842" t="s">
        <v>13264</v>
      </c>
      <c r="E2842" t="e" cm="1">
        <f t="array" ref="E2842">- METRONIDAZOLE</f>
        <v>#NAME?</v>
      </c>
      <c r="F2842" t="s">
        <v>13265</v>
      </c>
      <c r="H2842" t="s">
        <v>319</v>
      </c>
      <c r="I2842" t="s">
        <v>13266</v>
      </c>
      <c r="L2842" t="s">
        <v>321</v>
      </c>
      <c r="M2842" t="s">
        <v>46</v>
      </c>
      <c r="N2842" t="s">
        <v>1049</v>
      </c>
      <c r="O2842" t="s">
        <v>13267</v>
      </c>
      <c r="P2842" t="s">
        <v>13268</v>
      </c>
      <c r="Q2842" t="s">
        <v>13269</v>
      </c>
      <c r="R2842">
        <v>10</v>
      </c>
      <c r="S2842">
        <v>16</v>
      </c>
    </row>
    <row r="2843" spans="1:19" x14ac:dyDescent="0.35">
      <c r="A2843">
        <v>6429</v>
      </c>
      <c r="B2843" t="s">
        <v>1809</v>
      </c>
      <c r="C2843" t="s">
        <v>42</v>
      </c>
      <c r="D2843" t="s">
        <v>8063</v>
      </c>
      <c r="E2843" t="e" cm="1">
        <f t="array" ref="E2843">- ISONIAZID. PYRIDOXINE HYDROCHLORIDE</f>
        <v>#NAME?</v>
      </c>
      <c r="F2843" t="s">
        <v>8064</v>
      </c>
      <c r="H2843" t="s">
        <v>8065</v>
      </c>
    </row>
    <row r="2844" spans="1:19" x14ac:dyDescent="0.35">
      <c r="A2844">
        <v>6436</v>
      </c>
      <c r="B2844" t="s">
        <v>13270</v>
      </c>
      <c r="C2844" t="s">
        <v>42</v>
      </c>
      <c r="D2844" t="s">
        <v>13271</v>
      </c>
      <c r="E2844" t="e" cm="1">
        <f t="array" ref="E2844">- LINCOMYCIN HYDROCHLORIDE</f>
        <v>#NAME?</v>
      </c>
      <c r="F2844" t="s">
        <v>13272</v>
      </c>
      <c r="G2844" t="s">
        <v>5568</v>
      </c>
      <c r="H2844" t="s">
        <v>13273</v>
      </c>
    </row>
    <row r="2845" spans="1:19" x14ac:dyDescent="0.35">
      <c r="A2845">
        <v>6437</v>
      </c>
      <c r="B2845" t="s">
        <v>13270</v>
      </c>
      <c r="C2845" t="s">
        <v>42</v>
      </c>
      <c r="D2845" t="s">
        <v>13271</v>
      </c>
      <c r="E2845" t="e" cm="1">
        <f t="array" ref="E2845">- LINCOMYCIN HYDROCHLORIDE</f>
        <v>#NAME?</v>
      </c>
      <c r="F2845" t="s">
        <v>13272</v>
      </c>
      <c r="G2845" t="s">
        <v>5568</v>
      </c>
      <c r="H2845" t="s">
        <v>13273</v>
      </c>
    </row>
    <row r="2846" spans="1:19" x14ac:dyDescent="0.35">
      <c r="A2846">
        <v>9971</v>
      </c>
      <c r="B2846" t="s">
        <v>13274</v>
      </c>
      <c r="C2846" t="s">
        <v>42</v>
      </c>
      <c r="D2846" t="s">
        <v>13275</v>
      </c>
      <c r="E2846" t="e" cm="1">
        <f t="array" ref="E2846">- ISOSORBIDE DINITRATE</f>
        <v>#NAME?</v>
      </c>
      <c r="F2846" t="s">
        <v>13276</v>
      </c>
      <c r="G2846" t="s">
        <v>4849</v>
      </c>
      <c r="H2846" t="s">
        <v>13277</v>
      </c>
      <c r="I2846" t="s">
        <v>13278</v>
      </c>
      <c r="J2846" t="s">
        <v>381</v>
      </c>
      <c r="K2846" t="s">
        <v>13279</v>
      </c>
      <c r="L2846" t="s">
        <v>13280</v>
      </c>
      <c r="M2846" t="s">
        <v>2403</v>
      </c>
      <c r="N2846" t="s">
        <v>6733</v>
      </c>
      <c r="O2846" t="s">
        <v>13281</v>
      </c>
      <c r="P2846" t="s">
        <v>13282</v>
      </c>
      <c r="Q2846" t="s">
        <v>13283</v>
      </c>
      <c r="R2846">
        <v>10</v>
      </c>
      <c r="S2846">
        <v>16</v>
      </c>
    </row>
    <row r="2847" spans="1:19" x14ac:dyDescent="0.35">
      <c r="A2847">
        <v>4252</v>
      </c>
      <c r="B2847" t="s">
        <v>13284</v>
      </c>
      <c r="C2847" t="s">
        <v>42</v>
      </c>
      <c r="D2847" t="s">
        <v>13285</v>
      </c>
      <c r="E2847" t="e" cm="1">
        <f t="array" ref="E2847">- BETAMETHASONE</f>
        <v>#NAME?</v>
      </c>
      <c r="F2847" t="s">
        <v>13286</v>
      </c>
      <c r="G2847" t="s">
        <v>6135</v>
      </c>
      <c r="H2847" t="s">
        <v>13287</v>
      </c>
      <c r="I2847" t="s">
        <v>13288</v>
      </c>
      <c r="J2847" t="s">
        <v>5221</v>
      </c>
      <c r="L2847" t="s">
        <v>13289</v>
      </c>
      <c r="M2847" t="s">
        <v>46</v>
      </c>
      <c r="N2847" t="s">
        <v>1118</v>
      </c>
      <c r="O2847" t="s">
        <v>13290</v>
      </c>
      <c r="P2847" t="s">
        <v>13291</v>
      </c>
      <c r="Q2847" t="s">
        <v>13292</v>
      </c>
      <c r="R2847">
        <v>10</v>
      </c>
      <c r="S2847">
        <v>16</v>
      </c>
    </row>
    <row r="2848" spans="1:19" x14ac:dyDescent="0.35">
      <c r="A2848">
        <v>15</v>
      </c>
      <c r="B2848" t="s">
        <v>2902</v>
      </c>
      <c r="C2848" t="s">
        <v>42</v>
      </c>
      <c r="D2848" t="s">
        <v>13293</v>
      </c>
      <c r="E2848" t="e" cm="1">
        <f t="array" ref="E2848">- SILDENAFIL CITRATE</f>
        <v>#NAME?</v>
      </c>
      <c r="F2848" t="s">
        <v>13294</v>
      </c>
      <c r="G2848" t="s">
        <v>8185</v>
      </c>
      <c r="H2848" t="s">
        <v>3854</v>
      </c>
      <c r="I2848" t="s">
        <v>8186</v>
      </c>
      <c r="J2848" t="s">
        <v>6160</v>
      </c>
      <c r="L2848" t="s">
        <v>8188</v>
      </c>
      <c r="M2848" t="s">
        <v>46</v>
      </c>
      <c r="N2848" t="s">
        <v>2519</v>
      </c>
      <c r="O2848" t="s">
        <v>8189</v>
      </c>
      <c r="P2848" t="s">
        <v>12633</v>
      </c>
      <c r="Q2848" t="s">
        <v>13295</v>
      </c>
      <c r="R2848">
        <v>10</v>
      </c>
      <c r="S2848">
        <v>16</v>
      </c>
    </row>
    <row r="2849" spans="1:19" x14ac:dyDescent="0.35">
      <c r="A2849">
        <v>8007</v>
      </c>
      <c r="B2849" t="s">
        <v>13296</v>
      </c>
      <c r="C2849" t="s">
        <v>20</v>
      </c>
      <c r="D2849" t="s">
        <v>13297</v>
      </c>
      <c r="E2849" t="s">
        <v>13298</v>
      </c>
      <c r="F2849" t="s">
        <v>13299</v>
      </c>
      <c r="G2849" t="s">
        <v>13300</v>
      </c>
      <c r="H2849" t="s">
        <v>13301</v>
      </c>
      <c r="I2849" t="s">
        <v>3392</v>
      </c>
      <c r="J2849" t="s">
        <v>13302</v>
      </c>
      <c r="L2849" t="s">
        <v>13303</v>
      </c>
      <c r="M2849" t="s">
        <v>2374</v>
      </c>
      <c r="N2849" t="s">
        <v>13304</v>
      </c>
      <c r="O2849" t="s">
        <v>3396</v>
      </c>
      <c r="P2849" t="s">
        <v>13305</v>
      </c>
      <c r="Q2849" t="s">
        <v>13306</v>
      </c>
      <c r="R2849">
        <v>10</v>
      </c>
      <c r="S2849">
        <v>16</v>
      </c>
    </row>
    <row r="2850" spans="1:19" x14ac:dyDescent="0.35">
      <c r="A2850">
        <v>891</v>
      </c>
      <c r="B2850" t="s">
        <v>12719</v>
      </c>
      <c r="C2850" t="s">
        <v>42</v>
      </c>
      <c r="D2850" t="s">
        <v>12720</v>
      </c>
      <c r="E2850" t="e" cm="1">
        <f t="array" ref="E2850">- PSEUDOEPHEDRINE HYDROCHLORIDE</f>
        <v>#NAME?</v>
      </c>
      <c r="F2850" t="s">
        <v>12721</v>
      </c>
      <c r="G2850" t="s">
        <v>2241</v>
      </c>
      <c r="H2850" t="s">
        <v>12722</v>
      </c>
      <c r="I2850" t="s">
        <v>12723</v>
      </c>
      <c r="J2850" t="s">
        <v>630</v>
      </c>
      <c r="K2850" t="s">
        <v>12724</v>
      </c>
      <c r="L2850" t="s">
        <v>12725</v>
      </c>
      <c r="M2850" t="s">
        <v>271</v>
      </c>
      <c r="N2850" t="s">
        <v>8326</v>
      </c>
      <c r="O2850" t="s">
        <v>12726</v>
      </c>
      <c r="P2850" t="s">
        <v>12727</v>
      </c>
      <c r="Q2850" t="s">
        <v>12728</v>
      </c>
      <c r="R2850">
        <v>10</v>
      </c>
      <c r="S2850">
        <v>16</v>
      </c>
    </row>
    <row r="2851" spans="1:19" x14ac:dyDescent="0.35">
      <c r="A2851">
        <v>4160</v>
      </c>
      <c r="B2851" t="s">
        <v>13307</v>
      </c>
      <c r="C2851" t="s">
        <v>42</v>
      </c>
      <c r="D2851" t="s">
        <v>13308</v>
      </c>
      <c r="E2851" t="e" cm="1">
        <f t="array" ref="E2851">- LORATADINE</f>
        <v>#NAME?</v>
      </c>
      <c r="F2851" t="s">
        <v>13309</v>
      </c>
      <c r="G2851" t="s">
        <v>6310</v>
      </c>
      <c r="H2851" t="s">
        <v>9221</v>
      </c>
      <c r="I2851" t="s">
        <v>9222</v>
      </c>
      <c r="J2851" t="s">
        <v>727</v>
      </c>
      <c r="K2851" t="s">
        <v>9223</v>
      </c>
      <c r="L2851" t="s">
        <v>9224</v>
      </c>
      <c r="M2851" t="s">
        <v>291</v>
      </c>
      <c r="N2851" t="s">
        <v>9225</v>
      </c>
      <c r="O2851" t="s">
        <v>9226</v>
      </c>
      <c r="P2851" t="s">
        <v>13310</v>
      </c>
      <c r="Q2851" t="s">
        <v>13311</v>
      </c>
      <c r="R2851">
        <v>10</v>
      </c>
      <c r="S2851">
        <v>16</v>
      </c>
    </row>
    <row r="2852" spans="1:19" x14ac:dyDescent="0.35">
      <c r="A2852">
        <v>1942</v>
      </c>
      <c r="B2852" t="s">
        <v>13312</v>
      </c>
      <c r="C2852" t="s">
        <v>20</v>
      </c>
      <c r="D2852" t="s">
        <v>13313</v>
      </c>
      <c r="E2852" t="s">
        <v>13314</v>
      </c>
      <c r="F2852" t="s">
        <v>13315</v>
      </c>
      <c r="H2852" t="s">
        <v>13316</v>
      </c>
      <c r="I2852" t="s">
        <v>13317</v>
      </c>
      <c r="J2852" t="s">
        <v>334</v>
      </c>
      <c r="M2852" t="s">
        <v>271</v>
      </c>
      <c r="N2852" t="s">
        <v>13318</v>
      </c>
      <c r="O2852" t="s">
        <v>13319</v>
      </c>
      <c r="P2852" t="s">
        <v>13318</v>
      </c>
      <c r="Q2852" t="s">
        <v>13320</v>
      </c>
      <c r="R2852">
        <v>10</v>
      </c>
      <c r="S2852">
        <v>16</v>
      </c>
    </row>
    <row r="2853" spans="1:19" x14ac:dyDescent="0.35">
      <c r="A2853">
        <v>1667</v>
      </c>
      <c r="B2853" t="s">
        <v>13321</v>
      </c>
      <c r="C2853" t="s">
        <v>42</v>
      </c>
      <c r="D2853" t="s">
        <v>13322</v>
      </c>
      <c r="E2853" t="e" cm="1">
        <f t="array" ref="E2853">- AMMONIUM CHLORIDE</f>
        <v>#NAME?</v>
      </c>
      <c r="F2853" t="s">
        <v>13323</v>
      </c>
      <c r="G2853" t="s">
        <v>2241</v>
      </c>
      <c r="H2853" t="s">
        <v>13324</v>
      </c>
      <c r="I2853" t="s">
        <v>13325</v>
      </c>
      <c r="J2853" t="s">
        <v>846</v>
      </c>
      <c r="M2853" t="s">
        <v>271</v>
      </c>
      <c r="N2853" t="s">
        <v>1672</v>
      </c>
      <c r="O2853" t="s">
        <v>13326</v>
      </c>
      <c r="P2853" t="s">
        <v>13327</v>
      </c>
      <c r="Q2853" t="s">
        <v>13328</v>
      </c>
      <c r="R2853">
        <v>10</v>
      </c>
      <c r="S2853">
        <v>16</v>
      </c>
    </row>
    <row r="2854" spans="1:19" x14ac:dyDescent="0.35">
      <c r="A2854">
        <v>6599</v>
      </c>
      <c r="B2854" t="s">
        <v>13329</v>
      </c>
      <c r="C2854" t="s">
        <v>42</v>
      </c>
      <c r="D2854" t="s">
        <v>13330</v>
      </c>
      <c r="E2854" t="e" cm="1">
        <f t="array" ref="E2854">- NYSTATIN</f>
        <v>#NAME?</v>
      </c>
      <c r="F2854" s="1">
        <v>60400</v>
      </c>
      <c r="G2854" t="s">
        <v>60</v>
      </c>
      <c r="H2854" t="s">
        <v>13331</v>
      </c>
      <c r="I2854" t="s">
        <v>13332</v>
      </c>
      <c r="J2854" t="s">
        <v>1824</v>
      </c>
      <c r="L2854" t="s">
        <v>13333</v>
      </c>
      <c r="M2854" t="s">
        <v>824</v>
      </c>
      <c r="N2854" t="s">
        <v>1818</v>
      </c>
      <c r="O2854" t="s">
        <v>13334</v>
      </c>
      <c r="P2854" t="s">
        <v>13335</v>
      </c>
      <c r="Q2854" t="s">
        <v>13336</v>
      </c>
      <c r="R2854">
        <v>10</v>
      </c>
      <c r="S2854">
        <v>16</v>
      </c>
    </row>
    <row r="2855" spans="1:19" x14ac:dyDescent="0.35">
      <c r="A2855">
        <v>4136</v>
      </c>
      <c r="B2855" t="s">
        <v>13337</v>
      </c>
      <c r="C2855" t="s">
        <v>42</v>
      </c>
      <c r="D2855" t="s">
        <v>13338</v>
      </c>
      <c r="E2855" t="e" cm="1">
        <f t="array" ref="E2855">- CETIRIZINE HYDROCHLORIDE</f>
        <v>#NAME?</v>
      </c>
      <c r="F2855" t="s">
        <v>13339</v>
      </c>
      <c r="G2855" t="s">
        <v>13340</v>
      </c>
      <c r="H2855" t="s">
        <v>13341</v>
      </c>
    </row>
    <row r="2856" spans="1:19" x14ac:dyDescent="0.35">
      <c r="A2856">
        <v>6608</v>
      </c>
      <c r="B2856" t="s">
        <v>13342</v>
      </c>
      <c r="C2856" t="s">
        <v>42</v>
      </c>
      <c r="D2856" t="s">
        <v>13343</v>
      </c>
      <c r="E2856" t="e" cm="1">
        <f t="array" ref="E2856">- NYSTATIN</f>
        <v>#NAME?</v>
      </c>
      <c r="F2856" s="1">
        <v>49800</v>
      </c>
      <c r="G2856" t="s">
        <v>2241</v>
      </c>
      <c r="H2856" t="s">
        <v>13344</v>
      </c>
      <c r="I2856" t="s">
        <v>13345</v>
      </c>
      <c r="J2856" t="s">
        <v>13346</v>
      </c>
      <c r="K2856" t="s">
        <v>4677</v>
      </c>
      <c r="L2856" t="s">
        <v>13347</v>
      </c>
      <c r="M2856" t="s">
        <v>824</v>
      </c>
      <c r="N2856" t="s">
        <v>1818</v>
      </c>
      <c r="O2856" t="s">
        <v>10782</v>
      </c>
      <c r="P2856" t="s">
        <v>13348</v>
      </c>
      <c r="Q2856" t="s">
        <v>13349</v>
      </c>
      <c r="R2856">
        <v>10</v>
      </c>
      <c r="S2856">
        <v>16</v>
      </c>
    </row>
    <row r="2857" spans="1:19" x14ac:dyDescent="0.35">
      <c r="A2857">
        <v>2033</v>
      </c>
      <c r="B2857" t="s">
        <v>13350</v>
      </c>
      <c r="C2857" t="s">
        <v>20</v>
      </c>
      <c r="D2857" t="s">
        <v>13351</v>
      </c>
      <c r="E2857" t="s">
        <v>13352</v>
      </c>
      <c r="F2857" t="s">
        <v>13353</v>
      </c>
      <c r="H2857" t="s">
        <v>13316</v>
      </c>
      <c r="I2857" t="s">
        <v>13317</v>
      </c>
      <c r="J2857" t="s">
        <v>3926</v>
      </c>
      <c r="M2857" t="s">
        <v>271</v>
      </c>
      <c r="N2857" t="s">
        <v>13354</v>
      </c>
      <c r="O2857" t="s">
        <v>13319</v>
      </c>
      <c r="P2857" t="s">
        <v>13354</v>
      </c>
      <c r="Q2857" t="s">
        <v>13355</v>
      </c>
      <c r="R2857">
        <v>10</v>
      </c>
      <c r="S2857">
        <v>16</v>
      </c>
    </row>
    <row r="2858" spans="1:19" x14ac:dyDescent="0.35">
      <c r="A2858">
        <v>2034</v>
      </c>
      <c r="B2858" t="s">
        <v>13350</v>
      </c>
      <c r="C2858" t="s">
        <v>20</v>
      </c>
      <c r="D2858" t="s">
        <v>13351</v>
      </c>
      <c r="E2858" t="s">
        <v>13352</v>
      </c>
      <c r="F2858" t="s">
        <v>13353</v>
      </c>
      <c r="H2858" t="s">
        <v>13316</v>
      </c>
      <c r="I2858" t="s">
        <v>13317</v>
      </c>
      <c r="J2858" t="s">
        <v>3926</v>
      </c>
      <c r="M2858" t="s">
        <v>271</v>
      </c>
      <c r="N2858" t="s">
        <v>13354</v>
      </c>
      <c r="O2858" t="s">
        <v>13319</v>
      </c>
      <c r="P2858" t="s">
        <v>13354</v>
      </c>
      <c r="Q2858" t="s">
        <v>13355</v>
      </c>
      <c r="R2858">
        <v>10</v>
      </c>
      <c r="S2858">
        <v>16</v>
      </c>
    </row>
    <row r="2859" spans="1:19" x14ac:dyDescent="0.35">
      <c r="A2859">
        <v>9840</v>
      </c>
      <c r="B2859" t="s">
        <v>13356</v>
      </c>
      <c r="C2859" t="s">
        <v>42</v>
      </c>
      <c r="D2859" t="s">
        <v>13357</v>
      </c>
      <c r="E2859" t="e" cm="1">
        <f t="array" ref="E2859">- ROSUVASTATIN CALCIUM</f>
        <v>#NAME?</v>
      </c>
      <c r="F2859" t="s">
        <v>13358</v>
      </c>
      <c r="G2859" t="s">
        <v>5301</v>
      </c>
      <c r="H2859" t="s">
        <v>13359</v>
      </c>
      <c r="I2859" t="s">
        <v>13360</v>
      </c>
      <c r="J2859" t="s">
        <v>13361</v>
      </c>
      <c r="K2859" t="s">
        <v>13362</v>
      </c>
      <c r="L2859" t="s">
        <v>13363</v>
      </c>
      <c r="M2859" t="s">
        <v>46</v>
      </c>
      <c r="N2859" t="s">
        <v>2308</v>
      </c>
      <c r="O2859" t="s">
        <v>13364</v>
      </c>
      <c r="P2859" t="s">
        <v>13365</v>
      </c>
      <c r="Q2859" t="s">
        <v>13366</v>
      </c>
      <c r="R2859">
        <v>10</v>
      </c>
      <c r="S2859">
        <v>16</v>
      </c>
    </row>
    <row r="2860" spans="1:19" x14ac:dyDescent="0.35">
      <c r="A2860">
        <v>9829</v>
      </c>
      <c r="B2860" t="s">
        <v>13367</v>
      </c>
      <c r="C2860" t="s">
        <v>42</v>
      </c>
      <c r="D2860" t="s">
        <v>13368</v>
      </c>
      <c r="E2860" t="e" cm="1">
        <f t="array" ref="E2860">- SIMVASTATIN</f>
        <v>#NAME?</v>
      </c>
      <c r="F2860" s="1">
        <v>96600</v>
      </c>
      <c r="G2860" t="s">
        <v>12716</v>
      </c>
      <c r="H2860" t="s">
        <v>13369</v>
      </c>
      <c r="I2860" t="s">
        <v>12710</v>
      </c>
      <c r="J2860" t="s">
        <v>1093</v>
      </c>
      <c r="K2860" t="s">
        <v>6720</v>
      </c>
      <c r="L2860" t="s">
        <v>6721</v>
      </c>
      <c r="M2860" t="s">
        <v>46</v>
      </c>
      <c r="N2860" t="s">
        <v>1150</v>
      </c>
      <c r="O2860" t="s">
        <v>12712</v>
      </c>
      <c r="P2860" t="s">
        <v>13370</v>
      </c>
      <c r="Q2860" t="s">
        <v>13371</v>
      </c>
      <c r="R2860">
        <v>10</v>
      </c>
      <c r="S2860">
        <v>16</v>
      </c>
    </row>
    <row r="2861" spans="1:19" x14ac:dyDescent="0.35">
      <c r="A2861">
        <v>4289</v>
      </c>
      <c r="B2861" t="s">
        <v>13372</v>
      </c>
      <c r="C2861" t="s">
        <v>42</v>
      </c>
      <c r="D2861" t="s">
        <v>13373</v>
      </c>
      <c r="E2861" t="e" cm="1">
        <f t="array" ref="E2861">- CETIRIZINE HYDROCHLORIDE</f>
        <v>#NAME?</v>
      </c>
      <c r="F2861" t="s">
        <v>13374</v>
      </c>
      <c r="H2861" t="s">
        <v>269</v>
      </c>
      <c r="I2861" t="s">
        <v>13375</v>
      </c>
      <c r="J2861" t="s">
        <v>532</v>
      </c>
      <c r="L2861" t="s">
        <v>270</v>
      </c>
      <c r="M2861" t="s">
        <v>46</v>
      </c>
      <c r="N2861" t="s">
        <v>1390</v>
      </c>
      <c r="O2861" t="s">
        <v>13376</v>
      </c>
      <c r="P2861" t="s">
        <v>13377</v>
      </c>
      <c r="Q2861" t="s">
        <v>13378</v>
      </c>
      <c r="R2861">
        <v>10</v>
      </c>
      <c r="S2861">
        <v>16</v>
      </c>
    </row>
    <row r="2862" spans="1:19" x14ac:dyDescent="0.35">
      <c r="A2862">
        <v>4123</v>
      </c>
      <c r="B2862" t="s">
        <v>13379</v>
      </c>
      <c r="C2862" t="s">
        <v>42</v>
      </c>
      <c r="D2862" t="s">
        <v>13380</v>
      </c>
      <c r="E2862" t="e" cm="1">
        <f t="array" ref="E2862">- LORATADINE</f>
        <v>#NAME?</v>
      </c>
      <c r="F2862" t="s">
        <v>13381</v>
      </c>
      <c r="G2862" t="s">
        <v>12791</v>
      </c>
      <c r="H2862" t="s">
        <v>12792</v>
      </c>
      <c r="I2862" t="s">
        <v>9222</v>
      </c>
      <c r="J2862" t="s">
        <v>13382</v>
      </c>
      <c r="K2862" t="s">
        <v>12793</v>
      </c>
      <c r="L2862" t="s">
        <v>12794</v>
      </c>
      <c r="M2862" t="s">
        <v>46</v>
      </c>
      <c r="N2862" t="s">
        <v>9225</v>
      </c>
      <c r="O2862" t="s">
        <v>9226</v>
      </c>
      <c r="P2862" t="s">
        <v>12795</v>
      </c>
      <c r="Q2862" t="s">
        <v>12796</v>
      </c>
      <c r="R2862">
        <v>10</v>
      </c>
      <c r="S2862">
        <v>16</v>
      </c>
    </row>
    <row r="2863" spans="1:19" x14ac:dyDescent="0.35">
      <c r="A2863">
        <v>1668</v>
      </c>
      <c r="B2863" t="s">
        <v>13321</v>
      </c>
      <c r="C2863" t="s">
        <v>42</v>
      </c>
      <c r="D2863" t="s">
        <v>13322</v>
      </c>
      <c r="E2863" t="e" cm="1">
        <f t="array" ref="E2863">- AMMONIUM CHLORIDE</f>
        <v>#NAME?</v>
      </c>
      <c r="F2863" t="s">
        <v>13323</v>
      </c>
      <c r="G2863" t="s">
        <v>2241</v>
      </c>
      <c r="H2863" t="s">
        <v>13324</v>
      </c>
      <c r="I2863" t="s">
        <v>13325</v>
      </c>
      <c r="J2863" t="s">
        <v>846</v>
      </c>
      <c r="M2863" t="s">
        <v>271</v>
      </c>
      <c r="N2863" t="s">
        <v>1672</v>
      </c>
      <c r="O2863" t="s">
        <v>13326</v>
      </c>
      <c r="P2863" t="s">
        <v>13327</v>
      </c>
      <c r="Q2863" t="s">
        <v>13328</v>
      </c>
      <c r="R2863">
        <v>10</v>
      </c>
      <c r="S2863">
        <v>16</v>
      </c>
    </row>
    <row r="2864" spans="1:19" x14ac:dyDescent="0.35">
      <c r="A2864">
        <v>4122</v>
      </c>
      <c r="B2864" t="s">
        <v>13379</v>
      </c>
      <c r="C2864" t="s">
        <v>42</v>
      </c>
      <c r="D2864" t="s">
        <v>13380</v>
      </c>
      <c r="E2864" t="e" cm="1">
        <f t="array" ref="E2864">- LORATADINE</f>
        <v>#NAME?</v>
      </c>
      <c r="F2864" t="s">
        <v>13381</v>
      </c>
      <c r="G2864" t="s">
        <v>12791</v>
      </c>
      <c r="H2864" t="s">
        <v>12792</v>
      </c>
      <c r="I2864" t="s">
        <v>9222</v>
      </c>
      <c r="J2864" t="s">
        <v>13382</v>
      </c>
      <c r="K2864" t="s">
        <v>12793</v>
      </c>
      <c r="L2864" t="s">
        <v>12794</v>
      </c>
      <c r="M2864" t="s">
        <v>46</v>
      </c>
      <c r="N2864" t="s">
        <v>9225</v>
      </c>
      <c r="O2864" t="s">
        <v>9226</v>
      </c>
      <c r="P2864" t="s">
        <v>12795</v>
      </c>
      <c r="Q2864" t="s">
        <v>12796</v>
      </c>
      <c r="R2864">
        <v>10</v>
      </c>
      <c r="S2864">
        <v>16</v>
      </c>
    </row>
    <row r="2865" spans="1:19" x14ac:dyDescent="0.35">
      <c r="A2865">
        <v>9823</v>
      </c>
      <c r="B2865" t="s">
        <v>13383</v>
      </c>
      <c r="C2865" t="s">
        <v>42</v>
      </c>
      <c r="D2865" t="s">
        <v>13384</v>
      </c>
      <c r="E2865" t="e" cm="1">
        <f t="array" ref="E2865">- SIMVASTATIN</f>
        <v>#NAME?</v>
      </c>
      <c r="F2865" t="s">
        <v>13385</v>
      </c>
      <c r="G2865" t="s">
        <v>12760</v>
      </c>
      <c r="H2865" t="s">
        <v>13386</v>
      </c>
      <c r="I2865" t="s">
        <v>12761</v>
      </c>
      <c r="J2865" t="s">
        <v>13387</v>
      </c>
      <c r="K2865" t="s">
        <v>12773</v>
      </c>
      <c r="L2865" t="s">
        <v>12764</v>
      </c>
      <c r="M2865" t="s">
        <v>46</v>
      </c>
      <c r="N2865" t="s">
        <v>1150</v>
      </c>
      <c r="O2865" t="s">
        <v>12712</v>
      </c>
      <c r="P2865" t="s">
        <v>13388</v>
      </c>
      <c r="Q2865" t="s">
        <v>13389</v>
      </c>
      <c r="R2865">
        <v>10</v>
      </c>
      <c r="S2865">
        <v>16</v>
      </c>
    </row>
    <row r="2866" spans="1:19" x14ac:dyDescent="0.35">
      <c r="A2866">
        <v>9820</v>
      </c>
      <c r="B2866" t="s">
        <v>13390</v>
      </c>
      <c r="C2866" t="s">
        <v>42</v>
      </c>
      <c r="D2866" t="s">
        <v>13391</v>
      </c>
      <c r="E2866" t="e" cm="1">
        <f t="array" ref="E2866">- SIMVASTATIN</f>
        <v>#NAME?</v>
      </c>
      <c r="F2866" t="s">
        <v>13392</v>
      </c>
      <c r="G2866" t="s">
        <v>13393</v>
      </c>
      <c r="H2866" t="s">
        <v>6718</v>
      </c>
      <c r="I2866" t="s">
        <v>13394</v>
      </c>
      <c r="J2866" t="s">
        <v>13395</v>
      </c>
      <c r="K2866" t="s">
        <v>6720</v>
      </c>
      <c r="L2866" t="s">
        <v>6721</v>
      </c>
      <c r="M2866" t="s">
        <v>46</v>
      </c>
      <c r="N2866" t="s">
        <v>1150</v>
      </c>
      <c r="O2866" t="s">
        <v>12712</v>
      </c>
      <c r="P2866" t="s">
        <v>13396</v>
      </c>
      <c r="Q2866" t="s">
        <v>13397</v>
      </c>
      <c r="R2866">
        <v>10</v>
      </c>
      <c r="S2866">
        <v>16</v>
      </c>
    </row>
    <row r="2867" spans="1:19" x14ac:dyDescent="0.35">
      <c r="A2867">
        <v>9819</v>
      </c>
      <c r="B2867" t="s">
        <v>13390</v>
      </c>
      <c r="C2867" t="s">
        <v>42</v>
      </c>
      <c r="D2867" t="s">
        <v>13391</v>
      </c>
      <c r="E2867" t="e" cm="1">
        <f t="array" ref="E2867">- SIMVASTATIN</f>
        <v>#NAME?</v>
      </c>
      <c r="F2867" t="s">
        <v>13392</v>
      </c>
      <c r="G2867" t="s">
        <v>13393</v>
      </c>
      <c r="H2867" t="s">
        <v>6718</v>
      </c>
      <c r="I2867" t="s">
        <v>13394</v>
      </c>
      <c r="J2867" t="s">
        <v>13395</v>
      </c>
      <c r="K2867" t="s">
        <v>6720</v>
      </c>
      <c r="L2867" t="s">
        <v>6721</v>
      </c>
      <c r="M2867" t="s">
        <v>46</v>
      </c>
      <c r="N2867" t="s">
        <v>1150</v>
      </c>
      <c r="O2867" t="s">
        <v>12712</v>
      </c>
      <c r="P2867" t="s">
        <v>13396</v>
      </c>
      <c r="Q2867" t="s">
        <v>13397</v>
      </c>
      <c r="R2867">
        <v>10</v>
      </c>
      <c r="S2867">
        <v>16</v>
      </c>
    </row>
    <row r="2868" spans="1:19" x14ac:dyDescent="0.35">
      <c r="A2868">
        <v>9818</v>
      </c>
      <c r="B2868" t="s">
        <v>13398</v>
      </c>
      <c r="C2868" t="s">
        <v>42</v>
      </c>
      <c r="D2868" t="s">
        <v>13399</v>
      </c>
      <c r="E2868" t="e" cm="1">
        <f t="array" ref="E2868">- SIMVASTATIN</f>
        <v>#NAME?</v>
      </c>
      <c r="F2868" t="s">
        <v>13400</v>
      </c>
      <c r="G2868" t="s">
        <v>12760</v>
      </c>
      <c r="H2868" t="s">
        <v>6718</v>
      </c>
      <c r="I2868" t="s">
        <v>12761</v>
      </c>
      <c r="J2868" t="s">
        <v>13401</v>
      </c>
      <c r="K2868" t="s">
        <v>13402</v>
      </c>
      <c r="L2868" t="s">
        <v>13403</v>
      </c>
      <c r="M2868" t="s">
        <v>291</v>
      </c>
      <c r="N2868" t="s">
        <v>1150</v>
      </c>
      <c r="O2868" t="s">
        <v>12712</v>
      </c>
      <c r="P2868" t="s">
        <v>13396</v>
      </c>
      <c r="Q2868" t="s">
        <v>13404</v>
      </c>
      <c r="R2868">
        <v>10</v>
      </c>
      <c r="S2868">
        <v>16</v>
      </c>
    </row>
    <row r="2869" spans="1:19" x14ac:dyDescent="0.35">
      <c r="A2869">
        <v>36</v>
      </c>
      <c r="B2869" t="s">
        <v>2902</v>
      </c>
      <c r="C2869" t="s">
        <v>42</v>
      </c>
      <c r="D2869" t="s">
        <v>13405</v>
      </c>
      <c r="E2869" t="e" cm="1">
        <f t="array" ref="E2869">- SILDENAFIL CITRATE</f>
        <v>#NAME?</v>
      </c>
      <c r="F2869" t="s">
        <v>13406</v>
      </c>
      <c r="G2869" t="s">
        <v>13407</v>
      </c>
      <c r="H2869" t="s">
        <v>8263</v>
      </c>
      <c r="I2869" t="s">
        <v>8669</v>
      </c>
      <c r="J2869" t="s">
        <v>13408</v>
      </c>
      <c r="L2869" t="s">
        <v>13409</v>
      </c>
      <c r="M2869" t="s">
        <v>46</v>
      </c>
      <c r="N2869" t="s">
        <v>2519</v>
      </c>
      <c r="O2869" t="s">
        <v>8672</v>
      </c>
      <c r="P2869" t="s">
        <v>13410</v>
      </c>
      <c r="Q2869" t="s">
        <v>13411</v>
      </c>
      <c r="R2869">
        <v>10</v>
      </c>
      <c r="S2869">
        <v>16</v>
      </c>
    </row>
    <row r="2870" spans="1:19" x14ac:dyDescent="0.35">
      <c r="A2870">
        <v>38</v>
      </c>
      <c r="B2870" t="s">
        <v>2902</v>
      </c>
      <c r="C2870" t="s">
        <v>42</v>
      </c>
      <c r="D2870" t="s">
        <v>13412</v>
      </c>
      <c r="E2870" t="e" cm="1">
        <f t="array" ref="E2870">- SILDENAFIL CITRATE</f>
        <v>#NAME?</v>
      </c>
      <c r="F2870" s="1">
        <v>25300</v>
      </c>
      <c r="G2870" t="s">
        <v>8185</v>
      </c>
      <c r="H2870" t="s">
        <v>8383</v>
      </c>
      <c r="I2870" t="s">
        <v>8186</v>
      </c>
      <c r="J2870" t="s">
        <v>8479</v>
      </c>
      <c r="L2870" t="s">
        <v>10925</v>
      </c>
      <c r="M2870" t="s">
        <v>46</v>
      </c>
      <c r="N2870" t="s">
        <v>2519</v>
      </c>
      <c r="O2870" t="s">
        <v>8189</v>
      </c>
      <c r="P2870" t="s">
        <v>12687</v>
      </c>
      <c r="Q2870" t="s">
        <v>12902</v>
      </c>
      <c r="R2870">
        <v>10</v>
      </c>
      <c r="S2870">
        <v>16</v>
      </c>
    </row>
    <row r="2871" spans="1:19" x14ac:dyDescent="0.35">
      <c r="A2871">
        <v>9794</v>
      </c>
      <c r="B2871" t="s">
        <v>13413</v>
      </c>
      <c r="C2871" t="s">
        <v>42</v>
      </c>
      <c r="D2871" t="s">
        <v>13414</v>
      </c>
      <c r="E2871" t="e" cm="1">
        <f t="array" ref="E2871">- SIMVASTATIN</f>
        <v>#NAME?</v>
      </c>
      <c r="F2871" t="s">
        <v>13415</v>
      </c>
      <c r="G2871" t="s">
        <v>12760</v>
      </c>
      <c r="H2871" t="s">
        <v>6718</v>
      </c>
      <c r="I2871" t="s">
        <v>12761</v>
      </c>
      <c r="J2871" t="s">
        <v>10201</v>
      </c>
      <c r="K2871" t="s">
        <v>13416</v>
      </c>
      <c r="L2871" t="s">
        <v>12764</v>
      </c>
      <c r="M2871" t="s">
        <v>46</v>
      </c>
      <c r="N2871" t="s">
        <v>1150</v>
      </c>
      <c r="O2871" t="s">
        <v>12712</v>
      </c>
      <c r="P2871" t="s">
        <v>13417</v>
      </c>
      <c r="Q2871" t="s">
        <v>13418</v>
      </c>
      <c r="R2871">
        <v>10</v>
      </c>
      <c r="S2871">
        <v>16</v>
      </c>
    </row>
    <row r="2872" spans="1:19" x14ac:dyDescent="0.35">
      <c r="A2872">
        <v>9793</v>
      </c>
      <c r="B2872" t="s">
        <v>13413</v>
      </c>
      <c r="C2872" t="s">
        <v>42</v>
      </c>
      <c r="D2872" t="s">
        <v>13414</v>
      </c>
      <c r="E2872" t="e" cm="1">
        <f t="array" ref="E2872">- SIMVASTATIN</f>
        <v>#NAME?</v>
      </c>
      <c r="F2872" t="s">
        <v>13415</v>
      </c>
      <c r="G2872" t="s">
        <v>12760</v>
      </c>
      <c r="H2872" t="s">
        <v>6718</v>
      </c>
      <c r="I2872" t="s">
        <v>12761</v>
      </c>
      <c r="J2872" t="s">
        <v>10201</v>
      </c>
      <c r="K2872" t="s">
        <v>13416</v>
      </c>
      <c r="L2872" t="s">
        <v>12764</v>
      </c>
      <c r="M2872" t="s">
        <v>46</v>
      </c>
      <c r="N2872" t="s">
        <v>1150</v>
      </c>
      <c r="O2872" t="s">
        <v>12712</v>
      </c>
      <c r="P2872" t="s">
        <v>13417</v>
      </c>
      <c r="Q2872" t="s">
        <v>13418</v>
      </c>
      <c r="R2872">
        <v>10</v>
      </c>
      <c r="S2872">
        <v>16</v>
      </c>
    </row>
    <row r="2873" spans="1:19" x14ac:dyDescent="0.35">
      <c r="A2873">
        <v>9792</v>
      </c>
      <c r="B2873" t="s">
        <v>13413</v>
      </c>
      <c r="C2873" t="s">
        <v>42</v>
      </c>
      <c r="D2873" t="s">
        <v>13414</v>
      </c>
      <c r="E2873" t="e" cm="1">
        <f t="array" ref="E2873">- SIMVASTATIN</f>
        <v>#NAME?</v>
      </c>
      <c r="F2873" t="s">
        <v>13415</v>
      </c>
      <c r="G2873" t="s">
        <v>12760</v>
      </c>
      <c r="H2873" t="s">
        <v>6718</v>
      </c>
      <c r="I2873" t="s">
        <v>12761</v>
      </c>
      <c r="J2873" t="s">
        <v>10201</v>
      </c>
      <c r="K2873" t="s">
        <v>13416</v>
      </c>
      <c r="L2873" t="s">
        <v>12764</v>
      </c>
      <c r="M2873" t="s">
        <v>46</v>
      </c>
      <c r="N2873" t="s">
        <v>1150</v>
      </c>
      <c r="O2873" t="s">
        <v>12712</v>
      </c>
      <c r="P2873" t="s">
        <v>13417</v>
      </c>
      <c r="Q2873" t="s">
        <v>13418</v>
      </c>
      <c r="R2873">
        <v>10</v>
      </c>
      <c r="S2873">
        <v>16</v>
      </c>
    </row>
    <row r="2874" spans="1:19" x14ac:dyDescent="0.35">
      <c r="A2874">
        <v>417</v>
      </c>
      <c r="B2874" t="s">
        <v>8270</v>
      </c>
      <c r="C2874" t="s">
        <v>20</v>
      </c>
      <c r="D2874" t="s">
        <v>13054</v>
      </c>
      <c r="E2874" t="s">
        <v>8272</v>
      </c>
      <c r="F2874" t="s">
        <v>13055</v>
      </c>
      <c r="I2874" t="s">
        <v>13056</v>
      </c>
      <c r="J2874" t="s">
        <v>334</v>
      </c>
      <c r="M2874" t="s">
        <v>38</v>
      </c>
      <c r="N2874" t="s">
        <v>8274</v>
      </c>
      <c r="O2874" t="s">
        <v>13057</v>
      </c>
      <c r="P2874" t="s">
        <v>8274</v>
      </c>
      <c r="Q2874" t="s">
        <v>13058</v>
      </c>
      <c r="R2874">
        <v>10</v>
      </c>
      <c r="S2874">
        <v>16</v>
      </c>
    </row>
    <row r="2875" spans="1:19" x14ac:dyDescent="0.35">
      <c r="A2875">
        <v>1123</v>
      </c>
      <c r="B2875" t="s">
        <v>13419</v>
      </c>
      <c r="C2875" t="s">
        <v>42</v>
      </c>
      <c r="D2875" t="s">
        <v>13420</v>
      </c>
      <c r="E2875" t="e" cm="1">
        <f t="array" ref="E2875">- AMMONIUM CHLORIDE</f>
        <v>#NAME?</v>
      </c>
      <c r="F2875" t="s">
        <v>13421</v>
      </c>
      <c r="G2875" t="s">
        <v>60</v>
      </c>
      <c r="I2875" t="s">
        <v>13422</v>
      </c>
      <c r="J2875" t="s">
        <v>374</v>
      </c>
      <c r="L2875" t="s">
        <v>13423</v>
      </c>
      <c r="M2875" t="s">
        <v>271</v>
      </c>
      <c r="N2875" t="s">
        <v>1672</v>
      </c>
      <c r="O2875" t="s">
        <v>13424</v>
      </c>
      <c r="P2875" t="s">
        <v>13425</v>
      </c>
      <c r="Q2875" t="s">
        <v>13426</v>
      </c>
      <c r="R2875">
        <v>10</v>
      </c>
      <c r="S2875">
        <v>16</v>
      </c>
    </row>
    <row r="2876" spans="1:19" x14ac:dyDescent="0.35">
      <c r="A2876">
        <v>6598</v>
      </c>
      <c r="B2876" t="s">
        <v>13329</v>
      </c>
      <c r="C2876" t="s">
        <v>42</v>
      </c>
      <c r="D2876" t="s">
        <v>13330</v>
      </c>
      <c r="E2876" t="e" cm="1">
        <f t="array" ref="E2876">- NYSTATIN</f>
        <v>#NAME?</v>
      </c>
      <c r="F2876" s="1">
        <v>60400</v>
      </c>
      <c r="G2876" t="s">
        <v>60</v>
      </c>
      <c r="H2876" t="s">
        <v>13331</v>
      </c>
      <c r="I2876" t="s">
        <v>13332</v>
      </c>
      <c r="J2876" t="s">
        <v>1824</v>
      </c>
      <c r="L2876" t="s">
        <v>13333</v>
      </c>
      <c r="M2876" t="s">
        <v>824</v>
      </c>
      <c r="N2876" t="s">
        <v>1818</v>
      </c>
      <c r="O2876" t="s">
        <v>13334</v>
      </c>
      <c r="P2876" t="s">
        <v>13335</v>
      </c>
      <c r="Q2876" t="s">
        <v>13336</v>
      </c>
      <c r="R2876">
        <v>10</v>
      </c>
      <c r="S2876">
        <v>16</v>
      </c>
    </row>
    <row r="2877" spans="1:19" x14ac:dyDescent="0.35">
      <c r="A2877">
        <v>2016</v>
      </c>
      <c r="B2877" t="s">
        <v>13427</v>
      </c>
      <c r="C2877" t="s">
        <v>20</v>
      </c>
      <c r="D2877" t="s">
        <v>13428</v>
      </c>
      <c r="E2877" t="s">
        <v>13429</v>
      </c>
      <c r="F2877" t="s">
        <v>13430</v>
      </c>
      <c r="G2877" t="s">
        <v>6707</v>
      </c>
      <c r="H2877" t="s">
        <v>6708</v>
      </c>
      <c r="I2877" t="s">
        <v>6709</v>
      </c>
      <c r="J2877" t="s">
        <v>6710</v>
      </c>
      <c r="L2877" t="s">
        <v>6711</v>
      </c>
      <c r="M2877" t="s">
        <v>63</v>
      </c>
      <c r="N2877" t="s">
        <v>13431</v>
      </c>
      <c r="O2877" t="s">
        <v>5144</v>
      </c>
      <c r="P2877" t="s">
        <v>13431</v>
      </c>
      <c r="Q2877" t="s">
        <v>13432</v>
      </c>
      <c r="R2877">
        <v>10</v>
      </c>
      <c r="S2877">
        <v>16</v>
      </c>
    </row>
    <row r="2878" spans="1:19" x14ac:dyDescent="0.35">
      <c r="A2878">
        <v>2015</v>
      </c>
      <c r="B2878" t="s">
        <v>13427</v>
      </c>
      <c r="C2878" t="s">
        <v>20</v>
      </c>
      <c r="D2878" t="s">
        <v>13428</v>
      </c>
      <c r="E2878" t="s">
        <v>13429</v>
      </c>
      <c r="F2878" t="s">
        <v>13430</v>
      </c>
      <c r="G2878" t="s">
        <v>6707</v>
      </c>
      <c r="H2878" t="s">
        <v>6708</v>
      </c>
      <c r="I2878" t="s">
        <v>6709</v>
      </c>
      <c r="J2878" t="s">
        <v>6710</v>
      </c>
      <c r="L2878" t="s">
        <v>6711</v>
      </c>
      <c r="M2878" t="s">
        <v>63</v>
      </c>
      <c r="N2878" t="s">
        <v>13431</v>
      </c>
      <c r="O2878" t="s">
        <v>5144</v>
      </c>
      <c r="P2878" t="s">
        <v>13431</v>
      </c>
      <c r="Q2878" t="s">
        <v>13432</v>
      </c>
      <c r="R2878">
        <v>10</v>
      </c>
      <c r="S2878">
        <v>16</v>
      </c>
    </row>
    <row r="2879" spans="1:19" x14ac:dyDescent="0.35">
      <c r="A2879">
        <v>25</v>
      </c>
      <c r="B2879" t="s">
        <v>2902</v>
      </c>
      <c r="C2879" t="s">
        <v>42</v>
      </c>
      <c r="D2879" t="s">
        <v>13433</v>
      </c>
      <c r="E2879" t="e" cm="1">
        <f t="array" ref="E2879">- SILDENAFIL CITRATE</f>
        <v>#NAME?</v>
      </c>
      <c r="F2879" t="s">
        <v>13434</v>
      </c>
      <c r="G2879" t="s">
        <v>13435</v>
      </c>
      <c r="H2879" t="s">
        <v>3854</v>
      </c>
      <c r="I2879" t="s">
        <v>13436</v>
      </c>
      <c r="J2879" t="s">
        <v>614</v>
      </c>
      <c r="L2879" t="s">
        <v>13437</v>
      </c>
      <c r="M2879" t="s">
        <v>46</v>
      </c>
      <c r="N2879" t="s">
        <v>2519</v>
      </c>
      <c r="O2879" t="s">
        <v>13438</v>
      </c>
      <c r="P2879" t="s">
        <v>13439</v>
      </c>
      <c r="Q2879" t="s">
        <v>13440</v>
      </c>
      <c r="R2879">
        <v>10</v>
      </c>
      <c r="S2879">
        <v>16</v>
      </c>
    </row>
    <row r="2880" spans="1:19" x14ac:dyDescent="0.35">
      <c r="A2880">
        <v>9861</v>
      </c>
      <c r="B2880" t="s">
        <v>13441</v>
      </c>
      <c r="C2880" t="s">
        <v>42</v>
      </c>
      <c r="D2880" t="s">
        <v>13442</v>
      </c>
      <c r="E2880" t="e" cm="1">
        <f t="array" ref="E2880">- SIMVASTATIN</f>
        <v>#NAME?</v>
      </c>
      <c r="F2880" t="s">
        <v>13443</v>
      </c>
      <c r="G2880" t="s">
        <v>12760</v>
      </c>
      <c r="H2880" t="s">
        <v>6718</v>
      </c>
      <c r="I2880" t="s">
        <v>12761</v>
      </c>
      <c r="J2880" t="s">
        <v>13444</v>
      </c>
      <c r="K2880" t="s">
        <v>12773</v>
      </c>
      <c r="L2880" t="s">
        <v>12764</v>
      </c>
      <c r="M2880" t="s">
        <v>46</v>
      </c>
      <c r="N2880" t="s">
        <v>1150</v>
      </c>
      <c r="O2880" t="s">
        <v>12712</v>
      </c>
      <c r="P2880" t="s">
        <v>13445</v>
      </c>
      <c r="Q2880" t="s">
        <v>13446</v>
      </c>
      <c r="R2880">
        <v>10</v>
      </c>
      <c r="S2880">
        <v>16</v>
      </c>
    </row>
    <row r="2881" spans="1:19" x14ac:dyDescent="0.35">
      <c r="A2881">
        <v>9860</v>
      </c>
      <c r="B2881" t="s">
        <v>13441</v>
      </c>
      <c r="C2881" t="s">
        <v>42</v>
      </c>
      <c r="D2881" t="s">
        <v>13442</v>
      </c>
      <c r="E2881" t="e" cm="1">
        <f t="array" ref="E2881">- SIMVASTATIN</f>
        <v>#NAME?</v>
      </c>
      <c r="F2881" t="s">
        <v>13443</v>
      </c>
      <c r="G2881" t="s">
        <v>12760</v>
      </c>
      <c r="H2881" t="s">
        <v>6718</v>
      </c>
      <c r="I2881" t="s">
        <v>12761</v>
      </c>
      <c r="J2881" t="s">
        <v>13444</v>
      </c>
      <c r="K2881" t="s">
        <v>12773</v>
      </c>
      <c r="L2881" t="s">
        <v>12764</v>
      </c>
      <c r="M2881" t="s">
        <v>46</v>
      </c>
      <c r="N2881" t="s">
        <v>1150</v>
      </c>
      <c r="O2881" t="s">
        <v>12712</v>
      </c>
      <c r="P2881" t="s">
        <v>13445</v>
      </c>
      <c r="Q2881" t="s">
        <v>13446</v>
      </c>
      <c r="R2881">
        <v>10</v>
      </c>
      <c r="S2881">
        <v>16</v>
      </c>
    </row>
    <row r="2882" spans="1:19" x14ac:dyDescent="0.35">
      <c r="A2882">
        <v>1947</v>
      </c>
      <c r="B2882" t="s">
        <v>13447</v>
      </c>
      <c r="C2882" t="s">
        <v>20</v>
      </c>
      <c r="D2882" t="s">
        <v>13448</v>
      </c>
      <c r="E2882" t="s">
        <v>13449</v>
      </c>
      <c r="F2882" s="1">
        <v>39800</v>
      </c>
      <c r="G2882" t="s">
        <v>13450</v>
      </c>
      <c r="H2882" t="s">
        <v>13451</v>
      </c>
      <c r="I2882" t="s">
        <v>5235</v>
      </c>
      <c r="J2882" t="s">
        <v>13452</v>
      </c>
      <c r="M2882" t="s">
        <v>2374</v>
      </c>
      <c r="N2882" t="s">
        <v>13453</v>
      </c>
      <c r="O2882" t="s">
        <v>5238</v>
      </c>
      <c r="P2882" t="s">
        <v>13453</v>
      </c>
      <c r="Q2882" t="s">
        <v>13454</v>
      </c>
      <c r="R2882">
        <v>10</v>
      </c>
      <c r="S2882">
        <v>16</v>
      </c>
    </row>
    <row r="2883" spans="1:19" x14ac:dyDescent="0.35">
      <c r="A2883">
        <v>1949</v>
      </c>
      <c r="B2883" t="s">
        <v>13447</v>
      </c>
      <c r="C2883" t="s">
        <v>20</v>
      </c>
      <c r="D2883" t="s">
        <v>13455</v>
      </c>
      <c r="E2883" t="s">
        <v>13449</v>
      </c>
      <c r="F2883" s="1">
        <v>14300</v>
      </c>
      <c r="G2883" t="s">
        <v>2241</v>
      </c>
      <c r="H2883" t="s">
        <v>13456</v>
      </c>
      <c r="I2883" t="s">
        <v>5235</v>
      </c>
      <c r="J2883" t="s">
        <v>13457</v>
      </c>
      <c r="M2883" t="s">
        <v>2374</v>
      </c>
      <c r="N2883" t="s">
        <v>13453</v>
      </c>
      <c r="O2883" t="s">
        <v>5238</v>
      </c>
      <c r="P2883" t="s">
        <v>13453</v>
      </c>
      <c r="Q2883" t="s">
        <v>13454</v>
      </c>
      <c r="R2883">
        <v>10</v>
      </c>
      <c r="S2883">
        <v>16</v>
      </c>
    </row>
    <row r="2884" spans="1:19" x14ac:dyDescent="0.35">
      <c r="A2884">
        <v>1950</v>
      </c>
      <c r="B2884" t="s">
        <v>13447</v>
      </c>
      <c r="C2884" t="s">
        <v>20</v>
      </c>
      <c r="D2884" t="s">
        <v>13448</v>
      </c>
      <c r="E2884" t="s">
        <v>13449</v>
      </c>
      <c r="F2884" s="1">
        <v>39800</v>
      </c>
      <c r="G2884" t="s">
        <v>13450</v>
      </c>
      <c r="H2884" t="s">
        <v>13451</v>
      </c>
      <c r="I2884" t="s">
        <v>5235</v>
      </c>
      <c r="J2884" t="s">
        <v>13452</v>
      </c>
      <c r="M2884" t="s">
        <v>2374</v>
      </c>
      <c r="N2884" t="s">
        <v>13453</v>
      </c>
      <c r="O2884" t="s">
        <v>5238</v>
      </c>
      <c r="P2884" t="s">
        <v>13453</v>
      </c>
      <c r="Q2884" t="s">
        <v>13454</v>
      </c>
      <c r="R2884">
        <v>10</v>
      </c>
      <c r="S2884">
        <v>16</v>
      </c>
    </row>
    <row r="2885" spans="1:19" x14ac:dyDescent="0.35">
      <c r="A2885">
        <v>8008</v>
      </c>
      <c r="B2885" t="s">
        <v>13296</v>
      </c>
      <c r="C2885" t="s">
        <v>20</v>
      </c>
      <c r="D2885" t="s">
        <v>13297</v>
      </c>
      <c r="E2885" t="s">
        <v>13298</v>
      </c>
      <c r="F2885" t="s">
        <v>13299</v>
      </c>
      <c r="G2885" t="s">
        <v>13300</v>
      </c>
      <c r="H2885" t="s">
        <v>13301</v>
      </c>
      <c r="I2885" t="s">
        <v>3392</v>
      </c>
      <c r="J2885" t="s">
        <v>13302</v>
      </c>
      <c r="L2885" t="s">
        <v>13303</v>
      </c>
      <c r="M2885" t="s">
        <v>2374</v>
      </c>
      <c r="N2885" t="s">
        <v>13304</v>
      </c>
      <c r="O2885" t="s">
        <v>3396</v>
      </c>
      <c r="P2885" t="s">
        <v>13305</v>
      </c>
      <c r="Q2885" t="s">
        <v>13306</v>
      </c>
      <c r="R2885">
        <v>10</v>
      </c>
      <c r="S2885">
        <v>16</v>
      </c>
    </row>
    <row r="2886" spans="1:19" x14ac:dyDescent="0.35">
      <c r="A2886">
        <v>1952</v>
      </c>
      <c r="B2886" t="s">
        <v>13447</v>
      </c>
      <c r="C2886" t="s">
        <v>20</v>
      </c>
      <c r="D2886" t="s">
        <v>13455</v>
      </c>
      <c r="E2886" t="s">
        <v>13449</v>
      </c>
      <c r="F2886" s="1">
        <v>14300</v>
      </c>
      <c r="G2886" t="s">
        <v>2241</v>
      </c>
      <c r="H2886" t="s">
        <v>13456</v>
      </c>
      <c r="I2886" t="s">
        <v>5235</v>
      </c>
      <c r="J2886" t="s">
        <v>13457</v>
      </c>
      <c r="M2886" t="s">
        <v>2374</v>
      </c>
      <c r="N2886" t="s">
        <v>13453</v>
      </c>
      <c r="O2886" t="s">
        <v>5238</v>
      </c>
      <c r="P2886" t="s">
        <v>13453</v>
      </c>
      <c r="Q2886" t="s">
        <v>13454</v>
      </c>
      <c r="R2886">
        <v>10</v>
      </c>
      <c r="S2886">
        <v>16</v>
      </c>
    </row>
    <row r="2887" spans="1:19" x14ac:dyDescent="0.35">
      <c r="A2887">
        <v>1172</v>
      </c>
      <c r="B2887" t="s">
        <v>13458</v>
      </c>
      <c r="C2887" t="s">
        <v>42</v>
      </c>
      <c r="D2887" t="s">
        <v>13459</v>
      </c>
      <c r="E2887" t="e" cm="1">
        <f t="array" ref="E2887">- GUAIFENESIN. OXOMEMAZINE HYDROCHLORIDE</f>
        <v>#NAME?</v>
      </c>
      <c r="F2887" s="1">
        <v>48200</v>
      </c>
      <c r="H2887" t="s">
        <v>13460</v>
      </c>
      <c r="I2887" t="s">
        <v>13461</v>
      </c>
      <c r="J2887" t="s">
        <v>846</v>
      </c>
      <c r="M2887" t="s">
        <v>271</v>
      </c>
      <c r="N2887" t="s">
        <v>13462</v>
      </c>
      <c r="O2887" t="s">
        <v>13463</v>
      </c>
      <c r="P2887" t="s">
        <v>13464</v>
      </c>
      <c r="Q2887" t="s">
        <v>13465</v>
      </c>
      <c r="R2887">
        <v>10</v>
      </c>
      <c r="S2887">
        <v>16</v>
      </c>
    </row>
    <row r="2888" spans="1:19" x14ac:dyDescent="0.35">
      <c r="A2888">
        <v>8009</v>
      </c>
      <c r="B2888" t="s">
        <v>13296</v>
      </c>
      <c r="C2888" t="s">
        <v>20</v>
      </c>
      <c r="D2888" t="s">
        <v>13466</v>
      </c>
      <c r="E2888" t="s">
        <v>13298</v>
      </c>
      <c r="F2888" t="s">
        <v>13467</v>
      </c>
      <c r="G2888" t="s">
        <v>13300</v>
      </c>
      <c r="H2888" t="s">
        <v>13301</v>
      </c>
      <c r="I2888" t="s">
        <v>3392</v>
      </c>
      <c r="J2888" t="s">
        <v>7072</v>
      </c>
      <c r="L2888" t="s">
        <v>13303</v>
      </c>
      <c r="M2888" t="s">
        <v>2374</v>
      </c>
      <c r="N2888" t="s">
        <v>13304</v>
      </c>
      <c r="O2888" t="s">
        <v>3396</v>
      </c>
      <c r="P2888" t="s">
        <v>13305</v>
      </c>
      <c r="Q2888" t="s">
        <v>13306</v>
      </c>
      <c r="R2888">
        <v>10</v>
      </c>
      <c r="S2888">
        <v>16</v>
      </c>
    </row>
    <row r="2889" spans="1:19" x14ac:dyDescent="0.35">
      <c r="A2889">
        <v>8010</v>
      </c>
      <c r="B2889" t="s">
        <v>13296</v>
      </c>
      <c r="C2889" t="s">
        <v>20</v>
      </c>
      <c r="D2889" t="s">
        <v>13466</v>
      </c>
      <c r="E2889" t="s">
        <v>13298</v>
      </c>
      <c r="F2889" t="s">
        <v>13467</v>
      </c>
      <c r="G2889" t="s">
        <v>13300</v>
      </c>
      <c r="H2889" t="s">
        <v>13301</v>
      </c>
      <c r="I2889" t="s">
        <v>3392</v>
      </c>
      <c r="J2889" t="s">
        <v>7072</v>
      </c>
      <c r="L2889" t="s">
        <v>13303</v>
      </c>
      <c r="M2889" t="s">
        <v>2374</v>
      </c>
      <c r="N2889" t="s">
        <v>13304</v>
      </c>
      <c r="O2889" t="s">
        <v>3396</v>
      </c>
      <c r="P2889" t="s">
        <v>13305</v>
      </c>
      <c r="Q2889" t="s">
        <v>13306</v>
      </c>
      <c r="R2889">
        <v>10</v>
      </c>
      <c r="S2889">
        <v>16</v>
      </c>
    </row>
    <row r="2890" spans="1:19" x14ac:dyDescent="0.35">
      <c r="A2890">
        <v>8011</v>
      </c>
      <c r="B2890" t="s">
        <v>13296</v>
      </c>
      <c r="C2890" t="s">
        <v>20</v>
      </c>
      <c r="D2890" t="s">
        <v>13468</v>
      </c>
      <c r="E2890" t="s">
        <v>13298</v>
      </c>
      <c r="F2890" t="s">
        <v>13469</v>
      </c>
      <c r="G2890" t="s">
        <v>13300</v>
      </c>
      <c r="H2890" t="s">
        <v>13301</v>
      </c>
      <c r="I2890" t="s">
        <v>3392</v>
      </c>
      <c r="J2890" t="s">
        <v>13470</v>
      </c>
      <c r="L2890" t="s">
        <v>13303</v>
      </c>
      <c r="M2890" t="s">
        <v>2374</v>
      </c>
      <c r="N2890" t="s">
        <v>13304</v>
      </c>
      <c r="O2890" t="s">
        <v>3396</v>
      </c>
      <c r="P2890" t="s">
        <v>13305</v>
      </c>
      <c r="Q2890" t="s">
        <v>13306</v>
      </c>
      <c r="R2890">
        <v>10</v>
      </c>
      <c r="S2890">
        <v>16</v>
      </c>
    </row>
    <row r="2891" spans="1:19" x14ac:dyDescent="0.35">
      <c r="A2891">
        <v>8012</v>
      </c>
      <c r="B2891" t="s">
        <v>13296</v>
      </c>
      <c r="C2891" t="s">
        <v>20</v>
      </c>
      <c r="D2891" t="s">
        <v>13468</v>
      </c>
      <c r="E2891" t="s">
        <v>13298</v>
      </c>
      <c r="F2891" t="s">
        <v>13469</v>
      </c>
      <c r="G2891" t="s">
        <v>13300</v>
      </c>
      <c r="H2891" t="s">
        <v>13301</v>
      </c>
      <c r="I2891" t="s">
        <v>3392</v>
      </c>
      <c r="J2891" t="s">
        <v>13470</v>
      </c>
      <c r="L2891" t="s">
        <v>13303</v>
      </c>
      <c r="M2891" t="s">
        <v>2374</v>
      </c>
      <c r="N2891" t="s">
        <v>13304</v>
      </c>
      <c r="O2891" t="s">
        <v>3396</v>
      </c>
      <c r="P2891" t="s">
        <v>13305</v>
      </c>
      <c r="Q2891" t="s">
        <v>13306</v>
      </c>
      <c r="R2891">
        <v>10</v>
      </c>
      <c r="S2891">
        <v>16</v>
      </c>
    </row>
    <row r="2892" spans="1:19" x14ac:dyDescent="0.35">
      <c r="A2892">
        <v>9858</v>
      </c>
      <c r="B2892" t="s">
        <v>13471</v>
      </c>
      <c r="C2892" t="s">
        <v>42</v>
      </c>
      <c r="D2892" t="s">
        <v>13472</v>
      </c>
      <c r="E2892" t="e" cm="1">
        <f t="array" ref="E2892">- SIMVASTATIN</f>
        <v>#NAME?</v>
      </c>
      <c r="F2892" t="s">
        <v>13473</v>
      </c>
      <c r="G2892" t="s">
        <v>13474</v>
      </c>
      <c r="H2892" t="s">
        <v>13475</v>
      </c>
      <c r="I2892" t="s">
        <v>13476</v>
      </c>
      <c r="J2892" t="s">
        <v>13477</v>
      </c>
      <c r="K2892" t="s">
        <v>13478</v>
      </c>
      <c r="L2892" t="s">
        <v>13479</v>
      </c>
      <c r="M2892" t="s">
        <v>46</v>
      </c>
      <c r="N2892" t="s">
        <v>1150</v>
      </c>
      <c r="O2892" t="s">
        <v>13480</v>
      </c>
      <c r="P2892" t="s">
        <v>13481</v>
      </c>
      <c r="Q2892" t="s">
        <v>13482</v>
      </c>
      <c r="R2892">
        <v>10</v>
      </c>
      <c r="S2892">
        <v>16</v>
      </c>
    </row>
    <row r="2893" spans="1:19" x14ac:dyDescent="0.35">
      <c r="A2893">
        <v>27</v>
      </c>
      <c r="B2893" t="s">
        <v>2902</v>
      </c>
      <c r="C2893" t="s">
        <v>42</v>
      </c>
      <c r="D2893" t="s">
        <v>12630</v>
      </c>
      <c r="E2893" t="e" cm="1">
        <f t="array" ref="E2893">- SILDENAFIL CITRATE</f>
        <v>#NAME?</v>
      </c>
      <c r="F2893" t="s">
        <v>12631</v>
      </c>
      <c r="G2893" t="s">
        <v>8185</v>
      </c>
      <c r="H2893" t="s">
        <v>3854</v>
      </c>
      <c r="I2893" t="s">
        <v>8186</v>
      </c>
      <c r="J2893" t="s">
        <v>12632</v>
      </c>
      <c r="L2893" t="s">
        <v>8188</v>
      </c>
      <c r="M2893" t="s">
        <v>46</v>
      </c>
      <c r="N2893" t="s">
        <v>2519</v>
      </c>
      <c r="O2893" t="s">
        <v>8189</v>
      </c>
      <c r="P2893" t="s">
        <v>12633</v>
      </c>
      <c r="Q2893" t="s">
        <v>13295</v>
      </c>
      <c r="R2893">
        <v>10</v>
      </c>
      <c r="S2893">
        <v>16</v>
      </c>
    </row>
    <row r="2894" spans="1:19" x14ac:dyDescent="0.35">
      <c r="A2894">
        <v>1969</v>
      </c>
      <c r="B2894" t="s">
        <v>13483</v>
      </c>
      <c r="C2894" t="s">
        <v>20</v>
      </c>
      <c r="D2894" t="s">
        <v>13484</v>
      </c>
      <c r="E2894" t="s">
        <v>13485</v>
      </c>
      <c r="F2894" t="s">
        <v>13486</v>
      </c>
      <c r="J2894" t="s">
        <v>13487</v>
      </c>
      <c r="M2894" t="s">
        <v>63</v>
      </c>
      <c r="N2894" t="s">
        <v>13488</v>
      </c>
      <c r="P2894" t="s">
        <v>13489</v>
      </c>
      <c r="Q2894" t="s">
        <v>13490</v>
      </c>
      <c r="R2894">
        <v>10</v>
      </c>
      <c r="S2894">
        <v>16</v>
      </c>
    </row>
    <row r="2895" spans="1:19" x14ac:dyDescent="0.35">
      <c r="A2895">
        <v>1971</v>
      </c>
      <c r="B2895" t="s">
        <v>13483</v>
      </c>
      <c r="C2895" t="s">
        <v>20</v>
      </c>
      <c r="D2895" t="s">
        <v>13484</v>
      </c>
      <c r="E2895" t="s">
        <v>13485</v>
      </c>
      <c r="F2895" t="s">
        <v>13486</v>
      </c>
      <c r="J2895" t="s">
        <v>13487</v>
      </c>
      <c r="M2895" t="s">
        <v>63</v>
      </c>
      <c r="N2895" t="s">
        <v>13488</v>
      </c>
      <c r="P2895" t="s">
        <v>13489</v>
      </c>
      <c r="Q2895" t="s">
        <v>13490</v>
      </c>
      <c r="R2895">
        <v>10</v>
      </c>
      <c r="S2895">
        <v>16</v>
      </c>
    </row>
    <row r="2896" spans="1:19" x14ac:dyDescent="0.35">
      <c r="A2896">
        <v>29</v>
      </c>
      <c r="B2896" t="s">
        <v>2902</v>
      </c>
      <c r="C2896" t="s">
        <v>42</v>
      </c>
      <c r="D2896" t="s">
        <v>13491</v>
      </c>
      <c r="E2896" t="e" cm="1">
        <f t="array" ref="E2896">- SILDENAFIL CITRATE</f>
        <v>#NAME?</v>
      </c>
      <c r="F2896" t="s">
        <v>13492</v>
      </c>
      <c r="G2896" t="s">
        <v>8185</v>
      </c>
      <c r="H2896" t="s">
        <v>3854</v>
      </c>
      <c r="I2896" t="s">
        <v>8186</v>
      </c>
      <c r="J2896" t="s">
        <v>9661</v>
      </c>
      <c r="L2896" t="s">
        <v>8188</v>
      </c>
      <c r="M2896" t="s">
        <v>46</v>
      </c>
      <c r="N2896" t="s">
        <v>2519</v>
      </c>
      <c r="O2896" t="s">
        <v>8189</v>
      </c>
      <c r="P2896" t="s">
        <v>13493</v>
      </c>
      <c r="Q2896" t="s">
        <v>13494</v>
      </c>
      <c r="R2896">
        <v>10</v>
      </c>
      <c r="S2896">
        <v>16</v>
      </c>
    </row>
    <row r="2897" spans="1:19" x14ac:dyDescent="0.35">
      <c r="A2897">
        <v>9848</v>
      </c>
      <c r="B2897" t="s">
        <v>13495</v>
      </c>
      <c r="C2897" t="s">
        <v>42</v>
      </c>
      <c r="D2897" t="s">
        <v>13496</v>
      </c>
      <c r="E2897" t="e" cm="1">
        <f t="array" ref="E2897">- SIMVASTATIN</f>
        <v>#NAME?</v>
      </c>
      <c r="F2897" t="s">
        <v>13497</v>
      </c>
      <c r="G2897" t="s">
        <v>12760</v>
      </c>
      <c r="H2897" t="s">
        <v>6718</v>
      </c>
      <c r="I2897" t="s">
        <v>12761</v>
      </c>
      <c r="J2897" t="s">
        <v>13498</v>
      </c>
      <c r="K2897" t="s">
        <v>13499</v>
      </c>
      <c r="L2897" t="s">
        <v>12764</v>
      </c>
      <c r="M2897" t="s">
        <v>46</v>
      </c>
      <c r="N2897" t="s">
        <v>1150</v>
      </c>
      <c r="O2897" t="s">
        <v>12712</v>
      </c>
      <c r="P2897" t="s">
        <v>13500</v>
      </c>
      <c r="Q2897" t="s">
        <v>13501</v>
      </c>
      <c r="R2897">
        <v>10</v>
      </c>
      <c r="S2897">
        <v>16</v>
      </c>
    </row>
    <row r="2898" spans="1:19" x14ac:dyDescent="0.35">
      <c r="A2898">
        <v>4145</v>
      </c>
      <c r="B2898" t="s">
        <v>13502</v>
      </c>
      <c r="C2898" t="s">
        <v>42</v>
      </c>
      <c r="D2898" t="s">
        <v>13503</v>
      </c>
      <c r="E2898" t="e" cm="1">
        <f t="array" ref="E2898">- LORATADINE</f>
        <v>#NAME?</v>
      </c>
      <c r="F2898" s="1">
        <v>15300</v>
      </c>
      <c r="G2898" t="s">
        <v>4420</v>
      </c>
      <c r="H2898" t="s">
        <v>9221</v>
      </c>
      <c r="I2898" t="s">
        <v>9222</v>
      </c>
      <c r="J2898" t="s">
        <v>2478</v>
      </c>
      <c r="K2898" t="s">
        <v>9223</v>
      </c>
      <c r="L2898" t="s">
        <v>9224</v>
      </c>
      <c r="M2898" t="s">
        <v>46</v>
      </c>
      <c r="N2898" t="s">
        <v>9225</v>
      </c>
      <c r="O2898" t="s">
        <v>9226</v>
      </c>
      <c r="P2898" t="s">
        <v>13504</v>
      </c>
      <c r="Q2898" t="s">
        <v>13505</v>
      </c>
      <c r="R2898">
        <v>10</v>
      </c>
      <c r="S2898">
        <v>16</v>
      </c>
    </row>
    <row r="2899" spans="1:19" x14ac:dyDescent="0.35">
      <c r="A2899">
        <v>4144</v>
      </c>
      <c r="B2899" t="s">
        <v>13502</v>
      </c>
      <c r="C2899" t="s">
        <v>42</v>
      </c>
      <c r="D2899" t="s">
        <v>13503</v>
      </c>
      <c r="E2899" t="e" cm="1">
        <f t="array" ref="E2899">- LORATADINE</f>
        <v>#NAME?</v>
      </c>
      <c r="F2899" s="1">
        <v>15300</v>
      </c>
      <c r="G2899" t="s">
        <v>4420</v>
      </c>
      <c r="H2899" t="s">
        <v>9221</v>
      </c>
      <c r="I2899" t="s">
        <v>9222</v>
      </c>
      <c r="J2899" t="s">
        <v>2478</v>
      </c>
      <c r="K2899" t="s">
        <v>9223</v>
      </c>
      <c r="L2899" t="s">
        <v>9224</v>
      </c>
      <c r="M2899" t="s">
        <v>46</v>
      </c>
      <c r="N2899" t="s">
        <v>9225</v>
      </c>
      <c r="O2899" t="s">
        <v>9226</v>
      </c>
      <c r="P2899" t="s">
        <v>13504</v>
      </c>
      <c r="Q2899" t="s">
        <v>13505</v>
      </c>
      <c r="R2899">
        <v>10</v>
      </c>
      <c r="S2899">
        <v>16</v>
      </c>
    </row>
    <row r="2900" spans="1:19" x14ac:dyDescent="0.35">
      <c r="A2900">
        <v>4143</v>
      </c>
      <c r="B2900" t="s">
        <v>13502</v>
      </c>
      <c r="C2900" t="s">
        <v>42</v>
      </c>
      <c r="D2900" t="s">
        <v>13503</v>
      </c>
      <c r="E2900" t="e" cm="1">
        <f t="array" ref="E2900">- LORATADINE</f>
        <v>#NAME?</v>
      </c>
      <c r="F2900" s="1">
        <v>15300</v>
      </c>
      <c r="G2900" t="s">
        <v>4420</v>
      </c>
      <c r="H2900" t="s">
        <v>9221</v>
      </c>
      <c r="I2900" t="s">
        <v>9222</v>
      </c>
      <c r="J2900" t="s">
        <v>2478</v>
      </c>
      <c r="K2900" t="s">
        <v>9223</v>
      </c>
      <c r="L2900" t="s">
        <v>9224</v>
      </c>
      <c r="M2900" t="s">
        <v>46</v>
      </c>
      <c r="N2900" t="s">
        <v>9225</v>
      </c>
      <c r="O2900" t="s">
        <v>9226</v>
      </c>
      <c r="P2900" t="s">
        <v>13504</v>
      </c>
      <c r="Q2900" t="s">
        <v>13505</v>
      </c>
      <c r="R2900">
        <v>10</v>
      </c>
      <c r="S2900">
        <v>16</v>
      </c>
    </row>
    <row r="2901" spans="1:19" x14ac:dyDescent="0.35">
      <c r="A2901">
        <v>9841</v>
      </c>
      <c r="B2901" t="s">
        <v>13356</v>
      </c>
      <c r="C2901" t="s">
        <v>42</v>
      </c>
      <c r="D2901" t="s">
        <v>13357</v>
      </c>
      <c r="E2901" t="e" cm="1">
        <f t="array" ref="E2901">- ROSUVASTATIN CALCIUM</f>
        <v>#NAME?</v>
      </c>
      <c r="F2901" t="s">
        <v>13358</v>
      </c>
      <c r="G2901" t="s">
        <v>5301</v>
      </c>
      <c r="H2901" t="s">
        <v>13359</v>
      </c>
      <c r="I2901" t="s">
        <v>13360</v>
      </c>
      <c r="J2901" t="s">
        <v>13361</v>
      </c>
      <c r="K2901" t="s">
        <v>13362</v>
      </c>
      <c r="L2901" t="s">
        <v>13363</v>
      </c>
      <c r="M2901" t="s">
        <v>46</v>
      </c>
      <c r="N2901" t="s">
        <v>2308</v>
      </c>
      <c r="O2901" t="s">
        <v>13364</v>
      </c>
      <c r="P2901" t="s">
        <v>13365</v>
      </c>
      <c r="Q2901" t="s">
        <v>13366</v>
      </c>
      <c r="R2901">
        <v>10</v>
      </c>
      <c r="S2901">
        <v>16</v>
      </c>
    </row>
    <row r="2902" spans="1:19" x14ac:dyDescent="0.35">
      <c r="A2902">
        <v>1941</v>
      </c>
      <c r="B2902" t="s">
        <v>13312</v>
      </c>
      <c r="C2902" t="s">
        <v>20</v>
      </c>
      <c r="D2902" t="s">
        <v>13313</v>
      </c>
      <c r="E2902" t="s">
        <v>13314</v>
      </c>
      <c r="F2902" t="s">
        <v>13315</v>
      </c>
      <c r="H2902" t="s">
        <v>13316</v>
      </c>
      <c r="I2902" t="s">
        <v>13317</v>
      </c>
      <c r="J2902" t="s">
        <v>334</v>
      </c>
      <c r="M2902" t="s">
        <v>271</v>
      </c>
      <c r="N2902" t="s">
        <v>13318</v>
      </c>
      <c r="O2902" t="s">
        <v>13319</v>
      </c>
      <c r="P2902" t="s">
        <v>13318</v>
      </c>
      <c r="Q2902" t="s">
        <v>13320</v>
      </c>
      <c r="R2902">
        <v>10</v>
      </c>
      <c r="S2902">
        <v>16</v>
      </c>
    </row>
    <row r="2903" spans="1:19" x14ac:dyDescent="0.35">
      <c r="A2903">
        <v>7050</v>
      </c>
      <c r="B2903" t="s">
        <v>1803</v>
      </c>
      <c r="C2903" t="s">
        <v>42</v>
      </c>
      <c r="D2903" t="s">
        <v>12077</v>
      </c>
      <c r="E2903" t="e" cm="1">
        <f t="array" ref="E2903">- TIZANIDINE HYDROCHLORIDE</f>
        <v>#NAME?</v>
      </c>
      <c r="F2903" t="s">
        <v>12078</v>
      </c>
      <c r="G2903" t="s">
        <v>11845</v>
      </c>
      <c r="H2903" t="s">
        <v>1322</v>
      </c>
      <c r="I2903" t="s">
        <v>11846</v>
      </c>
      <c r="J2903" t="s">
        <v>12079</v>
      </c>
      <c r="M2903" t="s">
        <v>46</v>
      </c>
      <c r="N2903" t="s">
        <v>1806</v>
      </c>
      <c r="O2903" t="s">
        <v>11352</v>
      </c>
      <c r="P2903" t="s">
        <v>12048</v>
      </c>
      <c r="Q2903" t="s">
        <v>13050</v>
      </c>
      <c r="R2903">
        <v>10</v>
      </c>
      <c r="S2903">
        <v>16</v>
      </c>
    </row>
    <row r="2904" spans="1:19" x14ac:dyDescent="0.35">
      <c r="A2904">
        <v>4077</v>
      </c>
      <c r="B2904" t="s">
        <v>7447</v>
      </c>
      <c r="C2904" t="s">
        <v>42</v>
      </c>
      <c r="D2904" t="s">
        <v>7448</v>
      </c>
      <c r="E2904" t="e" cm="1">
        <f t="array" ref="E2904">- DEXAMETHASONE. DEXCHLORPHENIRAMINE MALEATE</f>
        <v>#NAME?</v>
      </c>
      <c r="F2904" t="s">
        <v>7449</v>
      </c>
      <c r="G2904" t="s">
        <v>5033</v>
      </c>
      <c r="H2904" t="s">
        <v>7450</v>
      </c>
      <c r="I2904" t="s">
        <v>7451</v>
      </c>
      <c r="J2904" t="s">
        <v>727</v>
      </c>
      <c r="K2904" t="s">
        <v>7452</v>
      </c>
      <c r="L2904" t="s">
        <v>7453</v>
      </c>
      <c r="M2904" t="s">
        <v>291</v>
      </c>
      <c r="N2904" t="s">
        <v>9152</v>
      </c>
      <c r="O2904" t="s">
        <v>7454</v>
      </c>
      <c r="P2904" t="s">
        <v>7455</v>
      </c>
      <c r="Q2904" t="s">
        <v>13506</v>
      </c>
      <c r="R2904">
        <v>10</v>
      </c>
      <c r="S2904">
        <v>16</v>
      </c>
    </row>
    <row r="2905" spans="1:19" x14ac:dyDescent="0.35">
      <c r="A2905">
        <v>666</v>
      </c>
      <c r="B2905" t="s">
        <v>13507</v>
      </c>
      <c r="C2905" t="s">
        <v>20</v>
      </c>
      <c r="D2905" t="s">
        <v>13508</v>
      </c>
      <c r="E2905" t="s">
        <v>13509</v>
      </c>
      <c r="F2905" s="1">
        <v>12800</v>
      </c>
      <c r="J2905" t="s">
        <v>13510</v>
      </c>
      <c r="M2905" t="s">
        <v>2115</v>
      </c>
      <c r="N2905" t="s">
        <v>13511</v>
      </c>
      <c r="P2905" t="s">
        <v>13512</v>
      </c>
      <c r="Q2905" t="s">
        <v>13513</v>
      </c>
      <c r="R2905">
        <v>10</v>
      </c>
      <c r="S2905">
        <v>16</v>
      </c>
    </row>
    <row r="2906" spans="1:19" x14ac:dyDescent="0.35">
      <c r="A2906">
        <v>5678</v>
      </c>
      <c r="B2906" t="s">
        <v>13514</v>
      </c>
      <c r="C2906" t="s">
        <v>42</v>
      </c>
      <c r="D2906" t="s">
        <v>13515</v>
      </c>
      <c r="E2906" t="e" cm="1">
        <f t="array" ref="E2906">- SULFAMETHOXAZOLE</f>
        <v>#NAME?</v>
      </c>
      <c r="F2906" t="s">
        <v>13516</v>
      </c>
      <c r="G2906" t="s">
        <v>4045</v>
      </c>
      <c r="H2906" t="s">
        <v>13517</v>
      </c>
      <c r="I2906" t="s">
        <v>13518</v>
      </c>
      <c r="J2906" t="s">
        <v>334</v>
      </c>
      <c r="K2906" t="s">
        <v>13519</v>
      </c>
      <c r="L2906" t="s">
        <v>13520</v>
      </c>
      <c r="M2906" t="s">
        <v>340</v>
      </c>
      <c r="N2906" t="s">
        <v>478</v>
      </c>
      <c r="O2906" t="s">
        <v>13521</v>
      </c>
      <c r="P2906" t="s">
        <v>13522</v>
      </c>
      <c r="Q2906" t="s">
        <v>13523</v>
      </c>
      <c r="R2906">
        <v>10</v>
      </c>
      <c r="S2906">
        <v>16</v>
      </c>
    </row>
    <row r="2907" spans="1:19" x14ac:dyDescent="0.35">
      <c r="A2907">
        <v>2667</v>
      </c>
      <c r="B2907" t="s">
        <v>13524</v>
      </c>
      <c r="C2907" t="s">
        <v>42</v>
      </c>
      <c r="D2907" t="s">
        <v>13525</v>
      </c>
      <c r="E2907" t="e" cm="1">
        <f t="array" ref="E2907">- PARACETAMOL</f>
        <v>#NAME?</v>
      </c>
      <c r="F2907" t="s">
        <v>13526</v>
      </c>
      <c r="H2907" t="s">
        <v>12545</v>
      </c>
      <c r="I2907" t="s">
        <v>12546</v>
      </c>
      <c r="L2907" t="s">
        <v>270</v>
      </c>
      <c r="M2907" t="s">
        <v>720</v>
      </c>
      <c r="N2907" t="s">
        <v>584</v>
      </c>
      <c r="O2907" t="s">
        <v>12547</v>
      </c>
      <c r="P2907" t="s">
        <v>12548</v>
      </c>
      <c r="Q2907" t="s">
        <v>12549</v>
      </c>
      <c r="R2907">
        <v>10</v>
      </c>
      <c r="S2907">
        <v>16</v>
      </c>
    </row>
    <row r="2908" spans="1:19" x14ac:dyDescent="0.35">
      <c r="A2908">
        <v>2508</v>
      </c>
      <c r="B2908" t="s">
        <v>13527</v>
      </c>
      <c r="C2908" t="s">
        <v>42</v>
      </c>
      <c r="D2908" t="s">
        <v>13528</v>
      </c>
      <c r="E2908" t="e" cm="1">
        <f t="array" ref="E2908">- CYANOCOBALAMIN</f>
        <v>#NAME?</v>
      </c>
      <c r="F2908" t="s">
        <v>13529</v>
      </c>
      <c r="G2908" t="s">
        <v>4640</v>
      </c>
      <c r="H2908" t="s">
        <v>13530</v>
      </c>
      <c r="I2908" t="s">
        <v>13531</v>
      </c>
      <c r="J2908" t="s">
        <v>515</v>
      </c>
      <c r="K2908" t="s">
        <v>13532</v>
      </c>
      <c r="L2908" t="s">
        <v>321</v>
      </c>
      <c r="M2908" t="s">
        <v>291</v>
      </c>
      <c r="N2908" t="s">
        <v>677</v>
      </c>
      <c r="O2908" t="s">
        <v>13533</v>
      </c>
      <c r="P2908" t="s">
        <v>13534</v>
      </c>
      <c r="Q2908" t="s">
        <v>13535</v>
      </c>
      <c r="R2908">
        <v>10</v>
      </c>
      <c r="S2908">
        <v>16</v>
      </c>
    </row>
    <row r="2909" spans="1:19" x14ac:dyDescent="0.35">
      <c r="A2909">
        <v>2668</v>
      </c>
      <c r="B2909" t="s">
        <v>13524</v>
      </c>
      <c r="C2909" t="s">
        <v>42</v>
      </c>
      <c r="D2909" t="s">
        <v>13525</v>
      </c>
      <c r="E2909" t="e" cm="1">
        <f t="array" ref="E2909">- PARACETAMOL</f>
        <v>#NAME?</v>
      </c>
      <c r="F2909" t="s">
        <v>13526</v>
      </c>
      <c r="H2909" t="s">
        <v>12545</v>
      </c>
      <c r="I2909" t="s">
        <v>12546</v>
      </c>
      <c r="L2909" t="s">
        <v>270</v>
      </c>
      <c r="M2909" t="s">
        <v>720</v>
      </c>
      <c r="N2909" t="s">
        <v>584</v>
      </c>
      <c r="O2909" t="s">
        <v>12547</v>
      </c>
      <c r="P2909" t="s">
        <v>12548</v>
      </c>
      <c r="Q2909" t="s">
        <v>12549</v>
      </c>
      <c r="R2909">
        <v>10</v>
      </c>
      <c r="S2909">
        <v>16</v>
      </c>
    </row>
    <row r="2910" spans="1:19" x14ac:dyDescent="0.35">
      <c r="A2910">
        <v>1518</v>
      </c>
      <c r="B2910" t="s">
        <v>13536</v>
      </c>
      <c r="C2910" t="s">
        <v>42</v>
      </c>
      <c r="D2910" t="s">
        <v>13537</v>
      </c>
      <c r="E2910" t="e" cm="1">
        <f t="array" ref="E2910">- AMMONIUM CHLORIDE</f>
        <v>#NAME?</v>
      </c>
      <c r="F2910" t="s">
        <v>13538</v>
      </c>
      <c r="G2910" t="s">
        <v>2241</v>
      </c>
      <c r="H2910" t="s">
        <v>13539</v>
      </c>
      <c r="I2910" t="s">
        <v>13540</v>
      </c>
      <c r="J2910" t="s">
        <v>374</v>
      </c>
      <c r="K2910" t="s">
        <v>2858</v>
      </c>
      <c r="L2910" t="s">
        <v>13541</v>
      </c>
      <c r="M2910" t="s">
        <v>271</v>
      </c>
      <c r="N2910" t="s">
        <v>1672</v>
      </c>
      <c r="O2910" t="s">
        <v>13542</v>
      </c>
      <c r="P2910" t="s">
        <v>13543</v>
      </c>
      <c r="Q2910" t="s">
        <v>13544</v>
      </c>
      <c r="R2910">
        <v>10</v>
      </c>
      <c r="S2910">
        <v>16</v>
      </c>
    </row>
    <row r="2911" spans="1:19" x14ac:dyDescent="0.35">
      <c r="A2911">
        <v>1559</v>
      </c>
      <c r="B2911" t="s">
        <v>10022</v>
      </c>
      <c r="C2911" t="s">
        <v>42</v>
      </c>
      <c r="D2911" t="s">
        <v>13545</v>
      </c>
      <c r="E2911" t="e" cm="1">
        <f t="array" ref="E2911">- GUAIFENESIN. OXOMEMAZINE</f>
        <v>#NAME?</v>
      </c>
      <c r="F2911" t="s">
        <v>13546</v>
      </c>
      <c r="H2911" t="s">
        <v>13547</v>
      </c>
      <c r="I2911" t="s">
        <v>13548</v>
      </c>
      <c r="J2911" t="s">
        <v>334</v>
      </c>
      <c r="K2911" t="s">
        <v>13549</v>
      </c>
      <c r="L2911" t="s">
        <v>13550</v>
      </c>
      <c r="M2911" t="s">
        <v>271</v>
      </c>
      <c r="N2911" t="s">
        <v>10025</v>
      </c>
      <c r="O2911" t="s">
        <v>13551</v>
      </c>
      <c r="P2911" t="s">
        <v>10026</v>
      </c>
      <c r="Q2911" t="s">
        <v>13552</v>
      </c>
      <c r="R2911">
        <v>10</v>
      </c>
      <c r="S2911">
        <v>16</v>
      </c>
    </row>
    <row r="2912" spans="1:19" x14ac:dyDescent="0.35">
      <c r="A2912">
        <v>1560</v>
      </c>
      <c r="B2912" t="s">
        <v>10022</v>
      </c>
      <c r="C2912" t="s">
        <v>42</v>
      </c>
      <c r="D2912" t="s">
        <v>13545</v>
      </c>
      <c r="E2912" t="e" cm="1">
        <f t="array" ref="E2912">- GUAIFENESIN. OXOMEMAZINE</f>
        <v>#NAME?</v>
      </c>
      <c r="F2912" t="s">
        <v>13546</v>
      </c>
      <c r="H2912" t="s">
        <v>13547</v>
      </c>
      <c r="I2912" t="s">
        <v>13548</v>
      </c>
      <c r="J2912" t="s">
        <v>334</v>
      </c>
      <c r="K2912" t="s">
        <v>13549</v>
      </c>
      <c r="L2912" t="s">
        <v>13550</v>
      </c>
      <c r="M2912" t="s">
        <v>271</v>
      </c>
      <c r="N2912" t="s">
        <v>10025</v>
      </c>
      <c r="O2912" t="s">
        <v>13551</v>
      </c>
      <c r="P2912" t="s">
        <v>10026</v>
      </c>
      <c r="Q2912" t="s">
        <v>13552</v>
      </c>
      <c r="R2912">
        <v>10</v>
      </c>
      <c r="S2912">
        <v>16</v>
      </c>
    </row>
    <row r="2913" spans="1:19" x14ac:dyDescent="0.35">
      <c r="A2913">
        <v>5683</v>
      </c>
      <c r="B2913" t="s">
        <v>13553</v>
      </c>
      <c r="C2913" t="s">
        <v>42</v>
      </c>
      <c r="D2913" t="s">
        <v>13554</v>
      </c>
      <c r="E2913" t="e" cm="1">
        <f t="array" ref="E2913">- METRONIDAZOLE</f>
        <v>#NAME?</v>
      </c>
      <c r="F2913" t="s">
        <v>13555</v>
      </c>
      <c r="G2913" t="s">
        <v>13556</v>
      </c>
      <c r="H2913" t="s">
        <v>13557</v>
      </c>
      <c r="I2913" t="s">
        <v>13558</v>
      </c>
      <c r="J2913" t="s">
        <v>13559</v>
      </c>
      <c r="K2913" t="s">
        <v>3952</v>
      </c>
      <c r="L2913" t="s">
        <v>13560</v>
      </c>
      <c r="M2913" t="s">
        <v>8891</v>
      </c>
      <c r="N2913" t="s">
        <v>1049</v>
      </c>
      <c r="O2913" t="s">
        <v>13088</v>
      </c>
      <c r="P2913" t="s">
        <v>13561</v>
      </c>
      <c r="Q2913" t="s">
        <v>13562</v>
      </c>
      <c r="R2913">
        <v>10</v>
      </c>
      <c r="S2913">
        <v>16</v>
      </c>
    </row>
    <row r="2914" spans="1:19" x14ac:dyDescent="0.35">
      <c r="A2914">
        <v>2666</v>
      </c>
      <c r="B2914" t="s">
        <v>13563</v>
      </c>
      <c r="C2914" t="s">
        <v>42</v>
      </c>
      <c r="D2914" t="s">
        <v>13564</v>
      </c>
      <c r="E2914" t="e" cm="1">
        <f t="array" ref="E2914">- PARACETAMOL</f>
        <v>#NAME?</v>
      </c>
      <c r="F2914" t="s">
        <v>13565</v>
      </c>
      <c r="G2914" t="s">
        <v>2241</v>
      </c>
      <c r="H2914" t="s">
        <v>13566</v>
      </c>
      <c r="I2914" t="s">
        <v>12450</v>
      </c>
      <c r="J2914" t="s">
        <v>334</v>
      </c>
      <c r="L2914" t="s">
        <v>12451</v>
      </c>
      <c r="M2914" t="s">
        <v>271</v>
      </c>
      <c r="N2914" t="s">
        <v>584</v>
      </c>
      <c r="O2914" t="s">
        <v>12452</v>
      </c>
      <c r="P2914" t="s">
        <v>12453</v>
      </c>
      <c r="Q2914" t="s">
        <v>13567</v>
      </c>
      <c r="R2914">
        <v>10</v>
      </c>
      <c r="S2914">
        <v>16</v>
      </c>
    </row>
    <row r="2915" spans="1:19" x14ac:dyDescent="0.35">
      <c r="A2915">
        <v>2670</v>
      </c>
      <c r="B2915" t="s">
        <v>12543</v>
      </c>
      <c r="C2915" t="s">
        <v>42</v>
      </c>
      <c r="D2915" t="s">
        <v>12544</v>
      </c>
      <c r="E2915" t="e" cm="1">
        <f t="array" ref="E2915">- PARACETAMOL</f>
        <v>#NAME?</v>
      </c>
      <c r="F2915" s="1">
        <v>11400</v>
      </c>
      <c r="H2915" t="s">
        <v>12545</v>
      </c>
      <c r="I2915" t="s">
        <v>12546</v>
      </c>
      <c r="L2915" t="s">
        <v>270</v>
      </c>
      <c r="M2915" t="s">
        <v>720</v>
      </c>
      <c r="N2915" t="s">
        <v>584</v>
      </c>
      <c r="O2915" t="s">
        <v>12547</v>
      </c>
      <c r="P2915" t="s">
        <v>12548</v>
      </c>
      <c r="Q2915" t="s">
        <v>12549</v>
      </c>
      <c r="R2915">
        <v>10</v>
      </c>
      <c r="S2915">
        <v>16</v>
      </c>
    </row>
    <row r="2916" spans="1:19" x14ac:dyDescent="0.35">
      <c r="A2916">
        <v>4497</v>
      </c>
      <c r="B2916" t="s">
        <v>13568</v>
      </c>
      <c r="C2916" t="s">
        <v>42</v>
      </c>
      <c r="D2916" t="s">
        <v>13569</v>
      </c>
      <c r="E2916" t="e" cm="1">
        <f t="array" ref="E2916">- NAPHAZOLINE HYDROCHLORIDE</f>
        <v>#NAME?</v>
      </c>
      <c r="F2916" t="s">
        <v>13570</v>
      </c>
      <c r="G2916" t="s">
        <v>13571</v>
      </c>
      <c r="H2916" t="s">
        <v>13572</v>
      </c>
      <c r="I2916" t="s">
        <v>11529</v>
      </c>
      <c r="J2916" t="s">
        <v>13573</v>
      </c>
      <c r="K2916" t="s">
        <v>13574</v>
      </c>
      <c r="L2916" t="s">
        <v>13575</v>
      </c>
      <c r="M2916" t="s">
        <v>824</v>
      </c>
      <c r="N2916" t="s">
        <v>10250</v>
      </c>
      <c r="O2916" t="s">
        <v>11532</v>
      </c>
      <c r="P2916" t="s">
        <v>13576</v>
      </c>
      <c r="Q2916" t="s">
        <v>13577</v>
      </c>
      <c r="R2916">
        <v>10</v>
      </c>
      <c r="S2916">
        <v>16</v>
      </c>
    </row>
    <row r="2917" spans="1:19" x14ac:dyDescent="0.35">
      <c r="A2917">
        <v>121</v>
      </c>
      <c r="B2917" t="s">
        <v>2902</v>
      </c>
      <c r="C2917" t="s">
        <v>42</v>
      </c>
      <c r="D2917" t="s">
        <v>13578</v>
      </c>
      <c r="E2917" t="e" cm="1">
        <f t="array" ref="E2917">- SILDENAFIL CITRATE</f>
        <v>#NAME?</v>
      </c>
      <c r="F2917" t="s">
        <v>13579</v>
      </c>
      <c r="G2917" t="s">
        <v>8185</v>
      </c>
      <c r="H2917" t="s">
        <v>3854</v>
      </c>
      <c r="I2917" t="s">
        <v>8186</v>
      </c>
      <c r="J2917" t="s">
        <v>9571</v>
      </c>
      <c r="L2917" t="s">
        <v>8188</v>
      </c>
      <c r="M2917" t="s">
        <v>46</v>
      </c>
      <c r="N2917" t="s">
        <v>2519</v>
      </c>
      <c r="O2917" t="s">
        <v>8189</v>
      </c>
      <c r="P2917" t="s">
        <v>13580</v>
      </c>
      <c r="Q2917" t="s">
        <v>13581</v>
      </c>
      <c r="R2917">
        <v>10</v>
      </c>
      <c r="S2917">
        <v>16</v>
      </c>
    </row>
    <row r="2918" spans="1:19" x14ac:dyDescent="0.35">
      <c r="A2918">
        <v>963</v>
      </c>
      <c r="B2918" t="s">
        <v>6163</v>
      </c>
      <c r="C2918" t="s">
        <v>42</v>
      </c>
      <c r="D2918" t="s">
        <v>6164</v>
      </c>
      <c r="E2918" t="e" cm="1">
        <f t="array" ref="E2918">- DEXTROMETHORPHAN HYDROBROMIDE. CHLORPHENAMINE MALEATE. GUAIFENESIN</f>
        <v>#NAME?</v>
      </c>
      <c r="F2918" t="s">
        <v>6165</v>
      </c>
      <c r="G2918" t="s">
        <v>6166</v>
      </c>
      <c r="H2918" t="s">
        <v>6167</v>
      </c>
      <c r="I2918" t="s">
        <v>6168</v>
      </c>
      <c r="J2918" t="s">
        <v>6169</v>
      </c>
      <c r="K2918" t="s">
        <v>6170</v>
      </c>
      <c r="L2918" t="s">
        <v>6171</v>
      </c>
      <c r="M2918" t="s">
        <v>46</v>
      </c>
      <c r="N2918" t="s">
        <v>13582</v>
      </c>
      <c r="O2918" t="s">
        <v>6172</v>
      </c>
      <c r="P2918" t="s">
        <v>6173</v>
      </c>
      <c r="Q2918" t="s">
        <v>13583</v>
      </c>
      <c r="R2918">
        <v>10</v>
      </c>
      <c r="S2918">
        <v>16</v>
      </c>
    </row>
    <row r="2919" spans="1:19" x14ac:dyDescent="0.35">
      <c r="A2919">
        <v>4498</v>
      </c>
      <c r="B2919" t="s">
        <v>13568</v>
      </c>
      <c r="C2919" t="s">
        <v>42</v>
      </c>
      <c r="D2919" t="s">
        <v>13569</v>
      </c>
      <c r="E2919" t="e" cm="1">
        <f t="array" ref="E2919">- NAPHAZOLINE HYDROCHLORIDE</f>
        <v>#NAME?</v>
      </c>
      <c r="F2919" t="s">
        <v>13570</v>
      </c>
      <c r="G2919" t="s">
        <v>13571</v>
      </c>
      <c r="H2919" t="s">
        <v>13572</v>
      </c>
      <c r="I2919" t="s">
        <v>11529</v>
      </c>
      <c r="J2919" t="s">
        <v>13573</v>
      </c>
      <c r="K2919" t="s">
        <v>13574</v>
      </c>
      <c r="L2919" t="s">
        <v>13575</v>
      </c>
      <c r="M2919" t="s">
        <v>824</v>
      </c>
      <c r="N2919" t="s">
        <v>10250</v>
      </c>
      <c r="O2919" t="s">
        <v>11532</v>
      </c>
      <c r="P2919" t="s">
        <v>13576</v>
      </c>
      <c r="Q2919" t="s">
        <v>13577</v>
      </c>
      <c r="R2919">
        <v>10</v>
      </c>
      <c r="S2919">
        <v>16</v>
      </c>
    </row>
    <row r="2920" spans="1:19" x14ac:dyDescent="0.35">
      <c r="A2920">
        <v>664</v>
      </c>
      <c r="B2920" t="s">
        <v>13507</v>
      </c>
      <c r="C2920" t="s">
        <v>20</v>
      </c>
      <c r="D2920" t="s">
        <v>13584</v>
      </c>
      <c r="E2920" t="s">
        <v>13509</v>
      </c>
      <c r="F2920" t="s">
        <v>13585</v>
      </c>
      <c r="H2920" t="s">
        <v>13586</v>
      </c>
      <c r="J2920" t="s">
        <v>3802</v>
      </c>
      <c r="M2920" t="s">
        <v>2115</v>
      </c>
      <c r="N2920" t="s">
        <v>13511</v>
      </c>
      <c r="P2920" t="s">
        <v>13512</v>
      </c>
      <c r="Q2920" t="s">
        <v>13513</v>
      </c>
      <c r="R2920">
        <v>10</v>
      </c>
      <c r="S2920">
        <v>16</v>
      </c>
    </row>
    <row r="2921" spans="1:19" x14ac:dyDescent="0.35">
      <c r="A2921">
        <v>4499</v>
      </c>
      <c r="B2921" t="s">
        <v>13568</v>
      </c>
      <c r="C2921" t="s">
        <v>42</v>
      </c>
      <c r="D2921" t="s">
        <v>13569</v>
      </c>
      <c r="E2921" t="e" cm="1">
        <f t="array" ref="E2921">- NAPHAZOLINE HYDROCHLORIDE</f>
        <v>#NAME?</v>
      </c>
      <c r="F2921" t="s">
        <v>13570</v>
      </c>
      <c r="G2921" t="s">
        <v>13571</v>
      </c>
      <c r="H2921" t="s">
        <v>13572</v>
      </c>
      <c r="I2921" t="s">
        <v>11529</v>
      </c>
      <c r="J2921" t="s">
        <v>13573</v>
      </c>
      <c r="K2921" t="s">
        <v>13574</v>
      </c>
      <c r="L2921" t="s">
        <v>13575</v>
      </c>
      <c r="M2921" t="s">
        <v>824</v>
      </c>
      <c r="N2921" t="s">
        <v>10250</v>
      </c>
      <c r="O2921" t="s">
        <v>11532</v>
      </c>
      <c r="P2921" t="s">
        <v>13576</v>
      </c>
      <c r="Q2921" t="s">
        <v>13577</v>
      </c>
      <c r="R2921">
        <v>10</v>
      </c>
      <c r="S2921">
        <v>16</v>
      </c>
    </row>
    <row r="2922" spans="1:19" x14ac:dyDescent="0.35">
      <c r="A2922">
        <v>934</v>
      </c>
      <c r="B2922" t="s">
        <v>13587</v>
      </c>
      <c r="C2922" t="s">
        <v>42</v>
      </c>
      <c r="D2922" t="s">
        <v>13588</v>
      </c>
      <c r="E2922" t="e" cm="1">
        <f t="array" ref="E2922">- AMMONIUM CHLORIDE</f>
        <v>#NAME?</v>
      </c>
      <c r="F2922" t="s">
        <v>13589</v>
      </c>
      <c r="G2922" t="s">
        <v>5866</v>
      </c>
      <c r="H2922" t="s">
        <v>13590</v>
      </c>
      <c r="I2922" t="s">
        <v>13591</v>
      </c>
      <c r="J2922" t="s">
        <v>405</v>
      </c>
      <c r="K2922" t="s">
        <v>3973</v>
      </c>
      <c r="L2922" t="s">
        <v>13592</v>
      </c>
      <c r="M2922" t="s">
        <v>271</v>
      </c>
      <c r="N2922" t="s">
        <v>1672</v>
      </c>
      <c r="O2922" t="s">
        <v>13593</v>
      </c>
      <c r="P2922" t="s">
        <v>13594</v>
      </c>
      <c r="Q2922" t="s">
        <v>13595</v>
      </c>
      <c r="R2922">
        <v>10</v>
      </c>
      <c r="S2922">
        <v>16</v>
      </c>
    </row>
    <row r="2923" spans="1:19" x14ac:dyDescent="0.35">
      <c r="A2923">
        <v>123</v>
      </c>
      <c r="B2923" t="s">
        <v>2902</v>
      </c>
      <c r="C2923" t="s">
        <v>42</v>
      </c>
      <c r="D2923" t="s">
        <v>13596</v>
      </c>
      <c r="E2923" t="e" cm="1">
        <f t="array" ref="E2923">- SILDENAFIL CITRATE</f>
        <v>#NAME?</v>
      </c>
      <c r="F2923" t="s">
        <v>13597</v>
      </c>
      <c r="G2923" t="s">
        <v>8185</v>
      </c>
      <c r="H2923" t="s">
        <v>3854</v>
      </c>
      <c r="I2923" t="s">
        <v>8186</v>
      </c>
      <c r="J2923" t="s">
        <v>8342</v>
      </c>
      <c r="L2923" t="s">
        <v>8188</v>
      </c>
      <c r="M2923" t="s">
        <v>46</v>
      </c>
      <c r="N2923" t="s">
        <v>2519</v>
      </c>
      <c r="O2923" t="s">
        <v>8189</v>
      </c>
      <c r="P2923" t="s">
        <v>13598</v>
      </c>
      <c r="Q2923" t="s">
        <v>13599</v>
      </c>
      <c r="R2923">
        <v>10</v>
      </c>
      <c r="S2923">
        <v>16</v>
      </c>
    </row>
    <row r="2924" spans="1:19" x14ac:dyDescent="0.35">
      <c r="A2924">
        <v>4431</v>
      </c>
      <c r="B2924" t="s">
        <v>13600</v>
      </c>
      <c r="C2924" t="s">
        <v>20</v>
      </c>
      <c r="D2924" t="s">
        <v>13601</v>
      </c>
      <c r="E2924" t="s">
        <v>13602</v>
      </c>
      <c r="F2924" s="1">
        <v>21200</v>
      </c>
      <c r="G2924" t="s">
        <v>13603</v>
      </c>
      <c r="H2924" t="s">
        <v>13604</v>
      </c>
      <c r="I2924" t="s">
        <v>13605</v>
      </c>
      <c r="J2924" t="s">
        <v>13606</v>
      </c>
      <c r="L2924" t="s">
        <v>13607</v>
      </c>
      <c r="M2924" t="s">
        <v>46</v>
      </c>
      <c r="N2924" t="s">
        <v>13608</v>
      </c>
      <c r="O2924" t="s">
        <v>13609</v>
      </c>
      <c r="P2924" t="s">
        <v>13608</v>
      </c>
      <c r="Q2924" t="s">
        <v>13610</v>
      </c>
      <c r="R2924">
        <v>10</v>
      </c>
      <c r="S2924">
        <v>16</v>
      </c>
    </row>
    <row r="2925" spans="1:19" x14ac:dyDescent="0.35">
      <c r="A2925">
        <v>9169</v>
      </c>
      <c r="B2925" t="s">
        <v>13611</v>
      </c>
      <c r="C2925" t="s">
        <v>42</v>
      </c>
      <c r="D2925" t="s">
        <v>13612</v>
      </c>
      <c r="E2925" t="e" cm="1">
        <f t="array" ref="E2925">- LOSARTAN POTASSIUM</f>
        <v>#NAME?</v>
      </c>
      <c r="F2925" t="s">
        <v>13613</v>
      </c>
      <c r="G2925" t="s">
        <v>60</v>
      </c>
      <c r="H2925" t="s">
        <v>2643</v>
      </c>
      <c r="I2925" t="s">
        <v>9523</v>
      </c>
      <c r="J2925" t="s">
        <v>2992</v>
      </c>
      <c r="K2925" t="s">
        <v>13614</v>
      </c>
      <c r="L2925" t="s">
        <v>13615</v>
      </c>
      <c r="M2925" t="s">
        <v>46</v>
      </c>
      <c r="N2925" t="s">
        <v>2860</v>
      </c>
      <c r="O2925" t="s">
        <v>9526</v>
      </c>
      <c r="P2925" t="s">
        <v>13616</v>
      </c>
      <c r="Q2925" t="s">
        <v>13617</v>
      </c>
      <c r="R2925">
        <v>10</v>
      </c>
      <c r="S2925">
        <v>16</v>
      </c>
    </row>
    <row r="2926" spans="1:19" x14ac:dyDescent="0.35">
      <c r="A2926">
        <v>5676</v>
      </c>
      <c r="B2926" t="s">
        <v>13618</v>
      </c>
      <c r="C2926" t="s">
        <v>42</v>
      </c>
      <c r="D2926" t="s">
        <v>13619</v>
      </c>
      <c r="E2926" t="e" cm="1">
        <f t="array" ref="E2926">- ISONIAZID</f>
        <v>#NAME?</v>
      </c>
      <c r="F2926" t="s">
        <v>13620</v>
      </c>
      <c r="G2926" t="s">
        <v>13621</v>
      </c>
      <c r="H2926" t="s">
        <v>13622</v>
      </c>
      <c r="I2926" t="s">
        <v>13623</v>
      </c>
      <c r="J2926" t="s">
        <v>381</v>
      </c>
      <c r="K2926" t="s">
        <v>13624</v>
      </c>
      <c r="L2926" t="s">
        <v>13625</v>
      </c>
      <c r="M2926" t="s">
        <v>46</v>
      </c>
      <c r="N2926" t="s">
        <v>1699</v>
      </c>
      <c r="O2926" t="s">
        <v>13626</v>
      </c>
      <c r="P2926" t="s">
        <v>1699</v>
      </c>
      <c r="Q2926" t="s">
        <v>13627</v>
      </c>
      <c r="R2926">
        <v>10</v>
      </c>
      <c r="S2926">
        <v>16</v>
      </c>
    </row>
    <row r="2927" spans="1:19" x14ac:dyDescent="0.35">
      <c r="A2927">
        <v>5570</v>
      </c>
      <c r="B2927" t="s">
        <v>13628</v>
      </c>
      <c r="C2927" t="s">
        <v>850</v>
      </c>
      <c r="D2927" t="s">
        <v>13629</v>
      </c>
      <c r="E2927" t="e" cm="1">
        <f t="array" ref="E2927">- Oleum Iecors Aselli</f>
        <v>#NAME?</v>
      </c>
      <c r="F2927" t="s">
        <v>13630</v>
      </c>
      <c r="G2927" t="s">
        <v>13631</v>
      </c>
      <c r="H2927" t="s">
        <v>1322</v>
      </c>
      <c r="I2927" t="s">
        <v>13632</v>
      </c>
      <c r="J2927" t="s">
        <v>13633</v>
      </c>
      <c r="N2927" t="s">
        <v>13634</v>
      </c>
      <c r="O2927" t="s">
        <v>13635</v>
      </c>
      <c r="P2927" t="s">
        <v>13636</v>
      </c>
      <c r="Q2927" t="s">
        <v>13637</v>
      </c>
      <c r="R2927">
        <v>10</v>
      </c>
      <c r="S2927">
        <v>16</v>
      </c>
    </row>
    <row r="2928" spans="1:19" x14ac:dyDescent="0.35">
      <c r="A2928">
        <v>2630</v>
      </c>
      <c r="B2928" t="s">
        <v>8218</v>
      </c>
      <c r="C2928" t="s">
        <v>42</v>
      </c>
      <c r="D2928" t="s">
        <v>8219</v>
      </c>
      <c r="E2928" t="e" cm="1">
        <f t="array" ref="E2928">- PROPYPHENAZONE. CAFFEINE. PARACETAMOL</f>
        <v>#NAME?</v>
      </c>
      <c r="F2928" t="s">
        <v>8220</v>
      </c>
      <c r="G2928" t="s">
        <v>2453</v>
      </c>
      <c r="H2928" t="s">
        <v>8221</v>
      </c>
      <c r="I2928" t="s">
        <v>8222</v>
      </c>
      <c r="J2928" t="s">
        <v>727</v>
      </c>
      <c r="K2928" t="s">
        <v>8223</v>
      </c>
      <c r="M2928" t="s">
        <v>291</v>
      </c>
      <c r="N2928" t="s">
        <v>13638</v>
      </c>
      <c r="O2928" t="s">
        <v>8224</v>
      </c>
      <c r="P2928" t="s">
        <v>8225</v>
      </c>
      <c r="Q2928" t="s">
        <v>13639</v>
      </c>
      <c r="R2928">
        <v>10</v>
      </c>
      <c r="S2928">
        <v>16</v>
      </c>
    </row>
    <row r="2929" spans="1:19" x14ac:dyDescent="0.35">
      <c r="A2929">
        <v>9160</v>
      </c>
      <c r="B2929" t="s">
        <v>13640</v>
      </c>
      <c r="C2929" t="s">
        <v>42</v>
      </c>
      <c r="D2929" t="s">
        <v>13641</v>
      </c>
      <c r="E2929" t="e" cm="1">
        <f t="array" ref="E2929">- RAMIPRIL</f>
        <v>#NAME?</v>
      </c>
      <c r="F2929" t="s">
        <v>13642</v>
      </c>
      <c r="G2929" t="s">
        <v>2617</v>
      </c>
      <c r="H2929" t="s">
        <v>13643</v>
      </c>
      <c r="I2929" t="s">
        <v>13644</v>
      </c>
      <c r="J2929" t="s">
        <v>9705</v>
      </c>
      <c r="K2929" t="s">
        <v>13645</v>
      </c>
      <c r="L2929" t="s">
        <v>13646</v>
      </c>
      <c r="M2929" t="s">
        <v>46</v>
      </c>
      <c r="N2929" t="s">
        <v>2222</v>
      </c>
      <c r="O2929" t="s">
        <v>13647</v>
      </c>
      <c r="P2929" t="s">
        <v>13648</v>
      </c>
      <c r="Q2929" t="s">
        <v>13649</v>
      </c>
      <c r="R2929">
        <v>10</v>
      </c>
      <c r="S2929">
        <v>16</v>
      </c>
    </row>
    <row r="2930" spans="1:19" x14ac:dyDescent="0.35">
      <c r="A2930">
        <v>9161</v>
      </c>
      <c r="B2930" t="s">
        <v>13640</v>
      </c>
      <c r="C2930" t="s">
        <v>42</v>
      </c>
      <c r="D2930" t="s">
        <v>13641</v>
      </c>
      <c r="E2930" t="e" cm="1">
        <f t="array" ref="E2930">- RAMIPRIL</f>
        <v>#NAME?</v>
      </c>
      <c r="F2930" t="s">
        <v>13642</v>
      </c>
      <c r="G2930" t="s">
        <v>2617</v>
      </c>
      <c r="H2930" t="s">
        <v>13643</v>
      </c>
      <c r="I2930" t="s">
        <v>13644</v>
      </c>
      <c r="J2930" t="s">
        <v>9705</v>
      </c>
      <c r="K2930" t="s">
        <v>13645</v>
      </c>
      <c r="L2930" t="s">
        <v>13646</v>
      </c>
      <c r="M2930" t="s">
        <v>46</v>
      </c>
      <c r="N2930" t="s">
        <v>2222</v>
      </c>
      <c r="O2930" t="s">
        <v>13647</v>
      </c>
      <c r="P2930" t="s">
        <v>13648</v>
      </c>
      <c r="Q2930" t="s">
        <v>13649</v>
      </c>
      <c r="R2930">
        <v>10</v>
      </c>
      <c r="S2930">
        <v>16</v>
      </c>
    </row>
    <row r="2931" spans="1:19" x14ac:dyDescent="0.35">
      <c r="A2931">
        <v>3973</v>
      </c>
      <c r="B2931" t="s">
        <v>13650</v>
      </c>
      <c r="C2931" t="s">
        <v>42</v>
      </c>
      <c r="D2931" t="s">
        <v>13651</v>
      </c>
      <c r="E2931" t="e" cm="1">
        <f t="array" ref="E2931">- LACTULOSE</f>
        <v>#NAME?</v>
      </c>
      <c r="F2931" t="s">
        <v>13652</v>
      </c>
      <c r="G2931" t="s">
        <v>13653</v>
      </c>
      <c r="H2931" t="s">
        <v>7524</v>
      </c>
      <c r="I2931" t="s">
        <v>7525</v>
      </c>
      <c r="J2931" t="s">
        <v>2083</v>
      </c>
      <c r="K2931" t="s">
        <v>13654</v>
      </c>
      <c r="L2931" t="s">
        <v>7527</v>
      </c>
      <c r="M2931" t="s">
        <v>271</v>
      </c>
      <c r="N2931" t="s">
        <v>1156</v>
      </c>
      <c r="O2931" t="s">
        <v>7508</v>
      </c>
      <c r="P2931" t="s">
        <v>13655</v>
      </c>
      <c r="Q2931" t="s">
        <v>13656</v>
      </c>
      <c r="R2931">
        <v>10</v>
      </c>
      <c r="S2931">
        <v>16</v>
      </c>
    </row>
    <row r="2932" spans="1:19" x14ac:dyDescent="0.35">
      <c r="A2932">
        <v>9147</v>
      </c>
      <c r="B2932" t="s">
        <v>13657</v>
      </c>
      <c r="C2932" t="s">
        <v>42</v>
      </c>
      <c r="D2932" t="s">
        <v>13658</v>
      </c>
      <c r="E2932" t="e" cm="1">
        <f t="array" ref="E2932">- DILTIAZEM HYDROCHLORIDE</f>
        <v>#NAME?</v>
      </c>
      <c r="F2932" t="s">
        <v>13659</v>
      </c>
      <c r="G2932" t="s">
        <v>13660</v>
      </c>
      <c r="H2932" t="s">
        <v>13661</v>
      </c>
      <c r="I2932" t="s">
        <v>13662</v>
      </c>
      <c r="J2932" t="s">
        <v>13663</v>
      </c>
      <c r="K2932" t="s">
        <v>13664</v>
      </c>
      <c r="L2932" t="s">
        <v>13665</v>
      </c>
      <c r="M2932" t="s">
        <v>38</v>
      </c>
      <c r="N2932" t="s">
        <v>2457</v>
      </c>
      <c r="O2932" t="s">
        <v>13666</v>
      </c>
      <c r="P2932" t="s">
        <v>13667</v>
      </c>
      <c r="Q2932" t="s">
        <v>13668</v>
      </c>
      <c r="R2932">
        <v>10</v>
      </c>
      <c r="S2932">
        <v>16</v>
      </c>
    </row>
    <row r="2933" spans="1:19" x14ac:dyDescent="0.35">
      <c r="A2933">
        <v>9146</v>
      </c>
      <c r="B2933" t="s">
        <v>13657</v>
      </c>
      <c r="C2933" t="s">
        <v>42</v>
      </c>
      <c r="D2933" t="s">
        <v>13658</v>
      </c>
      <c r="E2933" t="e" cm="1">
        <f t="array" ref="E2933">- DILTIAZEM HYDROCHLORIDE</f>
        <v>#NAME?</v>
      </c>
      <c r="F2933" t="s">
        <v>13659</v>
      </c>
      <c r="G2933" t="s">
        <v>13660</v>
      </c>
      <c r="H2933" t="s">
        <v>13661</v>
      </c>
      <c r="I2933" t="s">
        <v>13662</v>
      </c>
      <c r="J2933" t="s">
        <v>13663</v>
      </c>
      <c r="K2933" t="s">
        <v>13664</v>
      </c>
      <c r="L2933" t="s">
        <v>13665</v>
      </c>
      <c r="M2933" t="s">
        <v>38</v>
      </c>
      <c r="N2933" t="s">
        <v>2457</v>
      </c>
      <c r="O2933" t="s">
        <v>13666</v>
      </c>
      <c r="P2933" t="s">
        <v>13667</v>
      </c>
      <c r="Q2933" t="s">
        <v>13668</v>
      </c>
      <c r="R2933">
        <v>10</v>
      </c>
      <c r="S2933">
        <v>16</v>
      </c>
    </row>
    <row r="2934" spans="1:19" x14ac:dyDescent="0.35">
      <c r="A2934">
        <v>3974</v>
      </c>
      <c r="B2934" t="s">
        <v>13650</v>
      </c>
      <c r="C2934" t="s">
        <v>42</v>
      </c>
      <c r="D2934" t="s">
        <v>13651</v>
      </c>
      <c r="E2934" t="e" cm="1">
        <f t="array" ref="E2934">- LACTULOSE</f>
        <v>#NAME?</v>
      </c>
      <c r="F2934" t="s">
        <v>13652</v>
      </c>
      <c r="G2934" t="s">
        <v>13653</v>
      </c>
      <c r="H2934" t="s">
        <v>7524</v>
      </c>
      <c r="I2934" t="s">
        <v>7525</v>
      </c>
      <c r="J2934" t="s">
        <v>2083</v>
      </c>
      <c r="K2934" t="s">
        <v>13654</v>
      </c>
      <c r="L2934" t="s">
        <v>7527</v>
      </c>
      <c r="M2934" t="s">
        <v>271</v>
      </c>
      <c r="N2934" t="s">
        <v>1156</v>
      </c>
      <c r="O2934" t="s">
        <v>7508</v>
      </c>
      <c r="P2934" t="s">
        <v>13655</v>
      </c>
      <c r="Q2934" t="s">
        <v>13656</v>
      </c>
      <c r="R2934">
        <v>10</v>
      </c>
      <c r="S2934">
        <v>16</v>
      </c>
    </row>
    <row r="2935" spans="1:19" x14ac:dyDescent="0.35">
      <c r="A2935">
        <v>113</v>
      </c>
      <c r="B2935" t="s">
        <v>2902</v>
      </c>
      <c r="C2935" t="s">
        <v>42</v>
      </c>
      <c r="D2935" t="s">
        <v>12658</v>
      </c>
      <c r="E2935" t="e" cm="1">
        <f t="array" ref="E2935">- SILDENAFIL CITRATE</f>
        <v>#NAME?</v>
      </c>
      <c r="F2935" t="s">
        <v>12659</v>
      </c>
      <c r="G2935" t="s">
        <v>8185</v>
      </c>
      <c r="H2935" t="s">
        <v>8383</v>
      </c>
      <c r="I2935" t="s">
        <v>8186</v>
      </c>
      <c r="J2935" t="s">
        <v>9661</v>
      </c>
      <c r="L2935" t="s">
        <v>8188</v>
      </c>
      <c r="M2935" t="s">
        <v>46</v>
      </c>
      <c r="N2935" t="s">
        <v>2519</v>
      </c>
      <c r="O2935" t="s">
        <v>8189</v>
      </c>
      <c r="P2935" t="s">
        <v>12660</v>
      </c>
      <c r="Q2935" t="s">
        <v>13669</v>
      </c>
      <c r="R2935">
        <v>10</v>
      </c>
      <c r="S2935">
        <v>16</v>
      </c>
    </row>
    <row r="2936" spans="1:19" x14ac:dyDescent="0.35">
      <c r="A2936">
        <v>5673</v>
      </c>
      <c r="B2936" t="s">
        <v>13670</v>
      </c>
      <c r="C2936" t="s">
        <v>42</v>
      </c>
      <c r="D2936" t="s">
        <v>13671</v>
      </c>
      <c r="E2936" t="e" cm="1">
        <f t="array" ref="E2936">- METRONIDAZOLE</f>
        <v>#NAME?</v>
      </c>
      <c r="F2936" s="1">
        <v>25700</v>
      </c>
      <c r="G2936" t="s">
        <v>7400</v>
      </c>
      <c r="H2936" t="s">
        <v>13672</v>
      </c>
    </row>
    <row r="2937" spans="1:19" x14ac:dyDescent="0.35">
      <c r="A2937">
        <v>1517</v>
      </c>
      <c r="B2937" t="s">
        <v>13536</v>
      </c>
      <c r="C2937" t="s">
        <v>42</v>
      </c>
      <c r="D2937" t="s">
        <v>13537</v>
      </c>
      <c r="E2937" t="e" cm="1">
        <f t="array" ref="E2937">- AMMONIUM CHLORIDE</f>
        <v>#NAME?</v>
      </c>
      <c r="F2937" t="s">
        <v>13538</v>
      </c>
      <c r="G2937" t="s">
        <v>2241</v>
      </c>
      <c r="H2937" t="s">
        <v>13539</v>
      </c>
      <c r="I2937" t="s">
        <v>13540</v>
      </c>
      <c r="J2937" t="s">
        <v>374</v>
      </c>
      <c r="K2937" t="s">
        <v>2858</v>
      </c>
      <c r="L2937" t="s">
        <v>13541</v>
      </c>
      <c r="M2937" t="s">
        <v>271</v>
      </c>
      <c r="N2937" t="s">
        <v>1672</v>
      </c>
      <c r="O2937" t="s">
        <v>13542</v>
      </c>
      <c r="P2937" t="s">
        <v>13543</v>
      </c>
      <c r="Q2937" t="s">
        <v>13544</v>
      </c>
      <c r="R2937">
        <v>10</v>
      </c>
      <c r="S2937">
        <v>16</v>
      </c>
    </row>
    <row r="2938" spans="1:19" x14ac:dyDescent="0.35">
      <c r="A2938">
        <v>5672</v>
      </c>
      <c r="B2938" t="s">
        <v>13670</v>
      </c>
      <c r="C2938" t="s">
        <v>42</v>
      </c>
      <c r="D2938" t="s">
        <v>13671</v>
      </c>
      <c r="E2938" t="e" cm="1">
        <f t="array" ref="E2938">- METRONIDAZOLE</f>
        <v>#NAME?</v>
      </c>
      <c r="F2938" s="1">
        <v>25700</v>
      </c>
      <c r="G2938" t="s">
        <v>7400</v>
      </c>
      <c r="H2938" t="s">
        <v>13672</v>
      </c>
    </row>
    <row r="2939" spans="1:19" x14ac:dyDescent="0.35">
      <c r="A2939">
        <v>9145</v>
      </c>
      <c r="B2939" t="s">
        <v>13657</v>
      </c>
      <c r="C2939" t="s">
        <v>42</v>
      </c>
      <c r="D2939" t="s">
        <v>13658</v>
      </c>
      <c r="E2939" t="e" cm="1">
        <f t="array" ref="E2939">- DILTIAZEM HYDROCHLORIDE</f>
        <v>#NAME?</v>
      </c>
      <c r="F2939" t="s">
        <v>13659</v>
      </c>
      <c r="G2939" t="s">
        <v>13660</v>
      </c>
      <c r="H2939" t="s">
        <v>13661</v>
      </c>
      <c r="I2939" t="s">
        <v>13662</v>
      </c>
      <c r="J2939" t="s">
        <v>13663</v>
      </c>
      <c r="K2939" t="s">
        <v>13664</v>
      </c>
      <c r="L2939" t="s">
        <v>13665</v>
      </c>
      <c r="M2939" t="s">
        <v>38</v>
      </c>
      <c r="N2939" t="s">
        <v>2457</v>
      </c>
      <c r="O2939" t="s">
        <v>13666</v>
      </c>
      <c r="P2939" t="s">
        <v>13667</v>
      </c>
      <c r="Q2939" t="s">
        <v>13668</v>
      </c>
      <c r="R2939">
        <v>10</v>
      </c>
      <c r="S2939">
        <v>16</v>
      </c>
    </row>
    <row r="2940" spans="1:19" x14ac:dyDescent="0.35">
      <c r="A2940">
        <v>7088</v>
      </c>
      <c r="B2940" t="s">
        <v>13673</v>
      </c>
      <c r="C2940" t="s">
        <v>42</v>
      </c>
      <c r="D2940" t="s">
        <v>13674</v>
      </c>
      <c r="E2940" t="e" cm="1">
        <f t="array" ref="E2940">- EPERISONE HYDROCHLORIDE</f>
        <v>#NAME?</v>
      </c>
      <c r="F2940" t="s">
        <v>13675</v>
      </c>
      <c r="G2940" t="s">
        <v>2241</v>
      </c>
      <c r="H2940" t="s">
        <v>389</v>
      </c>
      <c r="I2940" t="s">
        <v>13676</v>
      </c>
      <c r="J2940" t="s">
        <v>1093</v>
      </c>
      <c r="K2940" t="s">
        <v>2858</v>
      </c>
      <c r="L2940" t="s">
        <v>13677</v>
      </c>
      <c r="M2940" t="s">
        <v>46</v>
      </c>
      <c r="N2940" t="s">
        <v>7745</v>
      </c>
      <c r="O2940" t="s">
        <v>12597</v>
      </c>
      <c r="P2940" t="s">
        <v>13678</v>
      </c>
      <c r="Q2940" t="s">
        <v>13679</v>
      </c>
      <c r="R2940">
        <v>10</v>
      </c>
      <c r="S2940">
        <v>16</v>
      </c>
    </row>
    <row r="2941" spans="1:19" x14ac:dyDescent="0.35">
      <c r="A2941">
        <v>9162</v>
      </c>
      <c r="B2941" t="s">
        <v>13640</v>
      </c>
      <c r="C2941" t="s">
        <v>42</v>
      </c>
      <c r="D2941" t="s">
        <v>13641</v>
      </c>
      <c r="E2941" t="e" cm="1">
        <f t="array" ref="E2941">- RAMIPRIL</f>
        <v>#NAME?</v>
      </c>
      <c r="F2941" t="s">
        <v>13642</v>
      </c>
      <c r="G2941" t="s">
        <v>2617</v>
      </c>
      <c r="H2941" t="s">
        <v>13643</v>
      </c>
      <c r="I2941" t="s">
        <v>13644</v>
      </c>
      <c r="J2941" t="s">
        <v>9705</v>
      </c>
      <c r="K2941" t="s">
        <v>13645</v>
      </c>
      <c r="L2941" t="s">
        <v>13646</v>
      </c>
      <c r="M2941" t="s">
        <v>46</v>
      </c>
      <c r="N2941" t="s">
        <v>2222</v>
      </c>
      <c r="O2941" t="s">
        <v>13647</v>
      </c>
      <c r="P2941" t="s">
        <v>13648</v>
      </c>
      <c r="Q2941" t="s">
        <v>13649</v>
      </c>
      <c r="R2941">
        <v>10</v>
      </c>
      <c r="S2941">
        <v>16</v>
      </c>
    </row>
    <row r="2942" spans="1:19" x14ac:dyDescent="0.35">
      <c r="A2942">
        <v>7089</v>
      </c>
      <c r="B2942" t="s">
        <v>13673</v>
      </c>
      <c r="C2942" t="s">
        <v>42</v>
      </c>
      <c r="D2942" t="s">
        <v>13674</v>
      </c>
      <c r="E2942" t="e" cm="1">
        <f t="array" ref="E2942">- EPERISONE HYDROCHLORIDE</f>
        <v>#NAME?</v>
      </c>
      <c r="F2942" t="s">
        <v>13675</v>
      </c>
      <c r="G2942" t="s">
        <v>2241</v>
      </c>
      <c r="H2942" t="s">
        <v>389</v>
      </c>
      <c r="I2942" t="s">
        <v>13676</v>
      </c>
      <c r="J2942" t="s">
        <v>1093</v>
      </c>
      <c r="K2942" t="s">
        <v>2858</v>
      </c>
      <c r="L2942" t="s">
        <v>13677</v>
      </c>
      <c r="M2942" t="s">
        <v>46</v>
      </c>
      <c r="N2942" t="s">
        <v>7745</v>
      </c>
      <c r="O2942" t="s">
        <v>12597</v>
      </c>
      <c r="P2942" t="s">
        <v>13678</v>
      </c>
      <c r="Q2942" t="s">
        <v>13679</v>
      </c>
      <c r="R2942">
        <v>10</v>
      </c>
      <c r="S2942">
        <v>16</v>
      </c>
    </row>
    <row r="2943" spans="1:19" x14ac:dyDescent="0.35">
      <c r="A2943">
        <v>109</v>
      </c>
      <c r="B2943" t="s">
        <v>2902</v>
      </c>
      <c r="C2943" t="s">
        <v>42</v>
      </c>
      <c r="D2943" t="s">
        <v>12650</v>
      </c>
      <c r="E2943" t="e" cm="1">
        <f t="array" ref="E2943">- SILDENAFIL CITRATE</f>
        <v>#NAME?</v>
      </c>
      <c r="F2943" t="s">
        <v>12651</v>
      </c>
      <c r="G2943" t="s">
        <v>8185</v>
      </c>
      <c r="H2943" t="s">
        <v>3854</v>
      </c>
      <c r="I2943" t="s">
        <v>8186</v>
      </c>
      <c r="J2943" t="s">
        <v>8980</v>
      </c>
      <c r="L2943" t="s">
        <v>8188</v>
      </c>
      <c r="M2943" t="s">
        <v>46</v>
      </c>
      <c r="N2943" t="s">
        <v>2519</v>
      </c>
      <c r="O2943" t="s">
        <v>8189</v>
      </c>
      <c r="P2943" t="s">
        <v>12652</v>
      </c>
      <c r="Q2943" t="s">
        <v>12743</v>
      </c>
      <c r="R2943">
        <v>10</v>
      </c>
      <c r="S2943">
        <v>16</v>
      </c>
    </row>
    <row r="2944" spans="1:19" x14ac:dyDescent="0.35">
      <c r="A2944">
        <v>2665</v>
      </c>
      <c r="B2944" t="s">
        <v>13563</v>
      </c>
      <c r="C2944" t="s">
        <v>42</v>
      </c>
      <c r="D2944" t="s">
        <v>13680</v>
      </c>
      <c r="E2944" t="e" cm="1">
        <f t="array" ref="E2944">- PARACETAMOL</f>
        <v>#NAME?</v>
      </c>
      <c r="F2944" t="s">
        <v>13681</v>
      </c>
      <c r="G2944" t="s">
        <v>13682</v>
      </c>
      <c r="H2944" t="s">
        <v>12257</v>
      </c>
      <c r="I2944" t="s">
        <v>12258</v>
      </c>
      <c r="J2944" t="s">
        <v>12259</v>
      </c>
      <c r="M2944" t="s">
        <v>271</v>
      </c>
      <c r="N2944" t="s">
        <v>584</v>
      </c>
      <c r="O2944" t="s">
        <v>12263</v>
      </c>
      <c r="P2944" t="s">
        <v>13683</v>
      </c>
      <c r="Q2944" t="s">
        <v>13684</v>
      </c>
      <c r="R2944">
        <v>10</v>
      </c>
      <c r="S2944">
        <v>16</v>
      </c>
    </row>
    <row r="2945" spans="1:19" x14ac:dyDescent="0.35">
      <c r="A2945">
        <v>1104</v>
      </c>
      <c r="B2945" t="s">
        <v>13685</v>
      </c>
      <c r="C2945" t="s">
        <v>42</v>
      </c>
      <c r="D2945" t="s">
        <v>13686</v>
      </c>
      <c r="E2945" t="e" cm="1">
        <f t="array" ref="E2945">- AMMONIUM CHLORIDE. SUCCUS LIQUIRITIAE</f>
        <v>#NAME?</v>
      </c>
      <c r="F2945" t="s">
        <v>13687</v>
      </c>
      <c r="G2945" t="s">
        <v>60</v>
      </c>
      <c r="H2945" t="s">
        <v>13688</v>
      </c>
      <c r="I2945" t="s">
        <v>3673</v>
      </c>
      <c r="J2945" t="s">
        <v>13689</v>
      </c>
      <c r="K2945" t="s">
        <v>3952</v>
      </c>
      <c r="L2945" t="s">
        <v>13690</v>
      </c>
      <c r="M2945" t="s">
        <v>271</v>
      </c>
      <c r="N2945" t="s">
        <v>13691</v>
      </c>
      <c r="O2945" t="s">
        <v>3675</v>
      </c>
      <c r="P2945" t="s">
        <v>13692</v>
      </c>
      <c r="Q2945" t="s">
        <v>13693</v>
      </c>
      <c r="R2945">
        <v>10</v>
      </c>
      <c r="S2945">
        <v>16</v>
      </c>
    </row>
    <row r="2946" spans="1:19" x14ac:dyDescent="0.35">
      <c r="A2946">
        <v>111</v>
      </c>
      <c r="B2946" t="s">
        <v>2902</v>
      </c>
      <c r="C2946" t="s">
        <v>42</v>
      </c>
      <c r="D2946" t="s">
        <v>12654</v>
      </c>
      <c r="E2946" t="e" cm="1">
        <f t="array" ref="E2946">- SILDENAFIL CITRATE</f>
        <v>#NAME?</v>
      </c>
      <c r="F2946" t="s">
        <v>12655</v>
      </c>
      <c r="G2946" t="s">
        <v>8185</v>
      </c>
      <c r="H2946" t="s">
        <v>3854</v>
      </c>
      <c r="I2946" t="s">
        <v>8186</v>
      </c>
      <c r="J2946" t="s">
        <v>8980</v>
      </c>
      <c r="L2946" t="s">
        <v>8188</v>
      </c>
      <c r="M2946" t="s">
        <v>46</v>
      </c>
      <c r="N2946" t="s">
        <v>2519</v>
      </c>
      <c r="O2946" t="s">
        <v>8189</v>
      </c>
      <c r="P2946" t="s">
        <v>12656</v>
      </c>
      <c r="Q2946" t="s">
        <v>13694</v>
      </c>
      <c r="R2946">
        <v>10</v>
      </c>
      <c r="S2946">
        <v>16</v>
      </c>
    </row>
    <row r="2947" spans="1:19" x14ac:dyDescent="0.35">
      <c r="A2947">
        <v>2595</v>
      </c>
      <c r="B2947" t="s">
        <v>13695</v>
      </c>
      <c r="C2947" t="s">
        <v>42</v>
      </c>
      <c r="D2947" t="s">
        <v>13696</v>
      </c>
      <c r="E2947" t="e" cm="1">
        <f t="array" ref="E2947">- CYANOCOBALAMIN</f>
        <v>#NAME?</v>
      </c>
      <c r="F2947" t="s">
        <v>13697</v>
      </c>
      <c r="G2947" t="s">
        <v>2241</v>
      </c>
      <c r="H2947" t="s">
        <v>13698</v>
      </c>
      <c r="I2947" t="s">
        <v>13699</v>
      </c>
      <c r="J2947" t="s">
        <v>727</v>
      </c>
      <c r="K2947" t="s">
        <v>12992</v>
      </c>
      <c r="L2947" t="s">
        <v>12993</v>
      </c>
      <c r="M2947" t="s">
        <v>291</v>
      </c>
      <c r="N2947" t="s">
        <v>677</v>
      </c>
      <c r="O2947" t="s">
        <v>13700</v>
      </c>
      <c r="P2947" t="s">
        <v>13701</v>
      </c>
      <c r="Q2947" t="s">
        <v>13702</v>
      </c>
      <c r="R2947">
        <v>10</v>
      </c>
      <c r="S2947">
        <v>16</v>
      </c>
    </row>
    <row r="2948" spans="1:19" x14ac:dyDescent="0.35">
      <c r="A2948">
        <v>2507</v>
      </c>
      <c r="B2948" t="s">
        <v>13527</v>
      </c>
      <c r="C2948" t="s">
        <v>42</v>
      </c>
      <c r="D2948" t="s">
        <v>13528</v>
      </c>
      <c r="E2948" t="e" cm="1">
        <f t="array" ref="E2948">- CYANOCOBALAMIN</f>
        <v>#NAME?</v>
      </c>
      <c r="F2948" t="s">
        <v>13529</v>
      </c>
      <c r="G2948" t="s">
        <v>4640</v>
      </c>
      <c r="H2948" t="s">
        <v>13530</v>
      </c>
      <c r="I2948" t="s">
        <v>13531</v>
      </c>
      <c r="J2948" t="s">
        <v>515</v>
      </c>
      <c r="K2948" t="s">
        <v>13532</v>
      </c>
      <c r="L2948" t="s">
        <v>321</v>
      </c>
      <c r="M2948" t="s">
        <v>291</v>
      </c>
      <c r="N2948" t="s">
        <v>677</v>
      </c>
      <c r="O2948" t="s">
        <v>13533</v>
      </c>
      <c r="P2948" t="s">
        <v>13534</v>
      </c>
      <c r="Q2948" t="s">
        <v>13535</v>
      </c>
      <c r="R2948">
        <v>10</v>
      </c>
      <c r="S2948">
        <v>16</v>
      </c>
    </row>
    <row r="2949" spans="1:19" x14ac:dyDescent="0.35">
      <c r="A2949">
        <v>128</v>
      </c>
      <c r="B2949" t="s">
        <v>2902</v>
      </c>
      <c r="C2949" t="s">
        <v>42</v>
      </c>
      <c r="D2949" t="s">
        <v>13703</v>
      </c>
      <c r="E2949" t="e" cm="1">
        <f t="array" ref="E2949">- SILDENAFIL CITRATE</f>
        <v>#NAME?</v>
      </c>
      <c r="F2949" t="s">
        <v>13704</v>
      </c>
      <c r="G2949" t="s">
        <v>8185</v>
      </c>
      <c r="H2949" t="s">
        <v>3854</v>
      </c>
      <c r="I2949" t="s">
        <v>8186</v>
      </c>
      <c r="J2949" t="s">
        <v>9621</v>
      </c>
      <c r="L2949" t="s">
        <v>8188</v>
      </c>
      <c r="M2949" t="s">
        <v>46</v>
      </c>
      <c r="N2949" t="s">
        <v>2519</v>
      </c>
      <c r="O2949" t="s">
        <v>8189</v>
      </c>
      <c r="P2949" t="s">
        <v>12665</v>
      </c>
      <c r="Q2949" t="s">
        <v>13705</v>
      </c>
      <c r="R2949">
        <v>10</v>
      </c>
      <c r="S2949">
        <v>16</v>
      </c>
    </row>
    <row r="2950" spans="1:19" x14ac:dyDescent="0.35">
      <c r="A2950">
        <v>126</v>
      </c>
      <c r="B2950" t="s">
        <v>2902</v>
      </c>
      <c r="C2950" t="s">
        <v>42</v>
      </c>
      <c r="D2950" t="s">
        <v>12662</v>
      </c>
      <c r="E2950" t="e" cm="1">
        <f t="array" ref="E2950">- SILDENAFIL CITRATE</f>
        <v>#NAME?</v>
      </c>
      <c r="F2950" s="1">
        <v>25500</v>
      </c>
      <c r="G2950" t="s">
        <v>8185</v>
      </c>
      <c r="H2950" t="s">
        <v>3854</v>
      </c>
      <c r="I2950" t="s">
        <v>8186</v>
      </c>
      <c r="J2950" t="s">
        <v>6198</v>
      </c>
      <c r="L2950" t="s">
        <v>8188</v>
      </c>
      <c r="M2950" t="s">
        <v>46</v>
      </c>
      <c r="N2950" t="s">
        <v>2519</v>
      </c>
      <c r="O2950" t="s">
        <v>8189</v>
      </c>
      <c r="P2950" t="s">
        <v>12637</v>
      </c>
      <c r="Q2950" t="s">
        <v>12694</v>
      </c>
      <c r="R2950">
        <v>10</v>
      </c>
      <c r="S2950">
        <v>16</v>
      </c>
    </row>
    <row r="2951" spans="1:19" x14ac:dyDescent="0.35">
      <c r="A2951">
        <v>127</v>
      </c>
      <c r="B2951" t="s">
        <v>2902</v>
      </c>
      <c r="C2951" t="s">
        <v>42</v>
      </c>
      <c r="D2951" t="s">
        <v>12663</v>
      </c>
      <c r="E2951" t="e" cm="1">
        <f t="array" ref="E2951">- SILDENAFIL CITRATE</f>
        <v>#NAME?</v>
      </c>
      <c r="F2951" t="s">
        <v>12664</v>
      </c>
      <c r="G2951" t="s">
        <v>8185</v>
      </c>
      <c r="H2951" t="s">
        <v>3854</v>
      </c>
      <c r="I2951" t="s">
        <v>8186</v>
      </c>
      <c r="J2951" t="s">
        <v>9149</v>
      </c>
      <c r="L2951" t="s">
        <v>8188</v>
      </c>
      <c r="M2951" t="s">
        <v>46</v>
      </c>
      <c r="N2951" t="s">
        <v>2519</v>
      </c>
      <c r="O2951" t="s">
        <v>8189</v>
      </c>
      <c r="P2951" t="s">
        <v>12665</v>
      </c>
      <c r="Q2951" t="s">
        <v>13705</v>
      </c>
      <c r="R2951">
        <v>10</v>
      </c>
      <c r="S2951">
        <v>16</v>
      </c>
    </row>
    <row r="2952" spans="1:19" x14ac:dyDescent="0.35">
      <c r="A2952">
        <v>2485</v>
      </c>
      <c r="B2952" t="s">
        <v>13706</v>
      </c>
      <c r="C2952" t="s">
        <v>42</v>
      </c>
      <c r="D2952" t="s">
        <v>13707</v>
      </c>
      <c r="E2952" t="e" cm="1">
        <f t="array" ref="E2952">- NABUMETONE</f>
        <v>#NAME?</v>
      </c>
      <c r="F2952" t="s">
        <v>13708</v>
      </c>
      <c r="H2952" t="s">
        <v>13709</v>
      </c>
      <c r="I2952" t="s">
        <v>13710</v>
      </c>
      <c r="J2952" t="s">
        <v>13711</v>
      </c>
      <c r="L2952" t="s">
        <v>321</v>
      </c>
      <c r="M2952" t="s">
        <v>46</v>
      </c>
      <c r="N2952" t="s">
        <v>13712</v>
      </c>
      <c r="O2952" t="s">
        <v>13713</v>
      </c>
      <c r="P2952" t="s">
        <v>13714</v>
      </c>
      <c r="Q2952" t="s">
        <v>13715</v>
      </c>
      <c r="R2952">
        <v>10</v>
      </c>
      <c r="S2952">
        <v>16</v>
      </c>
    </row>
    <row r="2953" spans="1:19" x14ac:dyDescent="0.35">
      <c r="A2953">
        <v>1509</v>
      </c>
      <c r="B2953" t="s">
        <v>12550</v>
      </c>
      <c r="C2953" t="s">
        <v>42</v>
      </c>
      <c r="D2953" t="s">
        <v>12551</v>
      </c>
      <c r="E2953" t="e" cm="1">
        <f t="array" ref="E2953">- ACETYLCYSTEINE</f>
        <v>#NAME?</v>
      </c>
      <c r="F2953" t="s">
        <v>12552</v>
      </c>
      <c r="G2953" t="s">
        <v>2241</v>
      </c>
      <c r="H2953" t="s">
        <v>12553</v>
      </c>
      <c r="I2953" t="s">
        <v>11310</v>
      </c>
      <c r="J2953" t="s">
        <v>12554</v>
      </c>
      <c r="L2953" t="s">
        <v>12555</v>
      </c>
      <c r="M2953" t="s">
        <v>271</v>
      </c>
      <c r="N2953" t="s">
        <v>9045</v>
      </c>
      <c r="O2953" t="s">
        <v>11313</v>
      </c>
      <c r="P2953" t="s">
        <v>11314</v>
      </c>
      <c r="Q2953" t="s">
        <v>12556</v>
      </c>
      <c r="R2953">
        <v>10</v>
      </c>
      <c r="S2953">
        <v>16</v>
      </c>
    </row>
    <row r="2954" spans="1:19" x14ac:dyDescent="0.35">
      <c r="A2954">
        <v>5685</v>
      </c>
      <c r="B2954" t="s">
        <v>13553</v>
      </c>
      <c r="C2954" t="s">
        <v>42</v>
      </c>
      <c r="D2954" t="s">
        <v>13554</v>
      </c>
      <c r="E2954" t="e" cm="1">
        <f t="array" ref="E2954">- METRONIDAZOLE</f>
        <v>#NAME?</v>
      </c>
      <c r="F2954" t="s">
        <v>13555</v>
      </c>
      <c r="G2954" t="s">
        <v>13556</v>
      </c>
      <c r="H2954" t="s">
        <v>13557</v>
      </c>
      <c r="I2954" t="s">
        <v>13558</v>
      </c>
      <c r="J2954" t="s">
        <v>13559</v>
      </c>
      <c r="K2954" t="s">
        <v>3952</v>
      </c>
      <c r="L2954" t="s">
        <v>13560</v>
      </c>
      <c r="M2954" t="s">
        <v>8891</v>
      </c>
      <c r="N2954" t="s">
        <v>1049</v>
      </c>
      <c r="O2954" t="s">
        <v>13088</v>
      </c>
      <c r="P2954" t="s">
        <v>13561</v>
      </c>
      <c r="Q2954" t="s">
        <v>13562</v>
      </c>
      <c r="R2954">
        <v>10</v>
      </c>
      <c r="S2954">
        <v>16</v>
      </c>
    </row>
    <row r="2955" spans="1:19" x14ac:dyDescent="0.35">
      <c r="A2955">
        <v>129</v>
      </c>
      <c r="B2955" t="s">
        <v>2902</v>
      </c>
      <c r="C2955" t="s">
        <v>42</v>
      </c>
      <c r="D2955" t="s">
        <v>13716</v>
      </c>
      <c r="E2955" t="e" cm="1">
        <f t="array" ref="E2955">- SILDENAFIL CITRATE</f>
        <v>#NAME?</v>
      </c>
      <c r="F2955" t="s">
        <v>13717</v>
      </c>
      <c r="G2955" t="s">
        <v>8185</v>
      </c>
      <c r="H2955" t="s">
        <v>3854</v>
      </c>
      <c r="I2955" t="s">
        <v>8186</v>
      </c>
      <c r="J2955" t="s">
        <v>9149</v>
      </c>
      <c r="L2955" t="s">
        <v>8188</v>
      </c>
      <c r="M2955" t="s">
        <v>46</v>
      </c>
      <c r="N2955" t="s">
        <v>2519</v>
      </c>
      <c r="O2955" t="s">
        <v>8189</v>
      </c>
      <c r="P2955" t="s">
        <v>12541</v>
      </c>
      <c r="Q2955" t="s">
        <v>12542</v>
      </c>
      <c r="R2955">
        <v>10</v>
      </c>
      <c r="S2955">
        <v>16</v>
      </c>
    </row>
    <row r="2956" spans="1:19" x14ac:dyDescent="0.35">
      <c r="A2956">
        <v>9170</v>
      </c>
      <c r="B2956" t="s">
        <v>13611</v>
      </c>
      <c r="C2956" t="s">
        <v>42</v>
      </c>
      <c r="D2956" t="s">
        <v>13612</v>
      </c>
      <c r="E2956" t="e" cm="1">
        <f t="array" ref="E2956">- LOSARTAN POTASSIUM</f>
        <v>#NAME?</v>
      </c>
      <c r="F2956" t="s">
        <v>13613</v>
      </c>
      <c r="G2956" t="s">
        <v>60</v>
      </c>
      <c r="H2956" t="s">
        <v>2643</v>
      </c>
      <c r="I2956" t="s">
        <v>9523</v>
      </c>
      <c r="J2956" t="s">
        <v>2992</v>
      </c>
      <c r="K2956" t="s">
        <v>13614</v>
      </c>
      <c r="L2956" t="s">
        <v>13615</v>
      </c>
      <c r="M2956" t="s">
        <v>46</v>
      </c>
      <c r="N2956" t="s">
        <v>2860</v>
      </c>
      <c r="O2956" t="s">
        <v>9526</v>
      </c>
      <c r="P2956" t="s">
        <v>13616</v>
      </c>
      <c r="Q2956" t="s">
        <v>13617</v>
      </c>
      <c r="R2956">
        <v>10</v>
      </c>
      <c r="S2956">
        <v>16</v>
      </c>
    </row>
    <row r="2957" spans="1:19" x14ac:dyDescent="0.35">
      <c r="A2957">
        <v>2486</v>
      </c>
      <c r="B2957" t="s">
        <v>13706</v>
      </c>
      <c r="C2957" t="s">
        <v>42</v>
      </c>
      <c r="D2957" t="s">
        <v>13707</v>
      </c>
      <c r="E2957" t="e" cm="1">
        <f t="array" ref="E2957">- NABUMETONE</f>
        <v>#NAME?</v>
      </c>
      <c r="F2957" t="s">
        <v>13708</v>
      </c>
      <c r="H2957" t="s">
        <v>13709</v>
      </c>
      <c r="I2957" t="s">
        <v>13710</v>
      </c>
      <c r="J2957" t="s">
        <v>13711</v>
      </c>
      <c r="L2957" t="s">
        <v>321</v>
      </c>
      <c r="M2957" t="s">
        <v>46</v>
      </c>
      <c r="N2957" t="s">
        <v>13712</v>
      </c>
      <c r="O2957" t="s">
        <v>13713</v>
      </c>
      <c r="P2957" t="s">
        <v>13714</v>
      </c>
      <c r="Q2957" t="s">
        <v>13715</v>
      </c>
      <c r="R2957">
        <v>10</v>
      </c>
      <c r="S2957">
        <v>16</v>
      </c>
    </row>
    <row r="2958" spans="1:19" x14ac:dyDescent="0.35">
      <c r="A2958">
        <v>1679</v>
      </c>
      <c r="B2958" t="s">
        <v>13718</v>
      </c>
      <c r="C2958" t="s">
        <v>42</v>
      </c>
      <c r="D2958" t="s">
        <v>13719</v>
      </c>
      <c r="E2958" t="e" cm="1">
        <f t="array" ref="E2958">- FLUTICASONE FUROATE</f>
        <v>#NAME?</v>
      </c>
      <c r="F2958" t="s">
        <v>13720</v>
      </c>
      <c r="G2958" t="s">
        <v>13721</v>
      </c>
      <c r="H2958" t="s">
        <v>13722</v>
      </c>
      <c r="I2958" t="s">
        <v>13723</v>
      </c>
      <c r="J2958" t="s">
        <v>13724</v>
      </c>
      <c r="K2958" t="s">
        <v>13725</v>
      </c>
      <c r="L2958" t="s">
        <v>13726</v>
      </c>
      <c r="M2958" t="s">
        <v>340</v>
      </c>
      <c r="N2958" t="s">
        <v>13727</v>
      </c>
      <c r="O2958" t="s">
        <v>13728</v>
      </c>
      <c r="P2958" t="s">
        <v>13729</v>
      </c>
      <c r="Q2958" t="s">
        <v>13730</v>
      </c>
      <c r="R2958">
        <v>11</v>
      </c>
      <c r="S2958">
        <v>16</v>
      </c>
    </row>
    <row r="2959" spans="1:19" x14ac:dyDescent="0.35">
      <c r="A2959">
        <v>4678</v>
      </c>
      <c r="B2959" t="s">
        <v>12464</v>
      </c>
      <c r="C2959" t="s">
        <v>42</v>
      </c>
      <c r="D2959" t="s">
        <v>12465</v>
      </c>
      <c r="E2959" t="e" cm="1">
        <f t="array" ref="E2959">- GATIFLOXACIN SESQUIHYDRATE</f>
        <v>#NAME?</v>
      </c>
      <c r="F2959" s="1">
        <v>113000</v>
      </c>
      <c r="G2959" t="s">
        <v>7569</v>
      </c>
      <c r="H2959" t="s">
        <v>12466</v>
      </c>
      <c r="I2959" t="s">
        <v>12467</v>
      </c>
      <c r="J2959" t="s">
        <v>12468</v>
      </c>
      <c r="K2959" t="s">
        <v>2858</v>
      </c>
      <c r="L2959" t="s">
        <v>12469</v>
      </c>
      <c r="M2959" t="s">
        <v>824</v>
      </c>
      <c r="N2959" t="s">
        <v>13731</v>
      </c>
      <c r="O2959" t="s">
        <v>12471</v>
      </c>
      <c r="P2959" t="s">
        <v>12472</v>
      </c>
      <c r="Q2959" t="s">
        <v>13732</v>
      </c>
      <c r="R2959">
        <v>11</v>
      </c>
      <c r="S2959">
        <v>16</v>
      </c>
    </row>
    <row r="2960" spans="1:19" x14ac:dyDescent="0.35">
      <c r="A2960">
        <v>223</v>
      </c>
      <c r="B2960" t="s">
        <v>2902</v>
      </c>
      <c r="C2960" t="s">
        <v>42</v>
      </c>
      <c r="D2960" t="s">
        <v>13733</v>
      </c>
      <c r="E2960" t="e" cm="1">
        <f t="array" ref="E2960">- SILDENAFIL CITRATE</f>
        <v>#NAME?</v>
      </c>
      <c r="F2960" t="s">
        <v>13734</v>
      </c>
      <c r="G2960" t="s">
        <v>13735</v>
      </c>
      <c r="H2960" t="s">
        <v>1322</v>
      </c>
      <c r="I2960" t="s">
        <v>13736</v>
      </c>
      <c r="J2960" t="s">
        <v>8485</v>
      </c>
      <c r="L2960" t="s">
        <v>13737</v>
      </c>
      <c r="M2960" t="s">
        <v>46</v>
      </c>
      <c r="N2960" t="s">
        <v>2519</v>
      </c>
      <c r="O2960" t="s">
        <v>13738</v>
      </c>
      <c r="P2960" t="s">
        <v>13739</v>
      </c>
      <c r="Q2960" t="s">
        <v>13740</v>
      </c>
      <c r="R2960">
        <v>11</v>
      </c>
      <c r="S2960">
        <v>16</v>
      </c>
    </row>
    <row r="2961" spans="1:19" x14ac:dyDescent="0.35">
      <c r="A2961">
        <v>1678</v>
      </c>
      <c r="B2961" t="s">
        <v>13718</v>
      </c>
      <c r="C2961" t="s">
        <v>42</v>
      </c>
      <c r="D2961" t="s">
        <v>13719</v>
      </c>
      <c r="E2961" t="e" cm="1">
        <f t="array" ref="E2961">- FLUTICASONE FUROATE</f>
        <v>#NAME?</v>
      </c>
      <c r="F2961" t="s">
        <v>13720</v>
      </c>
      <c r="G2961" t="s">
        <v>13721</v>
      </c>
      <c r="H2961" t="s">
        <v>13722</v>
      </c>
      <c r="I2961" t="s">
        <v>13723</v>
      </c>
      <c r="J2961" t="s">
        <v>13724</v>
      </c>
      <c r="K2961" t="s">
        <v>13725</v>
      </c>
      <c r="L2961" t="s">
        <v>13726</v>
      </c>
      <c r="M2961" t="s">
        <v>340</v>
      </c>
      <c r="N2961" t="s">
        <v>13727</v>
      </c>
      <c r="O2961" t="s">
        <v>13728</v>
      </c>
      <c r="P2961" t="s">
        <v>13729</v>
      </c>
      <c r="Q2961" t="s">
        <v>13730</v>
      </c>
      <c r="R2961">
        <v>11</v>
      </c>
      <c r="S2961">
        <v>16</v>
      </c>
    </row>
    <row r="2962" spans="1:19" x14ac:dyDescent="0.35">
      <c r="A2962">
        <v>567</v>
      </c>
      <c r="B2962" t="s">
        <v>13741</v>
      </c>
      <c r="C2962" t="s">
        <v>42</v>
      </c>
      <c r="D2962" t="s">
        <v>13742</v>
      </c>
      <c r="E2962" t="e" cm="1">
        <f t="array" ref="E2962">- SALBUTAMOL SULFATE</f>
        <v>#NAME?</v>
      </c>
      <c r="F2962" t="s">
        <v>13743</v>
      </c>
      <c r="G2962" t="s">
        <v>13744</v>
      </c>
      <c r="H2962" t="s">
        <v>13745</v>
      </c>
      <c r="I2962" t="s">
        <v>13746</v>
      </c>
      <c r="J2962" t="s">
        <v>13747</v>
      </c>
      <c r="K2962" t="s">
        <v>13748</v>
      </c>
      <c r="L2962" t="s">
        <v>13749</v>
      </c>
      <c r="M2962" t="s">
        <v>3453</v>
      </c>
      <c r="N2962" t="s">
        <v>3424</v>
      </c>
      <c r="O2962" t="s">
        <v>13750</v>
      </c>
      <c r="P2962" t="s">
        <v>13751</v>
      </c>
      <c r="Q2962" t="s">
        <v>13752</v>
      </c>
      <c r="R2962">
        <v>11</v>
      </c>
      <c r="S2962">
        <v>16</v>
      </c>
    </row>
    <row r="2963" spans="1:19" x14ac:dyDescent="0.35">
      <c r="A2963">
        <v>1984</v>
      </c>
      <c r="B2963" t="s">
        <v>6550</v>
      </c>
      <c r="C2963" t="s">
        <v>20</v>
      </c>
      <c r="D2963" t="s">
        <v>13753</v>
      </c>
      <c r="E2963" t="s">
        <v>6552</v>
      </c>
      <c r="F2963" t="s">
        <v>13754</v>
      </c>
      <c r="G2963" t="s">
        <v>2241</v>
      </c>
      <c r="H2963" t="s">
        <v>13755</v>
      </c>
      <c r="I2963" t="s">
        <v>6643</v>
      </c>
      <c r="J2963" t="s">
        <v>334</v>
      </c>
      <c r="L2963" t="s">
        <v>6644</v>
      </c>
      <c r="M2963" t="s">
        <v>271</v>
      </c>
      <c r="N2963" t="s">
        <v>6554</v>
      </c>
      <c r="O2963" t="s">
        <v>5250</v>
      </c>
      <c r="P2963" t="s">
        <v>6555</v>
      </c>
      <c r="Q2963" t="s">
        <v>13756</v>
      </c>
      <c r="R2963">
        <v>11</v>
      </c>
      <c r="S2963">
        <v>16</v>
      </c>
    </row>
    <row r="2964" spans="1:19" x14ac:dyDescent="0.35">
      <c r="A2964">
        <v>3353</v>
      </c>
      <c r="B2964" t="s">
        <v>13757</v>
      </c>
      <c r="C2964" t="s">
        <v>42</v>
      </c>
      <c r="D2964" t="s">
        <v>13758</v>
      </c>
      <c r="E2964" t="e" cm="1">
        <f t="array" ref="E2964">- CIMETIDINE</f>
        <v>#NAME?</v>
      </c>
      <c r="F2964" t="s">
        <v>13759</v>
      </c>
      <c r="G2964" t="s">
        <v>13760</v>
      </c>
      <c r="H2964" t="s">
        <v>13761</v>
      </c>
      <c r="I2964" t="s">
        <v>13762</v>
      </c>
      <c r="J2964" t="s">
        <v>381</v>
      </c>
      <c r="K2964" t="s">
        <v>13763</v>
      </c>
      <c r="L2964" t="s">
        <v>13087</v>
      </c>
      <c r="M2964" t="s">
        <v>46</v>
      </c>
      <c r="N2964" t="s">
        <v>396</v>
      </c>
      <c r="O2964" t="s">
        <v>13764</v>
      </c>
      <c r="P2964" t="s">
        <v>13765</v>
      </c>
      <c r="Q2964" t="s">
        <v>13766</v>
      </c>
      <c r="R2964">
        <v>11</v>
      </c>
      <c r="S2964">
        <v>16</v>
      </c>
    </row>
    <row r="2965" spans="1:19" x14ac:dyDescent="0.35">
      <c r="A2965">
        <v>1689</v>
      </c>
      <c r="B2965" t="s">
        <v>13767</v>
      </c>
      <c r="C2965" t="s">
        <v>42</v>
      </c>
      <c r="D2965" t="s">
        <v>13768</v>
      </c>
      <c r="E2965" t="e" cm="1">
        <f t="array" ref="E2965">- MOMETASONE FUROATE MONOHYDRATE</f>
        <v>#NAME?</v>
      </c>
      <c r="F2965" t="s">
        <v>13769</v>
      </c>
      <c r="G2965" t="s">
        <v>13770</v>
      </c>
      <c r="H2965" t="s">
        <v>13771</v>
      </c>
      <c r="I2965" t="s">
        <v>13772</v>
      </c>
      <c r="J2965" t="s">
        <v>13773</v>
      </c>
      <c r="K2965" t="s">
        <v>2726</v>
      </c>
      <c r="L2965" t="s">
        <v>13774</v>
      </c>
      <c r="M2965" t="s">
        <v>3453</v>
      </c>
      <c r="N2965" t="s">
        <v>13775</v>
      </c>
      <c r="O2965" t="s">
        <v>13776</v>
      </c>
      <c r="P2965" t="s">
        <v>13777</v>
      </c>
      <c r="Q2965" t="s">
        <v>13778</v>
      </c>
      <c r="R2965">
        <v>11</v>
      </c>
      <c r="S2965">
        <v>16</v>
      </c>
    </row>
    <row r="2966" spans="1:19" x14ac:dyDescent="0.35">
      <c r="A2966">
        <v>1688</v>
      </c>
      <c r="B2966" t="s">
        <v>13767</v>
      </c>
      <c r="C2966" t="s">
        <v>42</v>
      </c>
      <c r="D2966" t="s">
        <v>13768</v>
      </c>
      <c r="E2966" t="e" cm="1">
        <f t="array" ref="E2966">- MOMETASONE FUROATE MONOHYDRATE</f>
        <v>#NAME?</v>
      </c>
      <c r="F2966" t="s">
        <v>13769</v>
      </c>
      <c r="G2966" t="s">
        <v>13770</v>
      </c>
      <c r="H2966" t="s">
        <v>13771</v>
      </c>
      <c r="I2966" t="s">
        <v>13772</v>
      </c>
      <c r="J2966" t="s">
        <v>13773</v>
      </c>
      <c r="K2966" t="s">
        <v>2726</v>
      </c>
      <c r="L2966" t="s">
        <v>13774</v>
      </c>
      <c r="M2966" t="s">
        <v>3453</v>
      </c>
      <c r="N2966" t="s">
        <v>13775</v>
      </c>
      <c r="O2966" t="s">
        <v>13776</v>
      </c>
      <c r="P2966" t="s">
        <v>13777</v>
      </c>
      <c r="Q2966" t="s">
        <v>13778</v>
      </c>
      <c r="R2966">
        <v>11</v>
      </c>
      <c r="S2966">
        <v>16</v>
      </c>
    </row>
    <row r="2967" spans="1:19" x14ac:dyDescent="0.35">
      <c r="A2967">
        <v>1687</v>
      </c>
      <c r="B2967" t="s">
        <v>13767</v>
      </c>
      <c r="C2967" t="s">
        <v>42</v>
      </c>
      <c r="D2967" t="s">
        <v>13768</v>
      </c>
      <c r="E2967" t="e" cm="1">
        <f t="array" ref="E2967">- MOMETASONE FUROATE MONOHYDRATE</f>
        <v>#NAME?</v>
      </c>
      <c r="F2967" t="s">
        <v>13769</v>
      </c>
      <c r="G2967" t="s">
        <v>13770</v>
      </c>
      <c r="H2967" t="s">
        <v>13771</v>
      </c>
      <c r="I2967" t="s">
        <v>13772</v>
      </c>
      <c r="J2967" t="s">
        <v>13773</v>
      </c>
      <c r="K2967" t="s">
        <v>2726</v>
      </c>
      <c r="L2967" t="s">
        <v>13774</v>
      </c>
      <c r="M2967" t="s">
        <v>3453</v>
      </c>
      <c r="N2967" t="s">
        <v>13775</v>
      </c>
      <c r="O2967" t="s">
        <v>13776</v>
      </c>
      <c r="P2967" t="s">
        <v>13777</v>
      </c>
      <c r="Q2967" t="s">
        <v>13778</v>
      </c>
      <c r="R2967">
        <v>11</v>
      </c>
      <c r="S2967">
        <v>16</v>
      </c>
    </row>
    <row r="2968" spans="1:19" x14ac:dyDescent="0.35">
      <c r="A2968">
        <v>1686</v>
      </c>
      <c r="B2968" t="s">
        <v>13767</v>
      </c>
      <c r="C2968" t="s">
        <v>42</v>
      </c>
      <c r="D2968" t="s">
        <v>13768</v>
      </c>
      <c r="E2968" t="e" cm="1">
        <f t="array" ref="E2968">- MOMETASONE FUROATE MONOHYDRATE</f>
        <v>#NAME?</v>
      </c>
      <c r="F2968" t="s">
        <v>13769</v>
      </c>
      <c r="G2968" t="s">
        <v>13770</v>
      </c>
      <c r="H2968" t="s">
        <v>13771</v>
      </c>
      <c r="I2968" t="s">
        <v>13772</v>
      </c>
      <c r="J2968" t="s">
        <v>13773</v>
      </c>
      <c r="K2968" t="s">
        <v>2726</v>
      </c>
      <c r="L2968" t="s">
        <v>13774</v>
      </c>
      <c r="M2968" t="s">
        <v>3453</v>
      </c>
      <c r="N2968" t="s">
        <v>13775</v>
      </c>
      <c r="O2968" t="s">
        <v>13776</v>
      </c>
      <c r="P2968" t="s">
        <v>13777</v>
      </c>
      <c r="Q2968" t="s">
        <v>13778</v>
      </c>
      <c r="R2968">
        <v>11</v>
      </c>
      <c r="S2968">
        <v>16</v>
      </c>
    </row>
    <row r="2969" spans="1:19" x14ac:dyDescent="0.35">
      <c r="A2969">
        <v>568</v>
      </c>
      <c r="B2969" t="s">
        <v>13741</v>
      </c>
      <c r="C2969" t="s">
        <v>42</v>
      </c>
      <c r="D2969" t="s">
        <v>13742</v>
      </c>
      <c r="E2969" t="e" cm="1">
        <f t="array" ref="E2969">- SALBUTAMOL SULFATE</f>
        <v>#NAME?</v>
      </c>
      <c r="F2969" t="s">
        <v>13743</v>
      </c>
      <c r="G2969" t="s">
        <v>13744</v>
      </c>
      <c r="H2969" t="s">
        <v>13745</v>
      </c>
      <c r="I2969" t="s">
        <v>13746</v>
      </c>
      <c r="J2969" t="s">
        <v>13747</v>
      </c>
      <c r="K2969" t="s">
        <v>13748</v>
      </c>
      <c r="L2969" t="s">
        <v>13749</v>
      </c>
      <c r="M2969" t="s">
        <v>3453</v>
      </c>
      <c r="N2969" t="s">
        <v>3424</v>
      </c>
      <c r="O2969" t="s">
        <v>13750</v>
      </c>
      <c r="P2969" t="s">
        <v>13751</v>
      </c>
      <c r="Q2969" t="s">
        <v>13752</v>
      </c>
      <c r="R2969">
        <v>11</v>
      </c>
      <c r="S2969">
        <v>16</v>
      </c>
    </row>
    <row r="2970" spans="1:19" x14ac:dyDescent="0.35">
      <c r="A2970">
        <v>1685</v>
      </c>
      <c r="B2970" t="s">
        <v>13767</v>
      </c>
      <c r="C2970" t="s">
        <v>42</v>
      </c>
      <c r="D2970" t="s">
        <v>13768</v>
      </c>
      <c r="E2970" t="e" cm="1">
        <f t="array" ref="E2970">- MOMETASONE FUROATE MONOHYDRATE</f>
        <v>#NAME?</v>
      </c>
      <c r="F2970" t="s">
        <v>13769</v>
      </c>
      <c r="G2970" t="s">
        <v>13770</v>
      </c>
      <c r="H2970" t="s">
        <v>13771</v>
      </c>
      <c r="I2970" t="s">
        <v>13772</v>
      </c>
      <c r="J2970" t="s">
        <v>13773</v>
      </c>
      <c r="K2970" t="s">
        <v>2726</v>
      </c>
      <c r="L2970" t="s">
        <v>13774</v>
      </c>
      <c r="M2970" t="s">
        <v>3453</v>
      </c>
      <c r="N2970" t="s">
        <v>13775</v>
      </c>
      <c r="O2970" t="s">
        <v>13776</v>
      </c>
      <c r="P2970" t="s">
        <v>13777</v>
      </c>
      <c r="Q2970" t="s">
        <v>13778</v>
      </c>
      <c r="R2970">
        <v>11</v>
      </c>
      <c r="S2970">
        <v>16</v>
      </c>
    </row>
    <row r="2971" spans="1:19" x14ac:dyDescent="0.35">
      <c r="A2971">
        <v>5021</v>
      </c>
      <c r="B2971" t="s">
        <v>13779</v>
      </c>
      <c r="C2971" t="s">
        <v>42</v>
      </c>
      <c r="D2971" t="s">
        <v>13780</v>
      </c>
      <c r="E2971" t="e" cm="1">
        <f t="array" ref="E2971">- MOMETASONE FUROATE</f>
        <v>#NAME?</v>
      </c>
      <c r="F2971" t="s">
        <v>13781</v>
      </c>
      <c r="G2971" t="s">
        <v>13782</v>
      </c>
      <c r="H2971" t="s">
        <v>6538</v>
      </c>
      <c r="I2971" t="s">
        <v>13783</v>
      </c>
      <c r="J2971" t="s">
        <v>7123</v>
      </c>
      <c r="K2971" t="s">
        <v>2858</v>
      </c>
      <c r="L2971" t="s">
        <v>13784</v>
      </c>
      <c r="M2971" t="s">
        <v>1289</v>
      </c>
      <c r="N2971" t="s">
        <v>13785</v>
      </c>
      <c r="O2971" t="s">
        <v>13786</v>
      </c>
      <c r="P2971" t="s">
        <v>13787</v>
      </c>
      <c r="Q2971" t="s">
        <v>13788</v>
      </c>
      <c r="R2971">
        <v>11</v>
      </c>
      <c r="S2971">
        <v>16</v>
      </c>
    </row>
    <row r="2972" spans="1:19" x14ac:dyDescent="0.35">
      <c r="A2972">
        <v>1982</v>
      </c>
      <c r="B2972" t="s">
        <v>6550</v>
      </c>
      <c r="C2972" t="s">
        <v>20</v>
      </c>
      <c r="D2972" t="s">
        <v>13753</v>
      </c>
      <c r="E2972" t="s">
        <v>6552</v>
      </c>
      <c r="F2972" t="s">
        <v>13754</v>
      </c>
      <c r="G2972" t="s">
        <v>2241</v>
      </c>
      <c r="H2972" t="s">
        <v>13755</v>
      </c>
      <c r="I2972" t="s">
        <v>6643</v>
      </c>
      <c r="J2972" t="s">
        <v>334</v>
      </c>
      <c r="L2972" t="s">
        <v>6644</v>
      </c>
      <c r="M2972" t="s">
        <v>271</v>
      </c>
      <c r="N2972" t="s">
        <v>6554</v>
      </c>
      <c r="O2972" t="s">
        <v>5250</v>
      </c>
      <c r="P2972" t="s">
        <v>6555</v>
      </c>
      <c r="Q2972" t="s">
        <v>13756</v>
      </c>
      <c r="R2972">
        <v>11</v>
      </c>
      <c r="S2972">
        <v>16</v>
      </c>
    </row>
    <row r="2973" spans="1:19" x14ac:dyDescent="0.35">
      <c r="A2973">
        <v>773</v>
      </c>
      <c r="B2973" t="s">
        <v>13789</v>
      </c>
      <c r="C2973" t="s">
        <v>42</v>
      </c>
      <c r="D2973" t="s">
        <v>13790</v>
      </c>
      <c r="E2973" t="e" cm="1">
        <f t="array" ref="E2973">- ERDOSTEINE</f>
        <v>#NAME?</v>
      </c>
      <c r="F2973" t="s">
        <v>13791</v>
      </c>
      <c r="G2973" t="s">
        <v>60</v>
      </c>
      <c r="H2973" t="s">
        <v>13792</v>
      </c>
    </row>
    <row r="2974" spans="1:19" x14ac:dyDescent="0.35">
      <c r="A2974">
        <v>5465</v>
      </c>
      <c r="B2974" t="s">
        <v>13793</v>
      </c>
      <c r="C2974" t="s">
        <v>42</v>
      </c>
      <c r="D2974" t="s">
        <v>13794</v>
      </c>
      <c r="E2974" t="e" cm="1">
        <f t="array" ref="E2974">- BETAMETHASONE VALERATE</f>
        <v>#NAME?</v>
      </c>
      <c r="F2974" t="s">
        <v>13795</v>
      </c>
      <c r="G2974" t="s">
        <v>13796</v>
      </c>
      <c r="H2974" t="s">
        <v>9718</v>
      </c>
      <c r="I2974" t="s">
        <v>13797</v>
      </c>
      <c r="J2974" t="s">
        <v>13798</v>
      </c>
      <c r="K2974" t="s">
        <v>13799</v>
      </c>
      <c r="L2974" t="s">
        <v>13800</v>
      </c>
      <c r="M2974" t="s">
        <v>1289</v>
      </c>
      <c r="N2974" t="s">
        <v>2059</v>
      </c>
      <c r="O2974" t="s">
        <v>13801</v>
      </c>
      <c r="P2974" t="s">
        <v>13802</v>
      </c>
      <c r="Q2974" t="s">
        <v>13803</v>
      </c>
      <c r="R2974">
        <v>11</v>
      </c>
      <c r="S2974">
        <v>16</v>
      </c>
    </row>
    <row r="2975" spans="1:19" x14ac:dyDescent="0.35">
      <c r="A2975">
        <v>3231</v>
      </c>
      <c r="B2975" t="s">
        <v>4175</v>
      </c>
      <c r="C2975" t="s">
        <v>42</v>
      </c>
      <c r="D2975" t="s">
        <v>4176</v>
      </c>
      <c r="E2975" t="s">
        <v>13804</v>
      </c>
      <c r="F2975" t="s">
        <v>4177</v>
      </c>
      <c r="J2975" t="s">
        <v>334</v>
      </c>
      <c r="M2975" t="s">
        <v>340</v>
      </c>
      <c r="N2975" t="s">
        <v>13805</v>
      </c>
      <c r="P2975" t="s">
        <v>4178</v>
      </c>
      <c r="Q2975" t="s">
        <v>13806</v>
      </c>
      <c r="R2975">
        <v>11</v>
      </c>
      <c r="S2975">
        <v>16</v>
      </c>
    </row>
    <row r="2976" spans="1:19" x14ac:dyDescent="0.35">
      <c r="A2976">
        <v>1995</v>
      </c>
      <c r="B2976" t="s">
        <v>13807</v>
      </c>
      <c r="C2976" t="s">
        <v>20</v>
      </c>
      <c r="D2976" t="s">
        <v>13808</v>
      </c>
      <c r="E2976" t="s">
        <v>13809</v>
      </c>
      <c r="F2976" t="s">
        <v>13810</v>
      </c>
      <c r="G2976" t="s">
        <v>6754</v>
      </c>
      <c r="H2976" t="s">
        <v>13811</v>
      </c>
      <c r="I2976" t="s">
        <v>5235</v>
      </c>
      <c r="J2976" t="s">
        <v>13812</v>
      </c>
      <c r="L2976" t="s">
        <v>6610</v>
      </c>
      <c r="N2976" t="s">
        <v>13813</v>
      </c>
      <c r="O2976" t="s">
        <v>5238</v>
      </c>
      <c r="P2976" t="s">
        <v>13814</v>
      </c>
      <c r="Q2976" t="s">
        <v>13815</v>
      </c>
      <c r="R2976">
        <v>11</v>
      </c>
      <c r="S2976">
        <v>16</v>
      </c>
    </row>
    <row r="2977" spans="1:19" x14ac:dyDescent="0.35">
      <c r="A2977">
        <v>3343</v>
      </c>
      <c r="B2977" t="s">
        <v>13816</v>
      </c>
      <c r="C2977" t="s">
        <v>42</v>
      </c>
      <c r="D2977" t="s">
        <v>13817</v>
      </c>
      <c r="E2977" t="e" cm="1">
        <f t="array" ref="E2977">- KOMBINASI-SIMETHICONE POWDER</f>
        <v>#NAME?</v>
      </c>
      <c r="F2977" s="1">
        <v>12000</v>
      </c>
      <c r="G2977" t="s">
        <v>13818</v>
      </c>
      <c r="H2977" t="s">
        <v>13819</v>
      </c>
      <c r="I2977" t="s">
        <v>13820</v>
      </c>
      <c r="J2977" t="s">
        <v>13821</v>
      </c>
      <c r="M2977" t="s">
        <v>46</v>
      </c>
      <c r="N2977" t="s">
        <v>13822</v>
      </c>
      <c r="O2977" t="s">
        <v>13823</v>
      </c>
      <c r="P2977" t="s">
        <v>13824</v>
      </c>
      <c r="Q2977" t="s">
        <v>13825</v>
      </c>
      <c r="R2977">
        <v>11</v>
      </c>
      <c r="S2977">
        <v>16</v>
      </c>
    </row>
    <row r="2978" spans="1:19" x14ac:dyDescent="0.35">
      <c r="A2978">
        <v>5409</v>
      </c>
      <c r="B2978" t="s">
        <v>13826</v>
      </c>
      <c r="C2978" t="s">
        <v>42</v>
      </c>
      <c r="D2978" t="s">
        <v>13827</v>
      </c>
      <c r="E2978" t="e" cm="1">
        <f t="array" ref="E2978">- FLUOCINOLONE ACETONIDE</f>
        <v>#NAME?</v>
      </c>
      <c r="F2978" t="s">
        <v>13828</v>
      </c>
      <c r="H2978" t="s">
        <v>13829</v>
      </c>
      <c r="I2978" t="s">
        <v>13830</v>
      </c>
      <c r="J2978" t="s">
        <v>1367</v>
      </c>
      <c r="K2978" t="s">
        <v>13831</v>
      </c>
      <c r="L2978" t="s">
        <v>13832</v>
      </c>
      <c r="M2978" t="s">
        <v>1289</v>
      </c>
      <c r="N2978" t="s">
        <v>2766</v>
      </c>
      <c r="O2978" t="s">
        <v>13833</v>
      </c>
      <c r="P2978" t="s">
        <v>13834</v>
      </c>
      <c r="Q2978" t="s">
        <v>13835</v>
      </c>
      <c r="R2978">
        <v>11</v>
      </c>
      <c r="S2978">
        <v>16</v>
      </c>
    </row>
    <row r="2979" spans="1:19" x14ac:dyDescent="0.35">
      <c r="A2979">
        <v>1996</v>
      </c>
      <c r="B2979" t="s">
        <v>13807</v>
      </c>
      <c r="C2979" t="s">
        <v>20</v>
      </c>
      <c r="D2979" t="s">
        <v>13808</v>
      </c>
      <c r="E2979" t="s">
        <v>13809</v>
      </c>
      <c r="F2979" t="s">
        <v>13810</v>
      </c>
      <c r="G2979" t="s">
        <v>6754</v>
      </c>
      <c r="H2979" t="s">
        <v>13811</v>
      </c>
      <c r="I2979" t="s">
        <v>5235</v>
      </c>
      <c r="J2979" t="s">
        <v>13812</v>
      </c>
      <c r="L2979" t="s">
        <v>6610</v>
      </c>
      <c r="N2979" t="s">
        <v>13813</v>
      </c>
      <c r="O2979" t="s">
        <v>5238</v>
      </c>
      <c r="P2979" t="s">
        <v>13814</v>
      </c>
      <c r="Q2979" t="s">
        <v>13815</v>
      </c>
      <c r="R2979">
        <v>11</v>
      </c>
      <c r="S2979">
        <v>16</v>
      </c>
    </row>
    <row r="2980" spans="1:19" x14ac:dyDescent="0.35">
      <c r="A2980">
        <v>5410</v>
      </c>
      <c r="B2980" t="s">
        <v>13826</v>
      </c>
      <c r="C2980" t="s">
        <v>42</v>
      </c>
      <c r="D2980" t="s">
        <v>13827</v>
      </c>
      <c r="E2980" t="e" cm="1">
        <f t="array" ref="E2980">- FLUOCINOLONE ACETONIDE</f>
        <v>#NAME?</v>
      </c>
      <c r="F2980" t="s">
        <v>13828</v>
      </c>
      <c r="H2980" t="s">
        <v>13829</v>
      </c>
      <c r="I2980" t="s">
        <v>13830</v>
      </c>
      <c r="J2980" t="s">
        <v>1367</v>
      </c>
      <c r="K2980" t="s">
        <v>13831</v>
      </c>
      <c r="L2980" t="s">
        <v>13832</v>
      </c>
      <c r="M2980" t="s">
        <v>1289</v>
      </c>
      <c r="N2980" t="s">
        <v>2766</v>
      </c>
      <c r="O2980" t="s">
        <v>13833</v>
      </c>
      <c r="P2980" t="s">
        <v>13834</v>
      </c>
      <c r="Q2980" t="s">
        <v>13835</v>
      </c>
      <c r="R2980">
        <v>11</v>
      </c>
      <c r="S2980">
        <v>16</v>
      </c>
    </row>
    <row r="2981" spans="1:19" x14ac:dyDescent="0.35">
      <c r="A2981">
        <v>9163</v>
      </c>
      <c r="B2981" t="s">
        <v>13836</v>
      </c>
      <c r="C2981" t="s">
        <v>42</v>
      </c>
      <c r="D2981" t="s">
        <v>13837</v>
      </c>
      <c r="E2981" t="e" cm="1">
        <f t="array" ref="E2981">- TERAZOSIN HYDROCHLORIDE</f>
        <v>#NAME?</v>
      </c>
      <c r="F2981" t="s">
        <v>13838</v>
      </c>
      <c r="G2981" t="s">
        <v>60</v>
      </c>
      <c r="H2981" t="s">
        <v>13839</v>
      </c>
      <c r="I2981" t="s">
        <v>13840</v>
      </c>
      <c r="J2981" t="s">
        <v>2978</v>
      </c>
      <c r="K2981" t="s">
        <v>2858</v>
      </c>
      <c r="L2981" t="s">
        <v>13841</v>
      </c>
      <c r="M2981" t="s">
        <v>46</v>
      </c>
      <c r="N2981" t="s">
        <v>13842</v>
      </c>
      <c r="O2981" t="s">
        <v>13843</v>
      </c>
      <c r="P2981" t="s">
        <v>13844</v>
      </c>
      <c r="Q2981" t="s">
        <v>13845</v>
      </c>
      <c r="R2981">
        <v>11</v>
      </c>
      <c r="S2981">
        <v>16</v>
      </c>
    </row>
    <row r="2982" spans="1:19" x14ac:dyDescent="0.35">
      <c r="A2982">
        <v>3230</v>
      </c>
      <c r="B2982" t="s">
        <v>4175</v>
      </c>
      <c r="C2982" t="s">
        <v>42</v>
      </c>
      <c r="D2982" t="s">
        <v>4176</v>
      </c>
      <c r="E2982" t="s">
        <v>13846</v>
      </c>
      <c r="F2982" t="s">
        <v>4177</v>
      </c>
      <c r="J2982" t="s">
        <v>334</v>
      </c>
      <c r="M2982" t="s">
        <v>340</v>
      </c>
      <c r="N2982" t="s">
        <v>13847</v>
      </c>
      <c r="P2982" t="s">
        <v>4178</v>
      </c>
      <c r="Q2982" t="s">
        <v>13848</v>
      </c>
      <c r="R2982">
        <v>11</v>
      </c>
      <c r="S2982">
        <v>16</v>
      </c>
    </row>
    <row r="2983" spans="1:19" x14ac:dyDescent="0.35">
      <c r="A2983">
        <v>1684</v>
      </c>
      <c r="B2983" t="s">
        <v>13767</v>
      </c>
      <c r="C2983" t="s">
        <v>42</v>
      </c>
      <c r="D2983" t="s">
        <v>13768</v>
      </c>
      <c r="E2983" t="e" cm="1">
        <f t="array" ref="E2983">- MOMETASONE FUROATE MONOHYDRATE</f>
        <v>#NAME?</v>
      </c>
      <c r="F2983" t="s">
        <v>13769</v>
      </c>
      <c r="G2983" t="s">
        <v>13770</v>
      </c>
      <c r="H2983" t="s">
        <v>13771</v>
      </c>
      <c r="I2983" t="s">
        <v>13772</v>
      </c>
      <c r="J2983" t="s">
        <v>13773</v>
      </c>
      <c r="K2983" t="s">
        <v>2726</v>
      </c>
      <c r="L2983" t="s">
        <v>13774</v>
      </c>
      <c r="M2983" t="s">
        <v>3453</v>
      </c>
      <c r="N2983" t="s">
        <v>13775</v>
      </c>
      <c r="O2983" t="s">
        <v>13776</v>
      </c>
      <c r="P2983" t="s">
        <v>13777</v>
      </c>
      <c r="Q2983" t="s">
        <v>13778</v>
      </c>
      <c r="R2983">
        <v>11</v>
      </c>
      <c r="S2983">
        <v>16</v>
      </c>
    </row>
    <row r="2984" spans="1:19" x14ac:dyDescent="0.35">
      <c r="A2984">
        <v>467</v>
      </c>
      <c r="B2984" t="s">
        <v>13849</v>
      </c>
      <c r="C2984" t="s">
        <v>42</v>
      </c>
      <c r="D2984" t="s">
        <v>13850</v>
      </c>
      <c r="E2984" t="e" cm="1">
        <f t="array" ref="E2984">- SALBUTAMOL SULFATE</f>
        <v>#NAME?</v>
      </c>
      <c r="F2984" t="s">
        <v>13851</v>
      </c>
      <c r="G2984" t="s">
        <v>737</v>
      </c>
      <c r="H2984" t="s">
        <v>11448</v>
      </c>
      <c r="I2984" t="s">
        <v>11449</v>
      </c>
      <c r="J2984" t="s">
        <v>810</v>
      </c>
      <c r="K2984" t="s">
        <v>13852</v>
      </c>
      <c r="L2984" t="s">
        <v>11451</v>
      </c>
      <c r="M2984" t="s">
        <v>38</v>
      </c>
      <c r="N2984" t="s">
        <v>3424</v>
      </c>
      <c r="O2984" t="s">
        <v>11452</v>
      </c>
      <c r="P2984" t="s">
        <v>13853</v>
      </c>
      <c r="Q2984" t="s">
        <v>13854</v>
      </c>
      <c r="R2984">
        <v>11</v>
      </c>
      <c r="S2984">
        <v>16</v>
      </c>
    </row>
    <row r="2985" spans="1:19" x14ac:dyDescent="0.35">
      <c r="A2985">
        <v>8489</v>
      </c>
      <c r="B2985" t="s">
        <v>551</v>
      </c>
      <c r="C2985" t="s">
        <v>42</v>
      </c>
      <c r="D2985" t="s">
        <v>13855</v>
      </c>
      <c r="E2985" t="e" cm="1">
        <f t="array" ref="E2985">- POVIDONE-IODINE</f>
        <v>#NAME?</v>
      </c>
      <c r="G2985" t="s">
        <v>13856</v>
      </c>
      <c r="I2985" t="s">
        <v>13857</v>
      </c>
      <c r="J2985" t="s">
        <v>13858</v>
      </c>
      <c r="M2985" t="s">
        <v>554</v>
      </c>
      <c r="N2985" t="s">
        <v>555</v>
      </c>
      <c r="O2985" t="s">
        <v>13859</v>
      </c>
      <c r="P2985" t="s">
        <v>13860</v>
      </c>
      <c r="Q2985" t="s">
        <v>13861</v>
      </c>
      <c r="R2985">
        <v>11</v>
      </c>
      <c r="S2985">
        <v>16</v>
      </c>
    </row>
    <row r="2986" spans="1:19" x14ac:dyDescent="0.35">
      <c r="A2986">
        <v>4267</v>
      </c>
      <c r="B2986" t="s">
        <v>13862</v>
      </c>
      <c r="C2986" t="s">
        <v>42</v>
      </c>
      <c r="D2986" t="s">
        <v>13863</v>
      </c>
      <c r="E2986" t="e" cm="1">
        <f t="array" ref="E2986">- CETIRIZINE HYDROCHLORIDE</f>
        <v>#NAME?</v>
      </c>
      <c r="F2986" t="s">
        <v>13864</v>
      </c>
      <c r="G2986" t="s">
        <v>2617</v>
      </c>
      <c r="H2986" t="s">
        <v>13865</v>
      </c>
      <c r="I2986" t="s">
        <v>13866</v>
      </c>
      <c r="J2986" t="s">
        <v>13867</v>
      </c>
      <c r="K2986" t="s">
        <v>13868</v>
      </c>
      <c r="L2986" t="s">
        <v>13869</v>
      </c>
      <c r="M2986" t="s">
        <v>271</v>
      </c>
      <c r="N2986" t="s">
        <v>1390</v>
      </c>
      <c r="O2986" t="s">
        <v>13870</v>
      </c>
      <c r="P2986" t="s">
        <v>13871</v>
      </c>
      <c r="Q2986" t="s">
        <v>13872</v>
      </c>
      <c r="R2986">
        <v>11</v>
      </c>
      <c r="S2986">
        <v>16</v>
      </c>
    </row>
    <row r="2987" spans="1:19" x14ac:dyDescent="0.35">
      <c r="A2987">
        <v>5613</v>
      </c>
      <c r="B2987" t="s">
        <v>13873</v>
      </c>
      <c r="C2987" t="s">
        <v>42</v>
      </c>
      <c r="D2987" t="s">
        <v>13874</v>
      </c>
      <c r="E2987" t="e" cm="1">
        <f t="array" ref="E2987">- METRONIDAZOLE. NYSTATIN</f>
        <v>#NAME?</v>
      </c>
      <c r="F2987" t="s">
        <v>13875</v>
      </c>
      <c r="G2987" t="s">
        <v>13556</v>
      </c>
      <c r="H2987" t="s">
        <v>13557</v>
      </c>
      <c r="I2987" t="s">
        <v>13558</v>
      </c>
      <c r="J2987" t="s">
        <v>13876</v>
      </c>
      <c r="K2987" t="s">
        <v>3952</v>
      </c>
      <c r="L2987" t="s">
        <v>13560</v>
      </c>
      <c r="M2987" t="s">
        <v>8891</v>
      </c>
      <c r="N2987" t="s">
        <v>10960</v>
      </c>
      <c r="O2987" t="s">
        <v>13088</v>
      </c>
      <c r="P2987" t="s">
        <v>13877</v>
      </c>
      <c r="Q2987" t="s">
        <v>13878</v>
      </c>
      <c r="R2987">
        <v>11</v>
      </c>
      <c r="S2987">
        <v>16</v>
      </c>
    </row>
    <row r="2988" spans="1:19" x14ac:dyDescent="0.35">
      <c r="A2988">
        <v>8093</v>
      </c>
      <c r="B2988" t="s">
        <v>551</v>
      </c>
      <c r="C2988" t="s">
        <v>42</v>
      </c>
      <c r="D2988" t="s">
        <v>13879</v>
      </c>
      <c r="E2988" t="e" cm="1">
        <f t="array" ref="E2988">- POVIDONE-IODINE</f>
        <v>#NAME?</v>
      </c>
      <c r="F2988" t="s">
        <v>4499</v>
      </c>
      <c r="H2988" t="s">
        <v>1322</v>
      </c>
      <c r="I2988" t="s">
        <v>9439</v>
      </c>
      <c r="J2988" t="s">
        <v>13880</v>
      </c>
      <c r="M2988" t="s">
        <v>554</v>
      </c>
      <c r="N2988" t="s">
        <v>555</v>
      </c>
      <c r="O2988" t="s">
        <v>9441</v>
      </c>
      <c r="P2988" t="s">
        <v>13881</v>
      </c>
      <c r="Q2988" t="s">
        <v>13882</v>
      </c>
      <c r="R2988">
        <v>11</v>
      </c>
      <c r="S2988">
        <v>16</v>
      </c>
    </row>
    <row r="2989" spans="1:19" x14ac:dyDescent="0.35">
      <c r="A2989">
        <v>4156</v>
      </c>
      <c r="B2989" t="s">
        <v>13883</v>
      </c>
      <c r="C2989" t="s">
        <v>42</v>
      </c>
      <c r="D2989" t="s">
        <v>13884</v>
      </c>
      <c r="E2989" t="e" cm="1">
        <f t="array" ref="E2989">- RUPATADINE FUMARATE</f>
        <v>#NAME?</v>
      </c>
      <c r="F2989" s="1">
        <v>108400</v>
      </c>
      <c r="G2989" t="s">
        <v>13885</v>
      </c>
      <c r="H2989" t="s">
        <v>13886</v>
      </c>
      <c r="I2989" t="s">
        <v>13887</v>
      </c>
      <c r="J2989" t="s">
        <v>13888</v>
      </c>
      <c r="K2989" t="s">
        <v>2726</v>
      </c>
      <c r="L2989" t="s">
        <v>13889</v>
      </c>
      <c r="M2989" t="s">
        <v>46</v>
      </c>
      <c r="N2989" t="s">
        <v>13890</v>
      </c>
      <c r="O2989" t="s">
        <v>13891</v>
      </c>
      <c r="P2989" t="s">
        <v>13892</v>
      </c>
      <c r="Q2989" t="s">
        <v>13893</v>
      </c>
      <c r="R2989">
        <v>11</v>
      </c>
      <c r="S2989">
        <v>16</v>
      </c>
    </row>
    <row r="2990" spans="1:19" x14ac:dyDescent="0.35">
      <c r="A2990">
        <v>774</v>
      </c>
      <c r="B2990" t="s">
        <v>13789</v>
      </c>
      <c r="C2990" t="s">
        <v>42</v>
      </c>
      <c r="D2990" t="s">
        <v>13790</v>
      </c>
      <c r="E2990" t="e" cm="1">
        <f t="array" ref="E2990">- ERDOSTEINE</f>
        <v>#NAME?</v>
      </c>
      <c r="F2990" t="s">
        <v>13791</v>
      </c>
      <c r="G2990" t="s">
        <v>60</v>
      </c>
      <c r="H2990" t="s">
        <v>13792</v>
      </c>
    </row>
    <row r="2991" spans="1:19" x14ac:dyDescent="0.35">
      <c r="A2991">
        <v>4155</v>
      </c>
      <c r="B2991" t="s">
        <v>13883</v>
      </c>
      <c r="C2991" t="s">
        <v>42</v>
      </c>
      <c r="D2991" t="s">
        <v>13884</v>
      </c>
      <c r="E2991" t="e" cm="1">
        <f t="array" ref="E2991">- RUPATADINE FUMARATE</f>
        <v>#NAME?</v>
      </c>
      <c r="F2991" s="1">
        <v>108400</v>
      </c>
      <c r="G2991" t="s">
        <v>13885</v>
      </c>
      <c r="H2991" t="s">
        <v>13886</v>
      </c>
      <c r="I2991" t="s">
        <v>13887</v>
      </c>
      <c r="J2991" t="s">
        <v>13888</v>
      </c>
      <c r="K2991" t="s">
        <v>2726</v>
      </c>
      <c r="L2991" t="s">
        <v>13889</v>
      </c>
      <c r="M2991" t="s">
        <v>46</v>
      </c>
      <c r="N2991" t="s">
        <v>13890</v>
      </c>
      <c r="O2991" t="s">
        <v>13891</v>
      </c>
      <c r="P2991" t="s">
        <v>13892</v>
      </c>
      <c r="Q2991" t="s">
        <v>13893</v>
      </c>
      <c r="R2991">
        <v>11</v>
      </c>
      <c r="S2991">
        <v>16</v>
      </c>
    </row>
    <row r="2992" spans="1:19" x14ac:dyDescent="0.35">
      <c r="A2992">
        <v>344</v>
      </c>
      <c r="B2992" t="s">
        <v>13894</v>
      </c>
      <c r="C2992" t="s">
        <v>42</v>
      </c>
      <c r="D2992" t="s">
        <v>13895</v>
      </c>
      <c r="E2992" t="e" cm="1">
        <f t="array" ref="E2992">- ALLYLESTRENOL</f>
        <v>#NAME?</v>
      </c>
      <c r="F2992" t="s">
        <v>13896</v>
      </c>
      <c r="G2992" t="s">
        <v>1691</v>
      </c>
      <c r="H2992" t="s">
        <v>13897</v>
      </c>
      <c r="I2992" t="s">
        <v>13898</v>
      </c>
      <c r="J2992" t="s">
        <v>599</v>
      </c>
      <c r="K2992" t="s">
        <v>2964</v>
      </c>
      <c r="L2992" t="s">
        <v>13899</v>
      </c>
      <c r="M2992" t="s">
        <v>46</v>
      </c>
      <c r="N2992" t="s">
        <v>368</v>
      </c>
      <c r="O2992" t="s">
        <v>13900</v>
      </c>
      <c r="P2992" t="s">
        <v>13901</v>
      </c>
      <c r="Q2992" t="s">
        <v>13902</v>
      </c>
      <c r="R2992">
        <v>11</v>
      </c>
      <c r="S2992">
        <v>16</v>
      </c>
    </row>
    <row r="2993" spans="1:19" x14ac:dyDescent="0.35">
      <c r="A2993">
        <v>4691</v>
      </c>
      <c r="B2993" t="s">
        <v>13903</v>
      </c>
      <c r="C2993" t="s">
        <v>42</v>
      </c>
      <c r="D2993" t="s">
        <v>13904</v>
      </c>
      <c r="E2993" t="e" cm="1">
        <f t="array" ref="E2993">- NEOMYCIN SULFATE</f>
        <v>#NAME?</v>
      </c>
      <c r="F2993" t="s">
        <v>13905</v>
      </c>
      <c r="G2993" t="s">
        <v>7569</v>
      </c>
      <c r="H2993" t="s">
        <v>13906</v>
      </c>
      <c r="I2993" t="s">
        <v>13907</v>
      </c>
      <c r="J2993" t="s">
        <v>3847</v>
      </c>
      <c r="K2993" t="s">
        <v>8963</v>
      </c>
      <c r="L2993" t="s">
        <v>270</v>
      </c>
      <c r="M2993" t="s">
        <v>824</v>
      </c>
      <c r="N2993" t="s">
        <v>13908</v>
      </c>
      <c r="O2993" t="s">
        <v>13909</v>
      </c>
      <c r="P2993" t="s">
        <v>13910</v>
      </c>
      <c r="Q2993" t="s">
        <v>13911</v>
      </c>
      <c r="R2993">
        <v>11</v>
      </c>
      <c r="S2993">
        <v>16</v>
      </c>
    </row>
    <row r="2994" spans="1:19" x14ac:dyDescent="0.35">
      <c r="A2994">
        <v>3380</v>
      </c>
      <c r="B2994" t="s">
        <v>13912</v>
      </c>
      <c r="C2994" t="s">
        <v>42</v>
      </c>
      <c r="D2994" t="s">
        <v>13913</v>
      </c>
      <c r="E2994" t="e" cm="1">
        <f t="array" ref="E2994">- SUCRALFATE</f>
        <v>#NAME?</v>
      </c>
      <c r="F2994" t="s">
        <v>13914</v>
      </c>
      <c r="G2994" t="s">
        <v>13915</v>
      </c>
      <c r="H2994" t="s">
        <v>13916</v>
      </c>
      <c r="I2994" t="s">
        <v>13917</v>
      </c>
      <c r="J2994" t="s">
        <v>374</v>
      </c>
      <c r="K2994" t="s">
        <v>3473</v>
      </c>
      <c r="L2994" t="s">
        <v>13918</v>
      </c>
      <c r="M2994" t="s">
        <v>340</v>
      </c>
      <c r="N2994" t="s">
        <v>375</v>
      </c>
      <c r="O2994" t="s">
        <v>13919</v>
      </c>
      <c r="P2994" t="s">
        <v>13920</v>
      </c>
      <c r="Q2994" t="s">
        <v>13921</v>
      </c>
      <c r="R2994">
        <v>11</v>
      </c>
      <c r="S2994">
        <v>16</v>
      </c>
    </row>
    <row r="2995" spans="1:19" x14ac:dyDescent="0.35">
      <c r="A2995">
        <v>3379</v>
      </c>
      <c r="B2995" t="s">
        <v>13912</v>
      </c>
      <c r="C2995" t="s">
        <v>42</v>
      </c>
      <c r="D2995" t="s">
        <v>13913</v>
      </c>
      <c r="E2995" t="e" cm="1">
        <f t="array" ref="E2995">- SUCRALFATE</f>
        <v>#NAME?</v>
      </c>
      <c r="F2995" t="s">
        <v>13914</v>
      </c>
      <c r="G2995" t="s">
        <v>13915</v>
      </c>
      <c r="H2995" t="s">
        <v>13916</v>
      </c>
      <c r="I2995" t="s">
        <v>13917</v>
      </c>
      <c r="J2995" t="s">
        <v>374</v>
      </c>
      <c r="K2995" t="s">
        <v>3473</v>
      </c>
      <c r="L2995" t="s">
        <v>13918</v>
      </c>
      <c r="M2995" t="s">
        <v>340</v>
      </c>
      <c r="N2995" t="s">
        <v>375</v>
      </c>
      <c r="O2995" t="s">
        <v>13919</v>
      </c>
      <c r="P2995" t="s">
        <v>13920</v>
      </c>
      <c r="Q2995" t="s">
        <v>13921</v>
      </c>
      <c r="R2995">
        <v>11</v>
      </c>
      <c r="S2995">
        <v>16</v>
      </c>
    </row>
    <row r="2996" spans="1:19" x14ac:dyDescent="0.35">
      <c r="A2996">
        <v>3378</v>
      </c>
      <c r="B2996" t="s">
        <v>13912</v>
      </c>
      <c r="C2996" t="s">
        <v>42</v>
      </c>
      <c r="D2996" t="s">
        <v>13913</v>
      </c>
      <c r="E2996" t="e" cm="1">
        <f t="array" ref="E2996">- SUCRALFATE</f>
        <v>#NAME?</v>
      </c>
      <c r="F2996" t="s">
        <v>13914</v>
      </c>
      <c r="G2996" t="s">
        <v>13915</v>
      </c>
      <c r="H2996" t="s">
        <v>13916</v>
      </c>
      <c r="I2996" t="s">
        <v>13917</v>
      </c>
      <c r="J2996" t="s">
        <v>374</v>
      </c>
      <c r="K2996" t="s">
        <v>3473</v>
      </c>
      <c r="L2996" t="s">
        <v>13918</v>
      </c>
      <c r="M2996" t="s">
        <v>340</v>
      </c>
      <c r="N2996" t="s">
        <v>375</v>
      </c>
      <c r="O2996" t="s">
        <v>13919</v>
      </c>
      <c r="P2996" t="s">
        <v>13920</v>
      </c>
      <c r="Q2996" t="s">
        <v>13921</v>
      </c>
      <c r="R2996">
        <v>11</v>
      </c>
      <c r="S2996">
        <v>16</v>
      </c>
    </row>
    <row r="2997" spans="1:19" x14ac:dyDescent="0.35">
      <c r="A2997">
        <v>1699</v>
      </c>
      <c r="B2997" t="s">
        <v>13767</v>
      </c>
      <c r="C2997" t="s">
        <v>42</v>
      </c>
      <c r="D2997" t="s">
        <v>13768</v>
      </c>
      <c r="E2997" t="e" cm="1">
        <f t="array" ref="E2997">- MOMETASONE FUROATE MONOHYDRATE</f>
        <v>#NAME?</v>
      </c>
      <c r="F2997" t="s">
        <v>13769</v>
      </c>
      <c r="G2997" t="s">
        <v>13770</v>
      </c>
      <c r="H2997" t="s">
        <v>13771</v>
      </c>
      <c r="I2997" t="s">
        <v>13772</v>
      </c>
      <c r="J2997" t="s">
        <v>13773</v>
      </c>
      <c r="K2997" t="s">
        <v>2726</v>
      </c>
      <c r="L2997" t="s">
        <v>13774</v>
      </c>
      <c r="M2997" t="s">
        <v>3453</v>
      </c>
      <c r="N2997" t="s">
        <v>13775</v>
      </c>
      <c r="O2997" t="s">
        <v>13776</v>
      </c>
      <c r="P2997" t="s">
        <v>13777</v>
      </c>
      <c r="Q2997" t="s">
        <v>13778</v>
      </c>
      <c r="R2997">
        <v>11</v>
      </c>
      <c r="S2997">
        <v>16</v>
      </c>
    </row>
    <row r="2998" spans="1:19" x14ac:dyDescent="0.35">
      <c r="A2998">
        <v>3376</v>
      </c>
      <c r="B2998" t="s">
        <v>13922</v>
      </c>
      <c r="C2998" t="s">
        <v>42</v>
      </c>
      <c r="D2998" t="s">
        <v>13923</v>
      </c>
      <c r="E2998" t="e" cm="1">
        <f t="array" ref="E2998">- LANSOPRAZOLE PELLET</f>
        <v>#NAME?</v>
      </c>
      <c r="F2998" t="s">
        <v>13924</v>
      </c>
      <c r="G2998" t="s">
        <v>11823</v>
      </c>
      <c r="H2998" t="s">
        <v>4222</v>
      </c>
      <c r="I2998" t="s">
        <v>11824</v>
      </c>
      <c r="J2998" t="s">
        <v>1181</v>
      </c>
      <c r="K2998" t="s">
        <v>13925</v>
      </c>
      <c r="L2998" t="s">
        <v>11827</v>
      </c>
      <c r="M2998" t="s">
        <v>38</v>
      </c>
      <c r="N2998" t="s">
        <v>13926</v>
      </c>
      <c r="O2998" t="s">
        <v>11828</v>
      </c>
      <c r="P2998" t="s">
        <v>13927</v>
      </c>
      <c r="Q2998" t="s">
        <v>13928</v>
      </c>
      <c r="R2998">
        <v>11</v>
      </c>
      <c r="S2998">
        <v>16</v>
      </c>
    </row>
    <row r="2999" spans="1:19" x14ac:dyDescent="0.35">
      <c r="A2999">
        <v>2762</v>
      </c>
      <c r="B2999" t="s">
        <v>13929</v>
      </c>
      <c r="C2999" t="s">
        <v>42</v>
      </c>
      <c r="D2999" t="s">
        <v>13930</v>
      </c>
      <c r="E2999" t="e" cm="1">
        <f t="array" ref="E2999">- BETAHISTINE HYDROCHLORIDE</f>
        <v>#NAME?</v>
      </c>
      <c r="F2999" t="s">
        <v>13931</v>
      </c>
      <c r="H2999">
        <v>0</v>
      </c>
      <c r="I2999" t="s">
        <v>13932</v>
      </c>
      <c r="J2999" t="s">
        <v>13933</v>
      </c>
      <c r="M2999" t="s">
        <v>46</v>
      </c>
      <c r="N2999" t="s">
        <v>13934</v>
      </c>
      <c r="O2999" t="s">
        <v>13935</v>
      </c>
      <c r="P2999" t="s">
        <v>13936</v>
      </c>
      <c r="Q2999" t="s">
        <v>13937</v>
      </c>
      <c r="R2999">
        <v>11</v>
      </c>
      <c r="S2999">
        <v>16</v>
      </c>
    </row>
    <row r="3000" spans="1:19" x14ac:dyDescent="0.35">
      <c r="A3000">
        <v>1698</v>
      </c>
      <c r="B3000" t="s">
        <v>13767</v>
      </c>
      <c r="C3000" t="s">
        <v>42</v>
      </c>
      <c r="D3000" t="s">
        <v>13768</v>
      </c>
      <c r="E3000" t="e" cm="1">
        <f t="array" ref="E3000">- MOMETASONE FUROATE MONOHYDRATE</f>
        <v>#NAME?</v>
      </c>
      <c r="F3000" t="s">
        <v>13769</v>
      </c>
      <c r="G3000" t="s">
        <v>13770</v>
      </c>
      <c r="H3000" t="s">
        <v>13771</v>
      </c>
      <c r="I3000" t="s">
        <v>13772</v>
      </c>
      <c r="J3000" t="s">
        <v>13773</v>
      </c>
      <c r="K3000" t="s">
        <v>2726</v>
      </c>
      <c r="L3000" t="s">
        <v>13774</v>
      </c>
      <c r="M3000" t="s">
        <v>3453</v>
      </c>
      <c r="N3000" t="s">
        <v>13775</v>
      </c>
      <c r="O3000" t="s">
        <v>13776</v>
      </c>
      <c r="P3000" t="s">
        <v>13777</v>
      </c>
      <c r="Q3000" t="s">
        <v>13778</v>
      </c>
      <c r="R3000">
        <v>11</v>
      </c>
      <c r="S3000">
        <v>16</v>
      </c>
    </row>
    <row r="3001" spans="1:19" x14ac:dyDescent="0.35">
      <c r="A3001">
        <v>1696</v>
      </c>
      <c r="B3001" t="s">
        <v>13767</v>
      </c>
      <c r="C3001" t="s">
        <v>42</v>
      </c>
      <c r="D3001" t="s">
        <v>13768</v>
      </c>
      <c r="E3001" t="e" cm="1">
        <f t="array" ref="E3001">- MOMETASONE FUROATE MONOHYDRATE</f>
        <v>#NAME?</v>
      </c>
      <c r="F3001" t="s">
        <v>13769</v>
      </c>
      <c r="G3001" t="s">
        <v>13770</v>
      </c>
      <c r="H3001" t="s">
        <v>13771</v>
      </c>
      <c r="I3001" t="s">
        <v>13772</v>
      </c>
      <c r="J3001" t="s">
        <v>13773</v>
      </c>
      <c r="K3001" t="s">
        <v>2726</v>
      </c>
      <c r="L3001" t="s">
        <v>13774</v>
      </c>
      <c r="M3001" t="s">
        <v>3453</v>
      </c>
      <c r="N3001" t="s">
        <v>13775</v>
      </c>
      <c r="O3001" t="s">
        <v>13776</v>
      </c>
      <c r="P3001" t="s">
        <v>13777</v>
      </c>
      <c r="Q3001" t="s">
        <v>13778</v>
      </c>
      <c r="R3001">
        <v>11</v>
      </c>
      <c r="S3001">
        <v>16</v>
      </c>
    </row>
    <row r="3002" spans="1:19" x14ac:dyDescent="0.35">
      <c r="A3002">
        <v>5612</v>
      </c>
      <c r="B3002" t="s">
        <v>13873</v>
      </c>
      <c r="C3002" t="s">
        <v>42</v>
      </c>
      <c r="D3002" t="s">
        <v>13874</v>
      </c>
      <c r="E3002" t="e" cm="1">
        <f t="array" ref="E3002">- METRONIDAZOLE. NYSTATIN</f>
        <v>#NAME?</v>
      </c>
      <c r="F3002" t="s">
        <v>13875</v>
      </c>
      <c r="G3002" t="s">
        <v>13556</v>
      </c>
      <c r="H3002" t="s">
        <v>13557</v>
      </c>
      <c r="I3002" t="s">
        <v>13558</v>
      </c>
      <c r="J3002" t="s">
        <v>13876</v>
      </c>
      <c r="K3002" t="s">
        <v>3952</v>
      </c>
      <c r="L3002" t="s">
        <v>13560</v>
      </c>
      <c r="M3002" t="s">
        <v>8891</v>
      </c>
      <c r="N3002" t="s">
        <v>10960</v>
      </c>
      <c r="O3002" t="s">
        <v>13088</v>
      </c>
      <c r="P3002" t="s">
        <v>13877</v>
      </c>
      <c r="Q3002" t="s">
        <v>13878</v>
      </c>
      <c r="R3002">
        <v>11</v>
      </c>
      <c r="S3002">
        <v>16</v>
      </c>
    </row>
    <row r="3003" spans="1:19" x14ac:dyDescent="0.35">
      <c r="A3003">
        <v>8092</v>
      </c>
      <c r="B3003" t="s">
        <v>551</v>
      </c>
      <c r="C3003" t="s">
        <v>42</v>
      </c>
      <c r="D3003" t="s">
        <v>13879</v>
      </c>
      <c r="E3003" t="e" cm="1">
        <f t="array" ref="E3003">- POVIDONE-IODINE</f>
        <v>#NAME?</v>
      </c>
      <c r="F3003" t="s">
        <v>4499</v>
      </c>
      <c r="H3003" t="s">
        <v>1322</v>
      </c>
      <c r="I3003" t="s">
        <v>9439</v>
      </c>
      <c r="J3003" t="s">
        <v>13880</v>
      </c>
      <c r="M3003" t="s">
        <v>554</v>
      </c>
      <c r="N3003" t="s">
        <v>555</v>
      </c>
      <c r="O3003" t="s">
        <v>9441</v>
      </c>
      <c r="P3003" t="s">
        <v>13881</v>
      </c>
      <c r="Q3003" t="s">
        <v>13882</v>
      </c>
      <c r="R3003">
        <v>11</v>
      </c>
      <c r="S3003">
        <v>16</v>
      </c>
    </row>
    <row r="3004" spans="1:19" x14ac:dyDescent="0.35">
      <c r="A3004">
        <v>4930</v>
      </c>
      <c r="B3004" t="s">
        <v>13938</v>
      </c>
      <c r="C3004" t="s">
        <v>42</v>
      </c>
      <c r="D3004" t="s">
        <v>13939</v>
      </c>
      <c r="E3004" t="e" cm="1">
        <f t="array" ref="E3004">- FLUOCINOLONE ACETONIDE</f>
        <v>#NAME?</v>
      </c>
      <c r="F3004" t="s">
        <v>13940</v>
      </c>
      <c r="G3004" t="s">
        <v>13941</v>
      </c>
      <c r="H3004" t="s">
        <v>13942</v>
      </c>
      <c r="I3004" t="s">
        <v>13943</v>
      </c>
      <c r="J3004" t="s">
        <v>13944</v>
      </c>
      <c r="K3004" t="s">
        <v>13945</v>
      </c>
      <c r="L3004" t="s">
        <v>13946</v>
      </c>
      <c r="M3004" t="s">
        <v>1289</v>
      </c>
      <c r="N3004" t="s">
        <v>2766</v>
      </c>
      <c r="O3004" t="s">
        <v>13947</v>
      </c>
      <c r="P3004" t="s">
        <v>13948</v>
      </c>
      <c r="Q3004" t="s">
        <v>13949</v>
      </c>
      <c r="R3004">
        <v>11</v>
      </c>
      <c r="S3004">
        <v>16</v>
      </c>
    </row>
    <row r="3005" spans="1:19" x14ac:dyDescent="0.35">
      <c r="A3005">
        <v>345</v>
      </c>
      <c r="B3005" t="s">
        <v>13894</v>
      </c>
      <c r="C3005" t="s">
        <v>42</v>
      </c>
      <c r="D3005" t="s">
        <v>13895</v>
      </c>
      <c r="E3005" t="e" cm="1">
        <f t="array" ref="E3005">- ALLYLESTRENOL</f>
        <v>#NAME?</v>
      </c>
      <c r="F3005" t="s">
        <v>13896</v>
      </c>
      <c r="G3005" t="s">
        <v>1691</v>
      </c>
      <c r="H3005" t="s">
        <v>13897</v>
      </c>
      <c r="I3005" t="s">
        <v>13898</v>
      </c>
      <c r="J3005" t="s">
        <v>599</v>
      </c>
      <c r="K3005" t="s">
        <v>2964</v>
      </c>
      <c r="L3005" t="s">
        <v>13899</v>
      </c>
      <c r="M3005" t="s">
        <v>46</v>
      </c>
      <c r="N3005" t="s">
        <v>368</v>
      </c>
      <c r="O3005" t="s">
        <v>13900</v>
      </c>
      <c r="P3005" t="s">
        <v>13901</v>
      </c>
      <c r="Q3005" t="s">
        <v>13902</v>
      </c>
      <c r="R3005">
        <v>11</v>
      </c>
      <c r="S3005">
        <v>16</v>
      </c>
    </row>
    <row r="3006" spans="1:19" x14ac:dyDescent="0.35">
      <c r="A3006">
        <v>8493</v>
      </c>
      <c r="B3006" t="s">
        <v>551</v>
      </c>
      <c r="C3006" t="s">
        <v>42</v>
      </c>
      <c r="D3006" t="s">
        <v>13950</v>
      </c>
      <c r="E3006" t="e" cm="1">
        <f t="array" ref="E3006">- POVIDONE-IODINE</f>
        <v>#NAME?</v>
      </c>
      <c r="F3006" t="s">
        <v>13951</v>
      </c>
      <c r="G3006" t="s">
        <v>13952</v>
      </c>
      <c r="H3006" t="s">
        <v>1322</v>
      </c>
      <c r="I3006" t="s">
        <v>13953</v>
      </c>
      <c r="J3006" t="s">
        <v>13954</v>
      </c>
      <c r="L3006" t="s">
        <v>13955</v>
      </c>
      <c r="M3006" t="s">
        <v>554</v>
      </c>
      <c r="N3006" t="s">
        <v>555</v>
      </c>
      <c r="O3006" t="s">
        <v>13956</v>
      </c>
      <c r="P3006" t="s">
        <v>13957</v>
      </c>
      <c r="Q3006" t="s">
        <v>13958</v>
      </c>
      <c r="R3006">
        <v>11</v>
      </c>
      <c r="S3006">
        <v>16</v>
      </c>
    </row>
    <row r="3007" spans="1:19" x14ac:dyDescent="0.35">
      <c r="A3007">
        <v>8492</v>
      </c>
      <c r="B3007" t="s">
        <v>551</v>
      </c>
      <c r="C3007" t="s">
        <v>42</v>
      </c>
      <c r="D3007" t="s">
        <v>13950</v>
      </c>
      <c r="E3007" t="e" cm="1">
        <f t="array" ref="E3007">- POVIDONE-IODINE</f>
        <v>#NAME?</v>
      </c>
      <c r="F3007" t="s">
        <v>13951</v>
      </c>
      <c r="G3007" t="s">
        <v>13952</v>
      </c>
      <c r="H3007" t="s">
        <v>1322</v>
      </c>
      <c r="I3007" t="s">
        <v>13953</v>
      </c>
      <c r="J3007" t="s">
        <v>13954</v>
      </c>
      <c r="L3007" t="s">
        <v>13955</v>
      </c>
      <c r="M3007" t="s">
        <v>554</v>
      </c>
      <c r="N3007" t="s">
        <v>555</v>
      </c>
      <c r="O3007" t="s">
        <v>13956</v>
      </c>
      <c r="P3007" t="s">
        <v>13957</v>
      </c>
      <c r="Q3007" t="s">
        <v>13958</v>
      </c>
      <c r="R3007">
        <v>11</v>
      </c>
      <c r="S3007">
        <v>16</v>
      </c>
    </row>
    <row r="3008" spans="1:19" x14ac:dyDescent="0.35">
      <c r="A3008">
        <v>6670</v>
      </c>
      <c r="B3008" t="s">
        <v>13959</v>
      </c>
      <c r="C3008" t="s">
        <v>42</v>
      </c>
      <c r="D3008" t="s">
        <v>13960</v>
      </c>
      <c r="E3008" t="e" cm="1">
        <f t="array" ref="E3008">- TENOFOVIR DISOPROXIL FUMARATE</f>
        <v>#NAME?</v>
      </c>
      <c r="F3008" t="s">
        <v>13961</v>
      </c>
      <c r="G3008" t="s">
        <v>4045</v>
      </c>
      <c r="H3008" t="s">
        <v>13962</v>
      </c>
      <c r="I3008" t="s">
        <v>13963</v>
      </c>
      <c r="J3008" t="s">
        <v>11590</v>
      </c>
      <c r="K3008" t="s">
        <v>8963</v>
      </c>
      <c r="L3008" t="s">
        <v>13964</v>
      </c>
      <c r="M3008" t="s">
        <v>46</v>
      </c>
      <c r="N3008" t="s">
        <v>13965</v>
      </c>
      <c r="O3008" t="s">
        <v>13966</v>
      </c>
      <c r="P3008" t="s">
        <v>13967</v>
      </c>
      <c r="Q3008" t="s">
        <v>13968</v>
      </c>
      <c r="R3008">
        <v>11</v>
      </c>
      <c r="S3008">
        <v>16</v>
      </c>
    </row>
    <row r="3009" spans="1:19" x14ac:dyDescent="0.35">
      <c r="A3009">
        <v>6669</v>
      </c>
      <c r="B3009" t="s">
        <v>13959</v>
      </c>
      <c r="C3009" t="s">
        <v>42</v>
      </c>
      <c r="D3009" t="s">
        <v>13960</v>
      </c>
      <c r="E3009" t="e" cm="1">
        <f t="array" ref="E3009">- TENOFOVIR DISOPROXIL FUMARATE</f>
        <v>#NAME?</v>
      </c>
      <c r="F3009" t="s">
        <v>13961</v>
      </c>
      <c r="G3009" t="s">
        <v>4045</v>
      </c>
      <c r="H3009" t="s">
        <v>13962</v>
      </c>
      <c r="I3009" t="s">
        <v>13963</v>
      </c>
      <c r="J3009" t="s">
        <v>11590</v>
      </c>
      <c r="K3009" t="s">
        <v>8963</v>
      </c>
      <c r="L3009" t="s">
        <v>13964</v>
      </c>
      <c r="M3009" t="s">
        <v>46</v>
      </c>
      <c r="N3009" t="s">
        <v>13965</v>
      </c>
      <c r="O3009" t="s">
        <v>13966</v>
      </c>
      <c r="P3009" t="s">
        <v>13967</v>
      </c>
      <c r="Q3009" t="s">
        <v>13968</v>
      </c>
      <c r="R3009">
        <v>11</v>
      </c>
      <c r="S3009">
        <v>16</v>
      </c>
    </row>
    <row r="3010" spans="1:19" x14ac:dyDescent="0.35">
      <c r="A3010">
        <v>4931</v>
      </c>
      <c r="B3010" t="s">
        <v>13938</v>
      </c>
      <c r="C3010" t="s">
        <v>42</v>
      </c>
      <c r="D3010" t="s">
        <v>13939</v>
      </c>
      <c r="E3010" t="e" cm="1">
        <f t="array" ref="E3010">- FLUOCINOLONE ACETONIDE</f>
        <v>#NAME?</v>
      </c>
      <c r="F3010" t="s">
        <v>13940</v>
      </c>
      <c r="G3010" t="s">
        <v>13941</v>
      </c>
      <c r="H3010" t="s">
        <v>13942</v>
      </c>
      <c r="I3010" t="s">
        <v>13943</v>
      </c>
      <c r="J3010" t="s">
        <v>13944</v>
      </c>
      <c r="K3010" t="s">
        <v>13945</v>
      </c>
      <c r="L3010" t="s">
        <v>13946</v>
      </c>
      <c r="M3010" t="s">
        <v>1289</v>
      </c>
      <c r="N3010" t="s">
        <v>2766</v>
      </c>
      <c r="O3010" t="s">
        <v>13947</v>
      </c>
      <c r="P3010" t="s">
        <v>13948</v>
      </c>
      <c r="Q3010" t="s">
        <v>13949</v>
      </c>
      <c r="R3010">
        <v>11</v>
      </c>
      <c r="S3010">
        <v>16</v>
      </c>
    </row>
    <row r="3011" spans="1:19" x14ac:dyDescent="0.35">
      <c r="A3011">
        <v>346</v>
      </c>
      <c r="B3011" t="s">
        <v>13894</v>
      </c>
      <c r="C3011" t="s">
        <v>42</v>
      </c>
      <c r="D3011" t="s">
        <v>13895</v>
      </c>
      <c r="E3011" t="e" cm="1">
        <f t="array" ref="E3011">- ALLYLESTRENOL</f>
        <v>#NAME?</v>
      </c>
      <c r="F3011" t="s">
        <v>13896</v>
      </c>
      <c r="G3011" t="s">
        <v>1691</v>
      </c>
      <c r="H3011" t="s">
        <v>13897</v>
      </c>
      <c r="I3011" t="s">
        <v>13898</v>
      </c>
      <c r="J3011" t="s">
        <v>599</v>
      </c>
      <c r="K3011" t="s">
        <v>2964</v>
      </c>
      <c r="L3011" t="s">
        <v>13899</v>
      </c>
      <c r="M3011" t="s">
        <v>46</v>
      </c>
      <c r="N3011" t="s">
        <v>368</v>
      </c>
      <c r="O3011" t="s">
        <v>13900</v>
      </c>
      <c r="P3011" t="s">
        <v>13901</v>
      </c>
      <c r="Q3011" t="s">
        <v>13902</v>
      </c>
      <c r="R3011">
        <v>11</v>
      </c>
      <c r="S3011">
        <v>16</v>
      </c>
    </row>
    <row r="3012" spans="1:19" x14ac:dyDescent="0.35">
      <c r="A3012">
        <v>4934</v>
      </c>
      <c r="B3012" t="s">
        <v>13938</v>
      </c>
      <c r="C3012" t="s">
        <v>42</v>
      </c>
      <c r="D3012" t="s">
        <v>13969</v>
      </c>
      <c r="E3012" t="e" cm="1">
        <f t="array" ref="E3012">- FLUOCINOLONE ACETONIDE</f>
        <v>#NAME?</v>
      </c>
      <c r="F3012" t="s">
        <v>13970</v>
      </c>
      <c r="G3012" t="s">
        <v>13941</v>
      </c>
      <c r="H3012" t="s">
        <v>13942</v>
      </c>
      <c r="I3012" t="s">
        <v>13943</v>
      </c>
      <c r="J3012" t="s">
        <v>1367</v>
      </c>
      <c r="K3012" t="s">
        <v>13971</v>
      </c>
      <c r="L3012" t="s">
        <v>13946</v>
      </c>
      <c r="M3012" t="s">
        <v>1289</v>
      </c>
      <c r="N3012" t="s">
        <v>2766</v>
      </c>
      <c r="O3012" t="s">
        <v>13947</v>
      </c>
      <c r="P3012" t="s">
        <v>13948</v>
      </c>
      <c r="Q3012" t="s">
        <v>13949</v>
      </c>
      <c r="R3012">
        <v>11</v>
      </c>
      <c r="S3012">
        <v>16</v>
      </c>
    </row>
    <row r="3013" spans="1:19" x14ac:dyDescent="0.35">
      <c r="A3013">
        <v>4935</v>
      </c>
      <c r="B3013" t="s">
        <v>13938</v>
      </c>
      <c r="C3013" t="s">
        <v>42</v>
      </c>
      <c r="D3013" t="s">
        <v>13969</v>
      </c>
      <c r="E3013" t="e" cm="1">
        <f t="array" ref="E3013">- FLUOCINOLONE ACETONIDE</f>
        <v>#NAME?</v>
      </c>
      <c r="F3013" t="s">
        <v>13970</v>
      </c>
      <c r="G3013" t="s">
        <v>13941</v>
      </c>
      <c r="H3013" t="s">
        <v>13942</v>
      </c>
      <c r="I3013" t="s">
        <v>13943</v>
      </c>
      <c r="J3013" t="s">
        <v>1367</v>
      </c>
      <c r="K3013" t="s">
        <v>13971</v>
      </c>
      <c r="L3013" t="s">
        <v>13946</v>
      </c>
      <c r="M3013" t="s">
        <v>1289</v>
      </c>
      <c r="N3013" t="s">
        <v>2766</v>
      </c>
      <c r="O3013" t="s">
        <v>13947</v>
      </c>
      <c r="P3013" t="s">
        <v>13948</v>
      </c>
      <c r="Q3013" t="s">
        <v>13949</v>
      </c>
      <c r="R3013">
        <v>11</v>
      </c>
      <c r="S3013">
        <v>16</v>
      </c>
    </row>
    <row r="3014" spans="1:19" x14ac:dyDescent="0.35">
      <c r="A3014">
        <v>1697</v>
      </c>
      <c r="B3014" t="s">
        <v>13767</v>
      </c>
      <c r="C3014" t="s">
        <v>42</v>
      </c>
      <c r="D3014" t="s">
        <v>13768</v>
      </c>
      <c r="E3014" t="e" cm="1">
        <f t="array" ref="E3014">- MOMETASONE FUROATE MONOHYDRATE</f>
        <v>#NAME?</v>
      </c>
      <c r="F3014" t="s">
        <v>13769</v>
      </c>
      <c r="G3014" t="s">
        <v>13770</v>
      </c>
      <c r="H3014" t="s">
        <v>13771</v>
      </c>
      <c r="I3014" t="s">
        <v>13772</v>
      </c>
      <c r="J3014" t="s">
        <v>13773</v>
      </c>
      <c r="K3014" t="s">
        <v>2726</v>
      </c>
      <c r="L3014" t="s">
        <v>13774</v>
      </c>
      <c r="M3014" t="s">
        <v>3453</v>
      </c>
      <c r="N3014" t="s">
        <v>13775</v>
      </c>
      <c r="O3014" t="s">
        <v>13776</v>
      </c>
      <c r="P3014" t="s">
        <v>13777</v>
      </c>
      <c r="Q3014" t="s">
        <v>13778</v>
      </c>
      <c r="R3014">
        <v>11</v>
      </c>
      <c r="S3014">
        <v>16</v>
      </c>
    </row>
    <row r="3015" spans="1:19" x14ac:dyDescent="0.35">
      <c r="A3015">
        <v>4938</v>
      </c>
      <c r="B3015" t="s">
        <v>13972</v>
      </c>
      <c r="C3015" t="s">
        <v>20</v>
      </c>
      <c r="D3015" t="s">
        <v>13973</v>
      </c>
      <c r="E3015" t="s">
        <v>13974</v>
      </c>
      <c r="F3015" t="s">
        <v>13975</v>
      </c>
      <c r="G3015" t="s">
        <v>737</v>
      </c>
      <c r="H3015" t="s">
        <v>4385</v>
      </c>
      <c r="I3015" t="s">
        <v>13976</v>
      </c>
      <c r="J3015" t="s">
        <v>13977</v>
      </c>
      <c r="K3015" t="s">
        <v>3473</v>
      </c>
      <c r="L3015" t="s">
        <v>13978</v>
      </c>
      <c r="M3015" t="s">
        <v>38</v>
      </c>
      <c r="N3015" t="s">
        <v>13979</v>
      </c>
      <c r="O3015" t="s">
        <v>13980</v>
      </c>
      <c r="P3015" t="s">
        <v>13979</v>
      </c>
      <c r="Q3015" t="s">
        <v>13981</v>
      </c>
      <c r="R3015">
        <v>11</v>
      </c>
      <c r="S3015">
        <v>16</v>
      </c>
    </row>
    <row r="3016" spans="1:19" x14ac:dyDescent="0.35">
      <c r="A3016">
        <v>225</v>
      </c>
      <c r="B3016" t="s">
        <v>2902</v>
      </c>
      <c r="C3016" t="s">
        <v>42</v>
      </c>
      <c r="D3016" t="s">
        <v>13982</v>
      </c>
      <c r="E3016" t="e" cm="1">
        <f t="array" ref="E3016">- SILDENAFIL CITRATE</f>
        <v>#NAME?</v>
      </c>
      <c r="F3016" s="1">
        <v>28100</v>
      </c>
      <c r="G3016" t="s">
        <v>13983</v>
      </c>
      <c r="I3016" t="s">
        <v>13984</v>
      </c>
      <c r="J3016" t="s">
        <v>4166</v>
      </c>
      <c r="M3016" t="s">
        <v>46</v>
      </c>
      <c r="N3016" t="s">
        <v>2519</v>
      </c>
      <c r="O3016" t="s">
        <v>13985</v>
      </c>
      <c r="P3016" t="s">
        <v>13986</v>
      </c>
      <c r="Q3016" t="s">
        <v>13987</v>
      </c>
      <c r="R3016">
        <v>11</v>
      </c>
      <c r="S3016">
        <v>16</v>
      </c>
    </row>
    <row r="3017" spans="1:19" x14ac:dyDescent="0.35">
      <c r="A3017">
        <v>5611</v>
      </c>
      <c r="B3017" t="s">
        <v>13873</v>
      </c>
      <c r="C3017" t="s">
        <v>42</v>
      </c>
      <c r="D3017" t="s">
        <v>13874</v>
      </c>
      <c r="E3017" t="e" cm="1">
        <f t="array" ref="E3017">- METRONIDAZOLE. NYSTATIN</f>
        <v>#NAME?</v>
      </c>
      <c r="F3017" t="s">
        <v>13875</v>
      </c>
      <c r="G3017" t="s">
        <v>13556</v>
      </c>
      <c r="H3017" t="s">
        <v>13557</v>
      </c>
      <c r="I3017" t="s">
        <v>13558</v>
      </c>
      <c r="J3017" t="s">
        <v>13876</v>
      </c>
      <c r="K3017" t="s">
        <v>3952</v>
      </c>
      <c r="L3017" t="s">
        <v>13560</v>
      </c>
      <c r="M3017" t="s">
        <v>8891</v>
      </c>
      <c r="N3017" t="s">
        <v>10960</v>
      </c>
      <c r="O3017" t="s">
        <v>13088</v>
      </c>
      <c r="P3017" t="s">
        <v>13877</v>
      </c>
      <c r="Q3017" t="s">
        <v>13878</v>
      </c>
      <c r="R3017">
        <v>11</v>
      </c>
      <c r="S3017">
        <v>16</v>
      </c>
    </row>
    <row r="3018" spans="1:19" x14ac:dyDescent="0.35">
      <c r="A3018">
        <v>2902</v>
      </c>
      <c r="B3018" t="s">
        <v>13988</v>
      </c>
      <c r="C3018" t="s">
        <v>42</v>
      </c>
      <c r="D3018" t="s">
        <v>13989</v>
      </c>
      <c r="E3018" t="e" cm="1">
        <f t="array" ref="E3018">- PARACETAMOL</f>
        <v>#NAME?</v>
      </c>
      <c r="F3018" t="s">
        <v>13990</v>
      </c>
      <c r="I3018" t="s">
        <v>13991</v>
      </c>
      <c r="M3018" t="s">
        <v>271</v>
      </c>
      <c r="N3018" t="s">
        <v>584</v>
      </c>
      <c r="O3018" t="s">
        <v>13992</v>
      </c>
      <c r="P3018" t="s">
        <v>13993</v>
      </c>
      <c r="Q3018" t="s">
        <v>13994</v>
      </c>
      <c r="R3018">
        <v>11</v>
      </c>
      <c r="S3018">
        <v>16</v>
      </c>
    </row>
    <row r="3019" spans="1:19" x14ac:dyDescent="0.35">
      <c r="A3019">
        <v>7949</v>
      </c>
      <c r="B3019" t="s">
        <v>13995</v>
      </c>
      <c r="C3019" t="s">
        <v>20</v>
      </c>
      <c r="D3019" t="s">
        <v>13996</v>
      </c>
      <c r="E3019" t="s">
        <v>13997</v>
      </c>
      <c r="F3019" t="s">
        <v>13998</v>
      </c>
      <c r="G3019" t="s">
        <v>2241</v>
      </c>
      <c r="H3019" t="s">
        <v>13999</v>
      </c>
      <c r="I3019" t="s">
        <v>14000</v>
      </c>
      <c r="J3019" t="s">
        <v>14001</v>
      </c>
      <c r="M3019" t="s">
        <v>38</v>
      </c>
      <c r="N3019" t="s">
        <v>14002</v>
      </c>
      <c r="O3019" t="s">
        <v>14003</v>
      </c>
      <c r="P3019" t="s">
        <v>14004</v>
      </c>
      <c r="Q3019" t="s">
        <v>14005</v>
      </c>
      <c r="R3019">
        <v>11</v>
      </c>
      <c r="S3019">
        <v>16</v>
      </c>
    </row>
    <row r="3020" spans="1:19" x14ac:dyDescent="0.35">
      <c r="A3020">
        <v>6623</v>
      </c>
      <c r="B3020" t="s">
        <v>14006</v>
      </c>
      <c r="C3020" t="s">
        <v>42</v>
      </c>
      <c r="D3020" t="s">
        <v>14007</v>
      </c>
      <c r="E3020" t="e" cm="1">
        <f t="array" ref="E3020">- METHISOPRINOL</f>
        <v>#NAME?</v>
      </c>
      <c r="F3020" t="s">
        <v>14008</v>
      </c>
      <c r="G3020" t="s">
        <v>2453</v>
      </c>
      <c r="H3020" t="s">
        <v>14009</v>
      </c>
      <c r="I3020" t="s">
        <v>14010</v>
      </c>
      <c r="J3020" t="s">
        <v>14011</v>
      </c>
      <c r="K3020" t="s">
        <v>11107</v>
      </c>
      <c r="L3020" t="s">
        <v>14012</v>
      </c>
      <c r="M3020" t="s">
        <v>46</v>
      </c>
      <c r="N3020" t="s">
        <v>322</v>
      </c>
      <c r="O3020" t="s">
        <v>14013</v>
      </c>
      <c r="P3020" t="s">
        <v>322</v>
      </c>
      <c r="Q3020" t="s">
        <v>14014</v>
      </c>
      <c r="R3020">
        <v>11</v>
      </c>
      <c r="S3020">
        <v>16</v>
      </c>
    </row>
    <row r="3021" spans="1:19" x14ac:dyDescent="0.35">
      <c r="A3021">
        <v>8144</v>
      </c>
      <c r="B3021" t="s">
        <v>551</v>
      </c>
      <c r="C3021" t="s">
        <v>42</v>
      </c>
      <c r="D3021" t="s">
        <v>14015</v>
      </c>
      <c r="E3021" t="e" cm="1">
        <f t="array" ref="E3021">- POVIDONE-IODINE</f>
        <v>#NAME?</v>
      </c>
      <c r="F3021" t="s">
        <v>14016</v>
      </c>
      <c r="G3021" t="s">
        <v>14017</v>
      </c>
      <c r="H3021" t="s">
        <v>1322</v>
      </c>
      <c r="I3021" t="s">
        <v>14018</v>
      </c>
      <c r="J3021" t="s">
        <v>14019</v>
      </c>
      <c r="M3021" t="s">
        <v>554</v>
      </c>
      <c r="N3021" t="s">
        <v>555</v>
      </c>
      <c r="O3021" t="s">
        <v>14020</v>
      </c>
      <c r="P3021" t="s">
        <v>14021</v>
      </c>
      <c r="Q3021" t="s">
        <v>14022</v>
      </c>
      <c r="R3021">
        <v>11</v>
      </c>
      <c r="S3021">
        <v>16</v>
      </c>
    </row>
    <row r="3022" spans="1:19" x14ac:dyDescent="0.35">
      <c r="A3022">
        <v>8447</v>
      </c>
      <c r="B3022" t="s">
        <v>551</v>
      </c>
      <c r="C3022" t="s">
        <v>42</v>
      </c>
      <c r="D3022" t="s">
        <v>14023</v>
      </c>
      <c r="E3022" t="e" cm="1">
        <f t="array" ref="E3022">- POVIDONE-IODINE</f>
        <v>#NAME?</v>
      </c>
      <c r="F3022" t="s">
        <v>14024</v>
      </c>
      <c r="G3022" t="s">
        <v>14025</v>
      </c>
      <c r="H3022" t="s">
        <v>1322</v>
      </c>
      <c r="I3022" t="s">
        <v>14026</v>
      </c>
      <c r="J3022" t="s">
        <v>14027</v>
      </c>
      <c r="M3022" t="s">
        <v>554</v>
      </c>
      <c r="N3022" t="s">
        <v>555</v>
      </c>
      <c r="O3022" t="s">
        <v>14028</v>
      </c>
      <c r="P3022" t="s">
        <v>14029</v>
      </c>
      <c r="Q3022" t="s">
        <v>14030</v>
      </c>
      <c r="R3022">
        <v>11</v>
      </c>
      <c r="S3022">
        <v>16</v>
      </c>
    </row>
    <row r="3023" spans="1:19" x14ac:dyDescent="0.35">
      <c r="A3023">
        <v>6624</v>
      </c>
      <c r="B3023" t="s">
        <v>14006</v>
      </c>
      <c r="C3023" t="s">
        <v>42</v>
      </c>
      <c r="D3023" t="s">
        <v>14007</v>
      </c>
      <c r="E3023" t="e" cm="1">
        <f t="array" ref="E3023">- METHISOPRINOL</f>
        <v>#NAME?</v>
      </c>
      <c r="F3023" t="s">
        <v>14008</v>
      </c>
      <c r="G3023" t="s">
        <v>2453</v>
      </c>
      <c r="H3023" t="s">
        <v>14009</v>
      </c>
      <c r="I3023" t="s">
        <v>14010</v>
      </c>
      <c r="J3023" t="s">
        <v>14011</v>
      </c>
      <c r="K3023" t="s">
        <v>11107</v>
      </c>
      <c r="L3023" t="s">
        <v>14012</v>
      </c>
      <c r="M3023" t="s">
        <v>46</v>
      </c>
      <c r="N3023" t="s">
        <v>322</v>
      </c>
      <c r="O3023" t="s">
        <v>14013</v>
      </c>
      <c r="P3023" t="s">
        <v>322</v>
      </c>
      <c r="Q3023" t="s">
        <v>14014</v>
      </c>
      <c r="R3023">
        <v>11</v>
      </c>
      <c r="S3023">
        <v>16</v>
      </c>
    </row>
    <row r="3024" spans="1:19" x14ac:dyDescent="0.35">
      <c r="A3024">
        <v>6625</v>
      </c>
      <c r="B3024" t="s">
        <v>14006</v>
      </c>
      <c r="C3024" t="s">
        <v>42</v>
      </c>
      <c r="D3024" t="s">
        <v>14007</v>
      </c>
      <c r="E3024" t="e" cm="1">
        <f t="array" ref="E3024">- METHISOPRINOL</f>
        <v>#NAME?</v>
      </c>
      <c r="F3024" t="s">
        <v>14008</v>
      </c>
      <c r="G3024" t="s">
        <v>2453</v>
      </c>
      <c r="H3024" t="s">
        <v>14009</v>
      </c>
      <c r="I3024" t="s">
        <v>14010</v>
      </c>
      <c r="J3024" t="s">
        <v>14011</v>
      </c>
      <c r="K3024" t="s">
        <v>11107</v>
      </c>
      <c r="L3024" t="s">
        <v>14012</v>
      </c>
      <c r="M3024" t="s">
        <v>46</v>
      </c>
      <c r="N3024" t="s">
        <v>322</v>
      </c>
      <c r="O3024" t="s">
        <v>14013</v>
      </c>
      <c r="P3024" t="s">
        <v>322</v>
      </c>
      <c r="Q3024" t="s">
        <v>14014</v>
      </c>
      <c r="R3024">
        <v>11</v>
      </c>
      <c r="S3024">
        <v>16</v>
      </c>
    </row>
    <row r="3025" spans="1:19" x14ac:dyDescent="0.35">
      <c r="A3025">
        <v>9171</v>
      </c>
      <c r="B3025" t="s">
        <v>14031</v>
      </c>
      <c r="C3025" t="s">
        <v>42</v>
      </c>
      <c r="D3025" t="s">
        <v>14032</v>
      </c>
      <c r="E3025" t="e" cm="1">
        <f t="array" ref="E3025">- ATENOLOL</f>
        <v>#NAME?</v>
      </c>
      <c r="F3025" t="s">
        <v>14033</v>
      </c>
      <c r="G3025" t="s">
        <v>60</v>
      </c>
      <c r="H3025" t="s">
        <v>14034</v>
      </c>
      <c r="I3025" t="s">
        <v>14035</v>
      </c>
      <c r="J3025" t="s">
        <v>2992</v>
      </c>
      <c r="K3025" t="s">
        <v>14036</v>
      </c>
      <c r="L3025" t="s">
        <v>14037</v>
      </c>
      <c r="M3025" t="s">
        <v>46</v>
      </c>
      <c r="N3025" t="s">
        <v>6420</v>
      </c>
      <c r="O3025" t="s">
        <v>14038</v>
      </c>
      <c r="P3025" t="s">
        <v>14039</v>
      </c>
      <c r="Q3025" t="s">
        <v>14040</v>
      </c>
      <c r="R3025">
        <v>11</v>
      </c>
      <c r="S3025">
        <v>16</v>
      </c>
    </row>
    <row r="3026" spans="1:19" x14ac:dyDescent="0.35">
      <c r="A3026">
        <v>2780</v>
      </c>
      <c r="B3026" t="s">
        <v>14041</v>
      </c>
      <c r="C3026" t="s">
        <v>42</v>
      </c>
      <c r="D3026" t="s">
        <v>14042</v>
      </c>
      <c r="E3026" t="e" cm="1">
        <f t="array" ref="E3026">- FLUNARIZINE HYDROCHLORIDE</f>
        <v>#NAME?</v>
      </c>
      <c r="F3026" t="s">
        <v>14043</v>
      </c>
      <c r="G3026" t="s">
        <v>3098</v>
      </c>
      <c r="H3026" t="s">
        <v>14044</v>
      </c>
      <c r="I3026" t="s">
        <v>14045</v>
      </c>
      <c r="J3026" t="s">
        <v>14046</v>
      </c>
      <c r="K3026" t="s">
        <v>14047</v>
      </c>
      <c r="L3026" t="s">
        <v>14048</v>
      </c>
      <c r="M3026" t="s">
        <v>46</v>
      </c>
      <c r="N3026" t="s">
        <v>4516</v>
      </c>
      <c r="O3026" t="s">
        <v>14049</v>
      </c>
      <c r="P3026" t="s">
        <v>14050</v>
      </c>
      <c r="Q3026" t="s">
        <v>14051</v>
      </c>
      <c r="R3026">
        <v>11</v>
      </c>
      <c r="S3026">
        <v>16</v>
      </c>
    </row>
    <row r="3027" spans="1:19" x14ac:dyDescent="0.35">
      <c r="A3027">
        <v>3294</v>
      </c>
      <c r="B3027" t="s">
        <v>14052</v>
      </c>
      <c r="C3027" t="s">
        <v>42</v>
      </c>
      <c r="D3027" t="s">
        <v>14053</v>
      </c>
      <c r="E3027" t="e" cm="1">
        <f t="array" ref="E3027">- LANSOPRAZOLE PELLET</f>
        <v>#NAME?</v>
      </c>
      <c r="F3027" t="s">
        <v>14054</v>
      </c>
      <c r="G3027" t="s">
        <v>11794</v>
      </c>
      <c r="H3027" t="s">
        <v>4222</v>
      </c>
      <c r="I3027" t="s">
        <v>11796</v>
      </c>
      <c r="J3027" t="s">
        <v>11797</v>
      </c>
      <c r="K3027" t="s">
        <v>14055</v>
      </c>
      <c r="L3027" t="s">
        <v>14056</v>
      </c>
      <c r="M3027" t="s">
        <v>38</v>
      </c>
      <c r="N3027" t="s">
        <v>13926</v>
      </c>
      <c r="O3027" t="s">
        <v>11798</v>
      </c>
      <c r="P3027" t="s">
        <v>14057</v>
      </c>
      <c r="Q3027" t="s">
        <v>14058</v>
      </c>
      <c r="R3027">
        <v>11</v>
      </c>
      <c r="S3027">
        <v>16</v>
      </c>
    </row>
    <row r="3028" spans="1:19" x14ac:dyDescent="0.35">
      <c r="A3028">
        <v>4457</v>
      </c>
      <c r="B3028" t="s">
        <v>14059</v>
      </c>
      <c r="C3028" t="s">
        <v>42</v>
      </c>
      <c r="D3028" t="s">
        <v>14060</v>
      </c>
      <c r="E3028" t="e" cm="1">
        <f t="array" ref="E3028">- DEXAMETHASONE</f>
        <v>#NAME?</v>
      </c>
      <c r="F3028" t="s">
        <v>14061</v>
      </c>
      <c r="G3028" t="s">
        <v>14062</v>
      </c>
      <c r="H3028" t="s">
        <v>14063</v>
      </c>
      <c r="I3028" t="s">
        <v>14064</v>
      </c>
      <c r="J3028" t="s">
        <v>7561</v>
      </c>
      <c r="K3028" t="s">
        <v>14065</v>
      </c>
      <c r="L3028" t="s">
        <v>14066</v>
      </c>
      <c r="M3028" t="s">
        <v>824</v>
      </c>
      <c r="N3028" t="s">
        <v>3779</v>
      </c>
      <c r="O3028" t="s">
        <v>14067</v>
      </c>
      <c r="P3028" t="s">
        <v>14068</v>
      </c>
      <c r="Q3028" t="s">
        <v>14069</v>
      </c>
      <c r="R3028">
        <v>11</v>
      </c>
      <c r="S3028">
        <v>16</v>
      </c>
    </row>
    <row r="3029" spans="1:19" x14ac:dyDescent="0.35">
      <c r="A3029">
        <v>3292</v>
      </c>
      <c r="B3029" t="s">
        <v>14052</v>
      </c>
      <c r="C3029" t="s">
        <v>42</v>
      </c>
      <c r="D3029" t="s">
        <v>14053</v>
      </c>
      <c r="E3029" t="e" cm="1">
        <f t="array" ref="E3029">- LANSOPRAZOLE PELLET</f>
        <v>#NAME?</v>
      </c>
      <c r="F3029" t="s">
        <v>14054</v>
      </c>
      <c r="G3029" t="s">
        <v>11794</v>
      </c>
      <c r="H3029" t="s">
        <v>4222</v>
      </c>
      <c r="I3029" t="s">
        <v>11796</v>
      </c>
      <c r="J3029" t="s">
        <v>11797</v>
      </c>
      <c r="K3029" t="s">
        <v>14055</v>
      </c>
      <c r="L3029" t="s">
        <v>14056</v>
      </c>
      <c r="M3029" t="s">
        <v>38</v>
      </c>
      <c r="N3029" t="s">
        <v>13926</v>
      </c>
      <c r="O3029" t="s">
        <v>11798</v>
      </c>
      <c r="P3029" t="s">
        <v>14057</v>
      </c>
      <c r="Q3029" t="s">
        <v>14058</v>
      </c>
      <c r="R3029">
        <v>11</v>
      </c>
      <c r="S3029">
        <v>16</v>
      </c>
    </row>
    <row r="3030" spans="1:19" x14ac:dyDescent="0.35">
      <c r="A3030">
        <v>5019</v>
      </c>
      <c r="B3030" t="s">
        <v>13779</v>
      </c>
      <c r="C3030" t="s">
        <v>42</v>
      </c>
      <c r="D3030" t="s">
        <v>14070</v>
      </c>
      <c r="E3030" t="e" cm="1">
        <f t="array" ref="E3030">- MOMETASONE FUROATE</f>
        <v>#NAME?</v>
      </c>
      <c r="F3030" t="s">
        <v>14071</v>
      </c>
      <c r="G3030" t="s">
        <v>14072</v>
      </c>
      <c r="H3030" t="s">
        <v>6538</v>
      </c>
      <c r="I3030" t="s">
        <v>13783</v>
      </c>
      <c r="J3030" t="s">
        <v>14073</v>
      </c>
      <c r="K3030" t="s">
        <v>14074</v>
      </c>
      <c r="L3030" t="s">
        <v>270</v>
      </c>
      <c r="M3030" t="s">
        <v>1289</v>
      </c>
      <c r="N3030" t="s">
        <v>13785</v>
      </c>
      <c r="O3030" t="s">
        <v>13786</v>
      </c>
      <c r="P3030" t="s">
        <v>13787</v>
      </c>
      <c r="Q3030" t="s">
        <v>13788</v>
      </c>
      <c r="R3030">
        <v>11</v>
      </c>
      <c r="S3030">
        <v>16</v>
      </c>
    </row>
    <row r="3031" spans="1:19" x14ac:dyDescent="0.35">
      <c r="A3031">
        <v>569</v>
      </c>
      <c r="B3031" t="s">
        <v>13741</v>
      </c>
      <c r="C3031" t="s">
        <v>42</v>
      </c>
      <c r="D3031" t="s">
        <v>13742</v>
      </c>
      <c r="E3031" t="e" cm="1">
        <f t="array" ref="E3031">- SALBUTAMOL SULFATE</f>
        <v>#NAME?</v>
      </c>
      <c r="F3031" t="s">
        <v>13743</v>
      </c>
      <c r="G3031" t="s">
        <v>13744</v>
      </c>
      <c r="H3031" t="s">
        <v>13745</v>
      </c>
      <c r="I3031" t="s">
        <v>13746</v>
      </c>
      <c r="J3031" t="s">
        <v>13747</v>
      </c>
      <c r="K3031" t="s">
        <v>13748</v>
      </c>
      <c r="L3031" t="s">
        <v>13749</v>
      </c>
      <c r="M3031" t="s">
        <v>3453</v>
      </c>
      <c r="N3031" t="s">
        <v>3424</v>
      </c>
      <c r="O3031" t="s">
        <v>13750</v>
      </c>
      <c r="P3031" t="s">
        <v>13751</v>
      </c>
      <c r="Q3031" t="s">
        <v>13752</v>
      </c>
      <c r="R3031">
        <v>11</v>
      </c>
      <c r="S3031">
        <v>16</v>
      </c>
    </row>
    <row r="3032" spans="1:19" x14ac:dyDescent="0.35">
      <c r="A3032">
        <v>1399</v>
      </c>
      <c r="B3032" t="s">
        <v>10910</v>
      </c>
      <c r="C3032" t="s">
        <v>42</v>
      </c>
      <c r="D3032" t="s">
        <v>10911</v>
      </c>
      <c r="E3032" t="e" cm="1">
        <f t="array" ref="E3032">- PROMETHAZINE HYDROCHLORIDE. GUAIFENESIN</f>
        <v>#NAME?</v>
      </c>
      <c r="F3032" t="s">
        <v>10912</v>
      </c>
      <c r="G3032" t="s">
        <v>5033</v>
      </c>
      <c r="H3032" t="s">
        <v>10913</v>
      </c>
      <c r="I3032" t="s">
        <v>10914</v>
      </c>
      <c r="J3032" t="s">
        <v>334</v>
      </c>
      <c r="L3032" t="s">
        <v>10915</v>
      </c>
      <c r="M3032" t="s">
        <v>271</v>
      </c>
      <c r="N3032" t="s">
        <v>3558</v>
      </c>
      <c r="O3032" t="s">
        <v>10916</v>
      </c>
      <c r="P3032" t="s">
        <v>10917</v>
      </c>
      <c r="Q3032" t="s">
        <v>14075</v>
      </c>
      <c r="R3032">
        <v>11</v>
      </c>
      <c r="S3032">
        <v>16</v>
      </c>
    </row>
    <row r="3033" spans="1:19" x14ac:dyDescent="0.35">
      <c r="A3033">
        <v>5018</v>
      </c>
      <c r="B3033" t="s">
        <v>13779</v>
      </c>
      <c r="C3033" t="s">
        <v>42</v>
      </c>
      <c r="D3033" t="s">
        <v>14070</v>
      </c>
      <c r="E3033" t="e" cm="1">
        <f t="array" ref="E3033">- MOMETASONE FUROATE</f>
        <v>#NAME?</v>
      </c>
      <c r="F3033" t="s">
        <v>14071</v>
      </c>
      <c r="G3033" t="s">
        <v>14072</v>
      </c>
      <c r="H3033" t="s">
        <v>6538</v>
      </c>
      <c r="I3033" t="s">
        <v>13783</v>
      </c>
      <c r="J3033" t="s">
        <v>14073</v>
      </c>
      <c r="K3033" t="s">
        <v>14074</v>
      </c>
      <c r="L3033" t="s">
        <v>270</v>
      </c>
      <c r="M3033" t="s">
        <v>1289</v>
      </c>
      <c r="N3033" t="s">
        <v>13785</v>
      </c>
      <c r="O3033" t="s">
        <v>13786</v>
      </c>
      <c r="P3033" t="s">
        <v>13787</v>
      </c>
      <c r="Q3033" t="s">
        <v>13788</v>
      </c>
      <c r="R3033">
        <v>11</v>
      </c>
      <c r="S3033">
        <v>16</v>
      </c>
    </row>
    <row r="3034" spans="1:19" x14ac:dyDescent="0.35">
      <c r="A3034">
        <v>3286</v>
      </c>
      <c r="B3034" t="s">
        <v>14076</v>
      </c>
      <c r="C3034" t="s">
        <v>42</v>
      </c>
      <c r="D3034" t="s">
        <v>14077</v>
      </c>
      <c r="E3034" t="e" cm="1">
        <f t="array" ref="E3034">- SUCRALFATE SUSPENSION</f>
        <v>#NAME?</v>
      </c>
      <c r="F3034" s="1">
        <v>59700</v>
      </c>
      <c r="I3034" t="s">
        <v>12301</v>
      </c>
      <c r="J3034" t="s">
        <v>374</v>
      </c>
      <c r="M3034" t="s">
        <v>340</v>
      </c>
      <c r="N3034" t="s">
        <v>2084</v>
      </c>
      <c r="O3034" t="s">
        <v>12031</v>
      </c>
      <c r="P3034" t="s">
        <v>14078</v>
      </c>
      <c r="Q3034" t="s">
        <v>14079</v>
      </c>
      <c r="R3034">
        <v>11</v>
      </c>
      <c r="S3034">
        <v>16</v>
      </c>
    </row>
    <row r="3035" spans="1:19" x14ac:dyDescent="0.35">
      <c r="A3035">
        <v>3285</v>
      </c>
      <c r="B3035" t="s">
        <v>14076</v>
      </c>
      <c r="C3035" t="s">
        <v>42</v>
      </c>
      <c r="D3035" t="s">
        <v>14077</v>
      </c>
      <c r="E3035" t="e" cm="1">
        <f t="array" ref="E3035">- SUCRALFATE SUSPENSION</f>
        <v>#NAME?</v>
      </c>
      <c r="F3035" s="1">
        <v>59700</v>
      </c>
      <c r="I3035" t="s">
        <v>12301</v>
      </c>
      <c r="J3035" t="s">
        <v>374</v>
      </c>
      <c r="M3035" t="s">
        <v>340</v>
      </c>
      <c r="N3035" t="s">
        <v>2084</v>
      </c>
      <c r="O3035" t="s">
        <v>12031</v>
      </c>
      <c r="P3035" t="s">
        <v>14078</v>
      </c>
      <c r="Q3035" t="s">
        <v>14079</v>
      </c>
      <c r="R3035">
        <v>11</v>
      </c>
      <c r="S3035">
        <v>16</v>
      </c>
    </row>
    <row r="3036" spans="1:19" x14ac:dyDescent="0.35">
      <c r="A3036">
        <v>3685</v>
      </c>
      <c r="B3036" t="s">
        <v>14080</v>
      </c>
      <c r="C3036" t="s">
        <v>42</v>
      </c>
      <c r="D3036" t="s">
        <v>14081</v>
      </c>
      <c r="E3036" t="e" cm="1">
        <f t="array" ref="E3036">- ONDANSETRON HYDROCHLORIDE DIHYDRATE</f>
        <v>#NAME?</v>
      </c>
      <c r="F3036" t="s">
        <v>14082</v>
      </c>
      <c r="G3036" t="s">
        <v>737</v>
      </c>
      <c r="H3036" t="s">
        <v>14083</v>
      </c>
      <c r="I3036" t="s">
        <v>14084</v>
      </c>
      <c r="J3036" t="s">
        <v>14085</v>
      </c>
      <c r="K3036" t="s">
        <v>14086</v>
      </c>
      <c r="L3036" t="s">
        <v>2537</v>
      </c>
      <c r="M3036" t="s">
        <v>46</v>
      </c>
      <c r="N3036" t="s">
        <v>14087</v>
      </c>
      <c r="O3036" t="s">
        <v>14088</v>
      </c>
      <c r="P3036" t="s">
        <v>14089</v>
      </c>
      <c r="Q3036" t="s">
        <v>14090</v>
      </c>
      <c r="R3036">
        <v>11</v>
      </c>
      <c r="S3036">
        <v>16</v>
      </c>
    </row>
    <row r="3037" spans="1:19" x14ac:dyDescent="0.35">
      <c r="A3037">
        <v>8026</v>
      </c>
      <c r="B3037" t="s">
        <v>14091</v>
      </c>
      <c r="C3037" t="s">
        <v>20</v>
      </c>
      <c r="D3037" t="s">
        <v>14092</v>
      </c>
      <c r="E3037" t="s">
        <v>14093</v>
      </c>
      <c r="F3037" t="s">
        <v>14094</v>
      </c>
      <c r="I3037" t="s">
        <v>14095</v>
      </c>
      <c r="J3037" t="s">
        <v>170</v>
      </c>
      <c r="M3037" t="s">
        <v>38</v>
      </c>
      <c r="N3037" t="s">
        <v>14096</v>
      </c>
      <c r="O3037" t="s">
        <v>14097</v>
      </c>
      <c r="P3037" t="s">
        <v>14096</v>
      </c>
      <c r="Q3037" t="s">
        <v>14098</v>
      </c>
      <c r="R3037">
        <v>11</v>
      </c>
      <c r="S3037">
        <v>16</v>
      </c>
    </row>
    <row r="3038" spans="1:19" x14ac:dyDescent="0.35">
      <c r="A3038">
        <v>8028</v>
      </c>
      <c r="B3038" t="s">
        <v>14099</v>
      </c>
      <c r="C3038" t="s">
        <v>20</v>
      </c>
      <c r="D3038" t="s">
        <v>14100</v>
      </c>
      <c r="E3038" t="s">
        <v>14101</v>
      </c>
      <c r="F3038" t="s">
        <v>687</v>
      </c>
      <c r="G3038" t="s">
        <v>2241</v>
      </c>
      <c r="H3038" t="s">
        <v>14102</v>
      </c>
      <c r="I3038" t="s">
        <v>14103</v>
      </c>
      <c r="J3038" t="s">
        <v>14104</v>
      </c>
      <c r="M3038" t="s">
        <v>38</v>
      </c>
      <c r="N3038" t="s">
        <v>14105</v>
      </c>
      <c r="O3038" t="s">
        <v>14106</v>
      </c>
      <c r="P3038" t="s">
        <v>14105</v>
      </c>
      <c r="Q3038" t="s">
        <v>14107</v>
      </c>
      <c r="R3038">
        <v>11</v>
      </c>
      <c r="S3038">
        <v>16</v>
      </c>
    </row>
    <row r="3039" spans="1:19" x14ac:dyDescent="0.35">
      <c r="A3039">
        <v>8029</v>
      </c>
      <c r="B3039" t="s">
        <v>14099</v>
      </c>
      <c r="C3039" t="s">
        <v>20</v>
      </c>
      <c r="D3039" t="s">
        <v>14108</v>
      </c>
      <c r="E3039" t="s">
        <v>14101</v>
      </c>
      <c r="F3039" t="s">
        <v>14109</v>
      </c>
      <c r="G3039" t="s">
        <v>2241</v>
      </c>
      <c r="H3039" t="s">
        <v>14102</v>
      </c>
      <c r="I3039" t="s">
        <v>14103</v>
      </c>
      <c r="J3039" t="s">
        <v>14104</v>
      </c>
      <c r="M3039" t="s">
        <v>38</v>
      </c>
      <c r="N3039" t="s">
        <v>14105</v>
      </c>
      <c r="O3039" t="s">
        <v>14106</v>
      </c>
      <c r="P3039" t="s">
        <v>14105</v>
      </c>
      <c r="Q3039" t="s">
        <v>14107</v>
      </c>
      <c r="R3039">
        <v>11</v>
      </c>
      <c r="S3039">
        <v>16</v>
      </c>
    </row>
    <row r="3040" spans="1:19" x14ac:dyDescent="0.35">
      <c r="A3040">
        <v>8145</v>
      </c>
      <c r="B3040" t="s">
        <v>551</v>
      </c>
      <c r="C3040" t="s">
        <v>42</v>
      </c>
      <c r="D3040" t="s">
        <v>14015</v>
      </c>
      <c r="E3040" t="e" cm="1">
        <f t="array" ref="E3040">- POVIDONE-IODINE</f>
        <v>#NAME?</v>
      </c>
      <c r="F3040" t="s">
        <v>14016</v>
      </c>
      <c r="G3040" t="s">
        <v>14017</v>
      </c>
      <c r="H3040" t="s">
        <v>1322</v>
      </c>
      <c r="I3040" t="s">
        <v>14018</v>
      </c>
      <c r="J3040" t="s">
        <v>14019</v>
      </c>
      <c r="M3040" t="s">
        <v>554</v>
      </c>
      <c r="N3040" t="s">
        <v>555</v>
      </c>
      <c r="O3040" t="s">
        <v>14020</v>
      </c>
      <c r="P3040" t="s">
        <v>14021</v>
      </c>
      <c r="Q3040" t="s">
        <v>14022</v>
      </c>
      <c r="R3040">
        <v>11</v>
      </c>
      <c r="S3040">
        <v>16</v>
      </c>
    </row>
    <row r="3041" spans="1:19" x14ac:dyDescent="0.35">
      <c r="A3041">
        <v>1538</v>
      </c>
      <c r="B3041" t="s">
        <v>14110</v>
      </c>
      <c r="C3041" t="s">
        <v>42</v>
      </c>
      <c r="D3041" t="s">
        <v>14111</v>
      </c>
      <c r="E3041" t="e" cm="1">
        <f t="array" ref="E3041">- ALCOHOL</f>
        <v>#NAME?</v>
      </c>
      <c r="F3041" t="s">
        <v>14112</v>
      </c>
      <c r="G3041" t="s">
        <v>14113</v>
      </c>
      <c r="H3041" t="s">
        <v>14114</v>
      </c>
      <c r="I3041" t="s">
        <v>14115</v>
      </c>
      <c r="J3041" t="s">
        <v>14116</v>
      </c>
      <c r="K3041" t="s">
        <v>3473</v>
      </c>
      <c r="L3041" t="s">
        <v>14117</v>
      </c>
      <c r="M3041" t="s">
        <v>271</v>
      </c>
      <c r="N3041" t="s">
        <v>3840</v>
      </c>
      <c r="O3041" t="s">
        <v>14118</v>
      </c>
      <c r="P3041" t="s">
        <v>14119</v>
      </c>
      <c r="Q3041" t="s">
        <v>14120</v>
      </c>
      <c r="R3041">
        <v>11</v>
      </c>
      <c r="S3041">
        <v>16</v>
      </c>
    </row>
    <row r="3042" spans="1:19" x14ac:dyDescent="0.35">
      <c r="A3042">
        <v>5425</v>
      </c>
      <c r="B3042" t="s">
        <v>14121</v>
      </c>
      <c r="C3042" t="s">
        <v>42</v>
      </c>
      <c r="D3042" t="s">
        <v>14122</v>
      </c>
      <c r="E3042" t="e" cm="1">
        <f t="array" ref="E3042">- KETOCONAZOLE</f>
        <v>#NAME?</v>
      </c>
      <c r="F3042" s="1">
        <v>123100</v>
      </c>
      <c r="G3042" t="s">
        <v>14123</v>
      </c>
      <c r="H3042" t="s">
        <v>14124</v>
      </c>
      <c r="I3042" t="s">
        <v>14125</v>
      </c>
      <c r="J3042" t="s">
        <v>14126</v>
      </c>
      <c r="K3042" t="s">
        <v>14127</v>
      </c>
      <c r="L3042" t="s">
        <v>14128</v>
      </c>
      <c r="M3042" t="s">
        <v>1289</v>
      </c>
      <c r="N3042" t="s">
        <v>533</v>
      </c>
      <c r="O3042" t="s">
        <v>14129</v>
      </c>
      <c r="P3042" t="s">
        <v>14130</v>
      </c>
      <c r="Q3042" t="s">
        <v>14131</v>
      </c>
      <c r="R3042">
        <v>11</v>
      </c>
      <c r="S3042">
        <v>16</v>
      </c>
    </row>
    <row r="3043" spans="1:19" x14ac:dyDescent="0.35">
      <c r="A3043">
        <v>468</v>
      </c>
      <c r="B3043" t="s">
        <v>13849</v>
      </c>
      <c r="C3043" t="s">
        <v>42</v>
      </c>
      <c r="D3043" t="s">
        <v>13850</v>
      </c>
      <c r="E3043" t="e" cm="1">
        <f t="array" ref="E3043">- SALBUTAMOL SULFATE</f>
        <v>#NAME?</v>
      </c>
      <c r="F3043" t="s">
        <v>13851</v>
      </c>
      <c r="G3043" t="s">
        <v>737</v>
      </c>
      <c r="H3043" t="s">
        <v>11448</v>
      </c>
      <c r="I3043" t="s">
        <v>11449</v>
      </c>
      <c r="J3043" t="s">
        <v>810</v>
      </c>
      <c r="K3043" t="s">
        <v>13852</v>
      </c>
      <c r="L3043" t="s">
        <v>11451</v>
      </c>
      <c r="M3043" t="s">
        <v>38</v>
      </c>
      <c r="N3043" t="s">
        <v>3424</v>
      </c>
      <c r="O3043" t="s">
        <v>11452</v>
      </c>
      <c r="P3043" t="s">
        <v>13853</v>
      </c>
      <c r="Q3043" t="s">
        <v>13854</v>
      </c>
      <c r="R3043">
        <v>11</v>
      </c>
      <c r="S3043">
        <v>16</v>
      </c>
    </row>
    <row r="3044" spans="1:19" x14ac:dyDescent="0.35">
      <c r="A3044">
        <v>3684</v>
      </c>
      <c r="B3044" t="s">
        <v>14132</v>
      </c>
      <c r="C3044" t="s">
        <v>42</v>
      </c>
      <c r="D3044" t="s">
        <v>14133</v>
      </c>
      <c r="E3044" t="e" cm="1">
        <f t="array" ref="E3044">- ONDANSETRON HYDROCHLORIDE DIHYDRATE</f>
        <v>#NAME?</v>
      </c>
      <c r="F3044" t="s">
        <v>14134</v>
      </c>
      <c r="G3044" t="s">
        <v>737</v>
      </c>
      <c r="H3044" t="s">
        <v>14083</v>
      </c>
      <c r="I3044" t="s">
        <v>14084</v>
      </c>
      <c r="J3044" t="s">
        <v>14085</v>
      </c>
      <c r="K3044" t="s">
        <v>14086</v>
      </c>
      <c r="L3044" t="s">
        <v>2537</v>
      </c>
      <c r="M3044" t="s">
        <v>46</v>
      </c>
      <c r="N3044" t="s">
        <v>14087</v>
      </c>
      <c r="O3044" t="s">
        <v>14088</v>
      </c>
      <c r="P3044" t="s">
        <v>14089</v>
      </c>
      <c r="Q3044" t="s">
        <v>14090</v>
      </c>
      <c r="R3044">
        <v>11</v>
      </c>
      <c r="S3044">
        <v>16</v>
      </c>
    </row>
    <row r="3045" spans="1:19" x14ac:dyDescent="0.35">
      <c r="A3045">
        <v>8446</v>
      </c>
      <c r="B3045" t="s">
        <v>551</v>
      </c>
      <c r="C3045" t="s">
        <v>42</v>
      </c>
      <c r="D3045" t="s">
        <v>14023</v>
      </c>
      <c r="E3045" t="e" cm="1">
        <f t="array" ref="E3045">- POVIDONE-IODINE</f>
        <v>#NAME?</v>
      </c>
      <c r="F3045" t="s">
        <v>14024</v>
      </c>
      <c r="G3045" t="s">
        <v>14025</v>
      </c>
      <c r="H3045" t="s">
        <v>1322</v>
      </c>
      <c r="I3045" t="s">
        <v>14026</v>
      </c>
      <c r="J3045" t="s">
        <v>14027</v>
      </c>
      <c r="M3045" t="s">
        <v>554</v>
      </c>
      <c r="N3045" t="s">
        <v>555</v>
      </c>
      <c r="O3045" t="s">
        <v>14028</v>
      </c>
      <c r="P3045" t="s">
        <v>14029</v>
      </c>
      <c r="Q3045" t="s">
        <v>14030</v>
      </c>
      <c r="R3045">
        <v>11</v>
      </c>
      <c r="S3045">
        <v>16</v>
      </c>
    </row>
    <row r="3046" spans="1:19" x14ac:dyDescent="0.35">
      <c r="A3046">
        <v>8445</v>
      </c>
      <c r="B3046" t="s">
        <v>551</v>
      </c>
      <c r="C3046" t="s">
        <v>42</v>
      </c>
      <c r="D3046" t="s">
        <v>14135</v>
      </c>
      <c r="E3046" t="e" cm="1">
        <f t="array" ref="E3046">- POVIDONE-IODINE</f>
        <v>#NAME?</v>
      </c>
      <c r="F3046" s="1">
        <v>40000</v>
      </c>
      <c r="G3046" t="s">
        <v>14025</v>
      </c>
      <c r="H3046" t="s">
        <v>1322</v>
      </c>
      <c r="I3046" t="s">
        <v>14136</v>
      </c>
      <c r="J3046" t="s">
        <v>14137</v>
      </c>
      <c r="M3046" t="s">
        <v>554</v>
      </c>
      <c r="N3046" t="s">
        <v>555</v>
      </c>
      <c r="O3046" t="s">
        <v>14138</v>
      </c>
      <c r="P3046" t="s">
        <v>14139</v>
      </c>
      <c r="Q3046" t="s">
        <v>14140</v>
      </c>
      <c r="R3046">
        <v>11</v>
      </c>
      <c r="S3046">
        <v>16</v>
      </c>
    </row>
    <row r="3047" spans="1:19" x14ac:dyDescent="0.35">
      <c r="A3047">
        <v>8444</v>
      </c>
      <c r="B3047" t="s">
        <v>551</v>
      </c>
      <c r="C3047" t="s">
        <v>42</v>
      </c>
      <c r="D3047" t="s">
        <v>14135</v>
      </c>
      <c r="E3047" t="e" cm="1">
        <f t="array" ref="E3047">- POVIDONE-IODINE</f>
        <v>#NAME?</v>
      </c>
      <c r="F3047" s="1">
        <v>40000</v>
      </c>
      <c r="G3047" t="s">
        <v>14025</v>
      </c>
      <c r="H3047" t="s">
        <v>1322</v>
      </c>
      <c r="I3047" t="s">
        <v>14136</v>
      </c>
      <c r="J3047" t="s">
        <v>14137</v>
      </c>
      <c r="M3047" t="s">
        <v>554</v>
      </c>
      <c r="N3047" t="s">
        <v>555</v>
      </c>
      <c r="O3047" t="s">
        <v>14138</v>
      </c>
      <c r="P3047" t="s">
        <v>14139</v>
      </c>
      <c r="Q3047" t="s">
        <v>14140</v>
      </c>
      <c r="R3047">
        <v>11</v>
      </c>
      <c r="S3047">
        <v>16</v>
      </c>
    </row>
    <row r="3048" spans="1:19" x14ac:dyDescent="0.35">
      <c r="A3048">
        <v>8443</v>
      </c>
      <c r="B3048" t="s">
        <v>551</v>
      </c>
      <c r="C3048" t="s">
        <v>42</v>
      </c>
      <c r="D3048" t="s">
        <v>14141</v>
      </c>
      <c r="E3048" t="e" cm="1">
        <f t="array" ref="E3048">- POVIDONE-IODINE</f>
        <v>#NAME?</v>
      </c>
      <c r="F3048" s="1">
        <v>51700</v>
      </c>
      <c r="I3048" t="s">
        <v>11892</v>
      </c>
      <c r="J3048" t="s">
        <v>10591</v>
      </c>
      <c r="M3048" t="s">
        <v>554</v>
      </c>
      <c r="N3048" t="s">
        <v>555</v>
      </c>
      <c r="O3048" t="s">
        <v>11894</v>
      </c>
      <c r="P3048" t="s">
        <v>14142</v>
      </c>
      <c r="Q3048" t="s">
        <v>14143</v>
      </c>
      <c r="R3048">
        <v>11</v>
      </c>
      <c r="S3048">
        <v>16</v>
      </c>
    </row>
    <row r="3049" spans="1:19" x14ac:dyDescent="0.35">
      <c r="A3049">
        <v>4137</v>
      </c>
      <c r="B3049" t="s">
        <v>10817</v>
      </c>
      <c r="C3049" t="s">
        <v>42</v>
      </c>
      <c r="D3049" t="s">
        <v>10818</v>
      </c>
      <c r="E3049" t="e" cm="1">
        <f t="array" ref="E3049">- BETAMETHASONE. DEXCHLORPHENIRAMINE MALEATE</f>
        <v>#NAME?</v>
      </c>
      <c r="F3049" t="s">
        <v>10819</v>
      </c>
      <c r="G3049" t="s">
        <v>2241</v>
      </c>
      <c r="H3049" t="s">
        <v>10820</v>
      </c>
      <c r="I3049" t="s">
        <v>10821</v>
      </c>
      <c r="J3049" t="s">
        <v>945</v>
      </c>
      <c r="K3049" t="s">
        <v>10822</v>
      </c>
      <c r="L3049" t="s">
        <v>10823</v>
      </c>
      <c r="M3049" t="s">
        <v>271</v>
      </c>
      <c r="N3049" t="s">
        <v>3200</v>
      </c>
      <c r="O3049" t="s">
        <v>10824</v>
      </c>
      <c r="P3049" t="s">
        <v>10825</v>
      </c>
      <c r="Q3049" t="s">
        <v>14144</v>
      </c>
      <c r="R3049">
        <v>11</v>
      </c>
      <c r="S3049">
        <v>16</v>
      </c>
    </row>
    <row r="3050" spans="1:19" x14ac:dyDescent="0.35">
      <c r="A3050">
        <v>7863</v>
      </c>
      <c r="B3050" t="s">
        <v>14145</v>
      </c>
      <c r="C3050" t="s">
        <v>20</v>
      </c>
      <c r="D3050" t="s">
        <v>14146</v>
      </c>
      <c r="E3050" t="s">
        <v>14147</v>
      </c>
      <c r="F3050" t="s">
        <v>14148</v>
      </c>
      <c r="G3050" t="s">
        <v>14149</v>
      </c>
      <c r="H3050" t="s">
        <v>12055</v>
      </c>
      <c r="I3050" t="s">
        <v>14150</v>
      </c>
      <c r="J3050" t="s">
        <v>7857</v>
      </c>
      <c r="K3050" t="s">
        <v>14151</v>
      </c>
      <c r="L3050" t="s">
        <v>14152</v>
      </c>
      <c r="M3050" t="s">
        <v>38</v>
      </c>
      <c r="N3050" t="s">
        <v>14153</v>
      </c>
      <c r="O3050" t="s">
        <v>10146</v>
      </c>
      <c r="P3050" t="s">
        <v>14154</v>
      </c>
      <c r="Q3050" t="s">
        <v>14155</v>
      </c>
      <c r="R3050">
        <v>11</v>
      </c>
      <c r="S3050">
        <v>16</v>
      </c>
    </row>
    <row r="3051" spans="1:19" x14ac:dyDescent="0.35">
      <c r="A3051">
        <v>7864</v>
      </c>
      <c r="B3051" t="s">
        <v>14156</v>
      </c>
      <c r="C3051" t="s">
        <v>20</v>
      </c>
      <c r="D3051" t="s">
        <v>14157</v>
      </c>
      <c r="E3051" t="s">
        <v>14158</v>
      </c>
      <c r="F3051" t="s">
        <v>14159</v>
      </c>
      <c r="G3051" t="s">
        <v>60</v>
      </c>
      <c r="H3051" t="s">
        <v>14160</v>
      </c>
      <c r="I3051" t="s">
        <v>14161</v>
      </c>
      <c r="J3051" t="s">
        <v>14162</v>
      </c>
      <c r="M3051" t="s">
        <v>38</v>
      </c>
      <c r="N3051" t="s">
        <v>14163</v>
      </c>
      <c r="O3051" t="s">
        <v>14164</v>
      </c>
      <c r="P3051" t="s">
        <v>14163</v>
      </c>
      <c r="Q3051" t="s">
        <v>14165</v>
      </c>
      <c r="R3051">
        <v>11</v>
      </c>
      <c r="S3051">
        <v>16</v>
      </c>
    </row>
    <row r="3052" spans="1:19" x14ac:dyDescent="0.35">
      <c r="A3052">
        <v>3240</v>
      </c>
      <c r="B3052" t="s">
        <v>14166</v>
      </c>
      <c r="C3052" t="s">
        <v>42</v>
      </c>
      <c r="D3052" t="s">
        <v>14167</v>
      </c>
      <c r="E3052" t="e" cm="1">
        <f t="array" ref="E3052">- LANSOPRAZOLE PELLET</f>
        <v>#NAME?</v>
      </c>
      <c r="F3052" t="s">
        <v>14168</v>
      </c>
      <c r="G3052" t="s">
        <v>14169</v>
      </c>
      <c r="H3052" t="s">
        <v>4222</v>
      </c>
      <c r="I3052" t="s">
        <v>11796</v>
      </c>
      <c r="J3052" t="s">
        <v>14170</v>
      </c>
      <c r="K3052" t="s">
        <v>4677</v>
      </c>
      <c r="L3052" t="s">
        <v>14171</v>
      </c>
      <c r="M3052" t="s">
        <v>38</v>
      </c>
      <c r="N3052" t="s">
        <v>13926</v>
      </c>
      <c r="O3052" t="s">
        <v>11798</v>
      </c>
      <c r="P3052" t="s">
        <v>14172</v>
      </c>
      <c r="Q3052" t="s">
        <v>14173</v>
      </c>
      <c r="R3052">
        <v>11</v>
      </c>
      <c r="S3052">
        <v>16</v>
      </c>
    </row>
    <row r="3053" spans="1:19" x14ac:dyDescent="0.35">
      <c r="A3053">
        <v>5020</v>
      </c>
      <c r="B3053" t="s">
        <v>13779</v>
      </c>
      <c r="C3053" t="s">
        <v>42</v>
      </c>
      <c r="D3053" t="s">
        <v>13780</v>
      </c>
      <c r="E3053" t="e" cm="1">
        <f t="array" ref="E3053">- MOMETASONE FUROATE</f>
        <v>#NAME?</v>
      </c>
      <c r="F3053" t="s">
        <v>13781</v>
      </c>
      <c r="G3053" t="s">
        <v>13782</v>
      </c>
      <c r="H3053" t="s">
        <v>6538</v>
      </c>
      <c r="I3053" t="s">
        <v>13783</v>
      </c>
      <c r="J3053" t="s">
        <v>7123</v>
      </c>
      <c r="K3053" t="s">
        <v>2858</v>
      </c>
      <c r="L3053" t="s">
        <v>13784</v>
      </c>
      <c r="M3053" t="s">
        <v>1289</v>
      </c>
      <c r="N3053" t="s">
        <v>13785</v>
      </c>
      <c r="O3053" t="s">
        <v>13786</v>
      </c>
      <c r="P3053" t="s">
        <v>13787</v>
      </c>
      <c r="Q3053" t="s">
        <v>13788</v>
      </c>
      <c r="R3053">
        <v>11</v>
      </c>
      <c r="S3053">
        <v>16</v>
      </c>
    </row>
    <row r="3054" spans="1:19" x14ac:dyDescent="0.35">
      <c r="A3054">
        <v>7865</v>
      </c>
      <c r="B3054" t="s">
        <v>14174</v>
      </c>
      <c r="C3054" t="s">
        <v>20</v>
      </c>
      <c r="D3054" t="s">
        <v>14175</v>
      </c>
      <c r="E3054" t="s">
        <v>14176</v>
      </c>
      <c r="F3054" t="s">
        <v>14177</v>
      </c>
      <c r="H3054" t="s">
        <v>14178</v>
      </c>
      <c r="I3054" t="s">
        <v>5700</v>
      </c>
      <c r="J3054" t="s">
        <v>14179</v>
      </c>
      <c r="K3054" t="s">
        <v>14180</v>
      </c>
      <c r="M3054" t="s">
        <v>46</v>
      </c>
      <c r="N3054" t="s">
        <v>14181</v>
      </c>
      <c r="O3054" t="s">
        <v>5703</v>
      </c>
      <c r="P3054" t="s">
        <v>14182</v>
      </c>
      <c r="Q3054" t="s">
        <v>14183</v>
      </c>
      <c r="R3054">
        <v>11</v>
      </c>
      <c r="S3054">
        <v>16</v>
      </c>
    </row>
    <row r="3055" spans="1:19" x14ac:dyDescent="0.35">
      <c r="A3055">
        <v>1042</v>
      </c>
      <c r="B3055" t="s">
        <v>14184</v>
      </c>
      <c r="C3055" t="s">
        <v>42</v>
      </c>
      <c r="D3055" t="s">
        <v>14185</v>
      </c>
      <c r="E3055" t="e" cm="1">
        <f t="array" ref="E3055">- ERDOSTEINE</f>
        <v>#NAME?</v>
      </c>
      <c r="F3055" t="s">
        <v>14186</v>
      </c>
      <c r="G3055" t="s">
        <v>14187</v>
      </c>
      <c r="H3055" t="s">
        <v>14188</v>
      </c>
      <c r="I3055" t="s">
        <v>14189</v>
      </c>
      <c r="J3055" t="s">
        <v>846</v>
      </c>
      <c r="K3055" t="s">
        <v>14190</v>
      </c>
      <c r="L3055" t="s">
        <v>14191</v>
      </c>
      <c r="M3055" t="s">
        <v>271</v>
      </c>
      <c r="N3055" t="s">
        <v>471</v>
      </c>
      <c r="O3055" t="s">
        <v>11520</v>
      </c>
      <c r="P3055" t="s">
        <v>10467</v>
      </c>
      <c r="Q3055" t="s">
        <v>14192</v>
      </c>
      <c r="R3055">
        <v>11</v>
      </c>
      <c r="S3055">
        <v>16</v>
      </c>
    </row>
    <row r="3056" spans="1:19" x14ac:dyDescent="0.35">
      <c r="A3056">
        <v>1041</v>
      </c>
      <c r="B3056" t="s">
        <v>14184</v>
      </c>
      <c r="C3056" t="s">
        <v>42</v>
      </c>
      <c r="D3056" t="s">
        <v>14185</v>
      </c>
      <c r="E3056" t="e" cm="1">
        <f t="array" ref="E3056">- ERDOSTEINE</f>
        <v>#NAME?</v>
      </c>
      <c r="F3056" t="s">
        <v>14186</v>
      </c>
      <c r="G3056" t="s">
        <v>14187</v>
      </c>
      <c r="H3056" t="s">
        <v>14188</v>
      </c>
      <c r="I3056" t="s">
        <v>14189</v>
      </c>
      <c r="J3056" t="s">
        <v>846</v>
      </c>
      <c r="K3056" t="s">
        <v>14190</v>
      </c>
      <c r="L3056" t="s">
        <v>14191</v>
      </c>
      <c r="M3056" t="s">
        <v>271</v>
      </c>
      <c r="N3056" t="s">
        <v>471</v>
      </c>
      <c r="O3056" t="s">
        <v>11520</v>
      </c>
      <c r="P3056" t="s">
        <v>10467</v>
      </c>
      <c r="Q3056" t="s">
        <v>14192</v>
      </c>
      <c r="R3056">
        <v>11</v>
      </c>
      <c r="S3056">
        <v>16</v>
      </c>
    </row>
    <row r="3057" spans="1:19" x14ac:dyDescent="0.35">
      <c r="A3057">
        <v>3675</v>
      </c>
      <c r="B3057" t="s">
        <v>14193</v>
      </c>
      <c r="C3057" t="s">
        <v>42</v>
      </c>
      <c r="D3057" t="s">
        <v>14194</v>
      </c>
      <c r="E3057" t="e" cm="1">
        <f t="array" ref="E3057">- DOMPERIDONE</f>
        <v>#NAME?</v>
      </c>
      <c r="F3057" t="s">
        <v>14195</v>
      </c>
      <c r="G3057" t="s">
        <v>7977</v>
      </c>
      <c r="H3057" t="s">
        <v>11924</v>
      </c>
      <c r="I3057" t="s">
        <v>11925</v>
      </c>
      <c r="J3057" t="s">
        <v>334</v>
      </c>
      <c r="K3057" t="s">
        <v>11926</v>
      </c>
      <c r="L3057" t="s">
        <v>11927</v>
      </c>
      <c r="M3057" t="s">
        <v>340</v>
      </c>
      <c r="N3057" t="s">
        <v>341</v>
      </c>
      <c r="O3057" t="s">
        <v>11928</v>
      </c>
      <c r="P3057" t="s">
        <v>14196</v>
      </c>
      <c r="Q3057" t="s">
        <v>14197</v>
      </c>
      <c r="R3057">
        <v>11</v>
      </c>
      <c r="S3057">
        <v>16</v>
      </c>
    </row>
    <row r="3058" spans="1:19" x14ac:dyDescent="0.35">
      <c r="A3058">
        <v>2775</v>
      </c>
      <c r="B3058" t="s">
        <v>14198</v>
      </c>
      <c r="C3058" t="s">
        <v>42</v>
      </c>
      <c r="D3058" t="s">
        <v>14199</v>
      </c>
      <c r="E3058" t="e" cm="1">
        <f t="array" ref="E3058">- MELOXICAM</f>
        <v>#NAME?</v>
      </c>
      <c r="F3058" t="s">
        <v>14200</v>
      </c>
      <c r="G3058" t="s">
        <v>539</v>
      </c>
      <c r="H3058" t="s">
        <v>269</v>
      </c>
      <c r="I3058" t="s">
        <v>14201</v>
      </c>
      <c r="L3058" t="s">
        <v>270</v>
      </c>
      <c r="M3058" t="s">
        <v>46</v>
      </c>
      <c r="N3058" t="s">
        <v>412</v>
      </c>
      <c r="O3058" t="s">
        <v>14202</v>
      </c>
      <c r="P3058" t="s">
        <v>541</v>
      </c>
      <c r="Q3058" t="s">
        <v>14203</v>
      </c>
      <c r="R3058">
        <v>11</v>
      </c>
      <c r="S3058">
        <v>16</v>
      </c>
    </row>
    <row r="3059" spans="1:19" x14ac:dyDescent="0.35">
      <c r="A3059">
        <v>3320</v>
      </c>
      <c r="B3059" t="s">
        <v>14204</v>
      </c>
      <c r="C3059" t="s">
        <v>42</v>
      </c>
      <c r="D3059" t="s">
        <v>14205</v>
      </c>
      <c r="E3059" t="e" cm="1">
        <f t="array" ref="E3059">- CALCIUM CARBONATE</f>
        <v>#NAME?</v>
      </c>
      <c r="F3059" t="s">
        <v>14206</v>
      </c>
      <c r="G3059" t="s">
        <v>2241</v>
      </c>
      <c r="H3059" t="s">
        <v>14207</v>
      </c>
      <c r="I3059" t="s">
        <v>14208</v>
      </c>
      <c r="J3059" t="s">
        <v>3926</v>
      </c>
      <c r="K3059" t="s">
        <v>14209</v>
      </c>
      <c r="L3059" t="s">
        <v>14210</v>
      </c>
      <c r="M3059" t="s">
        <v>340</v>
      </c>
      <c r="N3059" t="s">
        <v>14211</v>
      </c>
      <c r="O3059" t="s">
        <v>14212</v>
      </c>
      <c r="P3059" t="s">
        <v>14213</v>
      </c>
      <c r="Q3059" t="s">
        <v>14214</v>
      </c>
      <c r="R3059">
        <v>11</v>
      </c>
      <c r="S3059">
        <v>16</v>
      </c>
    </row>
    <row r="3060" spans="1:19" x14ac:dyDescent="0.35">
      <c r="A3060">
        <v>5413</v>
      </c>
      <c r="B3060" t="s">
        <v>13826</v>
      </c>
      <c r="C3060" t="s">
        <v>42</v>
      </c>
      <c r="D3060" t="s">
        <v>14215</v>
      </c>
      <c r="E3060" t="e" cm="1">
        <f t="array" ref="E3060">- FLUOCINOLONE ACETONIDE</f>
        <v>#NAME?</v>
      </c>
      <c r="F3060" t="s">
        <v>14216</v>
      </c>
      <c r="H3060" t="s">
        <v>13829</v>
      </c>
      <c r="I3060" t="s">
        <v>13830</v>
      </c>
      <c r="J3060" t="s">
        <v>2040</v>
      </c>
      <c r="K3060" t="s">
        <v>13831</v>
      </c>
      <c r="L3060" t="s">
        <v>13832</v>
      </c>
      <c r="M3060" t="s">
        <v>1289</v>
      </c>
      <c r="N3060" t="s">
        <v>2766</v>
      </c>
      <c r="O3060" t="s">
        <v>13833</v>
      </c>
      <c r="P3060" t="s">
        <v>13834</v>
      </c>
      <c r="Q3060" t="s">
        <v>13835</v>
      </c>
      <c r="R3060">
        <v>11</v>
      </c>
      <c r="S3060">
        <v>16</v>
      </c>
    </row>
    <row r="3061" spans="1:19" x14ac:dyDescent="0.35">
      <c r="A3061">
        <v>1665</v>
      </c>
      <c r="B3061" t="s">
        <v>14217</v>
      </c>
      <c r="C3061" t="s">
        <v>42</v>
      </c>
      <c r="D3061" t="s">
        <v>14218</v>
      </c>
      <c r="E3061" t="e" cm="1">
        <f t="array" ref="E3061">- PSEUDOEPHEDRINE HYDROCHLORIDE</f>
        <v>#NAME?</v>
      </c>
      <c r="F3061" t="s">
        <v>14219</v>
      </c>
      <c r="G3061" t="s">
        <v>60</v>
      </c>
      <c r="H3061" t="s">
        <v>14220</v>
      </c>
      <c r="I3061" t="s">
        <v>14221</v>
      </c>
      <c r="J3061" t="s">
        <v>334</v>
      </c>
      <c r="K3061" t="s">
        <v>14222</v>
      </c>
      <c r="L3061" t="s">
        <v>14223</v>
      </c>
      <c r="M3061" t="s">
        <v>271</v>
      </c>
      <c r="N3061" t="s">
        <v>8326</v>
      </c>
      <c r="O3061" t="s">
        <v>14224</v>
      </c>
      <c r="P3061" t="s">
        <v>14225</v>
      </c>
      <c r="Q3061" t="s">
        <v>14226</v>
      </c>
      <c r="R3061">
        <v>11</v>
      </c>
      <c r="S3061">
        <v>16</v>
      </c>
    </row>
    <row r="3062" spans="1:19" x14ac:dyDescent="0.35">
      <c r="A3062">
        <v>8488</v>
      </c>
      <c r="B3062" t="s">
        <v>551</v>
      </c>
      <c r="C3062" t="s">
        <v>42</v>
      </c>
      <c r="D3062" t="s">
        <v>13855</v>
      </c>
      <c r="E3062" t="e" cm="1">
        <f t="array" ref="E3062">- POVIDONE-IODINE</f>
        <v>#NAME?</v>
      </c>
      <c r="G3062" t="s">
        <v>13856</v>
      </c>
      <c r="I3062" t="s">
        <v>13857</v>
      </c>
      <c r="J3062" t="s">
        <v>13858</v>
      </c>
      <c r="M3062" t="s">
        <v>554</v>
      </c>
      <c r="N3062" t="s">
        <v>555</v>
      </c>
      <c r="O3062" t="s">
        <v>13859</v>
      </c>
      <c r="P3062" t="s">
        <v>13860</v>
      </c>
      <c r="Q3062" t="s">
        <v>13861</v>
      </c>
      <c r="R3062">
        <v>11</v>
      </c>
      <c r="S3062">
        <v>16</v>
      </c>
    </row>
    <row r="3063" spans="1:19" x14ac:dyDescent="0.35">
      <c r="A3063">
        <v>5414</v>
      </c>
      <c r="B3063" t="s">
        <v>13826</v>
      </c>
      <c r="C3063" t="s">
        <v>42</v>
      </c>
      <c r="D3063" t="s">
        <v>14215</v>
      </c>
      <c r="E3063" t="e" cm="1">
        <f t="array" ref="E3063">- FLUOCINOLONE ACETONIDE</f>
        <v>#NAME?</v>
      </c>
      <c r="F3063" t="s">
        <v>14216</v>
      </c>
      <c r="H3063" t="s">
        <v>13829</v>
      </c>
      <c r="I3063" t="s">
        <v>13830</v>
      </c>
      <c r="J3063" t="s">
        <v>2040</v>
      </c>
      <c r="K3063" t="s">
        <v>13831</v>
      </c>
      <c r="L3063" t="s">
        <v>13832</v>
      </c>
      <c r="M3063" t="s">
        <v>1289</v>
      </c>
      <c r="N3063" t="s">
        <v>2766</v>
      </c>
      <c r="O3063" t="s">
        <v>13833</v>
      </c>
      <c r="P3063" t="s">
        <v>13834</v>
      </c>
      <c r="Q3063" t="s">
        <v>13835</v>
      </c>
      <c r="R3063">
        <v>11</v>
      </c>
      <c r="S3063">
        <v>16</v>
      </c>
    </row>
    <row r="3064" spans="1:19" x14ac:dyDescent="0.35">
      <c r="A3064">
        <v>8438</v>
      </c>
      <c r="B3064" t="s">
        <v>551</v>
      </c>
      <c r="C3064" t="s">
        <v>42</v>
      </c>
      <c r="D3064" t="s">
        <v>14227</v>
      </c>
      <c r="E3064" t="e" cm="1">
        <f t="array" ref="E3064">- POVIDONE-IODINE</f>
        <v>#NAME?</v>
      </c>
      <c r="F3064" t="s">
        <v>14228</v>
      </c>
      <c r="G3064" t="s">
        <v>14229</v>
      </c>
      <c r="I3064" t="s">
        <v>14230</v>
      </c>
      <c r="J3064" t="s">
        <v>4166</v>
      </c>
      <c r="M3064" t="s">
        <v>554</v>
      </c>
      <c r="N3064" t="s">
        <v>555</v>
      </c>
      <c r="O3064" t="s">
        <v>14231</v>
      </c>
      <c r="P3064" t="s">
        <v>14232</v>
      </c>
      <c r="Q3064" t="s">
        <v>14233</v>
      </c>
      <c r="R3064">
        <v>11</v>
      </c>
      <c r="S3064">
        <v>16</v>
      </c>
    </row>
    <row r="3065" spans="1:19" x14ac:dyDescent="0.35">
      <c r="A3065">
        <v>8439</v>
      </c>
      <c r="B3065" t="s">
        <v>551</v>
      </c>
      <c r="C3065" t="s">
        <v>42</v>
      </c>
      <c r="D3065" t="s">
        <v>14227</v>
      </c>
      <c r="E3065" t="e" cm="1">
        <f t="array" ref="E3065">- POVIDONE-IODINE</f>
        <v>#NAME?</v>
      </c>
      <c r="F3065" t="s">
        <v>14228</v>
      </c>
      <c r="G3065" t="s">
        <v>14229</v>
      </c>
      <c r="I3065" t="s">
        <v>14230</v>
      </c>
      <c r="J3065" t="s">
        <v>4166</v>
      </c>
      <c r="M3065" t="s">
        <v>554</v>
      </c>
      <c r="N3065" t="s">
        <v>555</v>
      </c>
      <c r="O3065" t="s">
        <v>14231</v>
      </c>
      <c r="P3065" t="s">
        <v>14232</v>
      </c>
      <c r="Q3065" t="s">
        <v>14233</v>
      </c>
      <c r="R3065">
        <v>11</v>
      </c>
      <c r="S3065">
        <v>16</v>
      </c>
    </row>
    <row r="3066" spans="1:19" x14ac:dyDescent="0.35">
      <c r="A3066">
        <v>125</v>
      </c>
      <c r="B3066" t="s">
        <v>2902</v>
      </c>
      <c r="C3066" t="s">
        <v>42</v>
      </c>
      <c r="D3066" t="s">
        <v>14234</v>
      </c>
      <c r="E3066" t="e" cm="1">
        <f t="array" ref="E3066">- SILDENAFIL CITRATE</f>
        <v>#NAME?</v>
      </c>
      <c r="F3066" s="1">
        <v>96000</v>
      </c>
      <c r="G3066" t="s">
        <v>8185</v>
      </c>
      <c r="H3066" t="s">
        <v>3854</v>
      </c>
      <c r="I3066" t="s">
        <v>8186</v>
      </c>
      <c r="J3066" t="s">
        <v>14235</v>
      </c>
      <c r="L3066" t="s">
        <v>8188</v>
      </c>
      <c r="M3066" t="s">
        <v>46</v>
      </c>
      <c r="N3066" t="s">
        <v>2519</v>
      </c>
      <c r="O3066" t="s">
        <v>8189</v>
      </c>
      <c r="P3066" t="s">
        <v>14236</v>
      </c>
      <c r="Q3066" t="s">
        <v>14237</v>
      </c>
      <c r="R3066">
        <v>11</v>
      </c>
      <c r="S3066">
        <v>16</v>
      </c>
    </row>
    <row r="3067" spans="1:19" x14ac:dyDescent="0.35">
      <c r="A3067">
        <v>8440</v>
      </c>
      <c r="B3067" t="s">
        <v>551</v>
      </c>
      <c r="C3067" t="s">
        <v>42</v>
      </c>
      <c r="D3067" t="s">
        <v>14238</v>
      </c>
      <c r="E3067" t="e" cm="1">
        <f t="array" ref="E3067">- POVIDONE-IODINE</f>
        <v>#NAME?</v>
      </c>
      <c r="F3067" t="s">
        <v>14239</v>
      </c>
      <c r="G3067" t="s">
        <v>14229</v>
      </c>
      <c r="I3067" t="s">
        <v>14230</v>
      </c>
      <c r="J3067" t="s">
        <v>4166</v>
      </c>
      <c r="M3067" t="s">
        <v>554</v>
      </c>
      <c r="N3067" t="s">
        <v>555</v>
      </c>
      <c r="O3067" t="s">
        <v>14231</v>
      </c>
      <c r="P3067" t="s">
        <v>14232</v>
      </c>
      <c r="Q3067" t="s">
        <v>14233</v>
      </c>
      <c r="R3067">
        <v>11</v>
      </c>
      <c r="S3067">
        <v>16</v>
      </c>
    </row>
    <row r="3068" spans="1:19" x14ac:dyDescent="0.35">
      <c r="A3068">
        <v>4952</v>
      </c>
      <c r="B3068" t="s">
        <v>14240</v>
      </c>
      <c r="C3068" t="s">
        <v>42</v>
      </c>
      <c r="D3068" t="s">
        <v>14241</v>
      </c>
      <c r="E3068" t="e" cm="1">
        <f t="array" ref="E3068">- TRETINOIN</f>
        <v>#NAME?</v>
      </c>
      <c r="F3068" s="1">
        <v>34800</v>
      </c>
      <c r="G3068" t="s">
        <v>14242</v>
      </c>
      <c r="H3068" t="s">
        <v>14243</v>
      </c>
      <c r="I3068" t="s">
        <v>14244</v>
      </c>
      <c r="J3068" t="s">
        <v>11856</v>
      </c>
      <c r="K3068" t="s">
        <v>2726</v>
      </c>
      <c r="L3068" t="s">
        <v>14245</v>
      </c>
      <c r="M3068" t="s">
        <v>1289</v>
      </c>
      <c r="N3068" t="s">
        <v>6243</v>
      </c>
      <c r="O3068" t="s">
        <v>14246</v>
      </c>
      <c r="P3068" t="s">
        <v>14247</v>
      </c>
      <c r="Q3068" t="s">
        <v>14248</v>
      </c>
      <c r="R3068">
        <v>11</v>
      </c>
      <c r="S3068">
        <v>16</v>
      </c>
    </row>
    <row r="3069" spans="1:19" x14ac:dyDescent="0.35">
      <c r="A3069">
        <v>2093</v>
      </c>
      <c r="B3069" t="s">
        <v>12695</v>
      </c>
      <c r="C3069" t="s">
        <v>42</v>
      </c>
      <c r="D3069" t="s">
        <v>12696</v>
      </c>
      <c r="E3069" t="e" cm="1">
        <f t="array" ref="E3069">- PARACETAMOL. CAFFEINE</f>
        <v>#NAME?</v>
      </c>
      <c r="F3069" t="s">
        <v>12697</v>
      </c>
      <c r="G3069" t="s">
        <v>2617</v>
      </c>
      <c r="H3069" t="s">
        <v>12698</v>
      </c>
      <c r="I3069" t="s">
        <v>12699</v>
      </c>
      <c r="J3069" t="s">
        <v>12700</v>
      </c>
      <c r="K3069" t="s">
        <v>12701</v>
      </c>
      <c r="L3069" t="s">
        <v>12702</v>
      </c>
      <c r="M3069" t="s">
        <v>291</v>
      </c>
      <c r="N3069" t="s">
        <v>3655</v>
      </c>
      <c r="O3069" t="s">
        <v>12703</v>
      </c>
      <c r="P3069" t="s">
        <v>12704</v>
      </c>
      <c r="Q3069" t="s">
        <v>14249</v>
      </c>
      <c r="R3069">
        <v>11</v>
      </c>
      <c r="S3069">
        <v>16</v>
      </c>
    </row>
    <row r="3070" spans="1:19" x14ac:dyDescent="0.35">
      <c r="A3070">
        <v>4953</v>
      </c>
      <c r="B3070" t="s">
        <v>14240</v>
      </c>
      <c r="C3070" t="s">
        <v>42</v>
      </c>
      <c r="D3070" t="s">
        <v>14241</v>
      </c>
      <c r="E3070" t="e" cm="1">
        <f t="array" ref="E3070">- TRETINOIN</f>
        <v>#NAME?</v>
      </c>
      <c r="F3070" s="1">
        <v>34800</v>
      </c>
      <c r="G3070" t="s">
        <v>14242</v>
      </c>
      <c r="H3070" t="s">
        <v>14243</v>
      </c>
      <c r="I3070" t="s">
        <v>14244</v>
      </c>
      <c r="J3070" t="s">
        <v>11856</v>
      </c>
      <c r="K3070" t="s">
        <v>2726</v>
      </c>
      <c r="L3070" t="s">
        <v>14245</v>
      </c>
      <c r="M3070" t="s">
        <v>1289</v>
      </c>
      <c r="N3070" t="s">
        <v>6243</v>
      </c>
      <c r="O3070" t="s">
        <v>14246</v>
      </c>
      <c r="P3070" t="s">
        <v>14247</v>
      </c>
      <c r="Q3070" t="s">
        <v>14248</v>
      </c>
      <c r="R3070">
        <v>11</v>
      </c>
      <c r="S3070">
        <v>16</v>
      </c>
    </row>
    <row r="3071" spans="1:19" x14ac:dyDescent="0.35">
      <c r="A3071">
        <v>8441</v>
      </c>
      <c r="B3071" t="s">
        <v>551</v>
      </c>
      <c r="C3071" t="s">
        <v>42</v>
      </c>
      <c r="D3071" t="s">
        <v>14238</v>
      </c>
      <c r="E3071" t="e" cm="1">
        <f t="array" ref="E3071">- POVIDONE-IODINE</f>
        <v>#NAME?</v>
      </c>
      <c r="F3071" t="s">
        <v>14239</v>
      </c>
      <c r="G3071" t="s">
        <v>14229</v>
      </c>
      <c r="I3071" t="s">
        <v>14230</v>
      </c>
      <c r="J3071" t="s">
        <v>4166</v>
      </c>
      <c r="M3071" t="s">
        <v>554</v>
      </c>
      <c r="N3071" t="s">
        <v>555</v>
      </c>
      <c r="O3071" t="s">
        <v>14231</v>
      </c>
      <c r="P3071" t="s">
        <v>14232</v>
      </c>
      <c r="Q3071" t="s">
        <v>14233</v>
      </c>
      <c r="R3071">
        <v>11</v>
      </c>
      <c r="S3071">
        <v>16</v>
      </c>
    </row>
    <row r="3072" spans="1:19" x14ac:dyDescent="0.35">
      <c r="A3072">
        <v>2092</v>
      </c>
      <c r="B3072" t="s">
        <v>12695</v>
      </c>
      <c r="C3072" t="s">
        <v>42</v>
      </c>
      <c r="D3072" t="s">
        <v>12696</v>
      </c>
      <c r="E3072" t="e" cm="1">
        <f t="array" ref="E3072">- CAFFEINE. PARACETAMOL</f>
        <v>#NAME?</v>
      </c>
      <c r="F3072" t="s">
        <v>12697</v>
      </c>
      <c r="G3072" t="s">
        <v>2617</v>
      </c>
      <c r="H3072" t="s">
        <v>12698</v>
      </c>
      <c r="I3072" t="s">
        <v>12699</v>
      </c>
      <c r="J3072" t="s">
        <v>12700</v>
      </c>
      <c r="K3072" t="s">
        <v>12701</v>
      </c>
      <c r="L3072" t="s">
        <v>12702</v>
      </c>
      <c r="M3072" t="s">
        <v>291</v>
      </c>
      <c r="N3072" t="s">
        <v>3312</v>
      </c>
      <c r="O3072" t="s">
        <v>12703</v>
      </c>
      <c r="P3072" t="s">
        <v>12704</v>
      </c>
      <c r="Q3072" t="s">
        <v>14250</v>
      </c>
      <c r="R3072">
        <v>11</v>
      </c>
      <c r="S3072">
        <v>16</v>
      </c>
    </row>
    <row r="3073" spans="1:19" x14ac:dyDescent="0.35">
      <c r="A3073">
        <v>3310</v>
      </c>
      <c r="B3073" t="s">
        <v>14251</v>
      </c>
      <c r="C3073" t="s">
        <v>42</v>
      </c>
      <c r="D3073" t="s">
        <v>14252</v>
      </c>
      <c r="E3073" t="e" cm="1">
        <f t="array" ref="E3073">- LANSOPRAZOLE PELLET</f>
        <v>#NAME?</v>
      </c>
      <c r="F3073" s="1">
        <v>152300</v>
      </c>
      <c r="G3073" t="s">
        <v>11823</v>
      </c>
      <c r="H3073" t="s">
        <v>4222</v>
      </c>
      <c r="I3073" t="s">
        <v>11824</v>
      </c>
      <c r="J3073" t="s">
        <v>190</v>
      </c>
      <c r="K3073" t="s">
        <v>3952</v>
      </c>
      <c r="L3073" t="s">
        <v>11827</v>
      </c>
      <c r="M3073" t="s">
        <v>38</v>
      </c>
      <c r="N3073" t="s">
        <v>13926</v>
      </c>
      <c r="O3073" t="s">
        <v>11828</v>
      </c>
      <c r="P3073" t="s">
        <v>14253</v>
      </c>
      <c r="Q3073" t="s">
        <v>14254</v>
      </c>
      <c r="R3073">
        <v>11</v>
      </c>
      <c r="S3073">
        <v>16</v>
      </c>
    </row>
    <row r="3074" spans="1:19" x14ac:dyDescent="0.35">
      <c r="A3074">
        <v>3248</v>
      </c>
      <c r="B3074" t="s">
        <v>11820</v>
      </c>
      <c r="C3074" t="s">
        <v>42</v>
      </c>
      <c r="D3074" t="s">
        <v>11821</v>
      </c>
      <c r="E3074" t="e" cm="1">
        <f t="array" ref="E3074">- KOMBINASI-LANSOPRAZOLE PELLETS</f>
        <v>#NAME?</v>
      </c>
      <c r="F3074" t="s">
        <v>11822</v>
      </c>
      <c r="G3074" t="s">
        <v>11823</v>
      </c>
      <c r="H3074" t="s">
        <v>4222</v>
      </c>
      <c r="I3074" t="s">
        <v>11824</v>
      </c>
      <c r="J3074" t="s">
        <v>11825</v>
      </c>
      <c r="K3074" t="s">
        <v>11826</v>
      </c>
      <c r="L3074" t="s">
        <v>11827</v>
      </c>
      <c r="M3074" t="s">
        <v>38</v>
      </c>
      <c r="N3074" t="s">
        <v>14255</v>
      </c>
      <c r="O3074" t="s">
        <v>11828</v>
      </c>
      <c r="P3074" t="s">
        <v>11829</v>
      </c>
      <c r="Q3074" t="s">
        <v>14256</v>
      </c>
      <c r="R3074">
        <v>11</v>
      </c>
      <c r="S3074">
        <v>16</v>
      </c>
    </row>
    <row r="3075" spans="1:19" x14ac:dyDescent="0.35">
      <c r="A3075">
        <v>8442</v>
      </c>
      <c r="B3075" t="s">
        <v>551</v>
      </c>
      <c r="C3075" t="s">
        <v>42</v>
      </c>
      <c r="D3075" t="s">
        <v>14141</v>
      </c>
      <c r="E3075" t="e" cm="1">
        <f t="array" ref="E3075">- POVIDONE-IODINE</f>
        <v>#NAME?</v>
      </c>
      <c r="F3075" s="1">
        <v>51700</v>
      </c>
      <c r="I3075" t="s">
        <v>11892</v>
      </c>
      <c r="J3075" t="s">
        <v>10591</v>
      </c>
      <c r="M3075" t="s">
        <v>554</v>
      </c>
      <c r="N3075" t="s">
        <v>555</v>
      </c>
      <c r="O3075" t="s">
        <v>11894</v>
      </c>
      <c r="P3075" t="s">
        <v>14142</v>
      </c>
      <c r="Q3075" t="s">
        <v>14143</v>
      </c>
      <c r="R3075">
        <v>11</v>
      </c>
      <c r="S3075">
        <v>16</v>
      </c>
    </row>
    <row r="3076" spans="1:19" x14ac:dyDescent="0.35">
      <c r="A3076">
        <v>2091</v>
      </c>
      <c r="B3076" t="s">
        <v>12695</v>
      </c>
      <c r="C3076" t="s">
        <v>42</v>
      </c>
      <c r="D3076" t="s">
        <v>12696</v>
      </c>
      <c r="E3076" t="e" cm="1">
        <f t="array" ref="E3076">- CAFFEINE. PARACETAMOL</f>
        <v>#NAME?</v>
      </c>
      <c r="F3076" t="s">
        <v>12697</v>
      </c>
      <c r="G3076" t="s">
        <v>2617</v>
      </c>
      <c r="H3076" t="s">
        <v>12698</v>
      </c>
      <c r="I3076" t="s">
        <v>12699</v>
      </c>
      <c r="J3076" t="s">
        <v>12700</v>
      </c>
      <c r="K3076" t="s">
        <v>12701</v>
      </c>
      <c r="L3076" t="s">
        <v>12702</v>
      </c>
      <c r="M3076" t="s">
        <v>291</v>
      </c>
      <c r="N3076" t="s">
        <v>3312</v>
      </c>
      <c r="O3076" t="s">
        <v>12703</v>
      </c>
      <c r="P3076" t="s">
        <v>12704</v>
      </c>
      <c r="Q3076" t="s">
        <v>14250</v>
      </c>
      <c r="R3076">
        <v>11</v>
      </c>
      <c r="S3076">
        <v>16</v>
      </c>
    </row>
    <row r="3077" spans="1:19" x14ac:dyDescent="0.35">
      <c r="A3077">
        <v>7866</v>
      </c>
      <c r="B3077" t="s">
        <v>14174</v>
      </c>
      <c r="C3077" t="s">
        <v>20</v>
      </c>
      <c r="D3077" t="s">
        <v>14257</v>
      </c>
      <c r="E3077" t="s">
        <v>14176</v>
      </c>
      <c r="F3077" t="s">
        <v>14258</v>
      </c>
      <c r="H3077" t="s">
        <v>14259</v>
      </c>
      <c r="I3077" t="s">
        <v>5700</v>
      </c>
      <c r="J3077" t="s">
        <v>14260</v>
      </c>
      <c r="K3077" t="s">
        <v>14180</v>
      </c>
      <c r="M3077" t="s">
        <v>46</v>
      </c>
      <c r="N3077" t="s">
        <v>14181</v>
      </c>
      <c r="O3077" t="s">
        <v>5703</v>
      </c>
      <c r="P3077" t="s">
        <v>14182</v>
      </c>
      <c r="Q3077" t="s">
        <v>14183</v>
      </c>
      <c r="R3077">
        <v>11</v>
      </c>
      <c r="S3077">
        <v>16</v>
      </c>
    </row>
    <row r="3078" spans="1:19" x14ac:dyDescent="0.35">
      <c r="A3078">
        <v>7862</v>
      </c>
      <c r="B3078" t="s">
        <v>14261</v>
      </c>
      <c r="C3078" t="s">
        <v>20</v>
      </c>
      <c r="D3078" t="s">
        <v>14262</v>
      </c>
      <c r="E3078" t="s">
        <v>14263</v>
      </c>
      <c r="F3078" t="s">
        <v>14264</v>
      </c>
      <c r="G3078" t="s">
        <v>5866</v>
      </c>
      <c r="H3078" t="s">
        <v>14265</v>
      </c>
      <c r="I3078" t="s">
        <v>14266</v>
      </c>
      <c r="J3078" t="s">
        <v>14267</v>
      </c>
      <c r="L3078" t="s">
        <v>14268</v>
      </c>
      <c r="M3078" t="s">
        <v>38</v>
      </c>
      <c r="N3078" t="s">
        <v>14269</v>
      </c>
      <c r="O3078" t="s">
        <v>14270</v>
      </c>
      <c r="P3078" t="s">
        <v>14269</v>
      </c>
      <c r="Q3078" t="s">
        <v>14271</v>
      </c>
      <c r="R3078">
        <v>11</v>
      </c>
      <c r="S3078">
        <v>16</v>
      </c>
    </row>
    <row r="3079" spans="1:19" x14ac:dyDescent="0.35">
      <c r="A3079">
        <v>343</v>
      </c>
      <c r="B3079" t="s">
        <v>13894</v>
      </c>
      <c r="C3079" t="s">
        <v>42</v>
      </c>
      <c r="D3079" t="s">
        <v>13895</v>
      </c>
      <c r="E3079" t="e" cm="1">
        <f t="array" ref="E3079">- ALLYLESTRENOL</f>
        <v>#NAME?</v>
      </c>
      <c r="F3079" t="s">
        <v>13896</v>
      </c>
      <c r="G3079" t="s">
        <v>1691</v>
      </c>
      <c r="H3079" t="s">
        <v>13897</v>
      </c>
      <c r="I3079" t="s">
        <v>13898</v>
      </c>
      <c r="J3079" t="s">
        <v>599</v>
      </c>
      <c r="K3079" t="s">
        <v>2964</v>
      </c>
      <c r="L3079" t="s">
        <v>13899</v>
      </c>
      <c r="M3079" t="s">
        <v>46</v>
      </c>
      <c r="N3079" t="s">
        <v>368</v>
      </c>
      <c r="O3079" t="s">
        <v>13900</v>
      </c>
      <c r="P3079" t="s">
        <v>13901</v>
      </c>
      <c r="Q3079" t="s">
        <v>13902</v>
      </c>
      <c r="R3079">
        <v>11</v>
      </c>
      <c r="S3079">
        <v>16</v>
      </c>
    </row>
    <row r="3080" spans="1:19" x14ac:dyDescent="0.35">
      <c r="A3080">
        <v>4919</v>
      </c>
      <c r="B3080" t="s">
        <v>14272</v>
      </c>
      <c r="C3080" t="s">
        <v>42</v>
      </c>
      <c r="D3080" t="s">
        <v>14273</v>
      </c>
      <c r="E3080" t="e" cm="1">
        <f t="array" ref="E3080">- NICOTINAMIDE</f>
        <v>#NAME?</v>
      </c>
      <c r="F3080" t="s">
        <v>14274</v>
      </c>
      <c r="G3080" t="s">
        <v>14275</v>
      </c>
      <c r="H3080" t="s">
        <v>14276</v>
      </c>
      <c r="I3080" t="s">
        <v>14277</v>
      </c>
      <c r="J3080" t="s">
        <v>13944</v>
      </c>
      <c r="K3080" t="s">
        <v>3952</v>
      </c>
      <c r="L3080" t="s">
        <v>14278</v>
      </c>
      <c r="M3080" t="s">
        <v>87</v>
      </c>
      <c r="N3080" t="s">
        <v>14279</v>
      </c>
      <c r="O3080" t="s">
        <v>14280</v>
      </c>
      <c r="P3080" t="s">
        <v>14281</v>
      </c>
      <c r="Q3080" t="s">
        <v>14282</v>
      </c>
      <c r="R3080">
        <v>11</v>
      </c>
      <c r="S3080">
        <v>16</v>
      </c>
    </row>
    <row r="3081" spans="1:19" x14ac:dyDescent="0.35">
      <c r="A3081">
        <v>6424</v>
      </c>
      <c r="B3081" t="s">
        <v>14283</v>
      </c>
      <c r="C3081" t="s">
        <v>42</v>
      </c>
      <c r="D3081" t="s">
        <v>14284</v>
      </c>
      <c r="E3081" t="e" cm="1">
        <f t="array" ref="E3081">- AMOXICILLIN TRIHYDRATE</f>
        <v>#NAME?</v>
      </c>
      <c r="F3081" t="s">
        <v>14285</v>
      </c>
      <c r="G3081" t="s">
        <v>1691</v>
      </c>
      <c r="H3081" t="s">
        <v>14286</v>
      </c>
      <c r="I3081" t="s">
        <v>14287</v>
      </c>
      <c r="J3081" t="s">
        <v>334</v>
      </c>
      <c r="K3081" t="s">
        <v>14288</v>
      </c>
      <c r="L3081" t="s">
        <v>14289</v>
      </c>
      <c r="M3081" t="s">
        <v>271</v>
      </c>
      <c r="N3081" t="s">
        <v>1523</v>
      </c>
      <c r="O3081" t="s">
        <v>14290</v>
      </c>
      <c r="P3081" t="s">
        <v>14291</v>
      </c>
      <c r="Q3081" t="s">
        <v>14292</v>
      </c>
      <c r="R3081">
        <v>11</v>
      </c>
      <c r="S3081">
        <v>16</v>
      </c>
    </row>
    <row r="3082" spans="1:19" x14ac:dyDescent="0.35">
      <c r="A3082">
        <v>9988</v>
      </c>
      <c r="B3082" t="s">
        <v>14293</v>
      </c>
      <c r="C3082" t="s">
        <v>42</v>
      </c>
      <c r="D3082" t="s">
        <v>14294</v>
      </c>
      <c r="E3082" t="e" cm="1">
        <f t="array" ref="E3082">- TRIMETAZIDINE DIHYDROCHLORIDE</f>
        <v>#NAME?</v>
      </c>
      <c r="F3082" t="s">
        <v>14295</v>
      </c>
      <c r="G3082" t="s">
        <v>14296</v>
      </c>
      <c r="H3082" t="s">
        <v>14297</v>
      </c>
      <c r="I3082" t="s">
        <v>14298</v>
      </c>
      <c r="J3082" t="s">
        <v>14299</v>
      </c>
      <c r="K3082" t="s">
        <v>3762</v>
      </c>
      <c r="L3082" t="s">
        <v>14300</v>
      </c>
      <c r="M3082" t="s">
        <v>46</v>
      </c>
      <c r="N3082" t="s">
        <v>6655</v>
      </c>
      <c r="O3082" t="s">
        <v>14301</v>
      </c>
      <c r="P3082" t="s">
        <v>14302</v>
      </c>
      <c r="Q3082" t="s">
        <v>14303</v>
      </c>
      <c r="R3082">
        <v>11</v>
      </c>
      <c r="S3082">
        <v>16</v>
      </c>
    </row>
    <row r="3083" spans="1:19" x14ac:dyDescent="0.35">
      <c r="A3083">
        <v>7980</v>
      </c>
      <c r="B3083" t="s">
        <v>14304</v>
      </c>
      <c r="C3083" t="s">
        <v>20</v>
      </c>
      <c r="D3083" t="s">
        <v>14305</v>
      </c>
      <c r="E3083" t="s">
        <v>14306</v>
      </c>
      <c r="F3083" t="s">
        <v>14307</v>
      </c>
      <c r="I3083" t="s">
        <v>14308</v>
      </c>
      <c r="J3083" t="s">
        <v>14309</v>
      </c>
      <c r="L3083" t="s">
        <v>14310</v>
      </c>
      <c r="M3083" t="s">
        <v>2374</v>
      </c>
      <c r="N3083" t="s">
        <v>14311</v>
      </c>
      <c r="O3083" t="s">
        <v>14312</v>
      </c>
      <c r="P3083" t="s">
        <v>14311</v>
      </c>
      <c r="Q3083" t="s">
        <v>14313</v>
      </c>
      <c r="R3083">
        <v>11</v>
      </c>
      <c r="S3083">
        <v>16</v>
      </c>
    </row>
    <row r="3084" spans="1:19" x14ac:dyDescent="0.35">
      <c r="A3084">
        <v>1511</v>
      </c>
      <c r="B3084" t="s">
        <v>12550</v>
      </c>
      <c r="C3084" t="s">
        <v>42</v>
      </c>
      <c r="D3084" t="s">
        <v>12551</v>
      </c>
      <c r="E3084" t="e" cm="1">
        <f t="array" ref="E3084">- ACETYL CYSTEINE</f>
        <v>#NAME?</v>
      </c>
      <c r="F3084" t="s">
        <v>12552</v>
      </c>
      <c r="G3084" t="s">
        <v>2241</v>
      </c>
      <c r="H3084" t="s">
        <v>12553</v>
      </c>
      <c r="I3084" t="s">
        <v>11310</v>
      </c>
      <c r="J3084" t="s">
        <v>12554</v>
      </c>
      <c r="L3084" t="s">
        <v>12555</v>
      </c>
      <c r="M3084" t="s">
        <v>271</v>
      </c>
      <c r="N3084" t="s">
        <v>1309</v>
      </c>
      <c r="O3084" t="s">
        <v>11313</v>
      </c>
      <c r="P3084" t="s">
        <v>11314</v>
      </c>
      <c r="Q3084" t="s">
        <v>14314</v>
      </c>
      <c r="R3084">
        <v>11</v>
      </c>
      <c r="S3084">
        <v>16</v>
      </c>
    </row>
    <row r="3085" spans="1:19" x14ac:dyDescent="0.35">
      <c r="A3085">
        <v>1512</v>
      </c>
      <c r="B3085" t="s">
        <v>12550</v>
      </c>
      <c r="C3085" t="s">
        <v>42</v>
      </c>
      <c r="D3085" t="s">
        <v>12551</v>
      </c>
      <c r="E3085" t="e" cm="1">
        <f t="array" ref="E3085">- ACETYL CYSTEINE</f>
        <v>#NAME?</v>
      </c>
      <c r="F3085" t="s">
        <v>12552</v>
      </c>
      <c r="G3085" t="s">
        <v>2241</v>
      </c>
      <c r="H3085" t="s">
        <v>12553</v>
      </c>
      <c r="I3085" t="s">
        <v>11310</v>
      </c>
      <c r="J3085" t="s">
        <v>12554</v>
      </c>
      <c r="L3085" t="s">
        <v>12555</v>
      </c>
      <c r="M3085" t="s">
        <v>271</v>
      </c>
      <c r="N3085" t="s">
        <v>1309</v>
      </c>
      <c r="O3085" t="s">
        <v>11313</v>
      </c>
      <c r="P3085" t="s">
        <v>11314</v>
      </c>
      <c r="Q3085" t="s">
        <v>14314</v>
      </c>
      <c r="R3085">
        <v>11</v>
      </c>
      <c r="S3085">
        <v>16</v>
      </c>
    </row>
    <row r="3086" spans="1:19" x14ac:dyDescent="0.35">
      <c r="A3086">
        <v>481</v>
      </c>
      <c r="B3086" t="s">
        <v>9348</v>
      </c>
      <c r="C3086" t="s">
        <v>42</v>
      </c>
      <c r="D3086" t="s">
        <v>9349</v>
      </c>
      <c r="E3086" t="e" cm="1">
        <f t="array" ref="E3086">- GUAIFENESIN. SALBUTAMOL SULFATE</f>
        <v>#NAME?</v>
      </c>
      <c r="F3086" t="s">
        <v>9350</v>
      </c>
      <c r="G3086" t="s">
        <v>9351</v>
      </c>
      <c r="H3086" t="s">
        <v>9352</v>
      </c>
      <c r="I3086" t="s">
        <v>9353</v>
      </c>
      <c r="J3086" t="s">
        <v>374</v>
      </c>
      <c r="K3086" t="s">
        <v>9354</v>
      </c>
      <c r="L3086" t="s">
        <v>9355</v>
      </c>
      <c r="M3086" t="s">
        <v>271</v>
      </c>
      <c r="N3086" t="s">
        <v>14315</v>
      </c>
      <c r="O3086" t="s">
        <v>9356</v>
      </c>
      <c r="P3086" t="s">
        <v>9357</v>
      </c>
      <c r="Q3086" t="s">
        <v>14316</v>
      </c>
      <c r="R3086">
        <v>11</v>
      </c>
      <c r="S3086">
        <v>16</v>
      </c>
    </row>
    <row r="3087" spans="1:19" x14ac:dyDescent="0.35">
      <c r="A3087">
        <v>8241</v>
      </c>
      <c r="B3087" t="s">
        <v>551</v>
      </c>
      <c r="C3087" t="s">
        <v>42</v>
      </c>
      <c r="D3087" t="s">
        <v>14317</v>
      </c>
      <c r="E3087" t="e" cm="1">
        <f t="array" ref="E3087">- POVIDONE-IODINE</f>
        <v>#NAME?</v>
      </c>
      <c r="F3087" t="s">
        <v>14318</v>
      </c>
      <c r="H3087" t="s">
        <v>1322</v>
      </c>
      <c r="I3087" t="s">
        <v>9439</v>
      </c>
      <c r="J3087" t="s">
        <v>4143</v>
      </c>
      <c r="L3087" t="s">
        <v>8963</v>
      </c>
      <c r="M3087" t="s">
        <v>554</v>
      </c>
      <c r="N3087" t="s">
        <v>555</v>
      </c>
      <c r="O3087" t="s">
        <v>9441</v>
      </c>
      <c r="P3087" t="s">
        <v>14021</v>
      </c>
      <c r="Q3087" t="s">
        <v>14319</v>
      </c>
      <c r="R3087">
        <v>11</v>
      </c>
      <c r="S3087">
        <v>16</v>
      </c>
    </row>
    <row r="3088" spans="1:19" x14ac:dyDescent="0.35">
      <c r="A3088">
        <v>8240</v>
      </c>
      <c r="B3088" t="s">
        <v>551</v>
      </c>
      <c r="C3088" t="s">
        <v>42</v>
      </c>
      <c r="D3088" t="s">
        <v>14317</v>
      </c>
      <c r="E3088" t="e" cm="1">
        <f t="array" ref="E3088">- POVIDONE-IODINE</f>
        <v>#NAME?</v>
      </c>
      <c r="F3088" t="s">
        <v>14318</v>
      </c>
      <c r="H3088" t="s">
        <v>1322</v>
      </c>
      <c r="I3088" t="s">
        <v>9439</v>
      </c>
      <c r="J3088" t="s">
        <v>4143</v>
      </c>
      <c r="L3088" t="s">
        <v>8963</v>
      </c>
      <c r="M3088" t="s">
        <v>554</v>
      </c>
      <c r="N3088" t="s">
        <v>555</v>
      </c>
      <c r="O3088" t="s">
        <v>9441</v>
      </c>
      <c r="P3088" t="s">
        <v>14021</v>
      </c>
      <c r="Q3088" t="s">
        <v>14319</v>
      </c>
      <c r="R3088">
        <v>11</v>
      </c>
      <c r="S3088">
        <v>16</v>
      </c>
    </row>
    <row r="3089" spans="1:19" x14ac:dyDescent="0.35">
      <c r="A3089">
        <v>4249</v>
      </c>
      <c r="B3089" t="s">
        <v>10420</v>
      </c>
      <c r="C3089" t="s">
        <v>42</v>
      </c>
      <c r="D3089" t="s">
        <v>10421</v>
      </c>
      <c r="E3089" t="e" cm="1">
        <f t="array" ref="E3089">- DEXAMETHASONE. DEXCHLORPHENIRAMINE MALEATE</f>
        <v>#NAME?</v>
      </c>
      <c r="F3089" s="1">
        <v>6200</v>
      </c>
      <c r="G3089" t="s">
        <v>2855</v>
      </c>
      <c r="H3089" t="s">
        <v>10422</v>
      </c>
      <c r="I3089" t="s">
        <v>10423</v>
      </c>
      <c r="J3089" t="s">
        <v>10424</v>
      </c>
      <c r="K3089" t="s">
        <v>10425</v>
      </c>
      <c r="L3089" t="s">
        <v>10426</v>
      </c>
      <c r="M3089" t="s">
        <v>291</v>
      </c>
      <c r="N3089" t="s">
        <v>9152</v>
      </c>
      <c r="O3089" t="s">
        <v>10427</v>
      </c>
      <c r="P3089" t="s">
        <v>10428</v>
      </c>
      <c r="Q3089" t="s">
        <v>14320</v>
      </c>
      <c r="R3089">
        <v>11</v>
      </c>
      <c r="S3089">
        <v>16</v>
      </c>
    </row>
    <row r="3090" spans="1:19" x14ac:dyDescent="0.35">
      <c r="A3090">
        <v>3626</v>
      </c>
      <c r="B3090" t="s">
        <v>14321</v>
      </c>
      <c r="C3090" t="s">
        <v>42</v>
      </c>
      <c r="D3090" t="s">
        <v>14322</v>
      </c>
      <c r="E3090" t="e" cm="1">
        <f t="array" ref="E3090">- ONDANSETRON HYDROCHLORIDE</f>
        <v>#NAME?</v>
      </c>
      <c r="F3090" t="s">
        <v>14323</v>
      </c>
      <c r="G3090" t="s">
        <v>60</v>
      </c>
      <c r="H3090" t="s">
        <v>14324</v>
      </c>
      <c r="I3090" t="s">
        <v>14325</v>
      </c>
      <c r="J3090" t="s">
        <v>14326</v>
      </c>
      <c r="K3090" t="s">
        <v>3473</v>
      </c>
      <c r="L3090" t="s">
        <v>14327</v>
      </c>
      <c r="M3090" t="s">
        <v>291</v>
      </c>
      <c r="N3090" t="s">
        <v>14328</v>
      </c>
      <c r="O3090" t="s">
        <v>14329</v>
      </c>
      <c r="P3090" t="s">
        <v>14330</v>
      </c>
      <c r="Q3090" t="s">
        <v>14331</v>
      </c>
      <c r="R3090">
        <v>11</v>
      </c>
      <c r="S3090">
        <v>16</v>
      </c>
    </row>
    <row r="3091" spans="1:19" x14ac:dyDescent="0.35">
      <c r="A3091">
        <v>1823</v>
      </c>
      <c r="B3091" t="s">
        <v>14332</v>
      </c>
      <c r="C3091" t="s">
        <v>42</v>
      </c>
      <c r="D3091" t="s">
        <v>14333</v>
      </c>
      <c r="E3091" t="e" cm="1">
        <f t="array" ref="E3091">- PSEUDOEPHEDRINE HYDROCHLORIDE</f>
        <v>#NAME?</v>
      </c>
      <c r="F3091" t="s">
        <v>14334</v>
      </c>
      <c r="G3091" t="s">
        <v>4469</v>
      </c>
      <c r="H3091" t="s">
        <v>14335</v>
      </c>
      <c r="I3091" t="s">
        <v>14336</v>
      </c>
      <c r="J3091" t="s">
        <v>1647</v>
      </c>
      <c r="K3091" t="s">
        <v>14337</v>
      </c>
      <c r="L3091" t="s">
        <v>14338</v>
      </c>
      <c r="M3091" t="s">
        <v>824</v>
      </c>
      <c r="N3091" t="s">
        <v>8326</v>
      </c>
      <c r="O3091" t="s">
        <v>14339</v>
      </c>
      <c r="P3091" t="s">
        <v>14340</v>
      </c>
      <c r="Q3091" t="s">
        <v>14341</v>
      </c>
      <c r="R3091">
        <v>11</v>
      </c>
      <c r="S3091">
        <v>16</v>
      </c>
    </row>
    <row r="3092" spans="1:19" x14ac:dyDescent="0.35">
      <c r="A3092">
        <v>1824</v>
      </c>
      <c r="B3092" t="s">
        <v>14332</v>
      </c>
      <c r="C3092" t="s">
        <v>42</v>
      </c>
      <c r="D3092" t="s">
        <v>14333</v>
      </c>
      <c r="E3092" t="e" cm="1">
        <f t="array" ref="E3092">- PSEUDOEPHEDRINE HYDROCHLORIDE</f>
        <v>#NAME?</v>
      </c>
      <c r="F3092" t="s">
        <v>14334</v>
      </c>
      <c r="G3092" t="s">
        <v>4469</v>
      </c>
      <c r="H3092" t="s">
        <v>14335</v>
      </c>
      <c r="I3092" t="s">
        <v>14336</v>
      </c>
      <c r="J3092" t="s">
        <v>1647</v>
      </c>
      <c r="K3092" t="s">
        <v>14337</v>
      </c>
      <c r="L3092" t="s">
        <v>14338</v>
      </c>
      <c r="M3092" t="s">
        <v>824</v>
      </c>
      <c r="N3092" t="s">
        <v>8326</v>
      </c>
      <c r="O3092" t="s">
        <v>14339</v>
      </c>
      <c r="P3092" t="s">
        <v>14340</v>
      </c>
      <c r="Q3092" t="s">
        <v>14341</v>
      </c>
      <c r="R3092">
        <v>11</v>
      </c>
      <c r="S3092">
        <v>16</v>
      </c>
    </row>
    <row r="3093" spans="1:19" x14ac:dyDescent="0.35">
      <c r="A3093">
        <v>9966</v>
      </c>
      <c r="B3093" t="s">
        <v>6771</v>
      </c>
      <c r="C3093" t="s">
        <v>42</v>
      </c>
      <c r="D3093" t="s">
        <v>6772</v>
      </c>
      <c r="E3093" t="s">
        <v>14342</v>
      </c>
      <c r="F3093" t="s">
        <v>6773</v>
      </c>
      <c r="G3093" t="s">
        <v>6774</v>
      </c>
      <c r="H3093" t="s">
        <v>6775</v>
      </c>
      <c r="I3093" t="s">
        <v>6776</v>
      </c>
      <c r="J3093" t="s">
        <v>6777</v>
      </c>
      <c r="K3093" t="s">
        <v>6731</v>
      </c>
      <c r="L3093" t="s">
        <v>6778</v>
      </c>
      <c r="M3093" t="s">
        <v>46</v>
      </c>
      <c r="N3093" t="s">
        <v>14343</v>
      </c>
      <c r="O3093" t="s">
        <v>6734</v>
      </c>
      <c r="P3093" t="s">
        <v>6735</v>
      </c>
      <c r="Q3093" t="s">
        <v>14344</v>
      </c>
      <c r="R3093">
        <v>11</v>
      </c>
      <c r="S3093">
        <v>16</v>
      </c>
    </row>
    <row r="3094" spans="1:19" x14ac:dyDescent="0.35">
      <c r="A3094">
        <v>9964</v>
      </c>
      <c r="B3094" t="s">
        <v>6725</v>
      </c>
      <c r="C3094" t="s">
        <v>42</v>
      </c>
      <c r="D3094" t="s">
        <v>6726</v>
      </c>
      <c r="E3094" t="s">
        <v>14345</v>
      </c>
      <c r="F3094" t="s">
        <v>6727</v>
      </c>
      <c r="G3094" t="s">
        <v>6728</v>
      </c>
      <c r="H3094" t="s">
        <v>6729</v>
      </c>
      <c r="I3094" t="s">
        <v>6730</v>
      </c>
      <c r="J3094" t="s">
        <v>381</v>
      </c>
      <c r="K3094" t="s">
        <v>6731</v>
      </c>
      <c r="L3094" t="s">
        <v>6732</v>
      </c>
      <c r="M3094" t="s">
        <v>46</v>
      </c>
      <c r="N3094" t="s">
        <v>14346</v>
      </c>
      <c r="O3094" t="s">
        <v>6734</v>
      </c>
      <c r="P3094" t="s">
        <v>6735</v>
      </c>
      <c r="Q3094" t="s">
        <v>14347</v>
      </c>
      <c r="R3094">
        <v>11</v>
      </c>
      <c r="S3094">
        <v>16</v>
      </c>
    </row>
    <row r="3095" spans="1:19" x14ac:dyDescent="0.35">
      <c r="A3095">
        <v>8316</v>
      </c>
      <c r="B3095" t="s">
        <v>551</v>
      </c>
      <c r="C3095" t="s">
        <v>42</v>
      </c>
      <c r="D3095" t="s">
        <v>14348</v>
      </c>
      <c r="E3095" t="e" cm="1">
        <f t="array" ref="E3095">- POVIDONE-IODINE</f>
        <v>#NAME?</v>
      </c>
      <c r="F3095" s="1">
        <v>28900</v>
      </c>
      <c r="G3095" t="s">
        <v>11543</v>
      </c>
      <c r="H3095" t="s">
        <v>1322</v>
      </c>
      <c r="I3095" t="s">
        <v>11544</v>
      </c>
      <c r="J3095" t="s">
        <v>10948</v>
      </c>
      <c r="M3095" t="s">
        <v>554</v>
      </c>
      <c r="N3095" t="s">
        <v>555</v>
      </c>
      <c r="O3095" t="s">
        <v>11546</v>
      </c>
      <c r="P3095" t="s">
        <v>5794</v>
      </c>
      <c r="Q3095" t="s">
        <v>14349</v>
      </c>
      <c r="R3095">
        <v>11</v>
      </c>
      <c r="S3095">
        <v>16</v>
      </c>
    </row>
    <row r="3096" spans="1:19" x14ac:dyDescent="0.35">
      <c r="A3096">
        <v>1074</v>
      </c>
      <c r="B3096" t="s">
        <v>14350</v>
      </c>
      <c r="C3096" t="s">
        <v>42</v>
      </c>
      <c r="D3096" t="s">
        <v>14351</v>
      </c>
      <c r="E3096" t="e" cm="1">
        <f t="array" ref="E3096">- DIPHENHYDRAMINE HYDROCHLORIDE. GUAIFENESIN</f>
        <v>#NAME?</v>
      </c>
      <c r="F3096" t="s">
        <v>14352</v>
      </c>
      <c r="G3096" t="s">
        <v>4420</v>
      </c>
      <c r="H3096" t="s">
        <v>14353</v>
      </c>
      <c r="I3096" t="s">
        <v>14354</v>
      </c>
      <c r="J3096" t="s">
        <v>11903</v>
      </c>
      <c r="K3096" t="s">
        <v>14355</v>
      </c>
      <c r="L3096" t="s">
        <v>14356</v>
      </c>
      <c r="M3096" t="s">
        <v>271</v>
      </c>
      <c r="N3096" t="s">
        <v>14357</v>
      </c>
      <c r="O3096" t="s">
        <v>14358</v>
      </c>
      <c r="P3096" t="s">
        <v>14359</v>
      </c>
      <c r="Q3096" t="s">
        <v>14360</v>
      </c>
      <c r="R3096">
        <v>11</v>
      </c>
      <c r="S3096">
        <v>16</v>
      </c>
    </row>
    <row r="3097" spans="1:19" x14ac:dyDescent="0.35">
      <c r="A3097">
        <v>8317</v>
      </c>
      <c r="B3097" t="s">
        <v>551</v>
      </c>
      <c r="C3097" t="s">
        <v>42</v>
      </c>
      <c r="D3097" t="s">
        <v>14348</v>
      </c>
      <c r="E3097" t="e" cm="1">
        <f t="array" ref="E3097">- POVIDONE-IODINE</f>
        <v>#NAME?</v>
      </c>
      <c r="F3097" s="1">
        <v>28900</v>
      </c>
      <c r="G3097" t="s">
        <v>11543</v>
      </c>
      <c r="H3097" t="s">
        <v>1322</v>
      </c>
      <c r="I3097" t="s">
        <v>11544</v>
      </c>
      <c r="J3097" t="s">
        <v>10948</v>
      </c>
      <c r="M3097" t="s">
        <v>554</v>
      </c>
      <c r="N3097" t="s">
        <v>555</v>
      </c>
      <c r="O3097" t="s">
        <v>11546</v>
      </c>
      <c r="P3097" t="s">
        <v>5794</v>
      </c>
      <c r="Q3097" t="s">
        <v>14349</v>
      </c>
      <c r="R3097">
        <v>11</v>
      </c>
      <c r="S3097">
        <v>16</v>
      </c>
    </row>
    <row r="3098" spans="1:19" x14ac:dyDescent="0.35">
      <c r="A3098">
        <v>551</v>
      </c>
      <c r="B3098" t="s">
        <v>11695</v>
      </c>
      <c r="C3098" t="s">
        <v>42</v>
      </c>
      <c r="D3098" t="s">
        <v>11696</v>
      </c>
      <c r="E3098" t="e" cm="1">
        <f t="array" ref="E3098">- SALBUTAMOL SULFATE</f>
        <v>#NAME?</v>
      </c>
      <c r="F3098" t="s">
        <v>11697</v>
      </c>
      <c r="G3098" t="s">
        <v>737</v>
      </c>
      <c r="H3098" t="s">
        <v>11448</v>
      </c>
      <c r="I3098" t="s">
        <v>11449</v>
      </c>
      <c r="J3098" t="s">
        <v>11698</v>
      </c>
      <c r="K3098" t="s">
        <v>11699</v>
      </c>
      <c r="L3098" t="s">
        <v>11700</v>
      </c>
      <c r="M3098" t="s">
        <v>46</v>
      </c>
      <c r="N3098" t="s">
        <v>3424</v>
      </c>
      <c r="O3098" t="s">
        <v>11452</v>
      </c>
      <c r="P3098" t="s">
        <v>11701</v>
      </c>
      <c r="Q3098" t="s">
        <v>14361</v>
      </c>
      <c r="R3098">
        <v>11</v>
      </c>
      <c r="S3098">
        <v>16</v>
      </c>
    </row>
    <row r="3099" spans="1:19" x14ac:dyDescent="0.35">
      <c r="A3099">
        <v>794</v>
      </c>
      <c r="B3099" t="s">
        <v>10558</v>
      </c>
      <c r="C3099" t="s">
        <v>42</v>
      </c>
      <c r="D3099" t="s">
        <v>14362</v>
      </c>
      <c r="E3099" t="e" cm="1">
        <f t="array" ref="E3099">- OXOMEMAZINE. GUAIFENESIN</f>
        <v>#NAME?</v>
      </c>
      <c r="F3099" t="s">
        <v>14363</v>
      </c>
      <c r="G3099" t="s">
        <v>4420</v>
      </c>
      <c r="H3099" t="s">
        <v>14364</v>
      </c>
      <c r="I3099" t="s">
        <v>14365</v>
      </c>
      <c r="J3099" t="s">
        <v>374</v>
      </c>
      <c r="K3099" t="s">
        <v>14366</v>
      </c>
      <c r="L3099" t="s">
        <v>14367</v>
      </c>
      <c r="M3099" t="s">
        <v>271</v>
      </c>
      <c r="N3099" t="s">
        <v>10568</v>
      </c>
      <c r="O3099" t="s">
        <v>14368</v>
      </c>
      <c r="P3099" t="s">
        <v>10561</v>
      </c>
      <c r="Q3099" t="s">
        <v>14369</v>
      </c>
      <c r="R3099">
        <v>11</v>
      </c>
      <c r="S3099">
        <v>16</v>
      </c>
    </row>
    <row r="3100" spans="1:19" x14ac:dyDescent="0.35">
      <c r="A3100">
        <v>7997</v>
      </c>
      <c r="B3100" t="s">
        <v>3251</v>
      </c>
      <c r="C3100" t="s">
        <v>20</v>
      </c>
      <c r="D3100" t="s">
        <v>14370</v>
      </c>
      <c r="E3100" t="s">
        <v>3253</v>
      </c>
      <c r="F3100" t="s">
        <v>14371</v>
      </c>
      <c r="G3100" t="s">
        <v>14372</v>
      </c>
    </row>
    <row r="3101" spans="1:19" x14ac:dyDescent="0.35">
      <c r="A3101">
        <v>1162</v>
      </c>
      <c r="B3101" t="s">
        <v>10704</v>
      </c>
      <c r="C3101" t="s">
        <v>42</v>
      </c>
      <c r="D3101" t="s">
        <v>10705</v>
      </c>
      <c r="E3101" t="e" cm="1">
        <f t="array" ref="E3101">- SULFOGAIACOL POTASSIUM. PROMETHAZINE HYDROCHLORIDE</f>
        <v>#NAME?</v>
      </c>
      <c r="F3101" t="s">
        <v>10706</v>
      </c>
      <c r="G3101" t="s">
        <v>2241</v>
      </c>
      <c r="H3101" t="s">
        <v>10707</v>
      </c>
      <c r="I3101" t="s">
        <v>10708</v>
      </c>
      <c r="J3101" t="s">
        <v>334</v>
      </c>
      <c r="K3101" t="s">
        <v>10709</v>
      </c>
      <c r="L3101" t="s">
        <v>10710</v>
      </c>
      <c r="M3101" t="s">
        <v>271</v>
      </c>
      <c r="N3101" t="s">
        <v>14373</v>
      </c>
      <c r="O3101" t="s">
        <v>10711</v>
      </c>
      <c r="P3101" t="s">
        <v>10712</v>
      </c>
      <c r="Q3101" t="s">
        <v>14374</v>
      </c>
      <c r="R3101">
        <v>11</v>
      </c>
      <c r="S3101">
        <v>16</v>
      </c>
    </row>
    <row r="3102" spans="1:19" x14ac:dyDescent="0.35">
      <c r="A3102">
        <v>3496</v>
      </c>
      <c r="B3102" t="s">
        <v>14375</v>
      </c>
      <c r="C3102" t="s">
        <v>42</v>
      </c>
      <c r="D3102" t="s">
        <v>14376</v>
      </c>
      <c r="E3102" t="e" cm="1">
        <f t="array" ref="E3102">- ONDANSETRON</f>
        <v>#NAME?</v>
      </c>
      <c r="F3102" t="s">
        <v>14377</v>
      </c>
      <c r="G3102" t="s">
        <v>14378</v>
      </c>
      <c r="H3102" t="s">
        <v>14379</v>
      </c>
      <c r="I3102" t="s">
        <v>14380</v>
      </c>
      <c r="J3102" t="s">
        <v>14381</v>
      </c>
      <c r="K3102" t="s">
        <v>14086</v>
      </c>
      <c r="L3102" t="s">
        <v>14382</v>
      </c>
      <c r="M3102" t="s">
        <v>291</v>
      </c>
      <c r="N3102" t="s">
        <v>1869</v>
      </c>
      <c r="O3102" t="s">
        <v>14383</v>
      </c>
      <c r="P3102" t="s">
        <v>1869</v>
      </c>
      <c r="Q3102" t="s">
        <v>14384</v>
      </c>
      <c r="R3102">
        <v>11</v>
      </c>
      <c r="S3102">
        <v>16</v>
      </c>
    </row>
    <row r="3103" spans="1:19" x14ac:dyDescent="0.35">
      <c r="A3103">
        <v>795</v>
      </c>
      <c r="B3103" t="s">
        <v>10558</v>
      </c>
      <c r="C3103" t="s">
        <v>42</v>
      </c>
      <c r="D3103" t="s">
        <v>14362</v>
      </c>
      <c r="E3103" t="e" cm="1">
        <f t="array" ref="E3103">- GUAIFENESIN. OXOMEMAZINE</f>
        <v>#NAME?</v>
      </c>
      <c r="F3103" t="s">
        <v>14363</v>
      </c>
      <c r="G3103" t="s">
        <v>4420</v>
      </c>
      <c r="H3103" t="s">
        <v>14364</v>
      </c>
      <c r="I3103" t="s">
        <v>14365</v>
      </c>
      <c r="J3103" t="s">
        <v>374</v>
      </c>
      <c r="K3103" t="s">
        <v>14366</v>
      </c>
      <c r="L3103" t="s">
        <v>14367</v>
      </c>
      <c r="M3103" t="s">
        <v>271</v>
      </c>
      <c r="N3103" t="s">
        <v>10025</v>
      </c>
      <c r="O3103" t="s">
        <v>14368</v>
      </c>
      <c r="P3103" t="s">
        <v>10561</v>
      </c>
      <c r="Q3103" t="s">
        <v>14385</v>
      </c>
      <c r="R3103">
        <v>11</v>
      </c>
      <c r="S3103">
        <v>16</v>
      </c>
    </row>
    <row r="3104" spans="1:19" x14ac:dyDescent="0.35">
      <c r="A3104">
        <v>2706</v>
      </c>
      <c r="B3104" t="s">
        <v>14386</v>
      </c>
      <c r="C3104" t="s">
        <v>42</v>
      </c>
      <c r="D3104" t="s">
        <v>14387</v>
      </c>
      <c r="E3104" t="e" cm="1">
        <f t="array" ref="E3104">- PARACETAMOL. CAFFEINE</f>
        <v>#NAME?</v>
      </c>
      <c r="F3104" s="1">
        <v>10300</v>
      </c>
      <c r="G3104" t="s">
        <v>14388</v>
      </c>
      <c r="H3104" t="s">
        <v>14389</v>
      </c>
      <c r="I3104" t="s">
        <v>14390</v>
      </c>
      <c r="J3104" t="s">
        <v>11106</v>
      </c>
      <c r="K3104" t="s">
        <v>14391</v>
      </c>
      <c r="L3104" t="s">
        <v>14392</v>
      </c>
      <c r="M3104" t="s">
        <v>291</v>
      </c>
      <c r="N3104" t="s">
        <v>3655</v>
      </c>
      <c r="O3104" t="s">
        <v>14393</v>
      </c>
      <c r="P3104" t="s">
        <v>14394</v>
      </c>
      <c r="Q3104" t="s">
        <v>14395</v>
      </c>
      <c r="R3104">
        <v>11</v>
      </c>
      <c r="S3104">
        <v>16</v>
      </c>
    </row>
    <row r="3105" spans="1:19" x14ac:dyDescent="0.35">
      <c r="A3105">
        <v>796</v>
      </c>
      <c r="B3105" t="s">
        <v>10558</v>
      </c>
      <c r="C3105" t="s">
        <v>42</v>
      </c>
      <c r="D3105" t="s">
        <v>14362</v>
      </c>
      <c r="E3105" t="e" cm="1">
        <f t="array" ref="E3105">- GUAIFENESIN. OXOMEMAZINE</f>
        <v>#NAME?</v>
      </c>
      <c r="F3105" t="s">
        <v>14363</v>
      </c>
      <c r="G3105" t="s">
        <v>4420</v>
      </c>
      <c r="H3105" t="s">
        <v>14364</v>
      </c>
      <c r="I3105" t="s">
        <v>14365</v>
      </c>
      <c r="J3105" t="s">
        <v>374</v>
      </c>
      <c r="K3105" t="s">
        <v>14366</v>
      </c>
      <c r="L3105" t="s">
        <v>14367</v>
      </c>
      <c r="M3105" t="s">
        <v>271</v>
      </c>
      <c r="N3105" t="s">
        <v>10025</v>
      </c>
      <c r="O3105" t="s">
        <v>14368</v>
      </c>
      <c r="P3105" t="s">
        <v>10561</v>
      </c>
      <c r="Q3105" t="s">
        <v>14385</v>
      </c>
      <c r="R3105">
        <v>11</v>
      </c>
      <c r="S3105">
        <v>16</v>
      </c>
    </row>
    <row r="3106" spans="1:19" x14ac:dyDescent="0.35">
      <c r="A3106">
        <v>1845</v>
      </c>
      <c r="B3106" t="s">
        <v>14396</v>
      </c>
      <c r="C3106" t="s">
        <v>42</v>
      </c>
      <c r="D3106" t="s">
        <v>14397</v>
      </c>
      <c r="E3106" t="e" cm="1">
        <f t="array" ref="E3106">- PSEUDOEPHEDRINE HYDROCHLORIDE</f>
        <v>#NAME?</v>
      </c>
      <c r="F3106" t="s">
        <v>14398</v>
      </c>
      <c r="G3106" t="s">
        <v>2241</v>
      </c>
      <c r="H3106" t="s">
        <v>13066</v>
      </c>
      <c r="I3106" t="s">
        <v>14399</v>
      </c>
      <c r="J3106" t="s">
        <v>1647</v>
      </c>
      <c r="K3106" t="s">
        <v>14400</v>
      </c>
      <c r="L3106" t="s">
        <v>13069</v>
      </c>
      <c r="M3106" t="s">
        <v>824</v>
      </c>
      <c r="N3106" t="s">
        <v>8326</v>
      </c>
      <c r="O3106" t="s">
        <v>14401</v>
      </c>
      <c r="P3106" t="s">
        <v>14402</v>
      </c>
      <c r="Q3106" t="s">
        <v>14403</v>
      </c>
      <c r="R3106">
        <v>11</v>
      </c>
      <c r="S3106">
        <v>16</v>
      </c>
    </row>
    <row r="3107" spans="1:19" x14ac:dyDescent="0.35">
      <c r="A3107">
        <v>1844</v>
      </c>
      <c r="B3107" t="s">
        <v>14404</v>
      </c>
      <c r="C3107" t="s">
        <v>20</v>
      </c>
      <c r="D3107" t="s">
        <v>14405</v>
      </c>
      <c r="E3107" t="s">
        <v>14406</v>
      </c>
      <c r="F3107" t="s">
        <v>14407</v>
      </c>
      <c r="G3107" t="s">
        <v>2241</v>
      </c>
      <c r="H3107" t="s">
        <v>14408</v>
      </c>
      <c r="I3107" t="s">
        <v>14409</v>
      </c>
      <c r="J3107" t="s">
        <v>334</v>
      </c>
      <c r="M3107" t="s">
        <v>271</v>
      </c>
      <c r="N3107" t="s">
        <v>14410</v>
      </c>
      <c r="O3107" t="s">
        <v>14411</v>
      </c>
      <c r="P3107" t="s">
        <v>14410</v>
      </c>
      <c r="Q3107" t="s">
        <v>14412</v>
      </c>
      <c r="R3107">
        <v>11</v>
      </c>
      <c r="S3107">
        <v>16</v>
      </c>
    </row>
    <row r="3108" spans="1:19" x14ac:dyDescent="0.35">
      <c r="A3108">
        <v>1843</v>
      </c>
      <c r="B3108" t="s">
        <v>10254</v>
      </c>
      <c r="C3108" t="s">
        <v>42</v>
      </c>
      <c r="D3108" t="s">
        <v>14413</v>
      </c>
      <c r="E3108" t="e" cm="1">
        <f t="array" ref="E3108">- DEXTROMETHORPHAN HYDROBROMIDE</f>
        <v>#NAME?</v>
      </c>
      <c r="F3108" t="s">
        <v>14414</v>
      </c>
      <c r="G3108" t="s">
        <v>2241</v>
      </c>
      <c r="H3108" t="s">
        <v>14415</v>
      </c>
      <c r="I3108" t="s">
        <v>14416</v>
      </c>
      <c r="J3108" t="s">
        <v>14417</v>
      </c>
      <c r="K3108" t="s">
        <v>14418</v>
      </c>
      <c r="L3108" t="s">
        <v>14419</v>
      </c>
      <c r="M3108" t="s">
        <v>271</v>
      </c>
      <c r="N3108" t="s">
        <v>1376</v>
      </c>
      <c r="O3108" t="s">
        <v>14420</v>
      </c>
      <c r="P3108" t="s">
        <v>10262</v>
      </c>
      <c r="Q3108" t="s">
        <v>14421</v>
      </c>
      <c r="R3108">
        <v>11</v>
      </c>
      <c r="S3108">
        <v>16</v>
      </c>
    </row>
    <row r="3109" spans="1:19" x14ac:dyDescent="0.35">
      <c r="A3109">
        <v>1842</v>
      </c>
      <c r="B3109" t="s">
        <v>10254</v>
      </c>
      <c r="C3109" t="s">
        <v>42</v>
      </c>
      <c r="D3109" t="s">
        <v>14413</v>
      </c>
      <c r="E3109" t="e" cm="1">
        <f t="array" ref="E3109">- DEXTROMETHORPHAN HYDROBROMIDE</f>
        <v>#NAME?</v>
      </c>
      <c r="F3109" t="s">
        <v>14414</v>
      </c>
      <c r="G3109" t="s">
        <v>2241</v>
      </c>
      <c r="H3109" t="s">
        <v>14415</v>
      </c>
      <c r="I3109" t="s">
        <v>14416</v>
      </c>
      <c r="J3109" t="s">
        <v>14417</v>
      </c>
      <c r="K3109" t="s">
        <v>14418</v>
      </c>
      <c r="L3109" t="s">
        <v>14419</v>
      </c>
      <c r="M3109" t="s">
        <v>271</v>
      </c>
      <c r="N3109" t="s">
        <v>1376</v>
      </c>
      <c r="O3109" t="s">
        <v>14420</v>
      </c>
      <c r="P3109" t="s">
        <v>10262</v>
      </c>
      <c r="Q3109" t="s">
        <v>14421</v>
      </c>
      <c r="R3109">
        <v>11</v>
      </c>
      <c r="S3109">
        <v>16</v>
      </c>
    </row>
    <row r="3110" spans="1:19" x14ac:dyDescent="0.35">
      <c r="A3110">
        <v>131</v>
      </c>
      <c r="B3110" t="s">
        <v>2902</v>
      </c>
      <c r="C3110" t="s">
        <v>42</v>
      </c>
      <c r="D3110" t="s">
        <v>14422</v>
      </c>
      <c r="E3110" t="e" cm="1">
        <f t="array" ref="E3110">- SILDENAFIL CITRATE</f>
        <v>#NAME?</v>
      </c>
      <c r="F3110" t="s">
        <v>14423</v>
      </c>
      <c r="G3110" t="s">
        <v>8185</v>
      </c>
      <c r="H3110" t="s">
        <v>3854</v>
      </c>
      <c r="I3110" t="s">
        <v>8186</v>
      </c>
      <c r="J3110" t="s">
        <v>9621</v>
      </c>
      <c r="L3110" t="s">
        <v>8188</v>
      </c>
      <c r="M3110" t="s">
        <v>46</v>
      </c>
      <c r="N3110" t="s">
        <v>2519</v>
      </c>
      <c r="O3110" t="s">
        <v>8189</v>
      </c>
      <c r="P3110" t="s">
        <v>14424</v>
      </c>
      <c r="Q3110" t="s">
        <v>14425</v>
      </c>
      <c r="R3110">
        <v>11</v>
      </c>
      <c r="S3110">
        <v>16</v>
      </c>
    </row>
    <row r="3111" spans="1:19" x14ac:dyDescent="0.35">
      <c r="A3111">
        <v>1835</v>
      </c>
      <c r="B3111" t="s">
        <v>14426</v>
      </c>
      <c r="C3111" t="s">
        <v>42</v>
      </c>
      <c r="D3111" t="s">
        <v>14427</v>
      </c>
      <c r="E3111" t="e" cm="1">
        <f t="array" ref="E3111">- PSEUDOEPHEDRINE HYDROCHLORIDE</f>
        <v>#NAME?</v>
      </c>
      <c r="F3111" t="s">
        <v>14428</v>
      </c>
      <c r="G3111" t="s">
        <v>60</v>
      </c>
      <c r="H3111" t="s">
        <v>14429</v>
      </c>
      <c r="I3111" t="s">
        <v>14430</v>
      </c>
      <c r="J3111" t="s">
        <v>14431</v>
      </c>
      <c r="K3111" t="s">
        <v>14432</v>
      </c>
      <c r="L3111" t="s">
        <v>14433</v>
      </c>
      <c r="M3111" t="s">
        <v>824</v>
      </c>
      <c r="N3111" t="s">
        <v>8326</v>
      </c>
      <c r="O3111" t="s">
        <v>14434</v>
      </c>
      <c r="P3111" t="s">
        <v>14435</v>
      </c>
      <c r="Q3111" t="s">
        <v>14436</v>
      </c>
      <c r="R3111">
        <v>11</v>
      </c>
      <c r="S3111">
        <v>16</v>
      </c>
    </row>
    <row r="3112" spans="1:19" x14ac:dyDescent="0.35">
      <c r="A3112">
        <v>798</v>
      </c>
      <c r="B3112" t="s">
        <v>14437</v>
      </c>
      <c r="C3112" t="s">
        <v>42</v>
      </c>
      <c r="D3112" t="s">
        <v>14438</v>
      </c>
      <c r="E3112" t="e" cm="1">
        <f t="array" ref="E3112">- PARACETAMOL. ACETYLCYSTEINE</f>
        <v>#NAME?</v>
      </c>
      <c r="F3112" t="s">
        <v>14439</v>
      </c>
      <c r="G3112" t="s">
        <v>2241</v>
      </c>
      <c r="H3112" t="s">
        <v>14440</v>
      </c>
    </row>
    <row r="3113" spans="1:19" x14ac:dyDescent="0.35">
      <c r="A3113">
        <v>1163</v>
      </c>
      <c r="B3113" t="s">
        <v>10704</v>
      </c>
      <c r="C3113" t="s">
        <v>42</v>
      </c>
      <c r="D3113" t="s">
        <v>10705</v>
      </c>
      <c r="E3113" t="e" cm="1">
        <f t="array" ref="E3113">- SULFOGAIACOL POTASSIUM. PROMETHAZINE HYDROCHLORIDE</f>
        <v>#NAME?</v>
      </c>
      <c r="F3113" t="s">
        <v>10706</v>
      </c>
      <c r="G3113" t="s">
        <v>2241</v>
      </c>
      <c r="H3113" t="s">
        <v>10707</v>
      </c>
      <c r="I3113" t="s">
        <v>10708</v>
      </c>
      <c r="J3113" t="s">
        <v>334</v>
      </c>
      <c r="K3113" t="s">
        <v>10709</v>
      </c>
      <c r="L3113" t="s">
        <v>10710</v>
      </c>
      <c r="M3113" t="s">
        <v>271</v>
      </c>
      <c r="N3113" t="s">
        <v>14373</v>
      </c>
      <c r="O3113" t="s">
        <v>10711</v>
      </c>
      <c r="P3113" t="s">
        <v>10712</v>
      </c>
      <c r="Q3113" t="s">
        <v>14374</v>
      </c>
      <c r="R3113">
        <v>11</v>
      </c>
      <c r="S3113">
        <v>16</v>
      </c>
    </row>
    <row r="3114" spans="1:19" x14ac:dyDescent="0.35">
      <c r="A3114">
        <v>9989</v>
      </c>
      <c r="B3114" t="s">
        <v>14293</v>
      </c>
      <c r="C3114" t="s">
        <v>42</v>
      </c>
      <c r="D3114" t="s">
        <v>14294</v>
      </c>
      <c r="E3114" t="e" cm="1">
        <f t="array" ref="E3114">- TRIMETAZIDINE HYDROCHLORIDE</f>
        <v>#NAME?</v>
      </c>
      <c r="F3114" t="s">
        <v>14295</v>
      </c>
      <c r="G3114" t="s">
        <v>14296</v>
      </c>
      <c r="H3114" t="s">
        <v>14297</v>
      </c>
      <c r="I3114" t="s">
        <v>14298</v>
      </c>
      <c r="J3114" t="s">
        <v>14299</v>
      </c>
      <c r="K3114" t="s">
        <v>3762</v>
      </c>
      <c r="L3114" t="s">
        <v>14300</v>
      </c>
      <c r="M3114" t="s">
        <v>46</v>
      </c>
      <c r="N3114" t="s">
        <v>6684</v>
      </c>
      <c r="O3114" t="s">
        <v>14301</v>
      </c>
      <c r="P3114" t="s">
        <v>14302</v>
      </c>
      <c r="Q3114" t="s">
        <v>14441</v>
      </c>
      <c r="R3114">
        <v>11</v>
      </c>
      <c r="S3114">
        <v>16</v>
      </c>
    </row>
    <row r="3115" spans="1:19" x14ac:dyDescent="0.35">
      <c r="A3115">
        <v>4205</v>
      </c>
      <c r="B3115" t="s">
        <v>11291</v>
      </c>
      <c r="C3115" t="s">
        <v>42</v>
      </c>
      <c r="D3115" t="s">
        <v>11292</v>
      </c>
      <c r="E3115" t="e" cm="1">
        <f t="array" ref="E3115">- DEXAMETHASONE. DEXCHLORPHENIRAMINE MALEATE</f>
        <v>#NAME?</v>
      </c>
      <c r="F3115" t="s">
        <v>11293</v>
      </c>
      <c r="G3115" t="s">
        <v>11294</v>
      </c>
      <c r="H3115" t="s">
        <v>11295</v>
      </c>
      <c r="I3115" t="s">
        <v>11296</v>
      </c>
      <c r="J3115" t="s">
        <v>1631</v>
      </c>
      <c r="L3115" t="s">
        <v>321</v>
      </c>
      <c r="M3115" t="s">
        <v>291</v>
      </c>
      <c r="N3115" t="s">
        <v>9152</v>
      </c>
      <c r="O3115" t="s">
        <v>11297</v>
      </c>
      <c r="P3115" t="s">
        <v>11298</v>
      </c>
      <c r="Q3115" t="s">
        <v>14442</v>
      </c>
      <c r="R3115">
        <v>11</v>
      </c>
      <c r="S3115">
        <v>16</v>
      </c>
    </row>
    <row r="3116" spans="1:19" x14ac:dyDescent="0.35">
      <c r="A3116">
        <v>8123</v>
      </c>
      <c r="B3116" t="s">
        <v>551</v>
      </c>
      <c r="C3116" t="s">
        <v>42</v>
      </c>
      <c r="D3116" t="s">
        <v>14443</v>
      </c>
      <c r="E3116" t="e" cm="1">
        <f t="array" ref="E3116">- POVIDONE-IODINE</f>
        <v>#NAME?</v>
      </c>
      <c r="F3116" t="s">
        <v>14444</v>
      </c>
      <c r="G3116" t="s">
        <v>9438</v>
      </c>
      <c r="I3116" t="s">
        <v>9439</v>
      </c>
      <c r="J3116" t="s">
        <v>4250</v>
      </c>
      <c r="M3116" t="s">
        <v>554</v>
      </c>
      <c r="N3116" t="s">
        <v>555</v>
      </c>
      <c r="O3116" t="s">
        <v>9441</v>
      </c>
      <c r="P3116" t="s">
        <v>14445</v>
      </c>
      <c r="Q3116" t="s">
        <v>14446</v>
      </c>
      <c r="R3116">
        <v>11</v>
      </c>
      <c r="S3116">
        <v>16</v>
      </c>
    </row>
    <row r="3117" spans="1:19" x14ac:dyDescent="0.35">
      <c r="A3117">
        <v>6338</v>
      </c>
      <c r="B3117" t="s">
        <v>7593</v>
      </c>
      <c r="C3117" t="s">
        <v>42</v>
      </c>
      <c r="D3117" t="s">
        <v>14447</v>
      </c>
      <c r="E3117" t="e" cm="1">
        <f t="array" ref="E3117">- ISONIAZID</f>
        <v>#NAME?</v>
      </c>
      <c r="F3117" t="s">
        <v>14448</v>
      </c>
      <c r="G3117" t="s">
        <v>2241</v>
      </c>
      <c r="H3117" t="s">
        <v>14449</v>
      </c>
    </row>
    <row r="3118" spans="1:19" x14ac:dyDescent="0.35">
      <c r="A3118">
        <v>6337</v>
      </c>
      <c r="B3118" t="s">
        <v>7593</v>
      </c>
      <c r="C3118" t="s">
        <v>42</v>
      </c>
      <c r="D3118" t="s">
        <v>14447</v>
      </c>
      <c r="E3118" t="e" cm="1">
        <f t="array" ref="E3118">- ISONIAZID</f>
        <v>#NAME?</v>
      </c>
      <c r="F3118" t="s">
        <v>14448</v>
      </c>
      <c r="G3118" t="s">
        <v>2241</v>
      </c>
      <c r="H3118" t="s">
        <v>14449</v>
      </c>
    </row>
    <row r="3119" spans="1:19" x14ac:dyDescent="0.35">
      <c r="A3119">
        <v>1510</v>
      </c>
      <c r="B3119" t="s">
        <v>12550</v>
      </c>
      <c r="C3119" t="s">
        <v>42</v>
      </c>
      <c r="D3119" t="s">
        <v>12551</v>
      </c>
      <c r="E3119" t="e" cm="1">
        <f t="array" ref="E3119">- ACETYL CYSTEINE</f>
        <v>#NAME?</v>
      </c>
      <c r="F3119" t="s">
        <v>12552</v>
      </c>
      <c r="G3119" t="s">
        <v>2241</v>
      </c>
      <c r="H3119" t="s">
        <v>12553</v>
      </c>
      <c r="I3119" t="s">
        <v>11310</v>
      </c>
      <c r="J3119" t="s">
        <v>12554</v>
      </c>
      <c r="L3119" t="s">
        <v>12555</v>
      </c>
      <c r="M3119" t="s">
        <v>271</v>
      </c>
      <c r="N3119" t="s">
        <v>1309</v>
      </c>
      <c r="O3119" t="s">
        <v>11313</v>
      </c>
      <c r="P3119" t="s">
        <v>11314</v>
      </c>
      <c r="Q3119" t="s">
        <v>14314</v>
      </c>
      <c r="R3119">
        <v>11</v>
      </c>
      <c r="S3119">
        <v>16</v>
      </c>
    </row>
    <row r="3120" spans="1:19" x14ac:dyDescent="0.35">
      <c r="A3120">
        <v>1748</v>
      </c>
      <c r="B3120" t="s">
        <v>14450</v>
      </c>
      <c r="C3120" t="s">
        <v>850</v>
      </c>
      <c r="D3120" t="s">
        <v>14451</v>
      </c>
      <c r="E3120" t="e" cm="1">
        <f t="array" ref="E3120">- Camphor</f>
        <v>#NAME?</v>
      </c>
      <c r="F3120" t="s">
        <v>14452</v>
      </c>
      <c r="G3120" t="s">
        <v>14453</v>
      </c>
      <c r="H3120" t="s">
        <v>14454</v>
      </c>
      <c r="I3120" t="s">
        <v>14455</v>
      </c>
      <c r="J3120" t="s">
        <v>14456</v>
      </c>
      <c r="L3120" t="s">
        <v>14457</v>
      </c>
      <c r="M3120" t="s">
        <v>3632</v>
      </c>
      <c r="N3120" t="s">
        <v>853</v>
      </c>
      <c r="O3120" t="s">
        <v>14458</v>
      </c>
      <c r="P3120" t="s">
        <v>14459</v>
      </c>
      <c r="Q3120" t="s">
        <v>14460</v>
      </c>
      <c r="R3120">
        <v>11</v>
      </c>
      <c r="S3120">
        <v>16</v>
      </c>
    </row>
    <row r="3121" spans="1:19" x14ac:dyDescent="0.35">
      <c r="A3121">
        <v>10047</v>
      </c>
      <c r="B3121" t="s">
        <v>6597</v>
      </c>
      <c r="C3121" t="s">
        <v>20</v>
      </c>
      <c r="D3121" t="s">
        <v>14461</v>
      </c>
      <c r="E3121" t="s">
        <v>6599</v>
      </c>
      <c r="F3121" t="s">
        <v>14462</v>
      </c>
      <c r="H3121" t="s">
        <v>2961</v>
      </c>
      <c r="I3121" t="s">
        <v>5756</v>
      </c>
      <c r="J3121" t="s">
        <v>107</v>
      </c>
      <c r="M3121" t="s">
        <v>38</v>
      </c>
      <c r="N3121" t="s">
        <v>6602</v>
      </c>
      <c r="O3121" t="s">
        <v>5759</v>
      </c>
      <c r="P3121" t="s">
        <v>14463</v>
      </c>
      <c r="Q3121" t="s">
        <v>14464</v>
      </c>
      <c r="R3121">
        <v>11</v>
      </c>
      <c r="S3121">
        <v>16</v>
      </c>
    </row>
    <row r="3122" spans="1:19" x14ac:dyDescent="0.35">
      <c r="A3122">
        <v>8126</v>
      </c>
      <c r="B3122" t="s">
        <v>551</v>
      </c>
      <c r="C3122" t="s">
        <v>42</v>
      </c>
      <c r="D3122" t="s">
        <v>14465</v>
      </c>
      <c r="E3122" t="e" cm="1">
        <f t="array" ref="E3122">- POVIDONE-IODINE</f>
        <v>#NAME?</v>
      </c>
      <c r="F3122" t="s">
        <v>14466</v>
      </c>
      <c r="G3122" t="s">
        <v>14467</v>
      </c>
      <c r="H3122" t="s">
        <v>1322</v>
      </c>
      <c r="I3122" t="s">
        <v>14468</v>
      </c>
      <c r="J3122" t="s">
        <v>14469</v>
      </c>
      <c r="M3122" t="s">
        <v>554</v>
      </c>
      <c r="N3122" t="s">
        <v>555</v>
      </c>
      <c r="O3122" t="s">
        <v>14470</v>
      </c>
      <c r="P3122" t="s">
        <v>14471</v>
      </c>
      <c r="Q3122" t="s">
        <v>14472</v>
      </c>
      <c r="R3122">
        <v>11</v>
      </c>
      <c r="S3122">
        <v>16</v>
      </c>
    </row>
    <row r="3123" spans="1:19" x14ac:dyDescent="0.35">
      <c r="A3123">
        <v>4737</v>
      </c>
      <c r="B3123" t="s">
        <v>14473</v>
      </c>
      <c r="C3123" t="s">
        <v>42</v>
      </c>
      <c r="D3123" t="s">
        <v>14474</v>
      </c>
      <c r="E3123" t="e" cm="1">
        <f t="array" ref="E3123">- TETRAHYDROZOLINE HYDROCHLORIDE</f>
        <v>#NAME?</v>
      </c>
      <c r="F3123" t="s">
        <v>14475</v>
      </c>
      <c r="H3123" t="s">
        <v>14476</v>
      </c>
      <c r="I3123" t="s">
        <v>14477</v>
      </c>
      <c r="J3123" t="s">
        <v>1647</v>
      </c>
      <c r="K3123" t="s">
        <v>14478</v>
      </c>
      <c r="L3123" t="s">
        <v>14479</v>
      </c>
      <c r="M3123" t="s">
        <v>824</v>
      </c>
      <c r="N3123" t="s">
        <v>3512</v>
      </c>
      <c r="O3123" t="s">
        <v>14480</v>
      </c>
      <c r="P3123" t="s">
        <v>14481</v>
      </c>
      <c r="Q3123" t="s">
        <v>14482</v>
      </c>
      <c r="R3123">
        <v>11</v>
      </c>
      <c r="S3123">
        <v>16</v>
      </c>
    </row>
    <row r="3124" spans="1:19" x14ac:dyDescent="0.35">
      <c r="A3124">
        <v>1343</v>
      </c>
      <c r="B3124" t="s">
        <v>14483</v>
      </c>
      <c r="C3124" t="s">
        <v>42</v>
      </c>
      <c r="D3124" t="s">
        <v>14484</v>
      </c>
      <c r="E3124" t="e" cm="1">
        <f t="array" ref="E3124">- CHLORPHENAMINE MALEATE</f>
        <v>#NAME?</v>
      </c>
      <c r="F3124" t="s">
        <v>14485</v>
      </c>
      <c r="I3124" t="s">
        <v>14486</v>
      </c>
      <c r="J3124" t="s">
        <v>14487</v>
      </c>
      <c r="M3124" t="s">
        <v>46</v>
      </c>
      <c r="N3124" t="s">
        <v>1354</v>
      </c>
      <c r="O3124" t="s">
        <v>14488</v>
      </c>
      <c r="P3124" t="s">
        <v>14489</v>
      </c>
      <c r="Q3124" t="s">
        <v>14490</v>
      </c>
      <c r="R3124">
        <v>11</v>
      </c>
      <c r="S3124">
        <v>16</v>
      </c>
    </row>
    <row r="3125" spans="1:19" x14ac:dyDescent="0.35">
      <c r="A3125">
        <v>3585</v>
      </c>
      <c r="B3125" t="s">
        <v>14491</v>
      </c>
      <c r="C3125" t="s">
        <v>20</v>
      </c>
      <c r="D3125" t="s">
        <v>14492</v>
      </c>
      <c r="E3125" t="s">
        <v>14493</v>
      </c>
      <c r="F3125" t="s">
        <v>14494</v>
      </c>
      <c r="H3125" t="s">
        <v>14495</v>
      </c>
      <c r="I3125" t="s">
        <v>14496</v>
      </c>
      <c r="J3125" t="s">
        <v>14497</v>
      </c>
      <c r="M3125" t="s">
        <v>46</v>
      </c>
      <c r="N3125" t="s">
        <v>14498</v>
      </c>
      <c r="O3125" t="s">
        <v>14499</v>
      </c>
      <c r="P3125" t="s">
        <v>2822</v>
      </c>
      <c r="Q3125" t="s">
        <v>14500</v>
      </c>
      <c r="R3125">
        <v>11</v>
      </c>
      <c r="S3125">
        <v>16</v>
      </c>
    </row>
    <row r="3126" spans="1:19" x14ac:dyDescent="0.35">
      <c r="A3126">
        <v>3584</v>
      </c>
      <c r="B3126" t="s">
        <v>14491</v>
      </c>
      <c r="C3126" t="s">
        <v>20</v>
      </c>
      <c r="D3126" t="s">
        <v>14501</v>
      </c>
      <c r="E3126" t="s">
        <v>14493</v>
      </c>
      <c r="F3126" t="s">
        <v>14502</v>
      </c>
      <c r="H3126" t="s">
        <v>14503</v>
      </c>
      <c r="I3126" t="s">
        <v>14504</v>
      </c>
      <c r="J3126" t="s">
        <v>14505</v>
      </c>
      <c r="M3126" t="s">
        <v>46</v>
      </c>
      <c r="N3126" t="s">
        <v>14498</v>
      </c>
      <c r="O3126" t="s">
        <v>14506</v>
      </c>
      <c r="P3126" t="s">
        <v>2822</v>
      </c>
      <c r="Q3126" t="s">
        <v>14507</v>
      </c>
      <c r="R3126">
        <v>11</v>
      </c>
      <c r="S3126">
        <v>16</v>
      </c>
    </row>
    <row r="3127" spans="1:19" x14ac:dyDescent="0.35">
      <c r="A3127">
        <v>3583</v>
      </c>
      <c r="B3127" t="s">
        <v>14508</v>
      </c>
      <c r="C3127" t="s">
        <v>42</v>
      </c>
      <c r="D3127" t="s">
        <v>14509</v>
      </c>
      <c r="E3127" t="e" cm="1">
        <f t="array" ref="E3127">- GRANISETRON HYDROCHLORIDE</f>
        <v>#NAME?</v>
      </c>
      <c r="F3127" t="s">
        <v>14510</v>
      </c>
      <c r="G3127" t="s">
        <v>60</v>
      </c>
      <c r="H3127" t="s">
        <v>14511</v>
      </c>
      <c r="I3127" t="s">
        <v>14512</v>
      </c>
      <c r="J3127" t="s">
        <v>3701</v>
      </c>
      <c r="K3127" t="s">
        <v>2726</v>
      </c>
      <c r="L3127" t="s">
        <v>14513</v>
      </c>
      <c r="M3127" t="s">
        <v>46</v>
      </c>
      <c r="N3127" t="s">
        <v>14514</v>
      </c>
      <c r="O3127" t="s">
        <v>14515</v>
      </c>
      <c r="P3127" t="s">
        <v>14516</v>
      </c>
      <c r="Q3127" t="s">
        <v>14517</v>
      </c>
      <c r="R3127">
        <v>11</v>
      </c>
      <c r="S3127">
        <v>16</v>
      </c>
    </row>
    <row r="3128" spans="1:19" x14ac:dyDescent="0.35">
      <c r="A3128">
        <v>8127</v>
      </c>
      <c r="B3128" t="s">
        <v>551</v>
      </c>
      <c r="C3128" t="s">
        <v>42</v>
      </c>
      <c r="D3128" t="s">
        <v>14465</v>
      </c>
      <c r="E3128" t="e" cm="1">
        <f t="array" ref="E3128">- POVIDONE-IODINE</f>
        <v>#NAME?</v>
      </c>
      <c r="F3128" t="s">
        <v>14466</v>
      </c>
      <c r="G3128" t="s">
        <v>14467</v>
      </c>
      <c r="H3128" t="s">
        <v>1322</v>
      </c>
      <c r="I3128" t="s">
        <v>14468</v>
      </c>
      <c r="J3128" t="s">
        <v>14469</v>
      </c>
      <c r="M3128" t="s">
        <v>554</v>
      </c>
      <c r="N3128" t="s">
        <v>555</v>
      </c>
      <c r="O3128" t="s">
        <v>14470</v>
      </c>
      <c r="P3128" t="s">
        <v>14471</v>
      </c>
      <c r="Q3128" t="s">
        <v>14472</v>
      </c>
      <c r="R3128">
        <v>11</v>
      </c>
      <c r="S3128">
        <v>16</v>
      </c>
    </row>
    <row r="3129" spans="1:19" x14ac:dyDescent="0.35">
      <c r="A3129">
        <v>6329</v>
      </c>
      <c r="B3129" t="s">
        <v>14518</v>
      </c>
      <c r="C3129" t="s">
        <v>42</v>
      </c>
      <c r="D3129" t="s">
        <v>14519</v>
      </c>
      <c r="E3129" t="e" cm="1">
        <f t="array" ref="E3129">- SPIRAMYCIN</f>
        <v>#NAME?</v>
      </c>
      <c r="F3129" t="s">
        <v>14520</v>
      </c>
      <c r="G3129" t="s">
        <v>1691</v>
      </c>
      <c r="H3129" t="s">
        <v>14521</v>
      </c>
      <c r="I3129" t="s">
        <v>14522</v>
      </c>
      <c r="J3129" t="s">
        <v>14523</v>
      </c>
      <c r="K3129" t="s">
        <v>3952</v>
      </c>
      <c r="L3129" t="s">
        <v>14524</v>
      </c>
      <c r="M3129" t="s">
        <v>46</v>
      </c>
      <c r="N3129" t="s">
        <v>8733</v>
      </c>
      <c r="O3129" t="s">
        <v>14525</v>
      </c>
      <c r="P3129" t="s">
        <v>14526</v>
      </c>
      <c r="Q3129" t="s">
        <v>14527</v>
      </c>
      <c r="R3129">
        <v>11</v>
      </c>
      <c r="S3129">
        <v>16</v>
      </c>
    </row>
    <row r="3130" spans="1:19" x14ac:dyDescent="0.35">
      <c r="A3130">
        <v>8122</v>
      </c>
      <c r="B3130" t="s">
        <v>551</v>
      </c>
      <c r="C3130" t="s">
        <v>42</v>
      </c>
      <c r="D3130" t="s">
        <v>14443</v>
      </c>
      <c r="E3130" t="e" cm="1">
        <f t="array" ref="E3130">- POVIDONE-IODINE</f>
        <v>#NAME?</v>
      </c>
      <c r="F3130" t="s">
        <v>14444</v>
      </c>
      <c r="G3130" t="s">
        <v>9438</v>
      </c>
      <c r="I3130" t="s">
        <v>9439</v>
      </c>
      <c r="J3130" t="s">
        <v>4250</v>
      </c>
      <c r="M3130" t="s">
        <v>554</v>
      </c>
      <c r="N3130" t="s">
        <v>555</v>
      </c>
      <c r="O3130" t="s">
        <v>9441</v>
      </c>
      <c r="P3130" t="s">
        <v>14445</v>
      </c>
      <c r="Q3130" t="s">
        <v>14446</v>
      </c>
      <c r="R3130">
        <v>11</v>
      </c>
      <c r="S3130">
        <v>16</v>
      </c>
    </row>
    <row r="3131" spans="1:19" x14ac:dyDescent="0.35">
      <c r="A3131">
        <v>4757</v>
      </c>
      <c r="B3131" t="s">
        <v>14528</v>
      </c>
      <c r="C3131" t="s">
        <v>42</v>
      </c>
      <c r="D3131" t="s">
        <v>14529</v>
      </c>
      <c r="E3131" t="e" cm="1">
        <f t="array" ref="E3131">- PEMIROLAST</f>
        <v>#NAME?</v>
      </c>
      <c r="F3131" t="s">
        <v>14530</v>
      </c>
      <c r="G3131" t="s">
        <v>8658</v>
      </c>
      <c r="H3131" t="s">
        <v>14531</v>
      </c>
      <c r="I3131" t="s">
        <v>14532</v>
      </c>
      <c r="J3131" t="s">
        <v>14533</v>
      </c>
      <c r="K3131" t="s">
        <v>2858</v>
      </c>
      <c r="L3131" t="s">
        <v>14534</v>
      </c>
      <c r="M3131" t="s">
        <v>824</v>
      </c>
      <c r="N3131" t="s">
        <v>14535</v>
      </c>
      <c r="O3131" t="s">
        <v>14536</v>
      </c>
      <c r="P3131" t="s">
        <v>14537</v>
      </c>
      <c r="Q3131" t="s">
        <v>14538</v>
      </c>
      <c r="R3131">
        <v>11</v>
      </c>
      <c r="S3131">
        <v>16</v>
      </c>
    </row>
    <row r="3132" spans="1:19" x14ac:dyDescent="0.35">
      <c r="A3132">
        <v>4759</v>
      </c>
      <c r="B3132" t="s">
        <v>14539</v>
      </c>
      <c r="C3132" t="s">
        <v>42</v>
      </c>
      <c r="D3132" t="s">
        <v>14540</v>
      </c>
      <c r="E3132" t="e" cm="1">
        <f t="array" ref="E3132">- CHLORAMPHENICOL</f>
        <v>#NAME?</v>
      </c>
      <c r="F3132" t="s">
        <v>14541</v>
      </c>
      <c r="G3132" t="s">
        <v>6213</v>
      </c>
      <c r="H3132" t="s">
        <v>7560</v>
      </c>
      <c r="I3132" t="s">
        <v>14542</v>
      </c>
      <c r="J3132" t="s">
        <v>11321</v>
      </c>
      <c r="K3132" t="s">
        <v>7545</v>
      </c>
      <c r="L3132" t="s">
        <v>14543</v>
      </c>
      <c r="M3132" t="s">
        <v>824</v>
      </c>
      <c r="N3132" t="s">
        <v>1188</v>
      </c>
      <c r="O3132" t="s">
        <v>14544</v>
      </c>
      <c r="P3132" t="s">
        <v>7563</v>
      </c>
      <c r="Q3132" t="s">
        <v>14545</v>
      </c>
      <c r="R3132">
        <v>11</v>
      </c>
      <c r="S3132">
        <v>16</v>
      </c>
    </row>
    <row r="3133" spans="1:19" x14ac:dyDescent="0.35">
      <c r="A3133">
        <v>1494</v>
      </c>
      <c r="B3133" t="s">
        <v>14546</v>
      </c>
      <c r="C3133" t="s">
        <v>42</v>
      </c>
      <c r="D3133" t="s">
        <v>14547</v>
      </c>
      <c r="E3133" t="e" cm="1">
        <f t="array" ref="E3133">- PSEUDOEPHEDRINE HYDROCHLORIDE</f>
        <v>#NAME?</v>
      </c>
      <c r="G3133" t="s">
        <v>60</v>
      </c>
      <c r="H3133" t="s">
        <v>14548</v>
      </c>
      <c r="I3133" t="s">
        <v>14549</v>
      </c>
      <c r="J3133" t="s">
        <v>4095</v>
      </c>
      <c r="K3133" t="s">
        <v>14550</v>
      </c>
      <c r="L3133" t="s">
        <v>14551</v>
      </c>
      <c r="M3133" t="s">
        <v>46</v>
      </c>
      <c r="N3133" t="s">
        <v>8326</v>
      </c>
      <c r="O3133" t="s">
        <v>14552</v>
      </c>
      <c r="P3133" t="s">
        <v>14553</v>
      </c>
      <c r="Q3133" t="s">
        <v>14554</v>
      </c>
      <c r="R3133">
        <v>11</v>
      </c>
      <c r="S3133">
        <v>16</v>
      </c>
    </row>
    <row r="3134" spans="1:19" x14ac:dyDescent="0.35">
      <c r="A3134">
        <v>10000</v>
      </c>
      <c r="B3134" t="s">
        <v>14555</v>
      </c>
      <c r="C3134" t="s">
        <v>42</v>
      </c>
      <c r="D3134" t="s">
        <v>14556</v>
      </c>
      <c r="E3134" t="e" cm="1">
        <f t="array" ref="E3134">- GLYCERYL TRINITRATE</f>
        <v>#NAME?</v>
      </c>
      <c r="F3134" t="s">
        <v>14557</v>
      </c>
      <c r="G3134" t="s">
        <v>14558</v>
      </c>
      <c r="H3134" t="s">
        <v>14559</v>
      </c>
      <c r="I3134" t="s">
        <v>14560</v>
      </c>
      <c r="J3134" t="s">
        <v>14561</v>
      </c>
      <c r="K3134" t="s">
        <v>14562</v>
      </c>
      <c r="L3134" t="s">
        <v>14563</v>
      </c>
      <c r="M3134" t="s">
        <v>38</v>
      </c>
      <c r="N3134" t="s">
        <v>10937</v>
      </c>
      <c r="O3134" t="s">
        <v>14564</v>
      </c>
      <c r="P3134" t="s">
        <v>14565</v>
      </c>
      <c r="Q3134" t="s">
        <v>14566</v>
      </c>
      <c r="R3134">
        <v>11</v>
      </c>
      <c r="S3134">
        <v>16</v>
      </c>
    </row>
    <row r="3135" spans="1:19" x14ac:dyDescent="0.35">
      <c r="A3135">
        <v>7976</v>
      </c>
      <c r="B3135" t="s">
        <v>14567</v>
      </c>
      <c r="C3135" t="s">
        <v>20</v>
      </c>
      <c r="D3135" t="s">
        <v>14568</v>
      </c>
      <c r="E3135" t="s">
        <v>14569</v>
      </c>
      <c r="F3135" s="1">
        <v>43400</v>
      </c>
      <c r="G3135" t="s">
        <v>4545</v>
      </c>
      <c r="H3135" t="s">
        <v>14570</v>
      </c>
      <c r="I3135" t="s">
        <v>5700</v>
      </c>
      <c r="J3135" t="s">
        <v>14571</v>
      </c>
      <c r="L3135" t="s">
        <v>14572</v>
      </c>
      <c r="M3135" t="s">
        <v>38</v>
      </c>
      <c r="N3135" t="s">
        <v>14573</v>
      </c>
      <c r="O3135" t="s">
        <v>5703</v>
      </c>
      <c r="P3135" t="s">
        <v>14573</v>
      </c>
      <c r="Q3135" t="s">
        <v>14574</v>
      </c>
      <c r="R3135">
        <v>11</v>
      </c>
      <c r="S3135">
        <v>16</v>
      </c>
    </row>
    <row r="3136" spans="1:19" x14ac:dyDescent="0.35">
      <c r="A3136">
        <v>6285</v>
      </c>
      <c r="B3136" t="s">
        <v>14575</v>
      </c>
      <c r="C3136" t="s">
        <v>42</v>
      </c>
      <c r="D3136" t="s">
        <v>14576</v>
      </c>
      <c r="E3136" t="e" cm="1">
        <f t="array" ref="E3136">- AMOXICILLIN TRIHYDRATE</f>
        <v>#NAME?</v>
      </c>
      <c r="F3136" t="s">
        <v>14577</v>
      </c>
      <c r="G3136" t="s">
        <v>14578</v>
      </c>
      <c r="H3136" t="s">
        <v>14579</v>
      </c>
      <c r="I3136" t="s">
        <v>14580</v>
      </c>
      <c r="J3136" t="s">
        <v>14581</v>
      </c>
      <c r="K3136" t="s">
        <v>14582</v>
      </c>
      <c r="L3136" t="s">
        <v>14583</v>
      </c>
      <c r="M3136" t="s">
        <v>291</v>
      </c>
      <c r="N3136" t="s">
        <v>1523</v>
      </c>
      <c r="O3136" t="s">
        <v>14584</v>
      </c>
      <c r="P3136" t="s">
        <v>14585</v>
      </c>
      <c r="Q3136" t="s">
        <v>14586</v>
      </c>
      <c r="R3136">
        <v>11</v>
      </c>
      <c r="S3136">
        <v>16</v>
      </c>
    </row>
    <row r="3137" spans="1:19" x14ac:dyDescent="0.35">
      <c r="A3137">
        <v>1148</v>
      </c>
      <c r="B3137" t="s">
        <v>10846</v>
      </c>
      <c r="C3137" t="s">
        <v>42</v>
      </c>
      <c r="D3137" t="s">
        <v>10847</v>
      </c>
      <c r="E3137" t="e" cm="1">
        <f t="array" ref="E3137">- OXOMEMAZINE HYDROCHLORIDE. GUAIFENESIN</f>
        <v>#NAME?</v>
      </c>
      <c r="F3137" t="s">
        <v>10848</v>
      </c>
      <c r="G3137" t="s">
        <v>2241</v>
      </c>
      <c r="H3137" t="s">
        <v>10849</v>
      </c>
      <c r="I3137" t="s">
        <v>10850</v>
      </c>
      <c r="J3137" t="s">
        <v>334</v>
      </c>
      <c r="K3137" t="s">
        <v>10851</v>
      </c>
      <c r="L3137" t="s">
        <v>10852</v>
      </c>
    </row>
    <row r="3138" spans="1:19" x14ac:dyDescent="0.35">
      <c r="A3138">
        <v>1149</v>
      </c>
      <c r="B3138" t="s">
        <v>10846</v>
      </c>
      <c r="C3138" t="s">
        <v>42</v>
      </c>
      <c r="D3138" t="s">
        <v>10847</v>
      </c>
      <c r="E3138" t="e" cm="1">
        <f t="array" ref="E3138">- OXOMEMAZINE HYDROCHLORIDE. GUAIFENESIN</f>
        <v>#NAME?</v>
      </c>
      <c r="F3138" t="s">
        <v>10848</v>
      </c>
      <c r="G3138" t="s">
        <v>2241</v>
      </c>
      <c r="H3138" t="s">
        <v>10849</v>
      </c>
      <c r="I3138" t="s">
        <v>10850</v>
      </c>
      <c r="J3138" t="s">
        <v>334</v>
      </c>
      <c r="K3138" t="s">
        <v>10851</v>
      </c>
      <c r="L3138" t="s">
        <v>10852</v>
      </c>
    </row>
    <row r="3139" spans="1:19" x14ac:dyDescent="0.35">
      <c r="A3139">
        <v>4204</v>
      </c>
      <c r="B3139" t="s">
        <v>14587</v>
      </c>
      <c r="C3139" t="s">
        <v>42</v>
      </c>
      <c r="D3139" t="s">
        <v>14588</v>
      </c>
      <c r="E3139" t="e" cm="1">
        <f t="array" ref="E3139">- CETIRIZINE DIHYDROCHLORIDE</f>
        <v>#NAME?</v>
      </c>
      <c r="F3139" t="s">
        <v>14589</v>
      </c>
      <c r="H3139" t="s">
        <v>14590</v>
      </c>
      <c r="I3139" t="s">
        <v>14591</v>
      </c>
      <c r="L3139" t="s">
        <v>270</v>
      </c>
      <c r="M3139" t="s">
        <v>271</v>
      </c>
      <c r="N3139" t="s">
        <v>1667</v>
      </c>
      <c r="O3139" t="s">
        <v>14592</v>
      </c>
      <c r="P3139" t="s">
        <v>14593</v>
      </c>
      <c r="Q3139" t="s">
        <v>14594</v>
      </c>
      <c r="R3139">
        <v>11</v>
      </c>
      <c r="S3139">
        <v>16</v>
      </c>
    </row>
    <row r="3140" spans="1:19" x14ac:dyDescent="0.35">
      <c r="A3140">
        <v>838</v>
      </c>
      <c r="B3140" t="s">
        <v>14595</v>
      </c>
      <c r="C3140" t="s">
        <v>42</v>
      </c>
      <c r="D3140" t="s">
        <v>14596</v>
      </c>
      <c r="E3140" t="e" cm="1">
        <f t="array" ref="E3140">- GUAIFENESIN</f>
        <v>#NAME?</v>
      </c>
      <c r="F3140" t="s">
        <v>14597</v>
      </c>
      <c r="G3140" t="s">
        <v>3098</v>
      </c>
      <c r="H3140" t="s">
        <v>14598</v>
      </c>
      <c r="I3140" t="s">
        <v>14599</v>
      </c>
      <c r="J3140" t="s">
        <v>14600</v>
      </c>
      <c r="K3140" t="s">
        <v>14601</v>
      </c>
      <c r="L3140" t="s">
        <v>14602</v>
      </c>
      <c r="M3140" t="s">
        <v>38</v>
      </c>
      <c r="N3140" t="s">
        <v>361</v>
      </c>
      <c r="O3140" t="s">
        <v>14603</v>
      </c>
      <c r="P3140" t="s">
        <v>14604</v>
      </c>
      <c r="Q3140" t="s">
        <v>14605</v>
      </c>
      <c r="R3140">
        <v>11</v>
      </c>
      <c r="S3140">
        <v>16</v>
      </c>
    </row>
    <row r="3141" spans="1:19" x14ac:dyDescent="0.35">
      <c r="A3141">
        <v>1495</v>
      </c>
      <c r="B3141" t="s">
        <v>14606</v>
      </c>
      <c r="C3141" t="s">
        <v>42</v>
      </c>
      <c r="D3141" t="s">
        <v>14607</v>
      </c>
      <c r="E3141" t="e" cm="1">
        <f t="array" ref="E3141">- PSEUDOEPHEDRINE HYDROCHLORIDE</f>
        <v>#NAME?</v>
      </c>
      <c r="F3141" t="s">
        <v>14608</v>
      </c>
      <c r="G3141" t="s">
        <v>2241</v>
      </c>
      <c r="H3141" t="s">
        <v>14609</v>
      </c>
      <c r="I3141" t="s">
        <v>14549</v>
      </c>
      <c r="J3141" t="s">
        <v>10377</v>
      </c>
      <c r="K3141" t="s">
        <v>14610</v>
      </c>
      <c r="L3141" t="s">
        <v>14611</v>
      </c>
      <c r="M3141" t="s">
        <v>271</v>
      </c>
      <c r="N3141" t="s">
        <v>8326</v>
      </c>
      <c r="O3141" t="s">
        <v>14552</v>
      </c>
      <c r="P3141" t="s">
        <v>14553</v>
      </c>
      <c r="Q3141" t="s">
        <v>14612</v>
      </c>
      <c r="R3141">
        <v>11</v>
      </c>
      <c r="S3141">
        <v>16</v>
      </c>
    </row>
    <row r="3142" spans="1:19" x14ac:dyDescent="0.35">
      <c r="A3142">
        <v>4216</v>
      </c>
      <c r="B3142" t="s">
        <v>14613</v>
      </c>
      <c r="C3142" t="s">
        <v>42</v>
      </c>
      <c r="D3142" t="s">
        <v>14614</v>
      </c>
      <c r="E3142" t="e" cm="1">
        <f t="array" ref="E3142">- CETIRIZINE HYDROCHLORIDE</f>
        <v>#NAME?</v>
      </c>
      <c r="F3142" t="s">
        <v>14615</v>
      </c>
      <c r="G3142" t="s">
        <v>14616</v>
      </c>
      <c r="H3142" t="s">
        <v>14617</v>
      </c>
    </row>
    <row r="3143" spans="1:19" x14ac:dyDescent="0.35">
      <c r="A3143">
        <v>3567</v>
      </c>
      <c r="B3143" t="s">
        <v>14618</v>
      </c>
      <c r="C3143" t="s">
        <v>42</v>
      </c>
      <c r="D3143" t="s">
        <v>14619</v>
      </c>
      <c r="E3143" t="e" cm="1">
        <f t="array" ref="E3143">- METOCLOPRAMIDE HYDROCHLORIDE</f>
        <v>#NAME?</v>
      </c>
      <c r="F3143" t="s">
        <v>14620</v>
      </c>
      <c r="G3143" t="s">
        <v>14621</v>
      </c>
      <c r="H3143" t="s">
        <v>14622</v>
      </c>
      <c r="I3143" t="s">
        <v>14623</v>
      </c>
      <c r="J3143" t="s">
        <v>14624</v>
      </c>
      <c r="K3143" t="s">
        <v>14625</v>
      </c>
      <c r="L3143" t="s">
        <v>14626</v>
      </c>
      <c r="M3143" t="s">
        <v>46</v>
      </c>
      <c r="N3143" t="s">
        <v>1876</v>
      </c>
      <c r="O3143" t="s">
        <v>14627</v>
      </c>
      <c r="P3143" t="s">
        <v>14628</v>
      </c>
      <c r="Q3143" t="s">
        <v>14629</v>
      </c>
      <c r="R3143">
        <v>11</v>
      </c>
      <c r="S3143">
        <v>16</v>
      </c>
    </row>
    <row r="3144" spans="1:19" x14ac:dyDescent="0.35">
      <c r="A3144">
        <v>3568</v>
      </c>
      <c r="B3144" t="s">
        <v>14618</v>
      </c>
      <c r="C3144" t="s">
        <v>42</v>
      </c>
      <c r="D3144" t="s">
        <v>14619</v>
      </c>
      <c r="E3144" t="e" cm="1">
        <f t="array" ref="E3144">- METOCLOPRAMIDE HYDROCHLORIDE</f>
        <v>#NAME?</v>
      </c>
      <c r="F3144" t="s">
        <v>14620</v>
      </c>
      <c r="G3144" t="s">
        <v>14621</v>
      </c>
      <c r="H3144" t="s">
        <v>14622</v>
      </c>
      <c r="I3144" t="s">
        <v>14623</v>
      </c>
      <c r="J3144" t="s">
        <v>14624</v>
      </c>
      <c r="K3144" t="s">
        <v>14625</v>
      </c>
      <c r="L3144" t="s">
        <v>14626</v>
      </c>
      <c r="M3144" t="s">
        <v>46</v>
      </c>
      <c r="N3144" t="s">
        <v>1876</v>
      </c>
      <c r="O3144" t="s">
        <v>14627</v>
      </c>
      <c r="P3144" t="s">
        <v>14628</v>
      </c>
      <c r="Q3144" t="s">
        <v>14629</v>
      </c>
      <c r="R3144">
        <v>11</v>
      </c>
      <c r="S3144">
        <v>16</v>
      </c>
    </row>
    <row r="3145" spans="1:19" x14ac:dyDescent="0.35">
      <c r="A3145">
        <v>7710</v>
      </c>
      <c r="B3145" t="s">
        <v>14630</v>
      </c>
      <c r="C3145" t="s">
        <v>20</v>
      </c>
      <c r="D3145" t="s">
        <v>14631</v>
      </c>
      <c r="E3145" t="s">
        <v>14632</v>
      </c>
      <c r="F3145" t="s">
        <v>14633</v>
      </c>
      <c r="I3145" t="s">
        <v>10859</v>
      </c>
      <c r="J3145" t="s">
        <v>7857</v>
      </c>
      <c r="M3145" t="s">
        <v>46</v>
      </c>
      <c r="N3145" t="s">
        <v>14634</v>
      </c>
      <c r="O3145" t="s">
        <v>5759</v>
      </c>
      <c r="P3145" t="s">
        <v>14635</v>
      </c>
      <c r="Q3145" t="s">
        <v>14636</v>
      </c>
      <c r="R3145">
        <v>11</v>
      </c>
      <c r="S3145">
        <v>16</v>
      </c>
    </row>
    <row r="3146" spans="1:19" x14ac:dyDescent="0.35">
      <c r="A3146">
        <v>4217</v>
      </c>
      <c r="B3146" t="s">
        <v>14637</v>
      </c>
      <c r="C3146" t="s">
        <v>42</v>
      </c>
      <c r="D3146" t="s">
        <v>14638</v>
      </c>
      <c r="E3146" t="e" cm="1">
        <f t="array" ref="E3146">- CETIRIZINE DIHYDROCHLORIDE</f>
        <v>#NAME?</v>
      </c>
      <c r="F3146" s="1">
        <v>88000</v>
      </c>
      <c r="G3146" t="s">
        <v>5301</v>
      </c>
      <c r="H3146" t="s">
        <v>14639</v>
      </c>
      <c r="I3146" t="s">
        <v>14640</v>
      </c>
      <c r="J3146" t="s">
        <v>14641</v>
      </c>
      <c r="K3146" t="s">
        <v>2858</v>
      </c>
      <c r="L3146" t="s">
        <v>14642</v>
      </c>
      <c r="M3146" t="s">
        <v>46</v>
      </c>
      <c r="N3146" t="s">
        <v>1667</v>
      </c>
      <c r="O3146" t="s">
        <v>14643</v>
      </c>
      <c r="P3146" t="s">
        <v>14644</v>
      </c>
      <c r="Q3146" t="s">
        <v>14645</v>
      </c>
      <c r="R3146">
        <v>11</v>
      </c>
      <c r="S3146">
        <v>16</v>
      </c>
    </row>
    <row r="3147" spans="1:19" x14ac:dyDescent="0.35">
      <c r="A3147">
        <v>4215</v>
      </c>
      <c r="B3147" t="s">
        <v>14613</v>
      </c>
      <c r="C3147" t="s">
        <v>42</v>
      </c>
      <c r="D3147" t="s">
        <v>14614</v>
      </c>
      <c r="E3147" t="e" cm="1">
        <f t="array" ref="E3147">- CETIRIZINE HYDROCHLORIDE</f>
        <v>#NAME?</v>
      </c>
      <c r="F3147" t="s">
        <v>14615</v>
      </c>
      <c r="G3147" t="s">
        <v>14616</v>
      </c>
      <c r="H3147" t="s">
        <v>14617</v>
      </c>
    </row>
    <row r="3148" spans="1:19" x14ac:dyDescent="0.35">
      <c r="A3148">
        <v>793</v>
      </c>
      <c r="B3148" t="s">
        <v>10558</v>
      </c>
      <c r="C3148" t="s">
        <v>42</v>
      </c>
      <c r="D3148" t="s">
        <v>14362</v>
      </c>
      <c r="E3148" t="e" cm="1">
        <f t="array" ref="E3148">- OXOMEMAZINE. GUAIFENESIN</f>
        <v>#NAME?</v>
      </c>
      <c r="F3148" t="s">
        <v>14363</v>
      </c>
      <c r="G3148" t="s">
        <v>4420</v>
      </c>
      <c r="H3148" t="s">
        <v>14364</v>
      </c>
      <c r="I3148" t="s">
        <v>14365</v>
      </c>
      <c r="J3148" t="s">
        <v>374</v>
      </c>
      <c r="K3148" t="s">
        <v>14366</v>
      </c>
      <c r="L3148" t="s">
        <v>14367</v>
      </c>
      <c r="M3148" t="s">
        <v>271</v>
      </c>
      <c r="N3148" t="s">
        <v>10568</v>
      </c>
      <c r="O3148" t="s">
        <v>14368</v>
      </c>
      <c r="P3148" t="s">
        <v>10561</v>
      </c>
      <c r="Q3148" t="s">
        <v>14369</v>
      </c>
      <c r="R3148">
        <v>11</v>
      </c>
      <c r="S3148">
        <v>16</v>
      </c>
    </row>
    <row r="3149" spans="1:19" x14ac:dyDescent="0.35">
      <c r="A3149">
        <v>1713</v>
      </c>
      <c r="B3149" t="s">
        <v>13767</v>
      </c>
      <c r="C3149" t="s">
        <v>42</v>
      </c>
      <c r="D3149" t="s">
        <v>13768</v>
      </c>
      <c r="E3149" t="e" cm="1">
        <f t="array" ref="E3149">- MOMETASONE FUROATE MONOHYDRATE</f>
        <v>#NAME?</v>
      </c>
      <c r="F3149" t="s">
        <v>13769</v>
      </c>
      <c r="G3149" t="s">
        <v>13770</v>
      </c>
      <c r="H3149" t="s">
        <v>13771</v>
      </c>
      <c r="I3149" t="s">
        <v>13772</v>
      </c>
      <c r="J3149" t="s">
        <v>13773</v>
      </c>
      <c r="K3149" t="s">
        <v>2726</v>
      </c>
      <c r="L3149" t="s">
        <v>13774</v>
      </c>
      <c r="M3149" t="s">
        <v>3453</v>
      </c>
      <c r="N3149" t="s">
        <v>13775</v>
      </c>
      <c r="O3149" t="s">
        <v>13776</v>
      </c>
      <c r="P3149" t="s">
        <v>13777</v>
      </c>
      <c r="Q3149" t="s">
        <v>13778</v>
      </c>
      <c r="R3149">
        <v>11</v>
      </c>
      <c r="S3149">
        <v>16</v>
      </c>
    </row>
    <row r="3150" spans="1:19" x14ac:dyDescent="0.35">
      <c r="A3150">
        <v>3644</v>
      </c>
      <c r="B3150" t="s">
        <v>14646</v>
      </c>
      <c r="C3150" t="s">
        <v>42</v>
      </c>
      <c r="D3150" t="s">
        <v>14647</v>
      </c>
      <c r="E3150" t="e" cm="1">
        <f t="array" ref="E3150">- PARATHIAZINE</f>
        <v>#NAME?</v>
      </c>
      <c r="F3150" t="s">
        <v>14648</v>
      </c>
      <c r="G3150" t="s">
        <v>2241</v>
      </c>
      <c r="H3150" t="s">
        <v>14649</v>
      </c>
      <c r="I3150" t="s">
        <v>14650</v>
      </c>
      <c r="J3150" t="s">
        <v>10764</v>
      </c>
      <c r="K3150" t="s">
        <v>14651</v>
      </c>
      <c r="L3150" t="s">
        <v>14652</v>
      </c>
      <c r="M3150" t="s">
        <v>46</v>
      </c>
      <c r="N3150" t="s">
        <v>14653</v>
      </c>
      <c r="O3150" t="s">
        <v>14654</v>
      </c>
      <c r="P3150" t="s">
        <v>14655</v>
      </c>
      <c r="Q3150" t="s">
        <v>14656</v>
      </c>
      <c r="R3150">
        <v>11</v>
      </c>
      <c r="S3150">
        <v>16</v>
      </c>
    </row>
    <row r="3151" spans="1:19" x14ac:dyDescent="0.35">
      <c r="A3151">
        <v>1708</v>
      </c>
      <c r="B3151" t="s">
        <v>13767</v>
      </c>
      <c r="C3151" t="s">
        <v>42</v>
      </c>
      <c r="D3151" t="s">
        <v>13768</v>
      </c>
      <c r="E3151" t="e" cm="1">
        <f t="array" ref="E3151">- MOMETASONE FUROATE MONOHYDRATE</f>
        <v>#NAME?</v>
      </c>
      <c r="F3151" t="s">
        <v>13769</v>
      </c>
      <c r="G3151" t="s">
        <v>13770</v>
      </c>
      <c r="H3151" t="s">
        <v>13771</v>
      </c>
      <c r="I3151" t="s">
        <v>13772</v>
      </c>
      <c r="J3151" t="s">
        <v>13773</v>
      </c>
      <c r="K3151" t="s">
        <v>2726</v>
      </c>
      <c r="L3151" t="s">
        <v>13774</v>
      </c>
      <c r="M3151" t="s">
        <v>3453</v>
      </c>
      <c r="N3151" t="s">
        <v>13775</v>
      </c>
      <c r="O3151" t="s">
        <v>13776</v>
      </c>
      <c r="P3151" t="s">
        <v>13777</v>
      </c>
      <c r="Q3151" t="s">
        <v>13778</v>
      </c>
      <c r="R3151">
        <v>11</v>
      </c>
      <c r="S3151">
        <v>16</v>
      </c>
    </row>
    <row r="3152" spans="1:19" x14ac:dyDescent="0.35">
      <c r="A3152">
        <v>9906</v>
      </c>
      <c r="B3152" t="s">
        <v>14657</v>
      </c>
      <c r="C3152" t="s">
        <v>42</v>
      </c>
      <c r="D3152" t="s">
        <v>14658</v>
      </c>
      <c r="E3152" t="e" cm="1">
        <f t="array" ref="E3152">- ISOSORBIDE DINITRATE</f>
        <v>#NAME?</v>
      </c>
      <c r="F3152" t="s">
        <v>14659</v>
      </c>
      <c r="G3152" t="s">
        <v>14660</v>
      </c>
      <c r="H3152" t="s">
        <v>14661</v>
      </c>
      <c r="I3152" t="s">
        <v>14662</v>
      </c>
      <c r="J3152" t="s">
        <v>14663</v>
      </c>
      <c r="K3152" t="s">
        <v>14664</v>
      </c>
      <c r="L3152" t="s">
        <v>14665</v>
      </c>
      <c r="M3152" t="s">
        <v>46</v>
      </c>
      <c r="N3152" t="s">
        <v>6733</v>
      </c>
      <c r="O3152" t="s">
        <v>14666</v>
      </c>
      <c r="P3152" t="s">
        <v>6733</v>
      </c>
      <c r="Q3152" t="s">
        <v>14667</v>
      </c>
      <c r="R3152">
        <v>11</v>
      </c>
      <c r="S3152">
        <v>16</v>
      </c>
    </row>
    <row r="3153" spans="1:19" x14ac:dyDescent="0.35">
      <c r="A3153">
        <v>1171</v>
      </c>
      <c r="B3153" t="s">
        <v>14668</v>
      </c>
      <c r="C3153" t="s">
        <v>42</v>
      </c>
      <c r="D3153" t="s">
        <v>14669</v>
      </c>
      <c r="E3153" t="e" cm="1">
        <f t="array" ref="E3153">- PARACETAMOL</f>
        <v>#NAME?</v>
      </c>
      <c r="F3153" t="s">
        <v>14670</v>
      </c>
      <c r="G3153" t="s">
        <v>1691</v>
      </c>
      <c r="H3153" t="s">
        <v>14671</v>
      </c>
      <c r="I3153" t="s">
        <v>14672</v>
      </c>
      <c r="J3153" t="s">
        <v>14673</v>
      </c>
      <c r="K3153" t="s">
        <v>14674</v>
      </c>
      <c r="L3153" t="s">
        <v>14675</v>
      </c>
      <c r="M3153" t="s">
        <v>291</v>
      </c>
      <c r="N3153" t="s">
        <v>584</v>
      </c>
      <c r="O3153" t="s">
        <v>14676</v>
      </c>
      <c r="P3153" t="s">
        <v>14677</v>
      </c>
      <c r="Q3153" t="s">
        <v>14678</v>
      </c>
      <c r="R3153">
        <v>11</v>
      </c>
      <c r="S3153">
        <v>16</v>
      </c>
    </row>
    <row r="3154" spans="1:19" x14ac:dyDescent="0.35">
      <c r="A3154">
        <v>3659</v>
      </c>
      <c r="B3154" t="s">
        <v>14679</v>
      </c>
      <c r="C3154" t="s">
        <v>42</v>
      </c>
      <c r="D3154" t="s">
        <v>14680</v>
      </c>
      <c r="E3154" t="e" cm="1">
        <f t="array" ref="E3154">- DOMPERIDONE</f>
        <v>#NAME?</v>
      </c>
      <c r="F3154" t="s">
        <v>14681</v>
      </c>
      <c r="G3154" t="s">
        <v>14682</v>
      </c>
      <c r="H3154" t="s">
        <v>1589</v>
      </c>
      <c r="I3154" t="s">
        <v>14683</v>
      </c>
      <c r="J3154" t="s">
        <v>2100</v>
      </c>
      <c r="K3154" t="s">
        <v>14684</v>
      </c>
      <c r="L3154" t="s">
        <v>14685</v>
      </c>
      <c r="M3154" t="s">
        <v>46</v>
      </c>
      <c r="N3154" t="s">
        <v>341</v>
      </c>
      <c r="O3154" t="s">
        <v>14686</v>
      </c>
      <c r="P3154" t="s">
        <v>14687</v>
      </c>
      <c r="Q3154" t="s">
        <v>14688</v>
      </c>
      <c r="R3154">
        <v>11</v>
      </c>
      <c r="S3154">
        <v>16</v>
      </c>
    </row>
    <row r="3155" spans="1:19" x14ac:dyDescent="0.35">
      <c r="A3155">
        <v>4890</v>
      </c>
      <c r="B3155" t="s">
        <v>14689</v>
      </c>
      <c r="C3155" t="s">
        <v>42</v>
      </c>
      <c r="D3155" t="s">
        <v>14690</v>
      </c>
      <c r="E3155" t="e" cm="1">
        <f t="array" ref="E3155">- OFLOXACIN</f>
        <v>#NAME?</v>
      </c>
      <c r="F3155" t="s">
        <v>14691</v>
      </c>
      <c r="G3155" t="s">
        <v>11067</v>
      </c>
      <c r="H3155" t="s">
        <v>14692</v>
      </c>
      <c r="I3155" t="s">
        <v>14693</v>
      </c>
      <c r="J3155" t="s">
        <v>9310</v>
      </c>
      <c r="K3155" t="s">
        <v>14694</v>
      </c>
      <c r="L3155" t="s">
        <v>14695</v>
      </c>
      <c r="M3155" t="s">
        <v>824</v>
      </c>
      <c r="N3155" t="s">
        <v>1640</v>
      </c>
      <c r="O3155" t="s">
        <v>14696</v>
      </c>
      <c r="P3155" t="s">
        <v>14697</v>
      </c>
      <c r="Q3155" t="s">
        <v>14698</v>
      </c>
      <c r="R3155">
        <v>11</v>
      </c>
      <c r="S3155">
        <v>16</v>
      </c>
    </row>
    <row r="3156" spans="1:19" x14ac:dyDescent="0.35">
      <c r="A3156">
        <v>557</v>
      </c>
      <c r="B3156" t="s">
        <v>14699</v>
      </c>
      <c r="C3156" t="s">
        <v>42</v>
      </c>
      <c r="D3156" t="s">
        <v>14700</v>
      </c>
      <c r="E3156" t="e" cm="1">
        <f t="array" ref="E3156">- SALBUTAMOL SULFATE</f>
        <v>#NAME?</v>
      </c>
      <c r="F3156" t="s">
        <v>14701</v>
      </c>
      <c r="G3156" t="s">
        <v>737</v>
      </c>
      <c r="H3156" t="s">
        <v>11448</v>
      </c>
      <c r="I3156" t="s">
        <v>11449</v>
      </c>
      <c r="J3156" t="s">
        <v>381</v>
      </c>
      <c r="K3156" t="s">
        <v>14702</v>
      </c>
      <c r="L3156" t="s">
        <v>11451</v>
      </c>
      <c r="M3156" t="s">
        <v>46</v>
      </c>
      <c r="N3156" t="s">
        <v>3424</v>
      </c>
      <c r="O3156" t="s">
        <v>11452</v>
      </c>
      <c r="P3156" t="s">
        <v>14703</v>
      </c>
      <c r="Q3156" t="s">
        <v>14704</v>
      </c>
      <c r="R3156">
        <v>11</v>
      </c>
      <c r="S3156">
        <v>16</v>
      </c>
    </row>
    <row r="3157" spans="1:19" x14ac:dyDescent="0.35">
      <c r="A3157">
        <v>2649</v>
      </c>
      <c r="B3157" t="s">
        <v>14705</v>
      </c>
      <c r="C3157" t="s">
        <v>42</v>
      </c>
      <c r="D3157" t="s">
        <v>14706</v>
      </c>
      <c r="E3157" t="e" cm="1">
        <f t="array" ref="E3157">- CYANOCOBALAMIN</f>
        <v>#NAME?</v>
      </c>
      <c r="F3157" t="s">
        <v>14707</v>
      </c>
      <c r="H3157" t="s">
        <v>269</v>
      </c>
      <c r="I3157" t="s">
        <v>14708</v>
      </c>
      <c r="L3157" t="s">
        <v>270</v>
      </c>
      <c r="M3157" t="s">
        <v>291</v>
      </c>
      <c r="N3157" t="s">
        <v>677</v>
      </c>
      <c r="O3157" t="s">
        <v>14709</v>
      </c>
      <c r="P3157" t="s">
        <v>14710</v>
      </c>
      <c r="Q3157" t="s">
        <v>14711</v>
      </c>
      <c r="R3157">
        <v>11</v>
      </c>
      <c r="S3157">
        <v>16</v>
      </c>
    </row>
    <row r="3158" spans="1:19" x14ac:dyDescent="0.35">
      <c r="A3158">
        <v>3660</v>
      </c>
      <c r="B3158" t="s">
        <v>14679</v>
      </c>
      <c r="C3158" t="s">
        <v>42</v>
      </c>
      <c r="D3158" t="s">
        <v>14680</v>
      </c>
      <c r="E3158" t="e" cm="1">
        <f t="array" ref="E3158">- DOMPERIDONE</f>
        <v>#NAME?</v>
      </c>
      <c r="F3158" t="s">
        <v>14681</v>
      </c>
      <c r="G3158" t="s">
        <v>14682</v>
      </c>
      <c r="H3158" t="s">
        <v>1589</v>
      </c>
      <c r="I3158" t="s">
        <v>14683</v>
      </c>
      <c r="J3158" t="s">
        <v>2100</v>
      </c>
      <c r="K3158" t="s">
        <v>14684</v>
      </c>
      <c r="L3158" t="s">
        <v>14685</v>
      </c>
      <c r="M3158" t="s">
        <v>46</v>
      </c>
      <c r="N3158" t="s">
        <v>341</v>
      </c>
      <c r="O3158" t="s">
        <v>14686</v>
      </c>
      <c r="P3158" t="s">
        <v>14687</v>
      </c>
      <c r="Q3158" t="s">
        <v>14688</v>
      </c>
      <c r="R3158">
        <v>11</v>
      </c>
      <c r="S3158">
        <v>16</v>
      </c>
    </row>
    <row r="3159" spans="1:19" x14ac:dyDescent="0.35">
      <c r="A3159">
        <v>7627</v>
      </c>
      <c r="B3159" t="s">
        <v>14712</v>
      </c>
      <c r="C3159" t="s">
        <v>20</v>
      </c>
      <c r="D3159" t="s">
        <v>14713</v>
      </c>
      <c r="E3159" t="s">
        <v>14714</v>
      </c>
      <c r="F3159" t="s">
        <v>14715</v>
      </c>
      <c r="G3159" t="s">
        <v>6166</v>
      </c>
      <c r="H3159" t="s">
        <v>14716</v>
      </c>
      <c r="I3159" t="s">
        <v>14717</v>
      </c>
      <c r="J3159" t="s">
        <v>14718</v>
      </c>
      <c r="M3159" t="s">
        <v>38</v>
      </c>
      <c r="N3159" t="s">
        <v>14719</v>
      </c>
      <c r="O3159" t="s">
        <v>14720</v>
      </c>
      <c r="P3159" t="s">
        <v>14719</v>
      </c>
      <c r="Q3159" t="s">
        <v>14721</v>
      </c>
      <c r="R3159">
        <v>11</v>
      </c>
      <c r="S3159">
        <v>16</v>
      </c>
    </row>
    <row r="3160" spans="1:19" x14ac:dyDescent="0.35">
      <c r="A3160">
        <v>4898</v>
      </c>
      <c r="B3160" t="s">
        <v>14722</v>
      </c>
      <c r="C3160" t="s">
        <v>42</v>
      </c>
      <c r="D3160" t="s">
        <v>14723</v>
      </c>
      <c r="E3160" t="e" cm="1">
        <f t="array" ref="E3160">- LATANOPROST</f>
        <v>#NAME?</v>
      </c>
      <c r="F3160" t="s">
        <v>14724</v>
      </c>
      <c r="G3160" t="s">
        <v>8658</v>
      </c>
      <c r="H3160" t="s">
        <v>269</v>
      </c>
      <c r="I3160" t="s">
        <v>14725</v>
      </c>
      <c r="J3160" t="s">
        <v>14726</v>
      </c>
      <c r="L3160" t="s">
        <v>270</v>
      </c>
      <c r="M3160" t="s">
        <v>824</v>
      </c>
      <c r="N3160" t="s">
        <v>14727</v>
      </c>
      <c r="O3160" t="s">
        <v>14728</v>
      </c>
      <c r="P3160" t="s">
        <v>14729</v>
      </c>
      <c r="Q3160" t="s">
        <v>14730</v>
      </c>
      <c r="R3160">
        <v>11</v>
      </c>
      <c r="S3160">
        <v>16</v>
      </c>
    </row>
    <row r="3161" spans="1:19" x14ac:dyDescent="0.35">
      <c r="A3161">
        <v>3424</v>
      </c>
      <c r="B3161" t="s">
        <v>14731</v>
      </c>
      <c r="C3161" t="s">
        <v>42</v>
      </c>
      <c r="D3161" t="s">
        <v>14732</v>
      </c>
      <c r="E3161" t="e" cm="1">
        <f t="array" ref="E3161">- OMEPRAZOLE</f>
        <v>#NAME?</v>
      </c>
      <c r="F3161" s="1">
        <v>20400</v>
      </c>
      <c r="G3161" t="s">
        <v>14733</v>
      </c>
      <c r="H3161" t="s">
        <v>2724</v>
      </c>
      <c r="I3161" t="s">
        <v>14734</v>
      </c>
      <c r="J3161" t="s">
        <v>14735</v>
      </c>
      <c r="K3161" t="s">
        <v>14736</v>
      </c>
      <c r="L3161" t="s">
        <v>14737</v>
      </c>
      <c r="M3161" t="s">
        <v>38</v>
      </c>
      <c r="N3161" t="s">
        <v>14738</v>
      </c>
      <c r="O3161" t="s">
        <v>14739</v>
      </c>
      <c r="P3161" t="s">
        <v>14740</v>
      </c>
      <c r="Q3161" t="s">
        <v>14741</v>
      </c>
      <c r="R3161">
        <v>11</v>
      </c>
      <c r="S3161">
        <v>16</v>
      </c>
    </row>
    <row r="3162" spans="1:19" x14ac:dyDescent="0.35">
      <c r="A3162">
        <v>558</v>
      </c>
      <c r="B3162" t="s">
        <v>14699</v>
      </c>
      <c r="C3162" t="s">
        <v>42</v>
      </c>
      <c r="D3162" t="s">
        <v>14700</v>
      </c>
      <c r="E3162" t="e" cm="1">
        <f t="array" ref="E3162">- SALBUTAMOL SULFATE</f>
        <v>#NAME?</v>
      </c>
      <c r="F3162" t="s">
        <v>14701</v>
      </c>
      <c r="G3162" t="s">
        <v>737</v>
      </c>
      <c r="H3162" t="s">
        <v>11448</v>
      </c>
      <c r="I3162" t="s">
        <v>11449</v>
      </c>
      <c r="J3162" t="s">
        <v>381</v>
      </c>
      <c r="K3162" t="s">
        <v>14702</v>
      </c>
      <c r="L3162" t="s">
        <v>11451</v>
      </c>
      <c r="M3162" t="s">
        <v>46</v>
      </c>
      <c r="N3162" t="s">
        <v>3424</v>
      </c>
      <c r="O3162" t="s">
        <v>11452</v>
      </c>
      <c r="P3162" t="s">
        <v>14703</v>
      </c>
      <c r="Q3162" t="s">
        <v>14704</v>
      </c>
      <c r="R3162">
        <v>11</v>
      </c>
      <c r="S3162">
        <v>16</v>
      </c>
    </row>
    <row r="3163" spans="1:19" x14ac:dyDescent="0.35">
      <c r="A3163">
        <v>7850</v>
      </c>
      <c r="B3163" t="s">
        <v>14742</v>
      </c>
      <c r="C3163" t="s">
        <v>20</v>
      </c>
      <c r="D3163" t="s">
        <v>14743</v>
      </c>
      <c r="E3163" t="s">
        <v>14744</v>
      </c>
      <c r="F3163" t="s">
        <v>14745</v>
      </c>
      <c r="G3163" t="s">
        <v>14746</v>
      </c>
      <c r="H3163" t="s">
        <v>1322</v>
      </c>
      <c r="I3163" t="s">
        <v>14747</v>
      </c>
      <c r="J3163" t="s">
        <v>14748</v>
      </c>
      <c r="M3163" t="s">
        <v>63</v>
      </c>
      <c r="N3163" t="s">
        <v>14749</v>
      </c>
      <c r="O3163" t="s">
        <v>14750</v>
      </c>
      <c r="P3163" t="s">
        <v>14749</v>
      </c>
      <c r="Q3163" t="s">
        <v>14751</v>
      </c>
      <c r="R3163">
        <v>11</v>
      </c>
      <c r="S3163">
        <v>16</v>
      </c>
    </row>
    <row r="3164" spans="1:19" x14ac:dyDescent="0.35">
      <c r="A3164">
        <v>3883</v>
      </c>
      <c r="B3164" t="s">
        <v>14752</v>
      </c>
      <c r="C3164" t="s">
        <v>42</v>
      </c>
      <c r="D3164" t="s">
        <v>14753</v>
      </c>
      <c r="E3164" t="e" cm="1">
        <f t="array" ref="E3164">- PIPERAZINE CITRATE</f>
        <v>#NAME?</v>
      </c>
      <c r="F3164" t="s">
        <v>14754</v>
      </c>
      <c r="G3164" t="s">
        <v>4545</v>
      </c>
      <c r="H3164" t="s">
        <v>14755</v>
      </c>
      <c r="I3164" t="s">
        <v>14756</v>
      </c>
      <c r="J3164" t="s">
        <v>14757</v>
      </c>
      <c r="K3164" t="s">
        <v>14758</v>
      </c>
      <c r="L3164" t="s">
        <v>14759</v>
      </c>
      <c r="M3164" t="s">
        <v>271</v>
      </c>
      <c r="N3164" t="s">
        <v>14760</v>
      </c>
      <c r="O3164" t="s">
        <v>14761</v>
      </c>
      <c r="P3164" t="s">
        <v>14762</v>
      </c>
      <c r="Q3164" t="s">
        <v>14763</v>
      </c>
      <c r="R3164">
        <v>11</v>
      </c>
      <c r="S3164">
        <v>16</v>
      </c>
    </row>
    <row r="3165" spans="1:19" x14ac:dyDescent="0.35">
      <c r="A3165">
        <v>3882</v>
      </c>
      <c r="B3165" t="s">
        <v>14752</v>
      </c>
      <c r="C3165" t="s">
        <v>42</v>
      </c>
      <c r="D3165" t="s">
        <v>14753</v>
      </c>
      <c r="E3165" t="e" cm="1">
        <f t="array" ref="E3165">- PIPERAZINE CITRATE</f>
        <v>#NAME?</v>
      </c>
      <c r="F3165" t="s">
        <v>14754</v>
      </c>
      <c r="G3165" t="s">
        <v>4545</v>
      </c>
      <c r="H3165" t="s">
        <v>14755</v>
      </c>
      <c r="I3165" t="s">
        <v>14756</v>
      </c>
      <c r="J3165" t="s">
        <v>14757</v>
      </c>
      <c r="K3165" t="s">
        <v>14758</v>
      </c>
      <c r="L3165" t="s">
        <v>14759</v>
      </c>
      <c r="M3165" t="s">
        <v>271</v>
      </c>
      <c r="N3165" t="s">
        <v>14760</v>
      </c>
      <c r="O3165" t="s">
        <v>14761</v>
      </c>
      <c r="P3165" t="s">
        <v>14762</v>
      </c>
      <c r="Q3165" t="s">
        <v>14763</v>
      </c>
      <c r="R3165">
        <v>11</v>
      </c>
      <c r="S3165">
        <v>16</v>
      </c>
    </row>
    <row r="3166" spans="1:19" x14ac:dyDescent="0.35">
      <c r="A3166">
        <v>9883</v>
      </c>
      <c r="B3166" t="s">
        <v>14764</v>
      </c>
      <c r="C3166" t="s">
        <v>42</v>
      </c>
      <c r="D3166" t="s">
        <v>14765</v>
      </c>
      <c r="E3166" t="e" cm="1">
        <f t="array" ref="E3166">- ACETYLSALICYLIC ACID</f>
        <v>#NAME?</v>
      </c>
      <c r="F3166" t="s">
        <v>14766</v>
      </c>
      <c r="G3166" t="s">
        <v>14767</v>
      </c>
      <c r="H3166" t="s">
        <v>13149</v>
      </c>
      <c r="I3166" t="s">
        <v>13150</v>
      </c>
      <c r="J3166" t="s">
        <v>885</v>
      </c>
      <c r="K3166" t="s">
        <v>13152</v>
      </c>
      <c r="L3166" t="s">
        <v>13153</v>
      </c>
      <c r="M3166" t="s">
        <v>46</v>
      </c>
      <c r="N3166" t="s">
        <v>2579</v>
      </c>
      <c r="O3166" t="s">
        <v>13154</v>
      </c>
      <c r="P3166" t="s">
        <v>14768</v>
      </c>
      <c r="Q3166" t="s">
        <v>14769</v>
      </c>
      <c r="R3166">
        <v>11</v>
      </c>
      <c r="S3166">
        <v>16</v>
      </c>
    </row>
    <row r="3167" spans="1:19" x14ac:dyDescent="0.35">
      <c r="A3167">
        <v>2117</v>
      </c>
      <c r="B3167" t="s">
        <v>14770</v>
      </c>
      <c r="C3167" t="s">
        <v>42</v>
      </c>
      <c r="D3167" t="s">
        <v>14771</v>
      </c>
      <c r="E3167" t="e" cm="1">
        <f t="array" ref="E3167">- CELECOXIB</f>
        <v>#NAME?</v>
      </c>
      <c r="F3167" t="s">
        <v>14772</v>
      </c>
      <c r="G3167" t="s">
        <v>4545</v>
      </c>
      <c r="H3167" t="s">
        <v>14773</v>
      </c>
      <c r="I3167" t="s">
        <v>14774</v>
      </c>
      <c r="J3167" t="s">
        <v>14775</v>
      </c>
      <c r="K3167" t="s">
        <v>14776</v>
      </c>
      <c r="L3167" t="s">
        <v>14777</v>
      </c>
      <c r="M3167" t="s">
        <v>38</v>
      </c>
      <c r="N3167" t="s">
        <v>14778</v>
      </c>
      <c r="O3167" t="s">
        <v>14779</v>
      </c>
      <c r="P3167" t="s">
        <v>14778</v>
      </c>
      <c r="Q3167" t="s">
        <v>14780</v>
      </c>
      <c r="R3167">
        <v>11</v>
      </c>
      <c r="S3167">
        <v>16</v>
      </c>
    </row>
    <row r="3168" spans="1:19" x14ac:dyDescent="0.35">
      <c r="A3168">
        <v>7858</v>
      </c>
      <c r="B3168" t="s">
        <v>14781</v>
      </c>
      <c r="C3168" t="s">
        <v>20</v>
      </c>
      <c r="D3168" t="s">
        <v>14782</v>
      </c>
      <c r="E3168" t="s">
        <v>14783</v>
      </c>
      <c r="F3168" t="s">
        <v>14784</v>
      </c>
      <c r="H3168" t="s">
        <v>2188</v>
      </c>
      <c r="I3168" t="s">
        <v>5700</v>
      </c>
      <c r="J3168" t="s">
        <v>107</v>
      </c>
      <c r="M3168" t="s">
        <v>38</v>
      </c>
      <c r="N3168" t="s">
        <v>14785</v>
      </c>
      <c r="O3168" t="s">
        <v>5703</v>
      </c>
      <c r="P3168" t="s">
        <v>14785</v>
      </c>
      <c r="Q3168" t="s">
        <v>14786</v>
      </c>
      <c r="R3168">
        <v>11</v>
      </c>
      <c r="S3168">
        <v>16</v>
      </c>
    </row>
    <row r="3169" spans="1:19" x14ac:dyDescent="0.35">
      <c r="A3169">
        <v>8137</v>
      </c>
      <c r="B3169" t="s">
        <v>551</v>
      </c>
      <c r="C3169" t="s">
        <v>42</v>
      </c>
      <c r="D3169" t="s">
        <v>14787</v>
      </c>
      <c r="E3169" t="e" cm="1">
        <f t="array" ref="E3169">- POVIDONE-IODINE</f>
        <v>#NAME?</v>
      </c>
      <c r="F3169" t="s">
        <v>14788</v>
      </c>
      <c r="G3169" t="s">
        <v>9438</v>
      </c>
      <c r="H3169" t="s">
        <v>1322</v>
      </c>
      <c r="I3169" t="s">
        <v>9439</v>
      </c>
      <c r="J3169" t="s">
        <v>14789</v>
      </c>
      <c r="M3169" t="s">
        <v>554</v>
      </c>
      <c r="N3169" t="s">
        <v>555</v>
      </c>
      <c r="O3169" t="s">
        <v>9441</v>
      </c>
      <c r="P3169" t="s">
        <v>13881</v>
      </c>
      <c r="Q3169" t="s">
        <v>13882</v>
      </c>
      <c r="R3169">
        <v>11</v>
      </c>
      <c r="S3169">
        <v>16</v>
      </c>
    </row>
    <row r="3170" spans="1:19" x14ac:dyDescent="0.35">
      <c r="A3170">
        <v>5546</v>
      </c>
      <c r="B3170" t="s">
        <v>14790</v>
      </c>
      <c r="C3170" t="s">
        <v>42</v>
      </c>
      <c r="D3170" t="s">
        <v>14791</v>
      </c>
      <c r="F3170" t="s">
        <v>14792</v>
      </c>
      <c r="G3170" t="s">
        <v>14793</v>
      </c>
      <c r="H3170" t="s">
        <v>14794</v>
      </c>
      <c r="I3170" t="s">
        <v>14795</v>
      </c>
      <c r="J3170" t="s">
        <v>3197</v>
      </c>
      <c r="K3170" t="s">
        <v>3952</v>
      </c>
      <c r="L3170" t="s">
        <v>14796</v>
      </c>
      <c r="M3170" t="s">
        <v>1289</v>
      </c>
      <c r="O3170" t="s">
        <v>14797</v>
      </c>
      <c r="P3170" t="s">
        <v>14798</v>
      </c>
      <c r="Q3170" t="s">
        <v>14799</v>
      </c>
      <c r="R3170">
        <v>11</v>
      </c>
      <c r="S3170">
        <v>16</v>
      </c>
    </row>
    <row r="3171" spans="1:19" x14ac:dyDescent="0.35">
      <c r="A3171">
        <v>24</v>
      </c>
      <c r="B3171" t="s">
        <v>2902</v>
      </c>
      <c r="C3171" t="s">
        <v>42</v>
      </c>
      <c r="D3171" t="s">
        <v>14800</v>
      </c>
      <c r="E3171" t="e" cm="1">
        <f t="array" ref="E3171">- SILDENAFIL CITRATE</f>
        <v>#NAME?</v>
      </c>
      <c r="F3171" t="s">
        <v>7089</v>
      </c>
      <c r="G3171" t="s">
        <v>8185</v>
      </c>
      <c r="H3171" t="s">
        <v>3854</v>
      </c>
      <c r="I3171" t="s">
        <v>14801</v>
      </c>
      <c r="J3171" t="s">
        <v>8479</v>
      </c>
      <c r="L3171" t="s">
        <v>8188</v>
      </c>
      <c r="M3171" t="s">
        <v>46</v>
      </c>
      <c r="N3171" t="s">
        <v>2519</v>
      </c>
      <c r="O3171" t="s">
        <v>14802</v>
      </c>
      <c r="P3171" t="s">
        <v>14803</v>
      </c>
      <c r="Q3171" t="s">
        <v>14804</v>
      </c>
      <c r="R3171">
        <v>11</v>
      </c>
      <c r="S3171">
        <v>16</v>
      </c>
    </row>
    <row r="3172" spans="1:19" x14ac:dyDescent="0.35">
      <c r="A3172">
        <v>8136</v>
      </c>
      <c r="B3172" t="s">
        <v>551</v>
      </c>
      <c r="C3172" t="s">
        <v>42</v>
      </c>
      <c r="D3172" t="s">
        <v>14787</v>
      </c>
      <c r="E3172" t="e" cm="1">
        <f t="array" ref="E3172">- POVIDONE-IODINE</f>
        <v>#NAME?</v>
      </c>
      <c r="F3172" t="s">
        <v>14788</v>
      </c>
      <c r="G3172" t="s">
        <v>9438</v>
      </c>
      <c r="H3172" t="s">
        <v>1322</v>
      </c>
      <c r="I3172" t="s">
        <v>9439</v>
      </c>
      <c r="J3172" t="s">
        <v>14789</v>
      </c>
      <c r="M3172" t="s">
        <v>554</v>
      </c>
      <c r="N3172" t="s">
        <v>555</v>
      </c>
      <c r="O3172" t="s">
        <v>9441</v>
      </c>
      <c r="P3172" t="s">
        <v>13881</v>
      </c>
      <c r="Q3172" t="s">
        <v>13882</v>
      </c>
      <c r="R3172">
        <v>11</v>
      </c>
      <c r="S3172">
        <v>16</v>
      </c>
    </row>
    <row r="3173" spans="1:19" x14ac:dyDescent="0.35">
      <c r="A3173">
        <v>1700</v>
      </c>
      <c r="B3173" t="s">
        <v>13767</v>
      </c>
      <c r="C3173" t="s">
        <v>42</v>
      </c>
      <c r="D3173" t="s">
        <v>13768</v>
      </c>
      <c r="E3173" t="e" cm="1">
        <f t="array" ref="E3173">- MOMETASONE FUROATE MONOHYDRATE</f>
        <v>#NAME?</v>
      </c>
      <c r="F3173" t="s">
        <v>13769</v>
      </c>
      <c r="G3173" t="s">
        <v>13770</v>
      </c>
      <c r="H3173" t="s">
        <v>13771</v>
      </c>
      <c r="I3173" t="s">
        <v>13772</v>
      </c>
      <c r="J3173" t="s">
        <v>13773</v>
      </c>
      <c r="K3173" t="s">
        <v>2726</v>
      </c>
      <c r="L3173" t="s">
        <v>13774</v>
      </c>
      <c r="M3173" t="s">
        <v>3453</v>
      </c>
      <c r="N3173" t="s">
        <v>13775</v>
      </c>
      <c r="O3173" t="s">
        <v>13776</v>
      </c>
      <c r="P3173" t="s">
        <v>13777</v>
      </c>
      <c r="Q3173" t="s">
        <v>13778</v>
      </c>
      <c r="R3173">
        <v>11</v>
      </c>
      <c r="S3173">
        <v>16</v>
      </c>
    </row>
    <row r="3174" spans="1:19" x14ac:dyDescent="0.35">
      <c r="A3174">
        <v>1709</v>
      </c>
      <c r="B3174" t="s">
        <v>13767</v>
      </c>
      <c r="C3174" t="s">
        <v>42</v>
      </c>
      <c r="D3174" t="s">
        <v>13768</v>
      </c>
      <c r="E3174" t="e" cm="1">
        <f t="array" ref="E3174">- MOMETASONE FUROATE MONOHYDRATE</f>
        <v>#NAME?</v>
      </c>
      <c r="F3174" t="s">
        <v>13769</v>
      </c>
      <c r="G3174" t="s">
        <v>13770</v>
      </c>
      <c r="H3174" t="s">
        <v>13771</v>
      </c>
      <c r="I3174" t="s">
        <v>13772</v>
      </c>
      <c r="J3174" t="s">
        <v>13773</v>
      </c>
      <c r="K3174" t="s">
        <v>2726</v>
      </c>
      <c r="L3174" t="s">
        <v>13774</v>
      </c>
      <c r="M3174" t="s">
        <v>3453</v>
      </c>
      <c r="N3174" t="s">
        <v>13775</v>
      </c>
      <c r="O3174" t="s">
        <v>13776</v>
      </c>
      <c r="P3174" t="s">
        <v>13777</v>
      </c>
      <c r="Q3174" t="s">
        <v>13778</v>
      </c>
      <c r="R3174">
        <v>11</v>
      </c>
      <c r="S3174">
        <v>16</v>
      </c>
    </row>
    <row r="3175" spans="1:19" x14ac:dyDescent="0.35">
      <c r="A3175">
        <v>1701</v>
      </c>
      <c r="B3175" t="s">
        <v>13767</v>
      </c>
      <c r="C3175" t="s">
        <v>42</v>
      </c>
      <c r="D3175" t="s">
        <v>13768</v>
      </c>
      <c r="E3175" t="e" cm="1">
        <f t="array" ref="E3175">- MOMETASONE FUROATE MONOHYDRATE</f>
        <v>#NAME?</v>
      </c>
      <c r="F3175" t="s">
        <v>13769</v>
      </c>
      <c r="G3175" t="s">
        <v>13770</v>
      </c>
      <c r="H3175" t="s">
        <v>13771</v>
      </c>
      <c r="I3175" t="s">
        <v>13772</v>
      </c>
      <c r="J3175" t="s">
        <v>13773</v>
      </c>
      <c r="K3175" t="s">
        <v>2726</v>
      </c>
      <c r="L3175" t="s">
        <v>13774</v>
      </c>
      <c r="M3175" t="s">
        <v>3453</v>
      </c>
      <c r="N3175" t="s">
        <v>13775</v>
      </c>
      <c r="O3175" t="s">
        <v>13776</v>
      </c>
      <c r="P3175" t="s">
        <v>13777</v>
      </c>
      <c r="Q3175" t="s">
        <v>13778</v>
      </c>
      <c r="R3175">
        <v>11</v>
      </c>
      <c r="S3175">
        <v>16</v>
      </c>
    </row>
    <row r="3176" spans="1:19" x14ac:dyDescent="0.35">
      <c r="A3176">
        <v>6546</v>
      </c>
      <c r="B3176" t="s">
        <v>14805</v>
      </c>
      <c r="C3176" t="s">
        <v>42</v>
      </c>
      <c r="D3176" t="s">
        <v>14806</v>
      </c>
      <c r="E3176" t="e" cm="1">
        <f t="array" ref="E3176">- GRISEOFULVIN</f>
        <v>#NAME?</v>
      </c>
      <c r="F3176" t="s">
        <v>14807</v>
      </c>
      <c r="G3176" t="s">
        <v>14808</v>
      </c>
      <c r="H3176" t="s">
        <v>14809</v>
      </c>
      <c r="I3176" t="s">
        <v>14810</v>
      </c>
      <c r="J3176" t="s">
        <v>381</v>
      </c>
      <c r="K3176" t="s">
        <v>14811</v>
      </c>
      <c r="L3176" t="s">
        <v>14812</v>
      </c>
      <c r="M3176" t="s">
        <v>46</v>
      </c>
      <c r="N3176" t="s">
        <v>453</v>
      </c>
      <c r="O3176" t="s">
        <v>14813</v>
      </c>
      <c r="P3176" t="s">
        <v>453</v>
      </c>
      <c r="Q3176" t="s">
        <v>14814</v>
      </c>
      <c r="R3176">
        <v>11</v>
      </c>
      <c r="S3176">
        <v>16</v>
      </c>
    </row>
    <row r="3177" spans="1:19" x14ac:dyDescent="0.35">
      <c r="A3177">
        <v>3409</v>
      </c>
      <c r="B3177" t="s">
        <v>14815</v>
      </c>
      <c r="C3177" t="s">
        <v>20</v>
      </c>
      <c r="D3177" t="s">
        <v>14816</v>
      </c>
      <c r="E3177" t="s">
        <v>14817</v>
      </c>
      <c r="F3177" s="1">
        <v>78900</v>
      </c>
      <c r="G3177" t="s">
        <v>5568</v>
      </c>
      <c r="H3177" t="s">
        <v>14818</v>
      </c>
      <c r="I3177" t="s">
        <v>14819</v>
      </c>
      <c r="J3177" t="s">
        <v>14820</v>
      </c>
      <c r="L3177" t="s">
        <v>14821</v>
      </c>
      <c r="M3177" t="s">
        <v>38</v>
      </c>
      <c r="N3177" t="s">
        <v>14822</v>
      </c>
      <c r="O3177" t="s">
        <v>10887</v>
      </c>
      <c r="P3177" t="s">
        <v>10886</v>
      </c>
      <c r="Q3177" t="s">
        <v>14823</v>
      </c>
      <c r="R3177">
        <v>11</v>
      </c>
      <c r="S3177">
        <v>16</v>
      </c>
    </row>
    <row r="3178" spans="1:19" x14ac:dyDescent="0.35">
      <c r="A3178">
        <v>3410</v>
      </c>
      <c r="B3178" t="s">
        <v>14815</v>
      </c>
      <c r="C3178" t="s">
        <v>20</v>
      </c>
      <c r="D3178" t="s">
        <v>14816</v>
      </c>
      <c r="E3178" t="s">
        <v>14817</v>
      </c>
      <c r="F3178" t="s">
        <v>14824</v>
      </c>
      <c r="G3178" t="s">
        <v>5568</v>
      </c>
      <c r="H3178" t="s">
        <v>14818</v>
      </c>
      <c r="I3178" t="s">
        <v>14819</v>
      </c>
      <c r="J3178" t="s">
        <v>14820</v>
      </c>
      <c r="L3178" t="s">
        <v>14821</v>
      </c>
      <c r="M3178" t="s">
        <v>38</v>
      </c>
      <c r="N3178" t="s">
        <v>14822</v>
      </c>
      <c r="O3178" t="s">
        <v>10887</v>
      </c>
      <c r="P3178" t="s">
        <v>10886</v>
      </c>
      <c r="Q3178" t="s">
        <v>14823</v>
      </c>
      <c r="R3178">
        <v>11</v>
      </c>
      <c r="S3178">
        <v>16</v>
      </c>
    </row>
    <row r="3179" spans="1:19" x14ac:dyDescent="0.35">
      <c r="A3179">
        <v>6545</v>
      </c>
      <c r="B3179" t="s">
        <v>14805</v>
      </c>
      <c r="C3179" t="s">
        <v>42</v>
      </c>
      <c r="D3179" t="s">
        <v>14806</v>
      </c>
      <c r="E3179" t="e" cm="1">
        <f t="array" ref="E3179">- GRISEOFULVIN</f>
        <v>#NAME?</v>
      </c>
      <c r="F3179" t="s">
        <v>14807</v>
      </c>
      <c r="G3179" t="s">
        <v>14808</v>
      </c>
      <c r="H3179" t="s">
        <v>14809</v>
      </c>
      <c r="I3179" t="s">
        <v>14810</v>
      </c>
      <c r="J3179" t="s">
        <v>381</v>
      </c>
      <c r="K3179" t="s">
        <v>14811</v>
      </c>
      <c r="L3179" t="s">
        <v>14812</v>
      </c>
      <c r="M3179" t="s">
        <v>46</v>
      </c>
      <c r="N3179" t="s">
        <v>453</v>
      </c>
      <c r="O3179" t="s">
        <v>14813</v>
      </c>
      <c r="P3179" t="s">
        <v>453</v>
      </c>
      <c r="Q3179" t="s">
        <v>14814</v>
      </c>
      <c r="R3179">
        <v>11</v>
      </c>
      <c r="S3179">
        <v>16</v>
      </c>
    </row>
    <row r="3180" spans="1:19" x14ac:dyDescent="0.35">
      <c r="A3180">
        <v>5545</v>
      </c>
      <c r="B3180" t="s">
        <v>14790</v>
      </c>
      <c r="C3180" t="s">
        <v>42</v>
      </c>
      <c r="D3180" t="s">
        <v>14791</v>
      </c>
      <c r="F3180" t="s">
        <v>14792</v>
      </c>
      <c r="G3180" t="s">
        <v>14793</v>
      </c>
      <c r="H3180" t="s">
        <v>14794</v>
      </c>
      <c r="I3180" t="s">
        <v>14795</v>
      </c>
      <c r="J3180" t="s">
        <v>3197</v>
      </c>
      <c r="K3180" t="s">
        <v>3952</v>
      </c>
      <c r="L3180" t="s">
        <v>14796</v>
      </c>
      <c r="M3180" t="s">
        <v>1289</v>
      </c>
      <c r="O3180" t="s">
        <v>14797</v>
      </c>
      <c r="P3180" t="s">
        <v>14798</v>
      </c>
      <c r="Q3180" t="s">
        <v>14799</v>
      </c>
      <c r="R3180">
        <v>11</v>
      </c>
      <c r="S3180">
        <v>16</v>
      </c>
    </row>
    <row r="3181" spans="1:19" x14ac:dyDescent="0.35">
      <c r="A3181">
        <v>9882</v>
      </c>
      <c r="B3181" t="s">
        <v>14764</v>
      </c>
      <c r="C3181" t="s">
        <v>42</v>
      </c>
      <c r="D3181" t="s">
        <v>14765</v>
      </c>
      <c r="E3181" t="e" cm="1">
        <f t="array" ref="E3181">- ACETYLSALICYLIC ACID</f>
        <v>#NAME?</v>
      </c>
      <c r="F3181" t="s">
        <v>14766</v>
      </c>
      <c r="G3181" t="s">
        <v>14767</v>
      </c>
      <c r="H3181" t="s">
        <v>13149</v>
      </c>
      <c r="I3181" t="s">
        <v>13150</v>
      </c>
      <c r="J3181" t="s">
        <v>885</v>
      </c>
      <c r="K3181" t="s">
        <v>13152</v>
      </c>
      <c r="L3181" t="s">
        <v>13153</v>
      </c>
      <c r="M3181" t="s">
        <v>46</v>
      </c>
      <c r="N3181" t="s">
        <v>2579</v>
      </c>
      <c r="O3181" t="s">
        <v>13154</v>
      </c>
      <c r="P3181" t="s">
        <v>14768</v>
      </c>
      <c r="Q3181" t="s">
        <v>14769</v>
      </c>
      <c r="R3181">
        <v>11</v>
      </c>
      <c r="S3181">
        <v>16</v>
      </c>
    </row>
    <row r="3182" spans="1:19" x14ac:dyDescent="0.35">
      <c r="A3182">
        <v>22</v>
      </c>
      <c r="B3182" t="s">
        <v>2902</v>
      </c>
      <c r="C3182" t="s">
        <v>42</v>
      </c>
      <c r="D3182" t="s">
        <v>14825</v>
      </c>
      <c r="E3182" t="e" cm="1">
        <f t="array" ref="E3182">- SILDENAFIL CITRATE</f>
        <v>#NAME?</v>
      </c>
      <c r="F3182" t="s">
        <v>14826</v>
      </c>
      <c r="G3182" t="s">
        <v>8185</v>
      </c>
      <c r="H3182" t="s">
        <v>1322</v>
      </c>
      <c r="I3182" t="s">
        <v>8186</v>
      </c>
      <c r="J3182" t="s">
        <v>8187</v>
      </c>
      <c r="M3182" t="s">
        <v>46</v>
      </c>
      <c r="N3182" t="s">
        <v>2519</v>
      </c>
      <c r="O3182" t="s">
        <v>8189</v>
      </c>
      <c r="P3182" t="s">
        <v>14827</v>
      </c>
      <c r="Q3182" t="s">
        <v>14828</v>
      </c>
      <c r="R3182">
        <v>11</v>
      </c>
      <c r="S3182">
        <v>16</v>
      </c>
    </row>
    <row r="3183" spans="1:19" x14ac:dyDescent="0.35">
      <c r="A3183">
        <v>1710</v>
      </c>
      <c r="B3183" t="s">
        <v>13767</v>
      </c>
      <c r="C3183" t="s">
        <v>42</v>
      </c>
      <c r="D3183" t="s">
        <v>13768</v>
      </c>
      <c r="E3183" t="e" cm="1">
        <f t="array" ref="E3183">- MOMETASONE FUROATE MONOHYDRATE</f>
        <v>#NAME?</v>
      </c>
      <c r="F3183" t="s">
        <v>13769</v>
      </c>
      <c r="G3183" t="s">
        <v>13770</v>
      </c>
      <c r="H3183" t="s">
        <v>13771</v>
      </c>
      <c r="I3183" t="s">
        <v>13772</v>
      </c>
      <c r="J3183" t="s">
        <v>13773</v>
      </c>
      <c r="K3183" t="s">
        <v>2726</v>
      </c>
      <c r="L3183" t="s">
        <v>13774</v>
      </c>
      <c r="M3183" t="s">
        <v>3453</v>
      </c>
      <c r="N3183" t="s">
        <v>13775</v>
      </c>
      <c r="O3183" t="s">
        <v>13776</v>
      </c>
      <c r="P3183" t="s">
        <v>13777</v>
      </c>
      <c r="Q3183" t="s">
        <v>13778</v>
      </c>
      <c r="R3183">
        <v>11</v>
      </c>
      <c r="S3183">
        <v>16</v>
      </c>
    </row>
    <row r="3184" spans="1:19" x14ac:dyDescent="0.35">
      <c r="A3184">
        <v>1887</v>
      </c>
      <c r="B3184" t="s">
        <v>14829</v>
      </c>
      <c r="C3184" t="s">
        <v>42</v>
      </c>
      <c r="D3184" t="s">
        <v>14830</v>
      </c>
      <c r="E3184" t="e" cm="1">
        <f t="array" ref="E3184">- CHLORPHENAMINE MALEATE</f>
        <v>#NAME?</v>
      </c>
      <c r="F3184" t="s">
        <v>14831</v>
      </c>
      <c r="G3184" t="s">
        <v>539</v>
      </c>
      <c r="H3184" t="s">
        <v>14832</v>
      </c>
      <c r="I3184" t="s">
        <v>14833</v>
      </c>
      <c r="M3184" t="s">
        <v>271</v>
      </c>
      <c r="N3184" t="s">
        <v>1354</v>
      </c>
      <c r="O3184" t="s">
        <v>14834</v>
      </c>
      <c r="P3184" t="s">
        <v>14835</v>
      </c>
      <c r="Q3184" t="s">
        <v>14836</v>
      </c>
      <c r="R3184">
        <v>11</v>
      </c>
      <c r="S3184">
        <v>16</v>
      </c>
    </row>
    <row r="3185" spans="1:19" x14ac:dyDescent="0.35">
      <c r="A3185">
        <v>2653</v>
      </c>
      <c r="B3185" t="s">
        <v>9594</v>
      </c>
      <c r="C3185" t="s">
        <v>42</v>
      </c>
      <c r="D3185" t="s">
        <v>9595</v>
      </c>
      <c r="E3185" t="e" cm="1">
        <f t="array" ref="E3185">- METAMIZOLE SODIUM MONOHYDRATE. HYOSCINE BUTYLBROMIDE</f>
        <v>#NAME?</v>
      </c>
      <c r="F3185" t="s">
        <v>9596</v>
      </c>
      <c r="G3185" t="s">
        <v>2241</v>
      </c>
      <c r="H3185" t="s">
        <v>5193</v>
      </c>
      <c r="I3185" t="s">
        <v>9597</v>
      </c>
      <c r="J3185" t="s">
        <v>9598</v>
      </c>
      <c r="K3185" t="s">
        <v>9599</v>
      </c>
      <c r="L3185" t="s">
        <v>9600</v>
      </c>
      <c r="M3185" t="s">
        <v>46</v>
      </c>
      <c r="N3185" t="s">
        <v>14837</v>
      </c>
      <c r="O3185" t="s">
        <v>9602</v>
      </c>
      <c r="P3185" t="s">
        <v>9603</v>
      </c>
      <c r="Q3185" t="s">
        <v>14838</v>
      </c>
      <c r="R3185">
        <v>11</v>
      </c>
      <c r="S3185">
        <v>16</v>
      </c>
    </row>
    <row r="3186" spans="1:19" x14ac:dyDescent="0.35">
      <c r="A3186">
        <v>3467</v>
      </c>
      <c r="B3186" t="s">
        <v>8213</v>
      </c>
      <c r="C3186" t="s">
        <v>42</v>
      </c>
      <c r="D3186" t="s">
        <v>8214</v>
      </c>
      <c r="E3186" t="e" cm="1">
        <f t="array" ref="E3186">- DRIED ALUMINIUM HYDROXIDE GEL. MAGNESIUM HYDROXIDE. SIMETHICONE</f>
        <v>#NAME?</v>
      </c>
      <c r="F3186" t="s">
        <v>8215</v>
      </c>
      <c r="M3186" t="s">
        <v>46</v>
      </c>
      <c r="N3186" t="s">
        <v>14839</v>
      </c>
      <c r="P3186" t="s">
        <v>8216</v>
      </c>
      <c r="Q3186" t="s">
        <v>14840</v>
      </c>
      <c r="R3186">
        <v>11</v>
      </c>
      <c r="S3186">
        <v>16</v>
      </c>
    </row>
    <row r="3187" spans="1:19" x14ac:dyDescent="0.35">
      <c r="A3187">
        <v>8345</v>
      </c>
      <c r="B3187" t="s">
        <v>551</v>
      </c>
      <c r="C3187" t="s">
        <v>42</v>
      </c>
      <c r="D3187" t="s">
        <v>14841</v>
      </c>
      <c r="E3187" t="e" cm="1">
        <f t="array" ref="E3187">- POVIDONE-IODINE</f>
        <v>#NAME?</v>
      </c>
      <c r="F3187" t="s">
        <v>14842</v>
      </c>
      <c r="H3187" t="s">
        <v>1322</v>
      </c>
      <c r="I3187" t="s">
        <v>14843</v>
      </c>
      <c r="J3187" t="s">
        <v>14844</v>
      </c>
      <c r="L3187" t="s">
        <v>14845</v>
      </c>
      <c r="M3187" t="s">
        <v>554</v>
      </c>
      <c r="N3187" t="s">
        <v>555</v>
      </c>
      <c r="O3187" t="s">
        <v>14846</v>
      </c>
      <c r="P3187" t="s">
        <v>14847</v>
      </c>
      <c r="Q3187" t="s">
        <v>14848</v>
      </c>
      <c r="R3187">
        <v>11</v>
      </c>
      <c r="S3187">
        <v>16</v>
      </c>
    </row>
    <row r="3188" spans="1:19" x14ac:dyDescent="0.35">
      <c r="A3188">
        <v>8344</v>
      </c>
      <c r="B3188" t="s">
        <v>551</v>
      </c>
      <c r="C3188" t="s">
        <v>42</v>
      </c>
      <c r="D3188" t="s">
        <v>14841</v>
      </c>
      <c r="E3188" t="e" cm="1">
        <f t="array" ref="E3188">- POVIDONE-IODINE</f>
        <v>#NAME?</v>
      </c>
      <c r="F3188" t="s">
        <v>14842</v>
      </c>
      <c r="H3188" t="s">
        <v>1322</v>
      </c>
      <c r="I3188" t="s">
        <v>14843</v>
      </c>
      <c r="J3188" t="s">
        <v>14844</v>
      </c>
      <c r="L3188" t="s">
        <v>14845</v>
      </c>
      <c r="M3188" t="s">
        <v>554</v>
      </c>
      <c r="N3188" t="s">
        <v>555</v>
      </c>
      <c r="O3188" t="s">
        <v>14846</v>
      </c>
      <c r="P3188" t="s">
        <v>14847</v>
      </c>
      <c r="Q3188" t="s">
        <v>14848</v>
      </c>
      <c r="R3188">
        <v>11</v>
      </c>
      <c r="S3188">
        <v>16</v>
      </c>
    </row>
    <row r="3189" spans="1:19" x14ac:dyDescent="0.35">
      <c r="A3189">
        <v>4712</v>
      </c>
      <c r="B3189" t="s">
        <v>14849</v>
      </c>
      <c r="C3189" t="s">
        <v>42</v>
      </c>
      <c r="D3189" t="s">
        <v>14850</v>
      </c>
      <c r="E3189" t="e" cm="1">
        <f t="array" ref="E3189">- CIPROFLOXACIN</f>
        <v>#NAME?</v>
      </c>
      <c r="F3189" t="s">
        <v>14851</v>
      </c>
      <c r="G3189" t="s">
        <v>7569</v>
      </c>
      <c r="H3189" t="s">
        <v>14852</v>
      </c>
      <c r="I3189" t="s">
        <v>14853</v>
      </c>
      <c r="J3189" t="s">
        <v>10248</v>
      </c>
      <c r="L3189" t="s">
        <v>270</v>
      </c>
      <c r="M3189" t="s">
        <v>824</v>
      </c>
      <c r="N3189" t="s">
        <v>1056</v>
      </c>
      <c r="O3189" t="s">
        <v>14854</v>
      </c>
      <c r="P3189" t="s">
        <v>14855</v>
      </c>
      <c r="Q3189" t="s">
        <v>14856</v>
      </c>
      <c r="R3189">
        <v>11</v>
      </c>
      <c r="S3189">
        <v>16</v>
      </c>
    </row>
    <row r="3190" spans="1:19" x14ac:dyDescent="0.35">
      <c r="A3190">
        <v>7636</v>
      </c>
      <c r="B3190" t="s">
        <v>14857</v>
      </c>
      <c r="C3190" t="s">
        <v>20</v>
      </c>
      <c r="D3190" t="s">
        <v>14858</v>
      </c>
      <c r="E3190" t="s">
        <v>14859</v>
      </c>
      <c r="F3190" t="s">
        <v>14860</v>
      </c>
      <c r="G3190" t="s">
        <v>14861</v>
      </c>
      <c r="H3190" t="s">
        <v>8309</v>
      </c>
      <c r="I3190" t="s">
        <v>7680</v>
      </c>
      <c r="J3190" t="s">
        <v>3812</v>
      </c>
      <c r="L3190" t="s">
        <v>14862</v>
      </c>
      <c r="M3190" t="s">
        <v>38</v>
      </c>
      <c r="N3190" t="s">
        <v>14863</v>
      </c>
      <c r="O3190" t="s">
        <v>7684</v>
      </c>
      <c r="P3190" t="s">
        <v>14864</v>
      </c>
      <c r="Q3190" t="s">
        <v>14865</v>
      </c>
      <c r="R3190">
        <v>11</v>
      </c>
      <c r="S3190">
        <v>16</v>
      </c>
    </row>
    <row r="3191" spans="1:19" x14ac:dyDescent="0.35">
      <c r="A3191">
        <v>4713</v>
      </c>
      <c r="B3191" t="s">
        <v>14849</v>
      </c>
      <c r="C3191" t="s">
        <v>42</v>
      </c>
      <c r="D3191" t="s">
        <v>14850</v>
      </c>
      <c r="E3191" t="e" cm="1">
        <f t="array" ref="E3191">- CIPROFLOXACIN</f>
        <v>#NAME?</v>
      </c>
      <c r="F3191" t="s">
        <v>14851</v>
      </c>
      <c r="G3191" t="s">
        <v>7569</v>
      </c>
      <c r="H3191" t="s">
        <v>14852</v>
      </c>
      <c r="I3191" t="s">
        <v>14853</v>
      </c>
      <c r="J3191" t="s">
        <v>10248</v>
      </c>
      <c r="L3191" t="s">
        <v>270</v>
      </c>
      <c r="M3191" t="s">
        <v>824</v>
      </c>
      <c r="N3191" t="s">
        <v>1056</v>
      </c>
      <c r="O3191" t="s">
        <v>14854</v>
      </c>
      <c r="P3191" t="s">
        <v>14855</v>
      </c>
      <c r="Q3191" t="s">
        <v>14856</v>
      </c>
      <c r="R3191">
        <v>11</v>
      </c>
      <c r="S3191">
        <v>16</v>
      </c>
    </row>
    <row r="3192" spans="1:19" x14ac:dyDescent="0.35">
      <c r="A3192">
        <v>7998</v>
      </c>
      <c r="B3192" t="s">
        <v>3251</v>
      </c>
      <c r="C3192" t="s">
        <v>20</v>
      </c>
      <c r="D3192" t="s">
        <v>14370</v>
      </c>
      <c r="E3192" t="s">
        <v>3253</v>
      </c>
      <c r="F3192" t="s">
        <v>14371</v>
      </c>
      <c r="G3192" t="s">
        <v>14372</v>
      </c>
    </row>
    <row r="3193" spans="1:19" x14ac:dyDescent="0.35">
      <c r="A3193">
        <v>7637</v>
      </c>
      <c r="B3193" t="s">
        <v>14857</v>
      </c>
      <c r="C3193" t="s">
        <v>20</v>
      </c>
      <c r="D3193" t="s">
        <v>14866</v>
      </c>
      <c r="E3193" t="s">
        <v>14859</v>
      </c>
      <c r="F3193" t="s">
        <v>14867</v>
      </c>
      <c r="G3193" t="s">
        <v>14861</v>
      </c>
      <c r="H3193" t="s">
        <v>8309</v>
      </c>
      <c r="I3193" t="s">
        <v>7680</v>
      </c>
      <c r="J3193" t="s">
        <v>75</v>
      </c>
      <c r="L3193" t="s">
        <v>14862</v>
      </c>
      <c r="M3193" t="s">
        <v>38</v>
      </c>
      <c r="N3193" t="s">
        <v>14863</v>
      </c>
      <c r="O3193" t="s">
        <v>7684</v>
      </c>
      <c r="P3193" t="s">
        <v>14864</v>
      </c>
      <c r="Q3193" t="s">
        <v>14865</v>
      </c>
      <c r="R3193">
        <v>11</v>
      </c>
      <c r="S3193">
        <v>16</v>
      </c>
    </row>
    <row r="3194" spans="1:19" x14ac:dyDescent="0.35">
      <c r="A3194">
        <v>8337</v>
      </c>
      <c r="B3194" t="s">
        <v>551</v>
      </c>
      <c r="C3194" t="s">
        <v>42</v>
      </c>
      <c r="D3194" t="s">
        <v>14868</v>
      </c>
      <c r="E3194" t="e" cm="1">
        <f t="array" ref="E3194">- POVIDONE-IODINE</f>
        <v>#NAME?</v>
      </c>
      <c r="F3194" t="s">
        <v>14869</v>
      </c>
      <c r="G3194" t="s">
        <v>14870</v>
      </c>
      <c r="H3194" t="s">
        <v>14871</v>
      </c>
      <c r="I3194" t="s">
        <v>14872</v>
      </c>
      <c r="J3194" t="s">
        <v>3197</v>
      </c>
      <c r="K3194" t="s">
        <v>14873</v>
      </c>
      <c r="L3194" t="s">
        <v>14874</v>
      </c>
      <c r="M3194" t="s">
        <v>554</v>
      </c>
      <c r="N3194" t="s">
        <v>555</v>
      </c>
      <c r="O3194" t="s">
        <v>14875</v>
      </c>
      <c r="P3194" t="s">
        <v>14876</v>
      </c>
      <c r="Q3194" t="s">
        <v>14877</v>
      </c>
      <c r="R3194">
        <v>11</v>
      </c>
      <c r="S3194">
        <v>16</v>
      </c>
    </row>
    <row r="3195" spans="1:19" x14ac:dyDescent="0.35">
      <c r="A3195">
        <v>8336</v>
      </c>
      <c r="B3195" t="s">
        <v>551</v>
      </c>
      <c r="C3195" t="s">
        <v>42</v>
      </c>
      <c r="D3195" t="s">
        <v>14868</v>
      </c>
      <c r="E3195" t="e" cm="1">
        <f t="array" ref="E3195">- POVIDONE-IODINE</f>
        <v>#NAME?</v>
      </c>
      <c r="F3195" t="s">
        <v>14869</v>
      </c>
      <c r="G3195" t="s">
        <v>14870</v>
      </c>
      <c r="H3195" t="s">
        <v>14871</v>
      </c>
      <c r="I3195" t="s">
        <v>14872</v>
      </c>
      <c r="J3195" t="s">
        <v>3197</v>
      </c>
      <c r="K3195" t="s">
        <v>14873</v>
      </c>
      <c r="L3195" t="s">
        <v>14874</v>
      </c>
      <c r="M3195" t="s">
        <v>554</v>
      </c>
      <c r="N3195" t="s">
        <v>555</v>
      </c>
      <c r="O3195" t="s">
        <v>14875</v>
      </c>
      <c r="P3195" t="s">
        <v>14876</v>
      </c>
      <c r="Q3195" t="s">
        <v>14877</v>
      </c>
      <c r="R3195">
        <v>11</v>
      </c>
      <c r="S3195">
        <v>16</v>
      </c>
    </row>
    <row r="3196" spans="1:19" x14ac:dyDescent="0.35">
      <c r="A3196">
        <v>4869</v>
      </c>
      <c r="B3196" t="s">
        <v>11479</v>
      </c>
      <c r="C3196" t="s">
        <v>42</v>
      </c>
      <c r="D3196" t="s">
        <v>11480</v>
      </c>
      <c r="E3196" t="e" cm="1">
        <f t="array" ref="E3196">- LEVOFLOXACIN HEMIHYDRATE</f>
        <v>#NAME?</v>
      </c>
      <c r="F3196" t="s">
        <v>11481</v>
      </c>
      <c r="G3196" t="s">
        <v>11482</v>
      </c>
      <c r="H3196" t="s">
        <v>11483</v>
      </c>
      <c r="I3196" t="s">
        <v>11484</v>
      </c>
      <c r="J3196" t="s">
        <v>9310</v>
      </c>
      <c r="K3196" t="s">
        <v>11485</v>
      </c>
      <c r="L3196" t="s">
        <v>11486</v>
      </c>
      <c r="M3196" t="s">
        <v>824</v>
      </c>
      <c r="N3196" t="s">
        <v>1784</v>
      </c>
      <c r="O3196" t="s">
        <v>11488</v>
      </c>
      <c r="P3196" t="s">
        <v>11489</v>
      </c>
      <c r="Q3196" t="s">
        <v>14878</v>
      </c>
      <c r="R3196">
        <v>11</v>
      </c>
      <c r="S3196">
        <v>16</v>
      </c>
    </row>
    <row r="3197" spans="1:19" x14ac:dyDescent="0.35">
      <c r="A3197">
        <v>1712</v>
      </c>
      <c r="B3197" t="s">
        <v>13767</v>
      </c>
      <c r="C3197" t="s">
        <v>42</v>
      </c>
      <c r="D3197" t="s">
        <v>13768</v>
      </c>
      <c r="E3197" t="e" cm="1">
        <f t="array" ref="E3197">- MOMETASONE FUROATE MONOHYDRATE</f>
        <v>#NAME?</v>
      </c>
      <c r="F3197" t="s">
        <v>13769</v>
      </c>
      <c r="G3197" t="s">
        <v>13770</v>
      </c>
      <c r="H3197" t="s">
        <v>13771</v>
      </c>
      <c r="I3197" t="s">
        <v>13772</v>
      </c>
      <c r="J3197" t="s">
        <v>13773</v>
      </c>
      <c r="K3197" t="s">
        <v>2726</v>
      </c>
      <c r="L3197" t="s">
        <v>13774</v>
      </c>
      <c r="M3197" t="s">
        <v>3453</v>
      </c>
      <c r="N3197" t="s">
        <v>13775</v>
      </c>
      <c r="O3197" t="s">
        <v>13776</v>
      </c>
      <c r="P3197" t="s">
        <v>13777</v>
      </c>
      <c r="Q3197" t="s">
        <v>13778</v>
      </c>
      <c r="R3197">
        <v>11</v>
      </c>
      <c r="S3197">
        <v>16</v>
      </c>
    </row>
    <row r="3198" spans="1:19" x14ac:dyDescent="0.35">
      <c r="A3198">
        <v>7639</v>
      </c>
      <c r="B3198" t="s">
        <v>14879</v>
      </c>
      <c r="C3198" t="s">
        <v>20</v>
      </c>
      <c r="D3198" t="s">
        <v>14880</v>
      </c>
      <c r="E3198" t="s">
        <v>14881</v>
      </c>
      <c r="F3198" t="s">
        <v>14882</v>
      </c>
      <c r="G3198" t="s">
        <v>2241</v>
      </c>
      <c r="H3198" t="s">
        <v>14883</v>
      </c>
      <c r="I3198" t="s">
        <v>7680</v>
      </c>
      <c r="J3198" t="s">
        <v>107</v>
      </c>
      <c r="L3198" t="s">
        <v>7682</v>
      </c>
      <c r="M3198" t="s">
        <v>38</v>
      </c>
      <c r="N3198" t="s">
        <v>14884</v>
      </c>
      <c r="O3198" t="s">
        <v>7684</v>
      </c>
      <c r="P3198" t="s">
        <v>14885</v>
      </c>
      <c r="Q3198" t="s">
        <v>14886</v>
      </c>
      <c r="R3198">
        <v>11</v>
      </c>
      <c r="S3198">
        <v>16</v>
      </c>
    </row>
    <row r="3199" spans="1:19" x14ac:dyDescent="0.35">
      <c r="A3199">
        <v>554</v>
      </c>
      <c r="B3199" t="s">
        <v>14887</v>
      </c>
      <c r="C3199" t="s">
        <v>42</v>
      </c>
      <c r="D3199" t="s">
        <v>14888</v>
      </c>
      <c r="E3199" t="e" cm="1">
        <f t="array" ref="E3199">- GLYCEROL</f>
        <v>#NAME?</v>
      </c>
      <c r="F3199" t="s">
        <v>14889</v>
      </c>
      <c r="G3199" t="s">
        <v>14890</v>
      </c>
      <c r="H3199" t="s">
        <v>14891</v>
      </c>
      <c r="I3199" t="s">
        <v>14892</v>
      </c>
      <c r="J3199" t="s">
        <v>374</v>
      </c>
      <c r="K3199" t="s">
        <v>11699</v>
      </c>
      <c r="L3199" t="s">
        <v>14893</v>
      </c>
      <c r="M3199" t="s">
        <v>271</v>
      </c>
      <c r="N3199" t="s">
        <v>1130</v>
      </c>
      <c r="O3199" t="s">
        <v>14894</v>
      </c>
      <c r="P3199" t="s">
        <v>14895</v>
      </c>
      <c r="Q3199" t="s">
        <v>14896</v>
      </c>
      <c r="R3199">
        <v>11</v>
      </c>
      <c r="S3199">
        <v>16</v>
      </c>
    </row>
    <row r="3200" spans="1:19" x14ac:dyDescent="0.35">
      <c r="A3200">
        <v>555</v>
      </c>
      <c r="B3200" t="s">
        <v>14699</v>
      </c>
      <c r="C3200" t="s">
        <v>42</v>
      </c>
      <c r="D3200" t="s">
        <v>14700</v>
      </c>
      <c r="E3200" t="e" cm="1">
        <f t="array" ref="E3200">- SALBUTAMOL SULFATE</f>
        <v>#NAME?</v>
      </c>
      <c r="F3200" t="s">
        <v>14701</v>
      </c>
      <c r="G3200" t="s">
        <v>737</v>
      </c>
      <c r="H3200" t="s">
        <v>11448</v>
      </c>
      <c r="I3200" t="s">
        <v>11449</v>
      </c>
      <c r="J3200" t="s">
        <v>381</v>
      </c>
      <c r="K3200" t="s">
        <v>14702</v>
      </c>
      <c r="L3200" t="s">
        <v>11451</v>
      </c>
      <c r="M3200" t="s">
        <v>46</v>
      </c>
      <c r="N3200" t="s">
        <v>3424</v>
      </c>
      <c r="O3200" t="s">
        <v>11452</v>
      </c>
      <c r="P3200" t="s">
        <v>14703</v>
      </c>
      <c r="Q3200" t="s">
        <v>14704</v>
      </c>
      <c r="R3200">
        <v>11</v>
      </c>
      <c r="S3200">
        <v>16</v>
      </c>
    </row>
    <row r="3201" spans="1:19" x14ac:dyDescent="0.35">
      <c r="A3201">
        <v>4920</v>
      </c>
      <c r="B3201" t="s">
        <v>14272</v>
      </c>
      <c r="C3201" t="s">
        <v>42</v>
      </c>
      <c r="D3201" t="s">
        <v>14273</v>
      </c>
      <c r="E3201" t="e" cm="1">
        <f t="array" ref="E3201">- NICOTINAMIDE</f>
        <v>#NAME?</v>
      </c>
      <c r="F3201" t="s">
        <v>14274</v>
      </c>
      <c r="G3201" t="s">
        <v>14275</v>
      </c>
      <c r="H3201" t="s">
        <v>14276</v>
      </c>
      <c r="I3201" t="s">
        <v>14277</v>
      </c>
      <c r="J3201" t="s">
        <v>13944</v>
      </c>
      <c r="K3201" t="s">
        <v>3952</v>
      </c>
      <c r="L3201" t="s">
        <v>14278</v>
      </c>
      <c r="M3201" t="s">
        <v>87</v>
      </c>
      <c r="N3201" t="s">
        <v>14279</v>
      </c>
      <c r="O3201" t="s">
        <v>14280</v>
      </c>
      <c r="P3201" t="s">
        <v>14281</v>
      </c>
      <c r="Q3201" t="s">
        <v>14282</v>
      </c>
      <c r="R3201">
        <v>11</v>
      </c>
      <c r="S3201">
        <v>16</v>
      </c>
    </row>
    <row r="3202" spans="1:19" x14ac:dyDescent="0.35">
      <c r="A3202">
        <v>3465</v>
      </c>
      <c r="B3202" t="s">
        <v>1767</v>
      </c>
      <c r="C3202" t="s">
        <v>42</v>
      </c>
      <c r="D3202" t="s">
        <v>1768</v>
      </c>
      <c r="E3202" t="s">
        <v>14897</v>
      </c>
      <c r="F3202" t="s">
        <v>1769</v>
      </c>
      <c r="J3202" t="s">
        <v>1770</v>
      </c>
      <c r="M3202" t="s">
        <v>46</v>
      </c>
      <c r="N3202" t="s">
        <v>14898</v>
      </c>
      <c r="P3202" t="s">
        <v>1772</v>
      </c>
      <c r="Q3202" t="s">
        <v>14899</v>
      </c>
      <c r="R3202">
        <v>11</v>
      </c>
      <c r="S3202">
        <v>16</v>
      </c>
    </row>
    <row r="3203" spans="1:19" x14ac:dyDescent="0.35">
      <c r="A3203">
        <v>3460</v>
      </c>
      <c r="B3203" t="s">
        <v>14900</v>
      </c>
      <c r="C3203" t="s">
        <v>42</v>
      </c>
      <c r="D3203" t="s">
        <v>14901</v>
      </c>
      <c r="E3203" t="e" cm="1">
        <f t="array" ref="E3203">- SUCRALFATE</f>
        <v>#NAME?</v>
      </c>
      <c r="F3203" t="s">
        <v>14902</v>
      </c>
      <c r="G3203" t="s">
        <v>14903</v>
      </c>
      <c r="H3203" t="s">
        <v>14904</v>
      </c>
      <c r="I3203" t="s">
        <v>13917</v>
      </c>
      <c r="J3203" t="s">
        <v>2083</v>
      </c>
      <c r="K3203" t="s">
        <v>12397</v>
      </c>
      <c r="L3203" t="s">
        <v>14905</v>
      </c>
      <c r="M3203" t="s">
        <v>340</v>
      </c>
      <c r="N3203" t="s">
        <v>375</v>
      </c>
      <c r="O3203" t="s">
        <v>13919</v>
      </c>
      <c r="P3203" t="s">
        <v>14906</v>
      </c>
      <c r="Q3203" t="s">
        <v>14907</v>
      </c>
      <c r="R3203">
        <v>11</v>
      </c>
      <c r="S3203">
        <v>16</v>
      </c>
    </row>
    <row r="3204" spans="1:19" x14ac:dyDescent="0.35">
      <c r="A3204">
        <v>9912</v>
      </c>
      <c r="B3204" t="s">
        <v>14908</v>
      </c>
      <c r="C3204" t="s">
        <v>42</v>
      </c>
      <c r="D3204" t="s">
        <v>14909</v>
      </c>
      <c r="E3204" t="e" cm="1">
        <f t="array" ref="E3204">- ACETYLSALICYLIC ACID</f>
        <v>#NAME?</v>
      </c>
      <c r="F3204" t="s">
        <v>14910</v>
      </c>
      <c r="G3204" t="s">
        <v>14911</v>
      </c>
      <c r="H3204" t="s">
        <v>13149</v>
      </c>
      <c r="I3204" t="s">
        <v>13150</v>
      </c>
      <c r="J3204" t="s">
        <v>14912</v>
      </c>
      <c r="K3204" t="s">
        <v>13152</v>
      </c>
      <c r="L3204" t="s">
        <v>13153</v>
      </c>
      <c r="M3204" t="s">
        <v>46</v>
      </c>
      <c r="N3204" t="s">
        <v>2579</v>
      </c>
      <c r="O3204" t="s">
        <v>13154</v>
      </c>
      <c r="P3204" t="s">
        <v>14913</v>
      </c>
      <c r="Q3204" t="s">
        <v>14914</v>
      </c>
      <c r="R3204">
        <v>11</v>
      </c>
      <c r="S3204">
        <v>16</v>
      </c>
    </row>
    <row r="3205" spans="1:19" x14ac:dyDescent="0.35">
      <c r="A3205">
        <v>2654</v>
      </c>
      <c r="B3205" t="s">
        <v>9594</v>
      </c>
      <c r="C3205" t="s">
        <v>42</v>
      </c>
      <c r="D3205" t="s">
        <v>9595</v>
      </c>
      <c r="E3205" t="e" cm="1">
        <f t="array" ref="E3205">- METAMIZOLE SODIUM MONOHYDRATE. HYOSCINE BUTYLBROMIDE</f>
        <v>#NAME?</v>
      </c>
      <c r="F3205" t="s">
        <v>9596</v>
      </c>
      <c r="G3205" t="s">
        <v>2241</v>
      </c>
      <c r="H3205" t="s">
        <v>5193</v>
      </c>
      <c r="I3205" t="s">
        <v>9597</v>
      </c>
      <c r="J3205" t="s">
        <v>9598</v>
      </c>
      <c r="K3205" t="s">
        <v>9599</v>
      </c>
      <c r="L3205" t="s">
        <v>9600</v>
      </c>
      <c r="M3205" t="s">
        <v>46</v>
      </c>
      <c r="N3205" t="s">
        <v>14837</v>
      </c>
      <c r="O3205" t="s">
        <v>9602</v>
      </c>
      <c r="P3205" t="s">
        <v>9603</v>
      </c>
      <c r="Q3205" t="s">
        <v>14838</v>
      </c>
      <c r="R3205">
        <v>11</v>
      </c>
      <c r="S3205">
        <v>16</v>
      </c>
    </row>
    <row r="3206" spans="1:19" x14ac:dyDescent="0.35">
      <c r="A3206">
        <v>9914</v>
      </c>
      <c r="B3206" t="s">
        <v>14915</v>
      </c>
      <c r="C3206" t="s">
        <v>42</v>
      </c>
      <c r="D3206" t="s">
        <v>14916</v>
      </c>
      <c r="E3206" t="e" cm="1">
        <f t="array" ref="E3206">- TRIMETAZIDINE DIHYDROCHLORIDE</f>
        <v>#NAME?</v>
      </c>
      <c r="F3206" t="s">
        <v>14917</v>
      </c>
      <c r="G3206" t="s">
        <v>14918</v>
      </c>
      <c r="H3206" t="s">
        <v>14919</v>
      </c>
      <c r="I3206" t="s">
        <v>14920</v>
      </c>
      <c r="J3206" t="s">
        <v>45</v>
      </c>
      <c r="K3206" t="s">
        <v>14921</v>
      </c>
      <c r="L3206" t="s">
        <v>14922</v>
      </c>
      <c r="M3206" t="s">
        <v>46</v>
      </c>
      <c r="N3206" t="s">
        <v>6655</v>
      </c>
      <c r="O3206" t="s">
        <v>14923</v>
      </c>
      <c r="P3206" t="s">
        <v>14924</v>
      </c>
      <c r="Q3206" t="s">
        <v>14925</v>
      </c>
      <c r="R3206">
        <v>11</v>
      </c>
      <c r="S3206">
        <v>16</v>
      </c>
    </row>
    <row r="3207" spans="1:19" x14ac:dyDescent="0.35">
      <c r="A3207">
        <v>1711</v>
      </c>
      <c r="B3207" t="s">
        <v>13767</v>
      </c>
      <c r="C3207" t="s">
        <v>42</v>
      </c>
      <c r="D3207" t="s">
        <v>13768</v>
      </c>
      <c r="E3207" t="e" cm="1">
        <f t="array" ref="E3207">- MOMETASONE FUROATE MONOHYDRATE</f>
        <v>#NAME?</v>
      </c>
      <c r="F3207" t="s">
        <v>13769</v>
      </c>
      <c r="G3207" t="s">
        <v>13770</v>
      </c>
      <c r="H3207" t="s">
        <v>13771</v>
      </c>
      <c r="I3207" t="s">
        <v>13772</v>
      </c>
      <c r="J3207" t="s">
        <v>13773</v>
      </c>
      <c r="K3207" t="s">
        <v>2726</v>
      </c>
      <c r="L3207" t="s">
        <v>13774</v>
      </c>
      <c r="M3207" t="s">
        <v>3453</v>
      </c>
      <c r="N3207" t="s">
        <v>13775</v>
      </c>
      <c r="O3207" t="s">
        <v>13776</v>
      </c>
      <c r="P3207" t="s">
        <v>13777</v>
      </c>
      <c r="Q3207" t="s">
        <v>13778</v>
      </c>
      <c r="R3207">
        <v>11</v>
      </c>
      <c r="S3207">
        <v>16</v>
      </c>
    </row>
    <row r="3208" spans="1:19" x14ac:dyDescent="0.35">
      <c r="A3208">
        <v>556</v>
      </c>
      <c r="B3208" t="s">
        <v>14699</v>
      </c>
      <c r="C3208" t="s">
        <v>42</v>
      </c>
      <c r="D3208" t="s">
        <v>14700</v>
      </c>
      <c r="E3208" t="e" cm="1">
        <f t="array" ref="E3208">- SALBUTAMOL SULFATE</f>
        <v>#NAME?</v>
      </c>
      <c r="F3208" t="s">
        <v>14701</v>
      </c>
      <c r="G3208" t="s">
        <v>737</v>
      </c>
      <c r="H3208" t="s">
        <v>11448</v>
      </c>
      <c r="I3208" t="s">
        <v>11449</v>
      </c>
      <c r="J3208" t="s">
        <v>381</v>
      </c>
      <c r="K3208" t="s">
        <v>14702</v>
      </c>
      <c r="L3208" t="s">
        <v>11451</v>
      </c>
      <c r="M3208" t="s">
        <v>46</v>
      </c>
      <c r="N3208" t="s">
        <v>3424</v>
      </c>
      <c r="O3208" t="s">
        <v>11452</v>
      </c>
      <c r="P3208" t="s">
        <v>14703</v>
      </c>
      <c r="Q3208" t="s">
        <v>14704</v>
      </c>
      <c r="R3208">
        <v>11</v>
      </c>
      <c r="S3208">
        <v>16</v>
      </c>
    </row>
    <row r="3209" spans="1:19" x14ac:dyDescent="0.35">
      <c r="A3209">
        <v>1513</v>
      </c>
      <c r="B3209" t="s">
        <v>8501</v>
      </c>
      <c r="C3209" t="s">
        <v>42</v>
      </c>
      <c r="D3209" t="s">
        <v>8502</v>
      </c>
      <c r="E3209" t="e" cm="1">
        <f t="array" ref="E3209">- SUCCUS LIQUIRITIAE. AMMONIUM CHLORIDE</f>
        <v>#NAME?</v>
      </c>
      <c r="F3209" s="1">
        <v>7900</v>
      </c>
      <c r="G3209" t="s">
        <v>4649</v>
      </c>
      <c r="H3209" t="s">
        <v>8503</v>
      </c>
      <c r="I3209" t="s">
        <v>8504</v>
      </c>
      <c r="J3209" t="s">
        <v>374</v>
      </c>
      <c r="K3209" t="s">
        <v>8505</v>
      </c>
      <c r="L3209" t="s">
        <v>3974</v>
      </c>
      <c r="M3209" t="s">
        <v>271</v>
      </c>
      <c r="N3209" t="s">
        <v>5134</v>
      </c>
      <c r="O3209" t="s">
        <v>8506</v>
      </c>
      <c r="P3209" t="s">
        <v>8507</v>
      </c>
      <c r="Q3209" t="s">
        <v>14926</v>
      </c>
      <c r="R3209">
        <v>11</v>
      </c>
      <c r="S3209">
        <v>16</v>
      </c>
    </row>
    <row r="3210" spans="1:19" x14ac:dyDescent="0.35">
      <c r="A3210">
        <v>7963</v>
      </c>
      <c r="B3210" t="s">
        <v>14927</v>
      </c>
      <c r="C3210" t="s">
        <v>20</v>
      </c>
      <c r="D3210" t="s">
        <v>14928</v>
      </c>
      <c r="E3210" t="s">
        <v>14929</v>
      </c>
      <c r="F3210" t="s">
        <v>14930</v>
      </c>
      <c r="J3210" t="s">
        <v>5284</v>
      </c>
      <c r="M3210" t="s">
        <v>38</v>
      </c>
      <c r="N3210" t="s">
        <v>14931</v>
      </c>
      <c r="P3210" t="s">
        <v>14932</v>
      </c>
      <c r="Q3210" t="s">
        <v>14933</v>
      </c>
      <c r="R3210">
        <v>11</v>
      </c>
      <c r="S3210">
        <v>16</v>
      </c>
    </row>
    <row r="3211" spans="1:19" x14ac:dyDescent="0.35">
      <c r="A3211">
        <v>530</v>
      </c>
      <c r="B3211" t="s">
        <v>11445</v>
      </c>
      <c r="C3211" t="s">
        <v>42</v>
      </c>
      <c r="D3211" t="s">
        <v>11446</v>
      </c>
      <c r="E3211" t="e" cm="1">
        <f t="array" ref="E3211">- SALBUTAMOL SULFATE</f>
        <v>#NAME?</v>
      </c>
      <c r="F3211" t="s">
        <v>11447</v>
      </c>
      <c r="G3211" t="s">
        <v>737</v>
      </c>
      <c r="H3211" t="s">
        <v>11448</v>
      </c>
      <c r="I3211" t="s">
        <v>11449</v>
      </c>
      <c r="J3211" t="s">
        <v>381</v>
      </c>
      <c r="K3211" t="s">
        <v>11450</v>
      </c>
      <c r="L3211" t="s">
        <v>11451</v>
      </c>
      <c r="M3211" t="s">
        <v>46</v>
      </c>
      <c r="N3211" t="s">
        <v>3424</v>
      </c>
      <c r="O3211" t="s">
        <v>11452</v>
      </c>
      <c r="P3211" t="s">
        <v>11335</v>
      </c>
      <c r="Q3211" t="s">
        <v>14934</v>
      </c>
      <c r="R3211">
        <v>11</v>
      </c>
      <c r="S3211">
        <v>16</v>
      </c>
    </row>
    <row r="3212" spans="1:19" x14ac:dyDescent="0.35">
      <c r="A3212">
        <v>3454</v>
      </c>
      <c r="B3212" t="s">
        <v>14900</v>
      </c>
      <c r="C3212" t="s">
        <v>42</v>
      </c>
      <c r="D3212" t="s">
        <v>14935</v>
      </c>
      <c r="E3212" t="e" cm="1">
        <f t="array" ref="E3212">- SUCRALFATE</f>
        <v>#NAME?</v>
      </c>
      <c r="F3212" t="s">
        <v>14936</v>
      </c>
      <c r="G3212" t="s">
        <v>14903</v>
      </c>
      <c r="H3212" t="s">
        <v>14904</v>
      </c>
      <c r="I3212" t="s">
        <v>13917</v>
      </c>
      <c r="J3212" t="s">
        <v>374</v>
      </c>
      <c r="K3212" t="s">
        <v>3473</v>
      </c>
      <c r="L3212" t="s">
        <v>14905</v>
      </c>
      <c r="M3212" t="s">
        <v>340</v>
      </c>
      <c r="N3212" t="s">
        <v>375</v>
      </c>
      <c r="O3212" t="s">
        <v>13919</v>
      </c>
      <c r="P3212" t="s">
        <v>14906</v>
      </c>
      <c r="Q3212" t="s">
        <v>14907</v>
      </c>
      <c r="R3212">
        <v>11</v>
      </c>
      <c r="S3212">
        <v>16</v>
      </c>
    </row>
    <row r="3213" spans="1:19" x14ac:dyDescent="0.35">
      <c r="A3213">
        <v>3455</v>
      </c>
      <c r="B3213" t="s">
        <v>14900</v>
      </c>
      <c r="C3213" t="s">
        <v>42</v>
      </c>
      <c r="D3213" t="s">
        <v>14935</v>
      </c>
      <c r="E3213" t="e" cm="1">
        <f t="array" ref="E3213">- SUCRALFATE</f>
        <v>#NAME?</v>
      </c>
      <c r="F3213" t="s">
        <v>14936</v>
      </c>
      <c r="G3213" t="s">
        <v>14903</v>
      </c>
      <c r="H3213" t="s">
        <v>14904</v>
      </c>
      <c r="I3213" t="s">
        <v>13917</v>
      </c>
      <c r="J3213" t="s">
        <v>374</v>
      </c>
      <c r="K3213" t="s">
        <v>3473</v>
      </c>
      <c r="L3213" t="s">
        <v>14905</v>
      </c>
      <c r="M3213" t="s">
        <v>340</v>
      </c>
      <c r="N3213" t="s">
        <v>375</v>
      </c>
      <c r="O3213" t="s">
        <v>13919</v>
      </c>
      <c r="P3213" t="s">
        <v>14906</v>
      </c>
      <c r="Q3213" t="s">
        <v>14907</v>
      </c>
      <c r="R3213">
        <v>11</v>
      </c>
      <c r="S3213">
        <v>16</v>
      </c>
    </row>
    <row r="3214" spans="1:19" x14ac:dyDescent="0.35">
      <c r="A3214">
        <v>3456</v>
      </c>
      <c r="B3214" t="s">
        <v>14900</v>
      </c>
      <c r="C3214" t="s">
        <v>42</v>
      </c>
      <c r="D3214" t="s">
        <v>14935</v>
      </c>
      <c r="E3214" t="e" cm="1">
        <f t="array" ref="E3214">- SUCRALFATE</f>
        <v>#NAME?</v>
      </c>
      <c r="F3214" t="s">
        <v>14936</v>
      </c>
      <c r="G3214" t="s">
        <v>14903</v>
      </c>
      <c r="H3214" t="s">
        <v>14904</v>
      </c>
      <c r="I3214" t="s">
        <v>13917</v>
      </c>
      <c r="J3214" t="s">
        <v>374</v>
      </c>
      <c r="K3214" t="s">
        <v>3473</v>
      </c>
      <c r="L3214" t="s">
        <v>14905</v>
      </c>
      <c r="M3214" t="s">
        <v>340</v>
      </c>
      <c r="N3214" t="s">
        <v>375</v>
      </c>
      <c r="O3214" t="s">
        <v>13919</v>
      </c>
      <c r="P3214" t="s">
        <v>14906</v>
      </c>
      <c r="Q3214" t="s">
        <v>14907</v>
      </c>
      <c r="R3214">
        <v>11</v>
      </c>
      <c r="S3214">
        <v>16</v>
      </c>
    </row>
    <row r="3215" spans="1:19" x14ac:dyDescent="0.35">
      <c r="A3215">
        <v>3457</v>
      </c>
      <c r="B3215" t="s">
        <v>14900</v>
      </c>
      <c r="C3215" t="s">
        <v>42</v>
      </c>
      <c r="D3215" t="s">
        <v>14901</v>
      </c>
      <c r="E3215" t="e" cm="1">
        <f t="array" ref="E3215">- SUCRALFATE</f>
        <v>#NAME?</v>
      </c>
      <c r="F3215" t="s">
        <v>14902</v>
      </c>
      <c r="G3215" t="s">
        <v>14903</v>
      </c>
      <c r="H3215" t="s">
        <v>14904</v>
      </c>
      <c r="I3215" t="s">
        <v>13917</v>
      </c>
      <c r="J3215" t="s">
        <v>2083</v>
      </c>
      <c r="K3215" t="s">
        <v>12397</v>
      </c>
      <c r="L3215" t="s">
        <v>14905</v>
      </c>
      <c r="M3215" t="s">
        <v>340</v>
      </c>
      <c r="N3215" t="s">
        <v>375</v>
      </c>
      <c r="O3215" t="s">
        <v>13919</v>
      </c>
      <c r="P3215" t="s">
        <v>14906</v>
      </c>
      <c r="Q3215" t="s">
        <v>14907</v>
      </c>
      <c r="R3215">
        <v>11</v>
      </c>
      <c r="S3215">
        <v>16</v>
      </c>
    </row>
    <row r="3216" spans="1:19" x14ac:dyDescent="0.35">
      <c r="A3216">
        <v>3458</v>
      </c>
      <c r="B3216" t="s">
        <v>14900</v>
      </c>
      <c r="C3216" t="s">
        <v>42</v>
      </c>
      <c r="D3216" t="s">
        <v>14901</v>
      </c>
      <c r="E3216" t="e" cm="1">
        <f t="array" ref="E3216">- SUCRALFATE</f>
        <v>#NAME?</v>
      </c>
      <c r="F3216" t="s">
        <v>14902</v>
      </c>
      <c r="G3216" t="s">
        <v>14903</v>
      </c>
      <c r="H3216" t="s">
        <v>14904</v>
      </c>
      <c r="I3216" t="s">
        <v>13917</v>
      </c>
      <c r="J3216" t="s">
        <v>2083</v>
      </c>
      <c r="K3216" t="s">
        <v>12397</v>
      </c>
      <c r="L3216" t="s">
        <v>14905</v>
      </c>
      <c r="M3216" t="s">
        <v>340</v>
      </c>
      <c r="N3216" t="s">
        <v>375</v>
      </c>
      <c r="O3216" t="s">
        <v>13919</v>
      </c>
      <c r="P3216" t="s">
        <v>14906</v>
      </c>
      <c r="Q3216" t="s">
        <v>14907</v>
      </c>
      <c r="R3216">
        <v>11</v>
      </c>
      <c r="S3216">
        <v>16</v>
      </c>
    </row>
    <row r="3217" spans="1:19" x14ac:dyDescent="0.35">
      <c r="A3217">
        <v>3459</v>
      </c>
      <c r="B3217" t="s">
        <v>14900</v>
      </c>
      <c r="C3217" t="s">
        <v>42</v>
      </c>
      <c r="D3217" t="s">
        <v>14901</v>
      </c>
      <c r="E3217" t="e" cm="1">
        <f t="array" ref="E3217">- SUCRALFATE</f>
        <v>#NAME?</v>
      </c>
      <c r="F3217" t="s">
        <v>14902</v>
      </c>
      <c r="G3217" t="s">
        <v>14903</v>
      </c>
      <c r="H3217" t="s">
        <v>14904</v>
      </c>
      <c r="I3217" t="s">
        <v>13917</v>
      </c>
      <c r="J3217" t="s">
        <v>2083</v>
      </c>
      <c r="K3217" t="s">
        <v>12397</v>
      </c>
      <c r="L3217" t="s">
        <v>14905</v>
      </c>
      <c r="M3217" t="s">
        <v>340</v>
      </c>
      <c r="N3217" t="s">
        <v>375</v>
      </c>
      <c r="O3217" t="s">
        <v>13919</v>
      </c>
      <c r="P3217" t="s">
        <v>14906</v>
      </c>
      <c r="Q3217" t="s">
        <v>14907</v>
      </c>
      <c r="R3217">
        <v>11</v>
      </c>
      <c r="S3217">
        <v>16</v>
      </c>
    </row>
    <row r="3218" spans="1:19" x14ac:dyDescent="0.35">
      <c r="A3218">
        <v>3453</v>
      </c>
      <c r="B3218" t="s">
        <v>14900</v>
      </c>
      <c r="C3218" t="s">
        <v>42</v>
      </c>
      <c r="D3218" t="s">
        <v>14935</v>
      </c>
      <c r="E3218" t="e" cm="1">
        <f t="array" ref="E3218">- SUCRALFATE</f>
        <v>#NAME?</v>
      </c>
      <c r="F3218" t="s">
        <v>14936</v>
      </c>
      <c r="G3218" t="s">
        <v>14903</v>
      </c>
      <c r="H3218" t="s">
        <v>14904</v>
      </c>
      <c r="I3218" t="s">
        <v>13917</v>
      </c>
      <c r="J3218" t="s">
        <v>374</v>
      </c>
      <c r="K3218" t="s">
        <v>3473</v>
      </c>
      <c r="L3218" t="s">
        <v>14905</v>
      </c>
      <c r="M3218" t="s">
        <v>340</v>
      </c>
      <c r="N3218" t="s">
        <v>375</v>
      </c>
      <c r="O3218" t="s">
        <v>13919</v>
      </c>
      <c r="P3218" t="s">
        <v>14906</v>
      </c>
      <c r="Q3218" t="s">
        <v>14907</v>
      </c>
      <c r="R3218">
        <v>11</v>
      </c>
      <c r="S3218">
        <v>16</v>
      </c>
    </row>
    <row r="3219" spans="1:19" x14ac:dyDescent="0.35">
      <c r="A3219">
        <v>6680</v>
      </c>
      <c r="B3219" t="s">
        <v>14937</v>
      </c>
      <c r="C3219" t="s">
        <v>42</v>
      </c>
      <c r="D3219" t="s">
        <v>14938</v>
      </c>
      <c r="E3219" t="e" cm="1">
        <f t="array" ref="E3219">- PANTOPRAZOLE SODIUM SESQUIHYDRATE</f>
        <v>#NAME?</v>
      </c>
      <c r="F3219" t="s">
        <v>14939</v>
      </c>
      <c r="G3219" t="s">
        <v>1691</v>
      </c>
      <c r="H3219" t="s">
        <v>11104</v>
      </c>
      <c r="I3219" t="s">
        <v>11105</v>
      </c>
      <c r="J3219" t="s">
        <v>14940</v>
      </c>
      <c r="K3219" t="s">
        <v>11107</v>
      </c>
      <c r="L3219" t="s">
        <v>14941</v>
      </c>
      <c r="M3219" t="s">
        <v>46</v>
      </c>
      <c r="N3219" t="s">
        <v>14942</v>
      </c>
      <c r="O3219" t="s">
        <v>11109</v>
      </c>
      <c r="P3219" t="s">
        <v>322</v>
      </c>
      <c r="Q3219" t="s">
        <v>14943</v>
      </c>
      <c r="R3219">
        <v>11</v>
      </c>
      <c r="S3219">
        <v>16</v>
      </c>
    </row>
    <row r="3220" spans="1:19" x14ac:dyDescent="0.35">
      <c r="A3220">
        <v>5691</v>
      </c>
      <c r="B3220" t="s">
        <v>14944</v>
      </c>
      <c r="C3220" t="s">
        <v>42</v>
      </c>
      <c r="D3220" t="s">
        <v>14945</v>
      </c>
      <c r="E3220" t="e" cm="1">
        <f t="array" ref="E3220">- AMPICILLIN TRIHYDRATE</f>
        <v>#NAME?</v>
      </c>
      <c r="F3220" t="s">
        <v>14946</v>
      </c>
      <c r="G3220" t="s">
        <v>14947</v>
      </c>
      <c r="H3220" t="s">
        <v>14948</v>
      </c>
      <c r="I3220" t="s">
        <v>14949</v>
      </c>
      <c r="J3220" t="s">
        <v>381</v>
      </c>
      <c r="K3220" t="s">
        <v>14950</v>
      </c>
      <c r="L3220" t="s">
        <v>14951</v>
      </c>
      <c r="M3220" t="s">
        <v>291</v>
      </c>
      <c r="N3220" t="s">
        <v>1945</v>
      </c>
      <c r="O3220" t="s">
        <v>14952</v>
      </c>
      <c r="P3220" t="s">
        <v>14953</v>
      </c>
      <c r="Q3220" t="s">
        <v>14954</v>
      </c>
      <c r="R3220">
        <v>11</v>
      </c>
      <c r="S3220">
        <v>16</v>
      </c>
    </row>
    <row r="3221" spans="1:19" x14ac:dyDescent="0.35">
      <c r="A3221">
        <v>2275</v>
      </c>
      <c r="B3221" t="s">
        <v>14955</v>
      </c>
      <c r="C3221" t="s">
        <v>42</v>
      </c>
      <c r="D3221" t="s">
        <v>14956</v>
      </c>
      <c r="E3221" t="e" cm="1">
        <f t="array" ref="E3221">- PIROXICAM</f>
        <v>#NAME?</v>
      </c>
      <c r="F3221" t="s">
        <v>12306</v>
      </c>
      <c r="G3221" t="s">
        <v>539</v>
      </c>
      <c r="H3221" t="s">
        <v>14957</v>
      </c>
      <c r="I3221" t="s">
        <v>14958</v>
      </c>
      <c r="J3221" t="s">
        <v>14959</v>
      </c>
      <c r="K3221" t="s">
        <v>14960</v>
      </c>
      <c r="L3221" t="s">
        <v>14961</v>
      </c>
      <c r="M3221" t="s">
        <v>291</v>
      </c>
      <c r="N3221" t="s">
        <v>605</v>
      </c>
      <c r="O3221" t="s">
        <v>14962</v>
      </c>
      <c r="P3221" t="s">
        <v>6838</v>
      </c>
      <c r="Q3221" t="s">
        <v>14963</v>
      </c>
      <c r="R3221">
        <v>11</v>
      </c>
      <c r="S3221">
        <v>16</v>
      </c>
    </row>
    <row r="3222" spans="1:19" x14ac:dyDescent="0.35">
      <c r="A3222">
        <v>2848</v>
      </c>
      <c r="B3222" t="s">
        <v>14964</v>
      </c>
      <c r="C3222" t="s">
        <v>42</v>
      </c>
      <c r="D3222" t="s">
        <v>14965</v>
      </c>
      <c r="E3222" t="e" cm="1">
        <f t="array" ref="E3222">- ACETYLSALICYLIC ACID</f>
        <v>#NAME?</v>
      </c>
      <c r="F3222" t="s">
        <v>2288</v>
      </c>
      <c r="G3222" t="s">
        <v>14966</v>
      </c>
      <c r="H3222" t="s">
        <v>14967</v>
      </c>
      <c r="I3222" t="s">
        <v>14968</v>
      </c>
      <c r="J3222" t="s">
        <v>14969</v>
      </c>
      <c r="K3222" t="s">
        <v>14970</v>
      </c>
      <c r="L3222" t="s">
        <v>14971</v>
      </c>
      <c r="M3222" t="s">
        <v>46</v>
      </c>
      <c r="N3222" t="s">
        <v>2579</v>
      </c>
      <c r="O3222" t="s">
        <v>14972</v>
      </c>
      <c r="P3222" t="s">
        <v>14973</v>
      </c>
      <c r="Q3222" t="s">
        <v>14974</v>
      </c>
      <c r="R3222">
        <v>11</v>
      </c>
      <c r="S3222">
        <v>16</v>
      </c>
    </row>
    <row r="3223" spans="1:19" x14ac:dyDescent="0.35">
      <c r="A3223">
        <v>198</v>
      </c>
      <c r="B3223" t="s">
        <v>2902</v>
      </c>
      <c r="C3223" t="s">
        <v>42</v>
      </c>
      <c r="D3223" t="s">
        <v>14975</v>
      </c>
      <c r="E3223" t="e" cm="1">
        <f t="array" ref="E3223">- SILDENAFIL CITRATE</f>
        <v>#NAME?</v>
      </c>
      <c r="F3223" t="s">
        <v>14976</v>
      </c>
      <c r="J3223" t="s">
        <v>5354</v>
      </c>
      <c r="M3223" t="s">
        <v>46</v>
      </c>
      <c r="N3223" t="s">
        <v>2519</v>
      </c>
      <c r="P3223" t="s">
        <v>14977</v>
      </c>
      <c r="Q3223" t="s">
        <v>14978</v>
      </c>
      <c r="R3223">
        <v>11</v>
      </c>
      <c r="S3223">
        <v>16</v>
      </c>
    </row>
    <row r="3224" spans="1:19" x14ac:dyDescent="0.35">
      <c r="A3224">
        <v>8804</v>
      </c>
      <c r="B3224" t="s">
        <v>2388</v>
      </c>
      <c r="C3224" t="s">
        <v>42</v>
      </c>
      <c r="D3224" t="s">
        <v>11665</v>
      </c>
      <c r="E3224" t="e" cm="1">
        <f t="array" ref="E3224">- PIOGLITAZONE HYDROCHLORIDE</f>
        <v>#NAME?</v>
      </c>
      <c r="F3224" s="1">
        <v>42200</v>
      </c>
      <c r="I3224" t="s">
        <v>11667</v>
      </c>
      <c r="J3224" t="s">
        <v>11668</v>
      </c>
      <c r="M3224" t="s">
        <v>46</v>
      </c>
      <c r="N3224" t="s">
        <v>2389</v>
      </c>
      <c r="O3224" t="s">
        <v>11669</v>
      </c>
      <c r="P3224" t="s">
        <v>11670</v>
      </c>
      <c r="Q3224" t="s">
        <v>14979</v>
      </c>
      <c r="R3224">
        <v>11</v>
      </c>
      <c r="S3224">
        <v>16</v>
      </c>
    </row>
    <row r="3225" spans="1:19" x14ac:dyDescent="0.35">
      <c r="A3225">
        <v>7494</v>
      </c>
      <c r="B3225" t="s">
        <v>14980</v>
      </c>
      <c r="C3225" t="s">
        <v>20</v>
      </c>
      <c r="D3225" t="s">
        <v>14981</v>
      </c>
      <c r="E3225" t="s">
        <v>14982</v>
      </c>
      <c r="F3225" t="s">
        <v>14983</v>
      </c>
      <c r="G3225" t="s">
        <v>14984</v>
      </c>
      <c r="H3225" t="s">
        <v>14985</v>
      </c>
      <c r="I3225" t="s">
        <v>5700</v>
      </c>
      <c r="J3225" t="s">
        <v>70</v>
      </c>
      <c r="L3225" t="s">
        <v>14986</v>
      </c>
      <c r="M3225" t="s">
        <v>38</v>
      </c>
      <c r="N3225" t="s">
        <v>14987</v>
      </c>
      <c r="O3225" t="s">
        <v>5703</v>
      </c>
      <c r="P3225" t="s">
        <v>14988</v>
      </c>
      <c r="Q3225" t="s">
        <v>14989</v>
      </c>
      <c r="R3225">
        <v>11</v>
      </c>
      <c r="S3225">
        <v>16</v>
      </c>
    </row>
    <row r="3226" spans="1:19" x14ac:dyDescent="0.35">
      <c r="A3226">
        <v>8807</v>
      </c>
      <c r="B3226" t="s">
        <v>2388</v>
      </c>
      <c r="C3226" t="s">
        <v>42</v>
      </c>
      <c r="D3226" t="s">
        <v>14990</v>
      </c>
      <c r="E3226" t="e" cm="1">
        <f t="array" ref="E3226">- PIOGLITAZONE HYDROCHLORIDE</f>
        <v>#NAME?</v>
      </c>
      <c r="F3226" t="s">
        <v>14991</v>
      </c>
      <c r="G3226" t="s">
        <v>14992</v>
      </c>
      <c r="H3226" t="s">
        <v>14993</v>
      </c>
      <c r="I3226" t="s">
        <v>14994</v>
      </c>
      <c r="J3226" t="s">
        <v>14995</v>
      </c>
      <c r="M3226" t="s">
        <v>46</v>
      </c>
      <c r="N3226" t="s">
        <v>2389</v>
      </c>
      <c r="O3226" t="s">
        <v>14996</v>
      </c>
      <c r="P3226" t="s">
        <v>14997</v>
      </c>
      <c r="Q3226" t="s">
        <v>14998</v>
      </c>
      <c r="R3226">
        <v>11</v>
      </c>
      <c r="S3226">
        <v>16</v>
      </c>
    </row>
    <row r="3227" spans="1:19" x14ac:dyDescent="0.35">
      <c r="A3227">
        <v>9341</v>
      </c>
      <c r="B3227" t="s">
        <v>6301</v>
      </c>
      <c r="C3227" t="s">
        <v>42</v>
      </c>
      <c r="D3227" t="s">
        <v>14999</v>
      </c>
      <c r="E3227" t="s">
        <v>6303</v>
      </c>
      <c r="F3227" t="s">
        <v>15000</v>
      </c>
      <c r="G3227" t="s">
        <v>2241</v>
      </c>
      <c r="H3227" t="s">
        <v>7045</v>
      </c>
      <c r="I3227" t="s">
        <v>15001</v>
      </c>
      <c r="J3227" t="s">
        <v>15002</v>
      </c>
      <c r="K3227" t="s">
        <v>15003</v>
      </c>
      <c r="L3227" t="s">
        <v>15004</v>
      </c>
      <c r="M3227" t="s">
        <v>46</v>
      </c>
      <c r="N3227" t="s">
        <v>6304</v>
      </c>
      <c r="O3227" t="s">
        <v>6875</v>
      </c>
      <c r="P3227" t="s">
        <v>6874</v>
      </c>
      <c r="Q3227" t="s">
        <v>15005</v>
      </c>
      <c r="R3227">
        <v>11</v>
      </c>
      <c r="S3227">
        <v>16</v>
      </c>
    </row>
    <row r="3228" spans="1:19" x14ac:dyDescent="0.35">
      <c r="A3228">
        <v>9340</v>
      </c>
      <c r="B3228" t="s">
        <v>6301</v>
      </c>
      <c r="C3228" t="s">
        <v>42</v>
      </c>
      <c r="D3228" t="s">
        <v>14999</v>
      </c>
      <c r="E3228" t="s">
        <v>6303</v>
      </c>
      <c r="F3228" t="s">
        <v>15000</v>
      </c>
      <c r="G3228" t="s">
        <v>2241</v>
      </c>
      <c r="H3228" t="s">
        <v>7045</v>
      </c>
      <c r="I3228" t="s">
        <v>15001</v>
      </c>
      <c r="J3228" t="s">
        <v>15002</v>
      </c>
      <c r="K3228" t="s">
        <v>15003</v>
      </c>
      <c r="L3228" t="s">
        <v>15004</v>
      </c>
      <c r="M3228" t="s">
        <v>46</v>
      </c>
      <c r="N3228" t="s">
        <v>6304</v>
      </c>
      <c r="O3228" t="s">
        <v>6875</v>
      </c>
      <c r="P3228" t="s">
        <v>6874</v>
      </c>
      <c r="Q3228" t="s">
        <v>15005</v>
      </c>
      <c r="R3228">
        <v>11</v>
      </c>
      <c r="S3228">
        <v>16</v>
      </c>
    </row>
    <row r="3229" spans="1:19" x14ac:dyDescent="0.35">
      <c r="A3229">
        <v>2274</v>
      </c>
      <c r="B3229" t="s">
        <v>15006</v>
      </c>
      <c r="C3229" t="s">
        <v>42</v>
      </c>
      <c r="D3229" t="s">
        <v>15007</v>
      </c>
      <c r="E3229" t="e" cm="1">
        <f t="array" ref="E3229">- PARACETAMOL</f>
        <v>#NAME?</v>
      </c>
      <c r="F3229" t="s">
        <v>15008</v>
      </c>
      <c r="G3229" t="s">
        <v>2241</v>
      </c>
      <c r="H3229" t="s">
        <v>9708</v>
      </c>
      <c r="I3229" t="s">
        <v>15009</v>
      </c>
      <c r="J3229" t="s">
        <v>381</v>
      </c>
      <c r="K3229" t="s">
        <v>2726</v>
      </c>
      <c r="L3229" t="s">
        <v>15010</v>
      </c>
      <c r="M3229" t="s">
        <v>291</v>
      </c>
      <c r="N3229" t="s">
        <v>584</v>
      </c>
      <c r="O3229" t="s">
        <v>15011</v>
      </c>
      <c r="P3229" t="s">
        <v>15012</v>
      </c>
      <c r="Q3229" t="s">
        <v>15013</v>
      </c>
      <c r="R3229">
        <v>11</v>
      </c>
      <c r="S3229">
        <v>16</v>
      </c>
    </row>
    <row r="3230" spans="1:19" x14ac:dyDescent="0.35">
      <c r="A3230">
        <v>3218</v>
      </c>
      <c r="B3230" t="s">
        <v>4180</v>
      </c>
      <c r="C3230" t="s">
        <v>42</v>
      </c>
      <c r="D3230" t="s">
        <v>4181</v>
      </c>
      <c r="E3230" t="s">
        <v>15014</v>
      </c>
      <c r="F3230" t="s">
        <v>4182</v>
      </c>
      <c r="M3230" t="s">
        <v>46</v>
      </c>
      <c r="N3230" t="s">
        <v>15015</v>
      </c>
      <c r="P3230" t="s">
        <v>4183</v>
      </c>
      <c r="Q3230" t="s">
        <v>15016</v>
      </c>
      <c r="R3230">
        <v>11</v>
      </c>
      <c r="S3230">
        <v>16</v>
      </c>
    </row>
    <row r="3231" spans="1:19" x14ac:dyDescent="0.35">
      <c r="A3231">
        <v>6954</v>
      </c>
      <c r="B3231" t="s">
        <v>1803</v>
      </c>
      <c r="C3231" t="s">
        <v>42</v>
      </c>
      <c r="D3231" t="s">
        <v>15017</v>
      </c>
      <c r="E3231" t="e" cm="1">
        <f t="array" ref="E3231">- TIZANIDINE HYDROCHLORIDE</f>
        <v>#NAME?</v>
      </c>
      <c r="F3231" t="s">
        <v>15018</v>
      </c>
      <c r="G3231" t="s">
        <v>15019</v>
      </c>
      <c r="I3231" t="s">
        <v>15020</v>
      </c>
      <c r="J3231" t="s">
        <v>5362</v>
      </c>
      <c r="M3231" t="s">
        <v>46</v>
      </c>
      <c r="N3231" t="s">
        <v>1806</v>
      </c>
      <c r="O3231" t="s">
        <v>15021</v>
      </c>
      <c r="P3231" t="s">
        <v>15022</v>
      </c>
      <c r="Q3231" t="s">
        <v>15023</v>
      </c>
      <c r="R3231">
        <v>11</v>
      </c>
      <c r="S3231">
        <v>16</v>
      </c>
    </row>
    <row r="3232" spans="1:19" x14ac:dyDescent="0.35">
      <c r="A3232">
        <v>6956</v>
      </c>
      <c r="B3232" t="s">
        <v>1803</v>
      </c>
      <c r="C3232" t="s">
        <v>42</v>
      </c>
      <c r="D3232" t="s">
        <v>15024</v>
      </c>
      <c r="E3232" t="e" cm="1">
        <f t="array" ref="E3232">- TIZANIDINE HYDROCHLORIDE</f>
        <v>#NAME?</v>
      </c>
      <c r="F3232" t="s">
        <v>15025</v>
      </c>
      <c r="G3232" t="s">
        <v>15026</v>
      </c>
      <c r="H3232" t="s">
        <v>15027</v>
      </c>
      <c r="I3232" t="s">
        <v>15028</v>
      </c>
      <c r="J3232" t="s">
        <v>334</v>
      </c>
      <c r="K3232" t="s">
        <v>15029</v>
      </c>
      <c r="L3232" t="s">
        <v>15030</v>
      </c>
      <c r="M3232" t="s">
        <v>46</v>
      </c>
      <c r="N3232" t="s">
        <v>1806</v>
      </c>
      <c r="O3232" t="s">
        <v>15031</v>
      </c>
      <c r="P3232" t="s">
        <v>15032</v>
      </c>
      <c r="Q3232" t="s">
        <v>15033</v>
      </c>
      <c r="R3232">
        <v>11</v>
      </c>
      <c r="S3232">
        <v>16</v>
      </c>
    </row>
    <row r="3233" spans="1:19" x14ac:dyDescent="0.35">
      <c r="A3233">
        <v>6957</v>
      </c>
      <c r="B3233" t="s">
        <v>1803</v>
      </c>
      <c r="C3233" t="s">
        <v>42</v>
      </c>
      <c r="D3233" t="s">
        <v>15034</v>
      </c>
      <c r="E3233" t="e" cm="1">
        <f t="array" ref="E3233">- TIZANIDINE HYDROCHLORIDE</f>
        <v>#NAME?</v>
      </c>
      <c r="F3233" s="1">
        <v>25400</v>
      </c>
      <c r="G3233" t="s">
        <v>15035</v>
      </c>
      <c r="H3233" t="s">
        <v>15036</v>
      </c>
      <c r="I3233" t="s">
        <v>15037</v>
      </c>
      <c r="J3233" t="s">
        <v>15038</v>
      </c>
      <c r="M3233" t="s">
        <v>46</v>
      </c>
      <c r="N3233" t="s">
        <v>1806</v>
      </c>
      <c r="O3233" t="s">
        <v>15039</v>
      </c>
      <c r="P3233" t="s">
        <v>15040</v>
      </c>
      <c r="Q3233" t="s">
        <v>15041</v>
      </c>
      <c r="R3233">
        <v>11</v>
      </c>
      <c r="S3233">
        <v>16</v>
      </c>
    </row>
    <row r="3234" spans="1:19" x14ac:dyDescent="0.35">
      <c r="A3234">
        <v>2849</v>
      </c>
      <c r="B3234" t="s">
        <v>14964</v>
      </c>
      <c r="C3234" t="s">
        <v>42</v>
      </c>
      <c r="D3234" t="s">
        <v>14965</v>
      </c>
      <c r="E3234" t="e" cm="1">
        <f t="array" ref="E3234">- ACETYLSALICYLIC ACID</f>
        <v>#NAME?</v>
      </c>
      <c r="F3234" t="s">
        <v>2288</v>
      </c>
      <c r="G3234" t="s">
        <v>14966</v>
      </c>
      <c r="H3234" t="s">
        <v>14967</v>
      </c>
      <c r="I3234" t="s">
        <v>14968</v>
      </c>
      <c r="J3234" t="s">
        <v>14969</v>
      </c>
      <c r="K3234" t="s">
        <v>14970</v>
      </c>
      <c r="L3234" t="s">
        <v>14971</v>
      </c>
      <c r="M3234" t="s">
        <v>46</v>
      </c>
      <c r="N3234" t="s">
        <v>2579</v>
      </c>
      <c r="O3234" t="s">
        <v>14972</v>
      </c>
      <c r="P3234" t="s">
        <v>14973</v>
      </c>
      <c r="Q3234" t="s">
        <v>14974</v>
      </c>
      <c r="R3234">
        <v>11</v>
      </c>
      <c r="S3234">
        <v>16</v>
      </c>
    </row>
    <row r="3235" spans="1:19" x14ac:dyDescent="0.35">
      <c r="A3235">
        <v>1583</v>
      </c>
      <c r="B3235" t="s">
        <v>2175</v>
      </c>
      <c r="C3235" t="s">
        <v>42</v>
      </c>
      <c r="D3235" t="s">
        <v>2176</v>
      </c>
      <c r="E3235" t="e" cm="1">
        <f t="array" ref="E3235">- DIPHENHYDRAMINE HYDROCHLORIDE. AMMONIUM CHLORIDE. SULFOGAIACOL POTASSIUM. SODIUM CITRATE DIHYDRATE</f>
        <v>#NAME?</v>
      </c>
      <c r="F3235" t="s">
        <v>2177</v>
      </c>
      <c r="G3235" t="s">
        <v>2178</v>
      </c>
      <c r="H3235" t="s">
        <v>2179</v>
      </c>
      <c r="J3235" t="s">
        <v>334</v>
      </c>
      <c r="K3235" t="s">
        <v>2180</v>
      </c>
      <c r="L3235" t="s">
        <v>2181</v>
      </c>
      <c r="M3235" t="s">
        <v>271</v>
      </c>
      <c r="N3235" t="s">
        <v>15042</v>
      </c>
      <c r="P3235" t="s">
        <v>2182</v>
      </c>
      <c r="Q3235" t="s">
        <v>15043</v>
      </c>
      <c r="R3235">
        <v>11</v>
      </c>
      <c r="S3235">
        <v>16</v>
      </c>
    </row>
    <row r="3236" spans="1:19" x14ac:dyDescent="0.35">
      <c r="A3236">
        <v>8184</v>
      </c>
      <c r="B3236" t="s">
        <v>551</v>
      </c>
      <c r="C3236" t="s">
        <v>42</v>
      </c>
      <c r="D3236" t="s">
        <v>15044</v>
      </c>
      <c r="E3236" t="e" cm="1">
        <f t="array" ref="E3236">- POVIDONE-IODINE</f>
        <v>#NAME?</v>
      </c>
      <c r="F3236" t="s">
        <v>15045</v>
      </c>
      <c r="G3236" t="s">
        <v>11543</v>
      </c>
      <c r="H3236" t="s">
        <v>1322</v>
      </c>
      <c r="I3236" t="s">
        <v>11544</v>
      </c>
      <c r="J3236" t="s">
        <v>10948</v>
      </c>
      <c r="M3236" t="s">
        <v>554</v>
      </c>
      <c r="N3236" t="s">
        <v>555</v>
      </c>
      <c r="O3236" t="s">
        <v>11546</v>
      </c>
      <c r="P3236" t="s">
        <v>5794</v>
      </c>
      <c r="Q3236" t="s">
        <v>14349</v>
      </c>
      <c r="R3236">
        <v>11</v>
      </c>
      <c r="S3236">
        <v>16</v>
      </c>
    </row>
    <row r="3237" spans="1:19" x14ac:dyDescent="0.35">
      <c r="A3237">
        <v>2850</v>
      </c>
      <c r="B3237" t="s">
        <v>14964</v>
      </c>
      <c r="C3237" t="s">
        <v>42</v>
      </c>
      <c r="D3237" t="s">
        <v>14965</v>
      </c>
      <c r="E3237" t="e" cm="1">
        <f t="array" ref="E3237">- ACETYLSALICYLIC ACID</f>
        <v>#NAME?</v>
      </c>
      <c r="F3237" t="s">
        <v>2288</v>
      </c>
      <c r="G3237" t="s">
        <v>14966</v>
      </c>
      <c r="H3237" t="s">
        <v>14967</v>
      </c>
      <c r="I3237" t="s">
        <v>14968</v>
      </c>
      <c r="J3237" t="s">
        <v>14969</v>
      </c>
      <c r="K3237" t="s">
        <v>14970</v>
      </c>
      <c r="L3237" t="s">
        <v>14971</v>
      </c>
      <c r="M3237" t="s">
        <v>46</v>
      </c>
      <c r="N3237" t="s">
        <v>2579</v>
      </c>
      <c r="O3237" t="s">
        <v>14972</v>
      </c>
      <c r="P3237" t="s">
        <v>14973</v>
      </c>
      <c r="Q3237" t="s">
        <v>14974</v>
      </c>
      <c r="R3237">
        <v>11</v>
      </c>
      <c r="S3237">
        <v>16</v>
      </c>
    </row>
    <row r="3238" spans="1:19" x14ac:dyDescent="0.35">
      <c r="A3238">
        <v>456</v>
      </c>
      <c r="B3238" t="s">
        <v>15046</v>
      </c>
      <c r="C3238" t="s">
        <v>42</v>
      </c>
      <c r="D3238" t="s">
        <v>15047</v>
      </c>
      <c r="E3238" t="e" cm="1">
        <f t="array" ref="E3238">- SALBUTAMOL SULFATE</f>
        <v>#NAME?</v>
      </c>
      <c r="F3238" t="s">
        <v>14485</v>
      </c>
      <c r="G3238" t="s">
        <v>737</v>
      </c>
      <c r="H3238" t="s">
        <v>15048</v>
      </c>
      <c r="I3238" t="s">
        <v>15049</v>
      </c>
      <c r="J3238" t="s">
        <v>381</v>
      </c>
      <c r="K3238" t="s">
        <v>15050</v>
      </c>
      <c r="L3238" t="s">
        <v>15051</v>
      </c>
      <c r="M3238" t="s">
        <v>46</v>
      </c>
      <c r="N3238" t="s">
        <v>3424</v>
      </c>
      <c r="O3238" t="s">
        <v>11452</v>
      </c>
      <c r="P3238" t="s">
        <v>3463</v>
      </c>
      <c r="Q3238" t="s">
        <v>15052</v>
      </c>
      <c r="R3238">
        <v>11</v>
      </c>
      <c r="S3238">
        <v>16</v>
      </c>
    </row>
    <row r="3239" spans="1:19" x14ac:dyDescent="0.35">
      <c r="A3239">
        <v>2288</v>
      </c>
      <c r="B3239" t="s">
        <v>15053</v>
      </c>
      <c r="C3239" t="s">
        <v>42</v>
      </c>
      <c r="D3239" t="s">
        <v>15054</v>
      </c>
      <c r="E3239" t="e" cm="1">
        <f t="array" ref="E3239">- IBUPROFEN</f>
        <v>#NAME?</v>
      </c>
      <c r="F3239" t="s">
        <v>15055</v>
      </c>
      <c r="G3239" t="s">
        <v>2453</v>
      </c>
      <c r="H3239" t="s">
        <v>15056</v>
      </c>
      <c r="I3239" t="s">
        <v>15057</v>
      </c>
      <c r="J3239" t="s">
        <v>8495</v>
      </c>
      <c r="K3239" t="s">
        <v>15058</v>
      </c>
      <c r="L3239" t="s">
        <v>15059</v>
      </c>
      <c r="M3239" t="s">
        <v>46</v>
      </c>
      <c r="N3239" t="s">
        <v>383</v>
      </c>
      <c r="O3239" t="s">
        <v>15060</v>
      </c>
      <c r="P3239" t="s">
        <v>15061</v>
      </c>
      <c r="Q3239" t="s">
        <v>15062</v>
      </c>
      <c r="R3239">
        <v>11</v>
      </c>
      <c r="S3239">
        <v>16</v>
      </c>
    </row>
    <row r="3240" spans="1:19" x14ac:dyDescent="0.35">
      <c r="A3240">
        <v>2851</v>
      </c>
      <c r="B3240" t="s">
        <v>14964</v>
      </c>
      <c r="C3240" t="s">
        <v>42</v>
      </c>
      <c r="D3240" t="s">
        <v>14965</v>
      </c>
      <c r="E3240" t="e" cm="1">
        <f t="array" ref="E3240">- ACETYLSALICYLIC ACID</f>
        <v>#NAME?</v>
      </c>
      <c r="F3240" t="s">
        <v>2288</v>
      </c>
      <c r="G3240" t="s">
        <v>14966</v>
      </c>
      <c r="H3240" t="s">
        <v>14967</v>
      </c>
      <c r="I3240" t="s">
        <v>14968</v>
      </c>
      <c r="J3240" t="s">
        <v>14969</v>
      </c>
      <c r="K3240" t="s">
        <v>14970</v>
      </c>
      <c r="L3240" t="s">
        <v>14971</v>
      </c>
      <c r="M3240" t="s">
        <v>46</v>
      </c>
      <c r="N3240" t="s">
        <v>2579</v>
      </c>
      <c r="O3240" t="s">
        <v>14972</v>
      </c>
      <c r="P3240" t="s">
        <v>14973</v>
      </c>
      <c r="Q3240" t="s">
        <v>14974</v>
      </c>
      <c r="R3240">
        <v>11</v>
      </c>
      <c r="S3240">
        <v>16</v>
      </c>
    </row>
    <row r="3241" spans="1:19" x14ac:dyDescent="0.35">
      <c r="A3241">
        <v>6963</v>
      </c>
      <c r="B3241" t="s">
        <v>1803</v>
      </c>
      <c r="C3241" t="s">
        <v>42</v>
      </c>
      <c r="D3241" t="s">
        <v>15063</v>
      </c>
      <c r="E3241" t="e" cm="1">
        <f t="array" ref="E3241">- TIZANIDINE HYDROCHLORIDE</f>
        <v>#NAME?</v>
      </c>
      <c r="F3241" t="s">
        <v>15064</v>
      </c>
      <c r="J3241" t="s">
        <v>9479</v>
      </c>
      <c r="M3241" t="s">
        <v>46</v>
      </c>
      <c r="N3241" t="s">
        <v>1806</v>
      </c>
      <c r="P3241" t="s">
        <v>15065</v>
      </c>
      <c r="Q3241" t="s">
        <v>15066</v>
      </c>
      <c r="R3241">
        <v>11</v>
      </c>
      <c r="S3241">
        <v>16</v>
      </c>
    </row>
    <row r="3242" spans="1:19" x14ac:dyDescent="0.35">
      <c r="A3242">
        <v>165</v>
      </c>
      <c r="B3242" t="s">
        <v>2902</v>
      </c>
      <c r="C3242" t="s">
        <v>42</v>
      </c>
      <c r="D3242" t="s">
        <v>15067</v>
      </c>
      <c r="E3242" t="e" cm="1">
        <f t="array" ref="E3242">- SILDENAFIL CITRATE</f>
        <v>#NAME?</v>
      </c>
      <c r="F3242" t="s">
        <v>15068</v>
      </c>
      <c r="J3242" t="s">
        <v>9479</v>
      </c>
      <c r="M3242" t="s">
        <v>46</v>
      </c>
      <c r="N3242" t="s">
        <v>2519</v>
      </c>
      <c r="P3242" t="s">
        <v>15069</v>
      </c>
      <c r="Q3242" t="s">
        <v>15070</v>
      </c>
      <c r="R3242">
        <v>11</v>
      </c>
      <c r="S3242">
        <v>16</v>
      </c>
    </row>
    <row r="3243" spans="1:19" x14ac:dyDescent="0.35">
      <c r="A3243">
        <v>992</v>
      </c>
      <c r="B3243" t="s">
        <v>10047</v>
      </c>
      <c r="C3243" t="s">
        <v>42</v>
      </c>
      <c r="D3243" t="s">
        <v>10071</v>
      </c>
      <c r="E3243" t="e" cm="1">
        <f t="array" ref="E3243">- DIPHENHYDRAMINE HYDROCHLORIDE. AMMONIUM CHLORIDE</f>
        <v>#NAME?</v>
      </c>
      <c r="F3243" t="s">
        <v>10072</v>
      </c>
      <c r="G3243" t="s">
        <v>2241</v>
      </c>
      <c r="H3243" t="s">
        <v>10050</v>
      </c>
      <c r="I3243" t="s">
        <v>10073</v>
      </c>
      <c r="J3243" t="s">
        <v>1144</v>
      </c>
      <c r="K3243" t="s">
        <v>10074</v>
      </c>
      <c r="L3243" t="s">
        <v>10075</v>
      </c>
      <c r="M3243" t="s">
        <v>271</v>
      </c>
      <c r="N3243" t="s">
        <v>4607</v>
      </c>
      <c r="O3243" t="s">
        <v>10054</v>
      </c>
      <c r="P3243" t="s">
        <v>10055</v>
      </c>
      <c r="Q3243" t="s">
        <v>15071</v>
      </c>
      <c r="R3243">
        <v>11</v>
      </c>
      <c r="S3243">
        <v>16</v>
      </c>
    </row>
    <row r="3244" spans="1:19" x14ac:dyDescent="0.35">
      <c r="A3244">
        <v>4350</v>
      </c>
      <c r="B3244" t="s">
        <v>8637</v>
      </c>
      <c r="C3244" t="s">
        <v>42</v>
      </c>
      <c r="D3244" t="s">
        <v>8638</v>
      </c>
      <c r="E3244" t="e" cm="1">
        <f t="array" ref="E3244">- THYMOL. CAMPHOR. PEPPERMINT Oil</f>
        <v>#NAME?</v>
      </c>
      <c r="F3244" t="s">
        <v>8639</v>
      </c>
      <c r="G3244" t="s">
        <v>8640</v>
      </c>
      <c r="H3244" t="s">
        <v>8641</v>
      </c>
      <c r="I3244" t="s">
        <v>8642</v>
      </c>
      <c r="J3244" t="s">
        <v>8643</v>
      </c>
      <c r="K3244" t="s">
        <v>8644</v>
      </c>
      <c r="L3244" t="s">
        <v>8645</v>
      </c>
      <c r="M3244" t="s">
        <v>824</v>
      </c>
      <c r="N3244" t="s">
        <v>15072</v>
      </c>
      <c r="O3244" t="s">
        <v>8647</v>
      </c>
      <c r="P3244" t="s">
        <v>8648</v>
      </c>
      <c r="Q3244" t="s">
        <v>15073</v>
      </c>
      <c r="R3244">
        <v>11</v>
      </c>
      <c r="S3244">
        <v>16</v>
      </c>
    </row>
    <row r="3245" spans="1:19" x14ac:dyDescent="0.35">
      <c r="A3245">
        <v>3051</v>
      </c>
      <c r="B3245" t="s">
        <v>15074</v>
      </c>
      <c r="C3245" t="s">
        <v>42</v>
      </c>
      <c r="D3245" t="s">
        <v>15075</v>
      </c>
      <c r="E3245" t="s">
        <v>15076</v>
      </c>
      <c r="F3245" t="s">
        <v>11764</v>
      </c>
      <c r="G3245" t="s">
        <v>13818</v>
      </c>
      <c r="H3245" t="s">
        <v>13819</v>
      </c>
      <c r="I3245" t="s">
        <v>13820</v>
      </c>
      <c r="J3245" t="s">
        <v>885</v>
      </c>
      <c r="K3245" t="s">
        <v>15077</v>
      </c>
      <c r="L3245" t="s">
        <v>15078</v>
      </c>
      <c r="M3245" t="s">
        <v>46</v>
      </c>
      <c r="N3245" t="s">
        <v>15079</v>
      </c>
      <c r="O3245" t="s">
        <v>13823</v>
      </c>
      <c r="P3245" t="s">
        <v>15080</v>
      </c>
      <c r="Q3245" t="s">
        <v>15081</v>
      </c>
      <c r="R3245">
        <v>11</v>
      </c>
      <c r="S3245">
        <v>16</v>
      </c>
    </row>
    <row r="3246" spans="1:19" x14ac:dyDescent="0.35">
      <c r="A3246">
        <v>995</v>
      </c>
      <c r="B3246" t="s">
        <v>10047</v>
      </c>
      <c r="C3246" t="s">
        <v>42</v>
      </c>
      <c r="D3246" t="s">
        <v>10048</v>
      </c>
      <c r="E3246" t="e" cm="1">
        <f t="array" ref="E3246">- DIPHENHYDRAMINE HYDROCHLORIDE. AMMONIUM CHLORIDE</f>
        <v>#NAME?</v>
      </c>
      <c r="F3246" t="s">
        <v>10049</v>
      </c>
      <c r="G3246" t="s">
        <v>2241</v>
      </c>
      <c r="H3246" t="s">
        <v>10050</v>
      </c>
      <c r="I3246" t="s">
        <v>10051</v>
      </c>
      <c r="J3246" t="s">
        <v>334</v>
      </c>
      <c r="K3246" t="s">
        <v>10052</v>
      </c>
      <c r="L3246" t="s">
        <v>10053</v>
      </c>
      <c r="M3246" t="s">
        <v>271</v>
      </c>
      <c r="N3246" t="s">
        <v>4607</v>
      </c>
      <c r="O3246" t="s">
        <v>10054</v>
      </c>
      <c r="P3246" t="s">
        <v>10055</v>
      </c>
      <c r="Q3246" t="s">
        <v>15071</v>
      </c>
      <c r="R3246">
        <v>11</v>
      </c>
      <c r="S3246">
        <v>16</v>
      </c>
    </row>
    <row r="3247" spans="1:19" x14ac:dyDescent="0.35">
      <c r="A3247">
        <v>5194</v>
      </c>
      <c r="B3247" t="s">
        <v>15082</v>
      </c>
      <c r="C3247" t="s">
        <v>42</v>
      </c>
      <c r="D3247" t="s">
        <v>15083</v>
      </c>
      <c r="E3247" t="e" cm="1">
        <f t="array" ref="E3247">- BETAMETHASONE VALERATE</f>
        <v>#NAME?</v>
      </c>
      <c r="F3247" t="s">
        <v>15084</v>
      </c>
      <c r="G3247" t="s">
        <v>15085</v>
      </c>
      <c r="H3247" t="s">
        <v>15086</v>
      </c>
      <c r="I3247" t="s">
        <v>15087</v>
      </c>
      <c r="J3247" t="s">
        <v>2040</v>
      </c>
      <c r="K3247" t="s">
        <v>15088</v>
      </c>
      <c r="L3247" t="s">
        <v>15089</v>
      </c>
      <c r="M3247" t="s">
        <v>1289</v>
      </c>
      <c r="N3247" t="s">
        <v>2059</v>
      </c>
      <c r="O3247" t="s">
        <v>15090</v>
      </c>
      <c r="P3247" t="s">
        <v>15091</v>
      </c>
      <c r="Q3247" t="s">
        <v>15092</v>
      </c>
      <c r="R3247">
        <v>11</v>
      </c>
      <c r="S3247">
        <v>16</v>
      </c>
    </row>
    <row r="3248" spans="1:19" x14ac:dyDescent="0.35">
      <c r="A3248">
        <v>996</v>
      </c>
      <c r="B3248" t="s">
        <v>10047</v>
      </c>
      <c r="C3248" t="s">
        <v>42</v>
      </c>
      <c r="D3248" t="s">
        <v>10048</v>
      </c>
      <c r="E3248" t="e" cm="1">
        <f t="array" ref="E3248">- DIPHENHYDRAMINE HYDROCHLORIDE. AMMONIUM CHLORIDE</f>
        <v>#NAME?</v>
      </c>
      <c r="F3248" t="s">
        <v>10049</v>
      </c>
      <c r="G3248" t="s">
        <v>2241</v>
      </c>
      <c r="H3248" t="s">
        <v>10050</v>
      </c>
      <c r="I3248" t="s">
        <v>10051</v>
      </c>
      <c r="J3248" t="s">
        <v>334</v>
      </c>
      <c r="K3248" t="s">
        <v>10052</v>
      </c>
      <c r="L3248" t="s">
        <v>10053</v>
      </c>
      <c r="M3248" t="s">
        <v>271</v>
      </c>
      <c r="N3248" t="s">
        <v>4607</v>
      </c>
      <c r="O3248" t="s">
        <v>10054</v>
      </c>
      <c r="P3248" t="s">
        <v>10055</v>
      </c>
      <c r="Q3248" t="s">
        <v>15071</v>
      </c>
      <c r="R3248">
        <v>11</v>
      </c>
      <c r="S3248">
        <v>16</v>
      </c>
    </row>
    <row r="3249" spans="1:19" x14ac:dyDescent="0.35">
      <c r="A3249">
        <v>6974</v>
      </c>
      <c r="B3249" t="s">
        <v>1803</v>
      </c>
      <c r="C3249" t="s">
        <v>42</v>
      </c>
      <c r="D3249" t="s">
        <v>15093</v>
      </c>
      <c r="E3249" t="e" cm="1">
        <f t="array" ref="E3249">- TIZANIDINE HYDROCHLORIDE</f>
        <v>#NAME?</v>
      </c>
      <c r="F3249" t="s">
        <v>15094</v>
      </c>
      <c r="J3249" t="s">
        <v>15095</v>
      </c>
      <c r="M3249" t="s">
        <v>46</v>
      </c>
      <c r="N3249" t="s">
        <v>1806</v>
      </c>
      <c r="P3249" t="s">
        <v>15096</v>
      </c>
      <c r="Q3249" t="s">
        <v>15097</v>
      </c>
      <c r="R3249">
        <v>11</v>
      </c>
      <c r="S3249">
        <v>16</v>
      </c>
    </row>
    <row r="3250" spans="1:19" x14ac:dyDescent="0.35">
      <c r="A3250">
        <v>9200</v>
      </c>
      <c r="B3250" t="s">
        <v>15098</v>
      </c>
      <c r="C3250" t="s">
        <v>42</v>
      </c>
      <c r="D3250" t="s">
        <v>15099</v>
      </c>
      <c r="E3250" t="e" cm="1">
        <f t="array" ref="E3250">- LISINOPRIL</f>
        <v>#NAME?</v>
      </c>
      <c r="F3250" t="s">
        <v>15100</v>
      </c>
      <c r="G3250" t="s">
        <v>2241</v>
      </c>
      <c r="H3250" t="s">
        <v>15101</v>
      </c>
    </row>
    <row r="3251" spans="1:19" x14ac:dyDescent="0.35">
      <c r="A3251">
        <v>8853</v>
      </c>
      <c r="B3251" t="s">
        <v>15102</v>
      </c>
      <c r="C3251" t="s">
        <v>20</v>
      </c>
      <c r="D3251" t="s">
        <v>15103</v>
      </c>
      <c r="E3251" t="s">
        <v>15104</v>
      </c>
      <c r="F3251" t="s">
        <v>15105</v>
      </c>
      <c r="G3251" t="s">
        <v>15106</v>
      </c>
      <c r="H3251" t="s">
        <v>15107</v>
      </c>
      <c r="I3251" t="s">
        <v>15108</v>
      </c>
      <c r="J3251" t="s">
        <v>15109</v>
      </c>
      <c r="L3251" t="s">
        <v>15110</v>
      </c>
      <c r="M3251" t="s">
        <v>38</v>
      </c>
      <c r="N3251" t="s">
        <v>15111</v>
      </c>
      <c r="O3251" t="s">
        <v>15112</v>
      </c>
      <c r="P3251" t="s">
        <v>15111</v>
      </c>
      <c r="Q3251" t="s">
        <v>15113</v>
      </c>
      <c r="R3251">
        <v>11</v>
      </c>
      <c r="S3251">
        <v>16</v>
      </c>
    </row>
    <row r="3252" spans="1:19" x14ac:dyDescent="0.35">
      <c r="A3252">
        <v>8163</v>
      </c>
      <c r="B3252" t="s">
        <v>551</v>
      </c>
      <c r="C3252" t="s">
        <v>42</v>
      </c>
      <c r="D3252" t="s">
        <v>15114</v>
      </c>
      <c r="E3252" t="e" cm="1">
        <f t="array" ref="E3252">- POVIDONE-IODINE</f>
        <v>#NAME?</v>
      </c>
      <c r="F3252" t="s">
        <v>15115</v>
      </c>
      <c r="G3252" t="s">
        <v>15116</v>
      </c>
      <c r="I3252" t="s">
        <v>15117</v>
      </c>
      <c r="J3252" t="s">
        <v>15118</v>
      </c>
      <c r="M3252" t="s">
        <v>554</v>
      </c>
      <c r="N3252" t="s">
        <v>555</v>
      </c>
      <c r="O3252" t="s">
        <v>15119</v>
      </c>
      <c r="P3252" t="s">
        <v>15120</v>
      </c>
      <c r="Q3252" t="s">
        <v>15121</v>
      </c>
      <c r="R3252">
        <v>11</v>
      </c>
      <c r="S3252">
        <v>16</v>
      </c>
    </row>
    <row r="3253" spans="1:19" x14ac:dyDescent="0.35">
      <c r="A3253">
        <v>462</v>
      </c>
      <c r="B3253" t="s">
        <v>15122</v>
      </c>
      <c r="C3253" t="s">
        <v>42</v>
      </c>
      <c r="D3253" t="s">
        <v>15123</v>
      </c>
      <c r="E3253" t="e" cm="1">
        <f t="array" ref="E3253">- SALBUTAMOL SULFATE</f>
        <v>#NAME?</v>
      </c>
      <c r="F3253" t="s">
        <v>15124</v>
      </c>
      <c r="G3253" t="s">
        <v>737</v>
      </c>
      <c r="H3253" t="s">
        <v>11448</v>
      </c>
      <c r="I3253" t="s">
        <v>11449</v>
      </c>
      <c r="J3253" t="s">
        <v>810</v>
      </c>
      <c r="K3253" t="s">
        <v>13852</v>
      </c>
      <c r="L3253" t="s">
        <v>11700</v>
      </c>
      <c r="M3253" t="s">
        <v>38</v>
      </c>
      <c r="N3253" t="s">
        <v>3424</v>
      </c>
      <c r="O3253" t="s">
        <v>11452</v>
      </c>
      <c r="P3253" t="s">
        <v>13853</v>
      </c>
      <c r="Q3253" t="s">
        <v>13854</v>
      </c>
      <c r="R3253">
        <v>11</v>
      </c>
      <c r="S3253">
        <v>16</v>
      </c>
    </row>
    <row r="3254" spans="1:19" x14ac:dyDescent="0.35">
      <c r="A3254">
        <v>2847</v>
      </c>
      <c r="B3254" t="s">
        <v>14964</v>
      </c>
      <c r="C3254" t="s">
        <v>42</v>
      </c>
      <c r="D3254" t="s">
        <v>14965</v>
      </c>
      <c r="E3254" t="e" cm="1">
        <f t="array" ref="E3254">- ACETYLSALICYLIC ACID</f>
        <v>#NAME?</v>
      </c>
      <c r="F3254" t="s">
        <v>2288</v>
      </c>
      <c r="G3254" t="s">
        <v>14966</v>
      </c>
      <c r="H3254" t="s">
        <v>14967</v>
      </c>
      <c r="I3254" t="s">
        <v>14968</v>
      </c>
      <c r="J3254" t="s">
        <v>14969</v>
      </c>
      <c r="K3254" t="s">
        <v>14970</v>
      </c>
      <c r="L3254" t="s">
        <v>14971</v>
      </c>
      <c r="M3254" t="s">
        <v>46</v>
      </c>
      <c r="N3254" t="s">
        <v>2579</v>
      </c>
      <c r="O3254" t="s">
        <v>14972</v>
      </c>
      <c r="P3254" t="s">
        <v>14973</v>
      </c>
      <c r="Q3254" t="s">
        <v>14974</v>
      </c>
      <c r="R3254">
        <v>11</v>
      </c>
      <c r="S3254">
        <v>16</v>
      </c>
    </row>
    <row r="3255" spans="1:19" x14ac:dyDescent="0.35">
      <c r="A3255">
        <v>6940</v>
      </c>
      <c r="B3255" t="s">
        <v>1803</v>
      </c>
      <c r="C3255" t="s">
        <v>42</v>
      </c>
      <c r="D3255" t="s">
        <v>15017</v>
      </c>
      <c r="E3255" t="e" cm="1">
        <f t="array" ref="E3255">- TIZANIDINE HYDROCHLORIDE</f>
        <v>#NAME?</v>
      </c>
      <c r="F3255" t="s">
        <v>15018</v>
      </c>
      <c r="G3255" t="s">
        <v>15019</v>
      </c>
      <c r="I3255" t="s">
        <v>15020</v>
      </c>
      <c r="J3255" t="s">
        <v>5362</v>
      </c>
      <c r="M3255" t="s">
        <v>46</v>
      </c>
      <c r="N3255" t="s">
        <v>1806</v>
      </c>
      <c r="O3255" t="s">
        <v>15021</v>
      </c>
      <c r="P3255" t="s">
        <v>15022</v>
      </c>
      <c r="Q3255" t="s">
        <v>15023</v>
      </c>
      <c r="R3255">
        <v>11</v>
      </c>
      <c r="S3255">
        <v>16</v>
      </c>
    </row>
    <row r="3256" spans="1:19" x14ac:dyDescent="0.35">
      <c r="A3256">
        <v>8775</v>
      </c>
      <c r="B3256" t="s">
        <v>2388</v>
      </c>
      <c r="C3256" t="s">
        <v>42</v>
      </c>
      <c r="D3256" t="s">
        <v>15125</v>
      </c>
      <c r="E3256" t="e" cm="1">
        <f t="array" ref="E3256">- PIOGLITAZONE HYDROCHLORIDE</f>
        <v>#NAME?</v>
      </c>
      <c r="F3256" t="s">
        <v>15126</v>
      </c>
      <c r="G3256" t="s">
        <v>11833</v>
      </c>
      <c r="H3256" t="s">
        <v>1322</v>
      </c>
      <c r="I3256" t="s">
        <v>11834</v>
      </c>
      <c r="J3256" t="s">
        <v>15127</v>
      </c>
      <c r="M3256" t="s">
        <v>46</v>
      </c>
      <c r="N3256" t="s">
        <v>2389</v>
      </c>
      <c r="O3256" t="s">
        <v>11836</v>
      </c>
      <c r="P3256" t="s">
        <v>15128</v>
      </c>
      <c r="Q3256" t="s">
        <v>15129</v>
      </c>
      <c r="R3256">
        <v>11</v>
      </c>
      <c r="S3256">
        <v>16</v>
      </c>
    </row>
    <row r="3257" spans="1:19" x14ac:dyDescent="0.35">
      <c r="A3257">
        <v>2449</v>
      </c>
      <c r="B3257" t="s">
        <v>15130</v>
      </c>
      <c r="C3257" t="s">
        <v>42</v>
      </c>
      <c r="D3257" t="s">
        <v>15131</v>
      </c>
      <c r="E3257" t="e" cm="1">
        <f t="array" ref="E3257">- KETOROLAC TROMETAMOL</f>
        <v>#NAME?</v>
      </c>
      <c r="F3257" t="s">
        <v>864</v>
      </c>
      <c r="G3257" t="s">
        <v>9017</v>
      </c>
      <c r="H3257" t="s">
        <v>9018</v>
      </c>
      <c r="I3257" t="s">
        <v>9019</v>
      </c>
      <c r="J3257" t="s">
        <v>13361</v>
      </c>
      <c r="K3257" t="s">
        <v>9021</v>
      </c>
      <c r="M3257" t="s">
        <v>46</v>
      </c>
      <c r="N3257" t="s">
        <v>2501</v>
      </c>
      <c r="O3257" t="s">
        <v>9024</v>
      </c>
      <c r="P3257" t="s">
        <v>15132</v>
      </c>
      <c r="Q3257" t="s">
        <v>15133</v>
      </c>
      <c r="R3257">
        <v>11</v>
      </c>
      <c r="S3257">
        <v>16</v>
      </c>
    </row>
    <row r="3258" spans="1:19" x14ac:dyDescent="0.35">
      <c r="A3258">
        <v>2836</v>
      </c>
      <c r="B3258" t="s">
        <v>15134</v>
      </c>
      <c r="C3258" t="s">
        <v>42</v>
      </c>
      <c r="D3258" t="s">
        <v>15135</v>
      </c>
      <c r="E3258" t="e" cm="1">
        <f t="array" ref="E3258">- PARACETAMOL</f>
        <v>#NAME?</v>
      </c>
      <c r="F3258" t="s">
        <v>15136</v>
      </c>
      <c r="G3258" t="s">
        <v>7219</v>
      </c>
      <c r="H3258" t="s">
        <v>15137</v>
      </c>
      <c r="I3258" t="s">
        <v>15138</v>
      </c>
      <c r="J3258" t="s">
        <v>630</v>
      </c>
      <c r="K3258" t="s">
        <v>15139</v>
      </c>
      <c r="L3258" t="s">
        <v>15140</v>
      </c>
      <c r="M3258" t="s">
        <v>340</v>
      </c>
      <c r="N3258" t="s">
        <v>584</v>
      </c>
      <c r="O3258" t="s">
        <v>15141</v>
      </c>
      <c r="P3258" t="s">
        <v>15142</v>
      </c>
      <c r="Q3258" t="s">
        <v>15143</v>
      </c>
      <c r="R3258">
        <v>11</v>
      </c>
      <c r="S3258">
        <v>16</v>
      </c>
    </row>
    <row r="3259" spans="1:19" x14ac:dyDescent="0.35">
      <c r="A3259">
        <v>460</v>
      </c>
      <c r="B3259" t="s">
        <v>15144</v>
      </c>
      <c r="C3259" t="s">
        <v>42</v>
      </c>
      <c r="D3259" t="s">
        <v>15145</v>
      </c>
      <c r="E3259" t="e" cm="1">
        <f t="array" ref="E3259">- SALBUTAMOL SULFATE</f>
        <v>#NAME?</v>
      </c>
      <c r="F3259" t="s">
        <v>15146</v>
      </c>
      <c r="G3259" t="s">
        <v>2241</v>
      </c>
      <c r="H3259" t="s">
        <v>15147</v>
      </c>
      <c r="I3259" t="s">
        <v>15148</v>
      </c>
      <c r="J3259" t="s">
        <v>381</v>
      </c>
      <c r="K3259" t="s">
        <v>15149</v>
      </c>
      <c r="L3259" t="s">
        <v>15150</v>
      </c>
      <c r="M3259" t="s">
        <v>46</v>
      </c>
      <c r="N3259" t="s">
        <v>3424</v>
      </c>
      <c r="O3259" t="s">
        <v>15151</v>
      </c>
      <c r="P3259" t="s">
        <v>15152</v>
      </c>
      <c r="Q3259" t="s">
        <v>15153</v>
      </c>
      <c r="R3259">
        <v>11</v>
      </c>
      <c r="S3259">
        <v>16</v>
      </c>
    </row>
    <row r="3260" spans="1:19" x14ac:dyDescent="0.35">
      <c r="A3260">
        <v>2837</v>
      </c>
      <c r="B3260" t="s">
        <v>15134</v>
      </c>
      <c r="C3260" t="s">
        <v>42</v>
      </c>
      <c r="D3260" t="s">
        <v>15135</v>
      </c>
      <c r="E3260" t="e" cm="1">
        <f t="array" ref="E3260">- PARACETAMOL</f>
        <v>#NAME?</v>
      </c>
      <c r="F3260" t="s">
        <v>15136</v>
      </c>
      <c r="G3260" t="s">
        <v>7219</v>
      </c>
      <c r="H3260" t="s">
        <v>15137</v>
      </c>
      <c r="I3260" t="s">
        <v>15138</v>
      </c>
      <c r="J3260" t="s">
        <v>630</v>
      </c>
      <c r="K3260" t="s">
        <v>15139</v>
      </c>
      <c r="L3260" t="s">
        <v>15140</v>
      </c>
      <c r="M3260" t="s">
        <v>340</v>
      </c>
      <c r="N3260" t="s">
        <v>584</v>
      </c>
      <c r="O3260" t="s">
        <v>15141</v>
      </c>
      <c r="P3260" t="s">
        <v>15142</v>
      </c>
      <c r="Q3260" t="s">
        <v>15143</v>
      </c>
      <c r="R3260">
        <v>11</v>
      </c>
      <c r="S3260">
        <v>16</v>
      </c>
    </row>
    <row r="3261" spans="1:19" x14ac:dyDescent="0.35">
      <c r="A3261">
        <v>991</v>
      </c>
      <c r="B3261" t="s">
        <v>10047</v>
      </c>
      <c r="C3261" t="s">
        <v>42</v>
      </c>
      <c r="D3261" t="s">
        <v>10071</v>
      </c>
      <c r="E3261" t="e" cm="1">
        <f t="array" ref="E3261">- DIPHENHYDRAMINE HYDROCHLORIDE. AMMONIUM CHLORIDE</f>
        <v>#NAME?</v>
      </c>
      <c r="F3261" t="s">
        <v>10072</v>
      </c>
      <c r="G3261" t="s">
        <v>2241</v>
      </c>
      <c r="H3261" t="s">
        <v>10050</v>
      </c>
      <c r="I3261" t="s">
        <v>10073</v>
      </c>
      <c r="J3261" t="s">
        <v>1144</v>
      </c>
      <c r="K3261" t="s">
        <v>10074</v>
      </c>
      <c r="L3261" t="s">
        <v>10075</v>
      </c>
      <c r="M3261" t="s">
        <v>271</v>
      </c>
      <c r="N3261" t="s">
        <v>4607</v>
      </c>
      <c r="O3261" t="s">
        <v>10054</v>
      </c>
      <c r="P3261" t="s">
        <v>10055</v>
      </c>
      <c r="Q3261" t="s">
        <v>15071</v>
      </c>
      <c r="R3261">
        <v>11</v>
      </c>
      <c r="S3261">
        <v>16</v>
      </c>
    </row>
    <row r="3262" spans="1:19" x14ac:dyDescent="0.35">
      <c r="A3262">
        <v>8185</v>
      </c>
      <c r="B3262" t="s">
        <v>551</v>
      </c>
      <c r="C3262" t="s">
        <v>42</v>
      </c>
      <c r="D3262" t="s">
        <v>15044</v>
      </c>
      <c r="E3262" t="e" cm="1">
        <f t="array" ref="E3262">- POVIDONE-IODINE</f>
        <v>#NAME?</v>
      </c>
      <c r="F3262" t="s">
        <v>15045</v>
      </c>
      <c r="G3262" t="s">
        <v>11543</v>
      </c>
      <c r="H3262" t="s">
        <v>1322</v>
      </c>
      <c r="I3262" t="s">
        <v>11544</v>
      </c>
      <c r="J3262" t="s">
        <v>10948</v>
      </c>
      <c r="M3262" t="s">
        <v>554</v>
      </c>
      <c r="N3262" t="s">
        <v>555</v>
      </c>
      <c r="O3262" t="s">
        <v>11546</v>
      </c>
      <c r="P3262" t="s">
        <v>5794</v>
      </c>
      <c r="Q3262" t="s">
        <v>14349</v>
      </c>
      <c r="R3262">
        <v>11</v>
      </c>
      <c r="S3262">
        <v>16</v>
      </c>
    </row>
    <row r="3263" spans="1:19" x14ac:dyDescent="0.35">
      <c r="A3263">
        <v>459</v>
      </c>
      <c r="B3263" t="s">
        <v>15154</v>
      </c>
      <c r="C3263" t="s">
        <v>42</v>
      </c>
      <c r="D3263" t="s">
        <v>15155</v>
      </c>
      <c r="E3263" t="e" cm="1">
        <f t="array" ref="E3263">- SALBUTAMOL SULFATE</f>
        <v>#NAME?</v>
      </c>
      <c r="F3263" t="s">
        <v>15156</v>
      </c>
      <c r="G3263" t="s">
        <v>737</v>
      </c>
      <c r="H3263" t="s">
        <v>15048</v>
      </c>
      <c r="I3263" t="s">
        <v>15049</v>
      </c>
      <c r="J3263" t="s">
        <v>381</v>
      </c>
      <c r="K3263" t="s">
        <v>15050</v>
      </c>
      <c r="L3263" t="s">
        <v>15051</v>
      </c>
      <c r="M3263" t="s">
        <v>46</v>
      </c>
      <c r="N3263" t="s">
        <v>3424</v>
      </c>
      <c r="O3263" t="s">
        <v>11452</v>
      </c>
      <c r="P3263" t="s">
        <v>3463</v>
      </c>
      <c r="Q3263" t="s">
        <v>15052</v>
      </c>
      <c r="R3263">
        <v>11</v>
      </c>
      <c r="S3263">
        <v>16</v>
      </c>
    </row>
    <row r="3264" spans="1:19" x14ac:dyDescent="0.35">
      <c r="A3264">
        <v>4062</v>
      </c>
      <c r="B3264" t="s">
        <v>9134</v>
      </c>
      <c r="C3264" t="s">
        <v>42</v>
      </c>
      <c r="D3264" t="s">
        <v>9135</v>
      </c>
      <c r="E3264" t="e" cm="1">
        <f t="array" ref="E3264">- DEXCHLORPHENIRAMINE MALEATE. BETAMETHASONE</f>
        <v>#NAME?</v>
      </c>
      <c r="F3264" t="s">
        <v>9136</v>
      </c>
      <c r="G3264" t="s">
        <v>5610</v>
      </c>
      <c r="H3264" t="s">
        <v>9137</v>
      </c>
      <c r="I3264" t="s">
        <v>9138</v>
      </c>
      <c r="J3264" t="s">
        <v>381</v>
      </c>
      <c r="K3264" t="s">
        <v>9139</v>
      </c>
      <c r="L3264" t="s">
        <v>9140</v>
      </c>
      <c r="M3264" t="s">
        <v>46</v>
      </c>
      <c r="N3264" t="s">
        <v>11196</v>
      </c>
      <c r="O3264" t="s">
        <v>9141</v>
      </c>
      <c r="P3264" t="s">
        <v>9142</v>
      </c>
      <c r="Q3264" t="s">
        <v>15157</v>
      </c>
      <c r="R3264">
        <v>11</v>
      </c>
      <c r="S3264">
        <v>16</v>
      </c>
    </row>
    <row r="3265" spans="1:19" x14ac:dyDescent="0.35">
      <c r="A3265">
        <v>2234</v>
      </c>
      <c r="B3265" t="s">
        <v>15158</v>
      </c>
      <c r="C3265" t="s">
        <v>42</v>
      </c>
      <c r="D3265" t="s">
        <v>15159</v>
      </c>
      <c r="E3265" t="e" cm="1">
        <f t="array" ref="E3265">- METAMIZOLE SODIUM</f>
        <v>#NAME?</v>
      </c>
      <c r="F3265" t="s">
        <v>15160</v>
      </c>
      <c r="G3265" t="s">
        <v>2241</v>
      </c>
      <c r="H3265" t="s">
        <v>15161</v>
      </c>
      <c r="I3265" t="s">
        <v>15162</v>
      </c>
      <c r="J3265" t="s">
        <v>15163</v>
      </c>
      <c r="L3265" t="s">
        <v>1875</v>
      </c>
      <c r="M3265" t="s">
        <v>46</v>
      </c>
      <c r="N3265" t="s">
        <v>2294</v>
      </c>
      <c r="O3265" t="s">
        <v>15164</v>
      </c>
      <c r="P3265" t="s">
        <v>15165</v>
      </c>
      <c r="Q3265" t="s">
        <v>15166</v>
      </c>
      <c r="R3265">
        <v>11</v>
      </c>
      <c r="S3265">
        <v>16</v>
      </c>
    </row>
    <row r="3266" spans="1:19" x14ac:dyDescent="0.35">
      <c r="A3266">
        <v>2538</v>
      </c>
      <c r="B3266" t="s">
        <v>15167</v>
      </c>
      <c r="C3266" t="s">
        <v>42</v>
      </c>
      <c r="D3266" t="s">
        <v>15168</v>
      </c>
      <c r="E3266" t="e" cm="1">
        <f t="array" ref="E3266">- METAMIZOLE SODIUM</f>
        <v>#NAME?</v>
      </c>
      <c r="F3266" t="s">
        <v>15169</v>
      </c>
      <c r="G3266" t="s">
        <v>11706</v>
      </c>
      <c r="H3266" t="s">
        <v>15170</v>
      </c>
      <c r="I3266" t="s">
        <v>15171</v>
      </c>
      <c r="J3266" t="s">
        <v>8208</v>
      </c>
      <c r="K3266" t="s">
        <v>15172</v>
      </c>
      <c r="L3266" t="s">
        <v>15173</v>
      </c>
      <c r="M3266" t="s">
        <v>291</v>
      </c>
      <c r="N3266" t="s">
        <v>2294</v>
      </c>
      <c r="O3266" t="s">
        <v>15174</v>
      </c>
      <c r="P3266" t="s">
        <v>15175</v>
      </c>
      <c r="Q3266" t="s">
        <v>15176</v>
      </c>
      <c r="R3266">
        <v>11</v>
      </c>
      <c r="S3266">
        <v>16</v>
      </c>
    </row>
    <row r="3267" spans="1:19" x14ac:dyDescent="0.35">
      <c r="A3267">
        <v>2840</v>
      </c>
      <c r="B3267" t="s">
        <v>15177</v>
      </c>
      <c r="C3267" t="s">
        <v>42</v>
      </c>
      <c r="D3267" t="s">
        <v>15178</v>
      </c>
      <c r="E3267" t="e" cm="1">
        <f t="array" ref="E3267">- PARACETAMOL</f>
        <v>#NAME?</v>
      </c>
      <c r="F3267" t="s">
        <v>14826</v>
      </c>
      <c r="G3267" t="s">
        <v>12603</v>
      </c>
      <c r="H3267" t="s">
        <v>15179</v>
      </c>
      <c r="I3267" t="s">
        <v>15180</v>
      </c>
      <c r="J3267" t="s">
        <v>743</v>
      </c>
      <c r="K3267" t="s">
        <v>15181</v>
      </c>
      <c r="L3267" t="s">
        <v>15182</v>
      </c>
      <c r="M3267" t="s">
        <v>824</v>
      </c>
      <c r="N3267" t="s">
        <v>584</v>
      </c>
      <c r="O3267" t="s">
        <v>15183</v>
      </c>
      <c r="P3267" t="s">
        <v>15184</v>
      </c>
      <c r="Q3267" t="s">
        <v>15185</v>
      </c>
      <c r="R3267">
        <v>11</v>
      </c>
      <c r="S3267">
        <v>16</v>
      </c>
    </row>
    <row r="3268" spans="1:19" x14ac:dyDescent="0.35">
      <c r="A3268">
        <v>2841</v>
      </c>
      <c r="B3268" t="s">
        <v>15186</v>
      </c>
      <c r="C3268" t="s">
        <v>42</v>
      </c>
      <c r="D3268" t="s">
        <v>15187</v>
      </c>
      <c r="E3268" t="e" cm="1">
        <f t="array" ref="E3268">- PARACETAMOL</f>
        <v>#NAME?</v>
      </c>
      <c r="F3268" t="s">
        <v>15188</v>
      </c>
      <c r="G3268" t="s">
        <v>4469</v>
      </c>
      <c r="H3268" t="s">
        <v>15189</v>
      </c>
      <c r="I3268" t="s">
        <v>15190</v>
      </c>
      <c r="J3268" t="s">
        <v>743</v>
      </c>
      <c r="K3268" t="s">
        <v>15191</v>
      </c>
      <c r="L3268" t="s">
        <v>15192</v>
      </c>
      <c r="M3268" t="s">
        <v>824</v>
      </c>
      <c r="N3268" t="s">
        <v>584</v>
      </c>
      <c r="O3268" t="s">
        <v>15193</v>
      </c>
      <c r="P3268" t="s">
        <v>15142</v>
      </c>
      <c r="Q3268" t="s">
        <v>15194</v>
      </c>
      <c r="R3268">
        <v>11</v>
      </c>
      <c r="S3268">
        <v>16</v>
      </c>
    </row>
    <row r="3269" spans="1:19" x14ac:dyDescent="0.35">
      <c r="A3269">
        <v>6922</v>
      </c>
      <c r="B3269" t="s">
        <v>1803</v>
      </c>
      <c r="C3269" t="s">
        <v>42</v>
      </c>
      <c r="D3269" t="s">
        <v>14422</v>
      </c>
      <c r="E3269" t="e" cm="1">
        <f t="array" ref="E3269">- TIZANIDINE HYDROCHLORIDE</f>
        <v>#NAME?</v>
      </c>
      <c r="F3269" t="s">
        <v>14423</v>
      </c>
      <c r="G3269" t="s">
        <v>8185</v>
      </c>
      <c r="H3269" t="s">
        <v>3854</v>
      </c>
      <c r="I3269" t="s">
        <v>8186</v>
      </c>
      <c r="J3269" t="s">
        <v>9621</v>
      </c>
      <c r="L3269" t="s">
        <v>8188</v>
      </c>
      <c r="M3269" t="s">
        <v>46</v>
      </c>
      <c r="N3269" t="s">
        <v>1806</v>
      </c>
      <c r="O3269" t="s">
        <v>8189</v>
      </c>
      <c r="P3269" t="s">
        <v>14424</v>
      </c>
      <c r="Q3269" t="s">
        <v>15195</v>
      </c>
      <c r="R3269">
        <v>11</v>
      </c>
      <c r="S3269">
        <v>16</v>
      </c>
    </row>
    <row r="3270" spans="1:19" x14ac:dyDescent="0.35">
      <c r="A3270">
        <v>2846</v>
      </c>
      <c r="B3270" t="s">
        <v>14964</v>
      </c>
      <c r="C3270" t="s">
        <v>42</v>
      </c>
      <c r="D3270" t="s">
        <v>14965</v>
      </c>
      <c r="E3270" t="e" cm="1">
        <f t="array" ref="E3270">- ACETYLSALICYLIC ACID</f>
        <v>#NAME?</v>
      </c>
      <c r="F3270" t="s">
        <v>2288</v>
      </c>
      <c r="G3270" t="s">
        <v>14966</v>
      </c>
      <c r="H3270" t="s">
        <v>14967</v>
      </c>
      <c r="I3270" t="s">
        <v>14968</v>
      </c>
      <c r="J3270" t="s">
        <v>14969</v>
      </c>
      <c r="K3270" t="s">
        <v>14970</v>
      </c>
      <c r="L3270" t="s">
        <v>14971</v>
      </c>
      <c r="M3270" t="s">
        <v>46</v>
      </c>
      <c r="N3270" t="s">
        <v>2579</v>
      </c>
      <c r="O3270" t="s">
        <v>14972</v>
      </c>
      <c r="P3270" t="s">
        <v>14973</v>
      </c>
      <c r="Q3270" t="s">
        <v>14974</v>
      </c>
      <c r="R3270">
        <v>11</v>
      </c>
      <c r="S3270">
        <v>16</v>
      </c>
    </row>
    <row r="3271" spans="1:19" x14ac:dyDescent="0.35">
      <c r="A3271">
        <v>5153</v>
      </c>
      <c r="B3271" t="s">
        <v>15196</v>
      </c>
      <c r="C3271" t="s">
        <v>42</v>
      </c>
      <c r="D3271" t="s">
        <v>15197</v>
      </c>
      <c r="E3271" t="e" cm="1">
        <f t="array" ref="E3271">- MUPIROCIN</f>
        <v>#NAME?</v>
      </c>
      <c r="F3271" t="s">
        <v>15198</v>
      </c>
      <c r="G3271" t="s">
        <v>11083</v>
      </c>
      <c r="H3271" t="s">
        <v>12482</v>
      </c>
      <c r="I3271" t="s">
        <v>12483</v>
      </c>
      <c r="J3271" t="s">
        <v>15199</v>
      </c>
      <c r="K3271" t="s">
        <v>2858</v>
      </c>
      <c r="L3271" t="s">
        <v>15200</v>
      </c>
      <c r="M3271" t="s">
        <v>1289</v>
      </c>
      <c r="N3271" t="s">
        <v>3904</v>
      </c>
      <c r="O3271" t="s">
        <v>12485</v>
      </c>
      <c r="P3271" t="s">
        <v>15201</v>
      </c>
      <c r="Q3271" t="s">
        <v>15202</v>
      </c>
      <c r="R3271">
        <v>11</v>
      </c>
      <c r="S3271">
        <v>16</v>
      </c>
    </row>
    <row r="3272" spans="1:19" x14ac:dyDescent="0.35">
      <c r="A3272">
        <v>2842</v>
      </c>
      <c r="B3272" t="s">
        <v>15186</v>
      </c>
      <c r="C3272" t="s">
        <v>42</v>
      </c>
      <c r="D3272" t="s">
        <v>15187</v>
      </c>
      <c r="E3272" t="e" cm="1">
        <f t="array" ref="E3272">- PARACETAMOL</f>
        <v>#NAME?</v>
      </c>
      <c r="F3272" t="s">
        <v>15188</v>
      </c>
      <c r="G3272" t="s">
        <v>4469</v>
      </c>
      <c r="H3272" t="s">
        <v>15189</v>
      </c>
      <c r="I3272" t="s">
        <v>15190</v>
      </c>
      <c r="J3272" t="s">
        <v>743</v>
      </c>
      <c r="K3272" t="s">
        <v>15191</v>
      </c>
      <c r="L3272" t="s">
        <v>15192</v>
      </c>
      <c r="M3272" t="s">
        <v>824</v>
      </c>
      <c r="N3272" t="s">
        <v>584</v>
      </c>
      <c r="O3272" t="s">
        <v>15193</v>
      </c>
      <c r="P3272" t="s">
        <v>15142</v>
      </c>
      <c r="Q3272" t="s">
        <v>15194</v>
      </c>
      <c r="R3272">
        <v>11</v>
      </c>
      <c r="S3272">
        <v>16</v>
      </c>
    </row>
    <row r="3273" spans="1:19" x14ac:dyDescent="0.35">
      <c r="A3273">
        <v>5156</v>
      </c>
      <c r="B3273" t="s">
        <v>15203</v>
      </c>
      <c r="C3273" t="s">
        <v>42</v>
      </c>
      <c r="D3273" t="s">
        <v>15204</v>
      </c>
      <c r="E3273" t="e" cm="1">
        <f t="array" ref="E3273">- BETAMETHASONE DIPROPIONATE</f>
        <v>#NAME?</v>
      </c>
      <c r="F3273" t="s">
        <v>15205</v>
      </c>
      <c r="G3273" t="s">
        <v>15206</v>
      </c>
      <c r="H3273" t="s">
        <v>15207</v>
      </c>
      <c r="I3273" t="s">
        <v>15208</v>
      </c>
      <c r="J3273" t="s">
        <v>2167</v>
      </c>
      <c r="K3273" t="s">
        <v>15209</v>
      </c>
      <c r="L3273" t="s">
        <v>15210</v>
      </c>
      <c r="M3273" t="s">
        <v>1289</v>
      </c>
      <c r="N3273" t="s">
        <v>2685</v>
      </c>
      <c r="O3273" t="s">
        <v>15211</v>
      </c>
      <c r="P3273" t="s">
        <v>15212</v>
      </c>
      <c r="Q3273" t="s">
        <v>15213</v>
      </c>
      <c r="R3273">
        <v>11</v>
      </c>
      <c r="S3273">
        <v>16</v>
      </c>
    </row>
    <row r="3274" spans="1:19" x14ac:dyDescent="0.35">
      <c r="A3274">
        <v>5157</v>
      </c>
      <c r="B3274" t="s">
        <v>15214</v>
      </c>
      <c r="C3274" t="s">
        <v>42</v>
      </c>
      <c r="D3274" t="s">
        <v>15215</v>
      </c>
      <c r="E3274" t="e" cm="1">
        <f t="array" ref="E3274">- ERYTHROMYCIN</f>
        <v>#NAME?</v>
      </c>
      <c r="F3274" t="s">
        <v>15216</v>
      </c>
      <c r="G3274" t="s">
        <v>15217</v>
      </c>
      <c r="H3274" t="s">
        <v>15218</v>
      </c>
      <c r="I3274" t="s">
        <v>15219</v>
      </c>
      <c r="J3274" t="s">
        <v>5386</v>
      </c>
      <c r="K3274" t="s">
        <v>15220</v>
      </c>
      <c r="L3274" t="s">
        <v>15221</v>
      </c>
      <c r="M3274" t="s">
        <v>1289</v>
      </c>
      <c r="N3274" t="s">
        <v>15222</v>
      </c>
      <c r="O3274" t="s">
        <v>15223</v>
      </c>
      <c r="P3274" t="s">
        <v>15224</v>
      </c>
      <c r="Q3274" t="s">
        <v>15225</v>
      </c>
      <c r="R3274">
        <v>11</v>
      </c>
      <c r="S3274">
        <v>16</v>
      </c>
    </row>
    <row r="3275" spans="1:19" x14ac:dyDescent="0.35">
      <c r="A3275">
        <v>5158</v>
      </c>
      <c r="B3275" t="s">
        <v>15214</v>
      </c>
      <c r="C3275" t="s">
        <v>42</v>
      </c>
      <c r="D3275" t="s">
        <v>15215</v>
      </c>
      <c r="E3275" t="e" cm="1">
        <f t="array" ref="E3275">- ERYTHROMYCIN</f>
        <v>#NAME?</v>
      </c>
      <c r="F3275" t="s">
        <v>15216</v>
      </c>
      <c r="G3275" t="s">
        <v>15217</v>
      </c>
      <c r="H3275" t="s">
        <v>15218</v>
      </c>
      <c r="I3275" t="s">
        <v>15219</v>
      </c>
      <c r="J3275" t="s">
        <v>5386</v>
      </c>
      <c r="K3275" t="s">
        <v>15220</v>
      </c>
      <c r="L3275" t="s">
        <v>15221</v>
      </c>
      <c r="M3275" t="s">
        <v>1289</v>
      </c>
      <c r="N3275" t="s">
        <v>15222</v>
      </c>
      <c r="O3275" t="s">
        <v>15223</v>
      </c>
      <c r="P3275" t="s">
        <v>15224</v>
      </c>
      <c r="Q3275" t="s">
        <v>15225</v>
      </c>
      <c r="R3275">
        <v>11</v>
      </c>
      <c r="S3275">
        <v>16</v>
      </c>
    </row>
    <row r="3276" spans="1:19" x14ac:dyDescent="0.35">
      <c r="A3276">
        <v>2245</v>
      </c>
      <c r="B3276" t="s">
        <v>9290</v>
      </c>
      <c r="C3276" t="s">
        <v>42</v>
      </c>
      <c r="D3276" t="s">
        <v>9291</v>
      </c>
      <c r="E3276" t="e" cm="1">
        <f t="array" ref="E3276">- PARACETAMOL. PROPYPHENAZONE. CAFFEINE</f>
        <v>#NAME?</v>
      </c>
      <c r="F3276" t="s">
        <v>9292</v>
      </c>
      <c r="G3276" t="s">
        <v>2453</v>
      </c>
      <c r="H3276" t="s">
        <v>9293</v>
      </c>
      <c r="I3276" t="s">
        <v>9294</v>
      </c>
      <c r="J3276" t="s">
        <v>6941</v>
      </c>
      <c r="K3276" t="s">
        <v>9295</v>
      </c>
      <c r="L3276" t="s">
        <v>9296</v>
      </c>
      <c r="M3276" t="s">
        <v>291</v>
      </c>
      <c r="N3276" t="s">
        <v>15226</v>
      </c>
      <c r="O3276" t="s">
        <v>9297</v>
      </c>
      <c r="P3276" t="s">
        <v>9298</v>
      </c>
      <c r="Q3276" t="s">
        <v>15227</v>
      </c>
      <c r="R3276">
        <v>11</v>
      </c>
      <c r="S3276">
        <v>16</v>
      </c>
    </row>
    <row r="3277" spans="1:19" x14ac:dyDescent="0.35">
      <c r="A3277">
        <v>7784</v>
      </c>
      <c r="B3277" t="s">
        <v>15228</v>
      </c>
      <c r="C3277" t="s">
        <v>20</v>
      </c>
      <c r="D3277" t="s">
        <v>15229</v>
      </c>
      <c r="E3277" t="s">
        <v>15230</v>
      </c>
      <c r="F3277" t="s">
        <v>15231</v>
      </c>
      <c r="I3277" t="s">
        <v>6088</v>
      </c>
      <c r="J3277" t="s">
        <v>15232</v>
      </c>
      <c r="L3277" t="s">
        <v>15233</v>
      </c>
      <c r="M3277" t="s">
        <v>38</v>
      </c>
      <c r="N3277" t="s">
        <v>15234</v>
      </c>
      <c r="O3277" t="s">
        <v>6090</v>
      </c>
      <c r="P3277" t="s">
        <v>15235</v>
      </c>
      <c r="Q3277" t="s">
        <v>15236</v>
      </c>
      <c r="R3277">
        <v>11</v>
      </c>
      <c r="S3277">
        <v>16</v>
      </c>
    </row>
    <row r="3278" spans="1:19" x14ac:dyDescent="0.35">
      <c r="A3278">
        <v>2246</v>
      </c>
      <c r="B3278" t="s">
        <v>9290</v>
      </c>
      <c r="C3278" t="s">
        <v>42</v>
      </c>
      <c r="D3278" t="s">
        <v>9291</v>
      </c>
      <c r="E3278" t="e" cm="1">
        <f t="array" ref="E3278">- PARACETAMOL. PROPYPHENAZONE. CAFFEINE</f>
        <v>#NAME?</v>
      </c>
      <c r="F3278" t="s">
        <v>9292</v>
      </c>
      <c r="G3278" t="s">
        <v>2453</v>
      </c>
      <c r="H3278" t="s">
        <v>9293</v>
      </c>
      <c r="I3278" t="s">
        <v>9294</v>
      </c>
      <c r="J3278" t="s">
        <v>6941</v>
      </c>
      <c r="K3278" t="s">
        <v>9295</v>
      </c>
      <c r="L3278" t="s">
        <v>9296</v>
      </c>
      <c r="M3278" t="s">
        <v>291</v>
      </c>
      <c r="N3278" t="s">
        <v>15226</v>
      </c>
      <c r="O3278" t="s">
        <v>9297</v>
      </c>
      <c r="P3278" t="s">
        <v>9298</v>
      </c>
      <c r="Q3278" t="s">
        <v>15227</v>
      </c>
      <c r="R3278">
        <v>11</v>
      </c>
      <c r="S3278">
        <v>16</v>
      </c>
    </row>
    <row r="3279" spans="1:19" x14ac:dyDescent="0.35">
      <c r="A3279">
        <v>3971</v>
      </c>
      <c r="B3279" t="s">
        <v>15237</v>
      </c>
      <c r="C3279" t="s">
        <v>42</v>
      </c>
      <c r="D3279" t="s">
        <v>15238</v>
      </c>
      <c r="E3279" t="e" cm="1">
        <f t="array" ref="E3279">- HYDROCORTISONE ACETATE</f>
        <v>#NAME?</v>
      </c>
      <c r="F3279" t="s">
        <v>15239</v>
      </c>
      <c r="G3279" t="s">
        <v>15240</v>
      </c>
      <c r="H3279" t="s">
        <v>15241</v>
      </c>
      <c r="I3279" t="s">
        <v>15242</v>
      </c>
      <c r="J3279" t="s">
        <v>1028</v>
      </c>
      <c r="K3279" t="s">
        <v>15243</v>
      </c>
      <c r="L3279" t="s">
        <v>15244</v>
      </c>
      <c r="M3279" t="s">
        <v>1029</v>
      </c>
      <c r="N3279" t="s">
        <v>7168</v>
      </c>
      <c r="O3279" t="s">
        <v>15245</v>
      </c>
      <c r="P3279" t="s">
        <v>15246</v>
      </c>
      <c r="Q3279" t="s">
        <v>15247</v>
      </c>
      <c r="R3279">
        <v>11</v>
      </c>
      <c r="S3279">
        <v>16</v>
      </c>
    </row>
    <row r="3280" spans="1:19" x14ac:dyDescent="0.35">
      <c r="A3280">
        <v>4441</v>
      </c>
      <c r="B3280" t="s">
        <v>15248</v>
      </c>
      <c r="C3280" t="s">
        <v>850</v>
      </c>
      <c r="D3280" t="s">
        <v>15249</v>
      </c>
      <c r="E3280" t="s">
        <v>15250</v>
      </c>
      <c r="F3280" t="s">
        <v>15251</v>
      </c>
      <c r="G3280" t="s">
        <v>7497</v>
      </c>
      <c r="H3280" t="s">
        <v>15252</v>
      </c>
      <c r="I3280" t="s">
        <v>10061</v>
      </c>
      <c r="J3280" t="s">
        <v>15253</v>
      </c>
      <c r="K3280" t="s">
        <v>3952</v>
      </c>
      <c r="L3280" t="s">
        <v>15254</v>
      </c>
      <c r="N3280" t="s">
        <v>15255</v>
      </c>
      <c r="O3280" t="s">
        <v>10063</v>
      </c>
      <c r="P3280" t="s">
        <v>15256</v>
      </c>
      <c r="Q3280" t="s">
        <v>15257</v>
      </c>
      <c r="R3280">
        <v>11</v>
      </c>
      <c r="S3280">
        <v>16</v>
      </c>
    </row>
    <row r="3281" spans="1:19" x14ac:dyDescent="0.35">
      <c r="A3281">
        <v>9351</v>
      </c>
      <c r="B3281" t="s">
        <v>6301</v>
      </c>
      <c r="C3281" t="s">
        <v>42</v>
      </c>
      <c r="D3281" t="s">
        <v>15258</v>
      </c>
      <c r="E3281" t="s">
        <v>6303</v>
      </c>
      <c r="F3281" s="1">
        <v>1043300</v>
      </c>
      <c r="H3281" t="s">
        <v>1322</v>
      </c>
      <c r="I3281" t="s">
        <v>15259</v>
      </c>
      <c r="J3281" t="s">
        <v>15260</v>
      </c>
      <c r="L3281" t="s">
        <v>15261</v>
      </c>
      <c r="M3281" t="s">
        <v>46</v>
      </c>
      <c r="N3281" t="s">
        <v>6304</v>
      </c>
      <c r="O3281" t="s">
        <v>15262</v>
      </c>
      <c r="P3281" t="s">
        <v>15263</v>
      </c>
      <c r="Q3281" t="s">
        <v>15264</v>
      </c>
      <c r="R3281">
        <v>11</v>
      </c>
      <c r="S3281">
        <v>16</v>
      </c>
    </row>
    <row r="3282" spans="1:19" x14ac:dyDescent="0.35">
      <c r="A3282">
        <v>8975</v>
      </c>
      <c r="B3282" t="s">
        <v>15265</v>
      </c>
      <c r="C3282" t="s">
        <v>42</v>
      </c>
      <c r="D3282" t="s">
        <v>15266</v>
      </c>
      <c r="E3282" t="e" cm="1">
        <f t="array" ref="E3282">- AMLODIPINE BESILATE</f>
        <v>#NAME?</v>
      </c>
      <c r="F3282" t="s">
        <v>15267</v>
      </c>
      <c r="G3282" t="s">
        <v>60</v>
      </c>
      <c r="H3282" t="s">
        <v>15268</v>
      </c>
      <c r="I3282" t="s">
        <v>15269</v>
      </c>
      <c r="J3282" t="s">
        <v>15270</v>
      </c>
      <c r="K3282" t="s">
        <v>15271</v>
      </c>
      <c r="L3282" t="s">
        <v>15272</v>
      </c>
      <c r="M3282" t="s">
        <v>46</v>
      </c>
      <c r="N3282" t="s">
        <v>2484</v>
      </c>
      <c r="O3282" t="s">
        <v>15273</v>
      </c>
      <c r="P3282" t="s">
        <v>15274</v>
      </c>
      <c r="Q3282" t="s">
        <v>15275</v>
      </c>
      <c r="R3282">
        <v>11</v>
      </c>
      <c r="S3282">
        <v>16</v>
      </c>
    </row>
    <row r="3283" spans="1:19" x14ac:dyDescent="0.35">
      <c r="A3283">
        <v>2940</v>
      </c>
      <c r="B3283" t="s">
        <v>15276</v>
      </c>
      <c r="C3283" t="s">
        <v>42</v>
      </c>
      <c r="D3283" t="s">
        <v>15277</v>
      </c>
      <c r="E3283" t="e" cm="1">
        <f t="array" ref="E3283">- PARACETAMOL</f>
        <v>#NAME?</v>
      </c>
      <c r="F3283" t="s">
        <v>15278</v>
      </c>
      <c r="G3283" t="s">
        <v>60</v>
      </c>
      <c r="H3283" t="s">
        <v>15279</v>
      </c>
      <c r="I3283" t="s">
        <v>15280</v>
      </c>
      <c r="J3283" t="s">
        <v>334</v>
      </c>
      <c r="K3283" t="s">
        <v>6861</v>
      </c>
      <c r="M3283" t="s">
        <v>271</v>
      </c>
      <c r="N3283" t="s">
        <v>584</v>
      </c>
      <c r="O3283" t="s">
        <v>15281</v>
      </c>
      <c r="P3283" t="s">
        <v>15282</v>
      </c>
      <c r="Q3283" t="s">
        <v>15283</v>
      </c>
      <c r="R3283">
        <v>11</v>
      </c>
      <c r="S3283">
        <v>16</v>
      </c>
    </row>
    <row r="3284" spans="1:19" x14ac:dyDescent="0.35">
      <c r="A3284">
        <v>2941</v>
      </c>
      <c r="B3284" t="s">
        <v>15276</v>
      </c>
      <c r="C3284" t="s">
        <v>42</v>
      </c>
      <c r="D3284" t="s">
        <v>15277</v>
      </c>
      <c r="E3284" t="e" cm="1">
        <f t="array" ref="E3284">- PARACETAMOL</f>
        <v>#NAME?</v>
      </c>
      <c r="F3284" t="s">
        <v>15278</v>
      </c>
      <c r="G3284" t="s">
        <v>60</v>
      </c>
      <c r="H3284" t="s">
        <v>15279</v>
      </c>
      <c r="I3284" t="s">
        <v>15280</v>
      </c>
      <c r="J3284" t="s">
        <v>334</v>
      </c>
      <c r="K3284" t="s">
        <v>6861</v>
      </c>
      <c r="M3284" t="s">
        <v>271</v>
      </c>
      <c r="N3284" t="s">
        <v>584</v>
      </c>
      <c r="O3284" t="s">
        <v>15281</v>
      </c>
      <c r="P3284" t="s">
        <v>15282</v>
      </c>
      <c r="Q3284" t="s">
        <v>15283</v>
      </c>
      <c r="R3284">
        <v>11</v>
      </c>
      <c r="S3284">
        <v>16</v>
      </c>
    </row>
    <row r="3285" spans="1:19" x14ac:dyDescent="0.35">
      <c r="A3285">
        <v>6934</v>
      </c>
      <c r="B3285" t="s">
        <v>1803</v>
      </c>
      <c r="C3285" t="s">
        <v>42</v>
      </c>
      <c r="D3285" t="s">
        <v>15284</v>
      </c>
      <c r="E3285" t="e" cm="1">
        <f t="array" ref="E3285">- TIZANIDINE HYDROCHLORIDE</f>
        <v>#NAME?</v>
      </c>
      <c r="F3285" t="s">
        <v>15285</v>
      </c>
      <c r="G3285" t="s">
        <v>15286</v>
      </c>
      <c r="H3285" t="s">
        <v>1322</v>
      </c>
      <c r="I3285" t="s">
        <v>15287</v>
      </c>
      <c r="J3285" t="s">
        <v>15288</v>
      </c>
      <c r="M3285" t="s">
        <v>46</v>
      </c>
      <c r="N3285" t="s">
        <v>1806</v>
      </c>
      <c r="O3285" t="s">
        <v>15289</v>
      </c>
      <c r="P3285" t="s">
        <v>15290</v>
      </c>
      <c r="Q3285" t="s">
        <v>15291</v>
      </c>
      <c r="R3285">
        <v>11</v>
      </c>
      <c r="S3285">
        <v>16</v>
      </c>
    </row>
    <row r="3286" spans="1:19" x14ac:dyDescent="0.35">
      <c r="A3286">
        <v>5154</v>
      </c>
      <c r="B3286" t="s">
        <v>15196</v>
      </c>
      <c r="C3286" t="s">
        <v>42</v>
      </c>
      <c r="D3286" t="s">
        <v>15292</v>
      </c>
      <c r="E3286" t="e" cm="1">
        <f t="array" ref="E3286">- MUPIROCIN</f>
        <v>#NAME?</v>
      </c>
      <c r="F3286" t="s">
        <v>15293</v>
      </c>
      <c r="G3286" t="s">
        <v>11083</v>
      </c>
      <c r="H3286" t="s">
        <v>12482</v>
      </c>
      <c r="I3286" t="s">
        <v>12483</v>
      </c>
      <c r="J3286" t="s">
        <v>7114</v>
      </c>
      <c r="K3286" t="s">
        <v>15294</v>
      </c>
      <c r="L3286" t="s">
        <v>15295</v>
      </c>
      <c r="M3286" t="s">
        <v>1289</v>
      </c>
      <c r="N3286" t="s">
        <v>3904</v>
      </c>
      <c r="O3286" t="s">
        <v>12485</v>
      </c>
      <c r="P3286" t="s">
        <v>15201</v>
      </c>
      <c r="Q3286" t="s">
        <v>15202</v>
      </c>
      <c r="R3286">
        <v>11</v>
      </c>
      <c r="S3286">
        <v>16</v>
      </c>
    </row>
    <row r="3287" spans="1:19" x14ac:dyDescent="0.35">
      <c r="A3287">
        <v>9310</v>
      </c>
      <c r="B3287" t="s">
        <v>15296</v>
      </c>
      <c r="C3287" t="s">
        <v>42</v>
      </c>
      <c r="D3287" t="s">
        <v>15297</v>
      </c>
      <c r="E3287" t="e" cm="1">
        <f t="array" ref="E3287">- AMLODIPINE BESILATE</f>
        <v>#NAME?</v>
      </c>
      <c r="F3287" s="1">
        <v>195900</v>
      </c>
      <c r="G3287" t="s">
        <v>4649</v>
      </c>
      <c r="H3287" t="s">
        <v>15298</v>
      </c>
      <c r="I3287" t="s">
        <v>15299</v>
      </c>
      <c r="J3287" t="s">
        <v>15270</v>
      </c>
      <c r="K3287" t="s">
        <v>15271</v>
      </c>
      <c r="L3287" t="s">
        <v>15300</v>
      </c>
      <c r="M3287" t="s">
        <v>46</v>
      </c>
      <c r="N3287" t="s">
        <v>2484</v>
      </c>
      <c r="O3287" t="s">
        <v>15301</v>
      </c>
      <c r="P3287" t="s">
        <v>15274</v>
      </c>
      <c r="Q3287" t="s">
        <v>15302</v>
      </c>
      <c r="R3287">
        <v>11</v>
      </c>
      <c r="S3287">
        <v>16</v>
      </c>
    </row>
    <row r="3288" spans="1:19" x14ac:dyDescent="0.35">
      <c r="A3288">
        <v>1459</v>
      </c>
      <c r="B3288" t="s">
        <v>15303</v>
      </c>
      <c r="C3288" t="s">
        <v>42</v>
      </c>
      <c r="D3288" t="s">
        <v>15304</v>
      </c>
      <c r="E3288" t="e" cm="1">
        <f t="array" ref="E3288">- CHLORPHENAMINE MALEATE</f>
        <v>#NAME?</v>
      </c>
      <c r="F3288" t="s">
        <v>15305</v>
      </c>
      <c r="G3288" t="s">
        <v>60</v>
      </c>
      <c r="H3288" t="s">
        <v>15306</v>
      </c>
      <c r="I3288" t="s">
        <v>15307</v>
      </c>
      <c r="J3288" t="s">
        <v>15308</v>
      </c>
      <c r="K3288" t="s">
        <v>15309</v>
      </c>
      <c r="L3288" t="s">
        <v>15310</v>
      </c>
      <c r="M3288" t="s">
        <v>291</v>
      </c>
      <c r="N3288" t="s">
        <v>1354</v>
      </c>
      <c r="O3288" t="s">
        <v>15311</v>
      </c>
      <c r="P3288" t="s">
        <v>15312</v>
      </c>
      <c r="Q3288" t="s">
        <v>15313</v>
      </c>
      <c r="R3288">
        <v>11</v>
      </c>
      <c r="S3288">
        <v>16</v>
      </c>
    </row>
    <row r="3289" spans="1:19" x14ac:dyDescent="0.35">
      <c r="A3289">
        <v>6976</v>
      </c>
      <c r="B3289" t="s">
        <v>1803</v>
      </c>
      <c r="C3289" t="s">
        <v>42</v>
      </c>
      <c r="D3289" t="s">
        <v>15314</v>
      </c>
      <c r="E3289" t="e" cm="1">
        <f t="array" ref="E3289">- TIZANIDINE HYDROCHLORIDE</f>
        <v>#NAME?</v>
      </c>
      <c r="F3289" t="s">
        <v>15315</v>
      </c>
      <c r="J3289" t="s">
        <v>15316</v>
      </c>
      <c r="M3289" t="s">
        <v>46</v>
      </c>
      <c r="N3289" t="s">
        <v>1806</v>
      </c>
      <c r="P3289" t="s">
        <v>15317</v>
      </c>
      <c r="Q3289" t="s">
        <v>15318</v>
      </c>
      <c r="R3289">
        <v>11</v>
      </c>
      <c r="S3289">
        <v>16</v>
      </c>
    </row>
    <row r="3290" spans="1:19" x14ac:dyDescent="0.35">
      <c r="A3290">
        <v>2998</v>
      </c>
      <c r="B3290" t="s">
        <v>15319</v>
      </c>
      <c r="C3290" t="s">
        <v>42</v>
      </c>
      <c r="D3290" t="s">
        <v>15320</v>
      </c>
      <c r="E3290" t="e" cm="1">
        <f t="array" ref="E3290">- PARACETAMOL</f>
        <v>#NAME?</v>
      </c>
      <c r="F3290" t="s">
        <v>15321</v>
      </c>
      <c r="G3290" t="s">
        <v>3083</v>
      </c>
      <c r="H3290" t="s">
        <v>15322</v>
      </c>
      <c r="I3290" t="s">
        <v>15323</v>
      </c>
      <c r="J3290" t="s">
        <v>743</v>
      </c>
      <c r="M3290" t="s">
        <v>824</v>
      </c>
      <c r="N3290" t="s">
        <v>584</v>
      </c>
      <c r="O3290" t="s">
        <v>15324</v>
      </c>
      <c r="P3290" t="s">
        <v>15325</v>
      </c>
      <c r="Q3290" t="s">
        <v>15326</v>
      </c>
      <c r="R3290">
        <v>11</v>
      </c>
      <c r="S3290">
        <v>16</v>
      </c>
    </row>
    <row r="3291" spans="1:19" x14ac:dyDescent="0.35">
      <c r="A3291">
        <v>8069</v>
      </c>
      <c r="B3291" t="s">
        <v>551</v>
      </c>
      <c r="C3291" t="s">
        <v>42</v>
      </c>
      <c r="D3291" t="s">
        <v>15327</v>
      </c>
      <c r="E3291" t="e" cm="1">
        <f t="array" ref="E3291">- POVIDONE-IODINE</f>
        <v>#NAME?</v>
      </c>
      <c r="F3291" t="s">
        <v>15328</v>
      </c>
      <c r="G3291" t="s">
        <v>15329</v>
      </c>
      <c r="H3291" t="s">
        <v>1322</v>
      </c>
      <c r="I3291" t="s">
        <v>15330</v>
      </c>
      <c r="J3291" t="s">
        <v>11581</v>
      </c>
      <c r="M3291" t="s">
        <v>554</v>
      </c>
      <c r="N3291" t="s">
        <v>555</v>
      </c>
      <c r="O3291" t="s">
        <v>15331</v>
      </c>
      <c r="P3291" t="s">
        <v>15332</v>
      </c>
      <c r="Q3291" t="s">
        <v>15333</v>
      </c>
      <c r="R3291">
        <v>11</v>
      </c>
      <c r="S3291">
        <v>16</v>
      </c>
    </row>
    <row r="3292" spans="1:19" x14ac:dyDescent="0.35">
      <c r="A3292">
        <v>5790</v>
      </c>
      <c r="B3292" t="s">
        <v>15334</v>
      </c>
      <c r="C3292" t="s">
        <v>42</v>
      </c>
      <c r="D3292" t="s">
        <v>15335</v>
      </c>
      <c r="E3292" t="e" cm="1">
        <f t="array" ref="E3292">- METRONIDAZOLE</f>
        <v>#NAME?</v>
      </c>
      <c r="F3292" s="1">
        <v>119100</v>
      </c>
      <c r="G3292" t="s">
        <v>13556</v>
      </c>
      <c r="H3292" t="s">
        <v>13557</v>
      </c>
      <c r="I3292" t="s">
        <v>13558</v>
      </c>
      <c r="J3292" t="s">
        <v>15336</v>
      </c>
      <c r="K3292" t="s">
        <v>3952</v>
      </c>
      <c r="L3292" t="s">
        <v>13560</v>
      </c>
      <c r="M3292" t="s">
        <v>8891</v>
      </c>
      <c r="N3292" t="s">
        <v>1049</v>
      </c>
      <c r="O3292" t="s">
        <v>13088</v>
      </c>
      <c r="P3292" t="s">
        <v>15337</v>
      </c>
      <c r="Q3292" t="s">
        <v>15338</v>
      </c>
      <c r="R3292">
        <v>11</v>
      </c>
      <c r="S3292">
        <v>16</v>
      </c>
    </row>
    <row r="3293" spans="1:19" x14ac:dyDescent="0.35">
      <c r="A3293">
        <v>5788</v>
      </c>
      <c r="B3293" t="s">
        <v>15334</v>
      </c>
      <c r="C3293" t="s">
        <v>42</v>
      </c>
      <c r="D3293" t="s">
        <v>15335</v>
      </c>
      <c r="E3293" t="e" cm="1">
        <f t="array" ref="E3293">- METRONIDAZOLE</f>
        <v>#NAME?</v>
      </c>
      <c r="F3293" s="1">
        <v>119100</v>
      </c>
      <c r="G3293" t="s">
        <v>13556</v>
      </c>
      <c r="H3293" t="s">
        <v>13557</v>
      </c>
      <c r="I3293" t="s">
        <v>13558</v>
      </c>
      <c r="J3293" t="s">
        <v>15336</v>
      </c>
      <c r="K3293" t="s">
        <v>3952</v>
      </c>
      <c r="L3293" t="s">
        <v>13560</v>
      </c>
      <c r="M3293" t="s">
        <v>8891</v>
      </c>
      <c r="N3293" t="s">
        <v>1049</v>
      </c>
      <c r="O3293" t="s">
        <v>13088</v>
      </c>
      <c r="P3293" t="s">
        <v>15337</v>
      </c>
      <c r="Q3293" t="s">
        <v>15338</v>
      </c>
      <c r="R3293">
        <v>11</v>
      </c>
      <c r="S3293">
        <v>16</v>
      </c>
    </row>
    <row r="3294" spans="1:19" x14ac:dyDescent="0.35">
      <c r="A3294">
        <v>4430</v>
      </c>
      <c r="B3294" t="s">
        <v>15339</v>
      </c>
      <c r="C3294" t="s">
        <v>42</v>
      </c>
      <c r="D3294" t="s">
        <v>15340</v>
      </c>
      <c r="E3294" t="e" cm="1">
        <f t="array" ref="E3294">- ASCORBIC ACID</f>
        <v>#NAME?</v>
      </c>
      <c r="F3294" t="s">
        <v>15341</v>
      </c>
      <c r="G3294" t="s">
        <v>15342</v>
      </c>
      <c r="H3294" t="s">
        <v>15343</v>
      </c>
      <c r="I3294" t="s">
        <v>15344</v>
      </c>
      <c r="J3294" t="s">
        <v>15345</v>
      </c>
      <c r="K3294" t="s">
        <v>15346</v>
      </c>
      <c r="L3294" t="s">
        <v>15347</v>
      </c>
      <c r="M3294" t="s">
        <v>46</v>
      </c>
      <c r="N3294" t="s">
        <v>15348</v>
      </c>
      <c r="O3294" t="s">
        <v>15349</v>
      </c>
      <c r="P3294" t="s">
        <v>15350</v>
      </c>
      <c r="Q3294" t="s">
        <v>15351</v>
      </c>
      <c r="R3294">
        <v>11</v>
      </c>
      <c r="S3294">
        <v>16</v>
      </c>
    </row>
    <row r="3295" spans="1:19" x14ac:dyDescent="0.35">
      <c r="A3295">
        <v>7003</v>
      </c>
      <c r="B3295" t="s">
        <v>1803</v>
      </c>
      <c r="C3295" t="s">
        <v>42</v>
      </c>
      <c r="D3295" t="s">
        <v>15067</v>
      </c>
      <c r="E3295" t="e" cm="1">
        <f t="array" ref="E3295">- TIZANIDINE HYDROCHLORIDE</f>
        <v>#NAME?</v>
      </c>
      <c r="F3295" t="s">
        <v>15068</v>
      </c>
      <c r="J3295" t="s">
        <v>9479</v>
      </c>
      <c r="M3295" t="s">
        <v>46</v>
      </c>
      <c r="N3295" t="s">
        <v>1806</v>
      </c>
      <c r="P3295" t="s">
        <v>15069</v>
      </c>
      <c r="Q3295" t="s">
        <v>15352</v>
      </c>
      <c r="R3295">
        <v>11</v>
      </c>
      <c r="S3295">
        <v>16</v>
      </c>
    </row>
    <row r="3296" spans="1:19" x14ac:dyDescent="0.35">
      <c r="A3296">
        <v>4386</v>
      </c>
      <c r="B3296" t="s">
        <v>1637</v>
      </c>
      <c r="C3296" t="s">
        <v>42</v>
      </c>
      <c r="D3296" t="s">
        <v>15353</v>
      </c>
      <c r="E3296" t="e" cm="1">
        <f t="array" ref="E3296">- OFLOXACIN</f>
        <v>#NAME?</v>
      </c>
      <c r="F3296" s="1">
        <v>62300</v>
      </c>
      <c r="H3296" t="s">
        <v>15354</v>
      </c>
      <c r="I3296" t="s">
        <v>15355</v>
      </c>
      <c r="J3296" t="s">
        <v>743</v>
      </c>
      <c r="K3296" t="s">
        <v>15356</v>
      </c>
      <c r="L3296" t="s">
        <v>15357</v>
      </c>
      <c r="M3296" t="s">
        <v>824</v>
      </c>
      <c r="N3296" t="s">
        <v>1640</v>
      </c>
      <c r="O3296" t="s">
        <v>15358</v>
      </c>
      <c r="P3296" t="s">
        <v>15359</v>
      </c>
      <c r="Q3296" t="s">
        <v>15360</v>
      </c>
      <c r="R3296">
        <v>11</v>
      </c>
      <c r="S3296">
        <v>16</v>
      </c>
    </row>
    <row r="3297" spans="1:19" x14ac:dyDescent="0.35">
      <c r="A3297">
        <v>5682</v>
      </c>
      <c r="B3297" t="s">
        <v>13553</v>
      </c>
      <c r="C3297" t="s">
        <v>42</v>
      </c>
      <c r="D3297" t="s">
        <v>13554</v>
      </c>
      <c r="E3297" t="e" cm="1">
        <f t="array" ref="E3297">- METRONIDAZOLE. NYSTATIN</f>
        <v>#NAME?</v>
      </c>
      <c r="F3297" t="s">
        <v>13555</v>
      </c>
      <c r="G3297" t="s">
        <v>13556</v>
      </c>
      <c r="H3297" t="s">
        <v>13557</v>
      </c>
      <c r="I3297" t="s">
        <v>13558</v>
      </c>
      <c r="J3297" t="s">
        <v>13559</v>
      </c>
      <c r="K3297" t="s">
        <v>3952</v>
      </c>
      <c r="L3297" t="s">
        <v>13560</v>
      </c>
      <c r="M3297" t="s">
        <v>8891</v>
      </c>
      <c r="N3297" t="s">
        <v>10960</v>
      </c>
      <c r="O3297" t="s">
        <v>13088</v>
      </c>
      <c r="P3297" t="s">
        <v>13561</v>
      </c>
      <c r="Q3297" t="s">
        <v>15361</v>
      </c>
      <c r="R3297">
        <v>11</v>
      </c>
      <c r="S3297">
        <v>16</v>
      </c>
    </row>
    <row r="3298" spans="1:19" x14ac:dyDescent="0.35">
      <c r="A3298">
        <v>4580</v>
      </c>
      <c r="B3298" t="s">
        <v>8767</v>
      </c>
      <c r="C3298" t="s">
        <v>42</v>
      </c>
      <c r="D3298" t="s">
        <v>8768</v>
      </c>
      <c r="E3298" t="e" cm="1">
        <f t="array" ref="E3298">- FLUOROMETHOLONE. NEOMYCIN SULFATE</f>
        <v>#NAME?</v>
      </c>
      <c r="F3298" t="s">
        <v>8769</v>
      </c>
      <c r="G3298" t="s">
        <v>7569</v>
      </c>
      <c r="H3298" t="s">
        <v>7570</v>
      </c>
      <c r="I3298" t="s">
        <v>8770</v>
      </c>
      <c r="J3298" t="s">
        <v>8771</v>
      </c>
      <c r="K3298" t="s">
        <v>8772</v>
      </c>
      <c r="L3298" t="s">
        <v>8773</v>
      </c>
      <c r="M3298" t="s">
        <v>824</v>
      </c>
      <c r="N3298" t="s">
        <v>15362</v>
      </c>
      <c r="O3298" t="s">
        <v>8775</v>
      </c>
      <c r="P3298" t="s">
        <v>8776</v>
      </c>
      <c r="Q3298" t="s">
        <v>15363</v>
      </c>
      <c r="R3298">
        <v>11</v>
      </c>
      <c r="S3298">
        <v>16</v>
      </c>
    </row>
    <row r="3299" spans="1:19" x14ac:dyDescent="0.35">
      <c r="A3299">
        <v>2389</v>
      </c>
      <c r="B3299" t="s">
        <v>15364</v>
      </c>
      <c r="C3299" t="s">
        <v>42</v>
      </c>
      <c r="D3299" t="s">
        <v>15365</v>
      </c>
      <c r="E3299" t="e" cm="1">
        <f t="array" ref="E3299">- IBUPROFEN</f>
        <v>#NAME?</v>
      </c>
      <c r="F3299" t="s">
        <v>15366</v>
      </c>
      <c r="I3299" t="s">
        <v>15367</v>
      </c>
      <c r="J3299" t="s">
        <v>381</v>
      </c>
      <c r="M3299" t="s">
        <v>46</v>
      </c>
      <c r="N3299" t="s">
        <v>383</v>
      </c>
      <c r="O3299" t="s">
        <v>15368</v>
      </c>
      <c r="P3299" t="s">
        <v>15369</v>
      </c>
      <c r="Q3299" t="s">
        <v>15370</v>
      </c>
      <c r="R3299">
        <v>11</v>
      </c>
      <c r="S3299">
        <v>16</v>
      </c>
    </row>
    <row r="3300" spans="1:19" x14ac:dyDescent="0.35">
      <c r="A3300">
        <v>7973</v>
      </c>
      <c r="B3300" t="s">
        <v>15371</v>
      </c>
      <c r="C3300" t="s">
        <v>20</v>
      </c>
      <c r="D3300" t="s">
        <v>15372</v>
      </c>
      <c r="E3300" t="s">
        <v>15373</v>
      </c>
      <c r="F3300" t="s">
        <v>15374</v>
      </c>
      <c r="G3300" t="s">
        <v>2241</v>
      </c>
      <c r="H3300" t="s">
        <v>15375</v>
      </c>
      <c r="I3300" t="s">
        <v>15376</v>
      </c>
      <c r="J3300" t="s">
        <v>15377</v>
      </c>
      <c r="M3300" t="s">
        <v>2374</v>
      </c>
      <c r="N3300" t="s">
        <v>15378</v>
      </c>
      <c r="O3300" t="s">
        <v>15379</v>
      </c>
      <c r="P3300" t="s">
        <v>15380</v>
      </c>
      <c r="Q3300" t="s">
        <v>15381</v>
      </c>
      <c r="R3300">
        <v>11</v>
      </c>
      <c r="S3300">
        <v>16</v>
      </c>
    </row>
    <row r="3301" spans="1:19" x14ac:dyDescent="0.35">
      <c r="A3301">
        <v>1608</v>
      </c>
      <c r="B3301" t="s">
        <v>15382</v>
      </c>
      <c r="C3301" t="s">
        <v>42</v>
      </c>
      <c r="D3301" t="s">
        <v>15383</v>
      </c>
      <c r="E3301" t="e" cm="1">
        <f t="array" ref="E3301">- AMMONIUM CHLORIDE</f>
        <v>#NAME?</v>
      </c>
      <c r="F3301" t="s">
        <v>15384</v>
      </c>
      <c r="G3301" t="s">
        <v>2241</v>
      </c>
      <c r="H3301" t="s">
        <v>15385</v>
      </c>
      <c r="I3301" t="s">
        <v>15386</v>
      </c>
      <c r="J3301" t="s">
        <v>334</v>
      </c>
      <c r="K3301" t="s">
        <v>2726</v>
      </c>
      <c r="M3301" t="s">
        <v>271</v>
      </c>
      <c r="N3301" t="s">
        <v>1672</v>
      </c>
      <c r="O3301" t="s">
        <v>15387</v>
      </c>
      <c r="P3301" t="s">
        <v>15388</v>
      </c>
      <c r="Q3301" t="s">
        <v>15389</v>
      </c>
      <c r="R3301">
        <v>11</v>
      </c>
      <c r="S3301">
        <v>16</v>
      </c>
    </row>
    <row r="3302" spans="1:19" x14ac:dyDescent="0.35">
      <c r="A3302">
        <v>1607</v>
      </c>
      <c r="B3302" t="s">
        <v>15382</v>
      </c>
      <c r="C3302" t="s">
        <v>42</v>
      </c>
      <c r="D3302" t="s">
        <v>15383</v>
      </c>
      <c r="E3302" t="e" cm="1">
        <f t="array" ref="E3302">- AMMONIUM CHLORIDE</f>
        <v>#NAME?</v>
      </c>
      <c r="F3302" t="s">
        <v>15384</v>
      </c>
      <c r="G3302" t="s">
        <v>2241</v>
      </c>
      <c r="H3302" t="s">
        <v>15385</v>
      </c>
      <c r="I3302" t="s">
        <v>15386</v>
      </c>
      <c r="J3302" t="s">
        <v>334</v>
      </c>
      <c r="K3302" t="s">
        <v>2726</v>
      </c>
      <c r="M3302" t="s">
        <v>271</v>
      </c>
      <c r="N3302" t="s">
        <v>1672</v>
      </c>
      <c r="O3302" t="s">
        <v>15387</v>
      </c>
      <c r="P3302" t="s">
        <v>15388</v>
      </c>
      <c r="Q3302" t="s">
        <v>15389</v>
      </c>
      <c r="R3302">
        <v>11</v>
      </c>
      <c r="S3302">
        <v>16</v>
      </c>
    </row>
    <row r="3303" spans="1:19" x14ac:dyDescent="0.35">
      <c r="A3303">
        <v>4388</v>
      </c>
      <c r="B3303" t="s">
        <v>1637</v>
      </c>
      <c r="C3303" t="s">
        <v>42</v>
      </c>
      <c r="D3303" t="s">
        <v>15390</v>
      </c>
      <c r="E3303" t="e" cm="1">
        <f t="array" ref="E3303">- OFLOXACIN</f>
        <v>#NAME?</v>
      </c>
      <c r="F3303" t="s">
        <v>15391</v>
      </c>
      <c r="G3303" t="s">
        <v>15392</v>
      </c>
      <c r="H3303" t="s">
        <v>15393</v>
      </c>
      <c r="I3303" t="s">
        <v>15394</v>
      </c>
      <c r="J3303" t="s">
        <v>11321</v>
      </c>
      <c r="K3303" t="s">
        <v>2726</v>
      </c>
      <c r="L3303" t="s">
        <v>15395</v>
      </c>
      <c r="M3303" t="s">
        <v>824</v>
      </c>
      <c r="N3303" t="s">
        <v>1640</v>
      </c>
      <c r="O3303" t="s">
        <v>15396</v>
      </c>
      <c r="P3303" t="s">
        <v>15397</v>
      </c>
      <c r="Q3303" t="s">
        <v>15398</v>
      </c>
      <c r="R3303">
        <v>11</v>
      </c>
      <c r="S3303">
        <v>16</v>
      </c>
    </row>
    <row r="3304" spans="1:19" x14ac:dyDescent="0.35">
      <c r="A3304">
        <v>8068</v>
      </c>
      <c r="B3304" t="s">
        <v>551</v>
      </c>
      <c r="C3304" t="s">
        <v>42</v>
      </c>
      <c r="D3304" t="s">
        <v>15327</v>
      </c>
      <c r="E3304" t="e" cm="1">
        <f t="array" ref="E3304">- POVIDONE-IODINE</f>
        <v>#NAME?</v>
      </c>
      <c r="F3304" t="s">
        <v>15328</v>
      </c>
      <c r="G3304" t="s">
        <v>15329</v>
      </c>
      <c r="H3304" t="s">
        <v>1322</v>
      </c>
      <c r="I3304" t="s">
        <v>15330</v>
      </c>
      <c r="J3304" t="s">
        <v>11581</v>
      </c>
      <c r="M3304" t="s">
        <v>554</v>
      </c>
      <c r="N3304" t="s">
        <v>555</v>
      </c>
      <c r="O3304" t="s">
        <v>15331</v>
      </c>
      <c r="P3304" t="s">
        <v>15332</v>
      </c>
      <c r="Q3304" t="s">
        <v>15333</v>
      </c>
      <c r="R3304">
        <v>11</v>
      </c>
      <c r="S3304">
        <v>16</v>
      </c>
    </row>
    <row r="3305" spans="1:19" x14ac:dyDescent="0.35">
      <c r="A3305">
        <v>4018</v>
      </c>
      <c r="B3305" t="s">
        <v>15399</v>
      </c>
      <c r="C3305" t="s">
        <v>42</v>
      </c>
      <c r="D3305" t="s">
        <v>15400</v>
      </c>
      <c r="E3305" t="e" cm="1">
        <f t="array" ref="E3305">- LACTULOSE</f>
        <v>#NAME?</v>
      </c>
      <c r="F3305" t="s">
        <v>15401</v>
      </c>
      <c r="G3305" t="s">
        <v>5301</v>
      </c>
      <c r="H3305" t="s">
        <v>15402</v>
      </c>
      <c r="I3305" t="s">
        <v>15403</v>
      </c>
      <c r="J3305" t="s">
        <v>334</v>
      </c>
      <c r="K3305" t="s">
        <v>15404</v>
      </c>
      <c r="L3305" t="s">
        <v>15405</v>
      </c>
      <c r="M3305" t="s">
        <v>271</v>
      </c>
      <c r="N3305" t="s">
        <v>1156</v>
      </c>
      <c r="O3305" t="s">
        <v>15406</v>
      </c>
      <c r="P3305" t="s">
        <v>15407</v>
      </c>
      <c r="Q3305" t="s">
        <v>15408</v>
      </c>
      <c r="R3305">
        <v>11</v>
      </c>
      <c r="S3305">
        <v>16</v>
      </c>
    </row>
    <row r="3306" spans="1:19" x14ac:dyDescent="0.35">
      <c r="A3306">
        <v>1563</v>
      </c>
      <c r="B3306" t="s">
        <v>15409</v>
      </c>
      <c r="C3306" t="s">
        <v>42</v>
      </c>
      <c r="D3306" t="s">
        <v>15410</v>
      </c>
      <c r="E3306" t="e" cm="1">
        <f t="array" ref="E3306">- OXOMEMAZINE HYDROCHLORIDE. GUAIFENESIN</f>
        <v>#NAME?</v>
      </c>
      <c r="F3306" t="s">
        <v>15411</v>
      </c>
      <c r="G3306" t="s">
        <v>8414</v>
      </c>
      <c r="H3306" t="s">
        <v>8415</v>
      </c>
      <c r="I3306" t="s">
        <v>15412</v>
      </c>
      <c r="J3306" t="s">
        <v>334</v>
      </c>
      <c r="K3306" t="s">
        <v>8417</v>
      </c>
      <c r="L3306" t="s">
        <v>8418</v>
      </c>
      <c r="M3306" t="s">
        <v>271</v>
      </c>
      <c r="N3306" t="s">
        <v>8440</v>
      </c>
      <c r="O3306" t="s">
        <v>15413</v>
      </c>
      <c r="P3306" t="s">
        <v>15414</v>
      </c>
      <c r="Q3306" t="s">
        <v>15415</v>
      </c>
      <c r="R3306">
        <v>11</v>
      </c>
      <c r="S3306">
        <v>16</v>
      </c>
    </row>
    <row r="3307" spans="1:19" x14ac:dyDescent="0.35">
      <c r="A3307">
        <v>7424</v>
      </c>
      <c r="B3307" t="s">
        <v>15416</v>
      </c>
      <c r="C3307" t="s">
        <v>42</v>
      </c>
      <c r="D3307" t="s">
        <v>15417</v>
      </c>
      <c r="E3307" t="e" cm="1">
        <f t="array" ref="E3307">- CYANOCOBALAMIN</f>
        <v>#NAME?</v>
      </c>
      <c r="F3307" t="s">
        <v>15418</v>
      </c>
      <c r="G3307" t="s">
        <v>2241</v>
      </c>
      <c r="H3307" t="s">
        <v>9899</v>
      </c>
      <c r="I3307" t="s">
        <v>15419</v>
      </c>
      <c r="J3307" t="s">
        <v>2978</v>
      </c>
      <c r="L3307" t="s">
        <v>15420</v>
      </c>
      <c r="M3307" t="s">
        <v>46</v>
      </c>
      <c r="N3307" t="s">
        <v>677</v>
      </c>
      <c r="O3307" t="s">
        <v>15421</v>
      </c>
      <c r="P3307" t="s">
        <v>15422</v>
      </c>
      <c r="Q3307" t="s">
        <v>15423</v>
      </c>
      <c r="R3307">
        <v>11</v>
      </c>
      <c r="S3307">
        <v>16</v>
      </c>
    </row>
    <row r="3308" spans="1:19" x14ac:dyDescent="0.35">
      <c r="A3308">
        <v>5274</v>
      </c>
      <c r="B3308" t="s">
        <v>15424</v>
      </c>
      <c r="C3308" t="s">
        <v>42</v>
      </c>
      <c r="D3308" t="s">
        <v>15425</v>
      </c>
      <c r="E3308" t="e" cm="1">
        <f t="array" ref="E3308">- CLOTRIMAZOLE</f>
        <v>#NAME?</v>
      </c>
      <c r="F3308" t="s">
        <v>15426</v>
      </c>
      <c r="G3308" t="s">
        <v>7163</v>
      </c>
      <c r="H3308" t="s">
        <v>15427</v>
      </c>
      <c r="I3308" t="s">
        <v>15428</v>
      </c>
      <c r="J3308" t="s">
        <v>1367</v>
      </c>
      <c r="K3308" t="s">
        <v>15429</v>
      </c>
      <c r="L3308" t="s">
        <v>9388</v>
      </c>
      <c r="M3308" t="s">
        <v>1289</v>
      </c>
      <c r="N3308" t="s">
        <v>1422</v>
      </c>
      <c r="O3308" t="s">
        <v>15430</v>
      </c>
      <c r="P3308" t="s">
        <v>15431</v>
      </c>
      <c r="Q3308" t="s">
        <v>15432</v>
      </c>
      <c r="R3308">
        <v>11</v>
      </c>
      <c r="S3308">
        <v>16</v>
      </c>
    </row>
    <row r="3309" spans="1:19" x14ac:dyDescent="0.35">
      <c r="A3309">
        <v>2970</v>
      </c>
      <c r="B3309" t="s">
        <v>15433</v>
      </c>
      <c r="C3309" t="s">
        <v>42</v>
      </c>
      <c r="D3309" t="s">
        <v>15434</v>
      </c>
      <c r="E3309" t="e" cm="1">
        <f t="array" ref="E3309">- PARACETAMOL</f>
        <v>#NAME?</v>
      </c>
      <c r="F3309" t="s">
        <v>3331</v>
      </c>
      <c r="G3309" t="s">
        <v>2241</v>
      </c>
      <c r="H3309" t="s">
        <v>15435</v>
      </c>
      <c r="I3309" t="s">
        <v>15436</v>
      </c>
      <c r="J3309" t="s">
        <v>334</v>
      </c>
      <c r="K3309" t="s">
        <v>15437</v>
      </c>
      <c r="L3309" t="s">
        <v>15438</v>
      </c>
      <c r="M3309" t="s">
        <v>271</v>
      </c>
      <c r="N3309" t="s">
        <v>584</v>
      </c>
      <c r="O3309" t="s">
        <v>15183</v>
      </c>
      <c r="P3309" t="s">
        <v>15439</v>
      </c>
      <c r="Q3309" t="s">
        <v>15440</v>
      </c>
      <c r="R3309">
        <v>11</v>
      </c>
      <c r="S3309">
        <v>16</v>
      </c>
    </row>
    <row r="3310" spans="1:19" x14ac:dyDescent="0.35">
      <c r="A3310">
        <v>2969</v>
      </c>
      <c r="B3310" t="s">
        <v>15433</v>
      </c>
      <c r="C3310" t="s">
        <v>42</v>
      </c>
      <c r="D3310" t="s">
        <v>15434</v>
      </c>
      <c r="E3310" t="e" cm="1">
        <f t="array" ref="E3310">- PARACETAMOL</f>
        <v>#NAME?</v>
      </c>
      <c r="F3310" t="s">
        <v>3331</v>
      </c>
      <c r="G3310" t="s">
        <v>2241</v>
      </c>
      <c r="H3310" t="s">
        <v>15435</v>
      </c>
      <c r="I3310" t="s">
        <v>15436</v>
      </c>
      <c r="J3310" t="s">
        <v>334</v>
      </c>
      <c r="K3310" t="s">
        <v>15437</v>
      </c>
      <c r="L3310" t="s">
        <v>15438</v>
      </c>
      <c r="M3310" t="s">
        <v>271</v>
      </c>
      <c r="N3310" t="s">
        <v>584</v>
      </c>
      <c r="O3310" t="s">
        <v>15183</v>
      </c>
      <c r="P3310" t="s">
        <v>15439</v>
      </c>
      <c r="Q3310" t="s">
        <v>15440</v>
      </c>
      <c r="R3310">
        <v>11</v>
      </c>
      <c r="S3310">
        <v>16</v>
      </c>
    </row>
    <row r="3311" spans="1:19" x14ac:dyDescent="0.35">
      <c r="A3311">
        <v>5275</v>
      </c>
      <c r="B3311" t="s">
        <v>15424</v>
      </c>
      <c r="C3311" t="s">
        <v>42</v>
      </c>
      <c r="D3311" t="s">
        <v>15425</v>
      </c>
      <c r="E3311" t="e" cm="1">
        <f t="array" ref="E3311">- CLOTRIMAZOLE</f>
        <v>#NAME?</v>
      </c>
      <c r="F3311" t="s">
        <v>15426</v>
      </c>
      <c r="G3311" t="s">
        <v>7163</v>
      </c>
      <c r="H3311" t="s">
        <v>15427</v>
      </c>
      <c r="I3311" t="s">
        <v>15428</v>
      </c>
      <c r="J3311" t="s">
        <v>1367</v>
      </c>
      <c r="K3311" t="s">
        <v>15429</v>
      </c>
      <c r="L3311" t="s">
        <v>9388</v>
      </c>
      <c r="M3311" t="s">
        <v>1289</v>
      </c>
      <c r="N3311" t="s">
        <v>1422</v>
      </c>
      <c r="O3311" t="s">
        <v>15430</v>
      </c>
      <c r="P3311" t="s">
        <v>15431</v>
      </c>
      <c r="Q3311" t="s">
        <v>15432</v>
      </c>
      <c r="R3311">
        <v>11</v>
      </c>
      <c r="S3311">
        <v>16</v>
      </c>
    </row>
    <row r="3312" spans="1:19" x14ac:dyDescent="0.35">
      <c r="A3312">
        <v>4394</v>
      </c>
      <c r="B3312" t="s">
        <v>15441</v>
      </c>
      <c r="C3312" t="s">
        <v>42</v>
      </c>
      <c r="D3312" t="s">
        <v>15442</v>
      </c>
      <c r="E3312" t="e" cm="1">
        <f t="array" ref="E3312">- OFLOXACIN</f>
        <v>#NAME?</v>
      </c>
      <c r="F3312" t="s">
        <v>15443</v>
      </c>
      <c r="G3312" t="s">
        <v>15444</v>
      </c>
      <c r="H3312" t="s">
        <v>15445</v>
      </c>
      <c r="I3312" t="s">
        <v>15394</v>
      </c>
      <c r="J3312" t="s">
        <v>9310</v>
      </c>
      <c r="K3312" t="s">
        <v>6097</v>
      </c>
      <c r="L3312" t="s">
        <v>15446</v>
      </c>
      <c r="M3312" t="s">
        <v>824</v>
      </c>
      <c r="N3312" t="s">
        <v>1640</v>
      </c>
      <c r="O3312" t="s">
        <v>15396</v>
      </c>
      <c r="P3312" t="s">
        <v>15447</v>
      </c>
      <c r="Q3312" t="s">
        <v>15448</v>
      </c>
      <c r="R3312">
        <v>11</v>
      </c>
      <c r="S3312">
        <v>16</v>
      </c>
    </row>
    <row r="3313" spans="1:19" x14ac:dyDescent="0.35">
      <c r="A3313">
        <v>7417</v>
      </c>
      <c r="B3313" t="s">
        <v>15449</v>
      </c>
      <c r="C3313" t="s">
        <v>42</v>
      </c>
      <c r="D3313" t="s">
        <v>15450</v>
      </c>
      <c r="E3313" t="e" cm="1">
        <f t="array" ref="E3313">- CYANOCOBALAMIN</f>
        <v>#NAME?</v>
      </c>
      <c r="F3313" t="s">
        <v>15451</v>
      </c>
      <c r="G3313" t="s">
        <v>15452</v>
      </c>
      <c r="H3313" t="s">
        <v>7658</v>
      </c>
      <c r="I3313" t="s">
        <v>15453</v>
      </c>
      <c r="J3313" t="s">
        <v>15454</v>
      </c>
      <c r="M3313" t="s">
        <v>291</v>
      </c>
      <c r="N3313" t="s">
        <v>677</v>
      </c>
      <c r="O3313" t="s">
        <v>15421</v>
      </c>
      <c r="P3313" t="s">
        <v>15455</v>
      </c>
      <c r="Q3313" t="s">
        <v>15456</v>
      </c>
      <c r="R3313">
        <v>11</v>
      </c>
      <c r="S3313">
        <v>16</v>
      </c>
    </row>
    <row r="3314" spans="1:19" x14ac:dyDescent="0.35">
      <c r="A3314">
        <v>5276</v>
      </c>
      <c r="B3314" t="s">
        <v>15424</v>
      </c>
      <c r="C3314" t="s">
        <v>42</v>
      </c>
      <c r="D3314" t="s">
        <v>15457</v>
      </c>
      <c r="E3314" t="e" cm="1">
        <f t="array" ref="E3314">- CLOTRIMAZOLE</f>
        <v>#NAME?</v>
      </c>
      <c r="F3314" t="s">
        <v>15458</v>
      </c>
      <c r="G3314" t="s">
        <v>7163</v>
      </c>
      <c r="H3314" t="s">
        <v>15427</v>
      </c>
      <c r="I3314" t="s">
        <v>15428</v>
      </c>
      <c r="J3314" t="s">
        <v>2040</v>
      </c>
      <c r="K3314" t="s">
        <v>15429</v>
      </c>
      <c r="L3314" t="s">
        <v>9388</v>
      </c>
      <c r="M3314" t="s">
        <v>1289</v>
      </c>
      <c r="N3314" t="s">
        <v>1422</v>
      </c>
      <c r="O3314" t="s">
        <v>15430</v>
      </c>
      <c r="P3314" t="s">
        <v>15431</v>
      </c>
      <c r="Q3314" t="s">
        <v>15432</v>
      </c>
      <c r="R3314">
        <v>11</v>
      </c>
      <c r="S3314">
        <v>16</v>
      </c>
    </row>
    <row r="3315" spans="1:19" x14ac:dyDescent="0.35">
      <c r="A3315">
        <v>5277</v>
      </c>
      <c r="B3315" t="s">
        <v>15424</v>
      </c>
      <c r="C3315" t="s">
        <v>42</v>
      </c>
      <c r="D3315" t="s">
        <v>15457</v>
      </c>
      <c r="E3315" t="e" cm="1">
        <f t="array" ref="E3315">- CLOTRIMAZOLE</f>
        <v>#NAME?</v>
      </c>
      <c r="F3315" t="s">
        <v>15458</v>
      </c>
      <c r="G3315" t="s">
        <v>7163</v>
      </c>
      <c r="H3315" t="s">
        <v>15427</v>
      </c>
      <c r="I3315" t="s">
        <v>15428</v>
      </c>
      <c r="J3315" t="s">
        <v>2040</v>
      </c>
      <c r="K3315" t="s">
        <v>15429</v>
      </c>
      <c r="L3315" t="s">
        <v>9388</v>
      </c>
      <c r="M3315" t="s">
        <v>1289</v>
      </c>
      <c r="N3315" t="s">
        <v>1422</v>
      </c>
      <c r="O3315" t="s">
        <v>15430</v>
      </c>
      <c r="P3315" t="s">
        <v>15431</v>
      </c>
      <c r="Q3315" t="s">
        <v>15432</v>
      </c>
      <c r="R3315">
        <v>11</v>
      </c>
      <c r="S3315">
        <v>16</v>
      </c>
    </row>
    <row r="3316" spans="1:19" x14ac:dyDescent="0.35">
      <c r="A3316">
        <v>4579</v>
      </c>
      <c r="B3316" t="s">
        <v>8767</v>
      </c>
      <c r="C3316" t="s">
        <v>42</v>
      </c>
      <c r="D3316" t="s">
        <v>8768</v>
      </c>
      <c r="E3316" t="e" cm="1">
        <f t="array" ref="E3316">- NEOMYCIN SULFATE. FLUOROMETHOLONE</f>
        <v>#NAME?</v>
      </c>
      <c r="F3316" t="s">
        <v>8769</v>
      </c>
      <c r="G3316" t="s">
        <v>7569</v>
      </c>
      <c r="H3316" t="s">
        <v>7570</v>
      </c>
      <c r="I3316" t="s">
        <v>8770</v>
      </c>
      <c r="J3316" t="s">
        <v>8771</v>
      </c>
      <c r="K3316" t="s">
        <v>8772</v>
      </c>
      <c r="L3316" t="s">
        <v>8773</v>
      </c>
      <c r="M3316" t="s">
        <v>824</v>
      </c>
      <c r="N3316" t="s">
        <v>15459</v>
      </c>
      <c r="O3316" t="s">
        <v>8775</v>
      </c>
      <c r="P3316" t="s">
        <v>8776</v>
      </c>
      <c r="Q3316" t="s">
        <v>15460</v>
      </c>
      <c r="R3316">
        <v>11</v>
      </c>
      <c r="S3316">
        <v>16</v>
      </c>
    </row>
    <row r="3317" spans="1:19" x14ac:dyDescent="0.35">
      <c r="A3317">
        <v>1565</v>
      </c>
      <c r="B3317" t="s">
        <v>10161</v>
      </c>
      <c r="C3317" t="s">
        <v>42</v>
      </c>
      <c r="D3317" t="s">
        <v>10162</v>
      </c>
      <c r="E3317" t="e" cm="1">
        <f t="array" ref="E3317">- PARACETAMOL. CHLORPHENAMINE MALEATE. GUAIFENESIN</f>
        <v>#NAME?</v>
      </c>
      <c r="F3317" t="s">
        <v>10163</v>
      </c>
      <c r="G3317" t="s">
        <v>10164</v>
      </c>
      <c r="H3317" t="s">
        <v>10165</v>
      </c>
      <c r="I3317" t="s">
        <v>10166</v>
      </c>
      <c r="J3317" t="s">
        <v>10167</v>
      </c>
      <c r="K3317" t="s">
        <v>2726</v>
      </c>
      <c r="L3317" t="s">
        <v>10168</v>
      </c>
      <c r="M3317" t="s">
        <v>271</v>
      </c>
      <c r="N3317" t="s">
        <v>15461</v>
      </c>
      <c r="O3317" t="s">
        <v>10169</v>
      </c>
      <c r="P3317" t="s">
        <v>10170</v>
      </c>
      <c r="Q3317" t="s">
        <v>15462</v>
      </c>
      <c r="R3317">
        <v>11</v>
      </c>
      <c r="S3317">
        <v>16</v>
      </c>
    </row>
    <row r="3318" spans="1:19" x14ac:dyDescent="0.35">
      <c r="A3318">
        <v>4574</v>
      </c>
      <c r="B3318" t="s">
        <v>15463</v>
      </c>
      <c r="C3318" t="s">
        <v>42</v>
      </c>
      <c r="D3318" t="s">
        <v>15464</v>
      </c>
      <c r="E3318" t="e" cm="1">
        <f t="array" ref="E3318">- DICLOFENAC SODIUM</f>
        <v>#NAME?</v>
      </c>
      <c r="F3318" t="s">
        <v>15465</v>
      </c>
      <c r="G3318" t="s">
        <v>7569</v>
      </c>
      <c r="H3318" t="s">
        <v>15466</v>
      </c>
      <c r="I3318" t="s">
        <v>15467</v>
      </c>
      <c r="J3318" t="s">
        <v>11321</v>
      </c>
      <c r="L3318" t="s">
        <v>270</v>
      </c>
      <c r="M3318" t="s">
        <v>824</v>
      </c>
      <c r="N3318" t="s">
        <v>2597</v>
      </c>
      <c r="O3318" t="s">
        <v>15468</v>
      </c>
      <c r="P3318" t="s">
        <v>15469</v>
      </c>
      <c r="Q3318" t="s">
        <v>15470</v>
      </c>
      <c r="R3318">
        <v>11</v>
      </c>
      <c r="S3318">
        <v>16</v>
      </c>
    </row>
    <row r="3319" spans="1:19" x14ac:dyDescent="0.35">
      <c r="A3319">
        <v>1566</v>
      </c>
      <c r="B3319" t="s">
        <v>10161</v>
      </c>
      <c r="C3319" t="s">
        <v>42</v>
      </c>
      <c r="D3319" t="s">
        <v>10162</v>
      </c>
      <c r="E3319" t="e" cm="1">
        <f t="array" ref="E3319">- PARACETAMOL. CHLORPHENAMINE MALEATE. GUAIFENESIN</f>
        <v>#NAME?</v>
      </c>
      <c r="F3319" t="s">
        <v>10163</v>
      </c>
      <c r="G3319" t="s">
        <v>10164</v>
      </c>
      <c r="H3319" t="s">
        <v>10165</v>
      </c>
      <c r="I3319" t="s">
        <v>10166</v>
      </c>
      <c r="J3319" t="s">
        <v>10167</v>
      </c>
      <c r="K3319" t="s">
        <v>2726</v>
      </c>
      <c r="L3319" t="s">
        <v>10168</v>
      </c>
      <c r="M3319" t="s">
        <v>271</v>
      </c>
      <c r="N3319" t="s">
        <v>15461</v>
      </c>
      <c r="O3319" t="s">
        <v>10169</v>
      </c>
      <c r="P3319" t="s">
        <v>10170</v>
      </c>
      <c r="Q3319" t="s">
        <v>15462</v>
      </c>
      <c r="R3319">
        <v>11</v>
      </c>
      <c r="S3319">
        <v>16</v>
      </c>
    </row>
    <row r="3320" spans="1:19" x14ac:dyDescent="0.35">
      <c r="A3320">
        <v>4017</v>
      </c>
      <c r="B3320" t="s">
        <v>15399</v>
      </c>
      <c r="C3320" t="s">
        <v>42</v>
      </c>
      <c r="D3320" t="s">
        <v>15400</v>
      </c>
      <c r="E3320" t="e" cm="1">
        <f t="array" ref="E3320">- LACTULOSE</f>
        <v>#NAME?</v>
      </c>
      <c r="F3320" t="s">
        <v>15401</v>
      </c>
      <c r="G3320" t="s">
        <v>5301</v>
      </c>
      <c r="H3320" t="s">
        <v>15402</v>
      </c>
      <c r="I3320" t="s">
        <v>15403</v>
      </c>
      <c r="J3320" t="s">
        <v>334</v>
      </c>
      <c r="K3320" t="s">
        <v>15404</v>
      </c>
      <c r="L3320" t="s">
        <v>15405</v>
      </c>
      <c r="M3320" t="s">
        <v>271</v>
      </c>
      <c r="N3320" t="s">
        <v>1156</v>
      </c>
      <c r="O3320" t="s">
        <v>15406</v>
      </c>
      <c r="P3320" t="s">
        <v>15407</v>
      </c>
      <c r="Q3320" t="s">
        <v>15408</v>
      </c>
      <c r="R3320">
        <v>11</v>
      </c>
      <c r="S3320">
        <v>16</v>
      </c>
    </row>
    <row r="3321" spans="1:19" x14ac:dyDescent="0.35">
      <c r="A3321">
        <v>3000</v>
      </c>
      <c r="B3321" t="s">
        <v>15471</v>
      </c>
      <c r="C3321" t="s">
        <v>42</v>
      </c>
      <c r="D3321" t="s">
        <v>15472</v>
      </c>
      <c r="E3321" t="e" cm="1">
        <f t="array" ref="E3321">- PARACETAMOL</f>
        <v>#NAME?</v>
      </c>
      <c r="F3321" t="s">
        <v>15473</v>
      </c>
      <c r="G3321" t="s">
        <v>7219</v>
      </c>
      <c r="H3321" t="s">
        <v>15474</v>
      </c>
      <c r="I3321" t="s">
        <v>15475</v>
      </c>
      <c r="J3321" t="s">
        <v>846</v>
      </c>
      <c r="K3321" t="s">
        <v>15139</v>
      </c>
      <c r="L3321" t="s">
        <v>15140</v>
      </c>
      <c r="M3321" t="s">
        <v>340</v>
      </c>
      <c r="N3321" t="s">
        <v>584</v>
      </c>
      <c r="O3321" t="s">
        <v>15476</v>
      </c>
      <c r="P3321" t="s">
        <v>15325</v>
      </c>
      <c r="Q3321" t="s">
        <v>15477</v>
      </c>
      <c r="R3321">
        <v>11</v>
      </c>
      <c r="S3321">
        <v>16</v>
      </c>
    </row>
    <row r="3322" spans="1:19" x14ac:dyDescent="0.35">
      <c r="A3322">
        <v>7903</v>
      </c>
      <c r="B3322" t="s">
        <v>15478</v>
      </c>
      <c r="C3322" t="s">
        <v>20</v>
      </c>
      <c r="D3322" t="s">
        <v>15479</v>
      </c>
      <c r="E3322" t="s">
        <v>15480</v>
      </c>
      <c r="F3322" t="s">
        <v>15481</v>
      </c>
      <c r="G3322" t="s">
        <v>15482</v>
      </c>
      <c r="H3322" t="s">
        <v>15483</v>
      </c>
      <c r="I3322" t="s">
        <v>15484</v>
      </c>
      <c r="J3322" t="s">
        <v>75</v>
      </c>
      <c r="L3322" t="s">
        <v>15485</v>
      </c>
      <c r="M3322" t="s">
        <v>38</v>
      </c>
      <c r="N3322" t="s">
        <v>15486</v>
      </c>
      <c r="O3322" t="s">
        <v>15484</v>
      </c>
      <c r="P3322" t="s">
        <v>15487</v>
      </c>
      <c r="Q3322" t="s">
        <v>15488</v>
      </c>
      <c r="R3322">
        <v>11</v>
      </c>
      <c r="S3322">
        <v>16</v>
      </c>
    </row>
    <row r="3323" spans="1:19" x14ac:dyDescent="0.35">
      <c r="A3323">
        <v>4432</v>
      </c>
      <c r="B3323" t="s">
        <v>15489</v>
      </c>
      <c r="C3323" t="s">
        <v>20</v>
      </c>
      <c r="D3323" t="s">
        <v>15490</v>
      </c>
      <c r="E3323" t="s">
        <v>15491</v>
      </c>
      <c r="F3323" t="s">
        <v>15492</v>
      </c>
      <c r="G3323" t="s">
        <v>13603</v>
      </c>
      <c r="H3323" t="s">
        <v>15493</v>
      </c>
      <c r="I3323" t="s">
        <v>13605</v>
      </c>
      <c r="J3323" t="s">
        <v>15494</v>
      </c>
      <c r="L3323" t="s">
        <v>13607</v>
      </c>
      <c r="M3323" t="s">
        <v>46</v>
      </c>
      <c r="N3323" t="s">
        <v>15495</v>
      </c>
      <c r="O3323" t="s">
        <v>13609</v>
      </c>
      <c r="P3323" t="s">
        <v>15495</v>
      </c>
      <c r="Q3323" t="s">
        <v>15496</v>
      </c>
      <c r="R3323">
        <v>11</v>
      </c>
      <c r="S3323">
        <v>16</v>
      </c>
    </row>
    <row r="3324" spans="1:19" x14ac:dyDescent="0.35">
      <c r="A3324">
        <v>6979</v>
      </c>
      <c r="B3324" t="s">
        <v>1803</v>
      </c>
      <c r="C3324" t="s">
        <v>42</v>
      </c>
      <c r="D3324" t="s">
        <v>15497</v>
      </c>
      <c r="E3324" t="e" cm="1">
        <f t="array" ref="E3324">- TIZANIDINE HYDROCHLORIDE</f>
        <v>#NAME?</v>
      </c>
      <c r="F3324" t="s">
        <v>15498</v>
      </c>
      <c r="M3324" t="s">
        <v>46</v>
      </c>
      <c r="N3324" t="s">
        <v>1806</v>
      </c>
      <c r="P3324" t="s">
        <v>15499</v>
      </c>
      <c r="Q3324" t="s">
        <v>15500</v>
      </c>
      <c r="R3324">
        <v>11</v>
      </c>
      <c r="S3324">
        <v>16</v>
      </c>
    </row>
    <row r="3325" spans="1:19" x14ac:dyDescent="0.35">
      <c r="A3325">
        <v>8861</v>
      </c>
      <c r="B3325" t="s">
        <v>15501</v>
      </c>
      <c r="C3325" t="s">
        <v>20</v>
      </c>
      <c r="D3325" t="s">
        <v>15502</v>
      </c>
      <c r="E3325" t="s">
        <v>15503</v>
      </c>
      <c r="F3325" t="s">
        <v>15504</v>
      </c>
      <c r="H3325" t="s">
        <v>4524</v>
      </c>
      <c r="I3325" t="s">
        <v>8633</v>
      </c>
      <c r="J3325" t="s">
        <v>107</v>
      </c>
      <c r="M3325" t="s">
        <v>38</v>
      </c>
      <c r="N3325" t="s">
        <v>15505</v>
      </c>
      <c r="O3325" t="s">
        <v>5535</v>
      </c>
      <c r="P3325" t="s">
        <v>15506</v>
      </c>
      <c r="Q3325" t="s">
        <v>15507</v>
      </c>
      <c r="R3325">
        <v>11</v>
      </c>
      <c r="S3325">
        <v>16</v>
      </c>
    </row>
    <row r="3326" spans="1:19" x14ac:dyDescent="0.35">
      <c r="A3326">
        <v>8862</v>
      </c>
      <c r="B3326" t="s">
        <v>15508</v>
      </c>
      <c r="C3326" t="s">
        <v>20</v>
      </c>
      <c r="D3326" t="s">
        <v>15509</v>
      </c>
      <c r="E3326" t="s">
        <v>15510</v>
      </c>
      <c r="F3326" t="s">
        <v>15511</v>
      </c>
      <c r="G3326" t="s">
        <v>60</v>
      </c>
      <c r="H3326" t="s">
        <v>15512</v>
      </c>
      <c r="I3326" t="s">
        <v>15513</v>
      </c>
      <c r="J3326" t="s">
        <v>15514</v>
      </c>
      <c r="L3326" t="s">
        <v>15515</v>
      </c>
      <c r="M3326" t="s">
        <v>15516</v>
      </c>
      <c r="N3326" t="s">
        <v>15517</v>
      </c>
      <c r="O3326" t="s">
        <v>15518</v>
      </c>
      <c r="P3326" t="s">
        <v>15519</v>
      </c>
      <c r="Q3326" t="s">
        <v>15520</v>
      </c>
      <c r="R3326">
        <v>11</v>
      </c>
      <c r="S3326">
        <v>16</v>
      </c>
    </row>
    <row r="3327" spans="1:19" x14ac:dyDescent="0.35">
      <c r="A3327">
        <v>2947</v>
      </c>
      <c r="B3327" t="s">
        <v>15521</v>
      </c>
      <c r="C3327" t="s">
        <v>42</v>
      </c>
      <c r="D3327" t="s">
        <v>15522</v>
      </c>
      <c r="E3327" t="e" cm="1">
        <f t="array" ref="E3327">- PARACETAMOL</f>
        <v>#NAME?</v>
      </c>
      <c r="F3327" t="s">
        <v>15523</v>
      </c>
      <c r="G3327" t="s">
        <v>3083</v>
      </c>
      <c r="H3327" t="s">
        <v>15524</v>
      </c>
      <c r="I3327" t="s">
        <v>15525</v>
      </c>
      <c r="J3327" t="s">
        <v>743</v>
      </c>
      <c r="M3327" t="s">
        <v>824</v>
      </c>
      <c r="N3327" t="s">
        <v>584</v>
      </c>
      <c r="O3327" t="s">
        <v>15526</v>
      </c>
      <c r="P3327" t="s">
        <v>15527</v>
      </c>
      <c r="Q3327" t="s">
        <v>15528</v>
      </c>
      <c r="R3327">
        <v>11</v>
      </c>
      <c r="S3327">
        <v>16</v>
      </c>
    </row>
    <row r="3328" spans="1:19" x14ac:dyDescent="0.35">
      <c r="A3328">
        <v>4357</v>
      </c>
      <c r="B3328" t="s">
        <v>1637</v>
      </c>
      <c r="C3328" t="s">
        <v>42</v>
      </c>
      <c r="D3328" t="s">
        <v>15390</v>
      </c>
      <c r="E3328" t="e" cm="1">
        <f t="array" ref="E3328">- OFLOXACIN</f>
        <v>#NAME?</v>
      </c>
      <c r="F3328" t="s">
        <v>15391</v>
      </c>
      <c r="G3328" t="s">
        <v>15392</v>
      </c>
      <c r="H3328" t="s">
        <v>15393</v>
      </c>
      <c r="I3328" t="s">
        <v>15394</v>
      </c>
      <c r="J3328" t="s">
        <v>11321</v>
      </c>
      <c r="K3328" t="s">
        <v>2726</v>
      </c>
      <c r="L3328" t="s">
        <v>15395</v>
      </c>
      <c r="M3328" t="s">
        <v>824</v>
      </c>
      <c r="N3328" t="s">
        <v>1640</v>
      </c>
      <c r="O3328" t="s">
        <v>15396</v>
      </c>
      <c r="P3328" t="s">
        <v>15397</v>
      </c>
      <c r="Q3328" t="s">
        <v>15398</v>
      </c>
      <c r="R3328">
        <v>11</v>
      </c>
      <c r="S3328">
        <v>16</v>
      </c>
    </row>
    <row r="3329" spans="1:19" x14ac:dyDescent="0.35">
      <c r="A3329">
        <v>2318</v>
      </c>
      <c r="B3329" t="s">
        <v>15529</v>
      </c>
      <c r="C3329" t="s">
        <v>42</v>
      </c>
      <c r="D3329" t="s">
        <v>15530</v>
      </c>
      <c r="E3329" t="e" cm="1">
        <f t="array" ref="E3329">- CAFFEINE</f>
        <v>#NAME?</v>
      </c>
      <c r="F3329" t="s">
        <v>15531</v>
      </c>
      <c r="G3329" t="s">
        <v>12603</v>
      </c>
      <c r="H3329" t="s">
        <v>15532</v>
      </c>
      <c r="I3329" t="s">
        <v>15533</v>
      </c>
      <c r="J3329" t="s">
        <v>15534</v>
      </c>
      <c r="K3329" t="s">
        <v>7640</v>
      </c>
      <c r="L3329" t="s">
        <v>15535</v>
      </c>
      <c r="M3329" t="s">
        <v>46</v>
      </c>
      <c r="N3329" t="s">
        <v>2359</v>
      </c>
      <c r="O3329" t="s">
        <v>15536</v>
      </c>
      <c r="P3329" t="s">
        <v>15537</v>
      </c>
      <c r="Q3329" t="s">
        <v>15538</v>
      </c>
      <c r="R3329">
        <v>11</v>
      </c>
      <c r="S3329">
        <v>16</v>
      </c>
    </row>
    <row r="3330" spans="1:19" x14ac:dyDescent="0.35">
      <c r="A3330">
        <v>2525</v>
      </c>
      <c r="B3330" t="s">
        <v>15539</v>
      </c>
      <c r="C3330" t="s">
        <v>42</v>
      </c>
      <c r="D3330" t="s">
        <v>15540</v>
      </c>
      <c r="E3330" t="e" cm="1">
        <f t="array" ref="E3330">- PARACETAMOL</f>
        <v>#NAME?</v>
      </c>
      <c r="F3330" s="1">
        <v>3200</v>
      </c>
      <c r="G3330" t="s">
        <v>60</v>
      </c>
      <c r="H3330" t="s">
        <v>15541</v>
      </c>
      <c r="I3330" t="s">
        <v>15280</v>
      </c>
      <c r="J3330" t="s">
        <v>9876</v>
      </c>
      <c r="K3330" t="s">
        <v>6861</v>
      </c>
      <c r="L3330" t="s">
        <v>15542</v>
      </c>
      <c r="M3330" t="s">
        <v>291</v>
      </c>
      <c r="N3330" t="s">
        <v>584</v>
      </c>
      <c r="O3330" t="s">
        <v>15281</v>
      </c>
      <c r="P3330" t="s">
        <v>15282</v>
      </c>
      <c r="Q3330" t="s">
        <v>15543</v>
      </c>
      <c r="R3330">
        <v>11</v>
      </c>
      <c r="S3330">
        <v>16</v>
      </c>
    </row>
    <row r="3331" spans="1:19" x14ac:dyDescent="0.35">
      <c r="A3331">
        <v>2523</v>
      </c>
      <c r="B3331" t="s">
        <v>15544</v>
      </c>
      <c r="C3331" t="s">
        <v>42</v>
      </c>
      <c r="D3331" t="s">
        <v>15545</v>
      </c>
      <c r="E3331" t="e" cm="1">
        <f t="array" ref="E3331">- KETOPROFEN</f>
        <v>#NAME?</v>
      </c>
      <c r="F3331" s="1">
        <v>76400</v>
      </c>
      <c r="G3331" t="s">
        <v>15546</v>
      </c>
      <c r="H3331" t="s">
        <v>15547</v>
      </c>
      <c r="I3331" t="s">
        <v>15548</v>
      </c>
      <c r="J3331" t="s">
        <v>15549</v>
      </c>
      <c r="K3331" t="s">
        <v>15550</v>
      </c>
      <c r="L3331" t="s">
        <v>15551</v>
      </c>
    </row>
    <row r="3332" spans="1:19" x14ac:dyDescent="0.35">
      <c r="A3332">
        <v>435</v>
      </c>
      <c r="B3332" t="s">
        <v>15552</v>
      </c>
      <c r="C3332" t="s">
        <v>20</v>
      </c>
      <c r="D3332" t="s">
        <v>15553</v>
      </c>
      <c r="E3332" t="s">
        <v>15554</v>
      </c>
      <c r="F3332" t="s">
        <v>15555</v>
      </c>
      <c r="G3332" t="s">
        <v>2241</v>
      </c>
      <c r="H3332" t="s">
        <v>15556</v>
      </c>
      <c r="I3332" t="s">
        <v>15557</v>
      </c>
      <c r="J3332" t="s">
        <v>15558</v>
      </c>
      <c r="M3332" t="s">
        <v>291</v>
      </c>
      <c r="N3332" t="s">
        <v>15559</v>
      </c>
      <c r="O3332" t="s">
        <v>15560</v>
      </c>
      <c r="P3332" t="s">
        <v>15559</v>
      </c>
      <c r="Q3332" t="s">
        <v>15561</v>
      </c>
      <c r="R3332">
        <v>11</v>
      </c>
      <c r="S3332">
        <v>16</v>
      </c>
    </row>
    <row r="3333" spans="1:19" x14ac:dyDescent="0.35">
      <c r="A3333">
        <v>1584</v>
      </c>
      <c r="B3333" t="s">
        <v>2175</v>
      </c>
      <c r="C3333" t="s">
        <v>42</v>
      </c>
      <c r="D3333" t="s">
        <v>2176</v>
      </c>
      <c r="E3333" t="e" cm="1">
        <f t="array" ref="E3333">- DIPHENHYDRAMINE HYDROCHLORIDE. AMMONIUM CHLORIDE. SULFOGAIACOL POTASSIUM. SODIUM CITRATE DIHYDRATE</f>
        <v>#NAME?</v>
      </c>
      <c r="F3333" t="s">
        <v>2177</v>
      </c>
      <c r="G3333" t="s">
        <v>2178</v>
      </c>
      <c r="H3333" t="s">
        <v>2179</v>
      </c>
      <c r="J3333" t="s">
        <v>334</v>
      </c>
      <c r="K3333" t="s">
        <v>2180</v>
      </c>
      <c r="L3333" t="s">
        <v>2181</v>
      </c>
      <c r="M3333" t="s">
        <v>271</v>
      </c>
      <c r="N3333" t="s">
        <v>15042</v>
      </c>
      <c r="P3333" t="s">
        <v>2182</v>
      </c>
      <c r="Q3333" t="s">
        <v>15043</v>
      </c>
      <c r="R3333">
        <v>11</v>
      </c>
      <c r="S3333">
        <v>16</v>
      </c>
    </row>
    <row r="3334" spans="1:19" x14ac:dyDescent="0.35">
      <c r="A3334">
        <v>2522</v>
      </c>
      <c r="B3334" t="s">
        <v>15544</v>
      </c>
      <c r="C3334" t="s">
        <v>42</v>
      </c>
      <c r="D3334" t="s">
        <v>15545</v>
      </c>
      <c r="E3334" t="e" cm="1">
        <f t="array" ref="E3334">- KETOPROFEN</f>
        <v>#NAME?</v>
      </c>
      <c r="F3334" s="1">
        <v>76400</v>
      </c>
      <c r="G3334" t="s">
        <v>15546</v>
      </c>
      <c r="H3334" t="s">
        <v>15547</v>
      </c>
      <c r="I3334" t="s">
        <v>15548</v>
      </c>
      <c r="J3334" t="s">
        <v>15549</v>
      </c>
      <c r="K3334" t="s">
        <v>15550</v>
      </c>
      <c r="L3334" t="s">
        <v>15551</v>
      </c>
    </row>
    <row r="3335" spans="1:19" x14ac:dyDescent="0.35">
      <c r="A3335">
        <v>2521</v>
      </c>
      <c r="B3335" t="s">
        <v>15544</v>
      </c>
      <c r="C3335" t="s">
        <v>42</v>
      </c>
      <c r="D3335" t="s">
        <v>15545</v>
      </c>
      <c r="E3335" t="e" cm="1">
        <f t="array" ref="E3335">- KETOPROFEN</f>
        <v>#NAME?</v>
      </c>
      <c r="F3335" s="1">
        <v>76400</v>
      </c>
      <c r="G3335" t="s">
        <v>15546</v>
      </c>
      <c r="H3335" t="s">
        <v>15547</v>
      </c>
      <c r="I3335" t="s">
        <v>15548</v>
      </c>
      <c r="J3335" t="s">
        <v>15549</v>
      </c>
      <c r="K3335" t="s">
        <v>15550</v>
      </c>
      <c r="L3335" t="s">
        <v>15551</v>
      </c>
    </row>
    <row r="3336" spans="1:19" x14ac:dyDescent="0.35">
      <c r="A3336">
        <v>3983</v>
      </c>
      <c r="B3336" t="s">
        <v>15562</v>
      </c>
      <c r="C3336" t="s">
        <v>20</v>
      </c>
      <c r="D3336" t="s">
        <v>15563</v>
      </c>
      <c r="E3336" t="s">
        <v>15564</v>
      </c>
      <c r="F3336" t="s">
        <v>15565</v>
      </c>
      <c r="G3336" t="s">
        <v>15566</v>
      </c>
      <c r="H3336" t="s">
        <v>15567</v>
      </c>
      <c r="I3336" t="s">
        <v>15568</v>
      </c>
      <c r="J3336" t="s">
        <v>15569</v>
      </c>
      <c r="K3336" t="s">
        <v>15570</v>
      </c>
      <c r="L3336" t="s">
        <v>15571</v>
      </c>
      <c r="M3336" t="s">
        <v>63</v>
      </c>
      <c r="N3336" t="s">
        <v>15572</v>
      </c>
      <c r="O3336" t="s">
        <v>4005</v>
      </c>
      <c r="P3336" t="s">
        <v>15573</v>
      </c>
      <c r="Q3336" t="s">
        <v>15574</v>
      </c>
      <c r="R3336">
        <v>11</v>
      </c>
      <c r="S3336">
        <v>16</v>
      </c>
    </row>
    <row r="3337" spans="1:19" x14ac:dyDescent="0.35">
      <c r="A3337">
        <v>2520</v>
      </c>
      <c r="B3337" t="s">
        <v>15544</v>
      </c>
      <c r="C3337" t="s">
        <v>42</v>
      </c>
      <c r="D3337" t="s">
        <v>15545</v>
      </c>
      <c r="E3337" t="e" cm="1">
        <f t="array" ref="E3337">- KETOPROFEN</f>
        <v>#NAME?</v>
      </c>
      <c r="F3337" s="1">
        <v>76400</v>
      </c>
      <c r="G3337" t="s">
        <v>15546</v>
      </c>
      <c r="H3337" t="s">
        <v>15547</v>
      </c>
      <c r="I3337" t="s">
        <v>15548</v>
      </c>
      <c r="J3337" t="s">
        <v>15549</v>
      </c>
      <c r="K3337" t="s">
        <v>15550</v>
      </c>
      <c r="L3337" t="s">
        <v>15551</v>
      </c>
    </row>
    <row r="3338" spans="1:19" x14ac:dyDescent="0.35">
      <c r="A3338">
        <v>5814</v>
      </c>
      <c r="B3338" t="s">
        <v>15575</v>
      </c>
      <c r="C3338" t="s">
        <v>42</v>
      </c>
      <c r="D3338" t="s">
        <v>15576</v>
      </c>
      <c r="E3338" t="e" cm="1">
        <f t="array" ref="E3338">- METRONIDAZOLE. NYSTATIN</f>
        <v>#NAME?</v>
      </c>
      <c r="F3338" t="s">
        <v>15577</v>
      </c>
      <c r="G3338" t="s">
        <v>15578</v>
      </c>
      <c r="H3338" t="s">
        <v>15579</v>
      </c>
      <c r="I3338" t="s">
        <v>15580</v>
      </c>
      <c r="J3338" t="s">
        <v>15581</v>
      </c>
      <c r="K3338" t="s">
        <v>4677</v>
      </c>
      <c r="L3338" t="s">
        <v>15582</v>
      </c>
      <c r="M3338" t="s">
        <v>8891</v>
      </c>
      <c r="N3338" t="s">
        <v>10960</v>
      </c>
      <c r="O3338" t="s">
        <v>13088</v>
      </c>
      <c r="P3338" t="s">
        <v>15583</v>
      </c>
      <c r="Q3338" t="s">
        <v>15584</v>
      </c>
      <c r="R3338">
        <v>11</v>
      </c>
      <c r="S3338">
        <v>16</v>
      </c>
    </row>
    <row r="3339" spans="1:19" x14ac:dyDescent="0.35">
      <c r="A3339">
        <v>5813</v>
      </c>
      <c r="B3339" t="s">
        <v>15575</v>
      </c>
      <c r="C3339" t="s">
        <v>42</v>
      </c>
      <c r="D3339" t="s">
        <v>15576</v>
      </c>
      <c r="E3339" t="e" cm="1">
        <f t="array" ref="E3339">- METRONIDAZOLE. NYSTATIN</f>
        <v>#NAME?</v>
      </c>
      <c r="F3339" t="s">
        <v>15577</v>
      </c>
      <c r="G3339" t="s">
        <v>15578</v>
      </c>
      <c r="H3339" t="s">
        <v>15579</v>
      </c>
      <c r="I3339" t="s">
        <v>15580</v>
      </c>
      <c r="J3339" t="s">
        <v>15581</v>
      </c>
      <c r="K3339" t="s">
        <v>4677</v>
      </c>
      <c r="L3339" t="s">
        <v>15582</v>
      </c>
      <c r="M3339" t="s">
        <v>8891</v>
      </c>
      <c r="N3339" t="s">
        <v>10960</v>
      </c>
      <c r="O3339" t="s">
        <v>13088</v>
      </c>
      <c r="P3339" t="s">
        <v>15583</v>
      </c>
      <c r="Q3339" t="s">
        <v>15584</v>
      </c>
      <c r="R3339">
        <v>11</v>
      </c>
      <c r="S3339">
        <v>16</v>
      </c>
    </row>
    <row r="3340" spans="1:19" x14ac:dyDescent="0.35">
      <c r="A3340">
        <v>4403</v>
      </c>
      <c r="B3340" t="s">
        <v>15585</v>
      </c>
      <c r="C3340" t="s">
        <v>20</v>
      </c>
      <c r="D3340" t="s">
        <v>15586</v>
      </c>
      <c r="E3340" t="s">
        <v>15587</v>
      </c>
      <c r="F3340" t="s">
        <v>15588</v>
      </c>
      <c r="G3340" t="s">
        <v>15589</v>
      </c>
      <c r="H3340" t="s">
        <v>15590</v>
      </c>
      <c r="I3340" t="s">
        <v>15591</v>
      </c>
      <c r="J3340" t="s">
        <v>1144</v>
      </c>
      <c r="L3340" t="s">
        <v>15592</v>
      </c>
      <c r="N3340" t="s">
        <v>15593</v>
      </c>
      <c r="O3340" t="s">
        <v>15594</v>
      </c>
      <c r="P3340" t="s">
        <v>15593</v>
      </c>
      <c r="Q3340" t="s">
        <v>15595</v>
      </c>
      <c r="R3340">
        <v>11</v>
      </c>
      <c r="S3340">
        <v>16</v>
      </c>
    </row>
    <row r="3341" spans="1:19" x14ac:dyDescent="0.35">
      <c r="A3341">
        <v>9283</v>
      </c>
      <c r="B3341" t="s">
        <v>15596</v>
      </c>
      <c r="C3341" t="s">
        <v>42</v>
      </c>
      <c r="D3341" t="s">
        <v>15597</v>
      </c>
      <c r="E3341" t="e" cm="1">
        <f t="array" ref="E3341">- TELMISARTAN</f>
        <v>#NAME?</v>
      </c>
      <c r="F3341" t="s">
        <v>15598</v>
      </c>
      <c r="G3341" t="s">
        <v>4420</v>
      </c>
      <c r="H3341" t="s">
        <v>15599</v>
      </c>
      <c r="I3341" t="s">
        <v>15600</v>
      </c>
      <c r="J3341" t="s">
        <v>12606</v>
      </c>
      <c r="K3341" t="s">
        <v>15601</v>
      </c>
      <c r="L3341" t="s">
        <v>15602</v>
      </c>
      <c r="M3341" t="s">
        <v>46</v>
      </c>
      <c r="N3341" t="s">
        <v>2270</v>
      </c>
      <c r="O3341" t="s">
        <v>15603</v>
      </c>
      <c r="P3341" t="s">
        <v>15604</v>
      </c>
      <c r="Q3341" t="s">
        <v>15605</v>
      </c>
      <c r="R3341">
        <v>11</v>
      </c>
      <c r="S3341">
        <v>16</v>
      </c>
    </row>
    <row r="3342" spans="1:19" x14ac:dyDescent="0.35">
      <c r="A3342">
        <v>5342</v>
      </c>
      <c r="B3342" t="s">
        <v>7148</v>
      </c>
      <c r="C3342" t="s">
        <v>42</v>
      </c>
      <c r="D3342" t="s">
        <v>15606</v>
      </c>
      <c r="E3342" t="e" cm="1">
        <f t="array" ref="E3342">- SULFADIAZINE SILVER</f>
        <v>#NAME?</v>
      </c>
      <c r="F3342" s="1">
        <v>548000</v>
      </c>
      <c r="G3342" t="s">
        <v>15607</v>
      </c>
      <c r="I3342" t="s">
        <v>15608</v>
      </c>
      <c r="J3342" t="s">
        <v>2939</v>
      </c>
      <c r="M3342" t="s">
        <v>1289</v>
      </c>
      <c r="N3342" t="s">
        <v>2849</v>
      </c>
      <c r="O3342" t="s">
        <v>15609</v>
      </c>
      <c r="P3342" t="s">
        <v>15610</v>
      </c>
      <c r="Q3342" t="s">
        <v>15611</v>
      </c>
      <c r="R3342">
        <v>11</v>
      </c>
      <c r="S3342">
        <v>16</v>
      </c>
    </row>
    <row r="3343" spans="1:19" x14ac:dyDescent="0.35">
      <c r="A3343">
        <v>1189</v>
      </c>
      <c r="B3343" t="s">
        <v>15612</v>
      </c>
      <c r="C3343" t="s">
        <v>42</v>
      </c>
      <c r="D3343" t="s">
        <v>15613</v>
      </c>
      <c r="E3343" t="e" cm="1">
        <f t="array" ref="E3343">- GUAIFENESIN</f>
        <v>#NAME?</v>
      </c>
      <c r="F3343" t="s">
        <v>15614</v>
      </c>
      <c r="G3343" t="s">
        <v>15615</v>
      </c>
      <c r="H3343" t="s">
        <v>15616</v>
      </c>
    </row>
    <row r="3344" spans="1:19" x14ac:dyDescent="0.35">
      <c r="A3344">
        <v>9284</v>
      </c>
      <c r="B3344" t="s">
        <v>15596</v>
      </c>
      <c r="C3344" t="s">
        <v>42</v>
      </c>
      <c r="D3344" t="s">
        <v>15597</v>
      </c>
      <c r="E3344" t="e" cm="1">
        <f t="array" ref="E3344">- TELMISARTAN</f>
        <v>#NAME?</v>
      </c>
      <c r="F3344" t="s">
        <v>15598</v>
      </c>
      <c r="G3344" t="s">
        <v>4420</v>
      </c>
      <c r="H3344" t="s">
        <v>15599</v>
      </c>
      <c r="I3344" t="s">
        <v>15600</v>
      </c>
      <c r="J3344" t="s">
        <v>12606</v>
      </c>
      <c r="K3344" t="s">
        <v>15601</v>
      </c>
      <c r="L3344" t="s">
        <v>15602</v>
      </c>
      <c r="M3344" t="s">
        <v>46</v>
      </c>
      <c r="N3344" t="s">
        <v>2270</v>
      </c>
      <c r="O3344" t="s">
        <v>15603</v>
      </c>
      <c r="P3344" t="s">
        <v>15604</v>
      </c>
      <c r="Q3344" t="s">
        <v>15605</v>
      </c>
      <c r="R3344">
        <v>11</v>
      </c>
      <c r="S3344">
        <v>16</v>
      </c>
    </row>
    <row r="3345" spans="1:19" x14ac:dyDescent="0.35">
      <c r="A3345">
        <v>7815</v>
      </c>
      <c r="B3345" t="s">
        <v>15617</v>
      </c>
      <c r="C3345" t="s">
        <v>20</v>
      </c>
      <c r="D3345" t="s">
        <v>15618</v>
      </c>
      <c r="E3345" t="s">
        <v>15619</v>
      </c>
      <c r="F3345" t="s">
        <v>15620</v>
      </c>
      <c r="G3345" t="s">
        <v>2241</v>
      </c>
      <c r="H3345" t="s">
        <v>8309</v>
      </c>
      <c r="I3345" t="s">
        <v>15621</v>
      </c>
      <c r="J3345" t="s">
        <v>107</v>
      </c>
      <c r="M3345" t="s">
        <v>38</v>
      </c>
      <c r="N3345" t="s">
        <v>15622</v>
      </c>
      <c r="O3345" t="s">
        <v>15623</v>
      </c>
      <c r="P3345" t="s">
        <v>15624</v>
      </c>
      <c r="Q3345" t="s">
        <v>15625</v>
      </c>
      <c r="R3345">
        <v>11</v>
      </c>
      <c r="S3345">
        <v>16</v>
      </c>
    </row>
    <row r="3346" spans="1:19" x14ac:dyDescent="0.35">
      <c r="A3346">
        <v>5677</v>
      </c>
      <c r="B3346" t="s">
        <v>13514</v>
      </c>
      <c r="C3346" t="s">
        <v>42</v>
      </c>
      <c r="D3346" t="s">
        <v>13515</v>
      </c>
      <c r="E3346" t="e" cm="1">
        <f t="array" ref="E3346">- TRIMETHOPRIM. SULFAMETHOXAZOLE</f>
        <v>#NAME?</v>
      </c>
      <c r="F3346" t="s">
        <v>13516</v>
      </c>
      <c r="G3346" t="s">
        <v>4045</v>
      </c>
      <c r="H3346" t="s">
        <v>13517</v>
      </c>
      <c r="I3346" t="s">
        <v>13518</v>
      </c>
      <c r="J3346" t="s">
        <v>334</v>
      </c>
      <c r="K3346" t="s">
        <v>13519</v>
      </c>
      <c r="L3346" t="s">
        <v>13520</v>
      </c>
      <c r="M3346" t="s">
        <v>340</v>
      </c>
      <c r="N3346" t="s">
        <v>1469</v>
      </c>
      <c r="O3346" t="s">
        <v>13521</v>
      </c>
      <c r="P3346" t="s">
        <v>13522</v>
      </c>
      <c r="Q3346" t="s">
        <v>15626</v>
      </c>
      <c r="R3346">
        <v>11</v>
      </c>
      <c r="S3346">
        <v>16</v>
      </c>
    </row>
    <row r="3347" spans="1:19" x14ac:dyDescent="0.35">
      <c r="A3347">
        <v>511</v>
      </c>
      <c r="B3347" t="s">
        <v>735</v>
      </c>
      <c r="C3347" t="s">
        <v>42</v>
      </c>
      <c r="D3347" t="s">
        <v>15627</v>
      </c>
      <c r="E3347" t="e" cm="1">
        <f t="array" ref="E3347">- AMINOPHYLLINE</f>
        <v>#NAME?</v>
      </c>
      <c r="F3347" t="s">
        <v>15628</v>
      </c>
      <c r="J3347" t="s">
        <v>8289</v>
      </c>
      <c r="M3347" t="s">
        <v>46</v>
      </c>
      <c r="N3347" t="s">
        <v>2551</v>
      </c>
      <c r="P3347" t="s">
        <v>15629</v>
      </c>
      <c r="Q3347" t="s">
        <v>15630</v>
      </c>
      <c r="R3347">
        <v>11</v>
      </c>
      <c r="S3347">
        <v>16</v>
      </c>
    </row>
    <row r="3348" spans="1:19" x14ac:dyDescent="0.35">
      <c r="A3348">
        <v>7816</v>
      </c>
      <c r="B3348" t="s">
        <v>15631</v>
      </c>
      <c r="C3348" t="s">
        <v>20</v>
      </c>
      <c r="D3348" t="s">
        <v>15632</v>
      </c>
      <c r="E3348" t="s">
        <v>15633</v>
      </c>
      <c r="F3348" t="s">
        <v>15634</v>
      </c>
      <c r="G3348" t="s">
        <v>2241</v>
      </c>
      <c r="H3348" t="s">
        <v>8309</v>
      </c>
      <c r="I3348" t="s">
        <v>15635</v>
      </c>
      <c r="J3348" t="s">
        <v>70</v>
      </c>
      <c r="M3348" t="s">
        <v>38</v>
      </c>
      <c r="N3348" t="s">
        <v>15636</v>
      </c>
      <c r="O3348" t="s">
        <v>15637</v>
      </c>
      <c r="P3348" t="s">
        <v>15638</v>
      </c>
      <c r="Q3348" t="s">
        <v>15639</v>
      </c>
      <c r="R3348">
        <v>11</v>
      </c>
      <c r="S3348">
        <v>16</v>
      </c>
    </row>
    <row r="3349" spans="1:19" x14ac:dyDescent="0.35">
      <c r="A3349">
        <v>5684</v>
      </c>
      <c r="B3349" t="s">
        <v>13553</v>
      </c>
      <c r="C3349" t="s">
        <v>42</v>
      </c>
      <c r="D3349" t="s">
        <v>13554</v>
      </c>
      <c r="E3349" t="e" cm="1">
        <f t="array" ref="E3349">- METRONIDAZOLE. NYSTATIN</f>
        <v>#NAME?</v>
      </c>
      <c r="F3349" t="s">
        <v>13555</v>
      </c>
      <c r="G3349" t="s">
        <v>13556</v>
      </c>
      <c r="H3349" t="s">
        <v>13557</v>
      </c>
      <c r="I3349" t="s">
        <v>13558</v>
      </c>
      <c r="J3349" t="s">
        <v>13559</v>
      </c>
      <c r="K3349" t="s">
        <v>3952</v>
      </c>
      <c r="L3349" t="s">
        <v>13560</v>
      </c>
      <c r="M3349" t="s">
        <v>8891</v>
      </c>
      <c r="N3349" t="s">
        <v>10960</v>
      </c>
      <c r="O3349" t="s">
        <v>13088</v>
      </c>
      <c r="P3349" t="s">
        <v>13561</v>
      </c>
      <c r="Q3349" t="s">
        <v>15361</v>
      </c>
      <c r="R3349">
        <v>11</v>
      </c>
      <c r="S3349">
        <v>16</v>
      </c>
    </row>
    <row r="3350" spans="1:19" x14ac:dyDescent="0.35">
      <c r="A3350">
        <v>7800</v>
      </c>
      <c r="B3350" t="s">
        <v>15640</v>
      </c>
      <c r="C3350" t="s">
        <v>20</v>
      </c>
      <c r="D3350" t="s">
        <v>15641</v>
      </c>
      <c r="E3350" t="s">
        <v>15642</v>
      </c>
      <c r="F3350" t="s">
        <v>15643</v>
      </c>
      <c r="G3350" t="s">
        <v>5866</v>
      </c>
      <c r="H3350" t="s">
        <v>15644</v>
      </c>
      <c r="I3350" t="s">
        <v>3392</v>
      </c>
      <c r="J3350" t="s">
        <v>15645</v>
      </c>
      <c r="L3350" t="s">
        <v>15646</v>
      </c>
      <c r="M3350" t="s">
        <v>46</v>
      </c>
      <c r="N3350" t="s">
        <v>15647</v>
      </c>
      <c r="O3350" t="s">
        <v>3396</v>
      </c>
      <c r="P3350" t="s">
        <v>15648</v>
      </c>
      <c r="Q3350" t="s">
        <v>15649</v>
      </c>
      <c r="R3350">
        <v>11</v>
      </c>
      <c r="S3350">
        <v>16</v>
      </c>
    </row>
    <row r="3351" spans="1:19" x14ac:dyDescent="0.35">
      <c r="A3351">
        <v>436</v>
      </c>
      <c r="B3351" t="s">
        <v>15552</v>
      </c>
      <c r="C3351" t="s">
        <v>20</v>
      </c>
      <c r="D3351" t="s">
        <v>15553</v>
      </c>
      <c r="E3351" t="s">
        <v>15554</v>
      </c>
      <c r="F3351" t="s">
        <v>15555</v>
      </c>
      <c r="G3351" t="s">
        <v>2241</v>
      </c>
      <c r="H3351" t="s">
        <v>15556</v>
      </c>
      <c r="I3351" t="s">
        <v>15557</v>
      </c>
      <c r="J3351" t="s">
        <v>15558</v>
      </c>
      <c r="M3351" t="s">
        <v>291</v>
      </c>
      <c r="N3351" t="s">
        <v>15559</v>
      </c>
      <c r="O3351" t="s">
        <v>15560</v>
      </c>
      <c r="P3351" t="s">
        <v>15559</v>
      </c>
      <c r="Q3351" t="s">
        <v>15561</v>
      </c>
      <c r="R3351">
        <v>11</v>
      </c>
      <c r="S3351">
        <v>16</v>
      </c>
    </row>
    <row r="3352" spans="1:19" x14ac:dyDescent="0.35">
      <c r="A3352">
        <v>2341</v>
      </c>
      <c r="B3352" t="s">
        <v>15650</v>
      </c>
      <c r="C3352" t="s">
        <v>42</v>
      </c>
      <c r="D3352" t="s">
        <v>15651</v>
      </c>
      <c r="E3352" t="e" cm="1">
        <f t="array" ref="E3352">- DEXKETOPROFEN TROMETAMOL</f>
        <v>#NAME?</v>
      </c>
      <c r="F3352" t="s">
        <v>15652</v>
      </c>
      <c r="G3352" t="s">
        <v>15653</v>
      </c>
      <c r="H3352" t="s">
        <v>15654</v>
      </c>
      <c r="I3352" t="s">
        <v>15655</v>
      </c>
      <c r="J3352" t="s">
        <v>2100</v>
      </c>
      <c r="K3352" t="s">
        <v>15656</v>
      </c>
    </row>
    <row r="3353" spans="1:19" x14ac:dyDescent="0.35">
      <c r="A3353">
        <v>2340</v>
      </c>
      <c r="B3353" t="s">
        <v>15650</v>
      </c>
      <c r="C3353" t="s">
        <v>42</v>
      </c>
      <c r="D3353" t="s">
        <v>15651</v>
      </c>
      <c r="E3353" t="e" cm="1">
        <f t="array" ref="E3353">- DEXKETOPROFEN TROMETAMOL</f>
        <v>#NAME?</v>
      </c>
      <c r="F3353" t="s">
        <v>15652</v>
      </c>
      <c r="G3353" t="s">
        <v>15653</v>
      </c>
      <c r="H3353" t="s">
        <v>15654</v>
      </c>
      <c r="I3353" t="s">
        <v>15655</v>
      </c>
      <c r="J3353" t="s">
        <v>2100</v>
      </c>
      <c r="K3353" t="s">
        <v>15656</v>
      </c>
    </row>
    <row r="3354" spans="1:19" x14ac:dyDescent="0.35">
      <c r="A3354">
        <v>7817</v>
      </c>
      <c r="B3354" t="s">
        <v>15657</v>
      </c>
      <c r="C3354" t="s">
        <v>20</v>
      </c>
      <c r="D3354" t="s">
        <v>15658</v>
      </c>
      <c r="E3354" t="s">
        <v>15659</v>
      </c>
      <c r="F3354" t="s">
        <v>15660</v>
      </c>
      <c r="G3354" t="s">
        <v>2241</v>
      </c>
      <c r="H3354" t="s">
        <v>7865</v>
      </c>
      <c r="I3354" t="s">
        <v>5700</v>
      </c>
      <c r="J3354" t="s">
        <v>75</v>
      </c>
      <c r="M3354" t="s">
        <v>38</v>
      </c>
      <c r="N3354" t="s">
        <v>15661</v>
      </c>
      <c r="O3354" t="s">
        <v>5703</v>
      </c>
      <c r="P3354" t="s">
        <v>15662</v>
      </c>
      <c r="Q3354" t="s">
        <v>15663</v>
      </c>
      <c r="R3354">
        <v>11</v>
      </c>
      <c r="S3354">
        <v>16</v>
      </c>
    </row>
    <row r="3355" spans="1:19" x14ac:dyDescent="0.35">
      <c r="A3355">
        <v>5341</v>
      </c>
      <c r="B3355" t="s">
        <v>7148</v>
      </c>
      <c r="C3355" t="s">
        <v>42</v>
      </c>
      <c r="D3355" t="s">
        <v>15606</v>
      </c>
      <c r="E3355" t="e" cm="1">
        <f t="array" ref="E3355">- SULFADIAZINE SILVER</f>
        <v>#NAME?</v>
      </c>
      <c r="F3355" s="1">
        <v>548000</v>
      </c>
      <c r="G3355" t="s">
        <v>15607</v>
      </c>
      <c r="I3355" t="s">
        <v>15608</v>
      </c>
      <c r="J3355" t="s">
        <v>2939</v>
      </c>
      <c r="M3355" t="s">
        <v>1289</v>
      </c>
      <c r="N3355" t="s">
        <v>2849</v>
      </c>
      <c r="O3355" t="s">
        <v>15609</v>
      </c>
      <c r="P3355" t="s">
        <v>15610</v>
      </c>
      <c r="Q3355" t="s">
        <v>15611</v>
      </c>
      <c r="R3355">
        <v>11</v>
      </c>
      <c r="S3355">
        <v>16</v>
      </c>
    </row>
    <row r="3356" spans="1:19" x14ac:dyDescent="0.35">
      <c r="A3356">
        <v>2835</v>
      </c>
      <c r="B3356" t="s">
        <v>15134</v>
      </c>
      <c r="C3356" t="s">
        <v>42</v>
      </c>
      <c r="D3356" t="s">
        <v>15135</v>
      </c>
      <c r="E3356" t="e" cm="1">
        <f t="array" ref="E3356">- PARACETAMOL</f>
        <v>#NAME?</v>
      </c>
      <c r="F3356" t="s">
        <v>15136</v>
      </c>
      <c r="G3356" t="s">
        <v>7219</v>
      </c>
      <c r="H3356" t="s">
        <v>15137</v>
      </c>
      <c r="I3356" t="s">
        <v>15138</v>
      </c>
      <c r="J3356" t="s">
        <v>630</v>
      </c>
      <c r="K3356" t="s">
        <v>15139</v>
      </c>
      <c r="L3356" t="s">
        <v>15140</v>
      </c>
      <c r="M3356" t="s">
        <v>340</v>
      </c>
      <c r="N3356" t="s">
        <v>584</v>
      </c>
      <c r="O3356" t="s">
        <v>15141</v>
      </c>
      <c r="P3356" t="s">
        <v>15142</v>
      </c>
      <c r="Q3356" t="s">
        <v>15143</v>
      </c>
      <c r="R3356">
        <v>11</v>
      </c>
      <c r="S3356">
        <v>16</v>
      </c>
    </row>
    <row r="3357" spans="1:19" x14ac:dyDescent="0.35">
      <c r="A3357">
        <v>7036</v>
      </c>
      <c r="B3357" t="s">
        <v>1803</v>
      </c>
      <c r="C3357" t="s">
        <v>42</v>
      </c>
      <c r="D3357" t="s">
        <v>14975</v>
      </c>
      <c r="E3357" t="e" cm="1">
        <f t="array" ref="E3357">- TIZANIDINE HYDROCHLORIDE</f>
        <v>#NAME?</v>
      </c>
      <c r="F3357" t="s">
        <v>14976</v>
      </c>
      <c r="J3357" t="s">
        <v>5354</v>
      </c>
      <c r="M3357" t="s">
        <v>46</v>
      </c>
      <c r="N3357" t="s">
        <v>1806</v>
      </c>
      <c r="P3357" t="s">
        <v>14977</v>
      </c>
      <c r="Q3357" t="s">
        <v>15664</v>
      </c>
      <c r="R3357">
        <v>11</v>
      </c>
      <c r="S3357">
        <v>16</v>
      </c>
    </row>
    <row r="3358" spans="1:19" x14ac:dyDescent="0.35">
      <c r="A3358">
        <v>3110</v>
      </c>
      <c r="B3358" t="s">
        <v>15665</v>
      </c>
      <c r="C3358" t="s">
        <v>42</v>
      </c>
      <c r="D3358" t="s">
        <v>15666</v>
      </c>
      <c r="E3358" t="e" cm="1">
        <f t="array" ref="E3358">- SUCRALFATE</f>
        <v>#NAME?</v>
      </c>
      <c r="F3358" t="s">
        <v>15667</v>
      </c>
      <c r="G3358" t="s">
        <v>15668</v>
      </c>
      <c r="H3358" t="s">
        <v>11805</v>
      </c>
      <c r="I3358" t="s">
        <v>11806</v>
      </c>
      <c r="J3358" t="s">
        <v>374</v>
      </c>
      <c r="K3358" t="s">
        <v>3473</v>
      </c>
      <c r="L3358" t="s">
        <v>11807</v>
      </c>
      <c r="M3358" t="s">
        <v>340</v>
      </c>
      <c r="N3358" t="s">
        <v>375</v>
      </c>
      <c r="O3358" t="s">
        <v>11808</v>
      </c>
      <c r="P3358" t="s">
        <v>15669</v>
      </c>
      <c r="Q3358" t="s">
        <v>15670</v>
      </c>
      <c r="R3358">
        <v>11</v>
      </c>
      <c r="S3358">
        <v>16</v>
      </c>
    </row>
    <row r="3359" spans="1:19" x14ac:dyDescent="0.35">
      <c r="A3359">
        <v>517</v>
      </c>
      <c r="B3359" t="s">
        <v>15671</v>
      </c>
      <c r="C3359" t="s">
        <v>42</v>
      </c>
      <c r="D3359" t="s">
        <v>15672</v>
      </c>
      <c r="E3359" t="e" cm="1">
        <f t="array" ref="E3359">- SALBUTAMOL SULFATE</f>
        <v>#NAME?</v>
      </c>
      <c r="F3359" t="s">
        <v>15673</v>
      </c>
      <c r="G3359" t="s">
        <v>15674</v>
      </c>
      <c r="H3359" t="s">
        <v>15675</v>
      </c>
      <c r="I3359" t="s">
        <v>15676</v>
      </c>
      <c r="J3359" t="s">
        <v>3167</v>
      </c>
      <c r="K3359" t="s">
        <v>15677</v>
      </c>
      <c r="L3359" t="s">
        <v>15678</v>
      </c>
      <c r="M3359" t="s">
        <v>271</v>
      </c>
      <c r="N3359" t="s">
        <v>3424</v>
      </c>
      <c r="O3359" t="s">
        <v>15679</v>
      </c>
      <c r="P3359" t="s">
        <v>15680</v>
      </c>
      <c r="Q3359" t="s">
        <v>15681</v>
      </c>
      <c r="R3359">
        <v>11</v>
      </c>
      <c r="S3359">
        <v>16</v>
      </c>
    </row>
    <row r="3360" spans="1:19" x14ac:dyDescent="0.35">
      <c r="A3360">
        <v>516</v>
      </c>
      <c r="B3360" t="s">
        <v>15671</v>
      </c>
      <c r="C3360" t="s">
        <v>42</v>
      </c>
      <c r="D3360" t="s">
        <v>15672</v>
      </c>
      <c r="E3360" t="e" cm="1">
        <f t="array" ref="E3360">- SALBUTAMOL SULFATE</f>
        <v>#NAME?</v>
      </c>
      <c r="F3360" t="s">
        <v>15673</v>
      </c>
      <c r="G3360" t="s">
        <v>15674</v>
      </c>
      <c r="H3360" t="s">
        <v>15675</v>
      </c>
      <c r="I3360" t="s">
        <v>15676</v>
      </c>
      <c r="J3360" t="s">
        <v>3167</v>
      </c>
      <c r="K3360" t="s">
        <v>15677</v>
      </c>
      <c r="L3360" t="s">
        <v>15678</v>
      </c>
      <c r="M3360" t="s">
        <v>271</v>
      </c>
      <c r="N3360" t="s">
        <v>3424</v>
      </c>
      <c r="O3360" t="s">
        <v>15679</v>
      </c>
      <c r="P3360" t="s">
        <v>15680</v>
      </c>
      <c r="Q3360" t="s">
        <v>15681</v>
      </c>
      <c r="R3360">
        <v>11</v>
      </c>
      <c r="S3360">
        <v>16</v>
      </c>
    </row>
    <row r="3361" spans="1:19" x14ac:dyDescent="0.35">
      <c r="A3361">
        <v>4319</v>
      </c>
      <c r="B3361" t="s">
        <v>15682</v>
      </c>
      <c r="C3361" t="s">
        <v>42</v>
      </c>
      <c r="D3361" t="s">
        <v>15683</v>
      </c>
      <c r="E3361" t="e" cm="1">
        <f t="array" ref="E3361">- CHLORPHENESIN</f>
        <v>#NAME?</v>
      </c>
      <c r="F3361" t="s">
        <v>15684</v>
      </c>
      <c r="H3361" t="s">
        <v>15685</v>
      </c>
      <c r="I3361" t="s">
        <v>15686</v>
      </c>
      <c r="J3361" t="s">
        <v>15687</v>
      </c>
      <c r="M3361" t="s">
        <v>1280</v>
      </c>
      <c r="N3361" t="s">
        <v>15688</v>
      </c>
      <c r="O3361" t="s">
        <v>15689</v>
      </c>
      <c r="P3361" t="s">
        <v>15690</v>
      </c>
      <c r="Q3361" t="s">
        <v>15691</v>
      </c>
      <c r="R3361">
        <v>11</v>
      </c>
      <c r="S3361">
        <v>16</v>
      </c>
    </row>
    <row r="3362" spans="1:19" x14ac:dyDescent="0.35">
      <c r="A3362">
        <v>7825</v>
      </c>
      <c r="B3362" t="s">
        <v>4478</v>
      </c>
      <c r="C3362" t="s">
        <v>20</v>
      </c>
      <c r="D3362" t="s">
        <v>15692</v>
      </c>
      <c r="E3362" t="s">
        <v>4480</v>
      </c>
      <c r="F3362" t="s">
        <v>15693</v>
      </c>
      <c r="G3362" t="s">
        <v>539</v>
      </c>
      <c r="H3362" t="s">
        <v>15694</v>
      </c>
      <c r="I3362" t="s">
        <v>15695</v>
      </c>
      <c r="J3362" t="s">
        <v>5284</v>
      </c>
      <c r="M3362" t="s">
        <v>38</v>
      </c>
      <c r="N3362" t="s">
        <v>4486</v>
      </c>
      <c r="O3362" t="s">
        <v>15696</v>
      </c>
      <c r="P3362" t="s">
        <v>4486</v>
      </c>
      <c r="Q3362" t="s">
        <v>15697</v>
      </c>
      <c r="R3362">
        <v>11</v>
      </c>
      <c r="S3362">
        <v>16</v>
      </c>
    </row>
    <row r="3363" spans="1:19" x14ac:dyDescent="0.35">
      <c r="A3363">
        <v>3180</v>
      </c>
      <c r="B3363" t="s">
        <v>15698</v>
      </c>
      <c r="C3363" t="s">
        <v>42</v>
      </c>
      <c r="D3363" t="s">
        <v>15699</v>
      </c>
      <c r="E3363" t="e" cm="1">
        <f t="array" ref="E3363">- PANTOPRAZOLE</f>
        <v>#NAME?</v>
      </c>
      <c r="F3363" t="s">
        <v>15700</v>
      </c>
      <c r="G3363" t="s">
        <v>15701</v>
      </c>
      <c r="H3363" t="s">
        <v>15702</v>
      </c>
      <c r="I3363" t="s">
        <v>15703</v>
      </c>
      <c r="J3363" t="s">
        <v>2446</v>
      </c>
      <c r="K3363" t="s">
        <v>3473</v>
      </c>
      <c r="L3363" t="s">
        <v>15704</v>
      </c>
      <c r="M3363" t="s">
        <v>46</v>
      </c>
      <c r="N3363" t="s">
        <v>15705</v>
      </c>
      <c r="O3363" t="s">
        <v>15706</v>
      </c>
      <c r="P3363" t="s">
        <v>15707</v>
      </c>
      <c r="Q3363" t="s">
        <v>15708</v>
      </c>
      <c r="R3363">
        <v>11</v>
      </c>
      <c r="S3363">
        <v>16</v>
      </c>
    </row>
    <row r="3364" spans="1:19" x14ac:dyDescent="0.35">
      <c r="A3364">
        <v>2901</v>
      </c>
      <c r="B3364" t="s">
        <v>13988</v>
      </c>
      <c r="C3364" t="s">
        <v>42</v>
      </c>
      <c r="D3364" t="s">
        <v>13989</v>
      </c>
      <c r="E3364" t="e" cm="1">
        <f t="array" ref="E3364">- PARACETAMOL</f>
        <v>#NAME?</v>
      </c>
      <c r="F3364" t="s">
        <v>13990</v>
      </c>
      <c r="I3364" t="s">
        <v>13991</v>
      </c>
      <c r="M3364" t="s">
        <v>271</v>
      </c>
      <c r="N3364" t="s">
        <v>584</v>
      </c>
      <c r="O3364" t="s">
        <v>13992</v>
      </c>
      <c r="P3364" t="s">
        <v>13993</v>
      </c>
      <c r="Q3364" t="s">
        <v>13994</v>
      </c>
      <c r="R3364">
        <v>11</v>
      </c>
      <c r="S3364">
        <v>16</v>
      </c>
    </row>
    <row r="3365" spans="1:19" x14ac:dyDescent="0.35">
      <c r="A3365">
        <v>5081</v>
      </c>
      <c r="B3365" t="s">
        <v>15709</v>
      </c>
      <c r="C3365" t="s">
        <v>42</v>
      </c>
      <c r="D3365" t="s">
        <v>15710</v>
      </c>
      <c r="E3365" t="e" cm="1">
        <f t="array" ref="E3365">- FLUOCINOLONE ACETONIDE</f>
        <v>#NAME?</v>
      </c>
      <c r="F3365" t="s">
        <v>15711</v>
      </c>
      <c r="H3365" t="s">
        <v>15241</v>
      </c>
      <c r="I3365" t="s">
        <v>15712</v>
      </c>
      <c r="J3365" t="s">
        <v>15713</v>
      </c>
      <c r="K3365" t="s">
        <v>15714</v>
      </c>
      <c r="L3365" t="s">
        <v>15715</v>
      </c>
      <c r="M3365" t="s">
        <v>87</v>
      </c>
      <c r="N3365" t="s">
        <v>2766</v>
      </c>
      <c r="O3365" t="s">
        <v>15716</v>
      </c>
      <c r="P3365" t="s">
        <v>15717</v>
      </c>
      <c r="Q3365" t="s">
        <v>15718</v>
      </c>
      <c r="R3365">
        <v>11</v>
      </c>
      <c r="S3365">
        <v>16</v>
      </c>
    </row>
    <row r="3366" spans="1:19" x14ac:dyDescent="0.35">
      <c r="A3366">
        <v>5082</v>
      </c>
      <c r="B3366" t="s">
        <v>15709</v>
      </c>
      <c r="C3366" t="s">
        <v>42</v>
      </c>
      <c r="D3366" t="s">
        <v>15710</v>
      </c>
      <c r="E3366" t="e" cm="1">
        <f t="array" ref="E3366">- FLUOCINOLONE ACETONIDE</f>
        <v>#NAME?</v>
      </c>
      <c r="F3366" t="s">
        <v>15711</v>
      </c>
      <c r="H3366" t="s">
        <v>15241</v>
      </c>
      <c r="I3366" t="s">
        <v>15712</v>
      </c>
      <c r="J3366" t="s">
        <v>15713</v>
      </c>
      <c r="K3366" t="s">
        <v>15714</v>
      </c>
      <c r="L3366" t="s">
        <v>15715</v>
      </c>
      <c r="M3366" t="s">
        <v>87</v>
      </c>
      <c r="N3366" t="s">
        <v>2766</v>
      </c>
      <c r="O3366" t="s">
        <v>15716</v>
      </c>
      <c r="P3366" t="s">
        <v>15717</v>
      </c>
      <c r="Q3366" t="s">
        <v>15718</v>
      </c>
      <c r="R3366">
        <v>11</v>
      </c>
      <c r="S3366">
        <v>16</v>
      </c>
    </row>
    <row r="3367" spans="1:19" x14ac:dyDescent="0.35">
      <c r="A3367">
        <v>2900</v>
      </c>
      <c r="B3367" t="s">
        <v>15719</v>
      </c>
      <c r="C3367" t="s">
        <v>42</v>
      </c>
      <c r="D3367" t="s">
        <v>15720</v>
      </c>
      <c r="E3367" t="e" cm="1">
        <f t="array" ref="E3367">- PARACETAMOL</f>
        <v>#NAME?</v>
      </c>
      <c r="F3367" t="s">
        <v>15721</v>
      </c>
      <c r="G3367" t="s">
        <v>1691</v>
      </c>
      <c r="H3367" t="s">
        <v>15722</v>
      </c>
      <c r="I3367" t="s">
        <v>13991</v>
      </c>
      <c r="J3367" t="s">
        <v>15723</v>
      </c>
      <c r="K3367" t="s">
        <v>15724</v>
      </c>
      <c r="L3367" t="s">
        <v>15725</v>
      </c>
      <c r="M3367" t="s">
        <v>824</v>
      </c>
      <c r="N3367" t="s">
        <v>584</v>
      </c>
      <c r="O3367" t="s">
        <v>13992</v>
      </c>
      <c r="P3367" t="s">
        <v>13993</v>
      </c>
      <c r="Q3367" t="s">
        <v>15726</v>
      </c>
      <c r="R3367">
        <v>11</v>
      </c>
      <c r="S3367">
        <v>16</v>
      </c>
    </row>
    <row r="3368" spans="1:19" x14ac:dyDescent="0.35">
      <c r="A3368">
        <v>2899</v>
      </c>
      <c r="B3368" t="s">
        <v>15719</v>
      </c>
      <c r="C3368" t="s">
        <v>42</v>
      </c>
      <c r="D3368" t="s">
        <v>15720</v>
      </c>
      <c r="E3368" t="e" cm="1">
        <f t="array" ref="E3368">- PARACETAMOL</f>
        <v>#NAME?</v>
      </c>
      <c r="F3368" t="s">
        <v>15721</v>
      </c>
      <c r="G3368" t="s">
        <v>1691</v>
      </c>
      <c r="H3368" t="s">
        <v>15722</v>
      </c>
      <c r="I3368" t="s">
        <v>13991</v>
      </c>
      <c r="J3368" t="s">
        <v>15723</v>
      </c>
      <c r="K3368" t="s">
        <v>15724</v>
      </c>
      <c r="L3368" t="s">
        <v>15725</v>
      </c>
      <c r="M3368" t="s">
        <v>824</v>
      </c>
      <c r="N3368" t="s">
        <v>584</v>
      </c>
      <c r="O3368" t="s">
        <v>13992</v>
      </c>
      <c r="P3368" t="s">
        <v>13993</v>
      </c>
      <c r="Q3368" t="s">
        <v>15726</v>
      </c>
      <c r="R3368">
        <v>11</v>
      </c>
      <c r="S3368">
        <v>16</v>
      </c>
    </row>
    <row r="3369" spans="1:19" x14ac:dyDescent="0.35">
      <c r="A3369">
        <v>8162</v>
      </c>
      <c r="B3369" t="s">
        <v>551</v>
      </c>
      <c r="C3369" t="s">
        <v>42</v>
      </c>
      <c r="D3369" t="s">
        <v>15114</v>
      </c>
      <c r="E3369" t="e" cm="1">
        <f t="array" ref="E3369">- POVIDONE-IODINE</f>
        <v>#NAME?</v>
      </c>
      <c r="F3369" t="s">
        <v>15115</v>
      </c>
      <c r="G3369" t="s">
        <v>15116</v>
      </c>
      <c r="I3369" t="s">
        <v>15117</v>
      </c>
      <c r="J3369" t="s">
        <v>15118</v>
      </c>
      <c r="M3369" t="s">
        <v>554</v>
      </c>
      <c r="N3369" t="s">
        <v>555</v>
      </c>
      <c r="O3369" t="s">
        <v>15119</v>
      </c>
      <c r="P3369" t="s">
        <v>15120</v>
      </c>
      <c r="Q3369" t="s">
        <v>15121</v>
      </c>
      <c r="R3369">
        <v>11</v>
      </c>
      <c r="S3369">
        <v>16</v>
      </c>
    </row>
    <row r="3370" spans="1:19" x14ac:dyDescent="0.35">
      <c r="A3370">
        <v>5083</v>
      </c>
      <c r="B3370" t="s">
        <v>15709</v>
      </c>
      <c r="C3370" t="s">
        <v>42</v>
      </c>
      <c r="D3370" t="s">
        <v>15710</v>
      </c>
      <c r="E3370" t="e" cm="1">
        <f t="array" ref="E3370">- FLUOCINOLONE ACETONIDE</f>
        <v>#NAME?</v>
      </c>
      <c r="F3370" t="s">
        <v>15711</v>
      </c>
      <c r="H3370" t="s">
        <v>15241</v>
      </c>
      <c r="I3370" t="s">
        <v>15712</v>
      </c>
      <c r="J3370" t="s">
        <v>15713</v>
      </c>
      <c r="K3370" t="s">
        <v>15714</v>
      </c>
      <c r="L3370" t="s">
        <v>15715</v>
      </c>
      <c r="M3370" t="s">
        <v>87</v>
      </c>
      <c r="N3370" t="s">
        <v>2766</v>
      </c>
      <c r="O3370" t="s">
        <v>15716</v>
      </c>
      <c r="P3370" t="s">
        <v>15717</v>
      </c>
      <c r="Q3370" t="s">
        <v>15718</v>
      </c>
      <c r="R3370">
        <v>11</v>
      </c>
      <c r="S3370">
        <v>16</v>
      </c>
    </row>
    <row r="3371" spans="1:19" x14ac:dyDescent="0.35">
      <c r="A3371">
        <v>8948</v>
      </c>
      <c r="B3371" t="s">
        <v>15727</v>
      </c>
      <c r="C3371" t="s">
        <v>42</v>
      </c>
      <c r="D3371" t="s">
        <v>15728</v>
      </c>
      <c r="E3371" t="e" cm="1">
        <f t="array" ref="E3371">- CANDESARTAN CILEXETIL. AMLODIPINE BESILATE</f>
        <v>#NAME?</v>
      </c>
      <c r="F3371" t="s">
        <v>15729</v>
      </c>
      <c r="G3371" t="s">
        <v>6869</v>
      </c>
      <c r="H3371" t="s">
        <v>2643</v>
      </c>
      <c r="I3371" t="s">
        <v>7027</v>
      </c>
      <c r="J3371" t="s">
        <v>2478</v>
      </c>
      <c r="K3371" t="s">
        <v>7029</v>
      </c>
      <c r="L3371" t="s">
        <v>7030</v>
      </c>
      <c r="M3371" t="s">
        <v>46</v>
      </c>
      <c r="N3371" t="s">
        <v>12974</v>
      </c>
      <c r="O3371" t="s">
        <v>7031</v>
      </c>
      <c r="P3371" t="s">
        <v>15730</v>
      </c>
      <c r="Q3371" t="s">
        <v>15731</v>
      </c>
      <c r="R3371">
        <v>11</v>
      </c>
      <c r="S3371">
        <v>16</v>
      </c>
    </row>
    <row r="3372" spans="1:19" x14ac:dyDescent="0.35">
      <c r="A3372">
        <v>5084</v>
      </c>
      <c r="B3372" t="s">
        <v>15709</v>
      </c>
      <c r="C3372" t="s">
        <v>42</v>
      </c>
      <c r="D3372" t="s">
        <v>15710</v>
      </c>
      <c r="E3372" t="e" cm="1">
        <f t="array" ref="E3372">- FLUOCINOLONE ACETONIDE</f>
        <v>#NAME?</v>
      </c>
      <c r="F3372" t="s">
        <v>15711</v>
      </c>
      <c r="H3372" t="s">
        <v>15241</v>
      </c>
      <c r="I3372" t="s">
        <v>15712</v>
      </c>
      <c r="J3372" t="s">
        <v>15713</v>
      </c>
      <c r="K3372" t="s">
        <v>15714</v>
      </c>
      <c r="L3372" t="s">
        <v>15715</v>
      </c>
      <c r="M3372" t="s">
        <v>87</v>
      </c>
      <c r="N3372" t="s">
        <v>2766</v>
      </c>
      <c r="O3372" t="s">
        <v>15716</v>
      </c>
      <c r="P3372" t="s">
        <v>15717</v>
      </c>
      <c r="Q3372" t="s">
        <v>15718</v>
      </c>
      <c r="R3372">
        <v>11</v>
      </c>
      <c r="S3372">
        <v>16</v>
      </c>
    </row>
    <row r="3373" spans="1:19" x14ac:dyDescent="0.35">
      <c r="A3373">
        <v>5085</v>
      </c>
      <c r="B3373" t="s">
        <v>15709</v>
      </c>
      <c r="C3373" t="s">
        <v>42</v>
      </c>
      <c r="D3373" t="s">
        <v>15710</v>
      </c>
      <c r="E3373" t="e" cm="1">
        <f t="array" ref="E3373">- FLUOCINOLONE ACETONIDE</f>
        <v>#NAME?</v>
      </c>
      <c r="F3373" t="s">
        <v>15711</v>
      </c>
      <c r="H3373" t="s">
        <v>15241</v>
      </c>
      <c r="I3373" t="s">
        <v>15712</v>
      </c>
      <c r="J3373" t="s">
        <v>15713</v>
      </c>
      <c r="K3373" t="s">
        <v>15714</v>
      </c>
      <c r="L3373" t="s">
        <v>15715</v>
      </c>
      <c r="M3373" t="s">
        <v>87</v>
      </c>
      <c r="N3373" t="s">
        <v>2766</v>
      </c>
      <c r="O3373" t="s">
        <v>15716</v>
      </c>
      <c r="P3373" t="s">
        <v>15717</v>
      </c>
      <c r="Q3373" t="s">
        <v>15718</v>
      </c>
      <c r="R3373">
        <v>11</v>
      </c>
      <c r="S3373">
        <v>16</v>
      </c>
    </row>
    <row r="3374" spans="1:19" x14ac:dyDescent="0.35">
      <c r="A3374">
        <v>5086</v>
      </c>
      <c r="B3374" t="s">
        <v>15709</v>
      </c>
      <c r="C3374" t="s">
        <v>42</v>
      </c>
      <c r="D3374" t="s">
        <v>15710</v>
      </c>
      <c r="E3374" t="e" cm="1">
        <f t="array" ref="E3374">- FLUOCINOLONE ACETONIDE</f>
        <v>#NAME?</v>
      </c>
      <c r="F3374" t="s">
        <v>15711</v>
      </c>
      <c r="H3374" t="s">
        <v>15241</v>
      </c>
      <c r="I3374" t="s">
        <v>15712</v>
      </c>
      <c r="J3374" t="s">
        <v>15713</v>
      </c>
      <c r="K3374" t="s">
        <v>15714</v>
      </c>
      <c r="L3374" t="s">
        <v>15715</v>
      </c>
      <c r="M3374" t="s">
        <v>87</v>
      </c>
      <c r="N3374" t="s">
        <v>2766</v>
      </c>
      <c r="O3374" t="s">
        <v>15716</v>
      </c>
      <c r="P3374" t="s">
        <v>15717</v>
      </c>
      <c r="Q3374" t="s">
        <v>15718</v>
      </c>
      <c r="R3374">
        <v>11</v>
      </c>
      <c r="S3374">
        <v>16</v>
      </c>
    </row>
    <row r="3375" spans="1:19" x14ac:dyDescent="0.35">
      <c r="A3375">
        <v>461</v>
      </c>
      <c r="B3375" t="s">
        <v>15144</v>
      </c>
      <c r="C3375" t="s">
        <v>42</v>
      </c>
      <c r="D3375" t="s">
        <v>15145</v>
      </c>
      <c r="E3375" t="e" cm="1">
        <f t="array" ref="E3375">- SALBUTAMOL SULFATE</f>
        <v>#NAME?</v>
      </c>
      <c r="F3375" t="s">
        <v>15146</v>
      </c>
      <c r="G3375" t="s">
        <v>2241</v>
      </c>
      <c r="H3375" t="s">
        <v>15147</v>
      </c>
      <c r="I3375" t="s">
        <v>15148</v>
      </c>
      <c r="J3375" t="s">
        <v>381</v>
      </c>
      <c r="K3375" t="s">
        <v>15149</v>
      </c>
      <c r="L3375" t="s">
        <v>15150</v>
      </c>
      <c r="M3375" t="s">
        <v>46</v>
      </c>
      <c r="N3375" t="s">
        <v>3424</v>
      </c>
      <c r="O3375" t="s">
        <v>15151</v>
      </c>
      <c r="P3375" t="s">
        <v>15152</v>
      </c>
      <c r="Q3375" t="s">
        <v>15153</v>
      </c>
      <c r="R3375">
        <v>11</v>
      </c>
      <c r="S3375">
        <v>16</v>
      </c>
    </row>
    <row r="3376" spans="1:19" x14ac:dyDescent="0.35">
      <c r="A3376">
        <v>3162</v>
      </c>
      <c r="B3376" t="s">
        <v>15732</v>
      </c>
      <c r="C3376" t="s">
        <v>42</v>
      </c>
      <c r="D3376" t="s">
        <v>15733</v>
      </c>
      <c r="E3376" t="e" cm="1">
        <f t="array" ref="E3376">- SUCRALFATE</f>
        <v>#NAME?</v>
      </c>
      <c r="F3376" t="s">
        <v>15734</v>
      </c>
      <c r="G3376" t="s">
        <v>12503</v>
      </c>
      <c r="H3376" t="s">
        <v>11805</v>
      </c>
      <c r="I3376" t="s">
        <v>15735</v>
      </c>
      <c r="J3376" t="s">
        <v>405</v>
      </c>
      <c r="M3376" t="s">
        <v>340</v>
      </c>
      <c r="N3376" t="s">
        <v>375</v>
      </c>
      <c r="O3376" t="s">
        <v>11808</v>
      </c>
      <c r="P3376" t="s">
        <v>15736</v>
      </c>
      <c r="Q3376" t="s">
        <v>15737</v>
      </c>
      <c r="R3376">
        <v>11</v>
      </c>
      <c r="S3376">
        <v>16</v>
      </c>
    </row>
    <row r="3377" spans="1:19" x14ac:dyDescent="0.35">
      <c r="A3377">
        <v>5307</v>
      </c>
      <c r="B3377" t="s">
        <v>12185</v>
      </c>
      <c r="C3377" t="s">
        <v>42</v>
      </c>
      <c r="D3377" t="s">
        <v>15738</v>
      </c>
      <c r="E3377" t="e" cm="1">
        <f t="array" ref="E3377">- BIFONAZOLE</f>
        <v>#NAME?</v>
      </c>
      <c r="F3377" t="s">
        <v>15739</v>
      </c>
      <c r="G3377" t="s">
        <v>12188</v>
      </c>
      <c r="H3377" t="s">
        <v>15740</v>
      </c>
      <c r="I3377" t="s">
        <v>15741</v>
      </c>
      <c r="J3377" t="s">
        <v>15742</v>
      </c>
      <c r="K3377" t="s">
        <v>2726</v>
      </c>
      <c r="L3377" t="s">
        <v>15743</v>
      </c>
      <c r="M3377" t="s">
        <v>1289</v>
      </c>
      <c r="N3377" t="s">
        <v>15744</v>
      </c>
      <c r="O3377" t="s">
        <v>15745</v>
      </c>
      <c r="P3377" t="s">
        <v>15746</v>
      </c>
      <c r="Q3377" t="s">
        <v>15747</v>
      </c>
      <c r="R3377">
        <v>11</v>
      </c>
      <c r="S3377">
        <v>16</v>
      </c>
    </row>
    <row r="3378" spans="1:19" x14ac:dyDescent="0.35">
      <c r="A3378">
        <v>6735</v>
      </c>
      <c r="B3378" t="s">
        <v>15748</v>
      </c>
      <c r="C3378" t="s">
        <v>42</v>
      </c>
      <c r="D3378" t="s">
        <v>15749</v>
      </c>
      <c r="E3378" t="e" cm="1">
        <f t="array" ref="E3378">- RISEDRONATE SODIUM HEMIPENTAHYDRATE</f>
        <v>#NAME?</v>
      </c>
      <c r="F3378" t="s">
        <v>15750</v>
      </c>
      <c r="G3378" t="s">
        <v>15751</v>
      </c>
      <c r="H3378" t="s">
        <v>15752</v>
      </c>
      <c r="I3378" t="s">
        <v>15753</v>
      </c>
      <c r="J3378" t="s">
        <v>15754</v>
      </c>
      <c r="K3378" t="s">
        <v>15755</v>
      </c>
      <c r="L3378" t="s">
        <v>270</v>
      </c>
      <c r="M3378" t="s">
        <v>291</v>
      </c>
      <c r="N3378" t="s">
        <v>15756</v>
      </c>
      <c r="O3378" t="s">
        <v>15757</v>
      </c>
      <c r="P3378" t="s">
        <v>15758</v>
      </c>
      <c r="Q3378" t="s">
        <v>15759</v>
      </c>
      <c r="R3378">
        <v>11</v>
      </c>
      <c r="S3378">
        <v>16</v>
      </c>
    </row>
    <row r="3379" spans="1:19" x14ac:dyDescent="0.35">
      <c r="A3379">
        <v>570</v>
      </c>
      <c r="B3379" t="s">
        <v>13741</v>
      </c>
      <c r="C3379" t="s">
        <v>42</v>
      </c>
      <c r="D3379" t="s">
        <v>13742</v>
      </c>
      <c r="E3379" t="e" cm="1">
        <f t="array" ref="E3379">- SALBUTAMOL SULFATE</f>
        <v>#NAME?</v>
      </c>
      <c r="F3379" t="s">
        <v>13743</v>
      </c>
      <c r="G3379" t="s">
        <v>13744</v>
      </c>
      <c r="H3379" t="s">
        <v>13745</v>
      </c>
      <c r="I3379" t="s">
        <v>13746</v>
      </c>
      <c r="J3379" t="s">
        <v>13747</v>
      </c>
      <c r="K3379" t="s">
        <v>13748</v>
      </c>
      <c r="L3379" t="s">
        <v>13749</v>
      </c>
      <c r="M3379" t="s">
        <v>3453</v>
      </c>
      <c r="N3379" t="s">
        <v>3424</v>
      </c>
      <c r="O3379" t="s">
        <v>13750</v>
      </c>
      <c r="P3379" t="s">
        <v>13751</v>
      </c>
      <c r="Q3379" t="s">
        <v>13752</v>
      </c>
      <c r="R3379">
        <v>11</v>
      </c>
      <c r="S3379">
        <v>16</v>
      </c>
    </row>
    <row r="3380" spans="1:19" x14ac:dyDescent="0.35">
      <c r="A3380">
        <v>1447</v>
      </c>
      <c r="B3380" t="s">
        <v>15760</v>
      </c>
      <c r="C3380" t="s">
        <v>42</v>
      </c>
      <c r="D3380" t="s">
        <v>15761</v>
      </c>
      <c r="E3380" t="e" cm="1">
        <f t="array" ref="E3380">- PSEUDOEPHEDRINE HYDROCHLORIDE</f>
        <v>#NAME?</v>
      </c>
      <c r="F3380" s="1">
        <v>40200</v>
      </c>
      <c r="G3380" t="s">
        <v>2241</v>
      </c>
      <c r="H3380" t="s">
        <v>11254</v>
      </c>
      <c r="I3380" t="s">
        <v>14549</v>
      </c>
      <c r="J3380" t="s">
        <v>334</v>
      </c>
      <c r="L3380" t="s">
        <v>11257</v>
      </c>
      <c r="M3380" t="s">
        <v>271</v>
      </c>
      <c r="N3380" t="s">
        <v>8326</v>
      </c>
      <c r="O3380" t="s">
        <v>14552</v>
      </c>
      <c r="P3380" t="s">
        <v>15762</v>
      </c>
      <c r="Q3380" t="s">
        <v>15763</v>
      </c>
      <c r="R3380">
        <v>11</v>
      </c>
      <c r="S3380">
        <v>16</v>
      </c>
    </row>
    <row r="3381" spans="1:19" x14ac:dyDescent="0.35">
      <c r="A3381">
        <v>3109</v>
      </c>
      <c r="B3381" t="s">
        <v>15665</v>
      </c>
      <c r="C3381" t="s">
        <v>42</v>
      </c>
      <c r="D3381" t="s">
        <v>15666</v>
      </c>
      <c r="E3381" t="e" cm="1">
        <f t="array" ref="E3381">- SUCRALFATE</f>
        <v>#NAME?</v>
      </c>
      <c r="F3381" t="s">
        <v>15667</v>
      </c>
      <c r="G3381" t="s">
        <v>15668</v>
      </c>
      <c r="H3381" t="s">
        <v>11805</v>
      </c>
      <c r="I3381" t="s">
        <v>11806</v>
      </c>
      <c r="J3381" t="s">
        <v>374</v>
      </c>
      <c r="K3381" t="s">
        <v>3473</v>
      </c>
      <c r="L3381" t="s">
        <v>11807</v>
      </c>
      <c r="M3381" t="s">
        <v>340</v>
      </c>
      <c r="N3381" t="s">
        <v>375</v>
      </c>
      <c r="O3381" t="s">
        <v>11808</v>
      </c>
      <c r="P3381" t="s">
        <v>15669</v>
      </c>
      <c r="Q3381" t="s">
        <v>15670</v>
      </c>
      <c r="R3381">
        <v>11</v>
      </c>
      <c r="S3381">
        <v>16</v>
      </c>
    </row>
    <row r="3382" spans="1:19" x14ac:dyDescent="0.35">
      <c r="A3382">
        <v>5066</v>
      </c>
      <c r="B3382" t="s">
        <v>15764</v>
      </c>
      <c r="C3382" t="s">
        <v>42</v>
      </c>
      <c r="D3382" t="s">
        <v>15765</v>
      </c>
      <c r="E3382" t="e" cm="1">
        <f t="array" ref="E3382">- DESOXIMETASONE</f>
        <v>#NAME?</v>
      </c>
      <c r="F3382" t="s">
        <v>15766</v>
      </c>
      <c r="G3382" t="s">
        <v>15767</v>
      </c>
      <c r="H3382" t="s">
        <v>15768</v>
      </c>
      <c r="I3382" t="s">
        <v>15769</v>
      </c>
      <c r="J3382" t="s">
        <v>9720</v>
      </c>
      <c r="K3382" t="s">
        <v>15770</v>
      </c>
      <c r="L3382" t="s">
        <v>15771</v>
      </c>
      <c r="M3382" t="s">
        <v>1289</v>
      </c>
      <c r="N3382" t="s">
        <v>8965</v>
      </c>
      <c r="O3382" t="s">
        <v>15772</v>
      </c>
      <c r="P3382" t="s">
        <v>15773</v>
      </c>
      <c r="Q3382" t="s">
        <v>15774</v>
      </c>
      <c r="R3382">
        <v>11</v>
      </c>
      <c r="S3382">
        <v>16</v>
      </c>
    </row>
    <row r="3383" spans="1:19" x14ac:dyDescent="0.35">
      <c r="A3383">
        <v>7554</v>
      </c>
      <c r="B3383" t="s">
        <v>15775</v>
      </c>
      <c r="C3383" t="s">
        <v>42</v>
      </c>
      <c r="D3383" t="s">
        <v>15776</v>
      </c>
      <c r="E3383" t="e" cm="1">
        <f t="array" ref="E3383">- ASCORBIC ACID</f>
        <v>#NAME?</v>
      </c>
      <c r="F3383" t="s">
        <v>15777</v>
      </c>
      <c r="G3383" t="s">
        <v>15778</v>
      </c>
      <c r="H3383" t="s">
        <v>12365</v>
      </c>
      <c r="I3383" t="s">
        <v>15779</v>
      </c>
      <c r="J3383" t="s">
        <v>15780</v>
      </c>
      <c r="K3383" t="s">
        <v>2726</v>
      </c>
      <c r="L3383" t="s">
        <v>15781</v>
      </c>
      <c r="M3383" t="s">
        <v>291</v>
      </c>
      <c r="N3383" t="s">
        <v>15348</v>
      </c>
      <c r="O3383" t="s">
        <v>15782</v>
      </c>
      <c r="P3383" t="s">
        <v>15783</v>
      </c>
      <c r="Q3383" t="s">
        <v>15784</v>
      </c>
      <c r="R3383">
        <v>11</v>
      </c>
      <c r="S3383">
        <v>16</v>
      </c>
    </row>
    <row r="3384" spans="1:19" x14ac:dyDescent="0.35">
      <c r="A3384">
        <v>3169</v>
      </c>
      <c r="B3384" t="s">
        <v>12065</v>
      </c>
      <c r="C3384" t="s">
        <v>42</v>
      </c>
      <c r="D3384" t="s">
        <v>15785</v>
      </c>
      <c r="E3384" t="e" cm="1">
        <f t="array" ref="E3384">- SUCRALFATE</f>
        <v>#NAME?</v>
      </c>
      <c r="F3384" t="s">
        <v>15786</v>
      </c>
      <c r="G3384" t="s">
        <v>737</v>
      </c>
      <c r="H3384" t="s">
        <v>12069</v>
      </c>
      <c r="I3384" t="s">
        <v>15787</v>
      </c>
      <c r="J3384" t="s">
        <v>11903</v>
      </c>
      <c r="K3384" t="s">
        <v>12072</v>
      </c>
      <c r="L3384" t="s">
        <v>15788</v>
      </c>
      <c r="M3384" t="s">
        <v>340</v>
      </c>
      <c r="N3384" t="s">
        <v>375</v>
      </c>
      <c r="O3384" t="s">
        <v>15789</v>
      </c>
      <c r="P3384" t="s">
        <v>12075</v>
      </c>
      <c r="Q3384" t="s">
        <v>15790</v>
      </c>
      <c r="R3384">
        <v>11</v>
      </c>
      <c r="S3384">
        <v>16</v>
      </c>
    </row>
    <row r="3385" spans="1:19" x14ac:dyDescent="0.35">
      <c r="A3385">
        <v>1580</v>
      </c>
      <c r="B3385" t="s">
        <v>2175</v>
      </c>
      <c r="C3385" t="s">
        <v>42</v>
      </c>
      <c r="D3385" t="s">
        <v>2471</v>
      </c>
      <c r="E3385" t="e" cm="1">
        <f t="array" ref="E3385">- DIPHENHYDRAMINE HYDROCHLORIDE. AMMONIUM CHLORIDE. SULFOGAIACOL POTASSIUM. SODIUM CITRATE DIHYDRATE</f>
        <v>#NAME?</v>
      </c>
      <c r="F3385" t="s">
        <v>2472</v>
      </c>
      <c r="G3385" t="s">
        <v>2178</v>
      </c>
      <c r="H3385" t="s">
        <v>2473</v>
      </c>
      <c r="J3385" t="s">
        <v>1144</v>
      </c>
      <c r="K3385" t="s">
        <v>2180</v>
      </c>
      <c r="L3385" t="s">
        <v>2181</v>
      </c>
      <c r="M3385" t="s">
        <v>271</v>
      </c>
      <c r="N3385" t="s">
        <v>15042</v>
      </c>
      <c r="P3385" t="s">
        <v>2182</v>
      </c>
      <c r="Q3385" t="s">
        <v>15043</v>
      </c>
      <c r="R3385">
        <v>11</v>
      </c>
      <c r="S3385">
        <v>16</v>
      </c>
    </row>
    <row r="3386" spans="1:19" x14ac:dyDescent="0.35">
      <c r="A3386">
        <v>4568</v>
      </c>
      <c r="B3386" t="s">
        <v>15791</v>
      </c>
      <c r="C3386" t="s">
        <v>42</v>
      </c>
      <c r="D3386" t="s">
        <v>15792</v>
      </c>
      <c r="E3386" t="e" cm="1">
        <f t="array" ref="E3386">- TETRYZOLINE</f>
        <v>#NAME?</v>
      </c>
      <c r="F3386" t="s">
        <v>15793</v>
      </c>
      <c r="G3386" t="s">
        <v>15794</v>
      </c>
      <c r="H3386" t="s">
        <v>15795</v>
      </c>
      <c r="I3386" t="s">
        <v>15796</v>
      </c>
      <c r="J3386" t="s">
        <v>1647</v>
      </c>
      <c r="M3386" t="s">
        <v>824</v>
      </c>
      <c r="N3386" t="s">
        <v>6319</v>
      </c>
      <c r="O3386" t="s">
        <v>15797</v>
      </c>
      <c r="P3386" t="s">
        <v>15798</v>
      </c>
      <c r="Q3386" t="s">
        <v>15799</v>
      </c>
      <c r="R3386">
        <v>11</v>
      </c>
      <c r="S3386">
        <v>16</v>
      </c>
    </row>
    <row r="3387" spans="1:19" x14ac:dyDescent="0.35">
      <c r="A3387">
        <v>2919</v>
      </c>
      <c r="B3387" t="s">
        <v>15800</v>
      </c>
      <c r="C3387" t="s">
        <v>42</v>
      </c>
      <c r="D3387" t="s">
        <v>15801</v>
      </c>
      <c r="E3387" t="e" cm="1">
        <f t="array" ref="E3387">- PARACETAMOL</f>
        <v>#NAME?</v>
      </c>
      <c r="F3387" t="s">
        <v>1193</v>
      </c>
      <c r="H3387" t="s">
        <v>15802</v>
      </c>
      <c r="I3387" t="s">
        <v>15803</v>
      </c>
      <c r="J3387" t="s">
        <v>334</v>
      </c>
      <c r="M3387" t="s">
        <v>271</v>
      </c>
      <c r="N3387" t="s">
        <v>584</v>
      </c>
      <c r="O3387" t="s">
        <v>15804</v>
      </c>
      <c r="P3387" t="s">
        <v>12296</v>
      </c>
      <c r="Q3387" t="s">
        <v>15805</v>
      </c>
      <c r="R3387">
        <v>11</v>
      </c>
      <c r="S3387">
        <v>16</v>
      </c>
    </row>
    <row r="3388" spans="1:19" x14ac:dyDescent="0.35">
      <c r="A3388">
        <v>122</v>
      </c>
      <c r="B3388" t="s">
        <v>2902</v>
      </c>
      <c r="C3388" t="s">
        <v>42</v>
      </c>
      <c r="D3388" t="s">
        <v>15806</v>
      </c>
      <c r="E3388" t="e" cm="1">
        <f t="array" ref="E3388">- SILDENAFIL CITRATE</f>
        <v>#NAME?</v>
      </c>
      <c r="F3388" s="1">
        <v>96000</v>
      </c>
      <c r="G3388" t="s">
        <v>8185</v>
      </c>
      <c r="H3388" t="s">
        <v>3854</v>
      </c>
      <c r="I3388" t="s">
        <v>8186</v>
      </c>
      <c r="J3388" t="s">
        <v>14235</v>
      </c>
      <c r="L3388" t="s">
        <v>8188</v>
      </c>
      <c r="M3388" t="s">
        <v>46</v>
      </c>
      <c r="N3388" t="s">
        <v>2519</v>
      </c>
      <c r="O3388" t="s">
        <v>8189</v>
      </c>
      <c r="P3388" t="s">
        <v>15807</v>
      </c>
      <c r="Q3388" t="s">
        <v>15808</v>
      </c>
      <c r="R3388">
        <v>11</v>
      </c>
      <c r="S3388">
        <v>16</v>
      </c>
    </row>
    <row r="3389" spans="1:19" x14ac:dyDescent="0.35">
      <c r="A3389">
        <v>1579</v>
      </c>
      <c r="B3389" t="s">
        <v>2175</v>
      </c>
      <c r="C3389" t="s">
        <v>42</v>
      </c>
      <c r="D3389" t="s">
        <v>2471</v>
      </c>
      <c r="E3389" t="e" cm="1">
        <f t="array" ref="E3389">- DIPHENHYDRAMINE HYDROCHLORIDE. AMMONIUM CHLORIDE. SULFOGAIACOL POTASSIUM. SODIUM CITRATE DIHYDRATE</f>
        <v>#NAME?</v>
      </c>
      <c r="F3389" t="s">
        <v>2472</v>
      </c>
      <c r="G3389" t="s">
        <v>2178</v>
      </c>
      <c r="H3389" t="s">
        <v>2473</v>
      </c>
      <c r="J3389" t="s">
        <v>1144</v>
      </c>
      <c r="K3389" t="s">
        <v>2180</v>
      </c>
      <c r="L3389" t="s">
        <v>2181</v>
      </c>
      <c r="M3389" t="s">
        <v>271</v>
      </c>
      <c r="N3389" t="s">
        <v>15042</v>
      </c>
      <c r="P3389" t="s">
        <v>2182</v>
      </c>
      <c r="Q3389" t="s">
        <v>15043</v>
      </c>
      <c r="R3389">
        <v>11</v>
      </c>
      <c r="S3389">
        <v>16</v>
      </c>
    </row>
    <row r="3390" spans="1:19" x14ac:dyDescent="0.35">
      <c r="A3390">
        <v>3168</v>
      </c>
      <c r="B3390" t="s">
        <v>12065</v>
      </c>
      <c r="C3390" t="s">
        <v>42</v>
      </c>
      <c r="D3390" t="s">
        <v>15785</v>
      </c>
      <c r="E3390" t="e" cm="1">
        <f t="array" ref="E3390">- SUCRALFATE</f>
        <v>#NAME?</v>
      </c>
      <c r="F3390" t="s">
        <v>15786</v>
      </c>
      <c r="G3390" t="s">
        <v>737</v>
      </c>
      <c r="H3390" t="s">
        <v>12069</v>
      </c>
      <c r="I3390" t="s">
        <v>15787</v>
      </c>
      <c r="J3390" t="s">
        <v>11903</v>
      </c>
      <c r="K3390" t="s">
        <v>12072</v>
      </c>
      <c r="L3390" t="s">
        <v>15788</v>
      </c>
      <c r="M3390" t="s">
        <v>340</v>
      </c>
      <c r="N3390" t="s">
        <v>375</v>
      </c>
      <c r="O3390" t="s">
        <v>15789</v>
      </c>
      <c r="P3390" t="s">
        <v>12075</v>
      </c>
      <c r="Q3390" t="s">
        <v>15790</v>
      </c>
      <c r="R3390">
        <v>11</v>
      </c>
      <c r="S3390">
        <v>16</v>
      </c>
    </row>
    <row r="3391" spans="1:19" x14ac:dyDescent="0.35">
      <c r="A3391">
        <v>571</v>
      </c>
      <c r="B3391" t="s">
        <v>13741</v>
      </c>
      <c r="C3391" t="s">
        <v>42</v>
      </c>
      <c r="D3391" t="s">
        <v>13742</v>
      </c>
      <c r="E3391" t="e" cm="1">
        <f t="array" ref="E3391">- SALBUTAMOL SULFATE</f>
        <v>#NAME?</v>
      </c>
      <c r="F3391" t="s">
        <v>13743</v>
      </c>
      <c r="G3391" t="s">
        <v>13744</v>
      </c>
      <c r="H3391" t="s">
        <v>13745</v>
      </c>
      <c r="I3391" t="s">
        <v>13746</v>
      </c>
      <c r="J3391" t="s">
        <v>13747</v>
      </c>
      <c r="K3391" t="s">
        <v>13748</v>
      </c>
      <c r="L3391" t="s">
        <v>13749</v>
      </c>
      <c r="M3391" t="s">
        <v>3453</v>
      </c>
      <c r="N3391" t="s">
        <v>3424</v>
      </c>
      <c r="O3391" t="s">
        <v>13750</v>
      </c>
      <c r="P3391" t="s">
        <v>13751</v>
      </c>
      <c r="Q3391" t="s">
        <v>13752</v>
      </c>
      <c r="R3391">
        <v>11</v>
      </c>
      <c r="S3391">
        <v>16</v>
      </c>
    </row>
    <row r="3392" spans="1:19" x14ac:dyDescent="0.35">
      <c r="A3392">
        <v>4318</v>
      </c>
      <c r="B3392" t="s">
        <v>15682</v>
      </c>
      <c r="C3392" t="s">
        <v>42</v>
      </c>
      <c r="D3392" t="s">
        <v>15683</v>
      </c>
      <c r="E3392" t="e" cm="1">
        <f t="array" ref="E3392">- CHLORPHENESIN</f>
        <v>#NAME?</v>
      </c>
      <c r="F3392" t="s">
        <v>15684</v>
      </c>
      <c r="H3392" t="s">
        <v>15685</v>
      </c>
      <c r="I3392" t="s">
        <v>15686</v>
      </c>
      <c r="J3392" t="s">
        <v>15687</v>
      </c>
      <c r="M3392" t="s">
        <v>1280</v>
      </c>
      <c r="N3392" t="s">
        <v>15688</v>
      </c>
      <c r="O3392" t="s">
        <v>15689</v>
      </c>
      <c r="P3392" t="s">
        <v>15690</v>
      </c>
      <c r="Q3392" t="s">
        <v>15691</v>
      </c>
      <c r="R3392">
        <v>11</v>
      </c>
      <c r="S3392">
        <v>16</v>
      </c>
    </row>
    <row r="3393" spans="1:19" x14ac:dyDescent="0.35">
      <c r="A3393">
        <v>6731</v>
      </c>
      <c r="B3393" t="s">
        <v>12776</v>
      </c>
      <c r="C3393" t="s">
        <v>42</v>
      </c>
      <c r="D3393" t="s">
        <v>12777</v>
      </c>
      <c r="E3393" t="e" cm="1">
        <f t="array" ref="E3393">- Ossein hydroxyapatite compound</f>
        <v>#NAME?</v>
      </c>
      <c r="F3393" t="s">
        <v>12778</v>
      </c>
      <c r="G3393" t="s">
        <v>737</v>
      </c>
      <c r="H3393" t="s">
        <v>12779</v>
      </c>
      <c r="I3393" t="s">
        <v>12780</v>
      </c>
      <c r="J3393" t="s">
        <v>12781</v>
      </c>
      <c r="K3393" t="s">
        <v>12782</v>
      </c>
      <c r="L3393" t="s">
        <v>12783</v>
      </c>
      <c r="M3393" t="s">
        <v>291</v>
      </c>
      <c r="N3393" t="s">
        <v>15809</v>
      </c>
      <c r="O3393" t="s">
        <v>12785</v>
      </c>
      <c r="P3393" t="s">
        <v>12786</v>
      </c>
      <c r="Q3393" t="s">
        <v>15810</v>
      </c>
      <c r="R3393">
        <v>11</v>
      </c>
      <c r="S3393">
        <v>16</v>
      </c>
    </row>
    <row r="3394" spans="1:19" x14ac:dyDescent="0.35">
      <c r="A3394">
        <v>6689</v>
      </c>
      <c r="B3394" t="s">
        <v>15811</v>
      </c>
      <c r="C3394" t="s">
        <v>42</v>
      </c>
      <c r="D3394" t="s">
        <v>15812</v>
      </c>
      <c r="E3394" t="e" cm="1">
        <f t="array" ref="E3394">- METHISOPRINOL</f>
        <v>#NAME?</v>
      </c>
      <c r="F3394" t="s">
        <v>15813</v>
      </c>
      <c r="G3394" t="s">
        <v>8205</v>
      </c>
      <c r="H3394" t="s">
        <v>15814</v>
      </c>
      <c r="I3394" t="s">
        <v>15815</v>
      </c>
      <c r="J3394" t="s">
        <v>15816</v>
      </c>
      <c r="L3394" t="s">
        <v>270</v>
      </c>
      <c r="M3394" t="s">
        <v>271</v>
      </c>
      <c r="N3394" t="s">
        <v>322</v>
      </c>
      <c r="O3394" t="s">
        <v>15817</v>
      </c>
      <c r="P3394" t="s">
        <v>7972</v>
      </c>
      <c r="Q3394" t="s">
        <v>15818</v>
      </c>
      <c r="R3394">
        <v>11</v>
      </c>
      <c r="S3394">
        <v>16</v>
      </c>
    </row>
    <row r="3395" spans="1:19" x14ac:dyDescent="0.35">
      <c r="A3395">
        <v>5614</v>
      </c>
      <c r="B3395" t="s">
        <v>13873</v>
      </c>
      <c r="C3395" t="s">
        <v>42</v>
      </c>
      <c r="D3395" t="s">
        <v>13874</v>
      </c>
      <c r="E3395" t="e" cm="1">
        <f t="array" ref="E3395">- METRONIDAZOLE. NYSTATIN</f>
        <v>#NAME?</v>
      </c>
      <c r="F3395" t="s">
        <v>13875</v>
      </c>
      <c r="G3395" t="s">
        <v>13556</v>
      </c>
      <c r="H3395" t="s">
        <v>13557</v>
      </c>
      <c r="I3395" t="s">
        <v>13558</v>
      </c>
      <c r="J3395" t="s">
        <v>13876</v>
      </c>
      <c r="K3395" t="s">
        <v>3952</v>
      </c>
      <c r="L3395" t="s">
        <v>13560</v>
      </c>
      <c r="M3395" t="s">
        <v>8891</v>
      </c>
      <c r="N3395" t="s">
        <v>10960</v>
      </c>
      <c r="O3395" t="s">
        <v>13088</v>
      </c>
      <c r="P3395" t="s">
        <v>13877</v>
      </c>
      <c r="Q3395" t="s">
        <v>13878</v>
      </c>
      <c r="R3395">
        <v>11</v>
      </c>
      <c r="S3395">
        <v>16</v>
      </c>
    </row>
    <row r="3396" spans="1:19" x14ac:dyDescent="0.35">
      <c r="A3396">
        <v>2122</v>
      </c>
      <c r="B3396" t="s">
        <v>10863</v>
      </c>
      <c r="C3396" t="s">
        <v>42</v>
      </c>
      <c r="D3396" t="s">
        <v>10864</v>
      </c>
      <c r="E3396" t="e" cm="1">
        <f t="array" ref="E3396">- PARACETAMOL. HYOSCYAMINE Extract</f>
        <v>#NAME?</v>
      </c>
      <c r="F3396" t="s">
        <v>10865</v>
      </c>
      <c r="G3396" t="s">
        <v>2241</v>
      </c>
      <c r="H3396" t="s">
        <v>10866</v>
      </c>
      <c r="I3396" t="s">
        <v>10867</v>
      </c>
      <c r="J3396" t="s">
        <v>6169</v>
      </c>
      <c r="K3396" t="s">
        <v>10868</v>
      </c>
      <c r="L3396" t="s">
        <v>10869</v>
      </c>
      <c r="M3396" t="s">
        <v>46</v>
      </c>
      <c r="N3396" t="s">
        <v>15819</v>
      </c>
      <c r="O3396" t="s">
        <v>10871</v>
      </c>
      <c r="P3396" t="s">
        <v>10872</v>
      </c>
      <c r="Q3396" t="s">
        <v>15820</v>
      </c>
      <c r="R3396">
        <v>11</v>
      </c>
      <c r="S3396">
        <v>16</v>
      </c>
    </row>
    <row r="3397" spans="1:19" x14ac:dyDescent="0.35">
      <c r="A3397">
        <v>5692</v>
      </c>
      <c r="B3397" t="s">
        <v>14944</v>
      </c>
      <c r="C3397" t="s">
        <v>42</v>
      </c>
      <c r="D3397" t="s">
        <v>14945</v>
      </c>
      <c r="E3397" t="e" cm="1">
        <f t="array" ref="E3397">- AMPICILLIN TRIHYDRATE</f>
        <v>#NAME?</v>
      </c>
      <c r="F3397" t="s">
        <v>14946</v>
      </c>
      <c r="G3397" t="s">
        <v>14947</v>
      </c>
      <c r="H3397" t="s">
        <v>14948</v>
      </c>
      <c r="I3397" t="s">
        <v>14949</v>
      </c>
      <c r="J3397" t="s">
        <v>381</v>
      </c>
      <c r="K3397" t="s">
        <v>14950</v>
      </c>
      <c r="L3397" t="s">
        <v>14951</v>
      </c>
      <c r="M3397" t="s">
        <v>291</v>
      </c>
      <c r="N3397" t="s">
        <v>1945</v>
      </c>
      <c r="O3397" t="s">
        <v>14952</v>
      </c>
      <c r="P3397" t="s">
        <v>14953</v>
      </c>
      <c r="Q3397" t="s">
        <v>14954</v>
      </c>
      <c r="R3397">
        <v>11</v>
      </c>
      <c r="S3397">
        <v>16</v>
      </c>
    </row>
    <row r="3398" spans="1:19" x14ac:dyDescent="0.35">
      <c r="A3398">
        <v>2123</v>
      </c>
      <c r="B3398" t="s">
        <v>10863</v>
      </c>
      <c r="C3398" t="s">
        <v>42</v>
      </c>
      <c r="D3398" t="s">
        <v>10864</v>
      </c>
      <c r="E3398" t="e" cm="1">
        <f t="array" ref="E3398">- PARACETAMOL. HYOSCYAMINE Extract</f>
        <v>#NAME?</v>
      </c>
      <c r="F3398" t="s">
        <v>10865</v>
      </c>
      <c r="G3398" t="s">
        <v>2241</v>
      </c>
      <c r="H3398" t="s">
        <v>10866</v>
      </c>
      <c r="I3398" t="s">
        <v>10867</v>
      </c>
      <c r="J3398" t="s">
        <v>6169</v>
      </c>
      <c r="K3398" t="s">
        <v>10868</v>
      </c>
      <c r="L3398" t="s">
        <v>10869</v>
      </c>
      <c r="M3398" t="s">
        <v>46</v>
      </c>
      <c r="N3398" t="s">
        <v>15819</v>
      </c>
      <c r="O3398" t="s">
        <v>10871</v>
      </c>
      <c r="P3398" t="s">
        <v>10872</v>
      </c>
      <c r="Q3398" t="s">
        <v>15820</v>
      </c>
      <c r="R3398">
        <v>11</v>
      </c>
      <c r="S3398">
        <v>16</v>
      </c>
    </row>
    <row r="3399" spans="1:19" x14ac:dyDescent="0.35">
      <c r="A3399">
        <v>2124</v>
      </c>
      <c r="B3399" t="s">
        <v>10863</v>
      </c>
      <c r="C3399" t="s">
        <v>42</v>
      </c>
      <c r="D3399" t="s">
        <v>10864</v>
      </c>
      <c r="E3399" t="e" cm="1">
        <f t="array" ref="E3399">- PARACETAMOL. HYOSCYAMINE Extract</f>
        <v>#NAME?</v>
      </c>
      <c r="F3399" t="s">
        <v>10865</v>
      </c>
      <c r="G3399" t="s">
        <v>2241</v>
      </c>
      <c r="H3399" t="s">
        <v>10866</v>
      </c>
      <c r="I3399" t="s">
        <v>10867</v>
      </c>
      <c r="J3399" t="s">
        <v>6169</v>
      </c>
      <c r="K3399" t="s">
        <v>10868</v>
      </c>
      <c r="L3399" t="s">
        <v>10869</v>
      </c>
      <c r="M3399" t="s">
        <v>46</v>
      </c>
      <c r="N3399" t="s">
        <v>15819</v>
      </c>
      <c r="O3399" t="s">
        <v>10871</v>
      </c>
      <c r="P3399" t="s">
        <v>10872</v>
      </c>
      <c r="Q3399" t="s">
        <v>15820</v>
      </c>
      <c r="R3399">
        <v>11</v>
      </c>
      <c r="S3399">
        <v>16</v>
      </c>
    </row>
    <row r="3400" spans="1:19" x14ac:dyDescent="0.35">
      <c r="A3400">
        <v>124</v>
      </c>
      <c r="B3400" t="s">
        <v>2902</v>
      </c>
      <c r="C3400" t="s">
        <v>42</v>
      </c>
      <c r="D3400" t="s">
        <v>15821</v>
      </c>
      <c r="E3400" t="e" cm="1">
        <f t="array" ref="E3400">- SILDENAFIL CITRATE</f>
        <v>#NAME?</v>
      </c>
      <c r="F3400" s="1">
        <v>26000</v>
      </c>
      <c r="G3400" t="s">
        <v>8185</v>
      </c>
      <c r="H3400" t="s">
        <v>8383</v>
      </c>
      <c r="I3400" t="s">
        <v>8186</v>
      </c>
      <c r="J3400" t="s">
        <v>6198</v>
      </c>
      <c r="L3400" t="s">
        <v>8188</v>
      </c>
      <c r="M3400" t="s">
        <v>46</v>
      </c>
      <c r="N3400" t="s">
        <v>2519</v>
      </c>
      <c r="O3400" t="s">
        <v>8189</v>
      </c>
      <c r="P3400" t="s">
        <v>15822</v>
      </c>
      <c r="Q3400" t="s">
        <v>15823</v>
      </c>
      <c r="R3400">
        <v>11</v>
      </c>
      <c r="S3400">
        <v>16</v>
      </c>
    </row>
    <row r="3401" spans="1:19" x14ac:dyDescent="0.35">
      <c r="A3401">
        <v>6690</v>
      </c>
      <c r="B3401" t="s">
        <v>15811</v>
      </c>
      <c r="C3401" t="s">
        <v>42</v>
      </c>
      <c r="D3401" t="s">
        <v>15812</v>
      </c>
      <c r="E3401" t="e" cm="1">
        <f t="array" ref="E3401">- METHISOPRINOL</f>
        <v>#NAME?</v>
      </c>
      <c r="F3401" t="s">
        <v>15813</v>
      </c>
      <c r="G3401" t="s">
        <v>8205</v>
      </c>
      <c r="H3401" t="s">
        <v>15814</v>
      </c>
      <c r="I3401" t="s">
        <v>15815</v>
      </c>
      <c r="J3401" t="s">
        <v>15816</v>
      </c>
      <c r="L3401" t="s">
        <v>270</v>
      </c>
      <c r="M3401" t="s">
        <v>271</v>
      </c>
      <c r="N3401" t="s">
        <v>322</v>
      </c>
      <c r="O3401" t="s">
        <v>15817</v>
      </c>
      <c r="P3401" t="s">
        <v>7972</v>
      </c>
      <c r="Q3401" t="s">
        <v>15818</v>
      </c>
      <c r="R3401">
        <v>11</v>
      </c>
      <c r="S3401">
        <v>16</v>
      </c>
    </row>
    <row r="3402" spans="1:19" x14ac:dyDescent="0.35">
      <c r="A3402">
        <v>2130</v>
      </c>
      <c r="B3402" t="s">
        <v>15824</v>
      </c>
      <c r="C3402" t="s">
        <v>42</v>
      </c>
      <c r="D3402" t="s">
        <v>15825</v>
      </c>
      <c r="E3402" t="e" cm="1">
        <f t="array" ref="E3402">- PARACETAMOL</f>
        <v>#NAME?</v>
      </c>
      <c r="F3402" t="s">
        <v>15826</v>
      </c>
      <c r="G3402" t="s">
        <v>4362</v>
      </c>
      <c r="H3402" t="s">
        <v>15827</v>
      </c>
      <c r="I3402" t="s">
        <v>15828</v>
      </c>
      <c r="J3402" t="s">
        <v>15829</v>
      </c>
      <c r="K3402" t="s">
        <v>15830</v>
      </c>
      <c r="L3402" t="s">
        <v>15831</v>
      </c>
      <c r="M3402" t="s">
        <v>291</v>
      </c>
      <c r="N3402" t="s">
        <v>584</v>
      </c>
      <c r="O3402" t="s">
        <v>15832</v>
      </c>
      <c r="P3402" t="s">
        <v>15833</v>
      </c>
      <c r="Q3402" t="s">
        <v>15834</v>
      </c>
      <c r="R3402">
        <v>11</v>
      </c>
      <c r="S3402">
        <v>16</v>
      </c>
    </row>
    <row r="3403" spans="1:19" x14ac:dyDescent="0.35">
      <c r="A3403">
        <v>2131</v>
      </c>
      <c r="B3403" t="s">
        <v>15824</v>
      </c>
      <c r="C3403" t="s">
        <v>42</v>
      </c>
      <c r="D3403" t="s">
        <v>15825</v>
      </c>
      <c r="E3403" t="e" cm="1">
        <f t="array" ref="E3403">- PARACETAMOL</f>
        <v>#NAME?</v>
      </c>
      <c r="F3403" t="s">
        <v>15826</v>
      </c>
      <c r="G3403" t="s">
        <v>4362</v>
      </c>
      <c r="H3403" t="s">
        <v>15827</v>
      </c>
      <c r="I3403" t="s">
        <v>15828</v>
      </c>
      <c r="J3403" t="s">
        <v>15829</v>
      </c>
      <c r="K3403" t="s">
        <v>15830</v>
      </c>
      <c r="L3403" t="s">
        <v>15831</v>
      </c>
      <c r="M3403" t="s">
        <v>291</v>
      </c>
      <c r="N3403" t="s">
        <v>584</v>
      </c>
      <c r="O3403" t="s">
        <v>15832</v>
      </c>
      <c r="P3403" t="s">
        <v>15833</v>
      </c>
      <c r="Q3403" t="s">
        <v>15834</v>
      </c>
      <c r="R3403">
        <v>11</v>
      </c>
      <c r="S3403">
        <v>16</v>
      </c>
    </row>
    <row r="3404" spans="1:19" x14ac:dyDescent="0.35">
      <c r="A3404">
        <v>2132</v>
      </c>
      <c r="B3404" t="s">
        <v>15824</v>
      </c>
      <c r="C3404" t="s">
        <v>42</v>
      </c>
      <c r="D3404" t="s">
        <v>15825</v>
      </c>
      <c r="E3404" t="e" cm="1">
        <f t="array" ref="E3404">- PARACETAMOL</f>
        <v>#NAME?</v>
      </c>
      <c r="F3404" t="s">
        <v>15826</v>
      </c>
      <c r="G3404" t="s">
        <v>4362</v>
      </c>
      <c r="H3404" t="s">
        <v>15827</v>
      </c>
      <c r="I3404" t="s">
        <v>15828</v>
      </c>
      <c r="J3404" t="s">
        <v>15829</v>
      </c>
      <c r="K3404" t="s">
        <v>15830</v>
      </c>
      <c r="L3404" t="s">
        <v>15831</v>
      </c>
      <c r="M3404" t="s">
        <v>291</v>
      </c>
      <c r="N3404" t="s">
        <v>584</v>
      </c>
      <c r="O3404" t="s">
        <v>15832</v>
      </c>
      <c r="P3404" t="s">
        <v>15833</v>
      </c>
      <c r="Q3404" t="s">
        <v>15834</v>
      </c>
      <c r="R3404">
        <v>11</v>
      </c>
      <c r="S3404">
        <v>16</v>
      </c>
    </row>
    <row r="3405" spans="1:19" x14ac:dyDescent="0.35">
      <c r="A3405">
        <v>2133</v>
      </c>
      <c r="B3405" t="s">
        <v>15824</v>
      </c>
      <c r="C3405" t="s">
        <v>42</v>
      </c>
      <c r="D3405" t="s">
        <v>15825</v>
      </c>
      <c r="E3405" t="e" cm="1">
        <f t="array" ref="E3405">- PARACETAMOL</f>
        <v>#NAME?</v>
      </c>
      <c r="F3405" t="s">
        <v>15826</v>
      </c>
      <c r="G3405" t="s">
        <v>4362</v>
      </c>
      <c r="H3405" t="s">
        <v>15827</v>
      </c>
      <c r="I3405" t="s">
        <v>15828</v>
      </c>
      <c r="J3405" t="s">
        <v>15829</v>
      </c>
      <c r="K3405" t="s">
        <v>15830</v>
      </c>
      <c r="L3405" t="s">
        <v>15831</v>
      </c>
      <c r="M3405" t="s">
        <v>291</v>
      </c>
      <c r="N3405" t="s">
        <v>584</v>
      </c>
      <c r="O3405" t="s">
        <v>15832</v>
      </c>
      <c r="P3405" t="s">
        <v>15833</v>
      </c>
      <c r="Q3405" t="s">
        <v>15834</v>
      </c>
      <c r="R3405">
        <v>11</v>
      </c>
      <c r="S3405">
        <v>16</v>
      </c>
    </row>
    <row r="3406" spans="1:19" x14ac:dyDescent="0.35">
      <c r="A3406">
        <v>6691</v>
      </c>
      <c r="B3406" t="s">
        <v>15835</v>
      </c>
      <c r="C3406" t="s">
        <v>42</v>
      </c>
      <c r="D3406" t="s">
        <v>15836</v>
      </c>
      <c r="E3406" t="e" cm="1">
        <f t="array" ref="E3406">- ENTECAVIR MONOHYDRATE</f>
        <v>#NAME?</v>
      </c>
      <c r="F3406" t="s">
        <v>15837</v>
      </c>
      <c r="G3406" t="s">
        <v>15838</v>
      </c>
      <c r="H3406" t="s">
        <v>15839</v>
      </c>
      <c r="I3406" t="s">
        <v>15840</v>
      </c>
      <c r="J3406" t="s">
        <v>45</v>
      </c>
      <c r="K3406" t="s">
        <v>15841</v>
      </c>
      <c r="L3406" t="s">
        <v>15842</v>
      </c>
      <c r="M3406" t="s">
        <v>46</v>
      </c>
      <c r="N3406" t="s">
        <v>15843</v>
      </c>
      <c r="O3406" t="s">
        <v>15844</v>
      </c>
      <c r="P3406" t="s">
        <v>15845</v>
      </c>
      <c r="Q3406" t="s">
        <v>15846</v>
      </c>
      <c r="R3406">
        <v>11</v>
      </c>
      <c r="S3406">
        <v>16</v>
      </c>
    </row>
    <row r="3407" spans="1:19" x14ac:dyDescent="0.35">
      <c r="A3407">
        <v>7400</v>
      </c>
      <c r="B3407" t="s">
        <v>15847</v>
      </c>
      <c r="C3407" t="s">
        <v>42</v>
      </c>
      <c r="D3407" t="s">
        <v>15848</v>
      </c>
      <c r="E3407" t="e" cm="1">
        <f t="array" ref="E3407">- CYANOCOBALAMIN</f>
        <v>#NAME?</v>
      </c>
      <c r="F3407" t="s">
        <v>15849</v>
      </c>
      <c r="G3407" t="s">
        <v>2960</v>
      </c>
      <c r="H3407" t="s">
        <v>15850</v>
      </c>
      <c r="I3407" t="s">
        <v>15851</v>
      </c>
      <c r="J3407" t="s">
        <v>1093</v>
      </c>
      <c r="K3407" t="s">
        <v>15852</v>
      </c>
      <c r="L3407" t="s">
        <v>15853</v>
      </c>
      <c r="M3407" t="s">
        <v>46</v>
      </c>
      <c r="N3407" t="s">
        <v>677</v>
      </c>
      <c r="O3407" t="s">
        <v>15854</v>
      </c>
      <c r="P3407" t="s">
        <v>15855</v>
      </c>
      <c r="Q3407" t="s">
        <v>15856</v>
      </c>
      <c r="R3407">
        <v>11</v>
      </c>
      <c r="S3407">
        <v>16</v>
      </c>
    </row>
    <row r="3408" spans="1:19" x14ac:dyDescent="0.35">
      <c r="A3408">
        <v>3705</v>
      </c>
      <c r="B3408" t="s">
        <v>15857</v>
      </c>
      <c r="C3408" t="s">
        <v>42</v>
      </c>
      <c r="D3408" t="s">
        <v>15858</v>
      </c>
      <c r="E3408" t="e" cm="1">
        <f t="array" ref="E3408">- ANHYDROUS DEXTROSE</f>
        <v>#NAME?</v>
      </c>
      <c r="F3408" t="s">
        <v>15859</v>
      </c>
      <c r="G3408" t="s">
        <v>15860</v>
      </c>
      <c r="H3408" t="s">
        <v>15861</v>
      </c>
      <c r="I3408" t="s">
        <v>15862</v>
      </c>
      <c r="J3408" t="s">
        <v>15863</v>
      </c>
      <c r="K3408" t="s">
        <v>15864</v>
      </c>
      <c r="L3408" t="s">
        <v>15865</v>
      </c>
      <c r="M3408" t="s">
        <v>1280</v>
      </c>
      <c r="N3408" t="s">
        <v>15866</v>
      </c>
      <c r="O3408" t="s">
        <v>15867</v>
      </c>
      <c r="P3408" t="s">
        <v>15868</v>
      </c>
      <c r="Q3408" t="s">
        <v>15869</v>
      </c>
      <c r="R3408">
        <v>11</v>
      </c>
      <c r="S3408">
        <v>16</v>
      </c>
    </row>
    <row r="3409" spans="1:19" x14ac:dyDescent="0.35">
      <c r="A3409">
        <v>5041</v>
      </c>
      <c r="B3409" t="s">
        <v>15870</v>
      </c>
      <c r="C3409" t="s">
        <v>42</v>
      </c>
      <c r="D3409" t="s">
        <v>15871</v>
      </c>
      <c r="E3409" t="e" cm="1">
        <f t="array" ref="E3409">- CLOBETASOL PROPIONATE</f>
        <v>#NAME?</v>
      </c>
      <c r="F3409" t="s">
        <v>15872</v>
      </c>
      <c r="G3409" t="s">
        <v>15873</v>
      </c>
      <c r="H3409" t="s">
        <v>15874</v>
      </c>
      <c r="I3409" t="s">
        <v>15875</v>
      </c>
      <c r="J3409" t="s">
        <v>7123</v>
      </c>
      <c r="K3409" t="s">
        <v>15876</v>
      </c>
      <c r="L3409" t="s">
        <v>15877</v>
      </c>
      <c r="M3409" t="s">
        <v>1289</v>
      </c>
      <c r="N3409" t="s">
        <v>3588</v>
      </c>
      <c r="O3409" t="s">
        <v>15878</v>
      </c>
      <c r="P3409" t="s">
        <v>15879</v>
      </c>
      <c r="Q3409" t="s">
        <v>15880</v>
      </c>
      <c r="R3409">
        <v>11</v>
      </c>
      <c r="S3409">
        <v>16</v>
      </c>
    </row>
    <row r="3410" spans="1:19" x14ac:dyDescent="0.35">
      <c r="A3410">
        <v>5042</v>
      </c>
      <c r="B3410" t="s">
        <v>15870</v>
      </c>
      <c r="C3410" t="s">
        <v>42</v>
      </c>
      <c r="D3410" t="s">
        <v>15871</v>
      </c>
      <c r="E3410" t="e" cm="1">
        <f t="array" ref="E3410">- CLOBETASOL PROPIONATE</f>
        <v>#NAME?</v>
      </c>
      <c r="F3410" t="s">
        <v>15872</v>
      </c>
      <c r="G3410" t="s">
        <v>15873</v>
      </c>
      <c r="H3410" t="s">
        <v>15874</v>
      </c>
      <c r="I3410" t="s">
        <v>15875</v>
      </c>
      <c r="J3410" t="s">
        <v>7123</v>
      </c>
      <c r="K3410" t="s">
        <v>15876</v>
      </c>
      <c r="L3410" t="s">
        <v>15877</v>
      </c>
      <c r="M3410" t="s">
        <v>1289</v>
      </c>
      <c r="N3410" t="s">
        <v>3588</v>
      </c>
      <c r="O3410" t="s">
        <v>15878</v>
      </c>
      <c r="P3410" t="s">
        <v>15879</v>
      </c>
      <c r="Q3410" t="s">
        <v>15880</v>
      </c>
      <c r="R3410">
        <v>11</v>
      </c>
      <c r="S3410">
        <v>16</v>
      </c>
    </row>
    <row r="3411" spans="1:19" x14ac:dyDescent="0.35">
      <c r="A3411">
        <v>6730</v>
      </c>
      <c r="B3411" t="s">
        <v>12776</v>
      </c>
      <c r="C3411" t="s">
        <v>42</v>
      </c>
      <c r="D3411" t="s">
        <v>12777</v>
      </c>
      <c r="E3411" t="e" cm="1">
        <f t="array" ref="E3411">- Ossein hydroxyapatite compound</f>
        <v>#NAME?</v>
      </c>
      <c r="F3411" t="s">
        <v>12778</v>
      </c>
      <c r="G3411" t="s">
        <v>737</v>
      </c>
      <c r="H3411" t="s">
        <v>12779</v>
      </c>
      <c r="I3411" t="s">
        <v>12780</v>
      </c>
      <c r="J3411" t="s">
        <v>12781</v>
      </c>
      <c r="K3411" t="s">
        <v>12782</v>
      </c>
      <c r="L3411" t="s">
        <v>12783</v>
      </c>
      <c r="M3411" t="s">
        <v>291</v>
      </c>
      <c r="N3411" t="s">
        <v>15809</v>
      </c>
      <c r="O3411" t="s">
        <v>12785</v>
      </c>
      <c r="P3411" t="s">
        <v>12786</v>
      </c>
      <c r="Q3411" t="s">
        <v>15810</v>
      </c>
      <c r="R3411">
        <v>11</v>
      </c>
      <c r="S3411">
        <v>16</v>
      </c>
    </row>
    <row r="3412" spans="1:19" x14ac:dyDescent="0.35">
      <c r="A3412">
        <v>518</v>
      </c>
      <c r="B3412" t="s">
        <v>15881</v>
      </c>
      <c r="C3412" t="s">
        <v>42</v>
      </c>
      <c r="D3412" t="s">
        <v>15882</v>
      </c>
      <c r="E3412" t="e" cm="1">
        <f t="array" ref="E3412">- SALBUTAMOL SULFATE</f>
        <v>#NAME?</v>
      </c>
      <c r="F3412" t="s">
        <v>15883</v>
      </c>
      <c r="G3412" t="s">
        <v>15884</v>
      </c>
      <c r="H3412" t="s">
        <v>15885</v>
      </c>
      <c r="I3412" t="s">
        <v>15886</v>
      </c>
      <c r="J3412" t="s">
        <v>2978</v>
      </c>
      <c r="K3412" t="s">
        <v>15887</v>
      </c>
      <c r="L3412" t="s">
        <v>15888</v>
      </c>
      <c r="M3412" t="s">
        <v>46</v>
      </c>
      <c r="N3412" t="s">
        <v>3424</v>
      </c>
      <c r="O3412" t="s">
        <v>15889</v>
      </c>
      <c r="P3412" t="s">
        <v>15890</v>
      </c>
      <c r="Q3412" t="s">
        <v>15891</v>
      </c>
      <c r="R3412">
        <v>11</v>
      </c>
      <c r="S3412">
        <v>16</v>
      </c>
    </row>
    <row r="3413" spans="1:19" x14ac:dyDescent="0.35">
      <c r="A3413">
        <v>4317</v>
      </c>
      <c r="B3413" t="s">
        <v>15682</v>
      </c>
      <c r="C3413" t="s">
        <v>42</v>
      </c>
      <c r="D3413" t="s">
        <v>15892</v>
      </c>
      <c r="E3413" t="e" cm="1">
        <f t="array" ref="E3413">- CHLORPHENESIN</f>
        <v>#NAME?</v>
      </c>
      <c r="F3413" t="s">
        <v>15893</v>
      </c>
      <c r="H3413" t="s">
        <v>15894</v>
      </c>
      <c r="I3413" t="s">
        <v>15686</v>
      </c>
      <c r="J3413" t="s">
        <v>15895</v>
      </c>
      <c r="M3413" t="s">
        <v>1280</v>
      </c>
      <c r="N3413" t="s">
        <v>15688</v>
      </c>
      <c r="O3413" t="s">
        <v>15689</v>
      </c>
      <c r="P3413" t="s">
        <v>15690</v>
      </c>
      <c r="Q3413" t="s">
        <v>15691</v>
      </c>
      <c r="R3413">
        <v>11</v>
      </c>
      <c r="S3413">
        <v>16</v>
      </c>
    </row>
    <row r="3414" spans="1:19" x14ac:dyDescent="0.35">
      <c r="A3414">
        <v>4316</v>
      </c>
      <c r="B3414" t="s">
        <v>15682</v>
      </c>
      <c r="C3414" t="s">
        <v>42</v>
      </c>
      <c r="D3414" t="s">
        <v>15892</v>
      </c>
      <c r="E3414" t="e" cm="1">
        <f t="array" ref="E3414">- CHLORPHENESIN</f>
        <v>#NAME?</v>
      </c>
      <c r="F3414" t="s">
        <v>15893</v>
      </c>
      <c r="H3414" t="s">
        <v>15894</v>
      </c>
      <c r="I3414" t="s">
        <v>15686</v>
      </c>
      <c r="J3414" t="s">
        <v>15895</v>
      </c>
      <c r="M3414" t="s">
        <v>1280</v>
      </c>
      <c r="N3414" t="s">
        <v>15688</v>
      </c>
      <c r="O3414" t="s">
        <v>15689</v>
      </c>
      <c r="P3414" t="s">
        <v>15690</v>
      </c>
      <c r="Q3414" t="s">
        <v>15691</v>
      </c>
      <c r="R3414">
        <v>11</v>
      </c>
      <c r="S3414">
        <v>16</v>
      </c>
    </row>
    <row r="3415" spans="1:19" x14ac:dyDescent="0.35">
      <c r="A3415">
        <v>901</v>
      </c>
      <c r="B3415" t="s">
        <v>8490</v>
      </c>
      <c r="C3415" t="s">
        <v>42</v>
      </c>
      <c r="D3415" t="s">
        <v>8491</v>
      </c>
      <c r="E3415" t="e" cm="1">
        <f t="array" ref="E3415">- DEXTROMETHORPHAN HYDROBROMIDE. GUAIFENESIN. CHLORPHENAMINE MALEATE</f>
        <v>#NAME?</v>
      </c>
      <c r="F3415" t="s">
        <v>8492</v>
      </c>
      <c r="G3415" t="s">
        <v>2453</v>
      </c>
      <c r="H3415" t="s">
        <v>8493</v>
      </c>
      <c r="I3415" t="s">
        <v>8494</v>
      </c>
      <c r="J3415" t="s">
        <v>8495</v>
      </c>
      <c r="K3415" t="s">
        <v>8496</v>
      </c>
      <c r="L3415" t="s">
        <v>8497</v>
      </c>
      <c r="M3415" t="s">
        <v>46</v>
      </c>
      <c r="N3415" t="s">
        <v>15896</v>
      </c>
      <c r="O3415" t="s">
        <v>8498</v>
      </c>
      <c r="P3415" t="s">
        <v>8499</v>
      </c>
      <c r="Q3415" t="s">
        <v>15897</v>
      </c>
      <c r="R3415">
        <v>11</v>
      </c>
      <c r="S3415">
        <v>16</v>
      </c>
    </row>
    <row r="3416" spans="1:19" x14ac:dyDescent="0.35">
      <c r="A3416">
        <v>4315</v>
      </c>
      <c r="B3416" t="s">
        <v>15682</v>
      </c>
      <c r="C3416" t="s">
        <v>42</v>
      </c>
      <c r="D3416" t="s">
        <v>15892</v>
      </c>
      <c r="E3416" t="e" cm="1">
        <f t="array" ref="E3416">- CHLORPHENESIN</f>
        <v>#NAME?</v>
      </c>
      <c r="F3416" t="s">
        <v>15893</v>
      </c>
      <c r="H3416" t="s">
        <v>15894</v>
      </c>
      <c r="I3416" t="s">
        <v>15686</v>
      </c>
      <c r="J3416" t="s">
        <v>15895</v>
      </c>
      <c r="M3416" t="s">
        <v>1280</v>
      </c>
      <c r="N3416" t="s">
        <v>15688</v>
      </c>
      <c r="O3416" t="s">
        <v>15689</v>
      </c>
      <c r="P3416" t="s">
        <v>15690</v>
      </c>
      <c r="Q3416" t="s">
        <v>15691</v>
      </c>
      <c r="R3416">
        <v>11</v>
      </c>
      <c r="S3416">
        <v>16</v>
      </c>
    </row>
    <row r="3417" spans="1:19" x14ac:dyDescent="0.35">
      <c r="A3417">
        <v>8087</v>
      </c>
      <c r="B3417" t="s">
        <v>551</v>
      </c>
      <c r="C3417" t="s">
        <v>42</v>
      </c>
      <c r="D3417" t="s">
        <v>15898</v>
      </c>
      <c r="E3417" t="e" cm="1">
        <f t="array" ref="E3417">- POVIDONE-IODINE</f>
        <v>#NAME?</v>
      </c>
      <c r="F3417" t="s">
        <v>15899</v>
      </c>
      <c r="G3417" t="s">
        <v>15900</v>
      </c>
      <c r="H3417" t="s">
        <v>14454</v>
      </c>
      <c r="I3417" t="s">
        <v>15901</v>
      </c>
      <c r="J3417" t="s">
        <v>5484</v>
      </c>
      <c r="L3417" t="s">
        <v>11964</v>
      </c>
      <c r="M3417" t="s">
        <v>554</v>
      </c>
      <c r="N3417" t="s">
        <v>555</v>
      </c>
      <c r="O3417" t="s">
        <v>15902</v>
      </c>
      <c r="P3417" t="s">
        <v>15903</v>
      </c>
      <c r="Q3417" t="s">
        <v>15904</v>
      </c>
      <c r="R3417">
        <v>11</v>
      </c>
      <c r="S3417">
        <v>16</v>
      </c>
    </row>
    <row r="3418" spans="1:19" x14ac:dyDescent="0.35">
      <c r="A3418">
        <v>3706</v>
      </c>
      <c r="B3418" t="s">
        <v>15857</v>
      </c>
      <c r="C3418" t="s">
        <v>42</v>
      </c>
      <c r="D3418" t="s">
        <v>15858</v>
      </c>
      <c r="E3418" t="e" cm="1">
        <f t="array" ref="E3418">- ANHYDROUS DEXTROSE</f>
        <v>#NAME?</v>
      </c>
      <c r="F3418" t="s">
        <v>15859</v>
      </c>
      <c r="G3418" t="s">
        <v>15860</v>
      </c>
      <c r="H3418" t="s">
        <v>15861</v>
      </c>
      <c r="I3418" t="s">
        <v>15862</v>
      </c>
      <c r="J3418" t="s">
        <v>15863</v>
      </c>
      <c r="K3418" t="s">
        <v>15864</v>
      </c>
      <c r="L3418" t="s">
        <v>15865</v>
      </c>
      <c r="M3418" t="s">
        <v>1280</v>
      </c>
      <c r="N3418" t="s">
        <v>15866</v>
      </c>
      <c r="O3418" t="s">
        <v>15867</v>
      </c>
      <c r="P3418" t="s">
        <v>15868</v>
      </c>
      <c r="Q3418" t="s">
        <v>15869</v>
      </c>
      <c r="R3418">
        <v>11</v>
      </c>
      <c r="S3418">
        <v>16</v>
      </c>
    </row>
    <row r="3419" spans="1:19" x14ac:dyDescent="0.35">
      <c r="A3419">
        <v>5050</v>
      </c>
      <c r="B3419" t="s">
        <v>15905</v>
      </c>
      <c r="C3419" t="s">
        <v>42</v>
      </c>
      <c r="D3419" t="s">
        <v>15906</v>
      </c>
      <c r="E3419" t="e" cm="1">
        <f t="array" ref="E3419">- FLUOCINOLONE ACETONIDE</f>
        <v>#NAME?</v>
      </c>
      <c r="F3419" t="s">
        <v>15907</v>
      </c>
      <c r="G3419" t="s">
        <v>15908</v>
      </c>
      <c r="H3419" t="s">
        <v>8961</v>
      </c>
      <c r="I3419" t="s">
        <v>15909</v>
      </c>
      <c r="J3419" t="s">
        <v>15910</v>
      </c>
      <c r="K3419" t="s">
        <v>11087</v>
      </c>
      <c r="L3419" t="s">
        <v>15911</v>
      </c>
      <c r="M3419" t="s">
        <v>1289</v>
      </c>
      <c r="N3419" t="s">
        <v>2766</v>
      </c>
      <c r="O3419" t="s">
        <v>15912</v>
      </c>
      <c r="P3419" t="s">
        <v>15913</v>
      </c>
      <c r="Q3419" t="s">
        <v>15914</v>
      </c>
      <c r="R3419">
        <v>11</v>
      </c>
      <c r="S3419">
        <v>16</v>
      </c>
    </row>
    <row r="3420" spans="1:19" x14ac:dyDescent="0.35">
      <c r="A3420">
        <v>5049</v>
      </c>
      <c r="B3420" t="s">
        <v>15905</v>
      </c>
      <c r="C3420" t="s">
        <v>42</v>
      </c>
      <c r="D3420" t="s">
        <v>15906</v>
      </c>
      <c r="E3420" t="e" cm="1">
        <f t="array" ref="E3420">- FLUOCINOLONE ACETONIDE</f>
        <v>#NAME?</v>
      </c>
      <c r="F3420" t="s">
        <v>15907</v>
      </c>
      <c r="G3420" t="s">
        <v>15908</v>
      </c>
      <c r="H3420" t="s">
        <v>8961</v>
      </c>
      <c r="I3420" t="s">
        <v>15909</v>
      </c>
      <c r="J3420" t="s">
        <v>15910</v>
      </c>
      <c r="K3420" t="s">
        <v>11087</v>
      </c>
      <c r="L3420" t="s">
        <v>15911</v>
      </c>
      <c r="M3420" t="s">
        <v>1289</v>
      </c>
      <c r="N3420" t="s">
        <v>2766</v>
      </c>
      <c r="O3420" t="s">
        <v>15912</v>
      </c>
      <c r="P3420" t="s">
        <v>15913</v>
      </c>
      <c r="Q3420" t="s">
        <v>15914</v>
      </c>
      <c r="R3420">
        <v>11</v>
      </c>
      <c r="S3420">
        <v>16</v>
      </c>
    </row>
    <row r="3421" spans="1:19" x14ac:dyDescent="0.35">
      <c r="A3421">
        <v>3199</v>
      </c>
      <c r="B3421" t="s">
        <v>15915</v>
      </c>
      <c r="C3421" t="s">
        <v>42</v>
      </c>
      <c r="D3421" t="s">
        <v>15916</v>
      </c>
      <c r="E3421" t="e" cm="1">
        <f t="array" ref="E3421">- LANSOPRAZOLE</f>
        <v>#NAME?</v>
      </c>
      <c r="F3421" s="1">
        <v>293700</v>
      </c>
      <c r="G3421" t="s">
        <v>11823</v>
      </c>
      <c r="H3421" t="s">
        <v>15917</v>
      </c>
      <c r="I3421" t="s">
        <v>11824</v>
      </c>
      <c r="J3421" t="s">
        <v>15918</v>
      </c>
      <c r="K3421" t="s">
        <v>2726</v>
      </c>
      <c r="L3421" t="s">
        <v>11827</v>
      </c>
      <c r="M3421" t="s">
        <v>46</v>
      </c>
      <c r="N3421" t="s">
        <v>4225</v>
      </c>
      <c r="O3421" t="s">
        <v>11828</v>
      </c>
      <c r="P3421" t="s">
        <v>15919</v>
      </c>
      <c r="Q3421" t="s">
        <v>15920</v>
      </c>
      <c r="R3421">
        <v>11</v>
      </c>
      <c r="S3421">
        <v>16</v>
      </c>
    </row>
    <row r="3422" spans="1:19" x14ac:dyDescent="0.35">
      <c r="A3422">
        <v>3200</v>
      </c>
      <c r="B3422" t="s">
        <v>15915</v>
      </c>
      <c r="C3422" t="s">
        <v>42</v>
      </c>
      <c r="D3422" t="s">
        <v>15916</v>
      </c>
      <c r="E3422" t="e" cm="1">
        <f t="array" ref="E3422">- LANSOPRAZOLE</f>
        <v>#NAME?</v>
      </c>
      <c r="F3422" s="1">
        <v>293700</v>
      </c>
      <c r="G3422" t="s">
        <v>11823</v>
      </c>
      <c r="H3422" t="s">
        <v>15917</v>
      </c>
      <c r="I3422" t="s">
        <v>11824</v>
      </c>
      <c r="J3422" t="s">
        <v>15918</v>
      </c>
      <c r="K3422" t="s">
        <v>2726</v>
      </c>
      <c r="L3422" t="s">
        <v>11827</v>
      </c>
      <c r="M3422" t="s">
        <v>46</v>
      </c>
      <c r="N3422" t="s">
        <v>4225</v>
      </c>
      <c r="O3422" t="s">
        <v>11828</v>
      </c>
      <c r="P3422" t="s">
        <v>15919</v>
      </c>
      <c r="Q3422" t="s">
        <v>15920</v>
      </c>
      <c r="R3422">
        <v>11</v>
      </c>
      <c r="S3422">
        <v>16</v>
      </c>
    </row>
    <row r="3423" spans="1:19" x14ac:dyDescent="0.35">
      <c r="A3423">
        <v>3984</v>
      </c>
      <c r="B3423" t="s">
        <v>15562</v>
      </c>
      <c r="C3423" t="s">
        <v>20</v>
      </c>
      <c r="D3423" t="s">
        <v>15563</v>
      </c>
      <c r="E3423" t="s">
        <v>15564</v>
      </c>
      <c r="F3423" t="s">
        <v>15565</v>
      </c>
      <c r="G3423" t="s">
        <v>15566</v>
      </c>
      <c r="H3423" t="s">
        <v>15567</v>
      </c>
      <c r="I3423" t="s">
        <v>15568</v>
      </c>
      <c r="J3423" t="s">
        <v>15569</v>
      </c>
      <c r="K3423" t="s">
        <v>15570</v>
      </c>
      <c r="L3423" t="s">
        <v>15571</v>
      </c>
      <c r="M3423" t="s">
        <v>63</v>
      </c>
      <c r="N3423" t="s">
        <v>15572</v>
      </c>
      <c r="O3423" t="s">
        <v>4005</v>
      </c>
      <c r="P3423" t="s">
        <v>15573</v>
      </c>
      <c r="Q3423" t="s">
        <v>15574</v>
      </c>
      <c r="R3423">
        <v>11</v>
      </c>
      <c r="S3423">
        <v>16</v>
      </c>
    </row>
    <row r="3424" spans="1:19" x14ac:dyDescent="0.35">
      <c r="A3424">
        <v>1033</v>
      </c>
      <c r="B3424" t="s">
        <v>15921</v>
      </c>
      <c r="C3424" t="s">
        <v>20</v>
      </c>
      <c r="D3424" t="s">
        <v>15922</v>
      </c>
      <c r="E3424" t="s">
        <v>15923</v>
      </c>
      <c r="F3424" s="1">
        <v>15400</v>
      </c>
      <c r="G3424" t="s">
        <v>2241</v>
      </c>
      <c r="H3424" t="s">
        <v>15924</v>
      </c>
      <c r="I3424" t="s">
        <v>15925</v>
      </c>
      <c r="J3424" t="s">
        <v>846</v>
      </c>
      <c r="K3424" t="s">
        <v>15926</v>
      </c>
      <c r="L3424" t="s">
        <v>15927</v>
      </c>
      <c r="M3424" t="s">
        <v>271</v>
      </c>
      <c r="N3424" t="s">
        <v>15928</v>
      </c>
      <c r="O3424" t="s">
        <v>15929</v>
      </c>
      <c r="P3424" t="s">
        <v>15928</v>
      </c>
      <c r="Q3424" t="s">
        <v>15930</v>
      </c>
      <c r="R3424">
        <v>11</v>
      </c>
      <c r="S3424">
        <v>16</v>
      </c>
    </row>
    <row r="3425" spans="1:19" x14ac:dyDescent="0.35">
      <c r="A3425">
        <v>4314</v>
      </c>
      <c r="B3425" t="s">
        <v>15682</v>
      </c>
      <c r="C3425" t="s">
        <v>42</v>
      </c>
      <c r="D3425" t="s">
        <v>15892</v>
      </c>
      <c r="E3425" t="e" cm="1">
        <f t="array" ref="E3425">- CHLORPHENESIN</f>
        <v>#NAME?</v>
      </c>
      <c r="F3425" t="s">
        <v>15893</v>
      </c>
      <c r="H3425" t="s">
        <v>15894</v>
      </c>
      <c r="I3425" t="s">
        <v>15686</v>
      </c>
      <c r="J3425" t="s">
        <v>15895</v>
      </c>
      <c r="M3425" t="s">
        <v>1280</v>
      </c>
      <c r="N3425" t="s">
        <v>15688</v>
      </c>
      <c r="O3425" t="s">
        <v>15689</v>
      </c>
      <c r="P3425" t="s">
        <v>15690</v>
      </c>
      <c r="Q3425" t="s">
        <v>15691</v>
      </c>
      <c r="R3425">
        <v>11</v>
      </c>
      <c r="S3425">
        <v>16</v>
      </c>
    </row>
    <row r="3426" spans="1:19" x14ac:dyDescent="0.35">
      <c r="A3426">
        <v>3159</v>
      </c>
      <c r="B3426" t="s">
        <v>15931</v>
      </c>
      <c r="C3426" t="s">
        <v>42</v>
      </c>
      <c r="D3426" t="s">
        <v>15932</v>
      </c>
      <c r="E3426" t="e" cm="1">
        <f t="array" ref="E3426">- ALUMINIUM HYDROXIDE GEL</f>
        <v>#NAME?</v>
      </c>
      <c r="F3426" t="s">
        <v>15933</v>
      </c>
      <c r="G3426" t="s">
        <v>737</v>
      </c>
      <c r="H3426" t="s">
        <v>15934</v>
      </c>
      <c r="I3426" t="s">
        <v>15935</v>
      </c>
      <c r="J3426" t="s">
        <v>15936</v>
      </c>
      <c r="K3426" t="s">
        <v>15937</v>
      </c>
      <c r="L3426" t="s">
        <v>15938</v>
      </c>
      <c r="M3426" t="s">
        <v>46</v>
      </c>
      <c r="N3426" t="s">
        <v>15939</v>
      </c>
      <c r="O3426" t="s">
        <v>15940</v>
      </c>
      <c r="P3426" t="s">
        <v>11907</v>
      </c>
      <c r="Q3426" t="s">
        <v>15941</v>
      </c>
      <c r="R3426">
        <v>11</v>
      </c>
      <c r="S3426">
        <v>16</v>
      </c>
    </row>
    <row r="3427" spans="1:19" x14ac:dyDescent="0.35">
      <c r="A3427">
        <v>515</v>
      </c>
      <c r="B3427" t="s">
        <v>15942</v>
      </c>
      <c r="C3427" t="s">
        <v>42</v>
      </c>
      <c r="D3427" t="s">
        <v>15943</v>
      </c>
      <c r="E3427" t="e" cm="1">
        <f t="array" ref="E3427">- SALBUTAMOL SULFATE</f>
        <v>#NAME?</v>
      </c>
      <c r="F3427" t="s">
        <v>15944</v>
      </c>
      <c r="G3427" t="s">
        <v>737</v>
      </c>
      <c r="H3427" t="s">
        <v>11448</v>
      </c>
      <c r="I3427" t="s">
        <v>11449</v>
      </c>
      <c r="J3427" t="s">
        <v>15945</v>
      </c>
      <c r="L3427" t="s">
        <v>11700</v>
      </c>
      <c r="M3427" t="s">
        <v>46</v>
      </c>
      <c r="N3427" t="s">
        <v>3424</v>
      </c>
      <c r="O3427" t="s">
        <v>11452</v>
      </c>
      <c r="P3427" t="s">
        <v>15680</v>
      </c>
      <c r="Q3427" t="s">
        <v>15946</v>
      </c>
      <c r="R3427">
        <v>11</v>
      </c>
      <c r="S3427">
        <v>16</v>
      </c>
    </row>
    <row r="3428" spans="1:19" x14ac:dyDescent="0.35">
      <c r="A3428">
        <v>4320</v>
      </c>
      <c r="B3428" t="s">
        <v>15682</v>
      </c>
      <c r="C3428" t="s">
        <v>42</v>
      </c>
      <c r="D3428" t="s">
        <v>15683</v>
      </c>
      <c r="E3428" t="e" cm="1">
        <f t="array" ref="E3428">- CHLORPHENESIN</f>
        <v>#NAME?</v>
      </c>
      <c r="F3428" t="s">
        <v>15684</v>
      </c>
      <c r="H3428" t="s">
        <v>15685</v>
      </c>
      <c r="I3428" t="s">
        <v>15686</v>
      </c>
      <c r="J3428" t="s">
        <v>15687</v>
      </c>
      <c r="M3428" t="s">
        <v>1280</v>
      </c>
      <c r="N3428" t="s">
        <v>15688</v>
      </c>
      <c r="O3428" t="s">
        <v>15689</v>
      </c>
      <c r="P3428" t="s">
        <v>15690</v>
      </c>
      <c r="Q3428" t="s">
        <v>15691</v>
      </c>
      <c r="R3428">
        <v>11</v>
      </c>
      <c r="S3428">
        <v>16</v>
      </c>
    </row>
    <row r="3429" spans="1:19" x14ac:dyDescent="0.35">
      <c r="A3429">
        <v>2827</v>
      </c>
      <c r="B3429" t="s">
        <v>15947</v>
      </c>
      <c r="C3429" t="s">
        <v>42</v>
      </c>
      <c r="D3429" t="s">
        <v>15948</v>
      </c>
      <c r="E3429" t="e" cm="1">
        <f t="array" ref="E3429">- PARACETAMOL</f>
        <v>#NAME?</v>
      </c>
      <c r="F3429" t="s">
        <v>15949</v>
      </c>
      <c r="G3429" t="s">
        <v>12603</v>
      </c>
      <c r="H3429" t="s">
        <v>15950</v>
      </c>
      <c r="I3429" t="s">
        <v>15180</v>
      </c>
      <c r="J3429" t="s">
        <v>334</v>
      </c>
      <c r="K3429" t="s">
        <v>15181</v>
      </c>
      <c r="L3429" t="s">
        <v>15951</v>
      </c>
      <c r="M3429" t="s">
        <v>271</v>
      </c>
      <c r="N3429" t="s">
        <v>584</v>
      </c>
      <c r="O3429" t="s">
        <v>15183</v>
      </c>
      <c r="P3429" t="s">
        <v>15184</v>
      </c>
      <c r="Q3429" t="s">
        <v>15952</v>
      </c>
      <c r="R3429">
        <v>11</v>
      </c>
      <c r="S3429">
        <v>16</v>
      </c>
    </row>
    <row r="3430" spans="1:19" x14ac:dyDescent="0.35">
      <c r="A3430">
        <v>7098</v>
      </c>
      <c r="B3430" t="s">
        <v>15953</v>
      </c>
      <c r="C3430" t="s">
        <v>42</v>
      </c>
      <c r="D3430" t="s">
        <v>15954</v>
      </c>
      <c r="E3430" t="e" cm="1">
        <f t="array" ref="E3430">- EPERISONE HYDROCHLORIDE</f>
        <v>#NAME?</v>
      </c>
      <c r="F3430" t="s">
        <v>15955</v>
      </c>
      <c r="G3430" t="s">
        <v>6135</v>
      </c>
      <c r="H3430" t="s">
        <v>15956</v>
      </c>
      <c r="I3430" t="s">
        <v>15957</v>
      </c>
      <c r="J3430" t="s">
        <v>15958</v>
      </c>
      <c r="L3430" t="s">
        <v>270</v>
      </c>
      <c r="M3430" t="s">
        <v>46</v>
      </c>
      <c r="N3430" t="s">
        <v>7745</v>
      </c>
      <c r="O3430" t="s">
        <v>15959</v>
      </c>
      <c r="P3430" t="s">
        <v>15960</v>
      </c>
      <c r="Q3430" t="s">
        <v>15961</v>
      </c>
      <c r="R3430">
        <v>11</v>
      </c>
      <c r="S3430">
        <v>16</v>
      </c>
    </row>
    <row r="3431" spans="1:19" x14ac:dyDescent="0.35">
      <c r="A3431">
        <v>5305</v>
      </c>
      <c r="B3431" t="s">
        <v>12185</v>
      </c>
      <c r="C3431" t="s">
        <v>42</v>
      </c>
      <c r="D3431" t="s">
        <v>15738</v>
      </c>
      <c r="E3431" t="e" cm="1">
        <f t="array" ref="E3431">- BIFONAZOLE</f>
        <v>#NAME?</v>
      </c>
      <c r="F3431" t="s">
        <v>15739</v>
      </c>
      <c r="G3431" t="s">
        <v>12188</v>
      </c>
      <c r="H3431" t="s">
        <v>15740</v>
      </c>
      <c r="I3431" t="s">
        <v>15741</v>
      </c>
      <c r="J3431" t="s">
        <v>15742</v>
      </c>
      <c r="K3431" t="s">
        <v>2726</v>
      </c>
      <c r="L3431" t="s">
        <v>15743</v>
      </c>
      <c r="M3431" t="s">
        <v>1289</v>
      </c>
      <c r="N3431" t="s">
        <v>15744</v>
      </c>
      <c r="O3431" t="s">
        <v>15745</v>
      </c>
      <c r="P3431" t="s">
        <v>15746</v>
      </c>
      <c r="Q3431" t="s">
        <v>15747</v>
      </c>
      <c r="R3431">
        <v>11</v>
      </c>
      <c r="S3431">
        <v>16</v>
      </c>
    </row>
    <row r="3432" spans="1:19" x14ac:dyDescent="0.35">
      <c r="A3432">
        <v>8040</v>
      </c>
      <c r="B3432" t="s">
        <v>15962</v>
      </c>
      <c r="C3432" t="s">
        <v>20</v>
      </c>
      <c r="D3432" t="s">
        <v>15963</v>
      </c>
      <c r="E3432" t="s">
        <v>15964</v>
      </c>
      <c r="F3432" t="s">
        <v>15965</v>
      </c>
      <c r="G3432" t="s">
        <v>5033</v>
      </c>
      <c r="H3432" t="s">
        <v>15966</v>
      </c>
      <c r="I3432" t="s">
        <v>15967</v>
      </c>
      <c r="J3432" t="s">
        <v>7953</v>
      </c>
      <c r="K3432" t="s">
        <v>8234</v>
      </c>
      <c r="L3432" t="s">
        <v>15968</v>
      </c>
      <c r="M3432" t="s">
        <v>46</v>
      </c>
      <c r="N3432" t="s">
        <v>15969</v>
      </c>
      <c r="O3432" t="s">
        <v>15484</v>
      </c>
      <c r="P3432" t="s">
        <v>15970</v>
      </c>
      <c r="Q3432" t="s">
        <v>15971</v>
      </c>
      <c r="R3432">
        <v>11</v>
      </c>
      <c r="S3432">
        <v>16</v>
      </c>
    </row>
    <row r="3433" spans="1:19" x14ac:dyDescent="0.35">
      <c r="A3433">
        <v>1285</v>
      </c>
      <c r="B3433" t="s">
        <v>5089</v>
      </c>
      <c r="C3433" t="s">
        <v>42</v>
      </c>
      <c r="D3433" t="s">
        <v>5090</v>
      </c>
      <c r="E3433" t="e" cm="1">
        <f t="array" ref="E3433">- DEXTROMETHORPHAN HYDROBROMIDE. CHLORPHENAMINE MALEATE. AMMONIUM CHLORIDE</f>
        <v>#NAME?</v>
      </c>
      <c r="F3433" t="s">
        <v>5091</v>
      </c>
      <c r="G3433" t="s">
        <v>2241</v>
      </c>
      <c r="H3433" t="s">
        <v>5092</v>
      </c>
      <c r="I3433" t="s">
        <v>5093</v>
      </c>
      <c r="J3433" t="s">
        <v>5094</v>
      </c>
      <c r="K3433" t="s">
        <v>5095</v>
      </c>
      <c r="L3433" t="s">
        <v>5096</v>
      </c>
      <c r="M3433" t="s">
        <v>271</v>
      </c>
      <c r="N3433" t="s">
        <v>15972</v>
      </c>
      <c r="O3433" t="s">
        <v>5097</v>
      </c>
      <c r="P3433" t="s">
        <v>5098</v>
      </c>
      <c r="Q3433" t="s">
        <v>15973</v>
      </c>
      <c r="R3433">
        <v>11</v>
      </c>
      <c r="S3433">
        <v>16</v>
      </c>
    </row>
    <row r="3434" spans="1:19" x14ac:dyDescent="0.35">
      <c r="A3434">
        <v>8041</v>
      </c>
      <c r="B3434" t="s">
        <v>15962</v>
      </c>
      <c r="C3434" t="s">
        <v>20</v>
      </c>
      <c r="D3434" t="s">
        <v>15974</v>
      </c>
      <c r="E3434" t="s">
        <v>15964</v>
      </c>
      <c r="F3434" t="s">
        <v>15975</v>
      </c>
      <c r="G3434" t="s">
        <v>5033</v>
      </c>
      <c r="H3434" t="s">
        <v>15966</v>
      </c>
      <c r="I3434" t="s">
        <v>15967</v>
      </c>
      <c r="J3434" t="s">
        <v>15976</v>
      </c>
      <c r="L3434" t="s">
        <v>15968</v>
      </c>
      <c r="M3434" t="s">
        <v>46</v>
      </c>
      <c r="N3434" t="s">
        <v>15969</v>
      </c>
      <c r="O3434" t="s">
        <v>15484</v>
      </c>
      <c r="P3434" t="s">
        <v>15970</v>
      </c>
      <c r="Q3434" t="s">
        <v>15971</v>
      </c>
      <c r="R3434">
        <v>11</v>
      </c>
      <c r="S3434">
        <v>16</v>
      </c>
    </row>
    <row r="3435" spans="1:19" x14ac:dyDescent="0.35">
      <c r="A3435">
        <v>9648</v>
      </c>
      <c r="B3435" t="s">
        <v>15977</v>
      </c>
      <c r="C3435" t="s">
        <v>42</v>
      </c>
      <c r="D3435" t="s">
        <v>15978</v>
      </c>
      <c r="E3435" t="e" cm="1">
        <f t="array" ref="E3435">- CAPTOPRIL</f>
        <v>#NAME?</v>
      </c>
      <c r="F3435" t="s">
        <v>15979</v>
      </c>
      <c r="G3435" t="s">
        <v>6917</v>
      </c>
      <c r="H3435" t="s">
        <v>15980</v>
      </c>
      <c r="I3435" t="s">
        <v>15981</v>
      </c>
      <c r="J3435" t="s">
        <v>381</v>
      </c>
      <c r="K3435" t="s">
        <v>15982</v>
      </c>
      <c r="L3435" t="s">
        <v>15983</v>
      </c>
      <c r="M3435" t="s">
        <v>46</v>
      </c>
      <c r="N3435" t="s">
        <v>4734</v>
      </c>
      <c r="O3435" t="s">
        <v>15984</v>
      </c>
      <c r="P3435" t="s">
        <v>15985</v>
      </c>
      <c r="Q3435" t="s">
        <v>15986</v>
      </c>
      <c r="R3435">
        <v>11</v>
      </c>
      <c r="S3435">
        <v>16</v>
      </c>
    </row>
    <row r="3436" spans="1:19" x14ac:dyDescent="0.35">
      <c r="A3436">
        <v>7097</v>
      </c>
      <c r="B3436" t="s">
        <v>15953</v>
      </c>
      <c r="C3436" t="s">
        <v>42</v>
      </c>
      <c r="D3436" t="s">
        <v>15954</v>
      </c>
      <c r="E3436" t="e" cm="1">
        <f t="array" ref="E3436">- EPERISONE HYDROCHLORIDE</f>
        <v>#NAME?</v>
      </c>
      <c r="F3436" t="s">
        <v>15955</v>
      </c>
      <c r="G3436" t="s">
        <v>6135</v>
      </c>
      <c r="H3436" t="s">
        <v>15956</v>
      </c>
      <c r="I3436" t="s">
        <v>15957</v>
      </c>
      <c r="J3436" t="s">
        <v>15958</v>
      </c>
      <c r="L3436" t="s">
        <v>270</v>
      </c>
      <c r="M3436" t="s">
        <v>46</v>
      </c>
      <c r="N3436" t="s">
        <v>7745</v>
      </c>
      <c r="O3436" t="s">
        <v>15959</v>
      </c>
      <c r="P3436" t="s">
        <v>15960</v>
      </c>
      <c r="Q3436" t="s">
        <v>15961</v>
      </c>
      <c r="R3436">
        <v>11</v>
      </c>
      <c r="S3436">
        <v>16</v>
      </c>
    </row>
    <row r="3437" spans="1:19" x14ac:dyDescent="0.35">
      <c r="A3437">
        <v>3734</v>
      </c>
      <c r="B3437" t="s">
        <v>15987</v>
      </c>
      <c r="C3437" t="s">
        <v>42</v>
      </c>
      <c r="D3437" t="s">
        <v>15988</v>
      </c>
      <c r="E3437" t="e" cm="1">
        <f t="array" ref="E3437">- KAOLIN. PECTIN</f>
        <v>#NAME?</v>
      </c>
      <c r="F3437" t="s">
        <v>15989</v>
      </c>
      <c r="G3437" t="s">
        <v>15990</v>
      </c>
      <c r="H3437" t="s">
        <v>15991</v>
      </c>
      <c r="I3437" t="s">
        <v>15992</v>
      </c>
      <c r="J3437" t="s">
        <v>334</v>
      </c>
      <c r="K3437" t="s">
        <v>15993</v>
      </c>
      <c r="L3437" t="s">
        <v>15994</v>
      </c>
      <c r="M3437" t="s">
        <v>340</v>
      </c>
      <c r="N3437" t="s">
        <v>3159</v>
      </c>
      <c r="O3437" t="s">
        <v>15995</v>
      </c>
      <c r="P3437" t="s">
        <v>15996</v>
      </c>
      <c r="Q3437" t="s">
        <v>15997</v>
      </c>
      <c r="R3437">
        <v>11</v>
      </c>
      <c r="S3437">
        <v>16</v>
      </c>
    </row>
    <row r="3438" spans="1:19" x14ac:dyDescent="0.35">
      <c r="A3438">
        <v>8086</v>
      </c>
      <c r="B3438" t="s">
        <v>551</v>
      </c>
      <c r="C3438" t="s">
        <v>42</v>
      </c>
      <c r="D3438" t="s">
        <v>15898</v>
      </c>
      <c r="E3438" t="e" cm="1">
        <f t="array" ref="E3438">- POVIDONE-IODINE</f>
        <v>#NAME?</v>
      </c>
      <c r="F3438" t="s">
        <v>15899</v>
      </c>
      <c r="G3438" t="s">
        <v>15900</v>
      </c>
      <c r="H3438" t="s">
        <v>14454</v>
      </c>
      <c r="I3438" t="s">
        <v>15901</v>
      </c>
      <c r="J3438" t="s">
        <v>5484</v>
      </c>
      <c r="L3438" t="s">
        <v>11964</v>
      </c>
      <c r="M3438" t="s">
        <v>554</v>
      </c>
      <c r="N3438" t="s">
        <v>555</v>
      </c>
      <c r="O3438" t="s">
        <v>15902</v>
      </c>
      <c r="P3438" t="s">
        <v>15903</v>
      </c>
      <c r="Q3438" t="s">
        <v>15904</v>
      </c>
      <c r="R3438">
        <v>11</v>
      </c>
      <c r="S3438">
        <v>16</v>
      </c>
    </row>
    <row r="3439" spans="1:19" x14ac:dyDescent="0.35">
      <c r="A3439">
        <v>1284</v>
      </c>
      <c r="B3439" t="s">
        <v>15998</v>
      </c>
      <c r="C3439" t="s">
        <v>42</v>
      </c>
      <c r="D3439" t="s">
        <v>15999</v>
      </c>
      <c r="E3439" t="e" cm="1">
        <f t="array" ref="E3439">- DIPHENHYDRAMINE HYDROCHLORIDE</f>
        <v>#NAME?</v>
      </c>
      <c r="F3439" t="s">
        <v>16000</v>
      </c>
      <c r="G3439" t="s">
        <v>6484</v>
      </c>
      <c r="H3439" t="s">
        <v>10015</v>
      </c>
      <c r="I3439" t="s">
        <v>16001</v>
      </c>
      <c r="J3439" t="s">
        <v>334</v>
      </c>
      <c r="K3439" t="s">
        <v>16002</v>
      </c>
      <c r="L3439" t="s">
        <v>16003</v>
      </c>
      <c r="M3439" t="s">
        <v>271</v>
      </c>
      <c r="N3439" t="s">
        <v>16004</v>
      </c>
      <c r="O3439" t="s">
        <v>16005</v>
      </c>
      <c r="P3439" t="s">
        <v>10020</v>
      </c>
      <c r="Q3439" t="s">
        <v>16006</v>
      </c>
      <c r="R3439">
        <v>11</v>
      </c>
      <c r="S3439">
        <v>16</v>
      </c>
    </row>
    <row r="3440" spans="1:19" x14ac:dyDescent="0.35">
      <c r="A3440">
        <v>6903</v>
      </c>
      <c r="B3440" t="s">
        <v>1803</v>
      </c>
      <c r="C3440" t="s">
        <v>42</v>
      </c>
      <c r="D3440" t="s">
        <v>16007</v>
      </c>
      <c r="E3440" t="e" cm="1">
        <f t="array" ref="E3440">- TIZANIDINE HYDROCHLORIDE</f>
        <v>#NAME?</v>
      </c>
      <c r="F3440" s="1">
        <v>22000</v>
      </c>
      <c r="I3440" t="s">
        <v>16008</v>
      </c>
      <c r="J3440" t="s">
        <v>16009</v>
      </c>
      <c r="M3440" t="s">
        <v>46</v>
      </c>
      <c r="N3440" t="s">
        <v>1806</v>
      </c>
      <c r="O3440" t="s">
        <v>16010</v>
      </c>
      <c r="P3440" t="s">
        <v>16011</v>
      </c>
      <c r="Q3440" t="s">
        <v>16012</v>
      </c>
      <c r="R3440">
        <v>11</v>
      </c>
      <c r="S3440">
        <v>16</v>
      </c>
    </row>
    <row r="3441" spans="1:19" x14ac:dyDescent="0.35">
      <c r="A3441">
        <v>6904</v>
      </c>
      <c r="B3441" t="s">
        <v>1803</v>
      </c>
      <c r="C3441" t="s">
        <v>42</v>
      </c>
      <c r="D3441" t="s">
        <v>14800</v>
      </c>
      <c r="E3441" t="e" cm="1">
        <f t="array" ref="E3441">- TIZANIDINE HYDROCHLORIDE</f>
        <v>#NAME?</v>
      </c>
      <c r="F3441" t="s">
        <v>16013</v>
      </c>
      <c r="G3441" t="s">
        <v>8185</v>
      </c>
      <c r="H3441" t="s">
        <v>3854</v>
      </c>
      <c r="I3441" t="s">
        <v>14801</v>
      </c>
      <c r="J3441" t="s">
        <v>8479</v>
      </c>
      <c r="L3441" t="s">
        <v>8188</v>
      </c>
      <c r="M3441" t="s">
        <v>46</v>
      </c>
      <c r="N3441" t="s">
        <v>1806</v>
      </c>
      <c r="O3441" t="s">
        <v>14802</v>
      </c>
      <c r="P3441" t="s">
        <v>14803</v>
      </c>
      <c r="Q3441" t="s">
        <v>16014</v>
      </c>
      <c r="R3441">
        <v>11</v>
      </c>
      <c r="S3441">
        <v>16</v>
      </c>
    </row>
    <row r="3442" spans="1:19" x14ac:dyDescent="0.35">
      <c r="A3442">
        <v>2213</v>
      </c>
      <c r="B3442" t="s">
        <v>16015</v>
      </c>
      <c r="C3442" t="s">
        <v>42</v>
      </c>
      <c r="D3442" t="s">
        <v>16016</v>
      </c>
      <c r="E3442" t="e" cm="1">
        <f t="array" ref="E3442">- ETORICOXIB</f>
        <v>#NAME?</v>
      </c>
      <c r="F3442" t="s">
        <v>16017</v>
      </c>
      <c r="I3442" t="s">
        <v>14774</v>
      </c>
      <c r="J3442" t="s">
        <v>45</v>
      </c>
      <c r="M3442" t="s">
        <v>46</v>
      </c>
      <c r="N3442" t="s">
        <v>47</v>
      </c>
      <c r="O3442" t="s">
        <v>14779</v>
      </c>
      <c r="P3442" t="s">
        <v>47</v>
      </c>
      <c r="Q3442" t="s">
        <v>16018</v>
      </c>
      <c r="R3442">
        <v>11</v>
      </c>
      <c r="S3442">
        <v>16</v>
      </c>
    </row>
    <row r="3443" spans="1:19" x14ac:dyDescent="0.35">
      <c r="A3443">
        <v>1013</v>
      </c>
      <c r="B3443" t="s">
        <v>16019</v>
      </c>
      <c r="C3443" t="s">
        <v>42</v>
      </c>
      <c r="D3443" t="s">
        <v>16020</v>
      </c>
      <c r="E3443" t="e" cm="1">
        <f t="array" ref="E3443">- AMMONIUM CHLORIDE</f>
        <v>#NAME?</v>
      </c>
      <c r="F3443" s="1">
        <v>15000</v>
      </c>
      <c r="G3443" t="s">
        <v>16021</v>
      </c>
      <c r="H3443" t="s">
        <v>16022</v>
      </c>
      <c r="I3443" t="s">
        <v>16023</v>
      </c>
      <c r="J3443" t="s">
        <v>334</v>
      </c>
      <c r="K3443" t="s">
        <v>16024</v>
      </c>
      <c r="L3443" t="s">
        <v>16025</v>
      </c>
      <c r="M3443" t="s">
        <v>271</v>
      </c>
      <c r="N3443" t="s">
        <v>1672</v>
      </c>
      <c r="O3443" t="s">
        <v>10341</v>
      </c>
      <c r="P3443" t="s">
        <v>16026</v>
      </c>
      <c r="Q3443" t="s">
        <v>16027</v>
      </c>
      <c r="R3443">
        <v>11</v>
      </c>
      <c r="S3443">
        <v>16</v>
      </c>
    </row>
    <row r="3444" spans="1:19" x14ac:dyDescent="0.35">
      <c r="A3444">
        <v>1012</v>
      </c>
      <c r="B3444" t="s">
        <v>16019</v>
      </c>
      <c r="C3444" t="s">
        <v>42</v>
      </c>
      <c r="D3444" t="s">
        <v>16020</v>
      </c>
      <c r="E3444" t="e" cm="1">
        <f t="array" ref="E3444">- AMMONIUM CHLORIDE</f>
        <v>#NAME?</v>
      </c>
      <c r="F3444" s="1">
        <v>15000</v>
      </c>
      <c r="G3444" t="s">
        <v>16021</v>
      </c>
      <c r="H3444" t="s">
        <v>16022</v>
      </c>
      <c r="I3444" t="s">
        <v>16023</v>
      </c>
      <c r="J3444" t="s">
        <v>334</v>
      </c>
      <c r="K3444" t="s">
        <v>16024</v>
      </c>
      <c r="L3444" t="s">
        <v>16025</v>
      </c>
      <c r="M3444" t="s">
        <v>271</v>
      </c>
      <c r="N3444" t="s">
        <v>1672</v>
      </c>
      <c r="O3444" t="s">
        <v>10341</v>
      </c>
      <c r="P3444" t="s">
        <v>16026</v>
      </c>
      <c r="Q3444" t="s">
        <v>16027</v>
      </c>
      <c r="R3444">
        <v>11</v>
      </c>
      <c r="S3444">
        <v>16</v>
      </c>
    </row>
    <row r="3445" spans="1:19" x14ac:dyDescent="0.35">
      <c r="A3445">
        <v>7522</v>
      </c>
      <c r="B3445" t="s">
        <v>16028</v>
      </c>
      <c r="C3445" t="s">
        <v>20</v>
      </c>
      <c r="D3445" t="s">
        <v>16029</v>
      </c>
      <c r="E3445" t="s">
        <v>16030</v>
      </c>
      <c r="F3445" t="s">
        <v>16031</v>
      </c>
      <c r="G3445" t="s">
        <v>2241</v>
      </c>
      <c r="H3445" t="s">
        <v>2188</v>
      </c>
      <c r="I3445" t="s">
        <v>16032</v>
      </c>
      <c r="J3445" t="s">
        <v>70</v>
      </c>
      <c r="M3445" t="s">
        <v>38</v>
      </c>
      <c r="N3445" t="s">
        <v>16033</v>
      </c>
      <c r="O3445" t="s">
        <v>12058</v>
      </c>
      <c r="P3445" t="s">
        <v>16033</v>
      </c>
      <c r="Q3445" t="s">
        <v>16034</v>
      </c>
      <c r="R3445">
        <v>11</v>
      </c>
      <c r="S3445">
        <v>16</v>
      </c>
    </row>
    <row r="3446" spans="1:19" x14ac:dyDescent="0.35">
      <c r="A3446">
        <v>2450</v>
      </c>
      <c r="B3446" t="s">
        <v>15130</v>
      </c>
      <c r="C3446" t="s">
        <v>42</v>
      </c>
      <c r="D3446" t="s">
        <v>15131</v>
      </c>
      <c r="E3446" t="e" cm="1">
        <f t="array" ref="E3446">- KETOROLAC TROMETAMOL</f>
        <v>#NAME?</v>
      </c>
      <c r="F3446" t="s">
        <v>864</v>
      </c>
      <c r="G3446" t="s">
        <v>9017</v>
      </c>
      <c r="H3446" t="s">
        <v>9018</v>
      </c>
      <c r="I3446" t="s">
        <v>9019</v>
      </c>
      <c r="J3446" t="s">
        <v>13361</v>
      </c>
      <c r="K3446" t="s">
        <v>9021</v>
      </c>
      <c r="M3446" t="s">
        <v>46</v>
      </c>
      <c r="N3446" t="s">
        <v>2501</v>
      </c>
      <c r="O3446" t="s">
        <v>9024</v>
      </c>
      <c r="P3446" t="s">
        <v>15132</v>
      </c>
      <c r="Q3446" t="s">
        <v>15133</v>
      </c>
      <c r="R3446">
        <v>11</v>
      </c>
      <c r="S3446">
        <v>16</v>
      </c>
    </row>
    <row r="3447" spans="1:19" x14ac:dyDescent="0.35">
      <c r="A3447">
        <v>512</v>
      </c>
      <c r="B3447" t="s">
        <v>735</v>
      </c>
      <c r="C3447" t="s">
        <v>42</v>
      </c>
      <c r="D3447" t="s">
        <v>16035</v>
      </c>
      <c r="E3447" t="e" cm="1">
        <f t="array" ref="E3447">- AMINOPHYLLINE</f>
        <v>#NAME?</v>
      </c>
      <c r="F3447" t="s">
        <v>16036</v>
      </c>
      <c r="J3447" t="s">
        <v>16037</v>
      </c>
      <c r="M3447" t="s">
        <v>46</v>
      </c>
      <c r="N3447" t="s">
        <v>2551</v>
      </c>
      <c r="P3447" t="s">
        <v>16038</v>
      </c>
      <c r="Q3447" t="s">
        <v>16039</v>
      </c>
      <c r="R3447">
        <v>11</v>
      </c>
      <c r="S3447">
        <v>16</v>
      </c>
    </row>
    <row r="3448" spans="1:19" x14ac:dyDescent="0.35">
      <c r="A3448">
        <v>8768</v>
      </c>
      <c r="B3448" t="s">
        <v>2388</v>
      </c>
      <c r="C3448" t="s">
        <v>42</v>
      </c>
      <c r="D3448" t="s">
        <v>16040</v>
      </c>
      <c r="E3448" t="e" cm="1">
        <f t="array" ref="E3448">- PIOGLITAZONE HYDROCHLORIDE</f>
        <v>#NAME?</v>
      </c>
      <c r="F3448" t="s">
        <v>16041</v>
      </c>
      <c r="G3448" t="s">
        <v>16042</v>
      </c>
      <c r="H3448" t="s">
        <v>1322</v>
      </c>
      <c r="I3448" t="s">
        <v>16043</v>
      </c>
      <c r="J3448" t="s">
        <v>16044</v>
      </c>
      <c r="L3448" t="s">
        <v>16045</v>
      </c>
      <c r="M3448" t="s">
        <v>46</v>
      </c>
      <c r="N3448" t="s">
        <v>2389</v>
      </c>
      <c r="O3448" t="s">
        <v>16046</v>
      </c>
      <c r="P3448" t="s">
        <v>16047</v>
      </c>
      <c r="Q3448" t="s">
        <v>16048</v>
      </c>
      <c r="R3448">
        <v>11</v>
      </c>
      <c r="S3448">
        <v>16</v>
      </c>
    </row>
    <row r="3449" spans="1:19" x14ac:dyDescent="0.35">
      <c r="A3449">
        <v>7521</v>
      </c>
      <c r="B3449" t="s">
        <v>16028</v>
      </c>
      <c r="C3449" t="s">
        <v>20</v>
      </c>
      <c r="D3449" t="s">
        <v>16049</v>
      </c>
      <c r="E3449" t="s">
        <v>16030</v>
      </c>
      <c r="F3449" t="s">
        <v>16050</v>
      </c>
      <c r="G3449" t="s">
        <v>2241</v>
      </c>
      <c r="H3449" t="s">
        <v>2188</v>
      </c>
      <c r="I3449" t="s">
        <v>16032</v>
      </c>
      <c r="J3449" t="s">
        <v>75</v>
      </c>
      <c r="M3449" t="s">
        <v>38</v>
      </c>
      <c r="N3449" t="s">
        <v>16033</v>
      </c>
      <c r="O3449" t="s">
        <v>12058</v>
      </c>
      <c r="P3449" t="s">
        <v>16033</v>
      </c>
      <c r="Q3449" t="s">
        <v>16034</v>
      </c>
      <c r="R3449">
        <v>11</v>
      </c>
      <c r="S3449">
        <v>16</v>
      </c>
    </row>
    <row r="3450" spans="1:19" x14ac:dyDescent="0.35">
      <c r="A3450">
        <v>2834</v>
      </c>
      <c r="B3450" t="s">
        <v>15134</v>
      </c>
      <c r="C3450" t="s">
        <v>42</v>
      </c>
      <c r="D3450" t="s">
        <v>15135</v>
      </c>
      <c r="E3450" t="e" cm="1">
        <f t="array" ref="E3450">- PARACETAMOL</f>
        <v>#NAME?</v>
      </c>
      <c r="F3450" t="s">
        <v>15136</v>
      </c>
      <c r="G3450" t="s">
        <v>7219</v>
      </c>
      <c r="H3450" t="s">
        <v>15137</v>
      </c>
      <c r="I3450" t="s">
        <v>15138</v>
      </c>
      <c r="J3450" t="s">
        <v>630</v>
      </c>
      <c r="K3450" t="s">
        <v>15139</v>
      </c>
      <c r="L3450" t="s">
        <v>15140</v>
      </c>
      <c r="M3450" t="s">
        <v>340</v>
      </c>
      <c r="N3450" t="s">
        <v>584</v>
      </c>
      <c r="O3450" t="s">
        <v>15141</v>
      </c>
      <c r="P3450" t="s">
        <v>15142</v>
      </c>
      <c r="Q3450" t="s">
        <v>15143</v>
      </c>
      <c r="R3450">
        <v>11</v>
      </c>
      <c r="S3450">
        <v>16</v>
      </c>
    </row>
    <row r="3451" spans="1:19" x14ac:dyDescent="0.35">
      <c r="A3451">
        <v>2223</v>
      </c>
      <c r="B3451" t="s">
        <v>16051</v>
      </c>
      <c r="C3451" t="s">
        <v>42</v>
      </c>
      <c r="D3451" t="s">
        <v>16052</v>
      </c>
      <c r="E3451" t="e" cm="1">
        <f t="array" ref="E3451">- CYANOCOBALAMIN</f>
        <v>#NAME?</v>
      </c>
      <c r="F3451" t="s">
        <v>16053</v>
      </c>
      <c r="G3451" t="s">
        <v>4649</v>
      </c>
      <c r="H3451" t="s">
        <v>16054</v>
      </c>
      <c r="I3451" t="s">
        <v>16055</v>
      </c>
      <c r="J3451" t="s">
        <v>16056</v>
      </c>
      <c r="K3451" t="s">
        <v>16057</v>
      </c>
      <c r="L3451" t="s">
        <v>16058</v>
      </c>
      <c r="M3451" t="s">
        <v>291</v>
      </c>
      <c r="N3451" t="s">
        <v>677</v>
      </c>
      <c r="O3451" t="s">
        <v>16059</v>
      </c>
      <c r="P3451" t="s">
        <v>16060</v>
      </c>
      <c r="Q3451" t="s">
        <v>16061</v>
      </c>
      <c r="R3451">
        <v>11</v>
      </c>
      <c r="S3451">
        <v>16</v>
      </c>
    </row>
    <row r="3452" spans="1:19" x14ac:dyDescent="0.35">
      <c r="A3452">
        <v>3114</v>
      </c>
      <c r="B3452" t="s">
        <v>15665</v>
      </c>
      <c r="C3452" t="s">
        <v>42</v>
      </c>
      <c r="D3452" t="s">
        <v>16062</v>
      </c>
      <c r="E3452" t="e" cm="1">
        <f t="array" ref="E3452">- SUCRALFATE</f>
        <v>#NAME?</v>
      </c>
      <c r="F3452" t="s">
        <v>16063</v>
      </c>
      <c r="G3452" t="s">
        <v>15668</v>
      </c>
      <c r="H3452" t="s">
        <v>11805</v>
      </c>
      <c r="I3452" t="s">
        <v>11806</v>
      </c>
      <c r="J3452" t="s">
        <v>2083</v>
      </c>
      <c r="K3452" t="s">
        <v>3473</v>
      </c>
      <c r="L3452" t="s">
        <v>11807</v>
      </c>
      <c r="M3452" t="s">
        <v>340</v>
      </c>
      <c r="N3452" t="s">
        <v>375</v>
      </c>
      <c r="O3452" t="s">
        <v>11808</v>
      </c>
      <c r="P3452" t="s">
        <v>15669</v>
      </c>
      <c r="Q3452" t="s">
        <v>15670</v>
      </c>
      <c r="R3452">
        <v>11</v>
      </c>
      <c r="S3452">
        <v>16</v>
      </c>
    </row>
    <row r="3453" spans="1:19" x14ac:dyDescent="0.35">
      <c r="A3453">
        <v>3113</v>
      </c>
      <c r="B3453" t="s">
        <v>15665</v>
      </c>
      <c r="C3453" t="s">
        <v>42</v>
      </c>
      <c r="D3453" t="s">
        <v>16062</v>
      </c>
      <c r="E3453" t="e" cm="1">
        <f t="array" ref="E3453">- SUCRALFATE</f>
        <v>#NAME?</v>
      </c>
      <c r="F3453" t="s">
        <v>16063</v>
      </c>
      <c r="G3453" t="s">
        <v>15668</v>
      </c>
      <c r="H3453" t="s">
        <v>11805</v>
      </c>
      <c r="I3453" t="s">
        <v>11806</v>
      </c>
      <c r="J3453" t="s">
        <v>2083</v>
      </c>
      <c r="K3453" t="s">
        <v>3473</v>
      </c>
      <c r="L3453" t="s">
        <v>11807</v>
      </c>
      <c r="M3453" t="s">
        <v>340</v>
      </c>
      <c r="N3453" t="s">
        <v>375</v>
      </c>
      <c r="O3453" t="s">
        <v>11808</v>
      </c>
      <c r="P3453" t="s">
        <v>15669</v>
      </c>
      <c r="Q3453" t="s">
        <v>15670</v>
      </c>
      <c r="R3453">
        <v>11</v>
      </c>
      <c r="S3453">
        <v>16</v>
      </c>
    </row>
    <row r="3454" spans="1:19" x14ac:dyDescent="0.35">
      <c r="A3454">
        <v>3112</v>
      </c>
      <c r="B3454" t="s">
        <v>15665</v>
      </c>
      <c r="C3454" t="s">
        <v>42</v>
      </c>
      <c r="D3454" t="s">
        <v>16062</v>
      </c>
      <c r="E3454" t="e" cm="1">
        <f t="array" ref="E3454">- SUCRALFATE</f>
        <v>#NAME?</v>
      </c>
      <c r="F3454" t="s">
        <v>16063</v>
      </c>
      <c r="G3454" t="s">
        <v>15668</v>
      </c>
      <c r="H3454" t="s">
        <v>11805</v>
      </c>
      <c r="I3454" t="s">
        <v>11806</v>
      </c>
      <c r="J3454" t="s">
        <v>2083</v>
      </c>
      <c r="K3454" t="s">
        <v>3473</v>
      </c>
      <c r="L3454" t="s">
        <v>11807</v>
      </c>
      <c r="M3454" t="s">
        <v>340</v>
      </c>
      <c r="N3454" t="s">
        <v>375</v>
      </c>
      <c r="O3454" t="s">
        <v>11808</v>
      </c>
      <c r="P3454" t="s">
        <v>15669</v>
      </c>
      <c r="Q3454" t="s">
        <v>15670</v>
      </c>
      <c r="R3454">
        <v>11</v>
      </c>
      <c r="S3454">
        <v>16</v>
      </c>
    </row>
    <row r="3455" spans="1:19" x14ac:dyDescent="0.35">
      <c r="A3455">
        <v>3111</v>
      </c>
      <c r="B3455" t="s">
        <v>15665</v>
      </c>
      <c r="C3455" t="s">
        <v>42</v>
      </c>
      <c r="D3455" t="s">
        <v>15666</v>
      </c>
      <c r="E3455" t="e" cm="1">
        <f t="array" ref="E3455">- SUCRALFATE</f>
        <v>#NAME?</v>
      </c>
      <c r="F3455" t="s">
        <v>15667</v>
      </c>
      <c r="G3455" t="s">
        <v>15668</v>
      </c>
      <c r="H3455" t="s">
        <v>11805</v>
      </c>
      <c r="I3455" t="s">
        <v>11806</v>
      </c>
      <c r="J3455" t="s">
        <v>374</v>
      </c>
      <c r="K3455" t="s">
        <v>3473</v>
      </c>
      <c r="L3455" t="s">
        <v>11807</v>
      </c>
      <c r="M3455" t="s">
        <v>340</v>
      </c>
      <c r="N3455" t="s">
        <v>375</v>
      </c>
      <c r="O3455" t="s">
        <v>11808</v>
      </c>
      <c r="P3455" t="s">
        <v>15669</v>
      </c>
      <c r="Q3455" t="s">
        <v>15670</v>
      </c>
      <c r="R3455">
        <v>11</v>
      </c>
      <c r="S3455">
        <v>16</v>
      </c>
    </row>
    <row r="3456" spans="1:19" x14ac:dyDescent="0.35">
      <c r="A3456">
        <v>2826</v>
      </c>
      <c r="B3456" t="s">
        <v>15947</v>
      </c>
      <c r="C3456" t="s">
        <v>42</v>
      </c>
      <c r="D3456" t="s">
        <v>15948</v>
      </c>
      <c r="E3456" t="e" cm="1">
        <f t="array" ref="E3456">- PARACETAMOL</f>
        <v>#NAME?</v>
      </c>
      <c r="F3456" t="s">
        <v>15949</v>
      </c>
      <c r="G3456" t="s">
        <v>12603</v>
      </c>
      <c r="H3456" t="s">
        <v>15950</v>
      </c>
      <c r="I3456" t="s">
        <v>15180</v>
      </c>
      <c r="J3456" t="s">
        <v>334</v>
      </c>
      <c r="K3456" t="s">
        <v>15181</v>
      </c>
      <c r="L3456" t="s">
        <v>15951</v>
      </c>
      <c r="M3456" t="s">
        <v>271</v>
      </c>
      <c r="N3456" t="s">
        <v>584</v>
      </c>
      <c r="O3456" t="s">
        <v>15183</v>
      </c>
      <c r="P3456" t="s">
        <v>15184</v>
      </c>
      <c r="Q3456" t="s">
        <v>15952</v>
      </c>
      <c r="R3456">
        <v>11</v>
      </c>
      <c r="S3456">
        <v>16</v>
      </c>
    </row>
    <row r="3457" spans="1:19" x14ac:dyDescent="0.35">
      <c r="A3457">
        <v>8674</v>
      </c>
      <c r="B3457" t="s">
        <v>16064</v>
      </c>
      <c r="C3457" t="s">
        <v>42</v>
      </c>
      <c r="D3457" t="s">
        <v>16065</v>
      </c>
      <c r="E3457" t="e" cm="1">
        <f t="array" ref="E3457">- GLICLAZIDE</f>
        <v>#NAME?</v>
      </c>
      <c r="F3457" t="s">
        <v>16066</v>
      </c>
      <c r="G3457" t="s">
        <v>16067</v>
      </c>
      <c r="H3457" t="s">
        <v>16068</v>
      </c>
      <c r="I3457" t="s">
        <v>16069</v>
      </c>
      <c r="J3457" t="s">
        <v>2978</v>
      </c>
      <c r="K3457" t="s">
        <v>16070</v>
      </c>
      <c r="L3457" t="s">
        <v>16071</v>
      </c>
      <c r="M3457" t="s">
        <v>46</v>
      </c>
      <c r="N3457" t="s">
        <v>1268</v>
      </c>
      <c r="O3457" t="s">
        <v>16072</v>
      </c>
      <c r="P3457" t="s">
        <v>16073</v>
      </c>
      <c r="Q3457" t="s">
        <v>16074</v>
      </c>
      <c r="R3457">
        <v>11</v>
      </c>
      <c r="S3457">
        <v>16</v>
      </c>
    </row>
    <row r="3458" spans="1:19" x14ac:dyDescent="0.35">
      <c r="A3458">
        <v>5304</v>
      </c>
      <c r="B3458" t="s">
        <v>12185</v>
      </c>
      <c r="C3458" t="s">
        <v>42</v>
      </c>
      <c r="D3458" t="s">
        <v>15738</v>
      </c>
      <c r="E3458" t="e" cm="1">
        <f t="array" ref="E3458">- BIFONAZOLE</f>
        <v>#NAME?</v>
      </c>
      <c r="F3458" t="s">
        <v>15739</v>
      </c>
      <c r="G3458" t="s">
        <v>12188</v>
      </c>
      <c r="H3458" t="s">
        <v>15740</v>
      </c>
      <c r="I3458" t="s">
        <v>15741</v>
      </c>
      <c r="J3458" t="s">
        <v>15742</v>
      </c>
      <c r="K3458" t="s">
        <v>2726</v>
      </c>
      <c r="L3458" t="s">
        <v>15743</v>
      </c>
      <c r="M3458" t="s">
        <v>1289</v>
      </c>
      <c r="N3458" t="s">
        <v>15744</v>
      </c>
      <c r="O3458" t="s">
        <v>15745</v>
      </c>
      <c r="P3458" t="s">
        <v>15746</v>
      </c>
      <c r="Q3458" t="s">
        <v>15747</v>
      </c>
      <c r="R3458">
        <v>11</v>
      </c>
      <c r="S3458">
        <v>16</v>
      </c>
    </row>
    <row r="3459" spans="1:19" x14ac:dyDescent="0.35">
      <c r="A3459">
        <v>6815</v>
      </c>
      <c r="B3459" t="s">
        <v>16075</v>
      </c>
      <c r="C3459" t="s">
        <v>42</v>
      </c>
      <c r="D3459" t="s">
        <v>16076</v>
      </c>
      <c r="E3459" t="e" cm="1">
        <f t="array" ref="E3459">- EPERISONE HYDROCHLORIDE</f>
        <v>#NAME?</v>
      </c>
      <c r="F3459" t="s">
        <v>16077</v>
      </c>
      <c r="G3459" t="s">
        <v>2241</v>
      </c>
      <c r="H3459" t="s">
        <v>16078</v>
      </c>
      <c r="I3459" t="s">
        <v>16079</v>
      </c>
      <c r="J3459" t="s">
        <v>7479</v>
      </c>
      <c r="K3459" t="s">
        <v>16080</v>
      </c>
      <c r="L3459" t="s">
        <v>16081</v>
      </c>
      <c r="M3459" t="s">
        <v>46</v>
      </c>
      <c r="N3459" t="s">
        <v>7745</v>
      </c>
      <c r="O3459" t="s">
        <v>16082</v>
      </c>
      <c r="P3459" t="s">
        <v>12574</v>
      </c>
      <c r="Q3459" t="s">
        <v>16083</v>
      </c>
      <c r="R3459">
        <v>11</v>
      </c>
      <c r="S3459">
        <v>16</v>
      </c>
    </row>
    <row r="3460" spans="1:19" x14ac:dyDescent="0.35">
      <c r="A3460">
        <v>2177</v>
      </c>
      <c r="B3460" t="s">
        <v>16084</v>
      </c>
      <c r="C3460" t="s">
        <v>42</v>
      </c>
      <c r="D3460" t="s">
        <v>16085</v>
      </c>
      <c r="E3460" t="e" cm="1">
        <f t="array" ref="E3460">- PARACETAMOL</f>
        <v>#NAME?</v>
      </c>
      <c r="F3460" t="s">
        <v>16086</v>
      </c>
      <c r="G3460" t="s">
        <v>4362</v>
      </c>
      <c r="H3460" t="s">
        <v>16087</v>
      </c>
      <c r="I3460" t="s">
        <v>16088</v>
      </c>
      <c r="J3460" t="s">
        <v>16089</v>
      </c>
      <c r="K3460" t="s">
        <v>16090</v>
      </c>
      <c r="L3460" t="s">
        <v>16091</v>
      </c>
      <c r="M3460" t="s">
        <v>46</v>
      </c>
      <c r="N3460" t="s">
        <v>584</v>
      </c>
      <c r="O3460" t="s">
        <v>15183</v>
      </c>
      <c r="P3460" t="s">
        <v>16092</v>
      </c>
      <c r="Q3460" t="s">
        <v>16093</v>
      </c>
      <c r="R3460">
        <v>11</v>
      </c>
      <c r="S3460">
        <v>16</v>
      </c>
    </row>
    <row r="3461" spans="1:19" x14ac:dyDescent="0.35">
      <c r="A3461">
        <v>4452</v>
      </c>
      <c r="B3461" t="s">
        <v>14059</v>
      </c>
      <c r="C3461" t="s">
        <v>42</v>
      </c>
      <c r="D3461" t="s">
        <v>16094</v>
      </c>
      <c r="E3461" t="e" cm="1">
        <f t="array" ref="E3461">- DEXAMETHASONE</f>
        <v>#NAME?</v>
      </c>
      <c r="F3461" t="s">
        <v>16095</v>
      </c>
      <c r="G3461" t="s">
        <v>10245</v>
      </c>
      <c r="H3461" t="s">
        <v>16096</v>
      </c>
      <c r="I3461" t="s">
        <v>14064</v>
      </c>
      <c r="J3461" t="s">
        <v>16097</v>
      </c>
      <c r="K3461" t="s">
        <v>16098</v>
      </c>
      <c r="L3461" t="s">
        <v>16099</v>
      </c>
      <c r="M3461" t="s">
        <v>824</v>
      </c>
      <c r="N3461" t="s">
        <v>3779</v>
      </c>
      <c r="O3461" t="s">
        <v>14067</v>
      </c>
      <c r="P3461" t="s">
        <v>16100</v>
      </c>
      <c r="Q3461" t="s">
        <v>16101</v>
      </c>
      <c r="R3461">
        <v>11</v>
      </c>
      <c r="S3461">
        <v>16</v>
      </c>
    </row>
    <row r="3462" spans="1:19" x14ac:dyDescent="0.35">
      <c r="A3462">
        <v>5103</v>
      </c>
      <c r="B3462" t="s">
        <v>16102</v>
      </c>
      <c r="C3462" t="s">
        <v>42</v>
      </c>
      <c r="D3462" t="s">
        <v>16103</v>
      </c>
      <c r="E3462" t="e" cm="1">
        <f t="array" ref="E3462">- TRIAMCINOLONE ACETONIDE</f>
        <v>#NAME?</v>
      </c>
      <c r="F3462" t="s">
        <v>16104</v>
      </c>
      <c r="G3462" t="s">
        <v>7120</v>
      </c>
      <c r="H3462" t="s">
        <v>16105</v>
      </c>
      <c r="I3462" t="s">
        <v>16106</v>
      </c>
      <c r="J3462" t="s">
        <v>2167</v>
      </c>
      <c r="K3462" t="s">
        <v>16107</v>
      </c>
    </row>
    <row r="3463" spans="1:19" x14ac:dyDescent="0.35">
      <c r="A3463">
        <v>4456</v>
      </c>
      <c r="B3463" t="s">
        <v>14059</v>
      </c>
      <c r="C3463" t="s">
        <v>42</v>
      </c>
      <c r="D3463" t="s">
        <v>14060</v>
      </c>
      <c r="E3463" t="e" cm="1">
        <f t="array" ref="E3463">- DEXAMETHASONE</f>
        <v>#NAME?</v>
      </c>
      <c r="F3463" t="s">
        <v>14061</v>
      </c>
      <c r="G3463" t="s">
        <v>14062</v>
      </c>
      <c r="H3463" t="s">
        <v>14063</v>
      </c>
      <c r="I3463" t="s">
        <v>14064</v>
      </c>
      <c r="J3463" t="s">
        <v>7561</v>
      </c>
      <c r="K3463" t="s">
        <v>14065</v>
      </c>
      <c r="L3463" t="s">
        <v>14066</v>
      </c>
      <c r="M3463" t="s">
        <v>824</v>
      </c>
      <c r="N3463" t="s">
        <v>3779</v>
      </c>
      <c r="O3463" t="s">
        <v>14067</v>
      </c>
      <c r="P3463" t="s">
        <v>14068</v>
      </c>
      <c r="Q3463" t="s">
        <v>14069</v>
      </c>
      <c r="R3463">
        <v>11</v>
      </c>
      <c r="S3463">
        <v>16</v>
      </c>
    </row>
    <row r="3464" spans="1:19" x14ac:dyDescent="0.35">
      <c r="A3464">
        <v>902</v>
      </c>
      <c r="B3464" t="s">
        <v>8490</v>
      </c>
      <c r="C3464" t="s">
        <v>42</v>
      </c>
      <c r="D3464" t="s">
        <v>8491</v>
      </c>
      <c r="E3464" t="e" cm="1">
        <f t="array" ref="E3464">- DEXTROMETHORPHAN HYDROBROMIDE. GUAIFENESIN. CHLORPHENAMINE MALEATE</f>
        <v>#NAME?</v>
      </c>
      <c r="F3464" t="s">
        <v>8492</v>
      </c>
      <c r="G3464" t="s">
        <v>2453</v>
      </c>
      <c r="H3464" t="s">
        <v>8493</v>
      </c>
      <c r="I3464" t="s">
        <v>8494</v>
      </c>
      <c r="J3464" t="s">
        <v>8495</v>
      </c>
      <c r="K3464" t="s">
        <v>8496</v>
      </c>
      <c r="L3464" t="s">
        <v>8497</v>
      </c>
      <c r="M3464" t="s">
        <v>46</v>
      </c>
      <c r="N3464" t="s">
        <v>15896</v>
      </c>
      <c r="O3464" t="s">
        <v>8498</v>
      </c>
      <c r="P3464" t="s">
        <v>8499</v>
      </c>
      <c r="Q3464" t="s">
        <v>15897</v>
      </c>
      <c r="R3464">
        <v>11</v>
      </c>
      <c r="S3464">
        <v>16</v>
      </c>
    </row>
    <row r="3465" spans="1:19" x14ac:dyDescent="0.35">
      <c r="A3465">
        <v>7143</v>
      </c>
      <c r="B3465" t="s">
        <v>16108</v>
      </c>
      <c r="C3465" t="s">
        <v>42</v>
      </c>
      <c r="D3465" t="s">
        <v>16109</v>
      </c>
      <c r="E3465" t="e" cm="1">
        <f t="array" ref="E3465">- EPERISONE HYDROCHLORIDE</f>
        <v>#NAME?</v>
      </c>
      <c r="F3465" t="s">
        <v>1917</v>
      </c>
      <c r="G3465" t="s">
        <v>2241</v>
      </c>
      <c r="H3465" t="s">
        <v>16110</v>
      </c>
      <c r="I3465" t="s">
        <v>16111</v>
      </c>
      <c r="J3465" t="s">
        <v>16112</v>
      </c>
      <c r="K3465" t="s">
        <v>3762</v>
      </c>
      <c r="L3465" t="s">
        <v>16113</v>
      </c>
      <c r="M3465" t="s">
        <v>46</v>
      </c>
      <c r="N3465" t="s">
        <v>7745</v>
      </c>
      <c r="O3465" t="s">
        <v>12575</v>
      </c>
      <c r="P3465" t="s">
        <v>16114</v>
      </c>
      <c r="Q3465" t="s">
        <v>16115</v>
      </c>
      <c r="R3465">
        <v>11</v>
      </c>
      <c r="S3465">
        <v>16</v>
      </c>
    </row>
    <row r="3466" spans="1:19" x14ac:dyDescent="0.35">
      <c r="A3466">
        <v>1547</v>
      </c>
      <c r="B3466" t="s">
        <v>16116</v>
      </c>
      <c r="C3466" t="s">
        <v>42</v>
      </c>
      <c r="D3466" t="s">
        <v>16117</v>
      </c>
      <c r="E3466" t="e" cm="1">
        <f t="array" ref="E3466">- DEXTROMETHORPHAN HYDROBROMIDE</f>
        <v>#NAME?</v>
      </c>
      <c r="F3466" t="s">
        <v>16118</v>
      </c>
      <c r="H3466" t="s">
        <v>8084</v>
      </c>
      <c r="I3466" t="s">
        <v>16119</v>
      </c>
      <c r="J3466" t="s">
        <v>16120</v>
      </c>
      <c r="M3466" t="s">
        <v>46</v>
      </c>
      <c r="N3466" t="s">
        <v>1376</v>
      </c>
      <c r="O3466" t="s">
        <v>16121</v>
      </c>
      <c r="P3466" t="s">
        <v>16122</v>
      </c>
      <c r="Q3466" t="s">
        <v>16123</v>
      </c>
      <c r="R3466">
        <v>11</v>
      </c>
      <c r="S3466">
        <v>16</v>
      </c>
    </row>
    <row r="3467" spans="1:19" x14ac:dyDescent="0.35">
      <c r="A3467">
        <v>1264</v>
      </c>
      <c r="B3467" t="s">
        <v>16124</v>
      </c>
      <c r="C3467" t="s">
        <v>42</v>
      </c>
      <c r="D3467" t="s">
        <v>16125</v>
      </c>
      <c r="E3467" t="e" cm="1">
        <f t="array" ref="E3467">- CHLORPHENAMINE MALEATE</f>
        <v>#NAME?</v>
      </c>
      <c r="F3467" s="1">
        <v>16000</v>
      </c>
      <c r="G3467" t="s">
        <v>3774</v>
      </c>
      <c r="H3467" t="s">
        <v>4571</v>
      </c>
      <c r="I3467" t="s">
        <v>16126</v>
      </c>
      <c r="J3467" t="s">
        <v>12606</v>
      </c>
      <c r="K3467" t="s">
        <v>2726</v>
      </c>
      <c r="L3467" t="s">
        <v>16127</v>
      </c>
      <c r="M3467" t="s">
        <v>46</v>
      </c>
      <c r="N3467" t="s">
        <v>1354</v>
      </c>
      <c r="O3467" t="s">
        <v>16128</v>
      </c>
      <c r="P3467" t="s">
        <v>16129</v>
      </c>
      <c r="Q3467" t="s">
        <v>16130</v>
      </c>
      <c r="R3467">
        <v>11</v>
      </c>
      <c r="S3467">
        <v>16</v>
      </c>
    </row>
    <row r="3468" spans="1:19" x14ac:dyDescent="0.35">
      <c r="A3468">
        <v>4330</v>
      </c>
      <c r="B3468" t="s">
        <v>16131</v>
      </c>
      <c r="C3468" t="s">
        <v>850</v>
      </c>
      <c r="D3468" t="s">
        <v>16132</v>
      </c>
      <c r="E3468" t="e" cm="1">
        <f t="array" ref="E3468">- Boraks</f>
        <v>#NAME?</v>
      </c>
      <c r="F3468" t="s">
        <v>16133</v>
      </c>
      <c r="G3468" t="s">
        <v>16134</v>
      </c>
      <c r="H3468" t="s">
        <v>1322</v>
      </c>
      <c r="I3468" t="s">
        <v>16135</v>
      </c>
      <c r="J3468" t="s">
        <v>16136</v>
      </c>
      <c r="K3468" t="s">
        <v>2858</v>
      </c>
      <c r="L3468" t="s">
        <v>16137</v>
      </c>
      <c r="N3468" t="s">
        <v>16138</v>
      </c>
      <c r="O3468" t="s">
        <v>16139</v>
      </c>
      <c r="P3468" t="s">
        <v>16140</v>
      </c>
      <c r="Q3468" t="s">
        <v>16141</v>
      </c>
      <c r="R3468">
        <v>11</v>
      </c>
      <c r="S3468">
        <v>16</v>
      </c>
    </row>
    <row r="3469" spans="1:19" x14ac:dyDescent="0.35">
      <c r="A3469">
        <v>2176</v>
      </c>
      <c r="B3469" t="s">
        <v>16084</v>
      </c>
      <c r="C3469" t="s">
        <v>42</v>
      </c>
      <c r="D3469" t="s">
        <v>16085</v>
      </c>
      <c r="E3469" t="e" cm="1">
        <f t="array" ref="E3469">- PARACETAMOL</f>
        <v>#NAME?</v>
      </c>
      <c r="F3469" t="s">
        <v>16086</v>
      </c>
      <c r="G3469" t="s">
        <v>4362</v>
      </c>
      <c r="H3469" t="s">
        <v>16087</v>
      </c>
      <c r="I3469" t="s">
        <v>16088</v>
      </c>
      <c r="J3469" t="s">
        <v>16089</v>
      </c>
      <c r="K3469" t="s">
        <v>16090</v>
      </c>
      <c r="L3469" t="s">
        <v>16091</v>
      </c>
      <c r="M3469" t="s">
        <v>46</v>
      </c>
      <c r="N3469" t="s">
        <v>584</v>
      </c>
      <c r="O3469" t="s">
        <v>15183</v>
      </c>
      <c r="P3469" t="s">
        <v>16092</v>
      </c>
      <c r="Q3469" t="s">
        <v>16093</v>
      </c>
      <c r="R3469">
        <v>11</v>
      </c>
      <c r="S3469">
        <v>16</v>
      </c>
    </row>
    <row r="3470" spans="1:19" x14ac:dyDescent="0.35">
      <c r="A3470">
        <v>1548</v>
      </c>
      <c r="B3470" t="s">
        <v>16116</v>
      </c>
      <c r="C3470" t="s">
        <v>42</v>
      </c>
      <c r="D3470" t="s">
        <v>16117</v>
      </c>
      <c r="E3470" t="e" cm="1">
        <f t="array" ref="E3470">- DEXTROMETHORPHAN HYDROBROMIDE</f>
        <v>#NAME?</v>
      </c>
      <c r="F3470" t="s">
        <v>16118</v>
      </c>
      <c r="H3470" t="s">
        <v>8084</v>
      </c>
      <c r="I3470" t="s">
        <v>16119</v>
      </c>
      <c r="J3470" t="s">
        <v>16120</v>
      </c>
      <c r="M3470" t="s">
        <v>46</v>
      </c>
      <c r="N3470" t="s">
        <v>1376</v>
      </c>
      <c r="O3470" t="s">
        <v>16121</v>
      </c>
      <c r="P3470" t="s">
        <v>16122</v>
      </c>
      <c r="Q3470" t="s">
        <v>16123</v>
      </c>
      <c r="R3470">
        <v>11</v>
      </c>
      <c r="S3470">
        <v>16</v>
      </c>
    </row>
    <row r="3471" spans="1:19" x14ac:dyDescent="0.35">
      <c r="A3471">
        <v>4453</v>
      </c>
      <c r="B3471" t="s">
        <v>14059</v>
      </c>
      <c r="C3471" t="s">
        <v>42</v>
      </c>
      <c r="D3471" t="s">
        <v>16094</v>
      </c>
      <c r="E3471" t="e" cm="1">
        <f t="array" ref="E3471">- DEXAMETHASONE</f>
        <v>#NAME?</v>
      </c>
      <c r="F3471" t="s">
        <v>16095</v>
      </c>
      <c r="G3471" t="s">
        <v>10245</v>
      </c>
      <c r="H3471" t="s">
        <v>16096</v>
      </c>
      <c r="I3471" t="s">
        <v>14064</v>
      </c>
      <c r="J3471" t="s">
        <v>16097</v>
      </c>
      <c r="K3471" t="s">
        <v>16098</v>
      </c>
      <c r="L3471" t="s">
        <v>16099</v>
      </c>
      <c r="M3471" t="s">
        <v>824</v>
      </c>
      <c r="N3471" t="s">
        <v>3779</v>
      </c>
      <c r="O3471" t="s">
        <v>14067</v>
      </c>
      <c r="P3471" t="s">
        <v>16100</v>
      </c>
      <c r="Q3471" t="s">
        <v>16101</v>
      </c>
      <c r="R3471">
        <v>11</v>
      </c>
      <c r="S3471">
        <v>16</v>
      </c>
    </row>
    <row r="3472" spans="1:19" x14ac:dyDescent="0.35">
      <c r="A3472">
        <v>7140</v>
      </c>
      <c r="B3472" t="s">
        <v>16142</v>
      </c>
      <c r="C3472" t="s">
        <v>850</v>
      </c>
      <c r="D3472" t="s">
        <v>16143</v>
      </c>
      <c r="E3472" t="e" cm="1">
        <f t="array" ref="E3472">- Capsaicin</f>
        <v>#NAME?</v>
      </c>
      <c r="F3472" t="s">
        <v>16144</v>
      </c>
      <c r="G3472" t="s">
        <v>12180</v>
      </c>
      <c r="H3472" t="s">
        <v>16145</v>
      </c>
      <c r="I3472" t="s">
        <v>16146</v>
      </c>
      <c r="J3472" t="s">
        <v>7321</v>
      </c>
      <c r="M3472" t="s">
        <v>1289</v>
      </c>
      <c r="N3472" t="s">
        <v>16147</v>
      </c>
      <c r="O3472" t="s">
        <v>16148</v>
      </c>
      <c r="P3472" t="s">
        <v>16149</v>
      </c>
      <c r="Q3472" t="s">
        <v>16150</v>
      </c>
      <c r="R3472">
        <v>11</v>
      </c>
      <c r="S3472">
        <v>16</v>
      </c>
    </row>
    <row r="3473" spans="1:19" x14ac:dyDescent="0.35">
      <c r="A3473">
        <v>4321</v>
      </c>
      <c r="B3473" t="s">
        <v>15682</v>
      </c>
      <c r="C3473" t="s">
        <v>42</v>
      </c>
      <c r="D3473" t="s">
        <v>15683</v>
      </c>
      <c r="E3473" t="e" cm="1">
        <f t="array" ref="E3473">- CHLORPHENESIN</f>
        <v>#NAME?</v>
      </c>
      <c r="F3473" t="s">
        <v>15684</v>
      </c>
      <c r="H3473" t="s">
        <v>15685</v>
      </c>
      <c r="I3473" t="s">
        <v>15686</v>
      </c>
      <c r="J3473" t="s">
        <v>15687</v>
      </c>
      <c r="M3473" t="s">
        <v>1280</v>
      </c>
      <c r="N3473" t="s">
        <v>15688</v>
      </c>
      <c r="O3473" t="s">
        <v>15689</v>
      </c>
      <c r="P3473" t="s">
        <v>15690</v>
      </c>
      <c r="Q3473" t="s">
        <v>15691</v>
      </c>
      <c r="R3473">
        <v>11</v>
      </c>
      <c r="S3473">
        <v>16</v>
      </c>
    </row>
    <row r="3474" spans="1:19" x14ac:dyDescent="0.35">
      <c r="A3474">
        <v>7131</v>
      </c>
      <c r="B3474" t="s">
        <v>16151</v>
      </c>
      <c r="C3474" t="s">
        <v>42</v>
      </c>
      <c r="D3474" t="s">
        <v>16152</v>
      </c>
      <c r="E3474" t="e" cm="1">
        <f t="array" ref="E3474">- EPERISONE HYDROCHLORIDE</f>
        <v>#NAME?</v>
      </c>
      <c r="F3474" t="s">
        <v>16153</v>
      </c>
      <c r="G3474" t="s">
        <v>2241</v>
      </c>
      <c r="H3474" t="s">
        <v>389</v>
      </c>
      <c r="I3474" t="s">
        <v>16111</v>
      </c>
      <c r="J3474" t="s">
        <v>16154</v>
      </c>
      <c r="L3474" t="s">
        <v>16155</v>
      </c>
      <c r="M3474" t="s">
        <v>46</v>
      </c>
      <c r="N3474" t="s">
        <v>7745</v>
      </c>
      <c r="O3474" t="s">
        <v>12575</v>
      </c>
      <c r="P3474" t="s">
        <v>16156</v>
      </c>
      <c r="Q3474" t="s">
        <v>16157</v>
      </c>
      <c r="R3474">
        <v>11</v>
      </c>
      <c r="S3474">
        <v>16</v>
      </c>
    </row>
    <row r="3475" spans="1:19" x14ac:dyDescent="0.35">
      <c r="A3475">
        <v>5306</v>
      </c>
      <c r="B3475" t="s">
        <v>12185</v>
      </c>
      <c r="C3475" t="s">
        <v>42</v>
      </c>
      <c r="D3475" t="s">
        <v>15738</v>
      </c>
      <c r="E3475" t="e" cm="1">
        <f t="array" ref="E3475">- BIFONAZOLE</f>
        <v>#NAME?</v>
      </c>
      <c r="F3475" t="s">
        <v>15739</v>
      </c>
      <c r="G3475" t="s">
        <v>12188</v>
      </c>
      <c r="H3475" t="s">
        <v>15740</v>
      </c>
      <c r="I3475" t="s">
        <v>15741</v>
      </c>
      <c r="J3475" t="s">
        <v>15742</v>
      </c>
      <c r="K3475" t="s">
        <v>2726</v>
      </c>
      <c r="L3475" t="s">
        <v>15743</v>
      </c>
      <c r="M3475" t="s">
        <v>1289</v>
      </c>
      <c r="N3475" t="s">
        <v>15744</v>
      </c>
      <c r="O3475" t="s">
        <v>15745</v>
      </c>
      <c r="P3475" t="s">
        <v>15746</v>
      </c>
      <c r="Q3475" t="s">
        <v>15747</v>
      </c>
      <c r="R3475">
        <v>11</v>
      </c>
      <c r="S3475">
        <v>16</v>
      </c>
    </row>
    <row r="3476" spans="1:19" x14ac:dyDescent="0.35">
      <c r="A3476">
        <v>7147</v>
      </c>
      <c r="B3476" t="s">
        <v>16158</v>
      </c>
      <c r="C3476" t="s">
        <v>42</v>
      </c>
      <c r="D3476" t="s">
        <v>16159</v>
      </c>
      <c r="E3476" t="e" cm="1">
        <f t="array" ref="E3476">- EPERISONE HYDROCHLORIDE</f>
        <v>#NAME?</v>
      </c>
      <c r="F3476" s="1">
        <v>57000</v>
      </c>
      <c r="G3476" t="s">
        <v>16160</v>
      </c>
      <c r="H3476" t="s">
        <v>16110</v>
      </c>
      <c r="I3476" t="s">
        <v>16111</v>
      </c>
      <c r="J3476" t="s">
        <v>16161</v>
      </c>
      <c r="K3476" t="s">
        <v>16162</v>
      </c>
      <c r="L3476" t="s">
        <v>16163</v>
      </c>
      <c r="M3476" t="s">
        <v>46</v>
      </c>
      <c r="N3476" t="s">
        <v>7745</v>
      </c>
      <c r="O3476" t="s">
        <v>12575</v>
      </c>
      <c r="P3476" t="s">
        <v>16164</v>
      </c>
      <c r="Q3476" t="s">
        <v>16165</v>
      </c>
      <c r="R3476">
        <v>11</v>
      </c>
      <c r="S3476">
        <v>16</v>
      </c>
    </row>
    <row r="3477" spans="1:19" x14ac:dyDescent="0.35">
      <c r="A3477">
        <v>4723</v>
      </c>
      <c r="B3477" t="s">
        <v>10242</v>
      </c>
      <c r="C3477" t="s">
        <v>42</v>
      </c>
      <c r="D3477" t="s">
        <v>16166</v>
      </c>
      <c r="E3477" t="e" cm="1">
        <f t="array" ref="E3477">- NAPHAZOLINE HYDROCHLORIDE</f>
        <v>#NAME?</v>
      </c>
      <c r="F3477" t="s">
        <v>16167</v>
      </c>
      <c r="G3477" t="s">
        <v>7569</v>
      </c>
      <c r="H3477" t="s">
        <v>16168</v>
      </c>
      <c r="I3477" t="s">
        <v>16169</v>
      </c>
      <c r="J3477" t="s">
        <v>16170</v>
      </c>
      <c r="K3477" t="s">
        <v>16171</v>
      </c>
      <c r="L3477" t="s">
        <v>16172</v>
      </c>
      <c r="M3477" t="s">
        <v>824</v>
      </c>
      <c r="N3477" t="s">
        <v>10250</v>
      </c>
      <c r="O3477" t="s">
        <v>16173</v>
      </c>
      <c r="P3477" t="s">
        <v>16174</v>
      </c>
      <c r="Q3477" t="s">
        <v>16175</v>
      </c>
      <c r="R3477">
        <v>12</v>
      </c>
      <c r="S3477">
        <v>16</v>
      </c>
    </row>
    <row r="3478" spans="1:19" x14ac:dyDescent="0.35">
      <c r="A3478">
        <v>4577</v>
      </c>
      <c r="B3478" t="s">
        <v>8767</v>
      </c>
      <c r="C3478" t="s">
        <v>42</v>
      </c>
      <c r="D3478" t="s">
        <v>16176</v>
      </c>
      <c r="E3478" t="e" cm="1">
        <f t="array" ref="E3478">- FLUOROMETHOLONE</f>
        <v>#NAME?</v>
      </c>
      <c r="F3478" t="s">
        <v>16177</v>
      </c>
      <c r="G3478" t="s">
        <v>10245</v>
      </c>
      <c r="H3478" t="s">
        <v>7570</v>
      </c>
      <c r="I3478" t="s">
        <v>16178</v>
      </c>
      <c r="J3478" t="s">
        <v>16179</v>
      </c>
      <c r="K3478" t="s">
        <v>16180</v>
      </c>
    </row>
    <row r="3479" spans="1:19" x14ac:dyDescent="0.35">
      <c r="A3479">
        <v>1203</v>
      </c>
      <c r="B3479" t="s">
        <v>16181</v>
      </c>
      <c r="C3479" t="s">
        <v>42</v>
      </c>
      <c r="D3479" t="s">
        <v>16182</v>
      </c>
      <c r="E3479" t="e" cm="1">
        <f t="array" ref="E3479">- PSEUDOEPHEDRINE HYDROCHLORIDE</f>
        <v>#NAME?</v>
      </c>
      <c r="F3479" s="1">
        <v>38700</v>
      </c>
      <c r="G3479" t="s">
        <v>60</v>
      </c>
      <c r="H3479" t="s">
        <v>16183</v>
      </c>
      <c r="I3479" t="s">
        <v>16184</v>
      </c>
      <c r="J3479" t="s">
        <v>334</v>
      </c>
      <c r="L3479" t="s">
        <v>16185</v>
      </c>
      <c r="M3479" t="s">
        <v>271</v>
      </c>
      <c r="N3479" t="s">
        <v>8326</v>
      </c>
      <c r="O3479" t="s">
        <v>16186</v>
      </c>
      <c r="P3479" t="s">
        <v>16187</v>
      </c>
      <c r="Q3479" t="s">
        <v>16188</v>
      </c>
      <c r="R3479">
        <v>12</v>
      </c>
      <c r="S3479">
        <v>16</v>
      </c>
    </row>
    <row r="3480" spans="1:19" x14ac:dyDescent="0.35">
      <c r="A3480">
        <v>4724</v>
      </c>
      <c r="B3480" t="s">
        <v>10242</v>
      </c>
      <c r="C3480" t="s">
        <v>42</v>
      </c>
      <c r="D3480" t="s">
        <v>16166</v>
      </c>
      <c r="E3480" t="e" cm="1">
        <f t="array" ref="E3480">- NAPHAZOLINE HYDROCHLORIDE</f>
        <v>#NAME?</v>
      </c>
      <c r="F3480" t="s">
        <v>16167</v>
      </c>
      <c r="G3480" t="s">
        <v>7569</v>
      </c>
      <c r="H3480" t="s">
        <v>16168</v>
      </c>
      <c r="I3480" t="s">
        <v>16169</v>
      </c>
      <c r="J3480" t="s">
        <v>16170</v>
      </c>
      <c r="K3480" t="s">
        <v>16171</v>
      </c>
      <c r="L3480" t="s">
        <v>16172</v>
      </c>
      <c r="M3480" t="s">
        <v>824</v>
      </c>
      <c r="N3480" t="s">
        <v>10250</v>
      </c>
      <c r="O3480" t="s">
        <v>16173</v>
      </c>
      <c r="P3480" t="s">
        <v>16174</v>
      </c>
      <c r="Q3480" t="s">
        <v>16175</v>
      </c>
      <c r="R3480">
        <v>12</v>
      </c>
      <c r="S3480">
        <v>16</v>
      </c>
    </row>
    <row r="3481" spans="1:19" x14ac:dyDescent="0.35">
      <c r="A3481">
        <v>8121</v>
      </c>
      <c r="B3481" t="s">
        <v>551</v>
      </c>
      <c r="C3481" t="s">
        <v>42</v>
      </c>
      <c r="D3481" t="s">
        <v>16189</v>
      </c>
      <c r="E3481" t="e" cm="1">
        <f t="array" ref="E3481">- POVIDONE-IODINE</f>
        <v>#NAME?</v>
      </c>
      <c r="F3481" t="s">
        <v>16190</v>
      </c>
      <c r="G3481" t="s">
        <v>16191</v>
      </c>
      <c r="H3481" t="s">
        <v>16192</v>
      </c>
      <c r="I3481" t="s">
        <v>16193</v>
      </c>
      <c r="J3481" t="s">
        <v>16194</v>
      </c>
      <c r="K3481" t="s">
        <v>14873</v>
      </c>
      <c r="L3481" t="s">
        <v>16195</v>
      </c>
      <c r="M3481" t="s">
        <v>554</v>
      </c>
      <c r="N3481" t="s">
        <v>555</v>
      </c>
      <c r="O3481" t="s">
        <v>16196</v>
      </c>
      <c r="P3481" t="s">
        <v>16197</v>
      </c>
      <c r="Q3481" t="s">
        <v>16198</v>
      </c>
      <c r="R3481">
        <v>12</v>
      </c>
      <c r="S3481">
        <v>16</v>
      </c>
    </row>
    <row r="3482" spans="1:19" x14ac:dyDescent="0.35">
      <c r="A3482">
        <v>8120</v>
      </c>
      <c r="B3482" t="s">
        <v>551</v>
      </c>
      <c r="C3482" t="s">
        <v>42</v>
      </c>
      <c r="D3482" t="s">
        <v>16189</v>
      </c>
      <c r="E3482" t="e" cm="1">
        <f t="array" ref="E3482">- POVIDONE-IODINE</f>
        <v>#NAME?</v>
      </c>
      <c r="F3482" t="s">
        <v>16190</v>
      </c>
      <c r="G3482" t="s">
        <v>16191</v>
      </c>
      <c r="H3482" t="s">
        <v>16192</v>
      </c>
      <c r="I3482" t="s">
        <v>16193</v>
      </c>
      <c r="J3482" t="s">
        <v>16194</v>
      </c>
      <c r="K3482" t="s">
        <v>14873</v>
      </c>
      <c r="L3482" t="s">
        <v>16195</v>
      </c>
      <c r="M3482" t="s">
        <v>554</v>
      </c>
      <c r="N3482" t="s">
        <v>555</v>
      </c>
      <c r="O3482" t="s">
        <v>16196</v>
      </c>
      <c r="P3482" t="s">
        <v>16197</v>
      </c>
      <c r="Q3482" t="s">
        <v>16198</v>
      </c>
      <c r="R3482">
        <v>12</v>
      </c>
      <c r="S3482">
        <v>16</v>
      </c>
    </row>
    <row r="3483" spans="1:19" x14ac:dyDescent="0.35">
      <c r="A3483">
        <v>4721</v>
      </c>
      <c r="B3483" t="s">
        <v>10242</v>
      </c>
      <c r="C3483" t="s">
        <v>42</v>
      </c>
      <c r="D3483" t="s">
        <v>16166</v>
      </c>
      <c r="E3483" t="e" cm="1">
        <f t="array" ref="E3483">- NAPHAZOLINE HYDROCHLORIDE</f>
        <v>#NAME?</v>
      </c>
      <c r="F3483" t="s">
        <v>16167</v>
      </c>
      <c r="G3483" t="s">
        <v>7569</v>
      </c>
      <c r="H3483" t="s">
        <v>16168</v>
      </c>
      <c r="I3483" t="s">
        <v>16169</v>
      </c>
      <c r="J3483" t="s">
        <v>16170</v>
      </c>
      <c r="K3483" t="s">
        <v>16171</v>
      </c>
      <c r="L3483" t="s">
        <v>16172</v>
      </c>
      <c r="M3483" t="s">
        <v>824</v>
      </c>
      <c r="N3483" t="s">
        <v>10250</v>
      </c>
      <c r="O3483" t="s">
        <v>16173</v>
      </c>
      <c r="P3483" t="s">
        <v>16174</v>
      </c>
      <c r="Q3483" t="s">
        <v>16175</v>
      </c>
      <c r="R3483">
        <v>12</v>
      </c>
      <c r="S3483">
        <v>16</v>
      </c>
    </row>
    <row r="3484" spans="1:19" x14ac:dyDescent="0.35">
      <c r="A3484">
        <v>4000</v>
      </c>
      <c r="B3484" t="s">
        <v>16199</v>
      </c>
      <c r="C3484" t="s">
        <v>42</v>
      </c>
      <c r="D3484" t="s">
        <v>16200</v>
      </c>
      <c r="E3484" t="e" cm="1">
        <f t="array" ref="E3484">- LACTULOSE</f>
        <v>#NAME?</v>
      </c>
      <c r="F3484" s="1">
        <v>117600</v>
      </c>
      <c r="G3484" t="s">
        <v>16201</v>
      </c>
      <c r="H3484" t="s">
        <v>16202</v>
      </c>
      <c r="I3484" t="s">
        <v>16203</v>
      </c>
      <c r="J3484" t="s">
        <v>16204</v>
      </c>
      <c r="K3484" t="s">
        <v>16205</v>
      </c>
      <c r="L3484" t="s">
        <v>16206</v>
      </c>
      <c r="M3484" t="s">
        <v>271</v>
      </c>
      <c r="N3484" t="s">
        <v>1156</v>
      </c>
      <c r="O3484" t="s">
        <v>16207</v>
      </c>
      <c r="P3484" t="s">
        <v>16208</v>
      </c>
      <c r="Q3484" t="s">
        <v>16209</v>
      </c>
      <c r="R3484">
        <v>12</v>
      </c>
      <c r="S3484">
        <v>16</v>
      </c>
    </row>
    <row r="3485" spans="1:19" x14ac:dyDescent="0.35">
      <c r="A3485">
        <v>4730</v>
      </c>
      <c r="B3485" t="s">
        <v>16210</v>
      </c>
      <c r="C3485" t="s">
        <v>42</v>
      </c>
      <c r="D3485" t="s">
        <v>16211</v>
      </c>
      <c r="E3485" t="e" cm="1">
        <f t="array" ref="E3485">- TETRYZOLINE</f>
        <v>#NAME?</v>
      </c>
      <c r="F3485" t="s">
        <v>16212</v>
      </c>
      <c r="G3485" t="s">
        <v>7569</v>
      </c>
      <c r="H3485" t="s">
        <v>16213</v>
      </c>
      <c r="I3485" t="s">
        <v>16214</v>
      </c>
      <c r="J3485" t="s">
        <v>16170</v>
      </c>
      <c r="M3485" t="s">
        <v>824</v>
      </c>
      <c r="N3485" t="s">
        <v>6319</v>
      </c>
      <c r="O3485" t="s">
        <v>16215</v>
      </c>
      <c r="P3485" t="s">
        <v>16216</v>
      </c>
      <c r="Q3485" t="s">
        <v>16217</v>
      </c>
      <c r="R3485">
        <v>12</v>
      </c>
      <c r="S3485">
        <v>16</v>
      </c>
    </row>
    <row r="3486" spans="1:19" x14ac:dyDescent="0.35">
      <c r="A3486">
        <v>4189</v>
      </c>
      <c r="B3486" t="s">
        <v>16218</v>
      </c>
      <c r="C3486" t="s">
        <v>42</v>
      </c>
      <c r="D3486" t="s">
        <v>16219</v>
      </c>
      <c r="E3486" t="e" cm="1">
        <f t="array" ref="E3486">- CHLORPHENAMINE MALEATE</f>
        <v>#NAME?</v>
      </c>
      <c r="F3486" t="s">
        <v>16220</v>
      </c>
      <c r="G3486" t="s">
        <v>2248</v>
      </c>
      <c r="H3486" t="s">
        <v>16221</v>
      </c>
      <c r="I3486" t="s">
        <v>16222</v>
      </c>
      <c r="J3486" t="s">
        <v>12734</v>
      </c>
      <c r="K3486" t="s">
        <v>16223</v>
      </c>
      <c r="L3486" t="s">
        <v>16224</v>
      </c>
      <c r="M3486" t="s">
        <v>291</v>
      </c>
      <c r="N3486" t="s">
        <v>1354</v>
      </c>
      <c r="O3486" t="s">
        <v>16225</v>
      </c>
      <c r="P3486" t="s">
        <v>16226</v>
      </c>
      <c r="Q3486" t="s">
        <v>16227</v>
      </c>
      <c r="R3486">
        <v>12</v>
      </c>
      <c r="S3486">
        <v>16</v>
      </c>
    </row>
    <row r="3487" spans="1:19" x14ac:dyDescent="0.35">
      <c r="A3487">
        <v>404</v>
      </c>
      <c r="B3487" t="s">
        <v>16228</v>
      </c>
      <c r="C3487" t="s">
        <v>20</v>
      </c>
      <c r="D3487" t="s">
        <v>16229</v>
      </c>
      <c r="E3487" t="s">
        <v>16230</v>
      </c>
      <c r="F3487" t="s">
        <v>12382</v>
      </c>
      <c r="G3487" t="s">
        <v>2241</v>
      </c>
      <c r="H3487" t="s">
        <v>14102</v>
      </c>
      <c r="I3487" t="s">
        <v>16231</v>
      </c>
      <c r="J3487" t="s">
        <v>14104</v>
      </c>
      <c r="M3487" t="s">
        <v>38</v>
      </c>
      <c r="N3487" t="s">
        <v>16232</v>
      </c>
      <c r="O3487" t="s">
        <v>16233</v>
      </c>
      <c r="P3487" t="s">
        <v>16232</v>
      </c>
      <c r="Q3487" t="s">
        <v>16234</v>
      </c>
      <c r="R3487">
        <v>12</v>
      </c>
      <c r="S3487">
        <v>16</v>
      </c>
    </row>
    <row r="3488" spans="1:19" x14ac:dyDescent="0.35">
      <c r="A3488">
        <v>3606</v>
      </c>
      <c r="B3488" t="s">
        <v>16235</v>
      </c>
      <c r="C3488" t="s">
        <v>42</v>
      </c>
      <c r="D3488" t="s">
        <v>16236</v>
      </c>
      <c r="E3488" t="e" cm="1">
        <f t="array" ref="E3488">- ONDANSETRON HYDROCHLORIDE DIHYDRATE</f>
        <v>#NAME?</v>
      </c>
      <c r="F3488" s="1">
        <v>113800</v>
      </c>
      <c r="I3488" t="s">
        <v>16237</v>
      </c>
      <c r="J3488" t="s">
        <v>16238</v>
      </c>
      <c r="M3488" t="s">
        <v>271</v>
      </c>
      <c r="N3488" t="s">
        <v>14087</v>
      </c>
      <c r="O3488" t="s">
        <v>16239</v>
      </c>
      <c r="P3488" t="s">
        <v>16240</v>
      </c>
      <c r="Q3488" t="s">
        <v>16241</v>
      </c>
      <c r="R3488">
        <v>12</v>
      </c>
      <c r="S3488">
        <v>16</v>
      </c>
    </row>
    <row r="3489" spans="1:19" x14ac:dyDescent="0.35">
      <c r="A3489">
        <v>4722</v>
      </c>
      <c r="B3489" t="s">
        <v>10242</v>
      </c>
      <c r="C3489" t="s">
        <v>42</v>
      </c>
      <c r="D3489" t="s">
        <v>16166</v>
      </c>
      <c r="E3489" t="e" cm="1">
        <f t="array" ref="E3489">- NAPHAZOLINE HYDROCHLORIDE</f>
        <v>#NAME?</v>
      </c>
      <c r="F3489" t="s">
        <v>16167</v>
      </c>
      <c r="G3489" t="s">
        <v>7569</v>
      </c>
      <c r="H3489" t="s">
        <v>16168</v>
      </c>
      <c r="I3489" t="s">
        <v>16169</v>
      </c>
      <c r="J3489" t="s">
        <v>16170</v>
      </c>
      <c r="K3489" t="s">
        <v>16171</v>
      </c>
      <c r="L3489" t="s">
        <v>16172</v>
      </c>
      <c r="M3489" t="s">
        <v>824</v>
      </c>
      <c r="N3489" t="s">
        <v>10250</v>
      </c>
      <c r="O3489" t="s">
        <v>16173</v>
      </c>
      <c r="P3489" t="s">
        <v>16174</v>
      </c>
      <c r="Q3489" t="s">
        <v>16175</v>
      </c>
      <c r="R3489">
        <v>12</v>
      </c>
      <c r="S3489">
        <v>16</v>
      </c>
    </row>
    <row r="3490" spans="1:19" x14ac:dyDescent="0.35">
      <c r="A3490">
        <v>402</v>
      </c>
      <c r="B3490" t="s">
        <v>16228</v>
      </c>
      <c r="C3490" t="s">
        <v>20</v>
      </c>
      <c r="D3490" t="s">
        <v>16242</v>
      </c>
      <c r="E3490" t="s">
        <v>16230</v>
      </c>
      <c r="F3490" t="s">
        <v>14109</v>
      </c>
      <c r="G3490" t="s">
        <v>2241</v>
      </c>
      <c r="H3490" t="s">
        <v>14102</v>
      </c>
      <c r="I3490" t="s">
        <v>16231</v>
      </c>
      <c r="J3490" t="s">
        <v>14104</v>
      </c>
      <c r="M3490" t="s">
        <v>38</v>
      </c>
      <c r="N3490" t="s">
        <v>16232</v>
      </c>
      <c r="O3490" t="s">
        <v>16233</v>
      </c>
      <c r="P3490" t="s">
        <v>16232</v>
      </c>
      <c r="Q3490" t="s">
        <v>16234</v>
      </c>
      <c r="R3490">
        <v>12</v>
      </c>
      <c r="S3490">
        <v>16</v>
      </c>
    </row>
    <row r="3491" spans="1:19" x14ac:dyDescent="0.35">
      <c r="A3491">
        <v>7809</v>
      </c>
      <c r="B3491" t="s">
        <v>16243</v>
      </c>
      <c r="C3491" t="s">
        <v>20</v>
      </c>
      <c r="D3491" t="s">
        <v>16244</v>
      </c>
      <c r="E3491" t="s">
        <v>16245</v>
      </c>
      <c r="F3491" t="s">
        <v>16246</v>
      </c>
      <c r="G3491" t="s">
        <v>4649</v>
      </c>
      <c r="H3491" t="s">
        <v>4385</v>
      </c>
      <c r="I3491" t="s">
        <v>16247</v>
      </c>
      <c r="J3491" t="s">
        <v>10175</v>
      </c>
      <c r="L3491" t="s">
        <v>16248</v>
      </c>
      <c r="M3491" t="s">
        <v>38</v>
      </c>
      <c r="N3491" t="s">
        <v>16249</v>
      </c>
      <c r="O3491" t="s">
        <v>16250</v>
      </c>
      <c r="P3491" t="s">
        <v>16251</v>
      </c>
      <c r="Q3491" t="s">
        <v>16252</v>
      </c>
      <c r="R3491">
        <v>12</v>
      </c>
      <c r="S3491">
        <v>16</v>
      </c>
    </row>
    <row r="3492" spans="1:19" x14ac:dyDescent="0.35">
      <c r="A3492">
        <v>403</v>
      </c>
      <c r="B3492" t="s">
        <v>16228</v>
      </c>
      <c r="C3492" t="s">
        <v>20</v>
      </c>
      <c r="D3492" t="s">
        <v>16242</v>
      </c>
      <c r="E3492" t="s">
        <v>16230</v>
      </c>
      <c r="F3492" t="s">
        <v>16253</v>
      </c>
      <c r="G3492" t="s">
        <v>2241</v>
      </c>
      <c r="H3492" t="s">
        <v>14102</v>
      </c>
      <c r="I3492" t="s">
        <v>16231</v>
      </c>
      <c r="J3492" t="s">
        <v>14104</v>
      </c>
      <c r="M3492" t="s">
        <v>38</v>
      </c>
      <c r="N3492" t="s">
        <v>16232</v>
      </c>
      <c r="O3492" t="s">
        <v>16233</v>
      </c>
      <c r="P3492" t="s">
        <v>16232</v>
      </c>
      <c r="Q3492" t="s">
        <v>16234</v>
      </c>
      <c r="R3492">
        <v>12</v>
      </c>
      <c r="S3492">
        <v>16</v>
      </c>
    </row>
    <row r="3493" spans="1:19" x14ac:dyDescent="0.35">
      <c r="A3493">
        <v>8118</v>
      </c>
      <c r="B3493" t="s">
        <v>551</v>
      </c>
      <c r="C3493" t="s">
        <v>42</v>
      </c>
      <c r="D3493" t="s">
        <v>16254</v>
      </c>
      <c r="E3493" t="e" cm="1">
        <f t="array" ref="E3493">- POVIDONE-IODINE</f>
        <v>#NAME?</v>
      </c>
      <c r="F3493" t="s">
        <v>16255</v>
      </c>
      <c r="G3493" t="s">
        <v>16256</v>
      </c>
      <c r="H3493">
        <v>0</v>
      </c>
      <c r="I3493" t="s">
        <v>16257</v>
      </c>
      <c r="J3493" t="s">
        <v>4166</v>
      </c>
      <c r="M3493" t="s">
        <v>554</v>
      </c>
      <c r="N3493" t="s">
        <v>555</v>
      </c>
      <c r="O3493" t="s">
        <v>16258</v>
      </c>
      <c r="P3493" t="s">
        <v>16259</v>
      </c>
      <c r="Q3493" t="s">
        <v>16260</v>
      </c>
      <c r="R3493">
        <v>12</v>
      </c>
      <c r="S3493">
        <v>16</v>
      </c>
    </row>
    <row r="3494" spans="1:19" x14ac:dyDescent="0.35">
      <c r="A3494">
        <v>458</v>
      </c>
      <c r="B3494" t="s">
        <v>16261</v>
      </c>
      <c r="C3494" t="s">
        <v>42</v>
      </c>
      <c r="D3494" t="s">
        <v>16262</v>
      </c>
      <c r="E3494" t="e" cm="1">
        <f t="array" ref="E3494">- SALBUTAMOL SULFATE</f>
        <v>#NAME?</v>
      </c>
      <c r="F3494" t="s">
        <v>16263</v>
      </c>
      <c r="G3494" t="s">
        <v>15884</v>
      </c>
      <c r="H3494" t="s">
        <v>16264</v>
      </c>
      <c r="I3494" t="s">
        <v>16265</v>
      </c>
      <c r="J3494" t="s">
        <v>374</v>
      </c>
      <c r="K3494" t="s">
        <v>13852</v>
      </c>
      <c r="L3494" t="s">
        <v>16266</v>
      </c>
      <c r="M3494" t="s">
        <v>271</v>
      </c>
      <c r="N3494" t="s">
        <v>3424</v>
      </c>
      <c r="O3494" t="s">
        <v>16267</v>
      </c>
      <c r="P3494" t="s">
        <v>13853</v>
      </c>
      <c r="Q3494" t="s">
        <v>16268</v>
      </c>
      <c r="R3494">
        <v>12</v>
      </c>
      <c r="S3494">
        <v>16</v>
      </c>
    </row>
    <row r="3495" spans="1:19" x14ac:dyDescent="0.35">
      <c r="A3495">
        <v>3985</v>
      </c>
      <c r="B3495" t="s">
        <v>16269</v>
      </c>
      <c r="C3495" t="s">
        <v>850</v>
      </c>
      <c r="D3495" t="s">
        <v>16270</v>
      </c>
      <c r="E3495" t="e" cm="1">
        <f t="array" ref="E3495">- Aqua destilata</f>
        <v>#NAME?</v>
      </c>
      <c r="F3495" s="1">
        <v>246800</v>
      </c>
      <c r="G3495" t="s">
        <v>16271</v>
      </c>
      <c r="H3495" t="s">
        <v>16272</v>
      </c>
      <c r="I3495" t="s">
        <v>16273</v>
      </c>
      <c r="J3495" t="s">
        <v>16274</v>
      </c>
      <c r="K3495" t="s">
        <v>16275</v>
      </c>
      <c r="L3495" t="s">
        <v>16276</v>
      </c>
      <c r="M3495" t="s">
        <v>87</v>
      </c>
      <c r="N3495" t="s">
        <v>16277</v>
      </c>
      <c r="O3495" t="s">
        <v>16278</v>
      </c>
      <c r="P3495" t="s">
        <v>16279</v>
      </c>
      <c r="Q3495" t="s">
        <v>16280</v>
      </c>
      <c r="R3495">
        <v>12</v>
      </c>
      <c r="S3495">
        <v>16</v>
      </c>
    </row>
    <row r="3496" spans="1:19" x14ac:dyDescent="0.35">
      <c r="A3496">
        <v>4203</v>
      </c>
      <c r="B3496" t="s">
        <v>16281</v>
      </c>
      <c r="C3496" t="s">
        <v>42</v>
      </c>
      <c r="D3496" t="s">
        <v>16282</v>
      </c>
      <c r="E3496" t="e" cm="1">
        <f t="array" ref="E3496">- CETIRIZINE DIHYDROCHLORIDE</f>
        <v>#NAME?</v>
      </c>
      <c r="F3496" t="s">
        <v>16283</v>
      </c>
      <c r="G3496" t="s">
        <v>6310</v>
      </c>
      <c r="H3496" t="s">
        <v>14590</v>
      </c>
      <c r="I3496" t="s">
        <v>14591</v>
      </c>
      <c r="J3496" t="s">
        <v>1647</v>
      </c>
      <c r="K3496" t="s">
        <v>2858</v>
      </c>
      <c r="L3496" t="s">
        <v>16284</v>
      </c>
      <c r="M3496" t="s">
        <v>824</v>
      </c>
      <c r="N3496" t="s">
        <v>1667</v>
      </c>
      <c r="O3496" t="s">
        <v>14592</v>
      </c>
      <c r="P3496" t="s">
        <v>16285</v>
      </c>
      <c r="Q3496" t="s">
        <v>16286</v>
      </c>
      <c r="R3496">
        <v>12</v>
      </c>
      <c r="S3496">
        <v>16</v>
      </c>
    </row>
    <row r="3497" spans="1:19" x14ac:dyDescent="0.35">
      <c r="A3497">
        <v>4236</v>
      </c>
      <c r="B3497" t="s">
        <v>16287</v>
      </c>
      <c r="C3497" t="s">
        <v>42</v>
      </c>
      <c r="D3497" t="s">
        <v>16288</v>
      </c>
      <c r="E3497" t="e" cm="1">
        <f t="array" ref="E3497">- LORATADINE</f>
        <v>#NAME?</v>
      </c>
      <c r="F3497" t="s">
        <v>16289</v>
      </c>
      <c r="G3497" t="s">
        <v>4420</v>
      </c>
      <c r="H3497" t="s">
        <v>9221</v>
      </c>
      <c r="I3497" t="s">
        <v>16290</v>
      </c>
      <c r="J3497" t="s">
        <v>16291</v>
      </c>
      <c r="K3497" t="s">
        <v>16292</v>
      </c>
      <c r="L3497" t="s">
        <v>16293</v>
      </c>
      <c r="M3497" t="s">
        <v>46</v>
      </c>
      <c r="N3497" t="s">
        <v>9225</v>
      </c>
      <c r="O3497" t="s">
        <v>16294</v>
      </c>
      <c r="P3497" t="s">
        <v>16295</v>
      </c>
      <c r="Q3497" t="s">
        <v>16296</v>
      </c>
      <c r="R3497">
        <v>12</v>
      </c>
      <c r="S3497">
        <v>16</v>
      </c>
    </row>
    <row r="3498" spans="1:19" x14ac:dyDescent="0.35">
      <c r="A3498">
        <v>4222</v>
      </c>
      <c r="B3498" t="s">
        <v>16297</v>
      </c>
      <c r="C3498" t="s">
        <v>42</v>
      </c>
      <c r="D3498" t="s">
        <v>16298</v>
      </c>
      <c r="E3498" t="e" cm="1">
        <f t="array" ref="E3498">- LORATADINE</f>
        <v>#NAME?</v>
      </c>
      <c r="F3498" s="1">
        <v>87200</v>
      </c>
      <c r="G3498" t="s">
        <v>4420</v>
      </c>
      <c r="H3498" t="s">
        <v>9221</v>
      </c>
      <c r="I3498" t="s">
        <v>16290</v>
      </c>
      <c r="J3498" t="s">
        <v>16299</v>
      </c>
      <c r="K3498" t="s">
        <v>16292</v>
      </c>
      <c r="L3498" t="s">
        <v>16293</v>
      </c>
      <c r="M3498" t="s">
        <v>46</v>
      </c>
      <c r="N3498" t="s">
        <v>9225</v>
      </c>
      <c r="O3498" t="s">
        <v>16294</v>
      </c>
      <c r="P3498" t="s">
        <v>16300</v>
      </c>
      <c r="Q3498" t="s">
        <v>16301</v>
      </c>
      <c r="R3498">
        <v>12</v>
      </c>
      <c r="S3498">
        <v>16</v>
      </c>
    </row>
    <row r="3499" spans="1:19" x14ac:dyDescent="0.35">
      <c r="A3499">
        <v>395</v>
      </c>
      <c r="B3499" t="s">
        <v>8305</v>
      </c>
      <c r="C3499" t="s">
        <v>20</v>
      </c>
      <c r="D3499" t="s">
        <v>16302</v>
      </c>
      <c r="E3499" t="s">
        <v>8307</v>
      </c>
      <c r="F3499" t="s">
        <v>16303</v>
      </c>
      <c r="G3499" t="s">
        <v>4469</v>
      </c>
      <c r="H3499" t="s">
        <v>16304</v>
      </c>
      <c r="I3499" t="s">
        <v>16305</v>
      </c>
      <c r="J3499" t="s">
        <v>10175</v>
      </c>
      <c r="L3499" t="s">
        <v>16306</v>
      </c>
      <c r="M3499" t="s">
        <v>38</v>
      </c>
      <c r="N3499" t="s">
        <v>8312</v>
      </c>
      <c r="O3499" t="s">
        <v>16307</v>
      </c>
      <c r="P3499" t="s">
        <v>8314</v>
      </c>
      <c r="Q3499" t="s">
        <v>16308</v>
      </c>
      <c r="R3499">
        <v>12</v>
      </c>
      <c r="S3499">
        <v>16</v>
      </c>
    </row>
    <row r="3500" spans="1:19" x14ac:dyDescent="0.35">
      <c r="A3500">
        <v>4511</v>
      </c>
      <c r="B3500" t="s">
        <v>16309</v>
      </c>
      <c r="C3500" t="s">
        <v>42</v>
      </c>
      <c r="D3500" t="s">
        <v>16310</v>
      </c>
      <c r="E3500" t="s">
        <v>16311</v>
      </c>
      <c r="F3500" t="s">
        <v>16312</v>
      </c>
      <c r="G3500" t="s">
        <v>7569</v>
      </c>
      <c r="H3500" t="s">
        <v>16213</v>
      </c>
      <c r="I3500" t="s">
        <v>16313</v>
      </c>
      <c r="J3500" t="s">
        <v>7561</v>
      </c>
      <c r="K3500" t="s">
        <v>3473</v>
      </c>
      <c r="L3500" t="s">
        <v>16314</v>
      </c>
      <c r="M3500" t="s">
        <v>824</v>
      </c>
      <c r="N3500" t="s">
        <v>16315</v>
      </c>
      <c r="O3500" t="s">
        <v>16316</v>
      </c>
      <c r="P3500" t="s">
        <v>16317</v>
      </c>
      <c r="Q3500" t="s">
        <v>16318</v>
      </c>
      <c r="R3500">
        <v>12</v>
      </c>
      <c r="S3500">
        <v>16</v>
      </c>
    </row>
    <row r="3501" spans="1:19" x14ac:dyDescent="0.35">
      <c r="A3501">
        <v>4512</v>
      </c>
      <c r="B3501" t="s">
        <v>16309</v>
      </c>
      <c r="C3501" t="s">
        <v>42</v>
      </c>
      <c r="D3501" t="s">
        <v>16310</v>
      </c>
      <c r="E3501" t="s">
        <v>16311</v>
      </c>
      <c r="F3501" t="s">
        <v>16312</v>
      </c>
      <c r="G3501" t="s">
        <v>7569</v>
      </c>
      <c r="H3501" t="s">
        <v>16213</v>
      </c>
      <c r="I3501" t="s">
        <v>16313</v>
      </c>
      <c r="J3501" t="s">
        <v>7561</v>
      </c>
      <c r="K3501" t="s">
        <v>3473</v>
      </c>
      <c r="L3501" t="s">
        <v>16314</v>
      </c>
      <c r="M3501" t="s">
        <v>824</v>
      </c>
      <c r="N3501" t="s">
        <v>16315</v>
      </c>
      <c r="O3501" t="s">
        <v>16316</v>
      </c>
      <c r="P3501" t="s">
        <v>16317</v>
      </c>
      <c r="Q3501" t="s">
        <v>16318</v>
      </c>
      <c r="R3501">
        <v>12</v>
      </c>
      <c r="S3501">
        <v>16</v>
      </c>
    </row>
    <row r="3502" spans="1:19" x14ac:dyDescent="0.35">
      <c r="A3502">
        <v>3986</v>
      </c>
      <c r="B3502" t="s">
        <v>16269</v>
      </c>
      <c r="C3502" t="s">
        <v>850</v>
      </c>
      <c r="D3502" t="s">
        <v>16270</v>
      </c>
      <c r="E3502" t="e" cm="1">
        <f t="array" ref="E3502">- Aqua destilata</f>
        <v>#NAME?</v>
      </c>
      <c r="F3502" s="1">
        <v>246800</v>
      </c>
      <c r="G3502" t="s">
        <v>16271</v>
      </c>
      <c r="H3502" t="s">
        <v>16272</v>
      </c>
      <c r="I3502" t="s">
        <v>16273</v>
      </c>
      <c r="J3502" t="s">
        <v>16274</v>
      </c>
      <c r="K3502" t="s">
        <v>16275</v>
      </c>
      <c r="L3502" t="s">
        <v>16276</v>
      </c>
      <c r="M3502" t="s">
        <v>87</v>
      </c>
      <c r="N3502" t="s">
        <v>16277</v>
      </c>
      <c r="O3502" t="s">
        <v>16278</v>
      </c>
      <c r="P3502" t="s">
        <v>16279</v>
      </c>
      <c r="Q3502" t="s">
        <v>16280</v>
      </c>
      <c r="R3502">
        <v>12</v>
      </c>
      <c r="S3502">
        <v>16</v>
      </c>
    </row>
    <row r="3503" spans="1:19" x14ac:dyDescent="0.35">
      <c r="A3503">
        <v>4223</v>
      </c>
      <c r="B3503" t="s">
        <v>16297</v>
      </c>
      <c r="C3503" t="s">
        <v>42</v>
      </c>
      <c r="D3503" t="s">
        <v>16298</v>
      </c>
      <c r="E3503" t="e" cm="1">
        <f t="array" ref="E3503">- LORATADINE</f>
        <v>#NAME?</v>
      </c>
      <c r="F3503" s="1">
        <v>87200</v>
      </c>
      <c r="G3503" t="s">
        <v>4420</v>
      </c>
      <c r="H3503" t="s">
        <v>9221</v>
      </c>
      <c r="I3503" t="s">
        <v>16290</v>
      </c>
      <c r="J3503" t="s">
        <v>16299</v>
      </c>
      <c r="K3503" t="s">
        <v>16292</v>
      </c>
      <c r="L3503" t="s">
        <v>16293</v>
      </c>
      <c r="M3503" t="s">
        <v>46</v>
      </c>
      <c r="N3503" t="s">
        <v>9225</v>
      </c>
      <c r="O3503" t="s">
        <v>16294</v>
      </c>
      <c r="P3503" t="s">
        <v>16300</v>
      </c>
      <c r="Q3503" t="s">
        <v>16301</v>
      </c>
      <c r="R3503">
        <v>12</v>
      </c>
      <c r="S3503">
        <v>16</v>
      </c>
    </row>
    <row r="3504" spans="1:19" x14ac:dyDescent="0.35">
      <c r="A3504">
        <v>3603</v>
      </c>
      <c r="B3504" t="s">
        <v>16319</v>
      </c>
      <c r="C3504" t="s">
        <v>42</v>
      </c>
      <c r="D3504" t="s">
        <v>16320</v>
      </c>
      <c r="E3504" t="e" cm="1">
        <f t="array" ref="E3504">- ONDANSETRON HYDROCHLORIDE DIHYDRATE</f>
        <v>#NAME?</v>
      </c>
      <c r="F3504" t="s">
        <v>16321</v>
      </c>
      <c r="H3504">
        <v>0</v>
      </c>
      <c r="I3504" t="s">
        <v>16237</v>
      </c>
      <c r="J3504" t="s">
        <v>9215</v>
      </c>
      <c r="M3504" t="s">
        <v>46</v>
      </c>
      <c r="N3504" t="s">
        <v>14087</v>
      </c>
      <c r="O3504" t="s">
        <v>16239</v>
      </c>
      <c r="P3504" t="s">
        <v>16240</v>
      </c>
      <c r="Q3504" t="s">
        <v>16322</v>
      </c>
      <c r="R3504">
        <v>12</v>
      </c>
      <c r="S3504">
        <v>16</v>
      </c>
    </row>
    <row r="3505" spans="1:19" x14ac:dyDescent="0.35">
      <c r="A3505">
        <v>4237</v>
      </c>
      <c r="B3505" t="s">
        <v>16287</v>
      </c>
      <c r="C3505" t="s">
        <v>42</v>
      </c>
      <c r="D3505" t="s">
        <v>16288</v>
      </c>
      <c r="E3505" t="e" cm="1">
        <f t="array" ref="E3505">- LORATADINE</f>
        <v>#NAME?</v>
      </c>
      <c r="F3505" t="s">
        <v>16289</v>
      </c>
      <c r="G3505" t="s">
        <v>4420</v>
      </c>
      <c r="H3505" t="s">
        <v>9221</v>
      </c>
      <c r="I3505" t="s">
        <v>16290</v>
      </c>
      <c r="J3505" t="s">
        <v>16291</v>
      </c>
      <c r="K3505" t="s">
        <v>16292</v>
      </c>
      <c r="L3505" t="s">
        <v>16293</v>
      </c>
      <c r="M3505" t="s">
        <v>46</v>
      </c>
      <c r="N3505" t="s">
        <v>9225</v>
      </c>
      <c r="O3505" t="s">
        <v>16294</v>
      </c>
      <c r="P3505" t="s">
        <v>16295</v>
      </c>
      <c r="Q3505" t="s">
        <v>16296</v>
      </c>
      <c r="R3505">
        <v>12</v>
      </c>
      <c r="S3505">
        <v>16</v>
      </c>
    </row>
    <row r="3506" spans="1:19" x14ac:dyDescent="0.35">
      <c r="A3506">
        <v>8119</v>
      </c>
      <c r="B3506" t="s">
        <v>551</v>
      </c>
      <c r="C3506" t="s">
        <v>42</v>
      </c>
      <c r="D3506" t="s">
        <v>16254</v>
      </c>
      <c r="E3506" t="e" cm="1">
        <f t="array" ref="E3506">- POVIDONE-IODINE</f>
        <v>#NAME?</v>
      </c>
      <c r="F3506" t="s">
        <v>16255</v>
      </c>
      <c r="G3506" t="s">
        <v>16256</v>
      </c>
      <c r="H3506">
        <v>0</v>
      </c>
      <c r="I3506" t="s">
        <v>16257</v>
      </c>
      <c r="J3506" t="s">
        <v>4166</v>
      </c>
      <c r="M3506" t="s">
        <v>554</v>
      </c>
      <c r="N3506" t="s">
        <v>555</v>
      </c>
      <c r="O3506" t="s">
        <v>16258</v>
      </c>
      <c r="P3506" t="s">
        <v>16259</v>
      </c>
      <c r="Q3506" t="s">
        <v>16260</v>
      </c>
      <c r="R3506">
        <v>12</v>
      </c>
      <c r="S3506">
        <v>16</v>
      </c>
    </row>
    <row r="3507" spans="1:19" x14ac:dyDescent="0.35">
      <c r="A3507">
        <v>3607</v>
      </c>
      <c r="B3507" t="s">
        <v>16235</v>
      </c>
      <c r="C3507" t="s">
        <v>42</v>
      </c>
      <c r="D3507" t="s">
        <v>16236</v>
      </c>
      <c r="E3507" t="e" cm="1">
        <f t="array" ref="E3507">- ONDANSETRON HYDROCHLORIDE DIHYDRATE</f>
        <v>#NAME?</v>
      </c>
      <c r="F3507" s="1">
        <v>113800</v>
      </c>
      <c r="I3507" t="s">
        <v>16237</v>
      </c>
      <c r="J3507" t="s">
        <v>16238</v>
      </c>
      <c r="M3507" t="s">
        <v>271</v>
      </c>
      <c r="N3507" t="s">
        <v>14087</v>
      </c>
      <c r="O3507" t="s">
        <v>16239</v>
      </c>
      <c r="P3507" t="s">
        <v>16240</v>
      </c>
      <c r="Q3507" t="s">
        <v>16241</v>
      </c>
      <c r="R3507">
        <v>12</v>
      </c>
      <c r="S3507">
        <v>16</v>
      </c>
    </row>
    <row r="3508" spans="1:19" x14ac:dyDescent="0.35">
      <c r="A3508">
        <v>4235</v>
      </c>
      <c r="B3508" t="s">
        <v>16323</v>
      </c>
      <c r="C3508" t="s">
        <v>42</v>
      </c>
      <c r="D3508" t="s">
        <v>16324</v>
      </c>
      <c r="E3508" t="e" cm="1">
        <f t="array" ref="E3508">- LORATADINE</f>
        <v>#NAME?</v>
      </c>
      <c r="F3508" t="s">
        <v>16325</v>
      </c>
      <c r="G3508" t="s">
        <v>4420</v>
      </c>
      <c r="H3508" t="s">
        <v>9221</v>
      </c>
      <c r="I3508" t="s">
        <v>16290</v>
      </c>
      <c r="J3508" t="s">
        <v>16299</v>
      </c>
      <c r="K3508" t="s">
        <v>16292</v>
      </c>
      <c r="L3508" t="s">
        <v>16293</v>
      </c>
      <c r="M3508" t="s">
        <v>46</v>
      </c>
      <c r="N3508" t="s">
        <v>9225</v>
      </c>
      <c r="O3508" t="s">
        <v>16294</v>
      </c>
      <c r="P3508" t="s">
        <v>16326</v>
      </c>
      <c r="Q3508" t="s">
        <v>16327</v>
      </c>
      <c r="R3508">
        <v>12</v>
      </c>
      <c r="S3508">
        <v>16</v>
      </c>
    </row>
    <row r="3509" spans="1:19" x14ac:dyDescent="0.35">
      <c r="A3509">
        <v>4731</v>
      </c>
      <c r="B3509" t="s">
        <v>16210</v>
      </c>
      <c r="C3509" t="s">
        <v>42</v>
      </c>
      <c r="D3509" t="s">
        <v>16211</v>
      </c>
      <c r="E3509" t="e" cm="1">
        <f t="array" ref="E3509">- TETRYZOLINE</f>
        <v>#NAME?</v>
      </c>
      <c r="F3509" t="s">
        <v>16212</v>
      </c>
      <c r="G3509" t="s">
        <v>7569</v>
      </c>
      <c r="H3509" t="s">
        <v>16213</v>
      </c>
      <c r="I3509" t="s">
        <v>16214</v>
      </c>
      <c r="J3509" t="s">
        <v>16170</v>
      </c>
      <c r="M3509" t="s">
        <v>824</v>
      </c>
      <c r="N3509" t="s">
        <v>6319</v>
      </c>
      <c r="O3509" t="s">
        <v>16215</v>
      </c>
      <c r="P3509" t="s">
        <v>16216</v>
      </c>
      <c r="Q3509" t="s">
        <v>16217</v>
      </c>
      <c r="R3509">
        <v>12</v>
      </c>
      <c r="S3509">
        <v>16</v>
      </c>
    </row>
    <row r="3510" spans="1:19" x14ac:dyDescent="0.35">
      <c r="A3510">
        <v>4732</v>
      </c>
      <c r="B3510" t="s">
        <v>16210</v>
      </c>
      <c r="C3510" t="s">
        <v>42</v>
      </c>
      <c r="D3510" t="s">
        <v>16211</v>
      </c>
      <c r="E3510" t="e" cm="1">
        <f t="array" ref="E3510">- TETRYZOLINE</f>
        <v>#NAME?</v>
      </c>
      <c r="F3510" t="s">
        <v>16212</v>
      </c>
      <c r="G3510" t="s">
        <v>7569</v>
      </c>
      <c r="H3510" t="s">
        <v>16213</v>
      </c>
      <c r="I3510" t="s">
        <v>16214</v>
      </c>
      <c r="J3510" t="s">
        <v>16170</v>
      </c>
      <c r="M3510" t="s">
        <v>824</v>
      </c>
      <c r="N3510" t="s">
        <v>6319</v>
      </c>
      <c r="O3510" t="s">
        <v>16215</v>
      </c>
      <c r="P3510" t="s">
        <v>16216</v>
      </c>
      <c r="Q3510" t="s">
        <v>16217</v>
      </c>
      <c r="R3510">
        <v>12</v>
      </c>
      <c r="S3510">
        <v>16</v>
      </c>
    </row>
    <row r="3511" spans="1:19" x14ac:dyDescent="0.35">
      <c r="A3511">
        <v>4251</v>
      </c>
      <c r="B3511" t="s">
        <v>13284</v>
      </c>
      <c r="C3511" t="s">
        <v>42</v>
      </c>
      <c r="D3511" t="s">
        <v>13285</v>
      </c>
      <c r="E3511" t="e" cm="1">
        <f t="array" ref="E3511">- BETAMETHASONE. DEXCHLORPHENIRAMINE MALEATE</f>
        <v>#NAME?</v>
      </c>
      <c r="F3511" t="s">
        <v>13286</v>
      </c>
      <c r="G3511" t="s">
        <v>6135</v>
      </c>
      <c r="H3511" t="s">
        <v>13287</v>
      </c>
      <c r="I3511" t="s">
        <v>13288</v>
      </c>
      <c r="J3511" t="s">
        <v>5221</v>
      </c>
      <c r="L3511" t="s">
        <v>13289</v>
      </c>
      <c r="M3511" t="s">
        <v>46</v>
      </c>
      <c r="N3511" t="s">
        <v>3200</v>
      </c>
      <c r="O3511" t="s">
        <v>13290</v>
      </c>
      <c r="P3511" t="s">
        <v>13291</v>
      </c>
      <c r="Q3511" t="s">
        <v>16328</v>
      </c>
      <c r="R3511">
        <v>12</v>
      </c>
      <c r="S3511">
        <v>16</v>
      </c>
    </row>
    <row r="3512" spans="1:19" x14ac:dyDescent="0.35">
      <c r="A3512">
        <v>1101</v>
      </c>
      <c r="B3512" t="s">
        <v>16329</v>
      </c>
      <c r="C3512" t="s">
        <v>42</v>
      </c>
      <c r="D3512" t="s">
        <v>16330</v>
      </c>
      <c r="E3512" t="e" cm="1">
        <f t="array" ref="E3512">- DEXTROMETHORPHAN HYDROBROMIDE. GUAIFENESIN. CHLORPHENAMINE MALEATE</f>
        <v>#NAME?</v>
      </c>
      <c r="F3512" t="s">
        <v>16331</v>
      </c>
      <c r="G3512" t="s">
        <v>6740</v>
      </c>
      <c r="H3512" t="s">
        <v>16332</v>
      </c>
      <c r="I3512" t="s">
        <v>16333</v>
      </c>
      <c r="J3512" t="s">
        <v>2121</v>
      </c>
      <c r="K3512" t="s">
        <v>16334</v>
      </c>
      <c r="L3512" t="s">
        <v>16335</v>
      </c>
      <c r="M3512" t="s">
        <v>271</v>
      </c>
      <c r="N3512" t="s">
        <v>15896</v>
      </c>
      <c r="O3512" t="s">
        <v>16336</v>
      </c>
      <c r="P3512" t="s">
        <v>16337</v>
      </c>
      <c r="Q3512" t="s">
        <v>16338</v>
      </c>
      <c r="R3512">
        <v>12</v>
      </c>
      <c r="S3512">
        <v>16</v>
      </c>
    </row>
    <row r="3513" spans="1:19" x14ac:dyDescent="0.35">
      <c r="A3513">
        <v>457</v>
      </c>
      <c r="B3513" t="s">
        <v>16261</v>
      </c>
      <c r="C3513" t="s">
        <v>42</v>
      </c>
      <c r="D3513" t="s">
        <v>16262</v>
      </c>
      <c r="E3513" t="e" cm="1">
        <f t="array" ref="E3513">- SALBUTAMOL SULFATE</f>
        <v>#NAME?</v>
      </c>
      <c r="F3513" t="s">
        <v>16263</v>
      </c>
      <c r="G3513" t="s">
        <v>15884</v>
      </c>
      <c r="H3513" t="s">
        <v>16264</v>
      </c>
      <c r="I3513" t="s">
        <v>16265</v>
      </c>
      <c r="J3513" t="s">
        <v>374</v>
      </c>
      <c r="K3513" t="s">
        <v>13852</v>
      </c>
      <c r="L3513" t="s">
        <v>16266</v>
      </c>
      <c r="M3513" t="s">
        <v>271</v>
      </c>
      <c r="N3513" t="s">
        <v>3424</v>
      </c>
      <c r="O3513" t="s">
        <v>16267</v>
      </c>
      <c r="P3513" t="s">
        <v>13853</v>
      </c>
      <c r="Q3513" t="s">
        <v>16268</v>
      </c>
      <c r="R3513">
        <v>12</v>
      </c>
      <c r="S3513">
        <v>16</v>
      </c>
    </row>
    <row r="3514" spans="1:19" x14ac:dyDescent="0.35">
      <c r="A3514">
        <v>8082</v>
      </c>
      <c r="B3514" t="s">
        <v>551</v>
      </c>
      <c r="C3514" t="s">
        <v>42</v>
      </c>
      <c r="D3514" t="s">
        <v>16339</v>
      </c>
      <c r="E3514" t="e" cm="1">
        <f t="array" ref="E3514">- POVIDONE-IODINE</f>
        <v>#NAME?</v>
      </c>
      <c r="F3514" t="s">
        <v>16340</v>
      </c>
      <c r="G3514" t="s">
        <v>16341</v>
      </c>
      <c r="H3514" t="s">
        <v>1322</v>
      </c>
      <c r="I3514" t="s">
        <v>16342</v>
      </c>
      <c r="J3514" t="s">
        <v>11247</v>
      </c>
      <c r="M3514" t="s">
        <v>554</v>
      </c>
      <c r="N3514" t="s">
        <v>555</v>
      </c>
      <c r="O3514" t="s">
        <v>16343</v>
      </c>
      <c r="P3514" t="s">
        <v>16344</v>
      </c>
      <c r="Q3514" t="s">
        <v>16345</v>
      </c>
      <c r="R3514">
        <v>12</v>
      </c>
      <c r="S3514">
        <v>16</v>
      </c>
    </row>
    <row r="3515" spans="1:19" x14ac:dyDescent="0.35">
      <c r="A3515">
        <v>4567</v>
      </c>
      <c r="B3515" t="s">
        <v>15791</v>
      </c>
      <c r="C3515" t="s">
        <v>42</v>
      </c>
      <c r="D3515" t="s">
        <v>15792</v>
      </c>
      <c r="E3515" t="e" cm="1">
        <f t="array" ref="E3515">- TETRAHYDROZOLINE HYDROCHLORIDE</f>
        <v>#NAME?</v>
      </c>
      <c r="F3515" t="s">
        <v>15793</v>
      </c>
      <c r="G3515" t="s">
        <v>15794</v>
      </c>
      <c r="H3515" t="s">
        <v>15795</v>
      </c>
      <c r="I3515" t="s">
        <v>15796</v>
      </c>
      <c r="J3515" t="s">
        <v>1647</v>
      </c>
      <c r="M3515" t="s">
        <v>824</v>
      </c>
      <c r="N3515" t="s">
        <v>3512</v>
      </c>
      <c r="O3515" t="s">
        <v>15797</v>
      </c>
      <c r="P3515" t="s">
        <v>15798</v>
      </c>
      <c r="Q3515" t="s">
        <v>16346</v>
      </c>
      <c r="R3515">
        <v>12</v>
      </c>
      <c r="S3515">
        <v>16</v>
      </c>
    </row>
    <row r="3516" spans="1:19" x14ac:dyDescent="0.35">
      <c r="A3516">
        <v>4725</v>
      </c>
      <c r="B3516" t="s">
        <v>10242</v>
      </c>
      <c r="C3516" t="s">
        <v>42</v>
      </c>
      <c r="D3516" t="s">
        <v>16166</v>
      </c>
      <c r="E3516" t="e" cm="1">
        <f t="array" ref="E3516">- NAPHAZOLINE HYDROCHLORIDE</f>
        <v>#NAME?</v>
      </c>
      <c r="F3516" t="s">
        <v>16167</v>
      </c>
      <c r="G3516" t="s">
        <v>7569</v>
      </c>
      <c r="H3516" t="s">
        <v>16168</v>
      </c>
      <c r="I3516" t="s">
        <v>16169</v>
      </c>
      <c r="J3516" t="s">
        <v>16170</v>
      </c>
      <c r="K3516" t="s">
        <v>16171</v>
      </c>
      <c r="L3516" t="s">
        <v>16172</v>
      </c>
      <c r="M3516" t="s">
        <v>824</v>
      </c>
      <c r="N3516" t="s">
        <v>10250</v>
      </c>
      <c r="O3516" t="s">
        <v>16173</v>
      </c>
      <c r="P3516" t="s">
        <v>16174</v>
      </c>
      <c r="Q3516" t="s">
        <v>16175</v>
      </c>
      <c r="R3516">
        <v>12</v>
      </c>
      <c r="S3516">
        <v>16</v>
      </c>
    </row>
    <row r="3517" spans="1:19" x14ac:dyDescent="0.35">
      <c r="A3517">
        <v>1204</v>
      </c>
      <c r="B3517" t="s">
        <v>16347</v>
      </c>
      <c r="C3517" t="s">
        <v>42</v>
      </c>
      <c r="D3517" t="s">
        <v>16348</v>
      </c>
      <c r="E3517" t="e" cm="1">
        <f t="array" ref="E3517">- PARACETAMOL. GUAIFENESIN. CHLORPHENAMINE MALEATE. PHENYLPROPANOLAMINE HYDROCHLORIDE</f>
        <v>#NAME?</v>
      </c>
      <c r="F3517" t="s">
        <v>16349</v>
      </c>
      <c r="G3517" t="s">
        <v>2241</v>
      </c>
      <c r="H3517" t="s">
        <v>16350</v>
      </c>
      <c r="I3517" t="s">
        <v>16351</v>
      </c>
      <c r="J3517" t="s">
        <v>334</v>
      </c>
      <c r="K3517" t="s">
        <v>16352</v>
      </c>
      <c r="L3517" t="s">
        <v>16353</v>
      </c>
      <c r="M3517" t="s">
        <v>271</v>
      </c>
      <c r="N3517" t="s">
        <v>16354</v>
      </c>
      <c r="O3517" t="s">
        <v>16355</v>
      </c>
      <c r="P3517" t="s">
        <v>16356</v>
      </c>
      <c r="Q3517" t="s">
        <v>16357</v>
      </c>
      <c r="R3517">
        <v>12</v>
      </c>
      <c r="S3517">
        <v>16</v>
      </c>
    </row>
    <row r="3518" spans="1:19" x14ac:dyDescent="0.35">
      <c r="A3518">
        <v>3637</v>
      </c>
      <c r="B3518" t="s">
        <v>16358</v>
      </c>
      <c r="C3518" t="s">
        <v>42</v>
      </c>
      <c r="D3518" t="s">
        <v>16359</v>
      </c>
      <c r="E3518" t="e" cm="1">
        <f t="array" ref="E3518">- ONDANSETRON HYDROCHLORIDE DIHYDRATE</f>
        <v>#NAME?</v>
      </c>
      <c r="F3518" t="s">
        <v>16360</v>
      </c>
      <c r="G3518" t="s">
        <v>60</v>
      </c>
      <c r="H3518" t="s">
        <v>16361</v>
      </c>
      <c r="I3518" t="s">
        <v>16362</v>
      </c>
      <c r="J3518" t="s">
        <v>16363</v>
      </c>
      <c r="K3518" t="s">
        <v>11602</v>
      </c>
      <c r="L3518" t="s">
        <v>16364</v>
      </c>
      <c r="M3518" t="s">
        <v>46</v>
      </c>
      <c r="N3518" t="s">
        <v>14087</v>
      </c>
      <c r="O3518" t="s">
        <v>16365</v>
      </c>
      <c r="P3518" t="s">
        <v>16366</v>
      </c>
      <c r="Q3518" t="s">
        <v>16367</v>
      </c>
      <c r="R3518">
        <v>12</v>
      </c>
      <c r="S3518">
        <v>16</v>
      </c>
    </row>
    <row r="3519" spans="1:19" x14ac:dyDescent="0.35">
      <c r="A3519">
        <v>7932</v>
      </c>
      <c r="B3519" t="s">
        <v>16368</v>
      </c>
      <c r="C3519" t="s">
        <v>20</v>
      </c>
      <c r="D3519" t="s">
        <v>16369</v>
      </c>
      <c r="E3519" t="s">
        <v>16370</v>
      </c>
      <c r="F3519" t="s">
        <v>16371</v>
      </c>
      <c r="H3519" t="s">
        <v>16372</v>
      </c>
      <c r="I3519" t="s">
        <v>16373</v>
      </c>
      <c r="J3519" t="s">
        <v>8233</v>
      </c>
      <c r="L3519" t="s">
        <v>16374</v>
      </c>
      <c r="M3519" t="s">
        <v>38</v>
      </c>
      <c r="N3519" t="s">
        <v>16375</v>
      </c>
      <c r="O3519" t="s">
        <v>16376</v>
      </c>
      <c r="P3519" t="s">
        <v>16377</v>
      </c>
      <c r="Q3519" t="s">
        <v>16378</v>
      </c>
      <c r="R3519">
        <v>12</v>
      </c>
      <c r="S3519">
        <v>16</v>
      </c>
    </row>
    <row r="3520" spans="1:19" x14ac:dyDescent="0.35">
      <c r="A3520">
        <v>3638</v>
      </c>
      <c r="B3520" t="s">
        <v>16358</v>
      </c>
      <c r="C3520" t="s">
        <v>42</v>
      </c>
      <c r="D3520" t="s">
        <v>16359</v>
      </c>
      <c r="E3520" t="e" cm="1">
        <f t="array" ref="E3520">- ONDANSETRON HYDROCHLORIDE DIHYDRATE</f>
        <v>#NAME?</v>
      </c>
      <c r="F3520" t="s">
        <v>16360</v>
      </c>
      <c r="G3520" t="s">
        <v>60</v>
      </c>
      <c r="H3520" t="s">
        <v>16361</v>
      </c>
      <c r="I3520" t="s">
        <v>16362</v>
      </c>
      <c r="J3520" t="s">
        <v>16363</v>
      </c>
      <c r="K3520" t="s">
        <v>11602</v>
      </c>
      <c r="L3520" t="s">
        <v>16364</v>
      </c>
      <c r="M3520" t="s">
        <v>46</v>
      </c>
      <c r="N3520" t="s">
        <v>14087</v>
      </c>
      <c r="O3520" t="s">
        <v>16365</v>
      </c>
      <c r="P3520" t="s">
        <v>16366</v>
      </c>
      <c r="Q3520" t="s">
        <v>16367</v>
      </c>
      <c r="R3520">
        <v>12</v>
      </c>
      <c r="S3520">
        <v>16</v>
      </c>
    </row>
    <row r="3521" spans="1:19" x14ac:dyDescent="0.35">
      <c r="A3521">
        <v>1311</v>
      </c>
      <c r="B3521" t="s">
        <v>16379</v>
      </c>
      <c r="C3521" t="s">
        <v>42</v>
      </c>
      <c r="D3521" t="s">
        <v>16380</v>
      </c>
      <c r="E3521" t="e" cm="1">
        <f t="array" ref="E3521">- CHLORPHENAMINE MALEATE</f>
        <v>#NAME?</v>
      </c>
      <c r="F3521" t="s">
        <v>16381</v>
      </c>
      <c r="H3521" t="s">
        <v>16382</v>
      </c>
    </row>
    <row r="3522" spans="1:19" x14ac:dyDescent="0.35">
      <c r="A3522">
        <v>3860</v>
      </c>
      <c r="B3522" t="s">
        <v>16383</v>
      </c>
      <c r="C3522" t="s">
        <v>42</v>
      </c>
      <c r="D3522" t="s">
        <v>16384</v>
      </c>
      <c r="E3522" t="e" cm="1">
        <f t="array" ref="E3522">- ZINC SULFATE</f>
        <v>#NAME?</v>
      </c>
      <c r="F3522" t="s">
        <v>16385</v>
      </c>
      <c r="G3522" t="s">
        <v>16386</v>
      </c>
      <c r="H3522" t="s">
        <v>16387</v>
      </c>
      <c r="I3522" t="s">
        <v>16388</v>
      </c>
      <c r="J3522" t="s">
        <v>374</v>
      </c>
      <c r="K3522" t="s">
        <v>16389</v>
      </c>
      <c r="L3522" t="s">
        <v>16390</v>
      </c>
      <c r="M3522" t="s">
        <v>271</v>
      </c>
      <c r="N3522" t="s">
        <v>16391</v>
      </c>
      <c r="O3522" t="s">
        <v>16392</v>
      </c>
      <c r="P3522" t="s">
        <v>16393</v>
      </c>
      <c r="Q3522" t="s">
        <v>16394</v>
      </c>
      <c r="R3522">
        <v>12</v>
      </c>
      <c r="S3522">
        <v>16</v>
      </c>
    </row>
    <row r="3523" spans="1:19" x14ac:dyDescent="0.35">
      <c r="A3523">
        <v>3679</v>
      </c>
      <c r="B3523" t="s">
        <v>16395</v>
      </c>
      <c r="C3523" t="s">
        <v>42</v>
      </c>
      <c r="D3523" t="s">
        <v>16396</v>
      </c>
      <c r="E3523" t="e" cm="1">
        <f t="array" ref="E3523">- ONDANSETRON HYDROCHLORIDE DIHYDRATE</f>
        <v>#NAME?</v>
      </c>
      <c r="F3523" t="s">
        <v>16397</v>
      </c>
      <c r="G3523" t="s">
        <v>60</v>
      </c>
      <c r="H3523" t="s">
        <v>16398</v>
      </c>
      <c r="I3523" t="s">
        <v>16399</v>
      </c>
      <c r="J3523" t="s">
        <v>16400</v>
      </c>
      <c r="K3523" t="s">
        <v>11602</v>
      </c>
      <c r="L3523" t="s">
        <v>2537</v>
      </c>
      <c r="M3523" t="s">
        <v>46</v>
      </c>
      <c r="N3523" t="s">
        <v>14087</v>
      </c>
      <c r="O3523" t="s">
        <v>16365</v>
      </c>
      <c r="P3523" t="s">
        <v>16401</v>
      </c>
      <c r="Q3523" t="s">
        <v>16402</v>
      </c>
      <c r="R3523">
        <v>12</v>
      </c>
      <c r="S3523">
        <v>16</v>
      </c>
    </row>
    <row r="3524" spans="1:19" x14ac:dyDescent="0.35">
      <c r="A3524">
        <v>3678</v>
      </c>
      <c r="B3524" t="s">
        <v>16395</v>
      </c>
      <c r="C3524" t="s">
        <v>42</v>
      </c>
      <c r="D3524" t="s">
        <v>16396</v>
      </c>
      <c r="E3524" t="e" cm="1">
        <f t="array" ref="E3524">- ONDANSETRON HYDROCHLORIDE DIHYDRATE</f>
        <v>#NAME?</v>
      </c>
      <c r="F3524" t="s">
        <v>16397</v>
      </c>
      <c r="G3524" t="s">
        <v>60</v>
      </c>
      <c r="H3524" t="s">
        <v>16398</v>
      </c>
      <c r="I3524" t="s">
        <v>16399</v>
      </c>
      <c r="J3524" t="s">
        <v>16400</v>
      </c>
      <c r="K3524" t="s">
        <v>11602</v>
      </c>
      <c r="L3524" t="s">
        <v>2537</v>
      </c>
      <c r="M3524" t="s">
        <v>46</v>
      </c>
      <c r="N3524" t="s">
        <v>14087</v>
      </c>
      <c r="O3524" t="s">
        <v>16365</v>
      </c>
      <c r="P3524" t="s">
        <v>16401</v>
      </c>
      <c r="Q3524" t="s">
        <v>16402</v>
      </c>
      <c r="R3524">
        <v>12</v>
      </c>
      <c r="S3524">
        <v>16</v>
      </c>
    </row>
    <row r="3525" spans="1:19" x14ac:dyDescent="0.35">
      <c r="A3525">
        <v>1126</v>
      </c>
      <c r="B3525" t="s">
        <v>16403</v>
      </c>
      <c r="C3525" t="s">
        <v>42</v>
      </c>
      <c r="D3525" t="s">
        <v>16404</v>
      </c>
      <c r="E3525" t="e" cm="1">
        <f t="array" ref="E3525">- AMMONIUM CHLORIDE</f>
        <v>#NAME?</v>
      </c>
      <c r="F3525" t="s">
        <v>16405</v>
      </c>
      <c r="G3525" t="s">
        <v>2241</v>
      </c>
      <c r="H3525" t="s">
        <v>2242</v>
      </c>
      <c r="I3525" t="s">
        <v>16406</v>
      </c>
      <c r="J3525" t="s">
        <v>16407</v>
      </c>
      <c r="K3525" t="s">
        <v>8505</v>
      </c>
      <c r="L3525" t="s">
        <v>3974</v>
      </c>
      <c r="M3525" t="s">
        <v>271</v>
      </c>
      <c r="N3525" t="s">
        <v>1672</v>
      </c>
      <c r="O3525" t="s">
        <v>8506</v>
      </c>
      <c r="P3525" t="s">
        <v>16408</v>
      </c>
      <c r="Q3525" t="s">
        <v>16409</v>
      </c>
      <c r="R3525">
        <v>12</v>
      </c>
      <c r="S3525">
        <v>16</v>
      </c>
    </row>
    <row r="3526" spans="1:19" x14ac:dyDescent="0.35">
      <c r="A3526">
        <v>3954</v>
      </c>
      <c r="B3526" t="s">
        <v>16410</v>
      </c>
      <c r="C3526" t="s">
        <v>42</v>
      </c>
      <c r="D3526" t="s">
        <v>16411</v>
      </c>
      <c r="E3526" t="e" cm="1">
        <f t="array" ref="E3526">- CINCHOCAINE HYDROCHLORIDE. POLICRESULEN</f>
        <v>#NAME?</v>
      </c>
      <c r="F3526" t="s">
        <v>16412</v>
      </c>
      <c r="G3526" t="s">
        <v>16413</v>
      </c>
      <c r="H3526" t="s">
        <v>16414</v>
      </c>
      <c r="I3526" t="s">
        <v>16415</v>
      </c>
      <c r="J3526" t="s">
        <v>4783</v>
      </c>
      <c r="K3526" t="s">
        <v>16389</v>
      </c>
      <c r="L3526" t="s">
        <v>16416</v>
      </c>
      <c r="M3526" t="s">
        <v>720</v>
      </c>
      <c r="N3526" t="s">
        <v>16417</v>
      </c>
      <c r="O3526" t="s">
        <v>16418</v>
      </c>
      <c r="P3526" t="s">
        <v>16419</v>
      </c>
      <c r="Q3526" t="s">
        <v>16420</v>
      </c>
      <c r="R3526">
        <v>12</v>
      </c>
      <c r="S3526">
        <v>16</v>
      </c>
    </row>
    <row r="3527" spans="1:19" x14ac:dyDescent="0.35">
      <c r="A3527">
        <v>1262</v>
      </c>
      <c r="B3527" t="s">
        <v>16421</v>
      </c>
      <c r="C3527" t="s">
        <v>42</v>
      </c>
      <c r="D3527" t="s">
        <v>16422</v>
      </c>
      <c r="E3527" t="e" cm="1">
        <f t="array" ref="E3527">- DEXTROMETHORPHAN HYDROBROMIDE</f>
        <v>#NAME?</v>
      </c>
      <c r="F3527" s="1">
        <v>17500</v>
      </c>
      <c r="H3527" t="s">
        <v>16423</v>
      </c>
      <c r="I3527" t="s">
        <v>16424</v>
      </c>
      <c r="J3527" t="s">
        <v>10124</v>
      </c>
      <c r="K3527" t="s">
        <v>16425</v>
      </c>
      <c r="L3527" t="s">
        <v>16426</v>
      </c>
      <c r="M3527" t="s">
        <v>271</v>
      </c>
      <c r="N3527" t="s">
        <v>1376</v>
      </c>
      <c r="O3527" t="s">
        <v>16427</v>
      </c>
      <c r="P3527" t="s">
        <v>1439</v>
      </c>
      <c r="Q3527" t="s">
        <v>16428</v>
      </c>
      <c r="R3527">
        <v>12</v>
      </c>
      <c r="S3527">
        <v>16</v>
      </c>
    </row>
    <row r="3528" spans="1:19" x14ac:dyDescent="0.35">
      <c r="A3528">
        <v>4527</v>
      </c>
      <c r="B3528" t="s">
        <v>16429</v>
      </c>
      <c r="C3528" t="s">
        <v>42</v>
      </c>
      <c r="D3528" t="s">
        <v>16430</v>
      </c>
      <c r="E3528" t="e" cm="1">
        <f t="array" ref="E3528">- OFLOXACIN</f>
        <v>#NAME?</v>
      </c>
      <c r="F3528" t="s">
        <v>16431</v>
      </c>
      <c r="G3528" t="s">
        <v>16432</v>
      </c>
      <c r="H3528" t="s">
        <v>16433</v>
      </c>
      <c r="I3528" t="s">
        <v>16434</v>
      </c>
      <c r="J3528" t="s">
        <v>11321</v>
      </c>
      <c r="K3528" t="s">
        <v>2858</v>
      </c>
      <c r="L3528" t="s">
        <v>16435</v>
      </c>
      <c r="M3528" t="s">
        <v>824</v>
      </c>
      <c r="N3528" t="s">
        <v>1640</v>
      </c>
      <c r="O3528" t="s">
        <v>16436</v>
      </c>
      <c r="P3528" t="s">
        <v>16437</v>
      </c>
      <c r="Q3528" t="s">
        <v>16438</v>
      </c>
      <c r="R3528">
        <v>12</v>
      </c>
      <c r="S3528">
        <v>16</v>
      </c>
    </row>
    <row r="3529" spans="1:19" x14ac:dyDescent="0.35">
      <c r="A3529">
        <v>1268</v>
      </c>
      <c r="B3529" t="s">
        <v>16439</v>
      </c>
      <c r="C3529" t="s">
        <v>42</v>
      </c>
      <c r="D3529" t="s">
        <v>16440</v>
      </c>
      <c r="E3529" t="e" cm="1">
        <f t="array" ref="E3529">- DIPHENHYDRAMINE HYDROCHLORIDE</f>
        <v>#NAME?</v>
      </c>
      <c r="F3529" t="s">
        <v>16441</v>
      </c>
      <c r="G3529" t="s">
        <v>2266</v>
      </c>
      <c r="H3529" t="s">
        <v>16442</v>
      </c>
      <c r="I3529" t="s">
        <v>16443</v>
      </c>
      <c r="J3529" t="s">
        <v>334</v>
      </c>
      <c r="L3529" t="s">
        <v>16444</v>
      </c>
      <c r="M3529" t="s">
        <v>271</v>
      </c>
      <c r="N3529" t="s">
        <v>16004</v>
      </c>
      <c r="O3529" t="s">
        <v>16445</v>
      </c>
      <c r="P3529" t="s">
        <v>16446</v>
      </c>
      <c r="Q3529" t="s">
        <v>16447</v>
      </c>
      <c r="R3529">
        <v>12</v>
      </c>
      <c r="S3529">
        <v>16</v>
      </c>
    </row>
    <row r="3530" spans="1:19" x14ac:dyDescent="0.35">
      <c r="A3530">
        <v>8089</v>
      </c>
      <c r="B3530" t="s">
        <v>551</v>
      </c>
      <c r="C3530" t="s">
        <v>42</v>
      </c>
      <c r="D3530" t="s">
        <v>16448</v>
      </c>
      <c r="E3530" t="e" cm="1">
        <f t="array" ref="E3530">- POVIDONE-IODINE</f>
        <v>#NAME?</v>
      </c>
      <c r="F3530" t="s">
        <v>16449</v>
      </c>
      <c r="G3530" t="s">
        <v>16450</v>
      </c>
      <c r="I3530" t="s">
        <v>16193</v>
      </c>
      <c r="J3530" t="s">
        <v>4250</v>
      </c>
      <c r="L3530" t="s">
        <v>16451</v>
      </c>
      <c r="M3530" t="s">
        <v>554</v>
      </c>
      <c r="N3530" t="s">
        <v>555</v>
      </c>
      <c r="O3530" t="s">
        <v>16196</v>
      </c>
      <c r="P3530" t="s">
        <v>16197</v>
      </c>
      <c r="Q3530" t="s">
        <v>16198</v>
      </c>
      <c r="R3530">
        <v>12</v>
      </c>
      <c r="S3530">
        <v>16</v>
      </c>
    </row>
    <row r="3531" spans="1:19" x14ac:dyDescent="0.35">
      <c r="A3531">
        <v>8090</v>
      </c>
      <c r="B3531" t="s">
        <v>551</v>
      </c>
      <c r="C3531" t="s">
        <v>42</v>
      </c>
      <c r="D3531" t="s">
        <v>16452</v>
      </c>
      <c r="E3531" t="e" cm="1">
        <f t="array" ref="E3531">- POVIDONE-IODINE</f>
        <v>#NAME?</v>
      </c>
      <c r="F3531" t="s">
        <v>16453</v>
      </c>
      <c r="G3531" t="s">
        <v>16454</v>
      </c>
      <c r="H3531" t="s">
        <v>1322</v>
      </c>
      <c r="I3531" t="s">
        <v>16455</v>
      </c>
      <c r="J3531" t="s">
        <v>16456</v>
      </c>
      <c r="M3531" t="s">
        <v>554</v>
      </c>
      <c r="N3531" t="s">
        <v>555</v>
      </c>
      <c r="O3531" t="s">
        <v>16457</v>
      </c>
      <c r="P3531" t="s">
        <v>11693</v>
      </c>
      <c r="Q3531" t="s">
        <v>16458</v>
      </c>
      <c r="R3531">
        <v>12</v>
      </c>
      <c r="S3531">
        <v>16</v>
      </c>
    </row>
    <row r="3532" spans="1:19" x14ac:dyDescent="0.35">
      <c r="A3532">
        <v>8141</v>
      </c>
      <c r="B3532" t="s">
        <v>551</v>
      </c>
      <c r="C3532" t="s">
        <v>42</v>
      </c>
      <c r="D3532" t="s">
        <v>16459</v>
      </c>
      <c r="E3532" t="e" cm="1">
        <f t="array" ref="E3532">- POVIDONE-IODINE</f>
        <v>#NAME?</v>
      </c>
      <c r="F3532" s="1">
        <v>3400</v>
      </c>
      <c r="H3532" t="s">
        <v>1322</v>
      </c>
      <c r="I3532" t="s">
        <v>16460</v>
      </c>
      <c r="J3532" t="s">
        <v>16461</v>
      </c>
      <c r="M3532" t="s">
        <v>554</v>
      </c>
      <c r="N3532" t="s">
        <v>555</v>
      </c>
      <c r="O3532" t="s">
        <v>16462</v>
      </c>
      <c r="P3532" t="s">
        <v>16463</v>
      </c>
      <c r="Q3532" t="s">
        <v>16464</v>
      </c>
      <c r="R3532">
        <v>12</v>
      </c>
      <c r="S3532">
        <v>16</v>
      </c>
    </row>
    <row r="3533" spans="1:19" x14ac:dyDescent="0.35">
      <c r="A3533">
        <v>4141</v>
      </c>
      <c r="B3533" t="s">
        <v>16465</v>
      </c>
      <c r="C3533" t="s">
        <v>42</v>
      </c>
      <c r="D3533" t="s">
        <v>16466</v>
      </c>
      <c r="E3533" t="e" cm="1">
        <f t="array" ref="E3533">- CETIRIZINE HYDROCHLORIDE</f>
        <v>#NAME?</v>
      </c>
      <c r="F3533" s="1">
        <v>138100</v>
      </c>
      <c r="G3533" t="s">
        <v>60</v>
      </c>
      <c r="H3533" t="s">
        <v>16467</v>
      </c>
      <c r="I3533" t="s">
        <v>16468</v>
      </c>
      <c r="J3533" t="s">
        <v>743</v>
      </c>
      <c r="K3533" t="s">
        <v>16469</v>
      </c>
      <c r="L3533" t="s">
        <v>16470</v>
      </c>
      <c r="M3533" t="s">
        <v>824</v>
      </c>
      <c r="N3533" t="s">
        <v>1390</v>
      </c>
      <c r="O3533" t="s">
        <v>16471</v>
      </c>
      <c r="P3533" t="s">
        <v>16472</v>
      </c>
      <c r="Q3533" t="s">
        <v>16473</v>
      </c>
      <c r="R3533">
        <v>12</v>
      </c>
      <c r="S3533">
        <v>16</v>
      </c>
    </row>
    <row r="3534" spans="1:19" x14ac:dyDescent="0.35">
      <c r="A3534">
        <v>4142</v>
      </c>
      <c r="B3534" t="s">
        <v>16465</v>
      </c>
      <c r="C3534" t="s">
        <v>42</v>
      </c>
      <c r="D3534" t="s">
        <v>16466</v>
      </c>
      <c r="E3534" t="e" cm="1">
        <f t="array" ref="E3534">- CETIRIZINE HYDROCHLORIDE</f>
        <v>#NAME?</v>
      </c>
      <c r="F3534" s="1">
        <v>138100</v>
      </c>
      <c r="G3534" t="s">
        <v>60</v>
      </c>
      <c r="H3534" t="s">
        <v>16467</v>
      </c>
      <c r="I3534" t="s">
        <v>16468</v>
      </c>
      <c r="J3534" t="s">
        <v>743</v>
      </c>
      <c r="K3534" t="s">
        <v>16469</v>
      </c>
      <c r="L3534" t="s">
        <v>16470</v>
      </c>
      <c r="M3534" t="s">
        <v>824</v>
      </c>
      <c r="N3534" t="s">
        <v>1390</v>
      </c>
      <c r="O3534" t="s">
        <v>16471</v>
      </c>
      <c r="P3534" t="s">
        <v>16472</v>
      </c>
      <c r="Q3534" t="s">
        <v>16473</v>
      </c>
      <c r="R3534">
        <v>12</v>
      </c>
      <c r="S3534">
        <v>16</v>
      </c>
    </row>
    <row r="3535" spans="1:19" x14ac:dyDescent="0.35">
      <c r="A3535">
        <v>522</v>
      </c>
      <c r="B3535" t="s">
        <v>16474</v>
      </c>
      <c r="C3535" t="s">
        <v>42</v>
      </c>
      <c r="D3535" t="s">
        <v>16475</v>
      </c>
      <c r="E3535" t="e" cm="1">
        <f t="array" ref="E3535">- SALBUTAMOL SULFATE</f>
        <v>#NAME?</v>
      </c>
      <c r="F3535" t="s">
        <v>16476</v>
      </c>
      <c r="G3535" t="s">
        <v>539</v>
      </c>
      <c r="H3535" t="s">
        <v>16477</v>
      </c>
      <c r="I3535" t="s">
        <v>16478</v>
      </c>
      <c r="L3535" t="s">
        <v>1875</v>
      </c>
      <c r="M3535" t="s">
        <v>291</v>
      </c>
      <c r="N3535" t="s">
        <v>3424</v>
      </c>
      <c r="O3535" t="s">
        <v>16479</v>
      </c>
      <c r="P3535" t="s">
        <v>16480</v>
      </c>
      <c r="Q3535" t="s">
        <v>16481</v>
      </c>
      <c r="R3535">
        <v>12</v>
      </c>
      <c r="S3535">
        <v>16</v>
      </c>
    </row>
    <row r="3536" spans="1:19" x14ac:dyDescent="0.35">
      <c r="A3536">
        <v>429</v>
      </c>
      <c r="B3536" t="s">
        <v>16482</v>
      </c>
      <c r="C3536" t="s">
        <v>20</v>
      </c>
      <c r="D3536" t="s">
        <v>16483</v>
      </c>
      <c r="E3536" t="s">
        <v>16484</v>
      </c>
      <c r="F3536" t="s">
        <v>16485</v>
      </c>
      <c r="H3536" t="s">
        <v>16486</v>
      </c>
      <c r="I3536" t="s">
        <v>4507</v>
      </c>
      <c r="J3536" t="s">
        <v>16487</v>
      </c>
      <c r="M3536" t="s">
        <v>38</v>
      </c>
      <c r="N3536" t="s">
        <v>16488</v>
      </c>
      <c r="O3536" t="s">
        <v>4510</v>
      </c>
      <c r="P3536" t="s">
        <v>16489</v>
      </c>
      <c r="Q3536" t="s">
        <v>16490</v>
      </c>
      <c r="R3536">
        <v>12</v>
      </c>
      <c r="S3536">
        <v>16</v>
      </c>
    </row>
    <row r="3537" spans="1:19" x14ac:dyDescent="0.35">
      <c r="A3537">
        <v>8140</v>
      </c>
      <c r="B3537" t="s">
        <v>551</v>
      </c>
      <c r="C3537" t="s">
        <v>42</v>
      </c>
      <c r="D3537" t="s">
        <v>16459</v>
      </c>
      <c r="E3537" t="e" cm="1">
        <f t="array" ref="E3537">- POVIDONE-IODINE</f>
        <v>#NAME?</v>
      </c>
      <c r="F3537" s="1">
        <v>3400</v>
      </c>
      <c r="H3537" t="s">
        <v>1322</v>
      </c>
      <c r="I3537" t="s">
        <v>16460</v>
      </c>
      <c r="J3537" t="s">
        <v>16461</v>
      </c>
      <c r="M3537" t="s">
        <v>554</v>
      </c>
      <c r="N3537" t="s">
        <v>555</v>
      </c>
      <c r="O3537" t="s">
        <v>16462</v>
      </c>
      <c r="P3537" t="s">
        <v>16463</v>
      </c>
      <c r="Q3537" t="s">
        <v>16464</v>
      </c>
      <c r="R3537">
        <v>12</v>
      </c>
      <c r="S3537">
        <v>16</v>
      </c>
    </row>
    <row r="3538" spans="1:19" x14ac:dyDescent="0.35">
      <c r="A3538">
        <v>8021</v>
      </c>
      <c r="B3538" t="s">
        <v>16491</v>
      </c>
      <c r="C3538" t="s">
        <v>20</v>
      </c>
      <c r="D3538" t="s">
        <v>16492</v>
      </c>
      <c r="E3538" t="s">
        <v>16493</v>
      </c>
      <c r="F3538" t="s">
        <v>16494</v>
      </c>
      <c r="G3538" t="s">
        <v>13300</v>
      </c>
      <c r="H3538" t="s">
        <v>16495</v>
      </c>
      <c r="I3538" t="s">
        <v>4525</v>
      </c>
      <c r="J3538" t="s">
        <v>13302</v>
      </c>
      <c r="L3538" t="s">
        <v>13303</v>
      </c>
      <c r="M3538" t="s">
        <v>2374</v>
      </c>
      <c r="N3538" t="s">
        <v>16496</v>
      </c>
      <c r="O3538" t="s">
        <v>4528</v>
      </c>
      <c r="P3538" t="s">
        <v>16497</v>
      </c>
      <c r="Q3538" t="s">
        <v>16498</v>
      </c>
      <c r="R3538">
        <v>12</v>
      </c>
      <c r="S3538">
        <v>16</v>
      </c>
    </row>
    <row r="3539" spans="1:19" x14ac:dyDescent="0.35">
      <c r="A3539">
        <v>3869</v>
      </c>
      <c r="B3539" t="s">
        <v>16499</v>
      </c>
      <c r="C3539" t="s">
        <v>42</v>
      </c>
      <c r="D3539" t="s">
        <v>16500</v>
      </c>
      <c r="E3539" t="e" cm="1">
        <f t="array" ref="E3539">- ZINC SULFATE MONOHYDRATE</f>
        <v>#NAME?</v>
      </c>
      <c r="F3539" t="s">
        <v>16501</v>
      </c>
      <c r="G3539" t="s">
        <v>2241</v>
      </c>
      <c r="I3539" t="s">
        <v>16502</v>
      </c>
      <c r="J3539" t="s">
        <v>16503</v>
      </c>
      <c r="M3539" t="s">
        <v>46</v>
      </c>
      <c r="N3539" t="s">
        <v>2750</v>
      </c>
      <c r="O3539" t="s">
        <v>16504</v>
      </c>
      <c r="P3539" t="s">
        <v>16505</v>
      </c>
      <c r="Q3539" t="s">
        <v>16506</v>
      </c>
      <c r="R3539">
        <v>12</v>
      </c>
      <c r="S3539">
        <v>16</v>
      </c>
    </row>
    <row r="3540" spans="1:19" x14ac:dyDescent="0.35">
      <c r="A3540">
        <v>8022</v>
      </c>
      <c r="B3540" t="s">
        <v>16507</v>
      </c>
      <c r="C3540" t="s">
        <v>20</v>
      </c>
      <c r="D3540" t="s">
        <v>16508</v>
      </c>
      <c r="E3540" t="s">
        <v>16509</v>
      </c>
      <c r="F3540" t="s">
        <v>16510</v>
      </c>
      <c r="H3540" t="s">
        <v>1322</v>
      </c>
      <c r="I3540" t="s">
        <v>16511</v>
      </c>
      <c r="J3540" t="s">
        <v>13302</v>
      </c>
      <c r="M3540" t="s">
        <v>271</v>
      </c>
      <c r="N3540" t="s">
        <v>16512</v>
      </c>
      <c r="O3540" t="s">
        <v>5238</v>
      </c>
      <c r="P3540" t="s">
        <v>16513</v>
      </c>
      <c r="Q3540" t="s">
        <v>16514</v>
      </c>
      <c r="R3540">
        <v>12</v>
      </c>
      <c r="S3540">
        <v>16</v>
      </c>
    </row>
    <row r="3541" spans="1:19" x14ac:dyDescent="0.35">
      <c r="A3541">
        <v>4114</v>
      </c>
      <c r="B3541" t="s">
        <v>16515</v>
      </c>
      <c r="C3541" t="s">
        <v>42</v>
      </c>
      <c r="D3541" t="s">
        <v>16516</v>
      </c>
      <c r="E3541" t="e" cm="1">
        <f t="array" ref="E3541">- LORATADINE</f>
        <v>#NAME?</v>
      </c>
      <c r="F3541" t="s">
        <v>16517</v>
      </c>
      <c r="G3541" t="s">
        <v>4420</v>
      </c>
      <c r="H3541" t="s">
        <v>9221</v>
      </c>
      <c r="I3541" t="s">
        <v>16518</v>
      </c>
      <c r="J3541" t="s">
        <v>532</v>
      </c>
      <c r="K3541" t="s">
        <v>16292</v>
      </c>
      <c r="L3541" t="s">
        <v>16519</v>
      </c>
      <c r="M3541" t="s">
        <v>46</v>
      </c>
      <c r="N3541" t="s">
        <v>9225</v>
      </c>
      <c r="O3541" t="s">
        <v>16294</v>
      </c>
      <c r="P3541" t="s">
        <v>16520</v>
      </c>
      <c r="Q3541" t="s">
        <v>16521</v>
      </c>
      <c r="R3541">
        <v>12</v>
      </c>
      <c r="S3541">
        <v>16</v>
      </c>
    </row>
    <row r="3542" spans="1:19" x14ac:dyDescent="0.35">
      <c r="A3542">
        <v>7933</v>
      </c>
      <c r="B3542" t="s">
        <v>16368</v>
      </c>
      <c r="C3542" t="s">
        <v>20</v>
      </c>
      <c r="D3542" t="s">
        <v>16369</v>
      </c>
      <c r="E3542" t="s">
        <v>16370</v>
      </c>
      <c r="F3542" t="s">
        <v>16371</v>
      </c>
      <c r="H3542" t="s">
        <v>16372</v>
      </c>
      <c r="I3542" t="s">
        <v>16373</v>
      </c>
      <c r="J3542" t="s">
        <v>8233</v>
      </c>
      <c r="L3542" t="s">
        <v>16374</v>
      </c>
      <c r="M3542" t="s">
        <v>38</v>
      </c>
      <c r="N3542" t="s">
        <v>16375</v>
      </c>
      <c r="O3542" t="s">
        <v>16376</v>
      </c>
      <c r="P3542" t="s">
        <v>16377</v>
      </c>
      <c r="Q3542" t="s">
        <v>16378</v>
      </c>
      <c r="R3542">
        <v>12</v>
      </c>
      <c r="S3542">
        <v>16</v>
      </c>
    </row>
    <row r="3543" spans="1:19" x14ac:dyDescent="0.35">
      <c r="A3543">
        <v>7938</v>
      </c>
      <c r="B3543" t="s">
        <v>16522</v>
      </c>
      <c r="C3543" t="s">
        <v>20</v>
      </c>
      <c r="D3543" t="s">
        <v>16523</v>
      </c>
      <c r="E3543" t="s">
        <v>16524</v>
      </c>
      <c r="F3543" t="s">
        <v>16525</v>
      </c>
      <c r="G3543" t="s">
        <v>737</v>
      </c>
      <c r="H3543" t="s">
        <v>16526</v>
      </c>
      <c r="I3543" t="s">
        <v>16527</v>
      </c>
      <c r="J3543" t="s">
        <v>16528</v>
      </c>
      <c r="L3543" t="s">
        <v>16529</v>
      </c>
      <c r="M3543" t="s">
        <v>38</v>
      </c>
      <c r="N3543" t="s">
        <v>16530</v>
      </c>
      <c r="O3543" t="s">
        <v>16531</v>
      </c>
      <c r="P3543" t="s">
        <v>16532</v>
      </c>
      <c r="Q3543" t="s">
        <v>16533</v>
      </c>
      <c r="R3543">
        <v>12</v>
      </c>
      <c r="S3543">
        <v>16</v>
      </c>
    </row>
    <row r="3544" spans="1:19" x14ac:dyDescent="0.35">
      <c r="A3544">
        <v>3963</v>
      </c>
      <c r="B3544" t="s">
        <v>5129</v>
      </c>
      <c r="C3544" t="s">
        <v>42</v>
      </c>
      <c r="D3544" t="s">
        <v>5130</v>
      </c>
      <c r="E3544" t="e" cm="1">
        <f t="array" ref="E3544">- ZINC OXIDE. LIDOCAINE HYDROCHLORIDE. BISMUTH SUBGALLATE. HEXACHLOROPHENE</f>
        <v>#NAME?</v>
      </c>
      <c r="F3544" t="s">
        <v>5131</v>
      </c>
      <c r="G3544" t="s">
        <v>3204</v>
      </c>
    </row>
    <row r="3545" spans="1:19" x14ac:dyDescent="0.35">
      <c r="A3545">
        <v>8088</v>
      </c>
      <c r="B3545" t="s">
        <v>551</v>
      </c>
      <c r="C3545" t="s">
        <v>42</v>
      </c>
      <c r="D3545" t="s">
        <v>16448</v>
      </c>
      <c r="E3545" t="e" cm="1">
        <f t="array" ref="E3545">- POVIDONE-IODINE</f>
        <v>#NAME?</v>
      </c>
      <c r="F3545" t="s">
        <v>16449</v>
      </c>
      <c r="G3545" t="s">
        <v>16450</v>
      </c>
      <c r="I3545" t="s">
        <v>16193</v>
      </c>
      <c r="J3545" t="s">
        <v>4250</v>
      </c>
      <c r="L3545" t="s">
        <v>16451</v>
      </c>
      <c r="M3545" t="s">
        <v>554</v>
      </c>
      <c r="N3545" t="s">
        <v>555</v>
      </c>
      <c r="O3545" t="s">
        <v>16196</v>
      </c>
      <c r="P3545" t="s">
        <v>16197</v>
      </c>
      <c r="Q3545" t="s">
        <v>16198</v>
      </c>
      <c r="R3545">
        <v>12</v>
      </c>
      <c r="S3545">
        <v>16</v>
      </c>
    </row>
    <row r="3546" spans="1:19" x14ac:dyDescent="0.35">
      <c r="A3546">
        <v>7763</v>
      </c>
      <c r="B3546" t="s">
        <v>16534</v>
      </c>
      <c r="C3546" t="s">
        <v>20</v>
      </c>
      <c r="D3546" t="s">
        <v>16535</v>
      </c>
      <c r="E3546" t="s">
        <v>16536</v>
      </c>
      <c r="F3546" t="s">
        <v>16537</v>
      </c>
      <c r="G3546" t="s">
        <v>16538</v>
      </c>
      <c r="H3546" t="s">
        <v>16539</v>
      </c>
      <c r="I3546" t="s">
        <v>16540</v>
      </c>
      <c r="J3546" t="s">
        <v>16541</v>
      </c>
      <c r="M3546" t="s">
        <v>2374</v>
      </c>
      <c r="N3546" t="s">
        <v>16542</v>
      </c>
      <c r="O3546" t="s">
        <v>16543</v>
      </c>
      <c r="P3546" t="s">
        <v>16542</v>
      </c>
      <c r="Q3546" t="s">
        <v>16544</v>
      </c>
      <c r="R3546">
        <v>12</v>
      </c>
      <c r="S3546">
        <v>16</v>
      </c>
    </row>
    <row r="3547" spans="1:19" x14ac:dyDescent="0.35">
      <c r="A3547">
        <v>7762</v>
      </c>
      <c r="B3547" t="s">
        <v>16534</v>
      </c>
      <c r="C3547" t="s">
        <v>20</v>
      </c>
      <c r="D3547" t="s">
        <v>16535</v>
      </c>
      <c r="E3547" t="s">
        <v>16536</v>
      </c>
      <c r="F3547" t="s">
        <v>16537</v>
      </c>
      <c r="G3547" t="s">
        <v>16538</v>
      </c>
      <c r="H3547" t="s">
        <v>16539</v>
      </c>
      <c r="I3547" t="s">
        <v>16540</v>
      </c>
      <c r="J3547" t="s">
        <v>16541</v>
      </c>
      <c r="M3547" t="s">
        <v>2374</v>
      </c>
      <c r="N3547" t="s">
        <v>16542</v>
      </c>
      <c r="O3547" t="s">
        <v>16543</v>
      </c>
      <c r="P3547" t="s">
        <v>16542</v>
      </c>
      <c r="Q3547" t="s">
        <v>16544</v>
      </c>
      <c r="R3547">
        <v>12</v>
      </c>
      <c r="S3547">
        <v>16</v>
      </c>
    </row>
    <row r="3548" spans="1:19" x14ac:dyDescent="0.35">
      <c r="A3548">
        <v>1122</v>
      </c>
      <c r="B3548" t="s">
        <v>13419</v>
      </c>
      <c r="C3548" t="s">
        <v>42</v>
      </c>
      <c r="D3548" t="s">
        <v>13420</v>
      </c>
      <c r="E3548" t="e" cm="1">
        <f t="array" ref="E3548">- SUCCUS LIQUIRITIAE. AMMONIUM CHLORIDE</f>
        <v>#NAME?</v>
      </c>
      <c r="F3548" t="s">
        <v>13421</v>
      </c>
      <c r="G3548" t="s">
        <v>60</v>
      </c>
      <c r="I3548" t="s">
        <v>13422</v>
      </c>
      <c r="J3548" t="s">
        <v>374</v>
      </c>
      <c r="L3548" t="s">
        <v>13423</v>
      </c>
      <c r="M3548" t="s">
        <v>271</v>
      </c>
      <c r="N3548" t="s">
        <v>5134</v>
      </c>
      <c r="O3548" t="s">
        <v>13424</v>
      </c>
      <c r="P3548" t="s">
        <v>13425</v>
      </c>
      <c r="Q3548" t="s">
        <v>16545</v>
      </c>
      <c r="R3548">
        <v>12</v>
      </c>
      <c r="S3548">
        <v>16</v>
      </c>
    </row>
    <row r="3549" spans="1:19" x14ac:dyDescent="0.35">
      <c r="A3549">
        <v>4103</v>
      </c>
      <c r="B3549" t="s">
        <v>16546</v>
      </c>
      <c r="C3549" t="s">
        <v>42</v>
      </c>
      <c r="D3549" t="s">
        <v>16547</v>
      </c>
      <c r="E3549" t="e" cm="1">
        <f t="array" ref="E3549">- FEXOFENADINE HYDROCHLORIDE</f>
        <v>#NAME?</v>
      </c>
      <c r="F3549" t="s">
        <v>16548</v>
      </c>
      <c r="G3549" t="s">
        <v>16549</v>
      </c>
      <c r="H3549" t="s">
        <v>16550</v>
      </c>
      <c r="I3549" t="s">
        <v>16551</v>
      </c>
      <c r="J3549" t="s">
        <v>1756</v>
      </c>
      <c r="K3549" t="s">
        <v>3952</v>
      </c>
      <c r="L3549" t="s">
        <v>16552</v>
      </c>
      <c r="M3549" t="s">
        <v>46</v>
      </c>
      <c r="N3549" t="s">
        <v>3563</v>
      </c>
      <c r="O3549" t="s">
        <v>16553</v>
      </c>
      <c r="P3549" t="s">
        <v>16554</v>
      </c>
      <c r="Q3549" t="s">
        <v>16555</v>
      </c>
      <c r="R3549">
        <v>12</v>
      </c>
      <c r="S3549">
        <v>16</v>
      </c>
    </row>
    <row r="3550" spans="1:19" x14ac:dyDescent="0.35">
      <c r="A3550">
        <v>8201</v>
      </c>
      <c r="B3550" t="s">
        <v>551</v>
      </c>
      <c r="C3550" t="s">
        <v>42</v>
      </c>
      <c r="D3550" t="s">
        <v>16556</v>
      </c>
      <c r="E3550" t="e" cm="1">
        <f t="array" ref="E3550">- POVIDONE-IODINE</f>
        <v>#NAME?</v>
      </c>
      <c r="F3550" s="1">
        <v>38900</v>
      </c>
      <c r="G3550" t="s">
        <v>16256</v>
      </c>
      <c r="I3550" t="s">
        <v>16257</v>
      </c>
      <c r="J3550" t="s">
        <v>4166</v>
      </c>
      <c r="M3550" t="s">
        <v>554</v>
      </c>
      <c r="N3550" t="s">
        <v>555</v>
      </c>
      <c r="O3550" t="s">
        <v>16258</v>
      </c>
      <c r="P3550" t="s">
        <v>16259</v>
      </c>
      <c r="Q3550" t="s">
        <v>16260</v>
      </c>
      <c r="R3550">
        <v>12</v>
      </c>
      <c r="S3550">
        <v>16</v>
      </c>
    </row>
    <row r="3551" spans="1:19" x14ac:dyDescent="0.35">
      <c r="A3551">
        <v>4104</v>
      </c>
      <c r="B3551" t="s">
        <v>16546</v>
      </c>
      <c r="C3551" t="s">
        <v>42</v>
      </c>
      <c r="D3551" t="s">
        <v>16547</v>
      </c>
      <c r="E3551" t="e" cm="1">
        <f t="array" ref="E3551">- FEXOFENADINE HYDROCHLORIDE</f>
        <v>#NAME?</v>
      </c>
      <c r="F3551" t="s">
        <v>16548</v>
      </c>
      <c r="G3551" t="s">
        <v>16549</v>
      </c>
      <c r="H3551" t="s">
        <v>16550</v>
      </c>
      <c r="I3551" t="s">
        <v>16551</v>
      </c>
      <c r="J3551" t="s">
        <v>1756</v>
      </c>
      <c r="K3551" t="s">
        <v>3952</v>
      </c>
      <c r="L3551" t="s">
        <v>16552</v>
      </c>
      <c r="M3551" t="s">
        <v>46</v>
      </c>
      <c r="N3551" t="s">
        <v>3563</v>
      </c>
      <c r="O3551" t="s">
        <v>16553</v>
      </c>
      <c r="P3551" t="s">
        <v>16554</v>
      </c>
      <c r="Q3551" t="s">
        <v>16555</v>
      </c>
      <c r="R3551">
        <v>12</v>
      </c>
      <c r="S3551">
        <v>16</v>
      </c>
    </row>
    <row r="3552" spans="1:19" x14ac:dyDescent="0.35">
      <c r="A3552">
        <v>4105</v>
      </c>
      <c r="B3552" t="s">
        <v>16546</v>
      </c>
      <c r="C3552" t="s">
        <v>42</v>
      </c>
      <c r="D3552" t="s">
        <v>16547</v>
      </c>
      <c r="E3552" t="e" cm="1">
        <f t="array" ref="E3552">- FEXOFENADINE HYDROCHLORIDE</f>
        <v>#NAME?</v>
      </c>
      <c r="F3552" t="s">
        <v>16548</v>
      </c>
      <c r="G3552" t="s">
        <v>16549</v>
      </c>
      <c r="H3552" t="s">
        <v>16550</v>
      </c>
      <c r="I3552" t="s">
        <v>16551</v>
      </c>
      <c r="J3552" t="s">
        <v>1756</v>
      </c>
      <c r="K3552" t="s">
        <v>3952</v>
      </c>
      <c r="L3552" t="s">
        <v>16552</v>
      </c>
      <c r="M3552" t="s">
        <v>46</v>
      </c>
      <c r="N3552" t="s">
        <v>3563</v>
      </c>
      <c r="O3552" t="s">
        <v>16553</v>
      </c>
      <c r="P3552" t="s">
        <v>16554</v>
      </c>
      <c r="Q3552" t="s">
        <v>16555</v>
      </c>
      <c r="R3552">
        <v>12</v>
      </c>
      <c r="S3552">
        <v>16</v>
      </c>
    </row>
    <row r="3553" spans="1:19" x14ac:dyDescent="0.35">
      <c r="A3553">
        <v>3683</v>
      </c>
      <c r="B3553" t="s">
        <v>16557</v>
      </c>
      <c r="C3553" t="s">
        <v>42</v>
      </c>
      <c r="D3553" t="s">
        <v>16558</v>
      </c>
      <c r="E3553" t="e" cm="1">
        <f t="array" ref="E3553">- ONDANSETRON HYDROCHLORIDE DIHYDRATE</f>
        <v>#NAME?</v>
      </c>
      <c r="F3553" t="s">
        <v>16559</v>
      </c>
      <c r="G3553" t="s">
        <v>60</v>
      </c>
      <c r="H3553" t="s">
        <v>16560</v>
      </c>
      <c r="I3553" t="s">
        <v>16399</v>
      </c>
      <c r="J3553" t="s">
        <v>2446</v>
      </c>
      <c r="K3553" t="s">
        <v>16561</v>
      </c>
      <c r="L3553" t="s">
        <v>2537</v>
      </c>
      <c r="M3553" t="s">
        <v>46</v>
      </c>
      <c r="N3553" t="s">
        <v>14087</v>
      </c>
      <c r="O3553" t="s">
        <v>16365</v>
      </c>
      <c r="P3553" t="s">
        <v>16401</v>
      </c>
      <c r="Q3553" t="s">
        <v>16402</v>
      </c>
      <c r="R3553">
        <v>12</v>
      </c>
      <c r="S3553">
        <v>16</v>
      </c>
    </row>
    <row r="3554" spans="1:19" x14ac:dyDescent="0.35">
      <c r="A3554">
        <v>3682</v>
      </c>
      <c r="B3554" t="s">
        <v>16557</v>
      </c>
      <c r="C3554" t="s">
        <v>42</v>
      </c>
      <c r="D3554" t="s">
        <v>16558</v>
      </c>
      <c r="E3554" t="e" cm="1">
        <f t="array" ref="E3554">- ONDANSETRON HYDROCHLORIDE DIHYDRATE</f>
        <v>#NAME?</v>
      </c>
      <c r="F3554" t="s">
        <v>16559</v>
      </c>
      <c r="G3554" t="s">
        <v>60</v>
      </c>
      <c r="H3554" t="s">
        <v>16560</v>
      </c>
      <c r="I3554" t="s">
        <v>16399</v>
      </c>
      <c r="J3554" t="s">
        <v>2446</v>
      </c>
      <c r="K3554" t="s">
        <v>16561</v>
      </c>
      <c r="L3554" t="s">
        <v>2537</v>
      </c>
      <c r="M3554" t="s">
        <v>46</v>
      </c>
      <c r="N3554" t="s">
        <v>14087</v>
      </c>
      <c r="O3554" t="s">
        <v>16365</v>
      </c>
      <c r="P3554" t="s">
        <v>16401</v>
      </c>
      <c r="Q3554" t="s">
        <v>16402</v>
      </c>
      <c r="R3554">
        <v>12</v>
      </c>
      <c r="S3554">
        <v>16</v>
      </c>
    </row>
    <row r="3555" spans="1:19" x14ac:dyDescent="0.35">
      <c r="A3555">
        <v>4528</v>
      </c>
      <c r="B3555" t="s">
        <v>16429</v>
      </c>
      <c r="C3555" t="s">
        <v>42</v>
      </c>
      <c r="D3555" t="s">
        <v>16430</v>
      </c>
      <c r="E3555" t="e" cm="1">
        <f t="array" ref="E3555">- OFLOXACIN</f>
        <v>#NAME?</v>
      </c>
      <c r="F3555" t="s">
        <v>16431</v>
      </c>
      <c r="G3555" t="s">
        <v>16432</v>
      </c>
      <c r="H3555" t="s">
        <v>16433</v>
      </c>
      <c r="I3555" t="s">
        <v>16434</v>
      </c>
      <c r="J3555" t="s">
        <v>11321</v>
      </c>
      <c r="K3555" t="s">
        <v>2858</v>
      </c>
      <c r="L3555" t="s">
        <v>16435</v>
      </c>
      <c r="M3555" t="s">
        <v>824</v>
      </c>
      <c r="N3555" t="s">
        <v>1640</v>
      </c>
      <c r="O3555" t="s">
        <v>16436</v>
      </c>
      <c r="P3555" t="s">
        <v>16437</v>
      </c>
      <c r="Q3555" t="s">
        <v>16438</v>
      </c>
      <c r="R3555">
        <v>12</v>
      </c>
      <c r="S3555">
        <v>16</v>
      </c>
    </row>
    <row r="3556" spans="1:19" x14ac:dyDescent="0.35">
      <c r="A3556">
        <v>8200</v>
      </c>
      <c r="B3556" t="s">
        <v>551</v>
      </c>
      <c r="C3556" t="s">
        <v>42</v>
      </c>
      <c r="D3556" t="s">
        <v>16556</v>
      </c>
      <c r="E3556" t="e" cm="1">
        <f t="array" ref="E3556">- POVIDONE-IODINE</f>
        <v>#NAME?</v>
      </c>
      <c r="F3556" s="1">
        <v>38900</v>
      </c>
      <c r="G3556" t="s">
        <v>16256</v>
      </c>
      <c r="I3556" t="s">
        <v>16257</v>
      </c>
      <c r="J3556" t="s">
        <v>4166</v>
      </c>
      <c r="M3556" t="s">
        <v>554</v>
      </c>
      <c r="N3556" t="s">
        <v>555</v>
      </c>
      <c r="O3556" t="s">
        <v>16258</v>
      </c>
      <c r="P3556" t="s">
        <v>16259</v>
      </c>
      <c r="Q3556" t="s">
        <v>16260</v>
      </c>
      <c r="R3556">
        <v>12</v>
      </c>
      <c r="S3556">
        <v>16</v>
      </c>
    </row>
    <row r="3557" spans="1:19" x14ac:dyDescent="0.35">
      <c r="A3557">
        <v>4111</v>
      </c>
      <c r="B3557" t="s">
        <v>16562</v>
      </c>
      <c r="C3557" t="s">
        <v>42</v>
      </c>
      <c r="D3557" t="s">
        <v>16563</v>
      </c>
      <c r="E3557" t="e" cm="1">
        <f t="array" ref="E3557">- CETIRIZINE HYDROCHLORIDE</f>
        <v>#NAME?</v>
      </c>
      <c r="F3557" s="1">
        <v>53200</v>
      </c>
      <c r="G3557" t="s">
        <v>4849</v>
      </c>
      <c r="H3557" t="s">
        <v>1498</v>
      </c>
      <c r="I3557" t="s">
        <v>16564</v>
      </c>
      <c r="J3557" t="s">
        <v>16565</v>
      </c>
      <c r="K3557" t="s">
        <v>2726</v>
      </c>
      <c r="L3557" t="s">
        <v>16566</v>
      </c>
      <c r="M3557" t="s">
        <v>46</v>
      </c>
      <c r="N3557" t="s">
        <v>1390</v>
      </c>
      <c r="O3557" t="s">
        <v>16567</v>
      </c>
      <c r="P3557" t="s">
        <v>16568</v>
      </c>
      <c r="Q3557" t="s">
        <v>16569</v>
      </c>
      <c r="R3557">
        <v>12</v>
      </c>
      <c r="S3557">
        <v>16</v>
      </c>
    </row>
    <row r="3558" spans="1:19" x14ac:dyDescent="0.35">
      <c r="A3558">
        <v>4113</v>
      </c>
      <c r="B3558" t="s">
        <v>16515</v>
      </c>
      <c r="C3558" t="s">
        <v>42</v>
      </c>
      <c r="D3558" t="s">
        <v>16516</v>
      </c>
      <c r="E3558" t="e" cm="1">
        <f t="array" ref="E3558">- LORATADINE</f>
        <v>#NAME?</v>
      </c>
      <c r="F3558" t="s">
        <v>16517</v>
      </c>
      <c r="G3558" t="s">
        <v>4420</v>
      </c>
      <c r="H3558" t="s">
        <v>9221</v>
      </c>
      <c r="I3558" t="s">
        <v>16518</v>
      </c>
      <c r="J3558" t="s">
        <v>532</v>
      </c>
      <c r="K3558" t="s">
        <v>16292</v>
      </c>
      <c r="L3558" t="s">
        <v>16519</v>
      </c>
      <c r="M3558" t="s">
        <v>46</v>
      </c>
      <c r="N3558" t="s">
        <v>9225</v>
      </c>
      <c r="O3558" t="s">
        <v>16294</v>
      </c>
      <c r="P3558" t="s">
        <v>16520</v>
      </c>
      <c r="Q3558" t="s">
        <v>16521</v>
      </c>
      <c r="R3558">
        <v>12</v>
      </c>
      <c r="S3558">
        <v>16</v>
      </c>
    </row>
    <row r="3559" spans="1:19" x14ac:dyDescent="0.35">
      <c r="A3559">
        <v>8027</v>
      </c>
      <c r="B3559" t="s">
        <v>16570</v>
      </c>
      <c r="C3559" t="s">
        <v>20</v>
      </c>
      <c r="D3559" t="s">
        <v>16571</v>
      </c>
      <c r="E3559" t="s">
        <v>16572</v>
      </c>
      <c r="F3559" s="1">
        <v>19000</v>
      </c>
      <c r="I3559" t="s">
        <v>14095</v>
      </c>
      <c r="M3559" t="s">
        <v>63</v>
      </c>
      <c r="N3559" t="s">
        <v>16573</v>
      </c>
      <c r="O3559" t="s">
        <v>14097</v>
      </c>
      <c r="P3559" t="s">
        <v>16573</v>
      </c>
      <c r="Q3559" t="s">
        <v>16574</v>
      </c>
      <c r="R3559">
        <v>12</v>
      </c>
      <c r="S3559">
        <v>16</v>
      </c>
    </row>
    <row r="3560" spans="1:19" x14ac:dyDescent="0.35">
      <c r="A3560">
        <v>3870</v>
      </c>
      <c r="B3560" t="s">
        <v>16499</v>
      </c>
      <c r="C3560" t="s">
        <v>42</v>
      </c>
      <c r="D3560" t="s">
        <v>16500</v>
      </c>
      <c r="E3560" t="e" cm="1">
        <f t="array" ref="E3560">- ZINC SULFATE MONOHYDRATE</f>
        <v>#NAME?</v>
      </c>
      <c r="F3560" t="s">
        <v>16501</v>
      </c>
      <c r="G3560" t="s">
        <v>2241</v>
      </c>
      <c r="I3560" t="s">
        <v>16502</v>
      </c>
      <c r="J3560" t="s">
        <v>16503</v>
      </c>
      <c r="M3560" t="s">
        <v>46</v>
      </c>
      <c r="N3560" t="s">
        <v>2750</v>
      </c>
      <c r="O3560" t="s">
        <v>16504</v>
      </c>
      <c r="P3560" t="s">
        <v>16505</v>
      </c>
      <c r="Q3560" t="s">
        <v>16506</v>
      </c>
      <c r="R3560">
        <v>12</v>
      </c>
      <c r="S3560">
        <v>16</v>
      </c>
    </row>
    <row r="3561" spans="1:19" x14ac:dyDescent="0.35">
      <c r="A3561">
        <v>4344</v>
      </c>
      <c r="B3561" t="s">
        <v>16575</v>
      </c>
      <c r="C3561" t="s">
        <v>42</v>
      </c>
      <c r="D3561" t="s">
        <v>16576</v>
      </c>
      <c r="E3561" t="e" cm="1">
        <f t="array" ref="E3561">- FLUDROCORTISONE ACETATE</f>
        <v>#NAME?</v>
      </c>
      <c r="F3561" t="s">
        <v>16577</v>
      </c>
      <c r="G3561" t="s">
        <v>16578</v>
      </c>
      <c r="H3561" t="s">
        <v>16579</v>
      </c>
      <c r="I3561" t="s">
        <v>16580</v>
      </c>
      <c r="J3561" t="s">
        <v>16581</v>
      </c>
      <c r="K3561" t="s">
        <v>16582</v>
      </c>
      <c r="L3561" t="s">
        <v>16583</v>
      </c>
      <c r="M3561" t="s">
        <v>824</v>
      </c>
      <c r="N3561" t="s">
        <v>12970</v>
      </c>
      <c r="O3561" t="s">
        <v>16584</v>
      </c>
      <c r="P3561" t="s">
        <v>16585</v>
      </c>
      <c r="Q3561" t="s">
        <v>16586</v>
      </c>
      <c r="R3561">
        <v>12</v>
      </c>
      <c r="S3561">
        <v>16</v>
      </c>
    </row>
    <row r="3562" spans="1:19" x14ac:dyDescent="0.35">
      <c r="A3562">
        <v>8091</v>
      </c>
      <c r="B3562" t="s">
        <v>551</v>
      </c>
      <c r="C3562" t="s">
        <v>42</v>
      </c>
      <c r="D3562" t="s">
        <v>16452</v>
      </c>
      <c r="E3562" t="e" cm="1">
        <f t="array" ref="E3562">- POVIDONE-IODINE</f>
        <v>#NAME?</v>
      </c>
      <c r="F3562" t="s">
        <v>16453</v>
      </c>
      <c r="G3562" t="s">
        <v>16454</v>
      </c>
      <c r="H3562" t="s">
        <v>1322</v>
      </c>
      <c r="I3562" t="s">
        <v>16455</v>
      </c>
      <c r="J3562" t="s">
        <v>16456</v>
      </c>
      <c r="M3562" t="s">
        <v>554</v>
      </c>
      <c r="N3562" t="s">
        <v>555</v>
      </c>
      <c r="O3562" t="s">
        <v>16457</v>
      </c>
      <c r="P3562" t="s">
        <v>11693</v>
      </c>
      <c r="Q3562" t="s">
        <v>16458</v>
      </c>
      <c r="R3562">
        <v>12</v>
      </c>
      <c r="S3562">
        <v>16</v>
      </c>
    </row>
    <row r="3563" spans="1:19" x14ac:dyDescent="0.35">
      <c r="A3563">
        <v>477</v>
      </c>
      <c r="B3563" t="s">
        <v>16587</v>
      </c>
      <c r="C3563" t="s">
        <v>42</v>
      </c>
      <c r="D3563" t="s">
        <v>16588</v>
      </c>
      <c r="E3563" t="e" cm="1">
        <f t="array" ref="E3563">- THEOPHYLLINE</f>
        <v>#NAME?</v>
      </c>
      <c r="F3563" t="s">
        <v>16589</v>
      </c>
      <c r="G3563" t="s">
        <v>16590</v>
      </c>
      <c r="H3563" t="s">
        <v>16591</v>
      </c>
      <c r="I3563" t="s">
        <v>16592</v>
      </c>
      <c r="J3563" t="s">
        <v>754</v>
      </c>
      <c r="K3563" t="s">
        <v>16593</v>
      </c>
      <c r="L3563" t="s">
        <v>16594</v>
      </c>
      <c r="M3563" t="s">
        <v>291</v>
      </c>
      <c r="N3563" t="s">
        <v>4449</v>
      </c>
      <c r="O3563" t="s">
        <v>16595</v>
      </c>
      <c r="P3563" t="s">
        <v>16596</v>
      </c>
      <c r="Q3563" t="s">
        <v>16597</v>
      </c>
      <c r="R3563">
        <v>12</v>
      </c>
      <c r="S3563">
        <v>16</v>
      </c>
    </row>
    <row r="3564" spans="1:19" x14ac:dyDescent="0.35">
      <c r="A3564">
        <v>4362</v>
      </c>
      <c r="B3564" t="s">
        <v>1637</v>
      </c>
      <c r="C3564" t="s">
        <v>42</v>
      </c>
      <c r="D3564" t="s">
        <v>16598</v>
      </c>
      <c r="E3564" t="e" cm="1">
        <f t="array" ref="E3564">- OFLOXACIN</f>
        <v>#NAME?</v>
      </c>
      <c r="F3564" t="s">
        <v>16599</v>
      </c>
      <c r="G3564" t="s">
        <v>16600</v>
      </c>
      <c r="H3564" t="s">
        <v>16601</v>
      </c>
      <c r="I3564" t="s">
        <v>16602</v>
      </c>
      <c r="J3564" t="s">
        <v>16603</v>
      </c>
      <c r="L3564" t="s">
        <v>16604</v>
      </c>
      <c r="M3564" t="s">
        <v>824</v>
      </c>
      <c r="N3564" t="s">
        <v>1640</v>
      </c>
      <c r="O3564" t="s">
        <v>16605</v>
      </c>
      <c r="P3564" t="s">
        <v>16606</v>
      </c>
      <c r="Q3564" t="s">
        <v>16607</v>
      </c>
      <c r="R3564">
        <v>12</v>
      </c>
      <c r="S3564">
        <v>16</v>
      </c>
    </row>
    <row r="3565" spans="1:19" x14ac:dyDescent="0.35">
      <c r="A3565">
        <v>8004</v>
      </c>
      <c r="B3565" t="s">
        <v>16608</v>
      </c>
      <c r="C3565" t="s">
        <v>20</v>
      </c>
      <c r="D3565" t="s">
        <v>16609</v>
      </c>
      <c r="E3565" t="s">
        <v>16610</v>
      </c>
      <c r="F3565" t="s">
        <v>16611</v>
      </c>
      <c r="G3565" t="s">
        <v>5610</v>
      </c>
      <c r="H3565" t="s">
        <v>16612</v>
      </c>
      <c r="I3565" t="s">
        <v>4422</v>
      </c>
      <c r="J3565" t="s">
        <v>15976</v>
      </c>
      <c r="L3565" t="s">
        <v>16613</v>
      </c>
      <c r="M3565" t="s">
        <v>46</v>
      </c>
      <c r="N3565" t="s">
        <v>16614</v>
      </c>
      <c r="O3565" t="s">
        <v>3396</v>
      </c>
      <c r="P3565" t="s">
        <v>16615</v>
      </c>
      <c r="Q3565" t="s">
        <v>16616</v>
      </c>
      <c r="R3565">
        <v>12</v>
      </c>
      <c r="S3565">
        <v>16</v>
      </c>
    </row>
    <row r="3566" spans="1:19" x14ac:dyDescent="0.35">
      <c r="A3566">
        <v>4585</v>
      </c>
      <c r="B3566" t="s">
        <v>16617</v>
      </c>
      <c r="C3566" t="s">
        <v>42</v>
      </c>
      <c r="D3566" t="s">
        <v>16618</v>
      </c>
      <c r="E3566" t="e" cm="1">
        <f t="array" ref="E3566">- TOBRAMYCIN</f>
        <v>#NAME?</v>
      </c>
      <c r="F3566" t="s">
        <v>16619</v>
      </c>
      <c r="G3566" t="s">
        <v>7569</v>
      </c>
      <c r="H3566" t="s">
        <v>14852</v>
      </c>
      <c r="I3566" t="s">
        <v>16620</v>
      </c>
      <c r="J3566" t="s">
        <v>12103</v>
      </c>
      <c r="L3566" t="s">
        <v>12469</v>
      </c>
      <c r="M3566" t="s">
        <v>824</v>
      </c>
      <c r="N3566" t="s">
        <v>16621</v>
      </c>
      <c r="O3566" t="s">
        <v>16622</v>
      </c>
      <c r="P3566" t="s">
        <v>16623</v>
      </c>
      <c r="Q3566" t="s">
        <v>16624</v>
      </c>
      <c r="R3566">
        <v>12</v>
      </c>
      <c r="S3566">
        <v>16</v>
      </c>
    </row>
    <row r="3567" spans="1:19" x14ac:dyDescent="0.35">
      <c r="A3567">
        <v>4376</v>
      </c>
      <c r="B3567" t="s">
        <v>1637</v>
      </c>
      <c r="C3567" t="s">
        <v>42</v>
      </c>
      <c r="D3567" t="s">
        <v>16625</v>
      </c>
      <c r="E3567" t="e" cm="1">
        <f t="array" ref="E3567">- OFLOXACIN</f>
        <v>#NAME?</v>
      </c>
      <c r="F3567" t="s">
        <v>16626</v>
      </c>
      <c r="G3567" t="s">
        <v>16627</v>
      </c>
      <c r="H3567" t="s">
        <v>16628</v>
      </c>
      <c r="I3567" t="s">
        <v>16629</v>
      </c>
      <c r="J3567" t="s">
        <v>13510</v>
      </c>
      <c r="L3567" t="s">
        <v>16630</v>
      </c>
      <c r="M3567" t="s">
        <v>824</v>
      </c>
      <c r="N3567" t="s">
        <v>1640</v>
      </c>
      <c r="O3567" t="s">
        <v>16631</v>
      </c>
      <c r="P3567" t="s">
        <v>16632</v>
      </c>
      <c r="Q3567" t="s">
        <v>16633</v>
      </c>
      <c r="R3567">
        <v>12</v>
      </c>
      <c r="S3567">
        <v>16</v>
      </c>
    </row>
    <row r="3568" spans="1:19" x14ac:dyDescent="0.35">
      <c r="A3568">
        <v>8072</v>
      </c>
      <c r="B3568" t="s">
        <v>551</v>
      </c>
      <c r="C3568" t="s">
        <v>42</v>
      </c>
      <c r="D3568" t="s">
        <v>16634</v>
      </c>
      <c r="E3568" t="e" cm="1">
        <f t="array" ref="E3568">- POVIDONE-IODINE</f>
        <v>#NAME?</v>
      </c>
      <c r="F3568" t="s">
        <v>14239</v>
      </c>
      <c r="G3568" t="s">
        <v>15329</v>
      </c>
      <c r="H3568" t="s">
        <v>1322</v>
      </c>
      <c r="I3568" t="s">
        <v>15330</v>
      </c>
      <c r="J3568" t="s">
        <v>16635</v>
      </c>
      <c r="M3568" t="s">
        <v>554</v>
      </c>
      <c r="N3568" t="s">
        <v>555</v>
      </c>
      <c r="O3568" t="s">
        <v>15331</v>
      </c>
      <c r="P3568" t="s">
        <v>16636</v>
      </c>
      <c r="Q3568" t="s">
        <v>16637</v>
      </c>
      <c r="R3568">
        <v>12</v>
      </c>
      <c r="S3568">
        <v>16</v>
      </c>
    </row>
    <row r="3569" spans="1:19" x14ac:dyDescent="0.35">
      <c r="A3569">
        <v>3891</v>
      </c>
      <c r="B3569" t="s">
        <v>16638</v>
      </c>
      <c r="C3569" t="s">
        <v>42</v>
      </c>
      <c r="D3569" t="s">
        <v>16639</v>
      </c>
      <c r="E3569" t="e" cm="1">
        <f t="array" ref="E3569">- PIPERAZINE CITRATE</f>
        <v>#NAME?</v>
      </c>
      <c r="F3569" s="1">
        <v>8000</v>
      </c>
      <c r="H3569" t="s">
        <v>16640</v>
      </c>
      <c r="I3569" t="s">
        <v>16641</v>
      </c>
      <c r="J3569" t="s">
        <v>4201</v>
      </c>
      <c r="M3569" t="s">
        <v>271</v>
      </c>
      <c r="N3569" t="s">
        <v>14760</v>
      </c>
      <c r="O3569" t="s">
        <v>16642</v>
      </c>
      <c r="P3569" t="s">
        <v>16643</v>
      </c>
      <c r="Q3569" t="s">
        <v>16644</v>
      </c>
      <c r="R3569">
        <v>12</v>
      </c>
      <c r="S3569">
        <v>16</v>
      </c>
    </row>
    <row r="3570" spans="1:19" x14ac:dyDescent="0.35">
      <c r="A3570">
        <v>8073</v>
      </c>
      <c r="B3570" t="s">
        <v>551</v>
      </c>
      <c r="C3570" t="s">
        <v>42</v>
      </c>
      <c r="D3570" t="s">
        <v>16634</v>
      </c>
      <c r="E3570" t="e" cm="1">
        <f t="array" ref="E3570">- POVIDONE-IODINE</f>
        <v>#NAME?</v>
      </c>
      <c r="F3570" t="s">
        <v>14239</v>
      </c>
      <c r="G3570" t="s">
        <v>15329</v>
      </c>
      <c r="H3570" t="s">
        <v>1322</v>
      </c>
      <c r="I3570" t="s">
        <v>15330</v>
      </c>
      <c r="J3570" t="s">
        <v>16635</v>
      </c>
      <c r="M3570" t="s">
        <v>554</v>
      </c>
      <c r="N3570" t="s">
        <v>555</v>
      </c>
      <c r="O3570" t="s">
        <v>15331</v>
      </c>
      <c r="P3570" t="s">
        <v>16636</v>
      </c>
      <c r="Q3570" t="s">
        <v>16637</v>
      </c>
      <c r="R3570">
        <v>12</v>
      </c>
      <c r="S3570">
        <v>16</v>
      </c>
    </row>
    <row r="3571" spans="1:19" x14ac:dyDescent="0.35">
      <c r="A3571">
        <v>7902</v>
      </c>
      <c r="B3571" t="s">
        <v>15478</v>
      </c>
      <c r="C3571" t="s">
        <v>20</v>
      </c>
      <c r="D3571" t="s">
        <v>16645</v>
      </c>
      <c r="E3571" t="s">
        <v>15480</v>
      </c>
      <c r="F3571" t="s">
        <v>16646</v>
      </c>
      <c r="G3571" t="s">
        <v>15482</v>
      </c>
      <c r="H3571" t="s">
        <v>15483</v>
      </c>
      <c r="I3571" t="s">
        <v>5700</v>
      </c>
      <c r="J3571" t="s">
        <v>70</v>
      </c>
      <c r="L3571" t="s">
        <v>15485</v>
      </c>
      <c r="M3571" t="s">
        <v>38</v>
      </c>
      <c r="N3571" t="s">
        <v>15486</v>
      </c>
      <c r="O3571" t="s">
        <v>5703</v>
      </c>
      <c r="P3571" t="s">
        <v>15487</v>
      </c>
      <c r="Q3571" t="s">
        <v>16647</v>
      </c>
      <c r="R3571">
        <v>12</v>
      </c>
      <c r="S3571">
        <v>16</v>
      </c>
    </row>
    <row r="3572" spans="1:19" x14ac:dyDescent="0.35">
      <c r="A3572">
        <v>4179</v>
      </c>
      <c r="B3572" t="s">
        <v>16648</v>
      </c>
      <c r="C3572" t="s">
        <v>42</v>
      </c>
      <c r="D3572" t="s">
        <v>16649</v>
      </c>
      <c r="E3572" t="e" cm="1">
        <f t="array" ref="E3572">- CETIRIZINE HYDROCHLORIDE</f>
        <v>#NAME?</v>
      </c>
      <c r="F3572" s="1">
        <v>71000</v>
      </c>
      <c r="G3572" t="s">
        <v>2241</v>
      </c>
      <c r="H3572" t="s">
        <v>16650</v>
      </c>
      <c r="I3572" t="s">
        <v>16651</v>
      </c>
      <c r="J3572" t="s">
        <v>16652</v>
      </c>
      <c r="K3572" t="s">
        <v>16653</v>
      </c>
      <c r="L3572" t="s">
        <v>16654</v>
      </c>
      <c r="M3572" t="s">
        <v>271</v>
      </c>
      <c r="N3572" t="s">
        <v>1390</v>
      </c>
      <c r="O3572" t="s">
        <v>16567</v>
      </c>
      <c r="P3572" t="s">
        <v>16655</v>
      </c>
      <c r="Q3572" t="s">
        <v>16656</v>
      </c>
      <c r="R3572">
        <v>12</v>
      </c>
      <c r="S3572">
        <v>16</v>
      </c>
    </row>
    <row r="3573" spans="1:19" x14ac:dyDescent="0.35">
      <c r="A3573">
        <v>8078</v>
      </c>
      <c r="B3573" t="s">
        <v>551</v>
      </c>
      <c r="C3573" t="s">
        <v>42</v>
      </c>
      <c r="D3573" t="s">
        <v>16657</v>
      </c>
      <c r="E3573" t="e" cm="1">
        <f t="array" ref="E3573">- POVIDONE-IODINE</f>
        <v>#NAME?</v>
      </c>
      <c r="F3573" t="s">
        <v>16658</v>
      </c>
      <c r="H3573" t="s">
        <v>1322</v>
      </c>
      <c r="I3573" t="s">
        <v>16659</v>
      </c>
      <c r="J3573" t="s">
        <v>16660</v>
      </c>
      <c r="M3573" t="s">
        <v>554</v>
      </c>
      <c r="N3573" t="s">
        <v>555</v>
      </c>
      <c r="O3573" t="s">
        <v>16661</v>
      </c>
      <c r="P3573" t="s">
        <v>16662</v>
      </c>
      <c r="Q3573" t="s">
        <v>16663</v>
      </c>
      <c r="R3573">
        <v>12</v>
      </c>
      <c r="S3573">
        <v>16</v>
      </c>
    </row>
    <row r="3574" spans="1:19" x14ac:dyDescent="0.35">
      <c r="A3574">
        <v>8079</v>
      </c>
      <c r="B3574" t="s">
        <v>551</v>
      </c>
      <c r="C3574" t="s">
        <v>42</v>
      </c>
      <c r="D3574" t="s">
        <v>16657</v>
      </c>
      <c r="E3574" t="e" cm="1">
        <f t="array" ref="E3574">- POVIDONE-IODINE</f>
        <v>#NAME?</v>
      </c>
      <c r="F3574" t="s">
        <v>16658</v>
      </c>
      <c r="H3574" t="s">
        <v>1322</v>
      </c>
      <c r="I3574" t="s">
        <v>16659</v>
      </c>
      <c r="J3574" t="s">
        <v>16660</v>
      </c>
      <c r="M3574" t="s">
        <v>554</v>
      </c>
      <c r="N3574" t="s">
        <v>555</v>
      </c>
      <c r="O3574" t="s">
        <v>16661</v>
      </c>
      <c r="P3574" t="s">
        <v>16662</v>
      </c>
      <c r="Q3574" t="s">
        <v>16663</v>
      </c>
      <c r="R3574">
        <v>12</v>
      </c>
      <c r="S3574">
        <v>16</v>
      </c>
    </row>
    <row r="3575" spans="1:19" x14ac:dyDescent="0.35">
      <c r="A3575">
        <v>4253</v>
      </c>
      <c r="B3575" t="s">
        <v>16664</v>
      </c>
      <c r="C3575" t="s">
        <v>42</v>
      </c>
      <c r="D3575" t="s">
        <v>16665</v>
      </c>
      <c r="E3575" t="e" cm="1">
        <f t="array" ref="E3575">- BETAMETHASONE. DEXCHLORPHENIRAMINE MALEATE</f>
        <v>#NAME?</v>
      </c>
      <c r="F3575" t="s">
        <v>16666</v>
      </c>
      <c r="G3575" t="s">
        <v>6135</v>
      </c>
      <c r="H3575" t="s">
        <v>16667</v>
      </c>
      <c r="I3575" t="s">
        <v>13288</v>
      </c>
      <c r="J3575" t="s">
        <v>16668</v>
      </c>
      <c r="L3575" t="s">
        <v>13289</v>
      </c>
      <c r="M3575" t="s">
        <v>271</v>
      </c>
      <c r="N3575" t="s">
        <v>3200</v>
      </c>
      <c r="O3575" t="s">
        <v>13290</v>
      </c>
      <c r="P3575" t="s">
        <v>13291</v>
      </c>
      <c r="Q3575" t="s">
        <v>16669</v>
      </c>
      <c r="R3575">
        <v>12</v>
      </c>
      <c r="S3575">
        <v>16</v>
      </c>
    </row>
    <row r="3576" spans="1:19" x14ac:dyDescent="0.35">
      <c r="A3576">
        <v>3892</v>
      </c>
      <c r="B3576" t="s">
        <v>16638</v>
      </c>
      <c r="C3576" t="s">
        <v>42</v>
      </c>
      <c r="D3576" t="s">
        <v>16639</v>
      </c>
      <c r="E3576" t="e" cm="1">
        <f t="array" ref="E3576">- PIPERAZINE CITRATE</f>
        <v>#NAME?</v>
      </c>
      <c r="F3576" s="1">
        <v>8000</v>
      </c>
      <c r="H3576" t="s">
        <v>16640</v>
      </c>
      <c r="I3576" t="s">
        <v>16641</v>
      </c>
      <c r="J3576" t="s">
        <v>4201</v>
      </c>
      <c r="M3576" t="s">
        <v>271</v>
      </c>
      <c r="N3576" t="s">
        <v>14760</v>
      </c>
      <c r="O3576" t="s">
        <v>16642</v>
      </c>
      <c r="P3576" t="s">
        <v>16643</v>
      </c>
      <c r="Q3576" t="s">
        <v>16644</v>
      </c>
      <c r="R3576">
        <v>12</v>
      </c>
      <c r="S3576">
        <v>16</v>
      </c>
    </row>
    <row r="3577" spans="1:19" x14ac:dyDescent="0.35">
      <c r="A3577">
        <v>1200</v>
      </c>
      <c r="B3577" t="s">
        <v>12938</v>
      </c>
      <c r="C3577" t="s">
        <v>42</v>
      </c>
      <c r="D3577" t="s">
        <v>12939</v>
      </c>
      <c r="E3577" t="e" cm="1">
        <f t="array" ref="E3577">- PSEUDOEPHEDRINE HYDROCHLORIDE. TRIPROLIDINE HYDROCHLORIDE</f>
        <v>#NAME?</v>
      </c>
      <c r="G3577" t="s">
        <v>2241</v>
      </c>
      <c r="H3577" t="s">
        <v>12940</v>
      </c>
    </row>
    <row r="3578" spans="1:19" x14ac:dyDescent="0.35">
      <c r="A3578">
        <v>4578</v>
      </c>
      <c r="B3578" t="s">
        <v>8767</v>
      </c>
      <c r="C3578" t="s">
        <v>42</v>
      </c>
      <c r="D3578" t="s">
        <v>16176</v>
      </c>
      <c r="E3578" t="e" cm="1">
        <f t="array" ref="E3578">- FLUOROMETHOLONE</f>
        <v>#NAME?</v>
      </c>
      <c r="F3578" t="s">
        <v>16177</v>
      </c>
      <c r="G3578" t="s">
        <v>10245</v>
      </c>
      <c r="H3578" t="s">
        <v>7570</v>
      </c>
      <c r="I3578" t="s">
        <v>16178</v>
      </c>
      <c r="J3578" t="s">
        <v>16179</v>
      </c>
      <c r="K3578" t="s">
        <v>16180</v>
      </c>
    </row>
    <row r="3579" spans="1:19" x14ac:dyDescent="0.35">
      <c r="A3579">
        <v>4720</v>
      </c>
      <c r="B3579" t="s">
        <v>10242</v>
      </c>
      <c r="C3579" t="s">
        <v>42</v>
      </c>
      <c r="D3579" t="s">
        <v>16166</v>
      </c>
      <c r="E3579" t="e" cm="1">
        <f t="array" ref="E3579">- NAPHAZOLINE HYDROCHLORIDE</f>
        <v>#NAME?</v>
      </c>
      <c r="F3579" t="s">
        <v>16167</v>
      </c>
      <c r="G3579" t="s">
        <v>7569</v>
      </c>
      <c r="H3579" t="s">
        <v>16168</v>
      </c>
      <c r="I3579" t="s">
        <v>16169</v>
      </c>
      <c r="J3579" t="s">
        <v>16170</v>
      </c>
      <c r="K3579" t="s">
        <v>16171</v>
      </c>
      <c r="L3579" t="s">
        <v>16172</v>
      </c>
      <c r="M3579" t="s">
        <v>824</v>
      </c>
      <c r="N3579" t="s">
        <v>10250</v>
      </c>
      <c r="O3579" t="s">
        <v>16173</v>
      </c>
      <c r="P3579" t="s">
        <v>16174</v>
      </c>
      <c r="Q3579" t="s">
        <v>16175</v>
      </c>
      <c r="R3579">
        <v>12</v>
      </c>
      <c r="S3579">
        <v>16</v>
      </c>
    </row>
    <row r="3580" spans="1:19" x14ac:dyDescent="0.35">
      <c r="A3580">
        <v>4586</v>
      </c>
      <c r="B3580" t="s">
        <v>16617</v>
      </c>
      <c r="C3580" t="s">
        <v>42</v>
      </c>
      <c r="D3580" t="s">
        <v>16618</v>
      </c>
      <c r="E3580" t="e" cm="1">
        <f t="array" ref="E3580">- TOBRAMYCIN</f>
        <v>#NAME?</v>
      </c>
      <c r="F3580" t="s">
        <v>16619</v>
      </c>
      <c r="G3580" t="s">
        <v>7569</v>
      </c>
      <c r="H3580" t="s">
        <v>14852</v>
      </c>
      <c r="I3580" t="s">
        <v>16620</v>
      </c>
      <c r="J3580" t="s">
        <v>12103</v>
      </c>
      <c r="L3580" t="s">
        <v>12469</v>
      </c>
      <c r="M3580" t="s">
        <v>824</v>
      </c>
      <c r="N3580" t="s">
        <v>16621</v>
      </c>
      <c r="O3580" t="s">
        <v>16622</v>
      </c>
      <c r="P3580" t="s">
        <v>16623</v>
      </c>
      <c r="Q3580" t="s">
        <v>16624</v>
      </c>
      <c r="R3580">
        <v>12</v>
      </c>
      <c r="S3580">
        <v>16</v>
      </c>
    </row>
    <row r="3581" spans="1:19" x14ac:dyDescent="0.35">
      <c r="A3581">
        <v>7914</v>
      </c>
      <c r="B3581" t="s">
        <v>16670</v>
      </c>
      <c r="C3581" t="s">
        <v>20</v>
      </c>
      <c r="D3581" t="s">
        <v>16671</v>
      </c>
      <c r="E3581" t="s">
        <v>16672</v>
      </c>
      <c r="F3581" t="s">
        <v>16673</v>
      </c>
      <c r="G3581" t="s">
        <v>5746</v>
      </c>
      <c r="H3581" t="s">
        <v>10699</v>
      </c>
      <c r="I3581" t="s">
        <v>16674</v>
      </c>
      <c r="J3581" t="s">
        <v>614</v>
      </c>
      <c r="M3581" t="s">
        <v>271</v>
      </c>
      <c r="N3581" t="s">
        <v>16675</v>
      </c>
      <c r="O3581" t="s">
        <v>16676</v>
      </c>
      <c r="P3581" t="s">
        <v>16675</v>
      </c>
      <c r="Q3581" t="s">
        <v>16677</v>
      </c>
      <c r="R3581">
        <v>12</v>
      </c>
      <c r="S3581">
        <v>16</v>
      </c>
    </row>
    <row r="3582" spans="1:19" x14ac:dyDescent="0.35">
      <c r="A3582">
        <v>1321</v>
      </c>
      <c r="B3582" t="s">
        <v>16678</v>
      </c>
      <c r="C3582" t="s">
        <v>42</v>
      </c>
      <c r="D3582" t="s">
        <v>16679</v>
      </c>
      <c r="E3582" t="e" cm="1">
        <f t="array" ref="E3582">- CAFFEINE</f>
        <v>#NAME?</v>
      </c>
      <c r="F3582" t="s">
        <v>16680</v>
      </c>
      <c r="I3582" t="s">
        <v>16681</v>
      </c>
      <c r="J3582" t="s">
        <v>8602</v>
      </c>
      <c r="M3582" t="s">
        <v>46</v>
      </c>
      <c r="N3582" t="s">
        <v>2359</v>
      </c>
      <c r="O3582" t="s">
        <v>16682</v>
      </c>
      <c r="P3582" t="s">
        <v>16683</v>
      </c>
      <c r="Q3582" t="s">
        <v>16684</v>
      </c>
      <c r="R3582">
        <v>12</v>
      </c>
      <c r="S3582">
        <v>16</v>
      </c>
    </row>
    <row r="3583" spans="1:19" x14ac:dyDescent="0.35">
      <c r="A3583">
        <v>526</v>
      </c>
      <c r="B3583" t="s">
        <v>16685</v>
      </c>
      <c r="C3583" t="s">
        <v>42</v>
      </c>
      <c r="D3583" t="s">
        <v>16686</v>
      </c>
      <c r="E3583" t="e" cm="1">
        <f t="array" ref="E3583">- SALBUTAMOL SULFATE</f>
        <v>#NAME?</v>
      </c>
      <c r="F3583" t="s">
        <v>16687</v>
      </c>
      <c r="G3583" t="s">
        <v>15884</v>
      </c>
      <c r="H3583" t="s">
        <v>16688</v>
      </c>
      <c r="I3583" t="s">
        <v>16689</v>
      </c>
      <c r="J3583" t="s">
        <v>945</v>
      </c>
      <c r="K3583" t="s">
        <v>13852</v>
      </c>
      <c r="L3583" t="s">
        <v>16690</v>
      </c>
      <c r="M3583" t="s">
        <v>271</v>
      </c>
      <c r="N3583" t="s">
        <v>3424</v>
      </c>
      <c r="O3583" t="s">
        <v>16267</v>
      </c>
      <c r="P3583" t="s">
        <v>16691</v>
      </c>
      <c r="Q3583" t="s">
        <v>16692</v>
      </c>
      <c r="R3583">
        <v>12</v>
      </c>
      <c r="S3583">
        <v>16</v>
      </c>
    </row>
    <row r="3584" spans="1:19" x14ac:dyDescent="0.35">
      <c r="A3584">
        <v>3742</v>
      </c>
      <c r="B3584" t="s">
        <v>16693</v>
      </c>
      <c r="C3584" t="s">
        <v>42</v>
      </c>
      <c r="D3584" t="s">
        <v>16694</v>
      </c>
      <c r="E3584" t="e" cm="1">
        <f t="array" ref="E3584">- ALUMINIUM HYDROXIDE</f>
        <v>#NAME?</v>
      </c>
      <c r="F3584" t="s">
        <v>16695</v>
      </c>
      <c r="G3584" t="s">
        <v>16696</v>
      </c>
      <c r="H3584" t="s">
        <v>16697</v>
      </c>
      <c r="I3584" t="s">
        <v>16698</v>
      </c>
      <c r="J3584" t="s">
        <v>16699</v>
      </c>
      <c r="K3584" t="s">
        <v>2858</v>
      </c>
      <c r="L3584" t="s">
        <v>16700</v>
      </c>
      <c r="M3584" t="s">
        <v>720</v>
      </c>
      <c r="N3584" t="s">
        <v>1771</v>
      </c>
      <c r="O3584" t="s">
        <v>16701</v>
      </c>
      <c r="P3584" t="s">
        <v>16702</v>
      </c>
      <c r="Q3584" t="s">
        <v>16703</v>
      </c>
      <c r="R3584">
        <v>12</v>
      </c>
      <c r="S3584">
        <v>16</v>
      </c>
    </row>
    <row r="3585" spans="1:19" x14ac:dyDescent="0.35">
      <c r="A3585">
        <v>4526</v>
      </c>
      <c r="B3585" t="s">
        <v>16429</v>
      </c>
      <c r="C3585" t="s">
        <v>42</v>
      </c>
      <c r="D3585" t="s">
        <v>16430</v>
      </c>
      <c r="E3585" t="e" cm="1">
        <f t="array" ref="E3585">- OFLOXACIN</f>
        <v>#NAME?</v>
      </c>
      <c r="F3585" t="s">
        <v>16431</v>
      </c>
      <c r="G3585" t="s">
        <v>16432</v>
      </c>
      <c r="H3585" t="s">
        <v>16433</v>
      </c>
      <c r="I3585" t="s">
        <v>16434</v>
      </c>
      <c r="J3585" t="s">
        <v>11321</v>
      </c>
      <c r="K3585" t="s">
        <v>2858</v>
      </c>
      <c r="L3585" t="s">
        <v>16435</v>
      </c>
      <c r="M3585" t="s">
        <v>824</v>
      </c>
      <c r="N3585" t="s">
        <v>1640</v>
      </c>
      <c r="O3585" t="s">
        <v>16436</v>
      </c>
      <c r="P3585" t="s">
        <v>16437</v>
      </c>
      <c r="Q3585" t="s">
        <v>16438</v>
      </c>
      <c r="R3585">
        <v>12</v>
      </c>
      <c r="S3585">
        <v>16</v>
      </c>
    </row>
    <row r="3586" spans="1:19" x14ac:dyDescent="0.35">
      <c r="A3586">
        <v>4525</v>
      </c>
      <c r="B3586" t="s">
        <v>16429</v>
      </c>
      <c r="C3586" t="s">
        <v>42</v>
      </c>
      <c r="D3586" t="s">
        <v>16430</v>
      </c>
      <c r="E3586" t="e" cm="1">
        <f t="array" ref="E3586">- OFLOXACIN</f>
        <v>#NAME?</v>
      </c>
      <c r="F3586" t="s">
        <v>16431</v>
      </c>
      <c r="G3586" t="s">
        <v>16432</v>
      </c>
      <c r="H3586" t="s">
        <v>16433</v>
      </c>
      <c r="I3586" t="s">
        <v>16434</v>
      </c>
      <c r="J3586" t="s">
        <v>11321</v>
      </c>
      <c r="K3586" t="s">
        <v>2858</v>
      </c>
      <c r="L3586" t="s">
        <v>16435</v>
      </c>
      <c r="M3586" t="s">
        <v>824</v>
      </c>
      <c r="N3586" t="s">
        <v>1640</v>
      </c>
      <c r="O3586" t="s">
        <v>16436</v>
      </c>
      <c r="P3586" t="s">
        <v>16437</v>
      </c>
      <c r="Q3586" t="s">
        <v>16438</v>
      </c>
      <c r="R3586">
        <v>12</v>
      </c>
      <c r="S3586">
        <v>16</v>
      </c>
    </row>
    <row r="3587" spans="1:19" x14ac:dyDescent="0.35">
      <c r="A3587">
        <v>8139</v>
      </c>
      <c r="B3587" t="s">
        <v>551</v>
      </c>
      <c r="C3587" t="s">
        <v>42</v>
      </c>
      <c r="D3587" t="s">
        <v>16704</v>
      </c>
      <c r="E3587" t="e" cm="1">
        <f t="array" ref="E3587">- POVIDONE-IODINE</f>
        <v>#NAME?</v>
      </c>
      <c r="F3587" s="1">
        <v>4200</v>
      </c>
      <c r="H3587" t="s">
        <v>1322</v>
      </c>
      <c r="I3587" t="s">
        <v>16460</v>
      </c>
      <c r="J3587" t="s">
        <v>16461</v>
      </c>
      <c r="M3587" t="s">
        <v>554</v>
      </c>
      <c r="N3587" t="s">
        <v>555</v>
      </c>
      <c r="O3587" t="s">
        <v>16462</v>
      </c>
      <c r="P3587" t="s">
        <v>16463</v>
      </c>
      <c r="Q3587" t="s">
        <v>16464</v>
      </c>
      <c r="R3587">
        <v>12</v>
      </c>
      <c r="S3587">
        <v>16</v>
      </c>
    </row>
    <row r="3588" spans="1:19" x14ac:dyDescent="0.35">
      <c r="A3588">
        <v>1184</v>
      </c>
      <c r="B3588" t="s">
        <v>16705</v>
      </c>
      <c r="C3588" t="s">
        <v>42</v>
      </c>
      <c r="D3588" t="s">
        <v>16706</v>
      </c>
      <c r="E3588" t="e" cm="1">
        <f t="array" ref="E3588">- TRIPROLIDINE HYDROCHLORIDE. PSEUDOEPHEDRINE HYDROCHLORIDE</f>
        <v>#NAME?</v>
      </c>
      <c r="F3588" t="s">
        <v>16707</v>
      </c>
      <c r="G3588" t="s">
        <v>60</v>
      </c>
      <c r="H3588" t="s">
        <v>14220</v>
      </c>
      <c r="I3588" t="s">
        <v>16708</v>
      </c>
      <c r="J3588" t="s">
        <v>334</v>
      </c>
      <c r="K3588" t="s">
        <v>14222</v>
      </c>
      <c r="L3588" t="s">
        <v>16709</v>
      </c>
      <c r="M3588" t="s">
        <v>271</v>
      </c>
      <c r="N3588" t="s">
        <v>16710</v>
      </c>
      <c r="O3588" t="s">
        <v>16711</v>
      </c>
      <c r="P3588" t="s">
        <v>16712</v>
      </c>
      <c r="Q3588" t="s">
        <v>16713</v>
      </c>
      <c r="R3588">
        <v>12</v>
      </c>
      <c r="S3588">
        <v>16</v>
      </c>
    </row>
    <row r="3589" spans="1:19" x14ac:dyDescent="0.35">
      <c r="A3589">
        <v>8094</v>
      </c>
      <c r="B3589" t="s">
        <v>551</v>
      </c>
      <c r="C3589" t="s">
        <v>42</v>
      </c>
      <c r="D3589" t="s">
        <v>16714</v>
      </c>
      <c r="E3589" t="e" cm="1">
        <f t="array" ref="E3589">- POVIDONE-IODINE</f>
        <v>#NAME?</v>
      </c>
      <c r="F3589" t="s">
        <v>16715</v>
      </c>
      <c r="G3589" t="s">
        <v>16716</v>
      </c>
      <c r="H3589" t="s">
        <v>1322</v>
      </c>
      <c r="I3589" t="s">
        <v>16717</v>
      </c>
      <c r="J3589" t="s">
        <v>16718</v>
      </c>
      <c r="M3589" t="s">
        <v>554</v>
      </c>
      <c r="N3589" t="s">
        <v>555</v>
      </c>
      <c r="O3589" t="s">
        <v>16719</v>
      </c>
      <c r="P3589" t="s">
        <v>16720</v>
      </c>
      <c r="Q3589" t="s">
        <v>16721</v>
      </c>
      <c r="R3589">
        <v>12</v>
      </c>
      <c r="S3589">
        <v>16</v>
      </c>
    </row>
    <row r="3590" spans="1:19" x14ac:dyDescent="0.35">
      <c r="A3590">
        <v>8095</v>
      </c>
      <c r="B3590" t="s">
        <v>551</v>
      </c>
      <c r="C3590" t="s">
        <v>42</v>
      </c>
      <c r="D3590" t="s">
        <v>16714</v>
      </c>
      <c r="E3590" t="e" cm="1">
        <f t="array" ref="E3590">- POVIDONE-IODINE</f>
        <v>#NAME?</v>
      </c>
      <c r="F3590" t="s">
        <v>16715</v>
      </c>
      <c r="G3590" t="s">
        <v>16716</v>
      </c>
      <c r="H3590" t="s">
        <v>1322</v>
      </c>
      <c r="I3590" t="s">
        <v>16717</v>
      </c>
      <c r="J3590" t="s">
        <v>16718</v>
      </c>
      <c r="M3590" t="s">
        <v>554</v>
      </c>
      <c r="N3590" t="s">
        <v>555</v>
      </c>
      <c r="O3590" t="s">
        <v>16719</v>
      </c>
      <c r="P3590" t="s">
        <v>16720</v>
      </c>
      <c r="Q3590" t="s">
        <v>16721</v>
      </c>
      <c r="R3590">
        <v>12</v>
      </c>
      <c r="S3590">
        <v>16</v>
      </c>
    </row>
    <row r="3591" spans="1:19" x14ac:dyDescent="0.35">
      <c r="A3591">
        <v>8138</v>
      </c>
      <c r="B3591" t="s">
        <v>551</v>
      </c>
      <c r="C3591" t="s">
        <v>42</v>
      </c>
      <c r="D3591" t="s">
        <v>16704</v>
      </c>
      <c r="E3591" t="e" cm="1">
        <f t="array" ref="E3591">- POVIDONE-IODINE</f>
        <v>#NAME?</v>
      </c>
      <c r="F3591" s="1">
        <v>4200</v>
      </c>
      <c r="H3591" t="s">
        <v>1322</v>
      </c>
      <c r="I3591" t="s">
        <v>16460</v>
      </c>
      <c r="J3591" t="s">
        <v>16461</v>
      </c>
      <c r="M3591" t="s">
        <v>554</v>
      </c>
      <c r="N3591" t="s">
        <v>555</v>
      </c>
      <c r="O3591" t="s">
        <v>16462</v>
      </c>
      <c r="P3591" t="s">
        <v>16463</v>
      </c>
      <c r="Q3591" t="s">
        <v>16464</v>
      </c>
      <c r="R3591">
        <v>12</v>
      </c>
      <c r="S3591">
        <v>16</v>
      </c>
    </row>
    <row r="3592" spans="1:19" x14ac:dyDescent="0.35">
      <c r="A3592">
        <v>4188</v>
      </c>
      <c r="B3592" t="s">
        <v>16722</v>
      </c>
      <c r="C3592" t="s">
        <v>42</v>
      </c>
      <c r="D3592" t="s">
        <v>16723</v>
      </c>
      <c r="E3592" t="e" cm="1">
        <f t="array" ref="E3592">- CYPROHEPTADINE HYDROCHLORIDE</f>
        <v>#NAME?</v>
      </c>
      <c r="F3592" t="s">
        <v>16724</v>
      </c>
      <c r="H3592" t="s">
        <v>16725</v>
      </c>
      <c r="I3592" t="s">
        <v>16726</v>
      </c>
      <c r="J3592" t="s">
        <v>754</v>
      </c>
      <c r="L3592" t="s">
        <v>382</v>
      </c>
      <c r="M3592" t="s">
        <v>291</v>
      </c>
      <c r="N3592" t="s">
        <v>1634</v>
      </c>
      <c r="O3592" t="s">
        <v>16727</v>
      </c>
      <c r="P3592" t="s">
        <v>16728</v>
      </c>
      <c r="Q3592" t="s">
        <v>16729</v>
      </c>
      <c r="R3592">
        <v>12</v>
      </c>
      <c r="S3592">
        <v>16</v>
      </c>
    </row>
    <row r="3593" spans="1:19" x14ac:dyDescent="0.35">
      <c r="A3593">
        <v>7861</v>
      </c>
      <c r="B3593" t="s">
        <v>16730</v>
      </c>
      <c r="C3593" t="s">
        <v>20</v>
      </c>
      <c r="D3593" t="s">
        <v>16731</v>
      </c>
      <c r="E3593" t="s">
        <v>16732</v>
      </c>
      <c r="F3593" t="s">
        <v>16733</v>
      </c>
      <c r="G3593" t="s">
        <v>16734</v>
      </c>
      <c r="H3593" t="s">
        <v>14265</v>
      </c>
      <c r="I3593" t="s">
        <v>16735</v>
      </c>
      <c r="J3593" t="s">
        <v>16736</v>
      </c>
      <c r="L3593" t="s">
        <v>14268</v>
      </c>
      <c r="M3593" t="s">
        <v>38</v>
      </c>
      <c r="N3593" t="s">
        <v>16737</v>
      </c>
      <c r="O3593" t="s">
        <v>16738</v>
      </c>
      <c r="P3593" t="s">
        <v>16737</v>
      </c>
      <c r="Q3593" t="s">
        <v>16739</v>
      </c>
      <c r="R3593">
        <v>12</v>
      </c>
      <c r="S3593">
        <v>16</v>
      </c>
    </row>
    <row r="3594" spans="1:19" x14ac:dyDescent="0.35">
      <c r="A3594">
        <v>3757</v>
      </c>
      <c r="B3594" t="s">
        <v>16740</v>
      </c>
      <c r="C3594" t="s">
        <v>20</v>
      </c>
      <c r="D3594" t="s">
        <v>16741</v>
      </c>
      <c r="E3594" t="s">
        <v>16742</v>
      </c>
      <c r="F3594" s="1">
        <v>68800</v>
      </c>
      <c r="G3594" t="s">
        <v>6754</v>
      </c>
      <c r="H3594" t="s">
        <v>16743</v>
      </c>
      <c r="I3594" t="s">
        <v>16744</v>
      </c>
      <c r="J3594" t="s">
        <v>16745</v>
      </c>
      <c r="L3594" t="s">
        <v>16746</v>
      </c>
      <c r="M3594" t="s">
        <v>818</v>
      </c>
      <c r="N3594" t="s">
        <v>16747</v>
      </c>
      <c r="O3594" t="s">
        <v>16748</v>
      </c>
      <c r="P3594" t="s">
        <v>16749</v>
      </c>
      <c r="Q3594" t="s">
        <v>16750</v>
      </c>
      <c r="R3594">
        <v>12</v>
      </c>
      <c r="S3594">
        <v>16</v>
      </c>
    </row>
    <row r="3595" spans="1:19" x14ac:dyDescent="0.35">
      <c r="A3595">
        <v>474</v>
      </c>
      <c r="B3595" t="s">
        <v>16587</v>
      </c>
      <c r="C3595" t="s">
        <v>42</v>
      </c>
      <c r="D3595" t="s">
        <v>16588</v>
      </c>
      <c r="E3595" t="e" cm="1">
        <f t="array" ref="E3595">- THEOPHYLLINE</f>
        <v>#NAME?</v>
      </c>
      <c r="F3595" t="s">
        <v>16589</v>
      </c>
      <c r="G3595" t="s">
        <v>16590</v>
      </c>
      <c r="H3595" t="s">
        <v>16591</v>
      </c>
      <c r="I3595" t="s">
        <v>16592</v>
      </c>
      <c r="J3595" t="s">
        <v>754</v>
      </c>
      <c r="K3595" t="s">
        <v>16593</v>
      </c>
      <c r="L3595" t="s">
        <v>16594</v>
      </c>
      <c r="M3595" t="s">
        <v>291</v>
      </c>
      <c r="N3595" t="s">
        <v>4449</v>
      </c>
      <c r="O3595" t="s">
        <v>16595</v>
      </c>
      <c r="P3595" t="s">
        <v>16596</v>
      </c>
      <c r="Q3595" t="s">
        <v>16597</v>
      </c>
      <c r="R3595">
        <v>12</v>
      </c>
      <c r="S3595">
        <v>16</v>
      </c>
    </row>
    <row r="3596" spans="1:19" x14ac:dyDescent="0.35">
      <c r="A3596">
        <v>4264</v>
      </c>
      <c r="B3596" t="s">
        <v>16751</v>
      </c>
      <c r="C3596" t="s">
        <v>42</v>
      </c>
      <c r="D3596" t="s">
        <v>16752</v>
      </c>
      <c r="E3596" t="e" cm="1">
        <f t="array" ref="E3596">- CYPROHEPTADINE</f>
        <v>#NAME?</v>
      </c>
      <c r="F3596" t="s">
        <v>16753</v>
      </c>
      <c r="G3596" t="s">
        <v>16754</v>
      </c>
      <c r="H3596" t="s">
        <v>16755</v>
      </c>
      <c r="I3596" t="s">
        <v>16756</v>
      </c>
      <c r="J3596" t="s">
        <v>727</v>
      </c>
      <c r="K3596" t="s">
        <v>16757</v>
      </c>
      <c r="L3596" t="s">
        <v>16758</v>
      </c>
      <c r="M3596" t="s">
        <v>291</v>
      </c>
      <c r="N3596" t="s">
        <v>16759</v>
      </c>
      <c r="O3596" t="s">
        <v>16760</v>
      </c>
      <c r="P3596" t="s">
        <v>16761</v>
      </c>
      <c r="Q3596" t="s">
        <v>16762</v>
      </c>
      <c r="R3596">
        <v>12</v>
      </c>
      <c r="S3596">
        <v>16</v>
      </c>
    </row>
    <row r="3597" spans="1:19" x14ac:dyDescent="0.35">
      <c r="A3597">
        <v>475</v>
      </c>
      <c r="B3597" t="s">
        <v>16587</v>
      </c>
      <c r="C3597" t="s">
        <v>42</v>
      </c>
      <c r="D3597" t="s">
        <v>16588</v>
      </c>
      <c r="E3597" t="e" cm="1">
        <f t="array" ref="E3597">- THEOPHYLLINE</f>
        <v>#NAME?</v>
      </c>
      <c r="F3597" t="s">
        <v>16589</v>
      </c>
      <c r="G3597" t="s">
        <v>16590</v>
      </c>
      <c r="H3597" t="s">
        <v>16591</v>
      </c>
      <c r="I3597" t="s">
        <v>16592</v>
      </c>
      <c r="J3597" t="s">
        <v>754</v>
      </c>
      <c r="K3597" t="s">
        <v>16593</v>
      </c>
      <c r="L3597" t="s">
        <v>16594</v>
      </c>
      <c r="M3597" t="s">
        <v>291</v>
      </c>
      <c r="N3597" t="s">
        <v>4449</v>
      </c>
      <c r="O3597" t="s">
        <v>16595</v>
      </c>
      <c r="P3597" t="s">
        <v>16596</v>
      </c>
      <c r="Q3597" t="s">
        <v>16597</v>
      </c>
      <c r="R3597">
        <v>12</v>
      </c>
      <c r="S3597">
        <v>16</v>
      </c>
    </row>
    <row r="3598" spans="1:19" x14ac:dyDescent="0.35">
      <c r="A3598">
        <v>476</v>
      </c>
      <c r="B3598" t="s">
        <v>16587</v>
      </c>
      <c r="C3598" t="s">
        <v>42</v>
      </c>
      <c r="D3598" t="s">
        <v>16588</v>
      </c>
      <c r="E3598" t="e" cm="1">
        <f t="array" ref="E3598">- THEOPHYLLINE</f>
        <v>#NAME?</v>
      </c>
      <c r="F3598" t="s">
        <v>16589</v>
      </c>
      <c r="G3598" t="s">
        <v>16590</v>
      </c>
      <c r="H3598" t="s">
        <v>16591</v>
      </c>
      <c r="I3598" t="s">
        <v>16592</v>
      </c>
      <c r="J3598" t="s">
        <v>754</v>
      </c>
      <c r="K3598" t="s">
        <v>16593</v>
      </c>
      <c r="L3598" t="s">
        <v>16594</v>
      </c>
      <c r="M3598" t="s">
        <v>291</v>
      </c>
      <c r="N3598" t="s">
        <v>4449</v>
      </c>
      <c r="O3598" t="s">
        <v>16595</v>
      </c>
      <c r="P3598" t="s">
        <v>16596</v>
      </c>
      <c r="Q3598" t="s">
        <v>16597</v>
      </c>
      <c r="R3598">
        <v>12</v>
      </c>
      <c r="S3598">
        <v>16</v>
      </c>
    </row>
    <row r="3599" spans="1:19" x14ac:dyDescent="0.35">
      <c r="A3599">
        <v>4167</v>
      </c>
      <c r="B3599" t="s">
        <v>16763</v>
      </c>
      <c r="C3599" t="s">
        <v>42</v>
      </c>
      <c r="D3599" t="s">
        <v>16764</v>
      </c>
      <c r="E3599" t="e" cm="1">
        <f t="array" ref="E3599">- LORATADINE</f>
        <v>#NAME?</v>
      </c>
      <c r="F3599" t="s">
        <v>16765</v>
      </c>
      <c r="G3599" t="s">
        <v>4420</v>
      </c>
      <c r="H3599" t="s">
        <v>9221</v>
      </c>
      <c r="I3599" t="s">
        <v>16290</v>
      </c>
      <c r="J3599" t="s">
        <v>381</v>
      </c>
      <c r="K3599" t="s">
        <v>16292</v>
      </c>
      <c r="L3599" t="s">
        <v>16293</v>
      </c>
      <c r="M3599" t="s">
        <v>46</v>
      </c>
      <c r="N3599" t="s">
        <v>9225</v>
      </c>
      <c r="O3599" t="s">
        <v>16294</v>
      </c>
      <c r="P3599" t="s">
        <v>16766</v>
      </c>
      <c r="Q3599" t="s">
        <v>16767</v>
      </c>
      <c r="R3599">
        <v>12</v>
      </c>
      <c r="S3599">
        <v>16</v>
      </c>
    </row>
    <row r="3600" spans="1:19" x14ac:dyDescent="0.35">
      <c r="A3600">
        <v>8083</v>
      </c>
      <c r="B3600" t="s">
        <v>551</v>
      </c>
      <c r="C3600" t="s">
        <v>42</v>
      </c>
      <c r="D3600" t="s">
        <v>16339</v>
      </c>
      <c r="E3600" t="e" cm="1">
        <f t="array" ref="E3600">- POVIDONE-IODINE</f>
        <v>#NAME?</v>
      </c>
      <c r="F3600" t="s">
        <v>16340</v>
      </c>
      <c r="G3600" t="s">
        <v>16341</v>
      </c>
      <c r="H3600" t="s">
        <v>1322</v>
      </c>
      <c r="I3600" t="s">
        <v>16342</v>
      </c>
      <c r="J3600" t="s">
        <v>11247</v>
      </c>
      <c r="M3600" t="s">
        <v>554</v>
      </c>
      <c r="N3600" t="s">
        <v>555</v>
      </c>
      <c r="O3600" t="s">
        <v>16343</v>
      </c>
      <c r="P3600" t="s">
        <v>16344</v>
      </c>
      <c r="Q3600" t="s">
        <v>16345</v>
      </c>
      <c r="R3600">
        <v>12</v>
      </c>
      <c r="S3600">
        <v>16</v>
      </c>
    </row>
    <row r="3601" spans="1:19" x14ac:dyDescent="0.35">
      <c r="A3601">
        <v>1114</v>
      </c>
      <c r="B3601" t="s">
        <v>8618</v>
      </c>
      <c r="C3601" t="s">
        <v>42</v>
      </c>
      <c r="D3601" t="s">
        <v>8619</v>
      </c>
      <c r="E3601" t="e" cm="1">
        <f t="array" ref="E3601">- DEXTROMETHORPHAN HYDROBROMIDE. DEXCHLORPHENIRAMINE MALEATE. GUAIFENESIN</f>
        <v>#NAME?</v>
      </c>
      <c r="F3601" t="s">
        <v>8620</v>
      </c>
      <c r="G3601" t="s">
        <v>2241</v>
      </c>
      <c r="H3601" t="s">
        <v>8621</v>
      </c>
      <c r="I3601" t="s">
        <v>8622</v>
      </c>
      <c r="J3601" t="s">
        <v>8602</v>
      </c>
      <c r="K3601" t="s">
        <v>8623</v>
      </c>
      <c r="L3601" t="s">
        <v>8624</v>
      </c>
      <c r="M3601" t="s">
        <v>46</v>
      </c>
      <c r="N3601" t="s">
        <v>16768</v>
      </c>
      <c r="O3601" t="s">
        <v>8625</v>
      </c>
      <c r="P3601" t="s">
        <v>8626</v>
      </c>
      <c r="Q3601" t="s">
        <v>16769</v>
      </c>
      <c r="R3601">
        <v>12</v>
      </c>
      <c r="S3601">
        <v>16</v>
      </c>
    </row>
    <row r="3602" spans="1:19" x14ac:dyDescent="0.35">
      <c r="A3602">
        <v>430</v>
      </c>
      <c r="B3602" t="s">
        <v>16482</v>
      </c>
      <c r="C3602" t="s">
        <v>20</v>
      </c>
      <c r="D3602" t="s">
        <v>16483</v>
      </c>
      <c r="E3602" t="s">
        <v>16484</v>
      </c>
      <c r="F3602" t="s">
        <v>16485</v>
      </c>
      <c r="H3602" t="s">
        <v>16486</v>
      </c>
      <c r="I3602" t="s">
        <v>4507</v>
      </c>
      <c r="J3602" t="s">
        <v>16487</v>
      </c>
      <c r="M3602" t="s">
        <v>38</v>
      </c>
      <c r="N3602" t="s">
        <v>16488</v>
      </c>
      <c r="O3602" t="s">
        <v>4510</v>
      </c>
      <c r="P3602" t="s">
        <v>16489</v>
      </c>
      <c r="Q3602" t="s">
        <v>16490</v>
      </c>
      <c r="R3602">
        <v>12</v>
      </c>
      <c r="S3602">
        <v>16</v>
      </c>
    </row>
    <row r="3603" spans="1:19" x14ac:dyDescent="0.35">
      <c r="A3603">
        <v>7429</v>
      </c>
      <c r="B3603" t="s">
        <v>16770</v>
      </c>
      <c r="C3603" t="s">
        <v>42</v>
      </c>
      <c r="D3603" t="s">
        <v>16771</v>
      </c>
      <c r="E3603" t="e" cm="1">
        <f t="array" ref="E3603">- CYANOCOBALAMIN</f>
        <v>#NAME?</v>
      </c>
      <c r="F3603" t="s">
        <v>16772</v>
      </c>
      <c r="G3603" t="s">
        <v>16773</v>
      </c>
      <c r="H3603" t="s">
        <v>16774</v>
      </c>
      <c r="I3603" t="s">
        <v>16775</v>
      </c>
      <c r="J3603" t="s">
        <v>381</v>
      </c>
      <c r="K3603" t="s">
        <v>16776</v>
      </c>
      <c r="L3603" t="s">
        <v>16777</v>
      </c>
      <c r="M3603" t="s">
        <v>46</v>
      </c>
      <c r="N3603" t="s">
        <v>677</v>
      </c>
      <c r="O3603" t="s">
        <v>16778</v>
      </c>
      <c r="P3603" t="s">
        <v>16779</v>
      </c>
      <c r="Q3603" t="s">
        <v>16780</v>
      </c>
      <c r="R3603">
        <v>12</v>
      </c>
      <c r="S3603">
        <v>16</v>
      </c>
    </row>
    <row r="3604" spans="1:19" x14ac:dyDescent="0.35">
      <c r="A3604">
        <v>1152</v>
      </c>
      <c r="B3604" t="s">
        <v>13187</v>
      </c>
      <c r="C3604" t="s">
        <v>42</v>
      </c>
      <c r="D3604" t="s">
        <v>13188</v>
      </c>
      <c r="E3604" t="e" cm="1">
        <f t="array" ref="E3604">- OXOMEMAZINE HYDROCHLORIDE. GUAIFENESIN</f>
        <v>#NAME?</v>
      </c>
      <c r="F3604" s="1">
        <v>39800</v>
      </c>
      <c r="H3604" t="s">
        <v>13189</v>
      </c>
      <c r="I3604" t="s">
        <v>13190</v>
      </c>
      <c r="J3604" t="s">
        <v>846</v>
      </c>
      <c r="M3604" t="s">
        <v>271</v>
      </c>
      <c r="N3604" t="s">
        <v>8440</v>
      </c>
      <c r="O3604" t="s">
        <v>13191</v>
      </c>
      <c r="P3604" t="s">
        <v>13192</v>
      </c>
      <c r="Q3604" t="s">
        <v>16781</v>
      </c>
      <c r="R3604">
        <v>12</v>
      </c>
      <c r="S3604">
        <v>16</v>
      </c>
    </row>
    <row r="3605" spans="1:19" x14ac:dyDescent="0.35">
      <c r="A3605">
        <v>3595</v>
      </c>
      <c r="B3605" t="s">
        <v>16782</v>
      </c>
      <c r="C3605" t="s">
        <v>42</v>
      </c>
      <c r="D3605" t="s">
        <v>16783</v>
      </c>
      <c r="E3605" t="e" cm="1">
        <f t="array" ref="E3605">- ONDANSETRON HYDROCHLORIDE</f>
        <v>#NAME?</v>
      </c>
      <c r="F3605" s="1">
        <v>39900</v>
      </c>
      <c r="G3605" t="s">
        <v>2248</v>
      </c>
      <c r="H3605" t="s">
        <v>16784</v>
      </c>
      <c r="I3605" t="s">
        <v>16785</v>
      </c>
      <c r="J3605" t="s">
        <v>3701</v>
      </c>
      <c r="K3605" t="s">
        <v>2726</v>
      </c>
      <c r="L3605" t="s">
        <v>16786</v>
      </c>
      <c r="M3605" t="s">
        <v>46</v>
      </c>
      <c r="N3605" t="s">
        <v>14328</v>
      </c>
      <c r="O3605" t="s">
        <v>16787</v>
      </c>
      <c r="P3605" t="s">
        <v>16788</v>
      </c>
      <c r="Q3605" t="s">
        <v>16789</v>
      </c>
      <c r="R3605">
        <v>12</v>
      </c>
      <c r="S3605">
        <v>16</v>
      </c>
    </row>
    <row r="3606" spans="1:19" x14ac:dyDescent="0.35">
      <c r="A3606">
        <v>2480</v>
      </c>
      <c r="B3606" t="s">
        <v>16790</v>
      </c>
      <c r="C3606" t="s">
        <v>42</v>
      </c>
      <c r="D3606" t="s">
        <v>16791</v>
      </c>
      <c r="E3606" t="e" cm="1">
        <f t="array" ref="E3606">- DICLOFENAC DIETHYLAMINE</f>
        <v>#NAME?</v>
      </c>
      <c r="F3606" t="s">
        <v>16792</v>
      </c>
      <c r="H3606" t="s">
        <v>16793</v>
      </c>
      <c r="I3606" t="s">
        <v>16794</v>
      </c>
      <c r="J3606" t="s">
        <v>16795</v>
      </c>
      <c r="M3606" t="s">
        <v>87</v>
      </c>
      <c r="N3606" t="s">
        <v>1958</v>
      </c>
      <c r="O3606" t="s">
        <v>16796</v>
      </c>
      <c r="P3606" t="s">
        <v>16797</v>
      </c>
      <c r="Q3606" t="s">
        <v>16798</v>
      </c>
      <c r="R3606">
        <v>12</v>
      </c>
      <c r="S3606">
        <v>16</v>
      </c>
    </row>
    <row r="3607" spans="1:19" x14ac:dyDescent="0.35">
      <c r="A3607">
        <v>2492</v>
      </c>
      <c r="B3607" t="s">
        <v>16799</v>
      </c>
      <c r="C3607" t="s">
        <v>42</v>
      </c>
      <c r="D3607" t="s">
        <v>16800</v>
      </c>
      <c r="E3607" t="e" cm="1">
        <f t="array" ref="E3607">- FLUNARIZINE</f>
        <v>#NAME?</v>
      </c>
      <c r="F3607" t="s">
        <v>16801</v>
      </c>
      <c r="G3607" t="s">
        <v>60</v>
      </c>
      <c r="H3607" t="s">
        <v>16802</v>
      </c>
      <c r="I3607" t="s">
        <v>16803</v>
      </c>
      <c r="J3607" t="s">
        <v>16804</v>
      </c>
      <c r="K3607" t="s">
        <v>16805</v>
      </c>
      <c r="L3607" t="s">
        <v>16806</v>
      </c>
      <c r="M3607" t="s">
        <v>46</v>
      </c>
      <c r="N3607" t="s">
        <v>2623</v>
      </c>
      <c r="O3607" t="s">
        <v>16807</v>
      </c>
      <c r="P3607" t="s">
        <v>16808</v>
      </c>
      <c r="Q3607" t="s">
        <v>16809</v>
      </c>
      <c r="R3607">
        <v>12</v>
      </c>
      <c r="S3607">
        <v>16</v>
      </c>
    </row>
    <row r="3608" spans="1:19" x14ac:dyDescent="0.35">
      <c r="A3608">
        <v>2494</v>
      </c>
      <c r="B3608" t="s">
        <v>16799</v>
      </c>
      <c r="C3608" t="s">
        <v>42</v>
      </c>
      <c r="D3608" t="s">
        <v>16810</v>
      </c>
      <c r="E3608" t="e" cm="1">
        <f t="array" ref="E3608">- FLUNARIZINE</f>
        <v>#NAME?</v>
      </c>
      <c r="F3608" t="s">
        <v>16811</v>
      </c>
      <c r="G3608" t="s">
        <v>60</v>
      </c>
      <c r="H3608" t="s">
        <v>16812</v>
      </c>
      <c r="I3608" t="s">
        <v>16803</v>
      </c>
      <c r="J3608" t="s">
        <v>381</v>
      </c>
      <c r="K3608" t="s">
        <v>16805</v>
      </c>
      <c r="L3608" t="s">
        <v>16806</v>
      </c>
      <c r="M3608" t="s">
        <v>46</v>
      </c>
      <c r="N3608" t="s">
        <v>2623</v>
      </c>
      <c r="O3608" t="s">
        <v>16807</v>
      </c>
      <c r="P3608" t="s">
        <v>16808</v>
      </c>
      <c r="Q3608" t="s">
        <v>16809</v>
      </c>
      <c r="R3608">
        <v>12</v>
      </c>
      <c r="S3608">
        <v>16</v>
      </c>
    </row>
    <row r="3609" spans="1:19" x14ac:dyDescent="0.35">
      <c r="A3609">
        <v>1562</v>
      </c>
      <c r="B3609" t="s">
        <v>16813</v>
      </c>
      <c r="C3609" t="s">
        <v>42</v>
      </c>
      <c r="D3609" t="s">
        <v>16814</v>
      </c>
      <c r="E3609" t="e" cm="1">
        <f t="array" ref="E3609">- GUAIFENESIN</f>
        <v>#NAME?</v>
      </c>
      <c r="F3609" t="s">
        <v>16815</v>
      </c>
      <c r="G3609" t="s">
        <v>2241</v>
      </c>
      <c r="H3609" t="s">
        <v>16816</v>
      </c>
      <c r="I3609" t="s">
        <v>16817</v>
      </c>
      <c r="J3609" t="s">
        <v>334</v>
      </c>
      <c r="K3609" t="s">
        <v>2726</v>
      </c>
      <c r="L3609" t="s">
        <v>16818</v>
      </c>
      <c r="M3609" t="s">
        <v>271</v>
      </c>
      <c r="N3609" t="s">
        <v>361</v>
      </c>
      <c r="O3609" t="s">
        <v>16819</v>
      </c>
      <c r="P3609" t="s">
        <v>16820</v>
      </c>
      <c r="Q3609" t="s">
        <v>16821</v>
      </c>
      <c r="R3609">
        <v>12</v>
      </c>
      <c r="S3609">
        <v>16</v>
      </c>
    </row>
    <row r="3610" spans="1:19" x14ac:dyDescent="0.35">
      <c r="A3610">
        <v>7080</v>
      </c>
      <c r="B3610" t="s">
        <v>7954</v>
      </c>
      <c r="C3610" t="s">
        <v>850</v>
      </c>
      <c r="D3610" t="s">
        <v>16822</v>
      </c>
      <c r="E3610" t="e" cm="1">
        <f t="array" ref="E3610">- Menthol</f>
        <v>#NAME?</v>
      </c>
      <c r="F3610" t="s">
        <v>16823</v>
      </c>
      <c r="G3610" t="s">
        <v>16824</v>
      </c>
      <c r="H3610" t="s">
        <v>16825</v>
      </c>
      <c r="I3610" t="s">
        <v>16826</v>
      </c>
      <c r="J3610" t="s">
        <v>13944</v>
      </c>
      <c r="K3610" t="s">
        <v>16827</v>
      </c>
      <c r="L3610" t="s">
        <v>16828</v>
      </c>
      <c r="M3610" t="s">
        <v>87</v>
      </c>
      <c r="N3610" t="s">
        <v>2034</v>
      </c>
      <c r="O3610" t="s">
        <v>16829</v>
      </c>
      <c r="P3610" t="s">
        <v>16830</v>
      </c>
      <c r="Q3610" t="s">
        <v>16831</v>
      </c>
      <c r="R3610">
        <v>12</v>
      </c>
      <c r="S3610">
        <v>16</v>
      </c>
    </row>
    <row r="3611" spans="1:19" x14ac:dyDescent="0.35">
      <c r="A3611">
        <v>7081</v>
      </c>
      <c r="B3611" t="s">
        <v>7954</v>
      </c>
      <c r="C3611" t="s">
        <v>850</v>
      </c>
      <c r="D3611" t="s">
        <v>16822</v>
      </c>
      <c r="E3611" t="e" cm="1">
        <f t="array" ref="E3611">- Menthol</f>
        <v>#NAME?</v>
      </c>
      <c r="F3611" t="s">
        <v>16823</v>
      </c>
      <c r="G3611" t="s">
        <v>16824</v>
      </c>
      <c r="H3611" t="s">
        <v>16825</v>
      </c>
      <c r="I3611" t="s">
        <v>16826</v>
      </c>
      <c r="J3611" t="s">
        <v>13944</v>
      </c>
      <c r="K3611" t="s">
        <v>16827</v>
      </c>
      <c r="L3611" t="s">
        <v>16828</v>
      </c>
      <c r="M3611" t="s">
        <v>87</v>
      </c>
      <c r="N3611" t="s">
        <v>2034</v>
      </c>
      <c r="O3611" t="s">
        <v>16829</v>
      </c>
      <c r="P3611" t="s">
        <v>16830</v>
      </c>
      <c r="Q3611" t="s">
        <v>16831</v>
      </c>
      <c r="R3611">
        <v>12</v>
      </c>
      <c r="S3611">
        <v>16</v>
      </c>
    </row>
    <row r="3612" spans="1:19" x14ac:dyDescent="0.35">
      <c r="A3612">
        <v>7082</v>
      </c>
      <c r="B3612" t="s">
        <v>7954</v>
      </c>
      <c r="C3612" t="s">
        <v>850</v>
      </c>
      <c r="D3612" t="s">
        <v>16832</v>
      </c>
      <c r="E3612" t="e" cm="1">
        <f t="array" ref="E3612">- Menthol</f>
        <v>#NAME?</v>
      </c>
      <c r="F3612" t="s">
        <v>16833</v>
      </c>
      <c r="G3612" t="s">
        <v>16824</v>
      </c>
      <c r="H3612" t="s">
        <v>16825</v>
      </c>
      <c r="I3612" t="s">
        <v>16826</v>
      </c>
      <c r="J3612" t="s">
        <v>2939</v>
      </c>
      <c r="K3612" t="s">
        <v>16827</v>
      </c>
      <c r="L3612" t="s">
        <v>16828</v>
      </c>
      <c r="M3612" t="s">
        <v>87</v>
      </c>
      <c r="N3612" t="s">
        <v>2034</v>
      </c>
      <c r="O3612" t="s">
        <v>16829</v>
      </c>
      <c r="P3612" t="s">
        <v>16830</v>
      </c>
      <c r="Q3612" t="s">
        <v>16831</v>
      </c>
      <c r="R3612">
        <v>12</v>
      </c>
      <c r="S3612">
        <v>16</v>
      </c>
    </row>
    <row r="3613" spans="1:19" x14ac:dyDescent="0.35">
      <c r="A3613">
        <v>7083</v>
      </c>
      <c r="B3613" t="s">
        <v>7954</v>
      </c>
      <c r="C3613" t="s">
        <v>850</v>
      </c>
      <c r="D3613" t="s">
        <v>16832</v>
      </c>
      <c r="E3613" t="e" cm="1">
        <f t="array" ref="E3613">- Menthol</f>
        <v>#NAME?</v>
      </c>
      <c r="F3613" t="s">
        <v>16833</v>
      </c>
      <c r="G3613" t="s">
        <v>16824</v>
      </c>
      <c r="H3613" t="s">
        <v>16825</v>
      </c>
      <c r="I3613" t="s">
        <v>16826</v>
      </c>
      <c r="J3613" t="s">
        <v>2939</v>
      </c>
      <c r="K3613" t="s">
        <v>16827</v>
      </c>
      <c r="L3613" t="s">
        <v>16828</v>
      </c>
      <c r="M3613" t="s">
        <v>87</v>
      </c>
      <c r="N3613" t="s">
        <v>2034</v>
      </c>
      <c r="O3613" t="s">
        <v>16829</v>
      </c>
      <c r="P3613" t="s">
        <v>16830</v>
      </c>
      <c r="Q3613" t="s">
        <v>16831</v>
      </c>
      <c r="R3613">
        <v>12</v>
      </c>
      <c r="S3613">
        <v>16</v>
      </c>
    </row>
    <row r="3614" spans="1:19" x14ac:dyDescent="0.35">
      <c r="A3614">
        <v>1551</v>
      </c>
      <c r="B3614" t="s">
        <v>16834</v>
      </c>
      <c r="C3614" t="s">
        <v>42</v>
      </c>
      <c r="D3614" t="s">
        <v>16835</v>
      </c>
      <c r="E3614" t="e" cm="1">
        <f t="array" ref="E3614">- CHLORPHENAMINE MALEATE</f>
        <v>#NAME?</v>
      </c>
      <c r="F3614" t="s">
        <v>16836</v>
      </c>
      <c r="H3614" t="s">
        <v>8084</v>
      </c>
      <c r="I3614" t="s">
        <v>16119</v>
      </c>
      <c r="J3614" t="s">
        <v>16837</v>
      </c>
      <c r="M3614" t="s">
        <v>46</v>
      </c>
      <c r="N3614" t="s">
        <v>1354</v>
      </c>
      <c r="O3614" t="s">
        <v>16121</v>
      </c>
      <c r="P3614" t="s">
        <v>16838</v>
      </c>
      <c r="Q3614" t="s">
        <v>16839</v>
      </c>
      <c r="R3614">
        <v>12</v>
      </c>
      <c r="S3614">
        <v>16</v>
      </c>
    </row>
    <row r="3615" spans="1:19" x14ac:dyDescent="0.35">
      <c r="A3615">
        <v>7129</v>
      </c>
      <c r="B3615" t="s">
        <v>16840</v>
      </c>
      <c r="C3615" t="s">
        <v>42</v>
      </c>
      <c r="D3615" t="s">
        <v>16841</v>
      </c>
      <c r="E3615" t="e" cm="1">
        <f t="array" ref="E3615">- PYRIDOSTIGMIN BROMIDE</f>
        <v>#NAME?</v>
      </c>
      <c r="F3615" t="s">
        <v>16842</v>
      </c>
      <c r="G3615" t="s">
        <v>4649</v>
      </c>
      <c r="H3615" t="s">
        <v>16843</v>
      </c>
      <c r="I3615" t="s">
        <v>16844</v>
      </c>
      <c r="J3615" t="s">
        <v>16845</v>
      </c>
      <c r="K3615" t="s">
        <v>16846</v>
      </c>
      <c r="L3615" t="s">
        <v>16847</v>
      </c>
      <c r="M3615" t="s">
        <v>46</v>
      </c>
      <c r="N3615" t="s">
        <v>16848</v>
      </c>
      <c r="O3615" t="s">
        <v>16849</v>
      </c>
      <c r="P3615" t="s">
        <v>16850</v>
      </c>
      <c r="Q3615" t="s">
        <v>16851</v>
      </c>
      <c r="R3615">
        <v>12</v>
      </c>
      <c r="S3615">
        <v>16</v>
      </c>
    </row>
    <row r="3616" spans="1:19" x14ac:dyDescent="0.35">
      <c r="A3616">
        <v>7161</v>
      </c>
      <c r="B3616" t="s">
        <v>16852</v>
      </c>
      <c r="C3616" t="s">
        <v>850</v>
      </c>
      <c r="D3616" t="s">
        <v>16853</v>
      </c>
      <c r="E3616" t="s">
        <v>2069</v>
      </c>
      <c r="F3616" t="s">
        <v>16854</v>
      </c>
      <c r="G3616" t="s">
        <v>16855</v>
      </c>
      <c r="H3616" t="s">
        <v>9172</v>
      </c>
      <c r="I3616" t="s">
        <v>16856</v>
      </c>
      <c r="J3616" t="s">
        <v>16857</v>
      </c>
      <c r="L3616" t="s">
        <v>16858</v>
      </c>
      <c r="N3616" t="s">
        <v>2071</v>
      </c>
      <c r="O3616" t="s">
        <v>16859</v>
      </c>
      <c r="P3616" t="s">
        <v>16860</v>
      </c>
      <c r="Q3616" t="s">
        <v>16861</v>
      </c>
      <c r="R3616">
        <v>12</v>
      </c>
      <c r="S3616">
        <v>16</v>
      </c>
    </row>
    <row r="3617" spans="1:19" x14ac:dyDescent="0.35">
      <c r="A3617">
        <v>671</v>
      </c>
      <c r="B3617" t="s">
        <v>16862</v>
      </c>
      <c r="C3617" t="s">
        <v>20</v>
      </c>
      <c r="D3617" t="s">
        <v>16863</v>
      </c>
      <c r="E3617" t="s">
        <v>16864</v>
      </c>
      <c r="F3617" t="s">
        <v>16865</v>
      </c>
      <c r="J3617" t="s">
        <v>846</v>
      </c>
      <c r="M3617" t="s">
        <v>2115</v>
      </c>
      <c r="N3617" t="s">
        <v>16866</v>
      </c>
      <c r="P3617" t="s">
        <v>16867</v>
      </c>
      <c r="Q3617" t="s">
        <v>16868</v>
      </c>
      <c r="R3617">
        <v>12</v>
      </c>
      <c r="S3617">
        <v>16</v>
      </c>
    </row>
    <row r="3618" spans="1:19" x14ac:dyDescent="0.35">
      <c r="A3618">
        <v>932</v>
      </c>
      <c r="B3618" t="s">
        <v>13587</v>
      </c>
      <c r="C3618" t="s">
        <v>42</v>
      </c>
      <c r="D3618" t="s">
        <v>13588</v>
      </c>
      <c r="E3618" t="e" cm="1">
        <f t="array" ref="E3618">- AMMONIUM CHLORIDE. SUCCUS LIQUIRITIAE</f>
        <v>#NAME?</v>
      </c>
      <c r="F3618" t="s">
        <v>13589</v>
      </c>
      <c r="G3618" t="s">
        <v>5866</v>
      </c>
      <c r="H3618" t="s">
        <v>13590</v>
      </c>
      <c r="I3618" t="s">
        <v>13591</v>
      </c>
      <c r="J3618" t="s">
        <v>405</v>
      </c>
      <c r="K3618" t="s">
        <v>3973</v>
      </c>
      <c r="L3618" t="s">
        <v>13592</v>
      </c>
      <c r="M3618" t="s">
        <v>271</v>
      </c>
      <c r="N3618" t="s">
        <v>13691</v>
      </c>
      <c r="O3618" t="s">
        <v>13593</v>
      </c>
      <c r="P3618" t="s">
        <v>13594</v>
      </c>
      <c r="Q3618" t="s">
        <v>16869</v>
      </c>
      <c r="R3618">
        <v>12</v>
      </c>
      <c r="S3618">
        <v>16</v>
      </c>
    </row>
    <row r="3619" spans="1:19" x14ac:dyDescent="0.35">
      <c r="A3619">
        <v>2593</v>
      </c>
      <c r="B3619" t="s">
        <v>16870</v>
      </c>
      <c r="C3619" t="s">
        <v>42</v>
      </c>
      <c r="D3619" t="s">
        <v>16871</v>
      </c>
      <c r="E3619" t="e" cm="1">
        <f t="array" ref="E3619">- PARACETAMOL</f>
        <v>#NAME?</v>
      </c>
      <c r="F3619" t="s">
        <v>16872</v>
      </c>
      <c r="G3619" t="s">
        <v>2241</v>
      </c>
      <c r="H3619" t="s">
        <v>16873</v>
      </c>
      <c r="I3619" t="s">
        <v>16874</v>
      </c>
      <c r="J3619" t="s">
        <v>16875</v>
      </c>
      <c r="K3619" t="s">
        <v>16876</v>
      </c>
      <c r="L3619" t="s">
        <v>16877</v>
      </c>
      <c r="M3619" t="s">
        <v>291</v>
      </c>
      <c r="N3619" t="s">
        <v>584</v>
      </c>
      <c r="O3619" t="s">
        <v>16878</v>
      </c>
      <c r="P3619" t="s">
        <v>16879</v>
      </c>
      <c r="Q3619" t="s">
        <v>16880</v>
      </c>
      <c r="R3619">
        <v>12</v>
      </c>
      <c r="S3619">
        <v>16</v>
      </c>
    </row>
    <row r="3620" spans="1:19" x14ac:dyDescent="0.35">
      <c r="A3620">
        <v>933</v>
      </c>
      <c r="B3620" t="s">
        <v>13587</v>
      </c>
      <c r="C3620" t="s">
        <v>42</v>
      </c>
      <c r="D3620" t="s">
        <v>13588</v>
      </c>
      <c r="E3620" t="e" cm="1">
        <f t="array" ref="E3620">- AMMONIUM CHLORIDE. SUCCUS LIQUIRITIAE</f>
        <v>#NAME?</v>
      </c>
      <c r="F3620" t="s">
        <v>13589</v>
      </c>
      <c r="G3620" t="s">
        <v>5866</v>
      </c>
      <c r="H3620" t="s">
        <v>13590</v>
      </c>
      <c r="I3620" t="s">
        <v>13591</v>
      </c>
      <c r="J3620" t="s">
        <v>405</v>
      </c>
      <c r="K3620" t="s">
        <v>3973</v>
      </c>
      <c r="L3620" t="s">
        <v>13592</v>
      </c>
      <c r="M3620" t="s">
        <v>271</v>
      </c>
      <c r="N3620" t="s">
        <v>13691</v>
      </c>
      <c r="O3620" t="s">
        <v>13593</v>
      </c>
      <c r="P3620" t="s">
        <v>13594</v>
      </c>
      <c r="Q3620" t="s">
        <v>16869</v>
      </c>
      <c r="R3620">
        <v>12</v>
      </c>
      <c r="S3620">
        <v>16</v>
      </c>
    </row>
    <row r="3621" spans="1:19" x14ac:dyDescent="0.35">
      <c r="A3621">
        <v>2599</v>
      </c>
      <c r="B3621" t="s">
        <v>16881</v>
      </c>
      <c r="C3621" t="s">
        <v>42</v>
      </c>
      <c r="D3621" t="s">
        <v>16882</v>
      </c>
      <c r="E3621" t="e" cm="1">
        <f t="array" ref="E3621">- CELECOXIB</f>
        <v>#NAME?</v>
      </c>
      <c r="F3621" s="1">
        <v>119500</v>
      </c>
      <c r="G3621" t="s">
        <v>2241</v>
      </c>
      <c r="H3621" t="s">
        <v>16883</v>
      </c>
      <c r="I3621" t="s">
        <v>16884</v>
      </c>
      <c r="J3621" t="s">
        <v>14600</v>
      </c>
      <c r="M3621" t="s">
        <v>38</v>
      </c>
      <c r="N3621" t="s">
        <v>14778</v>
      </c>
      <c r="O3621" t="s">
        <v>16885</v>
      </c>
      <c r="P3621" t="s">
        <v>16886</v>
      </c>
      <c r="Q3621" t="s">
        <v>16887</v>
      </c>
      <c r="R3621">
        <v>12</v>
      </c>
      <c r="S3621">
        <v>16</v>
      </c>
    </row>
    <row r="3622" spans="1:19" x14ac:dyDescent="0.35">
      <c r="A3622">
        <v>2600</v>
      </c>
      <c r="B3622" t="s">
        <v>16888</v>
      </c>
      <c r="C3622" t="s">
        <v>42</v>
      </c>
      <c r="D3622" t="s">
        <v>16889</v>
      </c>
      <c r="E3622" t="e" cm="1">
        <f t="array" ref="E3622">- CELECOXIB</f>
        <v>#NAME?</v>
      </c>
      <c r="F3622" s="1">
        <v>116600</v>
      </c>
      <c r="G3622" t="s">
        <v>2241</v>
      </c>
      <c r="H3622" t="s">
        <v>14773</v>
      </c>
      <c r="I3622" t="s">
        <v>14774</v>
      </c>
      <c r="J3622" t="s">
        <v>14600</v>
      </c>
      <c r="K3622" t="s">
        <v>14776</v>
      </c>
      <c r="L3622" t="s">
        <v>16890</v>
      </c>
      <c r="M3622" t="s">
        <v>38</v>
      </c>
      <c r="N3622" t="s">
        <v>14778</v>
      </c>
      <c r="O3622" t="s">
        <v>14779</v>
      </c>
      <c r="P3622" t="s">
        <v>16891</v>
      </c>
      <c r="Q3622" t="s">
        <v>16892</v>
      </c>
      <c r="R3622">
        <v>12</v>
      </c>
      <c r="S3622">
        <v>16</v>
      </c>
    </row>
    <row r="3623" spans="1:19" x14ac:dyDescent="0.35">
      <c r="A3623">
        <v>9165</v>
      </c>
      <c r="B3623" t="s">
        <v>16893</v>
      </c>
      <c r="C3623" t="s">
        <v>42</v>
      </c>
      <c r="D3623" t="s">
        <v>16894</v>
      </c>
      <c r="E3623" t="e" cm="1">
        <f t="array" ref="E3623">- TERAZOSIN HYDROCHLORIDE</f>
        <v>#NAME?</v>
      </c>
      <c r="F3623" s="1">
        <v>121700</v>
      </c>
      <c r="G3623" t="s">
        <v>60</v>
      </c>
      <c r="H3623" t="s">
        <v>16895</v>
      </c>
      <c r="I3623" t="s">
        <v>16896</v>
      </c>
      <c r="J3623" t="s">
        <v>754</v>
      </c>
      <c r="K3623" t="s">
        <v>2858</v>
      </c>
      <c r="L3623" t="s">
        <v>16897</v>
      </c>
      <c r="M3623" t="s">
        <v>46</v>
      </c>
      <c r="N3623" t="s">
        <v>13842</v>
      </c>
      <c r="O3623" t="s">
        <v>16898</v>
      </c>
      <c r="P3623" t="s">
        <v>13844</v>
      </c>
      <c r="Q3623" t="s">
        <v>16899</v>
      </c>
      <c r="R3623">
        <v>12</v>
      </c>
      <c r="S3623">
        <v>16</v>
      </c>
    </row>
    <row r="3624" spans="1:19" x14ac:dyDescent="0.35">
      <c r="A3624">
        <v>5577</v>
      </c>
      <c r="B3624" t="s">
        <v>16900</v>
      </c>
      <c r="C3624" t="s">
        <v>42</v>
      </c>
      <c r="D3624" t="s">
        <v>16901</v>
      </c>
      <c r="E3624" t="e" cm="1">
        <f t="array" ref="E3624">- PERMETHRIN</f>
        <v>#NAME?</v>
      </c>
      <c r="F3624" s="1">
        <v>94100</v>
      </c>
      <c r="G3624" t="s">
        <v>15873</v>
      </c>
      <c r="H3624">
        <v>0</v>
      </c>
      <c r="I3624" t="s">
        <v>16902</v>
      </c>
      <c r="J3624" t="s">
        <v>16903</v>
      </c>
      <c r="K3624" t="s">
        <v>16904</v>
      </c>
      <c r="L3624" t="s">
        <v>16905</v>
      </c>
      <c r="M3624" t="s">
        <v>554</v>
      </c>
      <c r="N3624" t="s">
        <v>2942</v>
      </c>
      <c r="O3624" t="s">
        <v>16906</v>
      </c>
      <c r="P3624" t="s">
        <v>16907</v>
      </c>
      <c r="Q3624" t="s">
        <v>16908</v>
      </c>
      <c r="R3624">
        <v>12</v>
      </c>
      <c r="S3624">
        <v>16</v>
      </c>
    </row>
    <row r="3625" spans="1:19" x14ac:dyDescent="0.35">
      <c r="A3625">
        <v>5576</v>
      </c>
      <c r="B3625" t="s">
        <v>16900</v>
      </c>
      <c r="C3625" t="s">
        <v>42</v>
      </c>
      <c r="D3625" t="s">
        <v>16901</v>
      </c>
      <c r="E3625" t="e" cm="1">
        <f t="array" ref="E3625">- PERMETHRIN</f>
        <v>#NAME?</v>
      </c>
      <c r="F3625" s="1">
        <v>94100</v>
      </c>
      <c r="G3625" t="s">
        <v>15873</v>
      </c>
      <c r="H3625">
        <v>0</v>
      </c>
      <c r="I3625" t="s">
        <v>16902</v>
      </c>
      <c r="J3625" t="s">
        <v>16903</v>
      </c>
      <c r="K3625" t="s">
        <v>16904</v>
      </c>
      <c r="L3625" t="s">
        <v>16905</v>
      </c>
      <c r="M3625" t="s">
        <v>554</v>
      </c>
      <c r="N3625" t="s">
        <v>2942</v>
      </c>
      <c r="O3625" t="s">
        <v>16906</v>
      </c>
      <c r="P3625" t="s">
        <v>16907</v>
      </c>
      <c r="Q3625" t="s">
        <v>16908</v>
      </c>
      <c r="R3625">
        <v>12</v>
      </c>
      <c r="S3625">
        <v>16</v>
      </c>
    </row>
    <row r="3626" spans="1:19" x14ac:dyDescent="0.35">
      <c r="A3626">
        <v>9164</v>
      </c>
      <c r="B3626" t="s">
        <v>16893</v>
      </c>
      <c r="C3626" t="s">
        <v>42</v>
      </c>
      <c r="D3626" t="s">
        <v>16894</v>
      </c>
      <c r="E3626" t="e" cm="1">
        <f t="array" ref="E3626">- TERAZOSIN HYDROCHLORIDE</f>
        <v>#NAME?</v>
      </c>
      <c r="F3626" s="1">
        <v>121700</v>
      </c>
      <c r="G3626" t="s">
        <v>60</v>
      </c>
      <c r="H3626" t="s">
        <v>16895</v>
      </c>
      <c r="I3626" t="s">
        <v>16896</v>
      </c>
      <c r="J3626" t="s">
        <v>754</v>
      </c>
      <c r="K3626" t="s">
        <v>2858</v>
      </c>
      <c r="L3626" t="s">
        <v>16897</v>
      </c>
      <c r="M3626" t="s">
        <v>46</v>
      </c>
      <c r="N3626" t="s">
        <v>13842</v>
      </c>
      <c r="O3626" t="s">
        <v>16898</v>
      </c>
      <c r="P3626" t="s">
        <v>13844</v>
      </c>
      <c r="Q3626" t="s">
        <v>16899</v>
      </c>
      <c r="R3626">
        <v>12</v>
      </c>
      <c r="S3626">
        <v>16</v>
      </c>
    </row>
    <row r="3627" spans="1:19" x14ac:dyDescent="0.35">
      <c r="A3627">
        <v>5575</v>
      </c>
      <c r="B3627" t="s">
        <v>16909</v>
      </c>
      <c r="C3627" t="s">
        <v>42</v>
      </c>
      <c r="D3627" t="s">
        <v>16910</v>
      </c>
      <c r="E3627" t="e" cm="1">
        <f t="array" ref="E3627">- PERMETHRIN</f>
        <v>#NAME?</v>
      </c>
      <c r="F3627" t="s">
        <v>16911</v>
      </c>
      <c r="G3627" t="s">
        <v>15873</v>
      </c>
      <c r="H3627" t="s">
        <v>16912</v>
      </c>
      <c r="I3627" t="s">
        <v>16902</v>
      </c>
      <c r="J3627" t="s">
        <v>2939</v>
      </c>
      <c r="K3627" t="s">
        <v>16913</v>
      </c>
      <c r="L3627" t="s">
        <v>16914</v>
      </c>
      <c r="M3627" t="s">
        <v>1289</v>
      </c>
      <c r="N3627" t="s">
        <v>2942</v>
      </c>
      <c r="O3627" t="s">
        <v>16906</v>
      </c>
      <c r="P3627" t="s">
        <v>16915</v>
      </c>
      <c r="Q3627" t="s">
        <v>16916</v>
      </c>
      <c r="R3627">
        <v>12</v>
      </c>
      <c r="S3627">
        <v>16</v>
      </c>
    </row>
    <row r="3628" spans="1:19" x14ac:dyDescent="0.35">
      <c r="A3628">
        <v>5574</v>
      </c>
      <c r="B3628" t="s">
        <v>16909</v>
      </c>
      <c r="C3628" t="s">
        <v>42</v>
      </c>
      <c r="D3628" t="s">
        <v>16910</v>
      </c>
      <c r="E3628" t="e" cm="1">
        <f t="array" ref="E3628">- PERMETHRIN</f>
        <v>#NAME?</v>
      </c>
      <c r="F3628" t="s">
        <v>16911</v>
      </c>
      <c r="G3628" t="s">
        <v>15873</v>
      </c>
      <c r="H3628" t="s">
        <v>16912</v>
      </c>
      <c r="I3628" t="s">
        <v>16902</v>
      </c>
      <c r="J3628" t="s">
        <v>2939</v>
      </c>
      <c r="K3628" t="s">
        <v>16913</v>
      </c>
      <c r="L3628" t="s">
        <v>16914</v>
      </c>
      <c r="M3628" t="s">
        <v>46</v>
      </c>
      <c r="N3628" t="s">
        <v>2942</v>
      </c>
      <c r="O3628" t="s">
        <v>16906</v>
      </c>
      <c r="P3628" t="s">
        <v>16915</v>
      </c>
      <c r="Q3628" t="s">
        <v>16917</v>
      </c>
      <c r="R3628">
        <v>12</v>
      </c>
      <c r="S3628">
        <v>16</v>
      </c>
    </row>
    <row r="3629" spans="1:19" x14ac:dyDescent="0.35">
      <c r="A3629">
        <v>5573</v>
      </c>
      <c r="B3629" t="s">
        <v>16909</v>
      </c>
      <c r="C3629" t="s">
        <v>42</v>
      </c>
      <c r="D3629" t="s">
        <v>16910</v>
      </c>
      <c r="E3629" t="e" cm="1">
        <f t="array" ref="E3629">- PERMETHRIN</f>
        <v>#NAME?</v>
      </c>
      <c r="F3629" t="s">
        <v>16911</v>
      </c>
      <c r="G3629" t="s">
        <v>15873</v>
      </c>
      <c r="H3629" t="s">
        <v>16912</v>
      </c>
      <c r="I3629" t="s">
        <v>16902</v>
      </c>
      <c r="J3629" t="s">
        <v>2939</v>
      </c>
      <c r="K3629" t="s">
        <v>16913</v>
      </c>
      <c r="L3629" t="s">
        <v>16914</v>
      </c>
      <c r="M3629" t="s">
        <v>1289</v>
      </c>
      <c r="N3629" t="s">
        <v>2942</v>
      </c>
      <c r="O3629" t="s">
        <v>16906</v>
      </c>
      <c r="P3629" t="s">
        <v>16915</v>
      </c>
      <c r="Q3629" t="s">
        <v>16916</v>
      </c>
      <c r="R3629">
        <v>12</v>
      </c>
      <c r="S3629">
        <v>16</v>
      </c>
    </row>
    <row r="3630" spans="1:19" x14ac:dyDescent="0.35">
      <c r="A3630">
        <v>2621</v>
      </c>
      <c r="B3630" t="s">
        <v>16918</v>
      </c>
      <c r="C3630" t="s">
        <v>42</v>
      </c>
      <c r="D3630" t="s">
        <v>16919</v>
      </c>
      <c r="E3630" t="e" cm="1">
        <f t="array" ref="E3630">- PARACETAMOL</f>
        <v>#NAME?</v>
      </c>
      <c r="F3630" t="s">
        <v>16920</v>
      </c>
      <c r="G3630" t="s">
        <v>16921</v>
      </c>
      <c r="H3630" t="s">
        <v>16922</v>
      </c>
      <c r="I3630" t="s">
        <v>16923</v>
      </c>
      <c r="J3630" t="s">
        <v>8495</v>
      </c>
      <c r="K3630" t="s">
        <v>16924</v>
      </c>
      <c r="L3630" t="s">
        <v>16925</v>
      </c>
      <c r="M3630" t="s">
        <v>291</v>
      </c>
      <c r="N3630" t="s">
        <v>584</v>
      </c>
      <c r="O3630" t="s">
        <v>16926</v>
      </c>
      <c r="P3630" t="s">
        <v>15439</v>
      </c>
      <c r="Q3630" t="s">
        <v>16927</v>
      </c>
      <c r="R3630">
        <v>12</v>
      </c>
      <c r="S3630">
        <v>16</v>
      </c>
    </row>
    <row r="3631" spans="1:19" x14ac:dyDescent="0.35">
      <c r="A3631">
        <v>1573</v>
      </c>
      <c r="B3631" t="s">
        <v>5146</v>
      </c>
      <c r="C3631" t="s">
        <v>42</v>
      </c>
      <c r="D3631" t="s">
        <v>5147</v>
      </c>
      <c r="E3631" t="e" cm="1">
        <f t="array" ref="E3631">- CHLORPHENAMINE MALEATE. DEXTROMETHORPHAN HYDROBROMIDE. PSEUDOEPHEDRINE HYDROCHLORIDE. PARACETAMOL</f>
        <v>#NAME?</v>
      </c>
      <c r="F3631" t="s">
        <v>5148</v>
      </c>
      <c r="M3631" t="s">
        <v>340</v>
      </c>
      <c r="N3631" t="s">
        <v>16928</v>
      </c>
      <c r="P3631" t="s">
        <v>5149</v>
      </c>
      <c r="Q3631" t="s">
        <v>16929</v>
      </c>
      <c r="R3631">
        <v>12</v>
      </c>
      <c r="S3631">
        <v>16</v>
      </c>
    </row>
    <row r="3632" spans="1:19" x14ac:dyDescent="0.35">
      <c r="A3632">
        <v>2629</v>
      </c>
      <c r="B3632" t="s">
        <v>16930</v>
      </c>
      <c r="C3632" t="s">
        <v>42</v>
      </c>
      <c r="D3632" t="s">
        <v>16931</v>
      </c>
      <c r="E3632" t="e" cm="1">
        <f t="array" ref="E3632">- PARACETAMOL</f>
        <v>#NAME?</v>
      </c>
      <c r="F3632" t="s">
        <v>16932</v>
      </c>
      <c r="G3632" t="s">
        <v>4362</v>
      </c>
      <c r="H3632" t="s">
        <v>16933</v>
      </c>
      <c r="I3632" t="s">
        <v>16934</v>
      </c>
      <c r="J3632" t="s">
        <v>16935</v>
      </c>
      <c r="K3632" t="s">
        <v>16936</v>
      </c>
      <c r="L3632" t="s">
        <v>16937</v>
      </c>
      <c r="M3632" t="s">
        <v>291</v>
      </c>
      <c r="N3632" t="s">
        <v>584</v>
      </c>
      <c r="O3632" t="s">
        <v>16938</v>
      </c>
      <c r="P3632" t="s">
        <v>16939</v>
      </c>
      <c r="Q3632" t="s">
        <v>16940</v>
      </c>
      <c r="R3632">
        <v>12</v>
      </c>
      <c r="S3632">
        <v>16</v>
      </c>
    </row>
    <row r="3633" spans="1:19" x14ac:dyDescent="0.35">
      <c r="A3633">
        <v>7052</v>
      </c>
      <c r="B3633" t="s">
        <v>1803</v>
      </c>
      <c r="C3633" t="s">
        <v>42</v>
      </c>
      <c r="D3633" t="s">
        <v>16941</v>
      </c>
      <c r="E3633" t="e" cm="1">
        <f t="array" ref="E3633">- TIZANIDINE HYDROCHLORIDE</f>
        <v>#NAME?</v>
      </c>
      <c r="F3633" t="s">
        <v>16942</v>
      </c>
      <c r="G3633" t="s">
        <v>12009</v>
      </c>
      <c r="I3633" t="s">
        <v>16943</v>
      </c>
      <c r="J3633" t="s">
        <v>16944</v>
      </c>
      <c r="L3633" t="s">
        <v>16945</v>
      </c>
      <c r="M3633" t="s">
        <v>46</v>
      </c>
      <c r="N3633" t="s">
        <v>1806</v>
      </c>
      <c r="O3633" t="s">
        <v>16946</v>
      </c>
      <c r="P3633" t="s">
        <v>16947</v>
      </c>
      <c r="Q3633" t="s">
        <v>16948</v>
      </c>
      <c r="R3633">
        <v>12</v>
      </c>
      <c r="S3633">
        <v>16</v>
      </c>
    </row>
    <row r="3634" spans="1:19" x14ac:dyDescent="0.35">
      <c r="A3634">
        <v>5724</v>
      </c>
      <c r="B3634" t="s">
        <v>16949</v>
      </c>
      <c r="C3634" t="s">
        <v>42</v>
      </c>
      <c r="D3634" t="s">
        <v>16950</v>
      </c>
      <c r="E3634" t="e" cm="1">
        <f t="array" ref="E3634">- SULFAMETHOXAZOLE</f>
        <v>#NAME?</v>
      </c>
      <c r="F3634" t="s">
        <v>16951</v>
      </c>
      <c r="G3634" t="s">
        <v>4045</v>
      </c>
      <c r="H3634" t="s">
        <v>16952</v>
      </c>
      <c r="I3634" t="s">
        <v>16953</v>
      </c>
      <c r="J3634" t="s">
        <v>381</v>
      </c>
      <c r="K3634" t="s">
        <v>13519</v>
      </c>
      <c r="L3634" t="s">
        <v>16954</v>
      </c>
      <c r="M3634" t="s">
        <v>46</v>
      </c>
      <c r="N3634" t="s">
        <v>478</v>
      </c>
      <c r="O3634" t="s">
        <v>16955</v>
      </c>
      <c r="P3634" t="s">
        <v>13522</v>
      </c>
      <c r="Q3634" t="s">
        <v>16956</v>
      </c>
      <c r="R3634">
        <v>12</v>
      </c>
      <c r="S3634">
        <v>16</v>
      </c>
    </row>
    <row r="3635" spans="1:19" x14ac:dyDescent="0.35">
      <c r="A3635">
        <v>6999</v>
      </c>
      <c r="B3635" t="s">
        <v>1803</v>
      </c>
      <c r="C3635" t="s">
        <v>42</v>
      </c>
      <c r="D3635" t="s">
        <v>16957</v>
      </c>
      <c r="E3635" t="e" cm="1">
        <f t="array" ref="E3635">- TIZANIDINE HYDROCHLORIDE</f>
        <v>#NAME?</v>
      </c>
      <c r="F3635" t="s">
        <v>16958</v>
      </c>
      <c r="G3635" t="s">
        <v>12009</v>
      </c>
      <c r="I3635" t="s">
        <v>16959</v>
      </c>
      <c r="J3635" t="s">
        <v>5331</v>
      </c>
      <c r="M3635" t="s">
        <v>46</v>
      </c>
      <c r="N3635" t="s">
        <v>1806</v>
      </c>
      <c r="O3635" t="s">
        <v>16960</v>
      </c>
      <c r="P3635" t="s">
        <v>5327</v>
      </c>
      <c r="Q3635" t="s">
        <v>16961</v>
      </c>
      <c r="R3635">
        <v>12</v>
      </c>
      <c r="S3635">
        <v>16</v>
      </c>
    </row>
    <row r="3636" spans="1:19" x14ac:dyDescent="0.35">
      <c r="A3636">
        <v>5789</v>
      </c>
      <c r="B3636" t="s">
        <v>15334</v>
      </c>
      <c r="C3636" t="s">
        <v>42</v>
      </c>
      <c r="D3636" t="s">
        <v>15335</v>
      </c>
      <c r="E3636" t="e" cm="1">
        <f t="array" ref="E3636">- METRONIDAZOLE. NYSTATIN</f>
        <v>#NAME?</v>
      </c>
      <c r="F3636" s="1">
        <v>119100</v>
      </c>
      <c r="G3636" t="s">
        <v>13556</v>
      </c>
      <c r="H3636" t="s">
        <v>13557</v>
      </c>
      <c r="I3636" t="s">
        <v>13558</v>
      </c>
      <c r="J3636" t="s">
        <v>15336</v>
      </c>
      <c r="K3636" t="s">
        <v>3952</v>
      </c>
      <c r="L3636" t="s">
        <v>13560</v>
      </c>
      <c r="M3636" t="s">
        <v>8891</v>
      </c>
      <c r="N3636" t="s">
        <v>10960</v>
      </c>
      <c r="O3636" t="s">
        <v>13088</v>
      </c>
      <c r="P3636" t="s">
        <v>15337</v>
      </c>
      <c r="Q3636" t="s">
        <v>16962</v>
      </c>
      <c r="R3636">
        <v>12</v>
      </c>
      <c r="S3636">
        <v>16</v>
      </c>
    </row>
    <row r="3637" spans="1:19" x14ac:dyDescent="0.35">
      <c r="A3637">
        <v>5787</v>
      </c>
      <c r="B3637" t="s">
        <v>15334</v>
      </c>
      <c r="C3637" t="s">
        <v>42</v>
      </c>
      <c r="D3637" t="s">
        <v>15335</v>
      </c>
      <c r="E3637" t="e" cm="1">
        <f t="array" ref="E3637">- METRONIDAZOLE. NYSTATIN</f>
        <v>#NAME?</v>
      </c>
      <c r="F3637" s="1">
        <v>119100</v>
      </c>
      <c r="G3637" t="s">
        <v>13556</v>
      </c>
      <c r="H3637" t="s">
        <v>13557</v>
      </c>
      <c r="I3637" t="s">
        <v>13558</v>
      </c>
      <c r="J3637" t="s">
        <v>15336</v>
      </c>
      <c r="K3637" t="s">
        <v>3952</v>
      </c>
      <c r="L3637" t="s">
        <v>13560</v>
      </c>
      <c r="M3637" t="s">
        <v>8891</v>
      </c>
      <c r="N3637" t="s">
        <v>10960</v>
      </c>
      <c r="O3637" t="s">
        <v>13088</v>
      </c>
      <c r="P3637" t="s">
        <v>15337</v>
      </c>
      <c r="Q3637" t="s">
        <v>16962</v>
      </c>
      <c r="R3637">
        <v>12</v>
      </c>
      <c r="S3637">
        <v>16</v>
      </c>
    </row>
    <row r="3638" spans="1:19" x14ac:dyDescent="0.35">
      <c r="A3638">
        <v>701</v>
      </c>
      <c r="B3638" t="s">
        <v>16963</v>
      </c>
      <c r="C3638" t="s">
        <v>20</v>
      </c>
      <c r="D3638" t="s">
        <v>16964</v>
      </c>
      <c r="E3638" t="s">
        <v>16965</v>
      </c>
      <c r="F3638" t="s">
        <v>16966</v>
      </c>
      <c r="G3638" t="s">
        <v>16967</v>
      </c>
      <c r="H3638" t="s">
        <v>16968</v>
      </c>
      <c r="I3638" t="s">
        <v>16969</v>
      </c>
      <c r="J3638" t="s">
        <v>846</v>
      </c>
      <c r="M3638" t="s">
        <v>2115</v>
      </c>
      <c r="N3638" t="s">
        <v>16970</v>
      </c>
      <c r="O3638" t="s">
        <v>16971</v>
      </c>
      <c r="P3638" t="s">
        <v>16972</v>
      </c>
      <c r="Q3638" t="s">
        <v>16973</v>
      </c>
      <c r="R3638">
        <v>12</v>
      </c>
      <c r="S3638">
        <v>16</v>
      </c>
    </row>
    <row r="3639" spans="1:19" x14ac:dyDescent="0.35">
      <c r="A3639">
        <v>2388</v>
      </c>
      <c r="B3639" t="s">
        <v>15364</v>
      </c>
      <c r="C3639" t="s">
        <v>42</v>
      </c>
      <c r="D3639" t="s">
        <v>15365</v>
      </c>
      <c r="E3639" t="e" cm="1">
        <f t="array" ref="E3639">- IBUPROFEN. PARACETAMOL</f>
        <v>#NAME?</v>
      </c>
      <c r="F3639" t="s">
        <v>15366</v>
      </c>
      <c r="I3639" t="s">
        <v>15367</v>
      </c>
      <c r="J3639" t="s">
        <v>381</v>
      </c>
      <c r="M3639" t="s">
        <v>46</v>
      </c>
      <c r="N3639" t="s">
        <v>16974</v>
      </c>
      <c r="O3639" t="s">
        <v>15368</v>
      </c>
      <c r="P3639" t="s">
        <v>15369</v>
      </c>
      <c r="Q3639" t="s">
        <v>16975</v>
      </c>
      <c r="R3639">
        <v>12</v>
      </c>
      <c r="S3639">
        <v>16</v>
      </c>
    </row>
    <row r="3640" spans="1:19" x14ac:dyDescent="0.35">
      <c r="A3640">
        <v>2395</v>
      </c>
      <c r="B3640" t="s">
        <v>16976</v>
      </c>
      <c r="C3640" t="s">
        <v>42</v>
      </c>
      <c r="D3640" t="s">
        <v>16977</v>
      </c>
      <c r="E3640" t="e" cm="1">
        <f t="array" ref="E3640">- CINNARIZINE</f>
        <v>#NAME?</v>
      </c>
      <c r="F3640" t="s">
        <v>16978</v>
      </c>
      <c r="G3640" t="s">
        <v>5970</v>
      </c>
      <c r="H3640" t="s">
        <v>16979</v>
      </c>
      <c r="I3640" t="s">
        <v>16980</v>
      </c>
      <c r="J3640" t="s">
        <v>16981</v>
      </c>
      <c r="K3640" t="s">
        <v>2858</v>
      </c>
      <c r="L3640" t="s">
        <v>14048</v>
      </c>
      <c r="M3640" t="s">
        <v>291</v>
      </c>
      <c r="N3640" t="s">
        <v>16982</v>
      </c>
      <c r="O3640" t="s">
        <v>16983</v>
      </c>
      <c r="P3640" t="s">
        <v>16984</v>
      </c>
      <c r="Q3640" t="s">
        <v>16985</v>
      </c>
      <c r="R3640">
        <v>12</v>
      </c>
      <c r="S3640">
        <v>16</v>
      </c>
    </row>
    <row r="3641" spans="1:19" x14ac:dyDescent="0.35">
      <c r="A3641">
        <v>2396</v>
      </c>
      <c r="B3641" t="s">
        <v>16976</v>
      </c>
      <c r="C3641" t="s">
        <v>42</v>
      </c>
      <c r="D3641" t="s">
        <v>16977</v>
      </c>
      <c r="E3641" t="e" cm="1">
        <f t="array" ref="E3641">- CINNARIZINE</f>
        <v>#NAME?</v>
      </c>
      <c r="F3641" t="s">
        <v>16978</v>
      </c>
      <c r="G3641" t="s">
        <v>5970</v>
      </c>
      <c r="H3641" t="s">
        <v>16979</v>
      </c>
      <c r="I3641" t="s">
        <v>16980</v>
      </c>
      <c r="J3641" t="s">
        <v>16981</v>
      </c>
      <c r="K3641" t="s">
        <v>2858</v>
      </c>
      <c r="L3641" t="s">
        <v>14048</v>
      </c>
      <c r="M3641" t="s">
        <v>291</v>
      </c>
      <c r="N3641" t="s">
        <v>16982</v>
      </c>
      <c r="O3641" t="s">
        <v>16983</v>
      </c>
      <c r="P3641" t="s">
        <v>16984</v>
      </c>
      <c r="Q3641" t="s">
        <v>16985</v>
      </c>
      <c r="R3641">
        <v>12</v>
      </c>
      <c r="S3641">
        <v>16</v>
      </c>
    </row>
    <row r="3642" spans="1:19" x14ac:dyDescent="0.35">
      <c r="A3642">
        <v>7009</v>
      </c>
      <c r="B3642" t="s">
        <v>1803</v>
      </c>
      <c r="C3642" t="s">
        <v>42</v>
      </c>
      <c r="D3642" t="s">
        <v>16986</v>
      </c>
      <c r="E3642" t="e" cm="1">
        <f t="array" ref="E3642">- TIZANIDINE HYDROCHLORIDE</f>
        <v>#NAME?</v>
      </c>
      <c r="F3642" t="s">
        <v>16987</v>
      </c>
      <c r="H3642" t="s">
        <v>1322</v>
      </c>
      <c r="I3642" t="s">
        <v>16959</v>
      </c>
      <c r="J3642" t="s">
        <v>16988</v>
      </c>
      <c r="L3642" t="s">
        <v>16989</v>
      </c>
      <c r="M3642" t="s">
        <v>46</v>
      </c>
      <c r="N3642" t="s">
        <v>1806</v>
      </c>
      <c r="O3642" t="s">
        <v>16960</v>
      </c>
      <c r="P3642" t="s">
        <v>16990</v>
      </c>
      <c r="Q3642" t="s">
        <v>16991</v>
      </c>
      <c r="R3642">
        <v>12</v>
      </c>
      <c r="S3642">
        <v>16</v>
      </c>
    </row>
    <row r="3643" spans="1:19" x14ac:dyDescent="0.35">
      <c r="A3643">
        <v>7010</v>
      </c>
      <c r="B3643" t="s">
        <v>1803</v>
      </c>
      <c r="C3643" t="s">
        <v>42</v>
      </c>
      <c r="D3643" t="s">
        <v>16992</v>
      </c>
      <c r="E3643" t="e" cm="1">
        <f t="array" ref="E3643">- TIZANIDINE HYDROCHLORIDE</f>
        <v>#NAME?</v>
      </c>
      <c r="F3643" t="s">
        <v>16993</v>
      </c>
      <c r="G3643" t="s">
        <v>16994</v>
      </c>
      <c r="H3643" t="s">
        <v>1322</v>
      </c>
      <c r="I3643" t="s">
        <v>16959</v>
      </c>
      <c r="J3643" t="s">
        <v>8147</v>
      </c>
      <c r="L3643" t="s">
        <v>16995</v>
      </c>
      <c r="M3643" t="s">
        <v>46</v>
      </c>
      <c r="N3643" t="s">
        <v>1806</v>
      </c>
      <c r="O3643" t="s">
        <v>16960</v>
      </c>
      <c r="P3643" t="s">
        <v>16990</v>
      </c>
      <c r="Q3643" t="s">
        <v>16991</v>
      </c>
      <c r="R3643">
        <v>12</v>
      </c>
      <c r="S3643">
        <v>16</v>
      </c>
    </row>
    <row r="3644" spans="1:19" x14ac:dyDescent="0.35">
      <c r="A3644">
        <v>1603</v>
      </c>
      <c r="B3644" t="s">
        <v>12893</v>
      </c>
      <c r="C3644" t="s">
        <v>42</v>
      </c>
      <c r="D3644" t="s">
        <v>12894</v>
      </c>
      <c r="E3644" t="e" cm="1">
        <f t="array" ref="E3644">- TRIPROLIDINE HYDROCHLORIDE. PSEUDOEPHEDRINE HYDROCHLORIDE</f>
        <v>#NAME?</v>
      </c>
      <c r="F3644" t="s">
        <v>12895</v>
      </c>
      <c r="G3644" t="s">
        <v>2241</v>
      </c>
      <c r="H3644" t="s">
        <v>12896</v>
      </c>
      <c r="I3644" t="s">
        <v>12897</v>
      </c>
      <c r="J3644" t="s">
        <v>3926</v>
      </c>
      <c r="K3644" t="s">
        <v>12898</v>
      </c>
      <c r="M3644" t="s">
        <v>271</v>
      </c>
      <c r="N3644" t="s">
        <v>16710</v>
      </c>
      <c r="O3644" t="s">
        <v>12899</v>
      </c>
      <c r="P3644" t="s">
        <v>12900</v>
      </c>
      <c r="Q3644" t="s">
        <v>16996</v>
      </c>
      <c r="R3644">
        <v>12</v>
      </c>
      <c r="S3644">
        <v>16</v>
      </c>
    </row>
    <row r="3645" spans="1:19" x14ac:dyDescent="0.35">
      <c r="A3645">
        <v>928</v>
      </c>
      <c r="B3645" t="s">
        <v>16997</v>
      </c>
      <c r="C3645" t="s">
        <v>42</v>
      </c>
      <c r="D3645" t="s">
        <v>16998</v>
      </c>
      <c r="E3645" t="e" cm="1">
        <f t="array" ref="E3645">- CHLORPHENAMINE MALEATE</f>
        <v>#NAME?</v>
      </c>
      <c r="F3645" t="s">
        <v>16999</v>
      </c>
      <c r="G3645" t="s">
        <v>2453</v>
      </c>
      <c r="H3645" t="s">
        <v>17000</v>
      </c>
      <c r="I3645" t="s">
        <v>17001</v>
      </c>
      <c r="J3645" t="s">
        <v>334</v>
      </c>
      <c r="K3645" t="s">
        <v>17002</v>
      </c>
      <c r="L3645" t="s">
        <v>17003</v>
      </c>
      <c r="M3645" t="s">
        <v>271</v>
      </c>
      <c r="N3645" t="s">
        <v>1354</v>
      </c>
      <c r="O3645" t="s">
        <v>17004</v>
      </c>
      <c r="P3645" t="s">
        <v>17005</v>
      </c>
      <c r="Q3645" t="s">
        <v>17006</v>
      </c>
      <c r="R3645">
        <v>12</v>
      </c>
      <c r="S3645">
        <v>16</v>
      </c>
    </row>
    <row r="3646" spans="1:19" x14ac:dyDescent="0.35">
      <c r="A3646">
        <v>5769</v>
      </c>
      <c r="B3646" t="s">
        <v>17007</v>
      </c>
      <c r="C3646" t="s">
        <v>42</v>
      </c>
      <c r="D3646" t="s">
        <v>17008</v>
      </c>
      <c r="E3646" t="e" cm="1">
        <f t="array" ref="E3646">- METRONIDAZOLE. NYSTATIN</f>
        <v>#NAME?</v>
      </c>
      <c r="F3646" t="s">
        <v>17009</v>
      </c>
      <c r="G3646" t="s">
        <v>13556</v>
      </c>
      <c r="H3646" t="s">
        <v>13557</v>
      </c>
      <c r="I3646" t="s">
        <v>13558</v>
      </c>
      <c r="J3646" t="s">
        <v>15336</v>
      </c>
      <c r="K3646" t="s">
        <v>3952</v>
      </c>
      <c r="M3646" t="s">
        <v>8891</v>
      </c>
      <c r="N3646" t="s">
        <v>10960</v>
      </c>
      <c r="O3646" t="s">
        <v>13088</v>
      </c>
      <c r="P3646" t="s">
        <v>17010</v>
      </c>
      <c r="Q3646" t="s">
        <v>17011</v>
      </c>
      <c r="R3646">
        <v>12</v>
      </c>
      <c r="S3646">
        <v>16</v>
      </c>
    </row>
    <row r="3647" spans="1:19" x14ac:dyDescent="0.35">
      <c r="A3647">
        <v>5768</v>
      </c>
      <c r="B3647" t="s">
        <v>17007</v>
      </c>
      <c r="C3647" t="s">
        <v>42</v>
      </c>
      <c r="D3647" t="s">
        <v>17008</v>
      </c>
      <c r="E3647" t="e" cm="1">
        <f t="array" ref="E3647">- METRONIDAZOLE. NYSTATIN</f>
        <v>#NAME?</v>
      </c>
      <c r="F3647" t="s">
        <v>17009</v>
      </c>
      <c r="G3647" t="s">
        <v>13556</v>
      </c>
      <c r="H3647" t="s">
        <v>13557</v>
      </c>
      <c r="I3647" t="s">
        <v>13558</v>
      </c>
      <c r="J3647" t="s">
        <v>15336</v>
      </c>
      <c r="K3647" t="s">
        <v>3952</v>
      </c>
      <c r="M3647" t="s">
        <v>8891</v>
      </c>
      <c r="N3647" t="s">
        <v>10960</v>
      </c>
      <c r="O3647" t="s">
        <v>13088</v>
      </c>
      <c r="P3647" t="s">
        <v>17010</v>
      </c>
      <c r="Q3647" t="s">
        <v>17011</v>
      </c>
      <c r="R3647">
        <v>12</v>
      </c>
      <c r="S3647">
        <v>16</v>
      </c>
    </row>
    <row r="3648" spans="1:19" x14ac:dyDescent="0.35">
      <c r="A3648">
        <v>2409</v>
      </c>
      <c r="B3648" t="s">
        <v>17012</v>
      </c>
      <c r="C3648" t="s">
        <v>42</v>
      </c>
      <c r="D3648" t="s">
        <v>17013</v>
      </c>
      <c r="E3648" t="e" cm="1">
        <f t="array" ref="E3648">- ETORICOXIB</f>
        <v>#NAME?</v>
      </c>
      <c r="F3648" s="1">
        <v>167500</v>
      </c>
      <c r="I3648" t="s">
        <v>14774</v>
      </c>
      <c r="J3648" t="s">
        <v>2100</v>
      </c>
      <c r="M3648" t="s">
        <v>46</v>
      </c>
      <c r="N3648" t="s">
        <v>47</v>
      </c>
      <c r="O3648" t="s">
        <v>14779</v>
      </c>
      <c r="P3648" t="s">
        <v>17014</v>
      </c>
      <c r="Q3648" t="s">
        <v>17015</v>
      </c>
      <c r="R3648">
        <v>12</v>
      </c>
      <c r="S3648">
        <v>16</v>
      </c>
    </row>
    <row r="3649" spans="1:19" x14ac:dyDescent="0.35">
      <c r="A3649">
        <v>2410</v>
      </c>
      <c r="B3649" t="s">
        <v>17012</v>
      </c>
      <c r="C3649" t="s">
        <v>42</v>
      </c>
      <c r="D3649" t="s">
        <v>17013</v>
      </c>
      <c r="E3649" t="e" cm="1">
        <f t="array" ref="E3649">- ETORICOXIB</f>
        <v>#NAME?</v>
      </c>
      <c r="F3649" s="1">
        <v>167500</v>
      </c>
      <c r="I3649" t="s">
        <v>14774</v>
      </c>
      <c r="J3649" t="s">
        <v>2100</v>
      </c>
      <c r="M3649" t="s">
        <v>46</v>
      </c>
      <c r="N3649" t="s">
        <v>47</v>
      </c>
      <c r="O3649" t="s">
        <v>14779</v>
      </c>
      <c r="P3649" t="s">
        <v>17014</v>
      </c>
      <c r="Q3649" t="s">
        <v>17015</v>
      </c>
      <c r="R3649">
        <v>12</v>
      </c>
      <c r="S3649">
        <v>16</v>
      </c>
    </row>
    <row r="3650" spans="1:19" x14ac:dyDescent="0.35">
      <c r="A3650">
        <v>2411</v>
      </c>
      <c r="B3650" t="s">
        <v>17016</v>
      </c>
      <c r="C3650" t="s">
        <v>42</v>
      </c>
      <c r="D3650" t="s">
        <v>17017</v>
      </c>
      <c r="E3650" t="e" cm="1">
        <f t="array" ref="E3650">- BETAHISTINE MESILATE</f>
        <v>#NAME?</v>
      </c>
      <c r="F3650" t="s">
        <v>17018</v>
      </c>
      <c r="H3650" t="s">
        <v>17019</v>
      </c>
      <c r="I3650" t="s">
        <v>17020</v>
      </c>
      <c r="J3650" t="s">
        <v>17021</v>
      </c>
      <c r="L3650" t="s">
        <v>321</v>
      </c>
      <c r="M3650" t="s">
        <v>46</v>
      </c>
      <c r="N3650" t="s">
        <v>2380</v>
      </c>
      <c r="O3650" t="s">
        <v>17022</v>
      </c>
      <c r="P3650" t="s">
        <v>17023</v>
      </c>
      <c r="Q3650" t="s">
        <v>17024</v>
      </c>
      <c r="R3650">
        <v>12</v>
      </c>
      <c r="S3650">
        <v>16</v>
      </c>
    </row>
    <row r="3651" spans="1:19" x14ac:dyDescent="0.35">
      <c r="A3651">
        <v>2417</v>
      </c>
      <c r="B3651" t="s">
        <v>17025</v>
      </c>
      <c r="C3651" t="s">
        <v>42</v>
      </c>
      <c r="D3651" t="s">
        <v>17026</v>
      </c>
      <c r="E3651" t="e" cm="1">
        <f t="array" ref="E3651">- FLUNARIZINE HYDROCHLORIDE</f>
        <v>#NAME?</v>
      </c>
      <c r="F3651" t="s">
        <v>17027</v>
      </c>
      <c r="G3651" t="s">
        <v>2617</v>
      </c>
      <c r="H3651" t="s">
        <v>17028</v>
      </c>
      <c r="I3651" t="s">
        <v>17029</v>
      </c>
      <c r="J3651" t="s">
        <v>17030</v>
      </c>
      <c r="K3651" t="s">
        <v>17031</v>
      </c>
      <c r="L3651" t="s">
        <v>17032</v>
      </c>
      <c r="M3651" t="s">
        <v>46</v>
      </c>
      <c r="N3651" t="s">
        <v>4516</v>
      </c>
      <c r="O3651" t="s">
        <v>17033</v>
      </c>
      <c r="P3651" t="s">
        <v>17034</v>
      </c>
      <c r="Q3651" t="s">
        <v>17035</v>
      </c>
      <c r="R3651">
        <v>12</v>
      </c>
      <c r="S3651">
        <v>16</v>
      </c>
    </row>
    <row r="3652" spans="1:19" x14ac:dyDescent="0.35">
      <c r="A3652">
        <v>7027</v>
      </c>
      <c r="B3652" t="s">
        <v>1803</v>
      </c>
      <c r="C3652" t="s">
        <v>42</v>
      </c>
      <c r="D3652" t="s">
        <v>17036</v>
      </c>
      <c r="E3652" t="e" cm="1">
        <f t="array" ref="E3652">- TIZANIDINE HYDROCHLORIDE</f>
        <v>#NAME?</v>
      </c>
      <c r="F3652" t="s">
        <v>17037</v>
      </c>
      <c r="G3652" t="s">
        <v>17038</v>
      </c>
      <c r="H3652" t="s">
        <v>1322</v>
      </c>
      <c r="I3652" t="s">
        <v>17039</v>
      </c>
      <c r="J3652" t="s">
        <v>17040</v>
      </c>
      <c r="M3652" t="s">
        <v>46</v>
      </c>
      <c r="N3652" t="s">
        <v>1806</v>
      </c>
      <c r="O3652" t="s">
        <v>11352</v>
      </c>
      <c r="P3652" t="s">
        <v>17041</v>
      </c>
      <c r="Q3652" t="s">
        <v>17042</v>
      </c>
      <c r="R3652">
        <v>12</v>
      </c>
      <c r="S3652">
        <v>16</v>
      </c>
    </row>
    <row r="3653" spans="1:19" x14ac:dyDescent="0.35">
      <c r="A3653">
        <v>7028</v>
      </c>
      <c r="B3653" t="s">
        <v>1803</v>
      </c>
      <c r="C3653" t="s">
        <v>42</v>
      </c>
      <c r="D3653" t="s">
        <v>17043</v>
      </c>
      <c r="E3653" t="e" cm="1">
        <f t="array" ref="E3653">- TIZANIDINE HYDROCHLORIDE</f>
        <v>#NAME?</v>
      </c>
      <c r="F3653" t="s">
        <v>17044</v>
      </c>
      <c r="H3653" t="s">
        <v>1322</v>
      </c>
      <c r="I3653" t="s">
        <v>17045</v>
      </c>
      <c r="J3653" t="s">
        <v>8697</v>
      </c>
      <c r="M3653" t="s">
        <v>46</v>
      </c>
      <c r="N3653" t="s">
        <v>1806</v>
      </c>
      <c r="O3653" t="s">
        <v>17046</v>
      </c>
      <c r="P3653" t="s">
        <v>17041</v>
      </c>
      <c r="Q3653" t="s">
        <v>17047</v>
      </c>
      <c r="R3653">
        <v>12</v>
      </c>
      <c r="S3653">
        <v>16</v>
      </c>
    </row>
    <row r="3654" spans="1:19" x14ac:dyDescent="0.35">
      <c r="A3654">
        <v>7030</v>
      </c>
      <c r="B3654" t="s">
        <v>1803</v>
      </c>
      <c r="C3654" t="s">
        <v>42</v>
      </c>
      <c r="D3654" t="s">
        <v>17048</v>
      </c>
      <c r="E3654" t="e" cm="1">
        <f t="array" ref="E3654">- TIZANIDINE HYDROCHLORIDE</f>
        <v>#NAME?</v>
      </c>
      <c r="F3654" t="s">
        <v>17049</v>
      </c>
      <c r="G3654" t="s">
        <v>17050</v>
      </c>
      <c r="H3654" t="s">
        <v>1322</v>
      </c>
      <c r="I3654" t="s">
        <v>17051</v>
      </c>
      <c r="J3654" t="s">
        <v>8147</v>
      </c>
      <c r="M3654" t="s">
        <v>46</v>
      </c>
      <c r="N3654" t="s">
        <v>1806</v>
      </c>
      <c r="O3654" t="s">
        <v>17052</v>
      </c>
      <c r="P3654" t="s">
        <v>8129</v>
      </c>
      <c r="Q3654" t="s">
        <v>17053</v>
      </c>
      <c r="R3654">
        <v>12</v>
      </c>
      <c r="S3654">
        <v>16</v>
      </c>
    </row>
    <row r="3655" spans="1:19" x14ac:dyDescent="0.35">
      <c r="A3655">
        <v>7031</v>
      </c>
      <c r="B3655" t="s">
        <v>1803</v>
      </c>
      <c r="C3655" t="s">
        <v>42</v>
      </c>
      <c r="D3655" t="s">
        <v>17054</v>
      </c>
      <c r="E3655" t="e" cm="1">
        <f t="array" ref="E3655">- TIZANIDINE HYDROCHLORIDE</f>
        <v>#NAME?</v>
      </c>
      <c r="F3655" t="s">
        <v>17055</v>
      </c>
      <c r="G3655" t="s">
        <v>17056</v>
      </c>
      <c r="H3655" t="s">
        <v>1322</v>
      </c>
      <c r="I3655" t="s">
        <v>17057</v>
      </c>
      <c r="J3655" t="s">
        <v>8697</v>
      </c>
      <c r="M3655" t="s">
        <v>46</v>
      </c>
      <c r="N3655" t="s">
        <v>1806</v>
      </c>
      <c r="O3655" t="s">
        <v>17058</v>
      </c>
      <c r="P3655" t="s">
        <v>8129</v>
      </c>
      <c r="Q3655" t="s">
        <v>17059</v>
      </c>
      <c r="R3655">
        <v>12</v>
      </c>
      <c r="S3655">
        <v>16</v>
      </c>
    </row>
    <row r="3656" spans="1:19" x14ac:dyDescent="0.35">
      <c r="A3656">
        <v>7037</v>
      </c>
      <c r="B3656" t="s">
        <v>1803</v>
      </c>
      <c r="C3656" t="s">
        <v>42</v>
      </c>
      <c r="D3656" t="s">
        <v>17060</v>
      </c>
      <c r="E3656" t="e" cm="1">
        <f t="array" ref="E3656">- TIZANIDINE HYDROCHLORIDE</f>
        <v>#NAME?</v>
      </c>
      <c r="F3656" t="s">
        <v>17061</v>
      </c>
      <c r="G3656" t="s">
        <v>11845</v>
      </c>
      <c r="H3656" t="s">
        <v>1322</v>
      </c>
      <c r="I3656" t="s">
        <v>11846</v>
      </c>
      <c r="J3656" t="s">
        <v>8120</v>
      </c>
      <c r="M3656" t="s">
        <v>46</v>
      </c>
      <c r="N3656" t="s">
        <v>1806</v>
      </c>
      <c r="O3656" t="s">
        <v>11352</v>
      </c>
      <c r="P3656" t="s">
        <v>17062</v>
      </c>
      <c r="Q3656" t="s">
        <v>17063</v>
      </c>
      <c r="R3656">
        <v>12</v>
      </c>
      <c r="S3656">
        <v>16</v>
      </c>
    </row>
    <row r="3657" spans="1:19" x14ac:dyDescent="0.35">
      <c r="A3657">
        <v>7038</v>
      </c>
      <c r="B3657" t="s">
        <v>1803</v>
      </c>
      <c r="C3657" t="s">
        <v>42</v>
      </c>
      <c r="D3657" t="s">
        <v>17064</v>
      </c>
      <c r="E3657" t="e" cm="1">
        <f t="array" ref="E3657">- TIZANIDINE HYDROCHLORIDE</f>
        <v>#NAME?</v>
      </c>
      <c r="F3657" t="s">
        <v>17065</v>
      </c>
      <c r="G3657" t="s">
        <v>11845</v>
      </c>
      <c r="H3657" t="s">
        <v>1322</v>
      </c>
      <c r="I3657" t="s">
        <v>17039</v>
      </c>
      <c r="J3657" t="s">
        <v>17066</v>
      </c>
      <c r="M3657" t="s">
        <v>46</v>
      </c>
      <c r="N3657" t="s">
        <v>1806</v>
      </c>
      <c r="O3657" t="s">
        <v>11352</v>
      </c>
      <c r="P3657" t="s">
        <v>17062</v>
      </c>
      <c r="Q3657" t="s">
        <v>17063</v>
      </c>
      <c r="R3657">
        <v>12</v>
      </c>
      <c r="S3657">
        <v>16</v>
      </c>
    </row>
    <row r="3658" spans="1:19" x14ac:dyDescent="0.35">
      <c r="A3658">
        <v>2453</v>
      </c>
      <c r="B3658" t="s">
        <v>17067</v>
      </c>
      <c r="C3658" t="s">
        <v>42</v>
      </c>
      <c r="D3658" t="s">
        <v>17068</v>
      </c>
      <c r="E3658" t="e" cm="1">
        <f t="array" ref="E3658">- PARACETAMOL</f>
        <v>#NAME?</v>
      </c>
      <c r="F3658" t="s">
        <v>17069</v>
      </c>
      <c r="I3658" t="s">
        <v>17070</v>
      </c>
      <c r="J3658" t="s">
        <v>17071</v>
      </c>
      <c r="M3658" t="s">
        <v>291</v>
      </c>
      <c r="N3658" t="s">
        <v>584</v>
      </c>
      <c r="O3658" t="s">
        <v>17072</v>
      </c>
      <c r="P3658" t="s">
        <v>17073</v>
      </c>
      <c r="Q3658" t="s">
        <v>17074</v>
      </c>
      <c r="R3658">
        <v>12</v>
      </c>
      <c r="S3658">
        <v>16</v>
      </c>
    </row>
    <row r="3659" spans="1:19" x14ac:dyDescent="0.35">
      <c r="A3659">
        <v>2454</v>
      </c>
      <c r="B3659" t="s">
        <v>17067</v>
      </c>
      <c r="C3659" t="s">
        <v>42</v>
      </c>
      <c r="D3659" t="s">
        <v>17068</v>
      </c>
      <c r="E3659" t="e" cm="1">
        <f t="array" ref="E3659">- PARACETAMOL</f>
        <v>#NAME?</v>
      </c>
      <c r="F3659" t="s">
        <v>17069</v>
      </c>
      <c r="I3659" t="s">
        <v>17070</v>
      </c>
      <c r="J3659" t="s">
        <v>17071</v>
      </c>
      <c r="M3659" t="s">
        <v>291</v>
      </c>
      <c r="N3659" t="s">
        <v>584</v>
      </c>
      <c r="O3659" t="s">
        <v>17072</v>
      </c>
      <c r="P3659" t="s">
        <v>17073</v>
      </c>
      <c r="Q3659" t="s">
        <v>17074</v>
      </c>
      <c r="R3659">
        <v>12</v>
      </c>
      <c r="S3659">
        <v>16</v>
      </c>
    </row>
    <row r="3660" spans="1:19" x14ac:dyDescent="0.35">
      <c r="A3660">
        <v>7047</v>
      </c>
      <c r="B3660" t="s">
        <v>1803</v>
      </c>
      <c r="C3660" t="s">
        <v>42</v>
      </c>
      <c r="D3660" t="s">
        <v>17075</v>
      </c>
      <c r="E3660" t="e" cm="1">
        <f t="array" ref="E3660">- TIZANIDINE HYDROCHLORIDE</f>
        <v>#NAME?</v>
      </c>
      <c r="F3660" t="s">
        <v>17076</v>
      </c>
      <c r="G3660" t="s">
        <v>12009</v>
      </c>
      <c r="H3660" t="s">
        <v>1322</v>
      </c>
      <c r="I3660" t="s">
        <v>17077</v>
      </c>
      <c r="J3660" t="s">
        <v>8106</v>
      </c>
      <c r="M3660" t="s">
        <v>46</v>
      </c>
      <c r="N3660" t="s">
        <v>1806</v>
      </c>
      <c r="O3660" t="s">
        <v>17078</v>
      </c>
      <c r="P3660" t="s">
        <v>12013</v>
      </c>
      <c r="Q3660" t="s">
        <v>17079</v>
      </c>
      <c r="R3660">
        <v>12</v>
      </c>
      <c r="S3660">
        <v>16</v>
      </c>
    </row>
    <row r="3661" spans="1:19" x14ac:dyDescent="0.35">
      <c r="A3661">
        <v>6998</v>
      </c>
      <c r="B3661" t="s">
        <v>1803</v>
      </c>
      <c r="C3661" t="s">
        <v>42</v>
      </c>
      <c r="D3661" t="s">
        <v>17080</v>
      </c>
      <c r="E3661" t="e" cm="1">
        <f t="array" ref="E3661">- TIZANIDINE HYDROCHLORIDE</f>
        <v>#NAME?</v>
      </c>
      <c r="F3661" t="s">
        <v>17081</v>
      </c>
      <c r="G3661" t="s">
        <v>17056</v>
      </c>
      <c r="H3661" t="s">
        <v>17082</v>
      </c>
      <c r="I3661" t="s">
        <v>17083</v>
      </c>
      <c r="J3661" t="s">
        <v>5351</v>
      </c>
      <c r="M3661" t="s">
        <v>46</v>
      </c>
      <c r="N3661" t="s">
        <v>1806</v>
      </c>
      <c r="O3661" t="s">
        <v>12012</v>
      </c>
      <c r="P3661" t="s">
        <v>17084</v>
      </c>
      <c r="Q3661" t="s">
        <v>17085</v>
      </c>
      <c r="R3661">
        <v>12</v>
      </c>
      <c r="S3661">
        <v>16</v>
      </c>
    </row>
    <row r="3662" spans="1:19" x14ac:dyDescent="0.35">
      <c r="A3662">
        <v>2632</v>
      </c>
      <c r="B3662" t="s">
        <v>17086</v>
      </c>
      <c r="C3662" t="s">
        <v>42</v>
      </c>
      <c r="D3662" t="s">
        <v>17087</v>
      </c>
      <c r="E3662" t="e" cm="1">
        <f t="array" ref="E3662">- CINNARIZINE</f>
        <v>#NAME?</v>
      </c>
      <c r="F3662" t="s">
        <v>17088</v>
      </c>
      <c r="G3662" t="s">
        <v>4482</v>
      </c>
      <c r="H3662" t="s">
        <v>17089</v>
      </c>
      <c r="I3662" t="s">
        <v>17090</v>
      </c>
      <c r="J3662" t="s">
        <v>381</v>
      </c>
      <c r="K3662" t="s">
        <v>3952</v>
      </c>
      <c r="L3662" t="s">
        <v>17091</v>
      </c>
      <c r="M3662" t="s">
        <v>46</v>
      </c>
      <c r="N3662" t="s">
        <v>16982</v>
      </c>
      <c r="O3662" t="s">
        <v>16983</v>
      </c>
      <c r="P3662" t="s">
        <v>17092</v>
      </c>
      <c r="Q3662" t="s">
        <v>17093</v>
      </c>
      <c r="R3662">
        <v>12</v>
      </c>
      <c r="S3662">
        <v>16</v>
      </c>
    </row>
    <row r="3663" spans="1:19" x14ac:dyDescent="0.35">
      <c r="A3663">
        <v>5540</v>
      </c>
      <c r="B3663" t="s">
        <v>17094</v>
      </c>
      <c r="C3663" t="s">
        <v>850</v>
      </c>
      <c r="D3663" t="s">
        <v>17095</v>
      </c>
      <c r="E3663" t="e" cm="1">
        <f t="array" ref="E3663">- centella asiatica phytosome</f>
        <v>#NAME?</v>
      </c>
      <c r="F3663" t="s">
        <v>17096</v>
      </c>
      <c r="G3663" t="s">
        <v>17097</v>
      </c>
      <c r="H3663" t="s">
        <v>17098</v>
      </c>
      <c r="I3663" t="s">
        <v>17099</v>
      </c>
      <c r="J3663" t="s">
        <v>17100</v>
      </c>
      <c r="K3663" t="s">
        <v>2726</v>
      </c>
      <c r="L3663" t="s">
        <v>17101</v>
      </c>
      <c r="M3663" t="s">
        <v>1289</v>
      </c>
      <c r="N3663" t="s">
        <v>17102</v>
      </c>
      <c r="O3663" t="s">
        <v>17103</v>
      </c>
      <c r="P3663" t="s">
        <v>17104</v>
      </c>
      <c r="Q3663" t="s">
        <v>17105</v>
      </c>
      <c r="R3663">
        <v>12</v>
      </c>
      <c r="S3663">
        <v>16</v>
      </c>
    </row>
    <row r="3664" spans="1:19" x14ac:dyDescent="0.35">
      <c r="A3664">
        <v>2739</v>
      </c>
      <c r="B3664" t="s">
        <v>17106</v>
      </c>
      <c r="C3664" t="s">
        <v>42</v>
      </c>
      <c r="D3664" t="s">
        <v>17107</v>
      </c>
      <c r="E3664" t="e" cm="1">
        <f t="array" ref="E3664">- PARACETAMOL</f>
        <v>#NAME?</v>
      </c>
      <c r="F3664" t="s">
        <v>17108</v>
      </c>
      <c r="G3664" t="s">
        <v>4420</v>
      </c>
      <c r="H3664" t="s">
        <v>17109</v>
      </c>
      <c r="I3664" t="s">
        <v>17110</v>
      </c>
      <c r="J3664" t="s">
        <v>15163</v>
      </c>
      <c r="K3664" t="s">
        <v>17111</v>
      </c>
      <c r="L3664" t="s">
        <v>17112</v>
      </c>
      <c r="M3664" t="s">
        <v>291</v>
      </c>
      <c r="N3664" t="s">
        <v>584</v>
      </c>
      <c r="O3664" t="s">
        <v>17113</v>
      </c>
      <c r="P3664" t="s">
        <v>17114</v>
      </c>
      <c r="Q3664" t="s">
        <v>17115</v>
      </c>
      <c r="R3664">
        <v>12</v>
      </c>
      <c r="S3664">
        <v>16</v>
      </c>
    </row>
    <row r="3665" spans="1:19" x14ac:dyDescent="0.35">
      <c r="A3665">
        <v>2740</v>
      </c>
      <c r="B3665" t="s">
        <v>17116</v>
      </c>
      <c r="C3665" t="s">
        <v>42</v>
      </c>
      <c r="D3665" t="s">
        <v>17117</v>
      </c>
      <c r="E3665" t="e" cm="1">
        <f t="array" ref="E3665">- PARACETAMOL</f>
        <v>#NAME?</v>
      </c>
      <c r="F3665" t="s">
        <v>17118</v>
      </c>
      <c r="G3665" t="s">
        <v>4420</v>
      </c>
      <c r="H3665" t="s">
        <v>17119</v>
      </c>
      <c r="I3665" t="s">
        <v>15009</v>
      </c>
      <c r="J3665" t="s">
        <v>17120</v>
      </c>
      <c r="K3665" t="s">
        <v>17111</v>
      </c>
      <c r="L3665" t="s">
        <v>17112</v>
      </c>
      <c r="M3665" t="s">
        <v>291</v>
      </c>
      <c r="N3665" t="s">
        <v>584</v>
      </c>
      <c r="O3665" t="s">
        <v>15011</v>
      </c>
      <c r="P3665" t="s">
        <v>17121</v>
      </c>
      <c r="Q3665" t="s">
        <v>17122</v>
      </c>
      <c r="R3665">
        <v>12</v>
      </c>
      <c r="S3665">
        <v>16</v>
      </c>
    </row>
    <row r="3666" spans="1:19" x14ac:dyDescent="0.35">
      <c r="A3666">
        <v>2741</v>
      </c>
      <c r="B3666" t="s">
        <v>17116</v>
      </c>
      <c r="C3666" t="s">
        <v>42</v>
      </c>
      <c r="D3666" t="s">
        <v>17117</v>
      </c>
      <c r="E3666" t="e" cm="1">
        <f t="array" ref="E3666">- PARACETAMOL</f>
        <v>#NAME?</v>
      </c>
      <c r="F3666" t="s">
        <v>17118</v>
      </c>
      <c r="G3666" t="s">
        <v>4420</v>
      </c>
      <c r="H3666" t="s">
        <v>17119</v>
      </c>
      <c r="I3666" t="s">
        <v>15009</v>
      </c>
      <c r="J3666" t="s">
        <v>17120</v>
      </c>
      <c r="K3666" t="s">
        <v>17111</v>
      </c>
      <c r="L3666" t="s">
        <v>17112</v>
      </c>
      <c r="M3666" t="s">
        <v>291</v>
      </c>
      <c r="N3666" t="s">
        <v>584</v>
      </c>
      <c r="O3666" t="s">
        <v>15011</v>
      </c>
      <c r="P3666" t="s">
        <v>17121</v>
      </c>
      <c r="Q3666" t="s">
        <v>17122</v>
      </c>
      <c r="R3666">
        <v>12</v>
      </c>
      <c r="S3666">
        <v>16</v>
      </c>
    </row>
    <row r="3667" spans="1:19" x14ac:dyDescent="0.35">
      <c r="A3667">
        <v>5479</v>
      </c>
      <c r="B3667" t="s">
        <v>11672</v>
      </c>
      <c r="C3667" t="s">
        <v>42</v>
      </c>
      <c r="D3667" t="s">
        <v>11673</v>
      </c>
      <c r="E3667" t="e" cm="1">
        <f t="array" ref="E3667">- BETAMETHASONE VALERATE. NEOMYCIN SULFATE</f>
        <v>#NAME?</v>
      </c>
      <c r="F3667" t="s">
        <v>11674</v>
      </c>
      <c r="G3667" t="s">
        <v>5456</v>
      </c>
      <c r="H3667" t="s">
        <v>2764</v>
      </c>
      <c r="I3667" t="s">
        <v>11675</v>
      </c>
      <c r="J3667" t="s">
        <v>11676</v>
      </c>
      <c r="K3667" t="s">
        <v>11677</v>
      </c>
      <c r="L3667" t="s">
        <v>11678</v>
      </c>
      <c r="M3667" t="s">
        <v>1289</v>
      </c>
      <c r="N3667" t="s">
        <v>4089</v>
      </c>
      <c r="O3667" t="s">
        <v>11679</v>
      </c>
      <c r="P3667" t="s">
        <v>11680</v>
      </c>
      <c r="Q3667" t="s">
        <v>17123</v>
      </c>
      <c r="R3667">
        <v>12</v>
      </c>
      <c r="S3667">
        <v>16</v>
      </c>
    </row>
    <row r="3668" spans="1:19" x14ac:dyDescent="0.35">
      <c r="A3668">
        <v>5477</v>
      </c>
      <c r="B3668" t="s">
        <v>11672</v>
      </c>
      <c r="C3668" t="s">
        <v>42</v>
      </c>
      <c r="D3668" t="s">
        <v>11745</v>
      </c>
      <c r="E3668" t="e" cm="1">
        <f t="array" ref="E3668">- BETAMETHASONE VALERATE. NEOMYCIN SULFATE</f>
        <v>#NAME?</v>
      </c>
      <c r="F3668" t="s">
        <v>11746</v>
      </c>
      <c r="G3668" t="s">
        <v>5456</v>
      </c>
      <c r="H3668" t="s">
        <v>2764</v>
      </c>
      <c r="I3668" t="s">
        <v>11675</v>
      </c>
      <c r="J3668" t="s">
        <v>11747</v>
      </c>
      <c r="K3668" t="s">
        <v>11677</v>
      </c>
      <c r="L3668" t="s">
        <v>11748</v>
      </c>
      <c r="M3668" t="s">
        <v>1289</v>
      </c>
      <c r="N3668" t="s">
        <v>4089</v>
      </c>
      <c r="O3668" t="s">
        <v>11679</v>
      </c>
      <c r="P3668" t="s">
        <v>11680</v>
      </c>
      <c r="Q3668" t="s">
        <v>17123</v>
      </c>
      <c r="R3668">
        <v>12</v>
      </c>
      <c r="S3668">
        <v>16</v>
      </c>
    </row>
    <row r="3669" spans="1:19" x14ac:dyDescent="0.35">
      <c r="A3669">
        <v>5473</v>
      </c>
      <c r="B3669" t="s">
        <v>17124</v>
      </c>
      <c r="C3669" t="s">
        <v>42</v>
      </c>
      <c r="D3669" t="s">
        <v>17125</v>
      </c>
      <c r="E3669" t="e" cm="1">
        <f t="array" ref="E3669">- FLUOCINOLONE ACETONIDE</f>
        <v>#NAME?</v>
      </c>
      <c r="F3669" t="s">
        <v>17126</v>
      </c>
      <c r="G3669" t="s">
        <v>17127</v>
      </c>
      <c r="H3669" t="s">
        <v>9718</v>
      </c>
      <c r="I3669" t="s">
        <v>17128</v>
      </c>
      <c r="J3669" t="s">
        <v>17129</v>
      </c>
      <c r="K3669" t="s">
        <v>17130</v>
      </c>
      <c r="L3669" t="s">
        <v>17131</v>
      </c>
      <c r="M3669" t="s">
        <v>1289</v>
      </c>
      <c r="N3669" t="s">
        <v>2766</v>
      </c>
      <c r="O3669" t="s">
        <v>17132</v>
      </c>
      <c r="P3669" t="s">
        <v>17133</v>
      </c>
      <c r="Q3669" t="s">
        <v>17134</v>
      </c>
      <c r="R3669">
        <v>12</v>
      </c>
      <c r="S3669">
        <v>16</v>
      </c>
    </row>
    <row r="3670" spans="1:19" x14ac:dyDescent="0.35">
      <c r="A3670">
        <v>7284</v>
      </c>
      <c r="B3670" t="s">
        <v>17135</v>
      </c>
      <c r="C3670" t="s">
        <v>20</v>
      </c>
      <c r="D3670" t="s">
        <v>17136</v>
      </c>
      <c r="E3670" t="s">
        <v>17137</v>
      </c>
      <c r="F3670" t="s">
        <v>17138</v>
      </c>
      <c r="J3670" t="s">
        <v>17139</v>
      </c>
      <c r="M3670" t="s">
        <v>2115</v>
      </c>
      <c r="N3670" t="s">
        <v>17140</v>
      </c>
      <c r="P3670" t="s">
        <v>17141</v>
      </c>
      <c r="Q3670" t="s">
        <v>17142</v>
      </c>
      <c r="R3670">
        <v>12</v>
      </c>
      <c r="S3670">
        <v>16</v>
      </c>
    </row>
    <row r="3671" spans="1:19" x14ac:dyDescent="0.35">
      <c r="A3671">
        <v>1480</v>
      </c>
      <c r="B3671" t="s">
        <v>17143</v>
      </c>
      <c r="C3671" t="s">
        <v>42</v>
      </c>
      <c r="D3671" t="s">
        <v>17144</v>
      </c>
      <c r="E3671" t="e" cm="1">
        <f t="array" ref="E3671">- ERDOSTEINE</f>
        <v>#NAME?</v>
      </c>
      <c r="F3671" t="s">
        <v>1740</v>
      </c>
      <c r="G3671" t="s">
        <v>14113</v>
      </c>
      <c r="H3671" t="s">
        <v>8844</v>
      </c>
      <c r="I3671" t="s">
        <v>17145</v>
      </c>
      <c r="J3671" t="s">
        <v>17146</v>
      </c>
      <c r="K3671" t="s">
        <v>17147</v>
      </c>
      <c r="L3671" t="s">
        <v>17148</v>
      </c>
      <c r="M3671" t="s">
        <v>38</v>
      </c>
      <c r="N3671" t="s">
        <v>471</v>
      </c>
      <c r="O3671" t="s">
        <v>17149</v>
      </c>
      <c r="P3671" t="s">
        <v>17150</v>
      </c>
      <c r="Q3671" t="s">
        <v>17151</v>
      </c>
      <c r="R3671">
        <v>12</v>
      </c>
      <c r="S3671">
        <v>16</v>
      </c>
    </row>
    <row r="3672" spans="1:19" x14ac:dyDescent="0.35">
      <c r="A3672">
        <v>1479</v>
      </c>
      <c r="B3672" t="s">
        <v>17152</v>
      </c>
      <c r="C3672" t="s">
        <v>42</v>
      </c>
      <c r="D3672" t="s">
        <v>17153</v>
      </c>
      <c r="E3672" t="e" cm="1">
        <f t="array" ref="E3672">- ERDOSTEINE</f>
        <v>#NAME?</v>
      </c>
      <c r="F3672" t="s">
        <v>17154</v>
      </c>
      <c r="G3672" t="s">
        <v>2178</v>
      </c>
      <c r="H3672" t="s">
        <v>17155</v>
      </c>
      <c r="I3672" t="s">
        <v>17145</v>
      </c>
      <c r="J3672" t="s">
        <v>3926</v>
      </c>
      <c r="K3672" t="s">
        <v>17156</v>
      </c>
      <c r="L3672" t="s">
        <v>17148</v>
      </c>
      <c r="M3672" t="s">
        <v>271</v>
      </c>
      <c r="N3672" t="s">
        <v>471</v>
      </c>
      <c r="O3672" t="s">
        <v>17149</v>
      </c>
      <c r="P3672" t="s">
        <v>17150</v>
      </c>
      <c r="Q3672" t="s">
        <v>17157</v>
      </c>
      <c r="R3672">
        <v>12</v>
      </c>
      <c r="S3672">
        <v>16</v>
      </c>
    </row>
    <row r="3673" spans="1:19" x14ac:dyDescent="0.35">
      <c r="A3673">
        <v>1478</v>
      </c>
      <c r="B3673" t="s">
        <v>17152</v>
      </c>
      <c r="C3673" t="s">
        <v>42</v>
      </c>
      <c r="D3673" t="s">
        <v>17153</v>
      </c>
      <c r="E3673" t="e" cm="1">
        <f t="array" ref="E3673">- ERDOSTEINE</f>
        <v>#NAME?</v>
      </c>
      <c r="F3673" t="s">
        <v>17154</v>
      </c>
      <c r="G3673" t="s">
        <v>2178</v>
      </c>
      <c r="H3673" t="s">
        <v>17155</v>
      </c>
      <c r="I3673" t="s">
        <v>17145</v>
      </c>
      <c r="J3673" t="s">
        <v>3926</v>
      </c>
      <c r="K3673" t="s">
        <v>17156</v>
      </c>
      <c r="L3673" t="s">
        <v>17148</v>
      </c>
      <c r="M3673" t="s">
        <v>271</v>
      </c>
      <c r="N3673" t="s">
        <v>471</v>
      </c>
      <c r="O3673" t="s">
        <v>17149</v>
      </c>
      <c r="P3673" t="s">
        <v>17150</v>
      </c>
      <c r="Q3673" t="s">
        <v>17157</v>
      </c>
      <c r="R3673">
        <v>12</v>
      </c>
      <c r="S3673">
        <v>16</v>
      </c>
    </row>
    <row r="3674" spans="1:19" x14ac:dyDescent="0.35">
      <c r="A3674">
        <v>7285</v>
      </c>
      <c r="B3674" t="s">
        <v>17135</v>
      </c>
      <c r="C3674" t="s">
        <v>20</v>
      </c>
      <c r="D3674" t="s">
        <v>17158</v>
      </c>
      <c r="E3674" t="s">
        <v>17137</v>
      </c>
      <c r="F3674" t="s">
        <v>17159</v>
      </c>
      <c r="J3674" t="s">
        <v>17160</v>
      </c>
      <c r="M3674" t="s">
        <v>2115</v>
      </c>
      <c r="N3674" t="s">
        <v>17140</v>
      </c>
      <c r="P3674" t="s">
        <v>17141</v>
      </c>
      <c r="Q3674" t="s">
        <v>17142</v>
      </c>
      <c r="R3674">
        <v>12</v>
      </c>
      <c r="S3674">
        <v>16</v>
      </c>
    </row>
    <row r="3675" spans="1:19" x14ac:dyDescent="0.35">
      <c r="A3675">
        <v>7306</v>
      </c>
      <c r="B3675" t="s">
        <v>17161</v>
      </c>
      <c r="C3675" t="s">
        <v>20</v>
      </c>
      <c r="D3675" t="s">
        <v>17162</v>
      </c>
      <c r="E3675" t="s">
        <v>16245</v>
      </c>
      <c r="F3675" t="s">
        <v>17163</v>
      </c>
      <c r="G3675" t="s">
        <v>60</v>
      </c>
      <c r="H3675" t="s">
        <v>17164</v>
      </c>
      <c r="I3675" t="s">
        <v>16247</v>
      </c>
      <c r="J3675" t="s">
        <v>7681</v>
      </c>
      <c r="L3675" t="s">
        <v>16248</v>
      </c>
      <c r="M3675" t="s">
        <v>818</v>
      </c>
      <c r="N3675" t="s">
        <v>16249</v>
      </c>
      <c r="O3675" t="s">
        <v>16250</v>
      </c>
      <c r="P3675" t="s">
        <v>16251</v>
      </c>
      <c r="Q3675" t="s">
        <v>17165</v>
      </c>
      <c r="R3675">
        <v>12</v>
      </c>
      <c r="S3675">
        <v>16</v>
      </c>
    </row>
    <row r="3676" spans="1:19" x14ac:dyDescent="0.35">
      <c r="A3676">
        <v>7309</v>
      </c>
      <c r="B3676" t="s">
        <v>17166</v>
      </c>
      <c r="C3676" t="s">
        <v>42</v>
      </c>
      <c r="D3676" t="s">
        <v>17167</v>
      </c>
      <c r="E3676" t="e" cm="1">
        <f t="array" ref="E3676">- CALCIUM POLYSTYRENE SULFONATE</f>
        <v>#NAME?</v>
      </c>
      <c r="F3676" s="1">
        <v>22200</v>
      </c>
      <c r="G3676" t="s">
        <v>17168</v>
      </c>
      <c r="H3676" t="s">
        <v>17169</v>
      </c>
      <c r="I3676" t="s">
        <v>17170</v>
      </c>
      <c r="J3676" t="s">
        <v>17171</v>
      </c>
      <c r="K3676" t="s">
        <v>17172</v>
      </c>
      <c r="L3676" t="s">
        <v>17173</v>
      </c>
      <c r="M3676" t="s">
        <v>1280</v>
      </c>
      <c r="N3676" t="s">
        <v>17174</v>
      </c>
      <c r="O3676" t="s">
        <v>17175</v>
      </c>
      <c r="P3676" t="s">
        <v>17176</v>
      </c>
      <c r="Q3676" t="s">
        <v>17177</v>
      </c>
      <c r="R3676">
        <v>12</v>
      </c>
      <c r="S3676">
        <v>16</v>
      </c>
    </row>
    <row r="3677" spans="1:19" x14ac:dyDescent="0.35">
      <c r="A3677">
        <v>7310</v>
      </c>
      <c r="B3677" t="s">
        <v>17166</v>
      </c>
      <c r="C3677" t="s">
        <v>42</v>
      </c>
      <c r="D3677" t="s">
        <v>17167</v>
      </c>
      <c r="E3677" t="e" cm="1">
        <f t="array" ref="E3677">- CALCIUM POLYSTYRENE SULFONATE</f>
        <v>#NAME?</v>
      </c>
      <c r="F3677" s="1">
        <v>22200</v>
      </c>
      <c r="G3677" t="s">
        <v>17168</v>
      </c>
      <c r="H3677" t="s">
        <v>17169</v>
      </c>
      <c r="I3677" t="s">
        <v>17170</v>
      </c>
      <c r="J3677" t="s">
        <v>17171</v>
      </c>
      <c r="K3677" t="s">
        <v>17172</v>
      </c>
      <c r="L3677" t="s">
        <v>17173</v>
      </c>
      <c r="M3677" t="s">
        <v>1280</v>
      </c>
      <c r="N3677" t="s">
        <v>17174</v>
      </c>
      <c r="O3677" t="s">
        <v>17175</v>
      </c>
      <c r="P3677" t="s">
        <v>17176</v>
      </c>
      <c r="Q3677" t="s">
        <v>17177</v>
      </c>
      <c r="R3677">
        <v>12</v>
      </c>
      <c r="S3677">
        <v>16</v>
      </c>
    </row>
    <row r="3678" spans="1:19" x14ac:dyDescent="0.35">
      <c r="A3678">
        <v>980</v>
      </c>
      <c r="B3678" t="s">
        <v>11564</v>
      </c>
      <c r="C3678" t="s">
        <v>42</v>
      </c>
      <c r="D3678" t="s">
        <v>17178</v>
      </c>
      <c r="E3678" t="e" cm="1">
        <f t="array" ref="E3678">- AMMONIUM CHLORIDE</f>
        <v>#NAME?</v>
      </c>
      <c r="F3678" t="s">
        <v>17179</v>
      </c>
      <c r="G3678" t="s">
        <v>2241</v>
      </c>
      <c r="H3678" t="s">
        <v>17180</v>
      </c>
      <c r="I3678" t="s">
        <v>13540</v>
      </c>
      <c r="J3678" t="s">
        <v>17181</v>
      </c>
      <c r="M3678" t="s">
        <v>271</v>
      </c>
      <c r="N3678" t="s">
        <v>1672</v>
      </c>
      <c r="O3678" t="s">
        <v>13542</v>
      </c>
      <c r="P3678" t="s">
        <v>17182</v>
      </c>
      <c r="Q3678" t="s">
        <v>17183</v>
      </c>
      <c r="R3678">
        <v>12</v>
      </c>
      <c r="S3678">
        <v>16</v>
      </c>
    </row>
    <row r="3679" spans="1:19" x14ac:dyDescent="0.35">
      <c r="A3679">
        <v>7315</v>
      </c>
      <c r="B3679" t="s">
        <v>17184</v>
      </c>
      <c r="C3679" t="s">
        <v>42</v>
      </c>
      <c r="D3679" t="s">
        <v>17185</v>
      </c>
      <c r="E3679" t="e" cm="1">
        <f t="array" ref="E3679">- TAMSULOSIN HYDROCHLORIDE</f>
        <v>#NAME?</v>
      </c>
      <c r="F3679" t="s">
        <v>17186</v>
      </c>
      <c r="G3679" t="s">
        <v>17187</v>
      </c>
      <c r="H3679" t="s">
        <v>17188</v>
      </c>
      <c r="I3679" t="s">
        <v>17189</v>
      </c>
      <c r="J3679" t="s">
        <v>15918</v>
      </c>
      <c r="K3679" t="s">
        <v>17190</v>
      </c>
      <c r="L3679" t="s">
        <v>17191</v>
      </c>
      <c r="M3679" t="s">
        <v>46</v>
      </c>
      <c r="N3679" t="s">
        <v>17192</v>
      </c>
      <c r="O3679" t="s">
        <v>17193</v>
      </c>
      <c r="P3679" t="s">
        <v>17194</v>
      </c>
      <c r="Q3679" t="s">
        <v>17195</v>
      </c>
      <c r="R3679">
        <v>12</v>
      </c>
      <c r="S3679">
        <v>16</v>
      </c>
    </row>
    <row r="3680" spans="1:19" x14ac:dyDescent="0.35">
      <c r="A3680">
        <v>9044</v>
      </c>
      <c r="B3680" t="s">
        <v>17196</v>
      </c>
      <c r="C3680" t="s">
        <v>42</v>
      </c>
      <c r="D3680" t="s">
        <v>17197</v>
      </c>
      <c r="E3680" t="e" cm="1">
        <f t="array" ref="E3680">- CANDESARTAN CILEXETIL</f>
        <v>#NAME?</v>
      </c>
      <c r="F3680" t="s">
        <v>17198</v>
      </c>
      <c r="G3680" t="s">
        <v>5698</v>
      </c>
      <c r="H3680" t="s">
        <v>17199</v>
      </c>
      <c r="I3680" t="s">
        <v>17200</v>
      </c>
      <c r="J3680" t="s">
        <v>2478</v>
      </c>
      <c r="K3680" t="s">
        <v>17201</v>
      </c>
      <c r="L3680" t="s">
        <v>17202</v>
      </c>
      <c r="M3680" t="s">
        <v>46</v>
      </c>
      <c r="N3680" t="s">
        <v>2447</v>
      </c>
      <c r="O3680" t="s">
        <v>17203</v>
      </c>
      <c r="P3680" t="s">
        <v>17204</v>
      </c>
      <c r="Q3680" t="s">
        <v>17205</v>
      </c>
      <c r="R3680">
        <v>12</v>
      </c>
      <c r="S3680">
        <v>16</v>
      </c>
    </row>
    <row r="3681" spans="1:19" x14ac:dyDescent="0.35">
      <c r="A3681">
        <v>2805</v>
      </c>
      <c r="B3681" t="s">
        <v>17206</v>
      </c>
      <c r="C3681" t="s">
        <v>42</v>
      </c>
      <c r="D3681" t="s">
        <v>17207</v>
      </c>
      <c r="E3681" t="e" cm="1">
        <f t="array" ref="E3681">- PARACETAMOL</f>
        <v>#NAME?</v>
      </c>
      <c r="F3681" t="s">
        <v>17208</v>
      </c>
      <c r="G3681" t="s">
        <v>6869</v>
      </c>
      <c r="H3681" t="s">
        <v>17209</v>
      </c>
      <c r="I3681" t="s">
        <v>16923</v>
      </c>
      <c r="J3681" t="s">
        <v>334</v>
      </c>
      <c r="K3681" t="s">
        <v>16924</v>
      </c>
      <c r="L3681" t="s">
        <v>16925</v>
      </c>
      <c r="M3681" t="s">
        <v>271</v>
      </c>
      <c r="N3681" t="s">
        <v>584</v>
      </c>
      <c r="O3681" t="s">
        <v>16926</v>
      </c>
      <c r="P3681" t="s">
        <v>17210</v>
      </c>
      <c r="Q3681" t="s">
        <v>17211</v>
      </c>
      <c r="R3681">
        <v>12</v>
      </c>
      <c r="S3681">
        <v>16</v>
      </c>
    </row>
    <row r="3682" spans="1:19" x14ac:dyDescent="0.35">
      <c r="A3682">
        <v>9011</v>
      </c>
      <c r="B3682" t="s">
        <v>11585</v>
      </c>
      <c r="C3682" t="s">
        <v>42</v>
      </c>
      <c r="D3682" t="s">
        <v>11586</v>
      </c>
      <c r="E3682" t="e" cm="1">
        <f t="array" ref="E3682">- INDAPAMIDE. PERINDOPRIL ARGININE</f>
        <v>#NAME?</v>
      </c>
      <c r="F3682" t="s">
        <v>11587</v>
      </c>
      <c r="G3682" t="s">
        <v>11588</v>
      </c>
      <c r="H3682" t="s">
        <v>2643</v>
      </c>
      <c r="I3682" t="s">
        <v>11589</v>
      </c>
      <c r="J3682" t="s">
        <v>11590</v>
      </c>
      <c r="K3682" t="s">
        <v>11591</v>
      </c>
      <c r="L3682" t="s">
        <v>11592</v>
      </c>
      <c r="M3682" t="s">
        <v>46</v>
      </c>
      <c r="N3682" t="s">
        <v>17212</v>
      </c>
      <c r="O3682" t="s">
        <v>11593</v>
      </c>
      <c r="P3682" t="s">
        <v>11594</v>
      </c>
      <c r="Q3682" t="s">
        <v>17213</v>
      </c>
      <c r="R3682">
        <v>12</v>
      </c>
      <c r="S3682">
        <v>16</v>
      </c>
    </row>
    <row r="3683" spans="1:19" x14ac:dyDescent="0.35">
      <c r="A3683">
        <v>9007</v>
      </c>
      <c r="B3683" t="s">
        <v>17214</v>
      </c>
      <c r="C3683" t="s">
        <v>42</v>
      </c>
      <c r="D3683" t="s">
        <v>17215</v>
      </c>
      <c r="E3683" t="e" cm="1">
        <f t="array" ref="E3683">- METOPROLOL SUCCINATE</f>
        <v>#NAME?</v>
      </c>
      <c r="F3683" t="s">
        <v>17216</v>
      </c>
      <c r="G3683" t="s">
        <v>17217</v>
      </c>
      <c r="H3683" t="s">
        <v>17218</v>
      </c>
      <c r="I3683" t="s">
        <v>17219</v>
      </c>
      <c r="J3683" t="s">
        <v>3063</v>
      </c>
      <c r="M3683" t="s">
        <v>46</v>
      </c>
      <c r="N3683" t="s">
        <v>17220</v>
      </c>
      <c r="O3683" t="s">
        <v>17221</v>
      </c>
      <c r="P3683" t="s">
        <v>17222</v>
      </c>
      <c r="Q3683" t="s">
        <v>17223</v>
      </c>
      <c r="R3683">
        <v>12</v>
      </c>
      <c r="S3683">
        <v>16</v>
      </c>
    </row>
    <row r="3684" spans="1:19" x14ac:dyDescent="0.35">
      <c r="A3684">
        <v>9006</v>
      </c>
      <c r="B3684" t="s">
        <v>17224</v>
      </c>
      <c r="C3684" t="s">
        <v>42</v>
      </c>
      <c r="D3684" t="s">
        <v>17225</v>
      </c>
      <c r="E3684" t="e" cm="1">
        <f t="array" ref="E3684">- METOPROLOL SUCCINATE</f>
        <v>#NAME?</v>
      </c>
      <c r="F3684" t="s">
        <v>17226</v>
      </c>
      <c r="G3684" t="s">
        <v>17217</v>
      </c>
      <c r="H3684" t="s">
        <v>17227</v>
      </c>
      <c r="I3684" t="s">
        <v>17219</v>
      </c>
      <c r="J3684" t="s">
        <v>3063</v>
      </c>
      <c r="M3684" t="s">
        <v>46</v>
      </c>
      <c r="N3684" t="s">
        <v>17220</v>
      </c>
      <c r="O3684" t="s">
        <v>17221</v>
      </c>
      <c r="P3684" t="s">
        <v>17222</v>
      </c>
      <c r="Q3684" t="s">
        <v>17223</v>
      </c>
      <c r="R3684">
        <v>12</v>
      </c>
      <c r="S3684">
        <v>16</v>
      </c>
    </row>
    <row r="3685" spans="1:19" x14ac:dyDescent="0.35">
      <c r="A3685">
        <v>2812</v>
      </c>
      <c r="B3685" t="s">
        <v>17228</v>
      </c>
      <c r="C3685" t="s">
        <v>42</v>
      </c>
      <c r="D3685" t="s">
        <v>17229</v>
      </c>
      <c r="E3685" t="e" cm="1">
        <f t="array" ref="E3685">- PARACETAMOL</f>
        <v>#NAME?</v>
      </c>
      <c r="F3685" t="s">
        <v>17230</v>
      </c>
      <c r="G3685" t="s">
        <v>2241</v>
      </c>
      <c r="H3685" t="s">
        <v>17231</v>
      </c>
      <c r="I3685" t="s">
        <v>16923</v>
      </c>
      <c r="J3685" t="s">
        <v>743</v>
      </c>
      <c r="K3685" t="s">
        <v>16924</v>
      </c>
      <c r="L3685" t="s">
        <v>16925</v>
      </c>
      <c r="M3685" t="s">
        <v>824</v>
      </c>
      <c r="N3685" t="s">
        <v>584</v>
      </c>
      <c r="O3685" t="s">
        <v>16926</v>
      </c>
      <c r="P3685" t="s">
        <v>17210</v>
      </c>
      <c r="Q3685" t="s">
        <v>17232</v>
      </c>
      <c r="R3685">
        <v>12</v>
      </c>
      <c r="S3685">
        <v>16</v>
      </c>
    </row>
    <row r="3686" spans="1:19" x14ac:dyDescent="0.35">
      <c r="A3686">
        <v>2813</v>
      </c>
      <c r="B3686" t="s">
        <v>17228</v>
      </c>
      <c r="C3686" t="s">
        <v>42</v>
      </c>
      <c r="D3686" t="s">
        <v>17229</v>
      </c>
      <c r="E3686" t="e" cm="1">
        <f t="array" ref="E3686">- PARACETAMOL</f>
        <v>#NAME?</v>
      </c>
      <c r="F3686" t="s">
        <v>17230</v>
      </c>
      <c r="G3686" t="s">
        <v>2241</v>
      </c>
      <c r="H3686" t="s">
        <v>17231</v>
      </c>
      <c r="I3686" t="s">
        <v>16923</v>
      </c>
      <c r="J3686" t="s">
        <v>743</v>
      </c>
      <c r="K3686" t="s">
        <v>16924</v>
      </c>
      <c r="L3686" t="s">
        <v>16925</v>
      </c>
      <c r="M3686" t="s">
        <v>824</v>
      </c>
      <c r="N3686" t="s">
        <v>584</v>
      </c>
      <c r="O3686" t="s">
        <v>16926</v>
      </c>
      <c r="P3686" t="s">
        <v>17210</v>
      </c>
      <c r="Q3686" t="s">
        <v>17232</v>
      </c>
      <c r="R3686">
        <v>12</v>
      </c>
      <c r="S3686">
        <v>16</v>
      </c>
    </row>
    <row r="3687" spans="1:19" x14ac:dyDescent="0.35">
      <c r="A3687">
        <v>981</v>
      </c>
      <c r="B3687" t="s">
        <v>11564</v>
      </c>
      <c r="C3687" t="s">
        <v>42</v>
      </c>
      <c r="D3687" t="s">
        <v>17178</v>
      </c>
      <c r="E3687" t="e" cm="1">
        <f t="array" ref="E3687">- AMMONIUM CHLORIDE</f>
        <v>#NAME?</v>
      </c>
      <c r="F3687" t="s">
        <v>17179</v>
      </c>
      <c r="G3687" t="s">
        <v>2241</v>
      </c>
      <c r="H3687" t="s">
        <v>17180</v>
      </c>
      <c r="I3687" t="s">
        <v>13540</v>
      </c>
      <c r="J3687" t="s">
        <v>17181</v>
      </c>
      <c r="M3687" t="s">
        <v>271</v>
      </c>
      <c r="N3687" t="s">
        <v>1672</v>
      </c>
      <c r="O3687" t="s">
        <v>13542</v>
      </c>
      <c r="P3687" t="s">
        <v>17182</v>
      </c>
      <c r="Q3687" t="s">
        <v>17183</v>
      </c>
      <c r="R3687">
        <v>12</v>
      </c>
      <c r="S3687">
        <v>16</v>
      </c>
    </row>
    <row r="3688" spans="1:19" x14ac:dyDescent="0.35">
      <c r="A3688">
        <v>157</v>
      </c>
      <c r="B3688" t="s">
        <v>2902</v>
      </c>
      <c r="C3688" t="s">
        <v>42</v>
      </c>
      <c r="D3688" t="s">
        <v>17233</v>
      </c>
      <c r="E3688" t="e" cm="1">
        <f t="array" ref="E3688">- SILDENAFIL CITRATE</f>
        <v>#NAME?</v>
      </c>
      <c r="F3688" t="s">
        <v>17234</v>
      </c>
      <c r="G3688" t="s">
        <v>17235</v>
      </c>
      <c r="H3688" t="s">
        <v>1322</v>
      </c>
      <c r="I3688" t="s">
        <v>17236</v>
      </c>
      <c r="J3688" t="s">
        <v>17237</v>
      </c>
      <c r="L3688" t="s">
        <v>17238</v>
      </c>
      <c r="M3688" t="s">
        <v>46</v>
      </c>
      <c r="N3688" t="s">
        <v>2519</v>
      </c>
      <c r="O3688" t="s">
        <v>17239</v>
      </c>
      <c r="P3688" t="s">
        <v>17240</v>
      </c>
      <c r="Q3688" t="s">
        <v>17241</v>
      </c>
      <c r="R3688">
        <v>12</v>
      </c>
      <c r="S3688">
        <v>16</v>
      </c>
    </row>
    <row r="3689" spans="1:19" x14ac:dyDescent="0.35">
      <c r="A3689">
        <v>1488</v>
      </c>
      <c r="B3689" t="s">
        <v>17242</v>
      </c>
      <c r="C3689" t="s">
        <v>42</v>
      </c>
      <c r="D3689" t="s">
        <v>17243</v>
      </c>
      <c r="E3689" t="e" cm="1">
        <f t="array" ref="E3689">- DIPHENHYDRAMINE HYDROCHLORIDE. AMMONIUM CHLORIDE. DEXTROMETHORPHAN HYDROBROMIDE. PARACETAMOL. PHENYLEPHRINE HYDROCHLORIDE</f>
        <v>#NAME?</v>
      </c>
      <c r="F3689" t="s">
        <v>17244</v>
      </c>
      <c r="J3689" t="s">
        <v>17245</v>
      </c>
      <c r="M3689" t="s">
        <v>271</v>
      </c>
      <c r="N3689" t="s">
        <v>17246</v>
      </c>
      <c r="P3689" t="s">
        <v>17247</v>
      </c>
      <c r="Q3689" t="s">
        <v>17248</v>
      </c>
      <c r="R3689">
        <v>12</v>
      </c>
      <c r="S3689">
        <v>16</v>
      </c>
    </row>
    <row r="3690" spans="1:19" x14ac:dyDescent="0.35">
      <c r="A3690">
        <v>951</v>
      </c>
      <c r="B3690" t="s">
        <v>17249</v>
      </c>
      <c r="C3690" t="s">
        <v>42</v>
      </c>
      <c r="D3690" t="s">
        <v>17250</v>
      </c>
      <c r="E3690" t="e" cm="1">
        <f t="array" ref="E3690">- PSEUDOEPHEDRINE HYDROCHLORIDE</f>
        <v>#NAME?</v>
      </c>
      <c r="F3690" s="1">
        <v>19200</v>
      </c>
      <c r="G3690" t="s">
        <v>60</v>
      </c>
      <c r="H3690" t="s">
        <v>17251</v>
      </c>
      <c r="I3690" t="s">
        <v>17252</v>
      </c>
      <c r="J3690" t="s">
        <v>17253</v>
      </c>
      <c r="K3690" t="s">
        <v>17254</v>
      </c>
    </row>
    <row r="3691" spans="1:19" x14ac:dyDescent="0.35">
      <c r="A3691">
        <v>9105</v>
      </c>
      <c r="B3691" t="s">
        <v>17255</v>
      </c>
      <c r="C3691" t="s">
        <v>42</v>
      </c>
      <c r="D3691" t="s">
        <v>17256</v>
      </c>
      <c r="E3691" t="e" cm="1">
        <f t="array" ref="E3691">- DILTIAZEM HYDROCHLORIDE</f>
        <v>#NAME?</v>
      </c>
      <c r="F3691" t="s">
        <v>17257</v>
      </c>
      <c r="G3691" t="s">
        <v>60</v>
      </c>
      <c r="H3691" t="s">
        <v>17258</v>
      </c>
      <c r="I3691" t="s">
        <v>17259</v>
      </c>
      <c r="J3691" t="s">
        <v>381</v>
      </c>
      <c r="K3691" t="s">
        <v>17260</v>
      </c>
      <c r="L3691" t="s">
        <v>17261</v>
      </c>
      <c r="M3691" t="s">
        <v>46</v>
      </c>
      <c r="N3691" t="s">
        <v>2457</v>
      </c>
      <c r="O3691" t="s">
        <v>17262</v>
      </c>
      <c r="P3691" t="s">
        <v>17263</v>
      </c>
      <c r="Q3691" t="s">
        <v>17264</v>
      </c>
      <c r="R3691">
        <v>12</v>
      </c>
      <c r="S3691">
        <v>16</v>
      </c>
    </row>
    <row r="3692" spans="1:19" x14ac:dyDescent="0.35">
      <c r="A3692">
        <v>5483</v>
      </c>
      <c r="B3692" t="s">
        <v>11300</v>
      </c>
      <c r="C3692" t="s">
        <v>42</v>
      </c>
      <c r="D3692" t="s">
        <v>11301</v>
      </c>
      <c r="E3692" t="e" cm="1">
        <f t="array" ref="E3692">- FLUOCINOLONE ACETONIDE. NEOMYCIN SULFATE</f>
        <v>#NAME?</v>
      </c>
      <c r="F3692" t="s">
        <v>11302</v>
      </c>
      <c r="H3692" t="s">
        <v>319</v>
      </c>
      <c r="I3692" t="s">
        <v>11303</v>
      </c>
      <c r="J3692" t="s">
        <v>2040</v>
      </c>
      <c r="L3692" t="s">
        <v>321</v>
      </c>
      <c r="M3692" t="s">
        <v>1289</v>
      </c>
      <c r="N3692" t="s">
        <v>9723</v>
      </c>
      <c r="O3692" t="s">
        <v>11304</v>
      </c>
      <c r="P3692" t="s">
        <v>11305</v>
      </c>
      <c r="Q3692" t="s">
        <v>17265</v>
      </c>
      <c r="R3692">
        <v>12</v>
      </c>
      <c r="S3692">
        <v>16</v>
      </c>
    </row>
    <row r="3693" spans="1:19" x14ac:dyDescent="0.35">
      <c r="A3693">
        <v>5535</v>
      </c>
      <c r="B3693" t="s">
        <v>17266</v>
      </c>
      <c r="C3693" t="s">
        <v>42</v>
      </c>
      <c r="D3693" t="s">
        <v>17267</v>
      </c>
      <c r="E3693" t="e" cm="1">
        <f t="array" ref="E3693">- HEPARIN SODIUM</f>
        <v>#NAME?</v>
      </c>
      <c r="F3693" t="s">
        <v>17268</v>
      </c>
      <c r="G3693" t="s">
        <v>17269</v>
      </c>
      <c r="H3693" t="s">
        <v>17270</v>
      </c>
      <c r="I3693" t="s">
        <v>17271</v>
      </c>
      <c r="J3693" t="s">
        <v>2049</v>
      </c>
      <c r="K3693" t="s">
        <v>17272</v>
      </c>
      <c r="L3693" t="s">
        <v>17273</v>
      </c>
      <c r="M3693" t="s">
        <v>87</v>
      </c>
      <c r="N3693" t="s">
        <v>2168</v>
      </c>
      <c r="O3693" t="s">
        <v>17274</v>
      </c>
      <c r="P3693" t="s">
        <v>17275</v>
      </c>
      <c r="Q3693" t="s">
        <v>17276</v>
      </c>
      <c r="R3693">
        <v>12</v>
      </c>
      <c r="S3693">
        <v>16</v>
      </c>
    </row>
    <row r="3694" spans="1:19" x14ac:dyDescent="0.35">
      <c r="A3694">
        <v>644</v>
      </c>
      <c r="B3694" t="s">
        <v>17277</v>
      </c>
      <c r="C3694" t="s">
        <v>850</v>
      </c>
      <c r="D3694" t="s">
        <v>17278</v>
      </c>
      <c r="E3694" t="e" cm="1">
        <f t="array" ref="E3694">- Anethole</f>
        <v>#NAME?</v>
      </c>
      <c r="F3694" t="s">
        <v>17279</v>
      </c>
      <c r="G3694" t="s">
        <v>17280</v>
      </c>
      <c r="H3694" t="s">
        <v>1322</v>
      </c>
      <c r="I3694" t="s">
        <v>17281</v>
      </c>
      <c r="J3694" t="s">
        <v>17282</v>
      </c>
      <c r="L3694" t="s">
        <v>13303</v>
      </c>
      <c r="M3694" t="s">
        <v>3632</v>
      </c>
      <c r="N3694" t="s">
        <v>17283</v>
      </c>
      <c r="O3694" t="s">
        <v>17284</v>
      </c>
      <c r="P3694" t="s">
        <v>17285</v>
      </c>
      <c r="Q3694" t="s">
        <v>17286</v>
      </c>
      <c r="R3694">
        <v>12</v>
      </c>
      <c r="S3694">
        <v>16</v>
      </c>
    </row>
    <row r="3695" spans="1:19" x14ac:dyDescent="0.35">
      <c r="A3695">
        <v>5531</v>
      </c>
      <c r="B3695" t="s">
        <v>17287</v>
      </c>
      <c r="C3695" t="s">
        <v>42</v>
      </c>
      <c r="D3695" t="s">
        <v>17288</v>
      </c>
      <c r="E3695" t="e" cm="1">
        <f t="array" ref="E3695">- UREA</f>
        <v>#NAME?</v>
      </c>
      <c r="F3695" t="s">
        <v>17289</v>
      </c>
      <c r="G3695" t="s">
        <v>17290</v>
      </c>
      <c r="H3695" t="s">
        <v>17291</v>
      </c>
      <c r="I3695" t="s">
        <v>17292</v>
      </c>
      <c r="J3695" t="s">
        <v>17293</v>
      </c>
      <c r="K3695" t="s">
        <v>2726</v>
      </c>
      <c r="L3695" t="s">
        <v>17294</v>
      </c>
      <c r="M3695" t="s">
        <v>1289</v>
      </c>
      <c r="N3695" t="s">
        <v>17295</v>
      </c>
      <c r="O3695" t="s">
        <v>17296</v>
      </c>
      <c r="P3695" t="s">
        <v>17297</v>
      </c>
      <c r="Q3695" t="s">
        <v>17298</v>
      </c>
      <c r="R3695">
        <v>12</v>
      </c>
      <c r="S3695">
        <v>16</v>
      </c>
    </row>
    <row r="3696" spans="1:19" x14ac:dyDescent="0.35">
      <c r="A3696">
        <v>1515</v>
      </c>
      <c r="B3696" t="s">
        <v>3342</v>
      </c>
      <c r="C3696" t="s">
        <v>42</v>
      </c>
      <c r="D3696" t="s">
        <v>3343</v>
      </c>
      <c r="E3696" t="e" cm="1">
        <f t="array" ref="E3696">- PARACETAMOL. AMMONIUM CHLORIDE. PSEUDOEPHEDRINE HYDROCHLORIDE. CHLORPHENAMINE MALEATE. SUCCUS LIQUIRITIAE</f>
        <v>#NAME?</v>
      </c>
      <c r="F3696" t="s">
        <v>3344</v>
      </c>
      <c r="J3696" t="s">
        <v>614</v>
      </c>
      <c r="M3696" t="s">
        <v>271</v>
      </c>
      <c r="N3696" t="s">
        <v>17299</v>
      </c>
      <c r="P3696" t="s">
        <v>3345</v>
      </c>
      <c r="Q3696" t="s">
        <v>17300</v>
      </c>
      <c r="R3696">
        <v>12</v>
      </c>
      <c r="S3696">
        <v>16</v>
      </c>
    </row>
    <row r="3697" spans="1:19" x14ac:dyDescent="0.35">
      <c r="A3697">
        <v>9144</v>
      </c>
      <c r="B3697" t="s">
        <v>17301</v>
      </c>
      <c r="C3697" t="s">
        <v>42</v>
      </c>
      <c r="D3697" t="s">
        <v>17302</v>
      </c>
      <c r="E3697" t="e" cm="1">
        <f t="array" ref="E3697">- DILTIAZEM HYDROCHLORIDE</f>
        <v>#NAME?</v>
      </c>
      <c r="F3697" t="s">
        <v>17303</v>
      </c>
      <c r="G3697" t="s">
        <v>17304</v>
      </c>
      <c r="H3697" t="s">
        <v>17305</v>
      </c>
      <c r="I3697" t="s">
        <v>17306</v>
      </c>
      <c r="J3697" t="s">
        <v>17307</v>
      </c>
      <c r="K3697" t="s">
        <v>2858</v>
      </c>
      <c r="L3697" t="s">
        <v>17308</v>
      </c>
      <c r="M3697" t="s">
        <v>38</v>
      </c>
      <c r="N3697" t="s">
        <v>2457</v>
      </c>
      <c r="O3697" t="s">
        <v>17309</v>
      </c>
      <c r="P3697" t="s">
        <v>13667</v>
      </c>
      <c r="Q3697" t="s">
        <v>17310</v>
      </c>
      <c r="R3697">
        <v>12</v>
      </c>
      <c r="S3697">
        <v>16</v>
      </c>
    </row>
    <row r="3698" spans="1:19" x14ac:dyDescent="0.35">
      <c r="A3698">
        <v>9143</v>
      </c>
      <c r="B3698" t="s">
        <v>17301</v>
      </c>
      <c r="C3698" t="s">
        <v>42</v>
      </c>
      <c r="D3698" t="s">
        <v>17302</v>
      </c>
      <c r="E3698" t="e" cm="1">
        <f t="array" ref="E3698">- DILTIAZEM HYDROCHLORIDE</f>
        <v>#NAME?</v>
      </c>
      <c r="F3698" t="s">
        <v>17303</v>
      </c>
      <c r="G3698" t="s">
        <v>17304</v>
      </c>
      <c r="H3698" t="s">
        <v>17305</v>
      </c>
      <c r="I3698" t="s">
        <v>17306</v>
      </c>
      <c r="J3698" t="s">
        <v>17307</v>
      </c>
      <c r="K3698" t="s">
        <v>2858</v>
      </c>
      <c r="L3698" t="s">
        <v>17308</v>
      </c>
      <c r="M3698" t="s">
        <v>38</v>
      </c>
      <c r="N3698" t="s">
        <v>2457</v>
      </c>
      <c r="O3698" t="s">
        <v>17309</v>
      </c>
      <c r="P3698" t="s">
        <v>13667</v>
      </c>
      <c r="Q3698" t="s">
        <v>17310</v>
      </c>
      <c r="R3698">
        <v>12</v>
      </c>
      <c r="S3698">
        <v>16</v>
      </c>
    </row>
    <row r="3699" spans="1:19" x14ac:dyDescent="0.35">
      <c r="A3699">
        <v>5522</v>
      </c>
      <c r="B3699" t="s">
        <v>17311</v>
      </c>
      <c r="C3699" t="s">
        <v>42</v>
      </c>
      <c r="D3699" t="s">
        <v>17312</v>
      </c>
      <c r="E3699" t="e" cm="1">
        <f t="array" ref="E3699">- UREA</f>
        <v>#NAME?</v>
      </c>
      <c r="F3699" t="s">
        <v>17313</v>
      </c>
      <c r="G3699" t="s">
        <v>17314</v>
      </c>
      <c r="H3699" t="s">
        <v>17291</v>
      </c>
      <c r="I3699" t="s">
        <v>17315</v>
      </c>
      <c r="J3699" t="s">
        <v>17293</v>
      </c>
      <c r="K3699" t="s">
        <v>17316</v>
      </c>
      <c r="L3699" t="s">
        <v>17317</v>
      </c>
      <c r="M3699" t="s">
        <v>1289</v>
      </c>
      <c r="N3699" t="s">
        <v>17295</v>
      </c>
      <c r="O3699" t="s">
        <v>17296</v>
      </c>
      <c r="P3699" t="s">
        <v>17297</v>
      </c>
      <c r="Q3699" t="s">
        <v>17298</v>
      </c>
      <c r="R3699">
        <v>12</v>
      </c>
      <c r="S3699">
        <v>16</v>
      </c>
    </row>
    <row r="3700" spans="1:19" x14ac:dyDescent="0.35">
      <c r="A3700">
        <v>2682</v>
      </c>
      <c r="B3700" t="s">
        <v>17318</v>
      </c>
      <c r="C3700" t="s">
        <v>42</v>
      </c>
      <c r="D3700" t="s">
        <v>17319</v>
      </c>
      <c r="E3700" t="e" cm="1">
        <f t="array" ref="E3700">- IBUPROFEN</f>
        <v>#NAME?</v>
      </c>
      <c r="F3700" t="s">
        <v>17320</v>
      </c>
      <c r="G3700" t="s">
        <v>2453</v>
      </c>
      <c r="H3700" t="s">
        <v>17321</v>
      </c>
      <c r="I3700" t="s">
        <v>17322</v>
      </c>
      <c r="J3700" t="s">
        <v>17323</v>
      </c>
      <c r="L3700" t="s">
        <v>17324</v>
      </c>
      <c r="M3700" t="s">
        <v>340</v>
      </c>
      <c r="N3700" t="s">
        <v>383</v>
      </c>
      <c r="O3700" t="s">
        <v>17325</v>
      </c>
      <c r="P3700" t="s">
        <v>17326</v>
      </c>
      <c r="Q3700" t="s">
        <v>17327</v>
      </c>
      <c r="R3700">
        <v>12</v>
      </c>
      <c r="S3700">
        <v>16</v>
      </c>
    </row>
    <row r="3701" spans="1:19" x14ac:dyDescent="0.35">
      <c r="A3701">
        <v>3602</v>
      </c>
      <c r="B3701" t="s">
        <v>16319</v>
      </c>
      <c r="C3701" t="s">
        <v>42</v>
      </c>
      <c r="D3701" t="s">
        <v>16320</v>
      </c>
      <c r="E3701" t="e" cm="1">
        <f t="array" ref="E3701">- ONDANSETRON HYDROCHLORIDE DIHYDRATE</f>
        <v>#NAME?</v>
      </c>
      <c r="F3701" t="s">
        <v>16321</v>
      </c>
      <c r="H3701">
        <v>0</v>
      </c>
      <c r="I3701" t="s">
        <v>16237</v>
      </c>
      <c r="J3701" t="s">
        <v>9215</v>
      </c>
      <c r="M3701" t="s">
        <v>46</v>
      </c>
      <c r="N3701" t="s">
        <v>14087</v>
      </c>
      <c r="O3701" t="s">
        <v>16239</v>
      </c>
      <c r="P3701" t="s">
        <v>16240</v>
      </c>
      <c r="Q3701" t="s">
        <v>16322</v>
      </c>
      <c r="R3701">
        <v>12</v>
      </c>
      <c r="S3701">
        <v>16</v>
      </c>
    </row>
    <row r="3702" spans="1:19" x14ac:dyDescent="0.35">
      <c r="A3702">
        <v>9141</v>
      </c>
      <c r="B3702" t="s">
        <v>17301</v>
      </c>
      <c r="C3702" t="s">
        <v>42</v>
      </c>
      <c r="D3702" t="s">
        <v>17302</v>
      </c>
      <c r="E3702" t="e" cm="1">
        <f t="array" ref="E3702">- DILTIAZEM HYDROCHLORIDE</f>
        <v>#NAME?</v>
      </c>
      <c r="F3702" t="s">
        <v>17303</v>
      </c>
      <c r="G3702" t="s">
        <v>17304</v>
      </c>
      <c r="H3702" t="s">
        <v>17305</v>
      </c>
      <c r="I3702" t="s">
        <v>17306</v>
      </c>
      <c r="J3702" t="s">
        <v>17307</v>
      </c>
      <c r="K3702" t="s">
        <v>2858</v>
      </c>
      <c r="L3702" t="s">
        <v>17308</v>
      </c>
      <c r="M3702" t="s">
        <v>38</v>
      </c>
      <c r="N3702" t="s">
        <v>2457</v>
      </c>
      <c r="O3702" t="s">
        <v>17309</v>
      </c>
      <c r="P3702" t="s">
        <v>13667</v>
      </c>
      <c r="Q3702" t="s">
        <v>17310</v>
      </c>
      <c r="R3702">
        <v>12</v>
      </c>
      <c r="S3702">
        <v>16</v>
      </c>
    </row>
    <row r="3703" spans="1:19" x14ac:dyDescent="0.35">
      <c r="A3703">
        <v>9137</v>
      </c>
      <c r="B3703" t="s">
        <v>17328</v>
      </c>
      <c r="C3703" t="s">
        <v>42</v>
      </c>
      <c r="D3703" t="s">
        <v>17329</v>
      </c>
      <c r="E3703" t="e" cm="1">
        <f t="array" ref="E3703">- DILTIAZEM HYDROCHLORIDE</f>
        <v>#NAME?</v>
      </c>
      <c r="F3703" t="s">
        <v>17330</v>
      </c>
      <c r="G3703" t="s">
        <v>2453</v>
      </c>
      <c r="H3703" t="s">
        <v>17258</v>
      </c>
      <c r="I3703" t="s">
        <v>17259</v>
      </c>
      <c r="J3703" t="s">
        <v>5085</v>
      </c>
      <c r="K3703" t="s">
        <v>2455</v>
      </c>
      <c r="L3703" t="s">
        <v>2456</v>
      </c>
      <c r="M3703" t="s">
        <v>46</v>
      </c>
      <c r="N3703" t="s">
        <v>2457</v>
      </c>
      <c r="O3703" t="s">
        <v>17262</v>
      </c>
      <c r="P3703" t="s">
        <v>2458</v>
      </c>
      <c r="Q3703" t="s">
        <v>17331</v>
      </c>
      <c r="R3703">
        <v>12</v>
      </c>
      <c r="S3703">
        <v>16</v>
      </c>
    </row>
    <row r="3704" spans="1:19" x14ac:dyDescent="0.35">
      <c r="A3704">
        <v>9136</v>
      </c>
      <c r="B3704" t="s">
        <v>17328</v>
      </c>
      <c r="C3704" t="s">
        <v>42</v>
      </c>
      <c r="D3704" t="s">
        <v>17329</v>
      </c>
      <c r="E3704" t="e" cm="1">
        <f t="array" ref="E3704">- DILTIAZEM HYDROCHLORIDE</f>
        <v>#NAME?</v>
      </c>
      <c r="F3704" t="s">
        <v>17330</v>
      </c>
      <c r="G3704" t="s">
        <v>2453</v>
      </c>
      <c r="H3704" t="s">
        <v>17258</v>
      </c>
      <c r="I3704" t="s">
        <v>17259</v>
      </c>
      <c r="J3704" t="s">
        <v>5085</v>
      </c>
      <c r="K3704" t="s">
        <v>2455</v>
      </c>
      <c r="L3704" t="s">
        <v>2456</v>
      </c>
      <c r="M3704" t="s">
        <v>46</v>
      </c>
      <c r="N3704" t="s">
        <v>2457</v>
      </c>
      <c r="O3704" t="s">
        <v>17262</v>
      </c>
      <c r="P3704" t="s">
        <v>2458</v>
      </c>
      <c r="Q3704" t="s">
        <v>17331</v>
      </c>
      <c r="R3704">
        <v>12</v>
      </c>
      <c r="S3704">
        <v>16</v>
      </c>
    </row>
    <row r="3705" spans="1:19" x14ac:dyDescent="0.35">
      <c r="A3705">
        <v>2695</v>
      </c>
      <c r="B3705" t="s">
        <v>17332</v>
      </c>
      <c r="C3705" t="s">
        <v>42</v>
      </c>
      <c r="D3705" t="s">
        <v>17333</v>
      </c>
      <c r="E3705" t="e" cm="1">
        <f t="array" ref="E3705">- BETAHISTINE MESILATE</f>
        <v>#NAME?</v>
      </c>
      <c r="F3705" t="s">
        <v>17334</v>
      </c>
      <c r="G3705" t="s">
        <v>2241</v>
      </c>
      <c r="H3705" t="s">
        <v>17335</v>
      </c>
      <c r="I3705" t="s">
        <v>17336</v>
      </c>
      <c r="J3705" t="s">
        <v>17337</v>
      </c>
      <c r="K3705" t="s">
        <v>17338</v>
      </c>
      <c r="L3705" t="s">
        <v>17339</v>
      </c>
      <c r="M3705" t="s">
        <v>46</v>
      </c>
      <c r="N3705" t="s">
        <v>2380</v>
      </c>
      <c r="O3705" t="s">
        <v>17340</v>
      </c>
      <c r="P3705" t="s">
        <v>17341</v>
      </c>
      <c r="Q3705" t="s">
        <v>17342</v>
      </c>
      <c r="R3705">
        <v>12</v>
      </c>
      <c r="S3705">
        <v>16</v>
      </c>
    </row>
    <row r="3706" spans="1:19" x14ac:dyDescent="0.35">
      <c r="A3706">
        <v>643</v>
      </c>
      <c r="B3706" t="s">
        <v>17277</v>
      </c>
      <c r="C3706" t="s">
        <v>850</v>
      </c>
      <c r="D3706" t="s">
        <v>17278</v>
      </c>
      <c r="E3706" t="e" cm="1">
        <f t="array" ref="E3706">- Anethole</f>
        <v>#NAME?</v>
      </c>
      <c r="F3706" t="s">
        <v>17279</v>
      </c>
      <c r="G3706" t="s">
        <v>17280</v>
      </c>
      <c r="H3706" t="s">
        <v>1322</v>
      </c>
      <c r="I3706" t="s">
        <v>17281</v>
      </c>
      <c r="J3706" t="s">
        <v>17282</v>
      </c>
      <c r="L3706" t="s">
        <v>13303</v>
      </c>
      <c r="M3706" t="s">
        <v>3632</v>
      </c>
      <c r="N3706" t="s">
        <v>17283</v>
      </c>
      <c r="O3706" t="s">
        <v>17284</v>
      </c>
      <c r="P3706" t="s">
        <v>17285</v>
      </c>
      <c r="Q3706" t="s">
        <v>17286</v>
      </c>
      <c r="R3706">
        <v>12</v>
      </c>
      <c r="S3706">
        <v>16</v>
      </c>
    </row>
    <row r="3707" spans="1:19" x14ac:dyDescent="0.35">
      <c r="A3707">
        <v>7271</v>
      </c>
      <c r="B3707" t="s">
        <v>17343</v>
      </c>
      <c r="C3707" t="s">
        <v>850</v>
      </c>
      <c r="D3707" t="s">
        <v>17344</v>
      </c>
      <c r="E3707" t="e" cm="1">
        <f t="array" ref="E3707">- Camphor</f>
        <v>#NAME?</v>
      </c>
      <c r="F3707" t="s">
        <v>17345</v>
      </c>
      <c r="I3707" t="s">
        <v>17346</v>
      </c>
      <c r="J3707" t="s">
        <v>2939</v>
      </c>
      <c r="M3707" t="s">
        <v>1289</v>
      </c>
      <c r="N3707" t="s">
        <v>853</v>
      </c>
      <c r="O3707" t="s">
        <v>17347</v>
      </c>
      <c r="P3707" t="s">
        <v>17348</v>
      </c>
      <c r="Q3707" t="s">
        <v>17349</v>
      </c>
      <c r="R3707">
        <v>12</v>
      </c>
      <c r="S3707">
        <v>16</v>
      </c>
    </row>
    <row r="3708" spans="1:19" x14ac:dyDescent="0.35">
      <c r="A3708">
        <v>9124</v>
      </c>
      <c r="B3708" t="s">
        <v>17350</v>
      </c>
      <c r="C3708" t="s">
        <v>42</v>
      </c>
      <c r="D3708" t="s">
        <v>17351</v>
      </c>
      <c r="E3708" t="e" cm="1">
        <f t="array" ref="E3708">- CANDESARTAN CILEXETIL</f>
        <v>#NAME?</v>
      </c>
      <c r="F3708" t="s">
        <v>17352</v>
      </c>
      <c r="G3708" t="s">
        <v>17353</v>
      </c>
      <c r="H3708" t="s">
        <v>17354</v>
      </c>
      <c r="I3708" t="s">
        <v>17200</v>
      </c>
      <c r="J3708" t="s">
        <v>11106</v>
      </c>
      <c r="K3708" t="s">
        <v>17355</v>
      </c>
      <c r="L3708" t="s">
        <v>17356</v>
      </c>
      <c r="M3708" t="s">
        <v>46</v>
      </c>
      <c r="N3708" t="s">
        <v>2447</v>
      </c>
      <c r="O3708" t="s">
        <v>17203</v>
      </c>
      <c r="P3708" t="s">
        <v>2448</v>
      </c>
      <c r="Q3708" t="s">
        <v>17357</v>
      </c>
      <c r="R3708">
        <v>12</v>
      </c>
      <c r="S3708">
        <v>16</v>
      </c>
    </row>
    <row r="3709" spans="1:19" x14ac:dyDescent="0.35">
      <c r="A3709">
        <v>5500</v>
      </c>
      <c r="B3709" t="s">
        <v>17358</v>
      </c>
      <c r="C3709" t="s">
        <v>42</v>
      </c>
      <c r="D3709" t="s">
        <v>17359</v>
      </c>
      <c r="E3709" t="e" cm="1">
        <f t="array" ref="E3709">- BETAMETHASONE VALERATE</f>
        <v>#NAME?</v>
      </c>
      <c r="F3709" t="s">
        <v>17360</v>
      </c>
      <c r="H3709" t="s">
        <v>17361</v>
      </c>
      <c r="I3709" t="s">
        <v>17362</v>
      </c>
      <c r="J3709" t="s">
        <v>17363</v>
      </c>
      <c r="K3709" t="s">
        <v>17364</v>
      </c>
      <c r="L3709" t="s">
        <v>17365</v>
      </c>
      <c r="M3709" t="s">
        <v>1289</v>
      </c>
      <c r="N3709" t="s">
        <v>2059</v>
      </c>
      <c r="O3709" t="s">
        <v>17366</v>
      </c>
      <c r="P3709" t="s">
        <v>17367</v>
      </c>
      <c r="Q3709" t="s">
        <v>17368</v>
      </c>
      <c r="R3709">
        <v>12</v>
      </c>
      <c r="S3709">
        <v>16</v>
      </c>
    </row>
    <row r="3710" spans="1:19" x14ac:dyDescent="0.35">
      <c r="A3710">
        <v>2712</v>
      </c>
      <c r="B3710" t="s">
        <v>17369</v>
      </c>
      <c r="C3710" t="s">
        <v>42</v>
      </c>
      <c r="D3710" t="s">
        <v>17370</v>
      </c>
      <c r="E3710" t="e" cm="1">
        <f t="array" ref="E3710">- FLUNARIZINE HYDROCHLORIDE</f>
        <v>#NAME?</v>
      </c>
      <c r="F3710" t="s">
        <v>17371</v>
      </c>
      <c r="G3710" t="s">
        <v>3098</v>
      </c>
      <c r="H3710" t="s">
        <v>14044</v>
      </c>
      <c r="I3710" t="s">
        <v>17372</v>
      </c>
      <c r="J3710" t="s">
        <v>532</v>
      </c>
      <c r="K3710" t="s">
        <v>17031</v>
      </c>
      <c r="L3710" t="s">
        <v>14048</v>
      </c>
      <c r="M3710" t="s">
        <v>46</v>
      </c>
      <c r="N3710" t="s">
        <v>4516</v>
      </c>
      <c r="O3710" t="s">
        <v>17373</v>
      </c>
      <c r="P3710" t="s">
        <v>17374</v>
      </c>
      <c r="Q3710" t="s">
        <v>17375</v>
      </c>
      <c r="R3710">
        <v>12</v>
      </c>
      <c r="S3710">
        <v>16</v>
      </c>
    </row>
    <row r="3711" spans="1:19" x14ac:dyDescent="0.35">
      <c r="A3711">
        <v>2713</v>
      </c>
      <c r="B3711" t="s">
        <v>17369</v>
      </c>
      <c r="C3711" t="s">
        <v>42</v>
      </c>
      <c r="D3711" t="s">
        <v>17370</v>
      </c>
      <c r="E3711" t="e" cm="1">
        <f t="array" ref="E3711">- FLUNARIZINE HYDROCHLORIDE</f>
        <v>#NAME?</v>
      </c>
      <c r="F3711" t="s">
        <v>17371</v>
      </c>
      <c r="G3711" t="s">
        <v>3098</v>
      </c>
      <c r="H3711" t="s">
        <v>14044</v>
      </c>
      <c r="I3711" t="s">
        <v>17372</v>
      </c>
      <c r="J3711" t="s">
        <v>532</v>
      </c>
      <c r="K3711" t="s">
        <v>17031</v>
      </c>
      <c r="L3711" t="s">
        <v>14048</v>
      </c>
      <c r="M3711" t="s">
        <v>46</v>
      </c>
      <c r="N3711" t="s">
        <v>4516</v>
      </c>
      <c r="O3711" t="s">
        <v>17373</v>
      </c>
      <c r="P3711" t="s">
        <v>17374</v>
      </c>
      <c r="Q3711" t="s">
        <v>17375</v>
      </c>
      <c r="R3711">
        <v>12</v>
      </c>
      <c r="S3711">
        <v>16</v>
      </c>
    </row>
    <row r="3712" spans="1:19" x14ac:dyDescent="0.35">
      <c r="A3712">
        <v>2714</v>
      </c>
      <c r="B3712" t="s">
        <v>17376</v>
      </c>
      <c r="C3712" t="s">
        <v>42</v>
      </c>
      <c r="D3712" t="s">
        <v>17377</v>
      </c>
      <c r="E3712" t="e" cm="1">
        <f t="array" ref="E3712">- FLUNARIZINE HYDROCHLORIDE</f>
        <v>#NAME?</v>
      </c>
      <c r="F3712" t="s">
        <v>17378</v>
      </c>
      <c r="G3712" t="s">
        <v>3098</v>
      </c>
      <c r="H3712" t="s">
        <v>14044</v>
      </c>
      <c r="I3712" t="s">
        <v>17372</v>
      </c>
      <c r="J3712" t="s">
        <v>17379</v>
      </c>
      <c r="K3712" t="s">
        <v>17031</v>
      </c>
      <c r="L3712" t="s">
        <v>14048</v>
      </c>
      <c r="M3712" t="s">
        <v>46</v>
      </c>
      <c r="N3712" t="s">
        <v>4516</v>
      </c>
      <c r="O3712" t="s">
        <v>17373</v>
      </c>
      <c r="P3712" t="s">
        <v>17374</v>
      </c>
      <c r="Q3712" t="s">
        <v>17375</v>
      </c>
      <c r="R3712">
        <v>12</v>
      </c>
      <c r="S3712">
        <v>16</v>
      </c>
    </row>
    <row r="3713" spans="1:19" x14ac:dyDescent="0.35">
      <c r="A3713">
        <v>2715</v>
      </c>
      <c r="B3713" t="s">
        <v>17376</v>
      </c>
      <c r="C3713" t="s">
        <v>42</v>
      </c>
      <c r="D3713" t="s">
        <v>17377</v>
      </c>
      <c r="E3713" t="e" cm="1">
        <f t="array" ref="E3713">- FLUNARIZINE HYDROCHLORIDE</f>
        <v>#NAME?</v>
      </c>
      <c r="F3713" t="s">
        <v>17378</v>
      </c>
      <c r="G3713" t="s">
        <v>3098</v>
      </c>
      <c r="H3713" t="s">
        <v>14044</v>
      </c>
      <c r="I3713" t="s">
        <v>17372</v>
      </c>
      <c r="J3713" t="s">
        <v>17379</v>
      </c>
      <c r="K3713" t="s">
        <v>17031</v>
      </c>
      <c r="L3713" t="s">
        <v>14048</v>
      </c>
      <c r="M3713" t="s">
        <v>46</v>
      </c>
      <c r="N3713" t="s">
        <v>4516</v>
      </c>
      <c r="O3713" t="s">
        <v>17373</v>
      </c>
      <c r="P3713" t="s">
        <v>17374</v>
      </c>
      <c r="Q3713" t="s">
        <v>17375</v>
      </c>
      <c r="R3713">
        <v>12</v>
      </c>
      <c r="S3713">
        <v>16</v>
      </c>
    </row>
    <row r="3714" spans="1:19" x14ac:dyDescent="0.35">
      <c r="A3714">
        <v>9123</v>
      </c>
      <c r="B3714" t="s">
        <v>17350</v>
      </c>
      <c r="C3714" t="s">
        <v>42</v>
      </c>
      <c r="D3714" t="s">
        <v>17351</v>
      </c>
      <c r="E3714" t="e" cm="1">
        <f t="array" ref="E3714">- CANDESARTAN CILEXETIL</f>
        <v>#NAME?</v>
      </c>
      <c r="F3714" t="s">
        <v>17352</v>
      </c>
      <c r="G3714" t="s">
        <v>17353</v>
      </c>
      <c r="H3714" t="s">
        <v>17354</v>
      </c>
      <c r="I3714" t="s">
        <v>17200</v>
      </c>
      <c r="J3714" t="s">
        <v>11106</v>
      </c>
      <c r="K3714" t="s">
        <v>17355</v>
      </c>
      <c r="L3714" t="s">
        <v>17356</v>
      </c>
      <c r="M3714" t="s">
        <v>46</v>
      </c>
      <c r="N3714" t="s">
        <v>2447</v>
      </c>
      <c r="O3714" t="s">
        <v>17203</v>
      </c>
      <c r="P3714" t="s">
        <v>2448</v>
      </c>
      <c r="Q3714" t="s">
        <v>17357</v>
      </c>
      <c r="R3714">
        <v>12</v>
      </c>
      <c r="S3714">
        <v>16</v>
      </c>
    </row>
    <row r="3715" spans="1:19" x14ac:dyDescent="0.35">
      <c r="A3715">
        <v>5496</v>
      </c>
      <c r="B3715" t="s">
        <v>17380</v>
      </c>
      <c r="C3715" t="s">
        <v>42</v>
      </c>
      <c r="D3715" t="s">
        <v>17381</v>
      </c>
      <c r="E3715" t="e" cm="1">
        <f t="array" ref="E3715">- BACITRACIN ZINC</f>
        <v>#NAME?</v>
      </c>
      <c r="F3715" t="s">
        <v>17382</v>
      </c>
      <c r="G3715" t="s">
        <v>17383</v>
      </c>
      <c r="H3715" t="s">
        <v>17384</v>
      </c>
      <c r="I3715" t="s">
        <v>17385</v>
      </c>
      <c r="J3715" t="s">
        <v>17386</v>
      </c>
      <c r="K3715" t="s">
        <v>17387</v>
      </c>
      <c r="L3715" t="s">
        <v>17388</v>
      </c>
      <c r="M3715" t="s">
        <v>1289</v>
      </c>
      <c r="N3715" t="s">
        <v>7295</v>
      </c>
      <c r="O3715" t="s">
        <v>17389</v>
      </c>
      <c r="P3715" t="s">
        <v>17390</v>
      </c>
      <c r="Q3715" t="s">
        <v>17391</v>
      </c>
      <c r="R3715">
        <v>12</v>
      </c>
      <c r="S3715">
        <v>16</v>
      </c>
    </row>
    <row r="3716" spans="1:19" x14ac:dyDescent="0.35">
      <c r="A3716">
        <v>974</v>
      </c>
      <c r="B3716" t="s">
        <v>11564</v>
      </c>
      <c r="C3716" t="s">
        <v>42</v>
      </c>
      <c r="D3716" t="s">
        <v>11565</v>
      </c>
      <c r="E3716" t="e" cm="1">
        <f t="array" ref="E3716">- AMMONIUM CHLORIDE. SUCCUS LIQUIRITIAE</f>
        <v>#NAME?</v>
      </c>
      <c r="F3716" t="s">
        <v>11566</v>
      </c>
      <c r="G3716" t="s">
        <v>2241</v>
      </c>
      <c r="H3716" t="s">
        <v>11567</v>
      </c>
      <c r="I3716" t="s">
        <v>11568</v>
      </c>
      <c r="J3716" t="s">
        <v>374</v>
      </c>
      <c r="K3716" t="s">
        <v>11569</v>
      </c>
      <c r="L3716" t="s">
        <v>11570</v>
      </c>
      <c r="M3716" t="s">
        <v>271</v>
      </c>
      <c r="N3716" t="s">
        <v>13691</v>
      </c>
      <c r="O3716" t="s">
        <v>11571</v>
      </c>
      <c r="P3716" t="s">
        <v>11572</v>
      </c>
      <c r="Q3716" t="s">
        <v>17392</v>
      </c>
      <c r="R3716">
        <v>12</v>
      </c>
      <c r="S3716">
        <v>16</v>
      </c>
    </row>
    <row r="3717" spans="1:19" x14ac:dyDescent="0.35">
      <c r="A3717">
        <v>975</v>
      </c>
      <c r="B3717" t="s">
        <v>11564</v>
      </c>
      <c r="C3717" t="s">
        <v>42</v>
      </c>
      <c r="D3717" t="s">
        <v>11565</v>
      </c>
      <c r="E3717" t="e" cm="1">
        <f t="array" ref="E3717">- AMMONIUM CHLORIDE. SUCCUS LIQUIRITIAE</f>
        <v>#NAME?</v>
      </c>
      <c r="F3717" t="s">
        <v>11566</v>
      </c>
      <c r="G3717" t="s">
        <v>2241</v>
      </c>
      <c r="H3717" t="s">
        <v>11567</v>
      </c>
      <c r="I3717" t="s">
        <v>11568</v>
      </c>
      <c r="J3717" t="s">
        <v>374</v>
      </c>
      <c r="K3717" t="s">
        <v>11569</v>
      </c>
      <c r="L3717" t="s">
        <v>11570</v>
      </c>
      <c r="M3717" t="s">
        <v>271</v>
      </c>
      <c r="N3717" t="s">
        <v>13691</v>
      </c>
      <c r="O3717" t="s">
        <v>11571</v>
      </c>
      <c r="P3717" t="s">
        <v>11572</v>
      </c>
      <c r="Q3717" t="s">
        <v>17392</v>
      </c>
      <c r="R3717">
        <v>12</v>
      </c>
      <c r="S3717">
        <v>16</v>
      </c>
    </row>
    <row r="3718" spans="1:19" x14ac:dyDescent="0.35">
      <c r="A3718">
        <v>9106</v>
      </c>
      <c r="B3718" t="s">
        <v>17255</v>
      </c>
      <c r="C3718" t="s">
        <v>42</v>
      </c>
      <c r="D3718" t="s">
        <v>17256</v>
      </c>
      <c r="E3718" t="e" cm="1">
        <f t="array" ref="E3718">- DILTIAZEM HYDROCHLORIDE</f>
        <v>#NAME?</v>
      </c>
      <c r="F3718" t="s">
        <v>17257</v>
      </c>
      <c r="G3718" t="s">
        <v>60</v>
      </c>
      <c r="H3718" t="s">
        <v>17258</v>
      </c>
      <c r="I3718" t="s">
        <v>17259</v>
      </c>
      <c r="J3718" t="s">
        <v>381</v>
      </c>
      <c r="K3718" t="s">
        <v>17260</v>
      </c>
      <c r="L3718" t="s">
        <v>17261</v>
      </c>
      <c r="M3718" t="s">
        <v>46</v>
      </c>
      <c r="N3718" t="s">
        <v>2457</v>
      </c>
      <c r="O3718" t="s">
        <v>17262</v>
      </c>
      <c r="P3718" t="s">
        <v>17263</v>
      </c>
      <c r="Q3718" t="s">
        <v>17264</v>
      </c>
      <c r="R3718">
        <v>12</v>
      </c>
      <c r="S3718">
        <v>16</v>
      </c>
    </row>
    <row r="3719" spans="1:19" x14ac:dyDescent="0.35">
      <c r="A3719">
        <v>158</v>
      </c>
      <c r="B3719" t="s">
        <v>2902</v>
      </c>
      <c r="C3719" t="s">
        <v>42</v>
      </c>
      <c r="D3719" t="s">
        <v>17393</v>
      </c>
      <c r="E3719" t="e" cm="1">
        <f t="array" ref="E3719">- SILDENAFIL CITRATE</f>
        <v>#NAME?</v>
      </c>
      <c r="F3719" s="1">
        <v>20900</v>
      </c>
      <c r="G3719" t="s">
        <v>17394</v>
      </c>
      <c r="I3719" t="s">
        <v>17395</v>
      </c>
      <c r="J3719" t="s">
        <v>16009</v>
      </c>
      <c r="L3719" t="s">
        <v>17396</v>
      </c>
      <c r="M3719" t="s">
        <v>46</v>
      </c>
      <c r="N3719" t="s">
        <v>2519</v>
      </c>
      <c r="O3719" t="s">
        <v>17397</v>
      </c>
      <c r="P3719" t="s">
        <v>17398</v>
      </c>
      <c r="Q3719" t="s">
        <v>17399</v>
      </c>
      <c r="R3719">
        <v>12</v>
      </c>
      <c r="S3719">
        <v>16</v>
      </c>
    </row>
    <row r="3720" spans="1:19" x14ac:dyDescent="0.35">
      <c r="A3720">
        <v>1619</v>
      </c>
      <c r="B3720" t="s">
        <v>17400</v>
      </c>
      <c r="C3720" t="s">
        <v>42</v>
      </c>
      <c r="D3720" t="s">
        <v>17401</v>
      </c>
      <c r="E3720" t="e" cm="1">
        <f t="array" ref="E3720">- PARACETAMOL</f>
        <v>#NAME?</v>
      </c>
      <c r="F3720" t="s">
        <v>17402</v>
      </c>
      <c r="G3720" t="s">
        <v>1691</v>
      </c>
      <c r="H3720" t="s">
        <v>17403</v>
      </c>
      <c r="I3720" t="s">
        <v>14672</v>
      </c>
      <c r="J3720" t="s">
        <v>17404</v>
      </c>
      <c r="K3720" t="s">
        <v>17405</v>
      </c>
      <c r="L3720" t="s">
        <v>17406</v>
      </c>
      <c r="M3720" t="s">
        <v>291</v>
      </c>
      <c r="N3720" t="s">
        <v>584</v>
      </c>
      <c r="O3720" t="s">
        <v>14676</v>
      </c>
      <c r="P3720" t="s">
        <v>17407</v>
      </c>
      <c r="Q3720" t="s">
        <v>17408</v>
      </c>
      <c r="R3720">
        <v>12</v>
      </c>
      <c r="S3720">
        <v>16</v>
      </c>
    </row>
    <row r="3721" spans="1:19" x14ac:dyDescent="0.35">
      <c r="A3721">
        <v>5796</v>
      </c>
      <c r="B3721" t="s">
        <v>7275</v>
      </c>
      <c r="C3721" t="s">
        <v>42</v>
      </c>
      <c r="D3721" t="s">
        <v>7276</v>
      </c>
      <c r="E3721" t="e" cm="1">
        <f t="array" ref="E3721">- RIFAMPICIN. ISONIAZID. PYRAZINAMIDE. ETHAMBUTOL HYDROCHLORIDE</f>
        <v>#NAME?</v>
      </c>
      <c r="F3721" s="1">
        <v>196500</v>
      </c>
      <c r="G3721" t="s">
        <v>7277</v>
      </c>
      <c r="H3721" t="s">
        <v>7278</v>
      </c>
      <c r="I3721" t="s">
        <v>7279</v>
      </c>
      <c r="J3721" t="s">
        <v>7280</v>
      </c>
      <c r="K3721" t="s">
        <v>7281</v>
      </c>
      <c r="L3721" t="s">
        <v>7282</v>
      </c>
      <c r="M3721" t="s">
        <v>291</v>
      </c>
      <c r="N3721" t="s">
        <v>17409</v>
      </c>
      <c r="O3721" t="s">
        <v>7284</v>
      </c>
      <c r="P3721" t="s">
        <v>7285</v>
      </c>
      <c r="Q3721" t="s">
        <v>17410</v>
      </c>
      <c r="R3721">
        <v>12</v>
      </c>
      <c r="S3721">
        <v>16</v>
      </c>
    </row>
    <row r="3722" spans="1:19" x14ac:dyDescent="0.35">
      <c r="A3722">
        <v>6467</v>
      </c>
      <c r="B3722" t="s">
        <v>17411</v>
      </c>
      <c r="C3722" t="s">
        <v>42</v>
      </c>
      <c r="D3722" t="s">
        <v>17412</v>
      </c>
      <c r="E3722" t="e" cm="1">
        <f t="array" ref="E3722">- SULFAMETHOXAZOLE</f>
        <v>#NAME?</v>
      </c>
      <c r="F3722" t="s">
        <v>12697</v>
      </c>
      <c r="G3722" t="s">
        <v>4649</v>
      </c>
      <c r="H3722" t="s">
        <v>17413</v>
      </c>
      <c r="I3722" t="s">
        <v>17414</v>
      </c>
      <c r="J3722" t="s">
        <v>381</v>
      </c>
      <c r="K3722" t="s">
        <v>17415</v>
      </c>
    </row>
    <row r="3723" spans="1:19" x14ac:dyDescent="0.35">
      <c r="A3723">
        <v>6470</v>
      </c>
      <c r="B3723" t="s">
        <v>17416</v>
      </c>
      <c r="C3723" t="s">
        <v>42</v>
      </c>
      <c r="D3723" t="s">
        <v>17417</v>
      </c>
      <c r="E3723" t="e" cm="1">
        <f t="array" ref="E3723">- SULFAMETHOXAZOLE</f>
        <v>#NAME?</v>
      </c>
      <c r="F3723" t="s">
        <v>17418</v>
      </c>
      <c r="G3723" t="s">
        <v>4649</v>
      </c>
      <c r="H3723" t="s">
        <v>17419</v>
      </c>
      <c r="I3723" t="s">
        <v>17414</v>
      </c>
      <c r="J3723" t="s">
        <v>17420</v>
      </c>
      <c r="K3723" t="s">
        <v>17415</v>
      </c>
    </row>
    <row r="3724" spans="1:19" x14ac:dyDescent="0.35">
      <c r="A3724">
        <v>1903</v>
      </c>
      <c r="B3724" t="s">
        <v>17421</v>
      </c>
      <c r="C3724" t="s">
        <v>850</v>
      </c>
      <c r="D3724" t="s">
        <v>17422</v>
      </c>
      <c r="E3724" t="e" cm="1">
        <f t="array" ref="E3724">- Cajuput Oil</f>
        <v>#NAME?</v>
      </c>
      <c r="F3724" t="s">
        <v>17423</v>
      </c>
      <c r="G3724" t="s">
        <v>17424</v>
      </c>
      <c r="H3724" t="s">
        <v>17425</v>
      </c>
      <c r="I3724" t="s">
        <v>17426</v>
      </c>
      <c r="J3724" t="s">
        <v>17427</v>
      </c>
      <c r="L3724" t="s">
        <v>17428</v>
      </c>
      <c r="M3724" t="s">
        <v>38</v>
      </c>
      <c r="N3724" t="s">
        <v>3752</v>
      </c>
      <c r="O3724" t="s">
        <v>17429</v>
      </c>
      <c r="P3724" t="s">
        <v>17430</v>
      </c>
      <c r="Q3724" t="s">
        <v>17431</v>
      </c>
      <c r="R3724">
        <v>12</v>
      </c>
      <c r="S3724">
        <v>16</v>
      </c>
    </row>
    <row r="3725" spans="1:19" x14ac:dyDescent="0.35">
      <c r="A3725">
        <v>1904</v>
      </c>
      <c r="B3725" t="s">
        <v>17421</v>
      </c>
      <c r="C3725" t="s">
        <v>850</v>
      </c>
      <c r="D3725" t="s">
        <v>17422</v>
      </c>
      <c r="E3725" t="e" cm="1">
        <f t="array" ref="E3725">- Cajuput Oil</f>
        <v>#NAME?</v>
      </c>
      <c r="F3725" t="s">
        <v>17423</v>
      </c>
      <c r="G3725" t="s">
        <v>17424</v>
      </c>
      <c r="H3725" t="s">
        <v>17425</v>
      </c>
      <c r="I3725" t="s">
        <v>17426</v>
      </c>
      <c r="J3725" t="s">
        <v>17427</v>
      </c>
      <c r="L3725" t="s">
        <v>17428</v>
      </c>
      <c r="M3725" t="s">
        <v>38</v>
      </c>
      <c r="N3725" t="s">
        <v>3752</v>
      </c>
      <c r="O3725" t="s">
        <v>17429</v>
      </c>
      <c r="P3725" t="s">
        <v>17430</v>
      </c>
      <c r="Q3725" t="s">
        <v>17431</v>
      </c>
      <c r="R3725">
        <v>12</v>
      </c>
      <c r="S3725">
        <v>16</v>
      </c>
    </row>
    <row r="3726" spans="1:19" x14ac:dyDescent="0.35">
      <c r="A3726">
        <v>9868</v>
      </c>
      <c r="B3726" t="s">
        <v>17432</v>
      </c>
      <c r="C3726" t="s">
        <v>42</v>
      </c>
      <c r="D3726" t="s">
        <v>17433</v>
      </c>
      <c r="E3726" t="e" cm="1">
        <f t="array" ref="E3726">- PITAVASTATIN CALCIUM</f>
        <v>#NAME?</v>
      </c>
      <c r="F3726" t="s">
        <v>17434</v>
      </c>
      <c r="G3726" t="s">
        <v>6310</v>
      </c>
      <c r="H3726" t="s">
        <v>17435</v>
      </c>
      <c r="I3726" t="s">
        <v>17436</v>
      </c>
      <c r="J3726" t="s">
        <v>2100</v>
      </c>
      <c r="K3726" t="s">
        <v>6311</v>
      </c>
      <c r="L3726" t="s">
        <v>17437</v>
      </c>
      <c r="M3726" t="s">
        <v>46</v>
      </c>
      <c r="N3726" t="s">
        <v>6298</v>
      </c>
      <c r="O3726" t="s">
        <v>17438</v>
      </c>
      <c r="P3726" t="s">
        <v>17439</v>
      </c>
      <c r="Q3726" t="s">
        <v>17440</v>
      </c>
      <c r="R3726">
        <v>12</v>
      </c>
      <c r="S3726">
        <v>16</v>
      </c>
    </row>
    <row r="3727" spans="1:19" x14ac:dyDescent="0.35">
      <c r="A3727">
        <v>6550</v>
      </c>
      <c r="B3727" t="s">
        <v>17441</v>
      </c>
      <c r="C3727" t="s">
        <v>42</v>
      </c>
      <c r="D3727" t="s">
        <v>17442</v>
      </c>
      <c r="E3727" t="e" cm="1">
        <f t="array" ref="E3727">- GRISEOFULVIN</f>
        <v>#NAME?</v>
      </c>
      <c r="F3727" t="s">
        <v>17443</v>
      </c>
      <c r="G3727" t="s">
        <v>17444</v>
      </c>
      <c r="H3727" t="s">
        <v>17445</v>
      </c>
      <c r="I3727" t="s">
        <v>17446</v>
      </c>
      <c r="J3727" t="s">
        <v>381</v>
      </c>
      <c r="K3727" t="s">
        <v>17447</v>
      </c>
      <c r="L3727" t="s">
        <v>17448</v>
      </c>
      <c r="M3727" t="s">
        <v>46</v>
      </c>
      <c r="N3727" t="s">
        <v>453</v>
      </c>
      <c r="O3727" t="s">
        <v>17449</v>
      </c>
      <c r="P3727" t="s">
        <v>453</v>
      </c>
      <c r="Q3727" t="s">
        <v>17450</v>
      </c>
      <c r="R3727">
        <v>12</v>
      </c>
      <c r="S3727">
        <v>16</v>
      </c>
    </row>
    <row r="3728" spans="1:19" x14ac:dyDescent="0.35">
      <c r="A3728">
        <v>775</v>
      </c>
      <c r="B3728" t="s">
        <v>17451</v>
      </c>
      <c r="C3728" t="s">
        <v>42</v>
      </c>
      <c r="D3728" t="s">
        <v>17452</v>
      </c>
      <c r="E3728" t="e" cm="1">
        <f t="array" ref="E3728">- ACETYL CYSTEINE</f>
        <v>#NAME?</v>
      </c>
      <c r="F3728" t="s">
        <v>17453</v>
      </c>
      <c r="G3728" t="s">
        <v>17454</v>
      </c>
      <c r="H3728" t="s">
        <v>17455</v>
      </c>
      <c r="I3728" t="s">
        <v>17456</v>
      </c>
      <c r="J3728" t="s">
        <v>17457</v>
      </c>
      <c r="K3728" t="s">
        <v>17458</v>
      </c>
      <c r="L3728" t="s">
        <v>17459</v>
      </c>
      <c r="M3728" t="s">
        <v>271</v>
      </c>
      <c r="N3728" t="s">
        <v>1309</v>
      </c>
      <c r="O3728" t="s">
        <v>17460</v>
      </c>
      <c r="P3728" t="s">
        <v>17461</v>
      </c>
      <c r="Q3728" t="s">
        <v>17462</v>
      </c>
      <c r="R3728">
        <v>12</v>
      </c>
      <c r="S3728">
        <v>16</v>
      </c>
    </row>
    <row r="3729" spans="1:19" x14ac:dyDescent="0.35">
      <c r="A3729">
        <v>1957</v>
      </c>
      <c r="B3729" t="s">
        <v>17463</v>
      </c>
      <c r="C3729" t="s">
        <v>20</v>
      </c>
      <c r="D3729" t="s">
        <v>17464</v>
      </c>
      <c r="E3729" t="s">
        <v>17465</v>
      </c>
      <c r="F3729" t="s">
        <v>17466</v>
      </c>
      <c r="G3729" t="s">
        <v>2241</v>
      </c>
      <c r="H3729" t="s">
        <v>17467</v>
      </c>
      <c r="I3729" t="s">
        <v>10735</v>
      </c>
      <c r="J3729" t="s">
        <v>17468</v>
      </c>
      <c r="N3729" t="s">
        <v>17469</v>
      </c>
      <c r="O3729" t="s">
        <v>6611</v>
      </c>
      <c r="P3729" t="s">
        <v>17470</v>
      </c>
      <c r="Q3729" t="s">
        <v>17471</v>
      </c>
      <c r="R3729">
        <v>12</v>
      </c>
      <c r="S3729">
        <v>16</v>
      </c>
    </row>
    <row r="3730" spans="1:19" x14ac:dyDescent="0.35">
      <c r="A3730">
        <v>1958</v>
      </c>
      <c r="B3730" t="s">
        <v>17463</v>
      </c>
      <c r="C3730" t="s">
        <v>20</v>
      </c>
      <c r="D3730" t="s">
        <v>17472</v>
      </c>
      <c r="E3730" t="s">
        <v>17465</v>
      </c>
      <c r="F3730" t="s">
        <v>17473</v>
      </c>
      <c r="G3730" t="s">
        <v>2241</v>
      </c>
      <c r="H3730" t="s">
        <v>17467</v>
      </c>
      <c r="I3730" t="s">
        <v>10735</v>
      </c>
      <c r="J3730" t="s">
        <v>17474</v>
      </c>
      <c r="N3730" t="s">
        <v>17469</v>
      </c>
      <c r="O3730" t="s">
        <v>6611</v>
      </c>
      <c r="P3730" t="s">
        <v>17470</v>
      </c>
      <c r="Q3730" t="s">
        <v>17471</v>
      </c>
      <c r="R3730">
        <v>12</v>
      </c>
      <c r="S3730">
        <v>16</v>
      </c>
    </row>
    <row r="3731" spans="1:19" x14ac:dyDescent="0.35">
      <c r="A3731">
        <v>1959</v>
      </c>
      <c r="B3731" t="s">
        <v>17463</v>
      </c>
      <c r="C3731" t="s">
        <v>20</v>
      </c>
      <c r="D3731" t="s">
        <v>17464</v>
      </c>
      <c r="E3731" t="s">
        <v>17465</v>
      </c>
      <c r="F3731" t="s">
        <v>17466</v>
      </c>
      <c r="G3731" t="s">
        <v>2241</v>
      </c>
      <c r="H3731" t="s">
        <v>17467</v>
      </c>
      <c r="I3731" t="s">
        <v>10735</v>
      </c>
      <c r="J3731" t="s">
        <v>17468</v>
      </c>
      <c r="N3731" t="s">
        <v>17469</v>
      </c>
      <c r="O3731" t="s">
        <v>6611</v>
      </c>
      <c r="P3731" t="s">
        <v>17470</v>
      </c>
      <c r="Q3731" t="s">
        <v>17471</v>
      </c>
      <c r="R3731">
        <v>12</v>
      </c>
      <c r="S3731">
        <v>16</v>
      </c>
    </row>
    <row r="3732" spans="1:19" x14ac:dyDescent="0.35">
      <c r="A3732">
        <v>1960</v>
      </c>
      <c r="B3732" t="s">
        <v>17463</v>
      </c>
      <c r="C3732" t="s">
        <v>20</v>
      </c>
      <c r="D3732" t="s">
        <v>17472</v>
      </c>
      <c r="E3732" t="s">
        <v>17465</v>
      </c>
      <c r="F3732" t="s">
        <v>17473</v>
      </c>
      <c r="G3732" t="s">
        <v>2241</v>
      </c>
      <c r="H3732" t="s">
        <v>17467</v>
      </c>
      <c r="I3732" t="s">
        <v>10735</v>
      </c>
      <c r="J3732" t="s">
        <v>17474</v>
      </c>
      <c r="N3732" t="s">
        <v>17469</v>
      </c>
      <c r="O3732" t="s">
        <v>6611</v>
      </c>
      <c r="P3732" t="s">
        <v>17470</v>
      </c>
      <c r="Q3732" t="s">
        <v>17471</v>
      </c>
      <c r="R3732">
        <v>12</v>
      </c>
      <c r="S3732">
        <v>16</v>
      </c>
    </row>
    <row r="3733" spans="1:19" x14ac:dyDescent="0.35">
      <c r="A3733">
        <v>1965</v>
      </c>
      <c r="B3733" t="s">
        <v>17475</v>
      </c>
      <c r="C3733" t="s">
        <v>20</v>
      </c>
      <c r="D3733" t="s">
        <v>17476</v>
      </c>
      <c r="E3733" t="s">
        <v>17477</v>
      </c>
      <c r="F3733" t="s">
        <v>17478</v>
      </c>
      <c r="G3733" t="s">
        <v>2241</v>
      </c>
      <c r="H3733" t="s">
        <v>16332</v>
      </c>
      <c r="I3733" t="s">
        <v>17479</v>
      </c>
      <c r="J3733" t="s">
        <v>17480</v>
      </c>
      <c r="L3733" t="s">
        <v>17481</v>
      </c>
      <c r="M3733" t="s">
        <v>63</v>
      </c>
      <c r="N3733" t="s">
        <v>17482</v>
      </c>
      <c r="O3733" t="s">
        <v>17483</v>
      </c>
      <c r="P3733" t="s">
        <v>17484</v>
      </c>
      <c r="Q3733" t="s">
        <v>17485</v>
      </c>
      <c r="R3733">
        <v>12</v>
      </c>
      <c r="S3733">
        <v>16</v>
      </c>
    </row>
    <row r="3734" spans="1:19" x14ac:dyDescent="0.35">
      <c r="A3734">
        <v>1966</v>
      </c>
      <c r="B3734" t="s">
        <v>17475</v>
      </c>
      <c r="C3734" t="s">
        <v>20</v>
      </c>
      <c r="D3734" t="s">
        <v>17476</v>
      </c>
      <c r="E3734" t="s">
        <v>17477</v>
      </c>
      <c r="F3734" t="s">
        <v>17478</v>
      </c>
      <c r="G3734" t="s">
        <v>2241</v>
      </c>
      <c r="H3734" t="s">
        <v>16332</v>
      </c>
      <c r="I3734" t="s">
        <v>17479</v>
      </c>
      <c r="J3734" t="s">
        <v>17480</v>
      </c>
      <c r="L3734" t="s">
        <v>17481</v>
      </c>
      <c r="M3734" t="s">
        <v>63</v>
      </c>
      <c r="N3734" t="s">
        <v>17482</v>
      </c>
      <c r="O3734" t="s">
        <v>17483</v>
      </c>
      <c r="P3734" t="s">
        <v>17484</v>
      </c>
      <c r="Q3734" t="s">
        <v>17485</v>
      </c>
      <c r="R3734">
        <v>12</v>
      </c>
      <c r="S3734">
        <v>16</v>
      </c>
    </row>
    <row r="3735" spans="1:19" x14ac:dyDescent="0.35">
      <c r="A3735">
        <v>6090</v>
      </c>
      <c r="B3735" t="s">
        <v>17486</v>
      </c>
      <c r="C3735" t="s">
        <v>42</v>
      </c>
      <c r="D3735" t="s">
        <v>17487</v>
      </c>
      <c r="E3735" t="e" cm="1">
        <f t="array" ref="E3735">- NIFUROXAZIDE</f>
        <v>#NAME?</v>
      </c>
      <c r="F3735" t="s">
        <v>17488</v>
      </c>
      <c r="H3735" t="s">
        <v>17489</v>
      </c>
      <c r="I3735" t="s">
        <v>17490</v>
      </c>
      <c r="J3735" t="s">
        <v>17491</v>
      </c>
      <c r="L3735" t="s">
        <v>321</v>
      </c>
      <c r="M3735" t="s">
        <v>340</v>
      </c>
      <c r="N3735" t="s">
        <v>1208</v>
      </c>
      <c r="O3735" t="s">
        <v>17492</v>
      </c>
      <c r="P3735" t="s">
        <v>17493</v>
      </c>
      <c r="Q3735" t="s">
        <v>17494</v>
      </c>
      <c r="R3735">
        <v>12</v>
      </c>
      <c r="S3735">
        <v>16</v>
      </c>
    </row>
    <row r="3736" spans="1:19" x14ac:dyDescent="0.35">
      <c r="A3736">
        <v>6089</v>
      </c>
      <c r="B3736" t="s">
        <v>17486</v>
      </c>
      <c r="C3736" t="s">
        <v>42</v>
      </c>
      <c r="D3736" t="s">
        <v>17487</v>
      </c>
      <c r="E3736" t="e" cm="1">
        <f t="array" ref="E3736">- NIFUROXAZIDE</f>
        <v>#NAME?</v>
      </c>
      <c r="F3736" t="s">
        <v>17488</v>
      </c>
      <c r="H3736" t="s">
        <v>17489</v>
      </c>
      <c r="I3736" t="s">
        <v>17490</v>
      </c>
      <c r="J3736" t="s">
        <v>17491</v>
      </c>
      <c r="L3736" t="s">
        <v>321</v>
      </c>
      <c r="M3736" t="s">
        <v>340</v>
      </c>
      <c r="N3736" t="s">
        <v>1208</v>
      </c>
      <c r="O3736" t="s">
        <v>17492</v>
      </c>
      <c r="P3736" t="s">
        <v>17493</v>
      </c>
      <c r="Q3736" t="s">
        <v>17494</v>
      </c>
      <c r="R3736">
        <v>12</v>
      </c>
      <c r="S3736">
        <v>16</v>
      </c>
    </row>
    <row r="3737" spans="1:19" x14ac:dyDescent="0.35">
      <c r="A3737">
        <v>6576</v>
      </c>
      <c r="B3737" t="s">
        <v>17495</v>
      </c>
      <c r="C3737" t="s">
        <v>42</v>
      </c>
      <c r="D3737" t="s">
        <v>17496</v>
      </c>
      <c r="E3737" t="e" cm="1">
        <f t="array" ref="E3737">- ITRACONAZOLE</f>
        <v>#NAME?</v>
      </c>
      <c r="F3737" t="s">
        <v>17497</v>
      </c>
      <c r="H3737" t="s">
        <v>17498</v>
      </c>
    </row>
    <row r="3738" spans="1:19" x14ac:dyDescent="0.35">
      <c r="A3738">
        <v>763</v>
      </c>
      <c r="B3738" t="s">
        <v>17499</v>
      </c>
      <c r="C3738" t="s">
        <v>42</v>
      </c>
      <c r="D3738" t="s">
        <v>17500</v>
      </c>
      <c r="E3738" t="e" cm="1">
        <f t="array" ref="E3738">- AMMONIUM CHLORIDE</f>
        <v>#NAME?</v>
      </c>
      <c r="F3738" t="s">
        <v>17501</v>
      </c>
      <c r="G3738" t="s">
        <v>2453</v>
      </c>
      <c r="H3738" t="s">
        <v>17502</v>
      </c>
      <c r="I3738" t="s">
        <v>17503</v>
      </c>
      <c r="J3738" t="s">
        <v>334</v>
      </c>
      <c r="K3738" t="s">
        <v>17504</v>
      </c>
      <c r="L3738" t="s">
        <v>17505</v>
      </c>
      <c r="M3738" t="s">
        <v>271</v>
      </c>
      <c r="N3738" t="s">
        <v>1672</v>
      </c>
      <c r="O3738" t="s">
        <v>17506</v>
      </c>
      <c r="P3738" t="s">
        <v>17507</v>
      </c>
      <c r="Q3738" t="s">
        <v>17508</v>
      </c>
      <c r="R3738">
        <v>12</v>
      </c>
      <c r="S3738">
        <v>16</v>
      </c>
    </row>
    <row r="3739" spans="1:19" x14ac:dyDescent="0.35">
      <c r="A3739">
        <v>889</v>
      </c>
      <c r="B3739" t="s">
        <v>12719</v>
      </c>
      <c r="C3739" t="s">
        <v>42</v>
      </c>
      <c r="D3739" t="s">
        <v>12720</v>
      </c>
      <c r="E3739" t="e" cm="1">
        <f t="array" ref="E3739">- PSEUDOEPHEDRINE HYDROCHLORIDE. TRIPROLIDINE HYDROCHLORIDE</f>
        <v>#NAME?</v>
      </c>
      <c r="F3739" t="s">
        <v>12721</v>
      </c>
      <c r="G3739" t="s">
        <v>2241</v>
      </c>
      <c r="H3739" t="s">
        <v>12722</v>
      </c>
      <c r="I3739" t="s">
        <v>12723</v>
      </c>
      <c r="J3739" t="s">
        <v>630</v>
      </c>
      <c r="K3739" t="s">
        <v>12724</v>
      </c>
      <c r="L3739" t="s">
        <v>12725</v>
      </c>
      <c r="M3739" t="s">
        <v>271</v>
      </c>
      <c r="N3739" t="s">
        <v>3820</v>
      </c>
      <c r="O3739" t="s">
        <v>12726</v>
      </c>
      <c r="P3739" t="s">
        <v>12727</v>
      </c>
      <c r="Q3739" t="s">
        <v>17509</v>
      </c>
      <c r="R3739">
        <v>12</v>
      </c>
      <c r="S3739">
        <v>16</v>
      </c>
    </row>
    <row r="3740" spans="1:19" x14ac:dyDescent="0.35">
      <c r="A3740">
        <v>762</v>
      </c>
      <c r="B3740" t="s">
        <v>17499</v>
      </c>
      <c r="C3740" t="s">
        <v>42</v>
      </c>
      <c r="D3740" t="s">
        <v>17500</v>
      </c>
      <c r="E3740" t="e" cm="1">
        <f t="array" ref="E3740">- AMMONIUM CHLORIDE</f>
        <v>#NAME?</v>
      </c>
      <c r="F3740" t="s">
        <v>17501</v>
      </c>
      <c r="G3740" t="s">
        <v>2453</v>
      </c>
      <c r="H3740" t="s">
        <v>17502</v>
      </c>
      <c r="I3740" t="s">
        <v>17503</v>
      </c>
      <c r="J3740" t="s">
        <v>334</v>
      </c>
      <c r="K3740" t="s">
        <v>17504</v>
      </c>
      <c r="L3740" t="s">
        <v>17505</v>
      </c>
      <c r="M3740" t="s">
        <v>271</v>
      </c>
      <c r="N3740" t="s">
        <v>1672</v>
      </c>
      <c r="O3740" t="s">
        <v>17506</v>
      </c>
      <c r="P3740" t="s">
        <v>17507</v>
      </c>
      <c r="Q3740" t="s">
        <v>17508</v>
      </c>
      <c r="R3740">
        <v>12</v>
      </c>
      <c r="S3740">
        <v>16</v>
      </c>
    </row>
    <row r="3741" spans="1:19" x14ac:dyDescent="0.35">
      <c r="A3741">
        <v>761</v>
      </c>
      <c r="B3741" t="s">
        <v>17510</v>
      </c>
      <c r="C3741" t="s">
        <v>42</v>
      </c>
      <c r="D3741" t="s">
        <v>17511</v>
      </c>
      <c r="E3741" t="e" cm="1">
        <f t="array" ref="E3741">- ACETYLCYSTEINE</f>
        <v>#NAME?</v>
      </c>
      <c r="F3741" t="s">
        <v>17512</v>
      </c>
      <c r="G3741" t="s">
        <v>5866</v>
      </c>
      <c r="H3741" t="s">
        <v>17513</v>
      </c>
      <c r="I3741" t="s">
        <v>17514</v>
      </c>
      <c r="J3741" t="s">
        <v>381</v>
      </c>
      <c r="K3741" t="s">
        <v>17515</v>
      </c>
      <c r="L3741" t="s">
        <v>17516</v>
      </c>
      <c r="M3741" t="s">
        <v>38</v>
      </c>
      <c r="N3741" t="s">
        <v>9045</v>
      </c>
      <c r="O3741" t="s">
        <v>17517</v>
      </c>
      <c r="P3741" t="s">
        <v>9045</v>
      </c>
      <c r="Q3741" t="s">
        <v>17518</v>
      </c>
      <c r="R3741">
        <v>12</v>
      </c>
      <c r="S3741">
        <v>16</v>
      </c>
    </row>
    <row r="3742" spans="1:19" x14ac:dyDescent="0.35">
      <c r="A3742">
        <v>6618</v>
      </c>
      <c r="B3742" t="s">
        <v>17519</v>
      </c>
      <c r="C3742" t="s">
        <v>42</v>
      </c>
      <c r="D3742" t="s">
        <v>17520</v>
      </c>
      <c r="E3742" t="e" cm="1">
        <f t="array" ref="E3742">- METHISOPRINOL</f>
        <v>#NAME?</v>
      </c>
      <c r="F3742" t="s">
        <v>17521</v>
      </c>
      <c r="G3742" t="s">
        <v>60</v>
      </c>
      <c r="H3742" t="s">
        <v>17522</v>
      </c>
      <c r="I3742" t="s">
        <v>14010</v>
      </c>
      <c r="J3742" t="s">
        <v>334</v>
      </c>
      <c r="K3742" t="s">
        <v>11107</v>
      </c>
      <c r="L3742" t="s">
        <v>14012</v>
      </c>
      <c r="M3742" t="s">
        <v>271</v>
      </c>
      <c r="N3742" t="s">
        <v>322</v>
      </c>
      <c r="O3742" t="s">
        <v>14013</v>
      </c>
      <c r="P3742" t="s">
        <v>17523</v>
      </c>
      <c r="Q3742" t="s">
        <v>17524</v>
      </c>
      <c r="R3742">
        <v>12</v>
      </c>
      <c r="S3742">
        <v>16</v>
      </c>
    </row>
    <row r="3743" spans="1:19" x14ac:dyDescent="0.35">
      <c r="A3743">
        <v>6619</v>
      </c>
      <c r="B3743" t="s">
        <v>17525</v>
      </c>
      <c r="C3743" t="s">
        <v>42</v>
      </c>
      <c r="D3743" t="s">
        <v>17526</v>
      </c>
      <c r="E3743" t="e" cm="1">
        <f t="array" ref="E3743">- METHISOPRINOL</f>
        <v>#NAME?</v>
      </c>
      <c r="F3743" t="s">
        <v>17527</v>
      </c>
      <c r="G3743" t="s">
        <v>2453</v>
      </c>
      <c r="H3743" t="s">
        <v>14009</v>
      </c>
      <c r="I3743" t="s">
        <v>14010</v>
      </c>
      <c r="J3743" t="s">
        <v>17528</v>
      </c>
      <c r="K3743" t="s">
        <v>11107</v>
      </c>
      <c r="L3743" t="s">
        <v>14012</v>
      </c>
      <c r="M3743" t="s">
        <v>46</v>
      </c>
      <c r="N3743" t="s">
        <v>322</v>
      </c>
      <c r="O3743" t="s">
        <v>14013</v>
      </c>
      <c r="P3743" t="s">
        <v>17529</v>
      </c>
      <c r="Q3743" t="s">
        <v>17530</v>
      </c>
      <c r="R3743">
        <v>12</v>
      </c>
      <c r="S3743">
        <v>16</v>
      </c>
    </row>
    <row r="3744" spans="1:19" x14ac:dyDescent="0.35">
      <c r="A3744">
        <v>6620</v>
      </c>
      <c r="B3744" t="s">
        <v>17525</v>
      </c>
      <c r="C3744" t="s">
        <v>42</v>
      </c>
      <c r="D3744" t="s">
        <v>17526</v>
      </c>
      <c r="E3744" t="e" cm="1">
        <f t="array" ref="E3744">- METHISOPRINOL</f>
        <v>#NAME?</v>
      </c>
      <c r="F3744" t="s">
        <v>17527</v>
      </c>
      <c r="G3744" t="s">
        <v>2453</v>
      </c>
      <c r="H3744" t="s">
        <v>14009</v>
      </c>
      <c r="I3744" t="s">
        <v>14010</v>
      </c>
      <c r="J3744" t="s">
        <v>17528</v>
      </c>
      <c r="K3744" t="s">
        <v>11107</v>
      </c>
      <c r="L3744" t="s">
        <v>14012</v>
      </c>
      <c r="M3744" t="s">
        <v>46</v>
      </c>
      <c r="N3744" t="s">
        <v>322</v>
      </c>
      <c r="O3744" t="s">
        <v>14013</v>
      </c>
      <c r="P3744" t="s">
        <v>17529</v>
      </c>
      <c r="Q3744" t="s">
        <v>17530</v>
      </c>
      <c r="R3744">
        <v>12</v>
      </c>
      <c r="S3744">
        <v>16</v>
      </c>
    </row>
    <row r="3745" spans="1:19" x14ac:dyDescent="0.35">
      <c r="A3745">
        <v>9828</v>
      </c>
      <c r="B3745" t="s">
        <v>17531</v>
      </c>
      <c r="C3745" t="s">
        <v>42</v>
      </c>
      <c r="D3745" t="s">
        <v>17532</v>
      </c>
      <c r="E3745" t="e" cm="1">
        <f t="array" ref="E3745">- SIMVASTATIN</f>
        <v>#NAME?</v>
      </c>
      <c r="F3745" t="s">
        <v>17533</v>
      </c>
      <c r="G3745" t="s">
        <v>12760</v>
      </c>
      <c r="H3745" t="s">
        <v>17534</v>
      </c>
      <c r="I3745" t="s">
        <v>17535</v>
      </c>
      <c r="J3745" t="s">
        <v>2928</v>
      </c>
      <c r="K3745" t="s">
        <v>17536</v>
      </c>
      <c r="L3745" t="s">
        <v>17537</v>
      </c>
      <c r="M3745" t="s">
        <v>291</v>
      </c>
      <c r="N3745" t="s">
        <v>1150</v>
      </c>
      <c r="O3745" t="s">
        <v>17538</v>
      </c>
      <c r="P3745" t="s">
        <v>17539</v>
      </c>
      <c r="Q3745" t="s">
        <v>17540</v>
      </c>
      <c r="R3745">
        <v>12</v>
      </c>
      <c r="S3745">
        <v>16</v>
      </c>
    </row>
    <row r="3746" spans="1:19" x14ac:dyDescent="0.35">
      <c r="A3746">
        <v>9827</v>
      </c>
      <c r="B3746" t="s">
        <v>17541</v>
      </c>
      <c r="C3746" t="s">
        <v>42</v>
      </c>
      <c r="D3746" t="s">
        <v>17542</v>
      </c>
      <c r="E3746" t="e" cm="1">
        <f t="array" ref="E3746">- SIMVASTATIN</f>
        <v>#NAME?</v>
      </c>
      <c r="F3746" t="s">
        <v>17543</v>
      </c>
      <c r="G3746" t="s">
        <v>17544</v>
      </c>
      <c r="H3746" t="s">
        <v>6718</v>
      </c>
      <c r="I3746" t="s">
        <v>17545</v>
      </c>
      <c r="J3746" t="s">
        <v>17546</v>
      </c>
      <c r="K3746" t="s">
        <v>17547</v>
      </c>
      <c r="L3746" t="s">
        <v>17548</v>
      </c>
      <c r="M3746" t="s">
        <v>46</v>
      </c>
      <c r="N3746" t="s">
        <v>1150</v>
      </c>
      <c r="O3746" t="s">
        <v>17549</v>
      </c>
      <c r="P3746" t="s">
        <v>17550</v>
      </c>
      <c r="Q3746" t="s">
        <v>17551</v>
      </c>
      <c r="R3746">
        <v>12</v>
      </c>
      <c r="S3746">
        <v>16</v>
      </c>
    </row>
    <row r="3747" spans="1:19" x14ac:dyDescent="0.35">
      <c r="A3747">
        <v>6463</v>
      </c>
      <c r="B3747" t="s">
        <v>17552</v>
      </c>
      <c r="C3747" t="s">
        <v>42</v>
      </c>
      <c r="D3747" t="s">
        <v>17553</v>
      </c>
      <c r="E3747" t="e" cm="1">
        <f t="array" ref="E3747">- SULFAMETHOXAZOLE</f>
        <v>#NAME?</v>
      </c>
      <c r="F3747" t="s">
        <v>4562</v>
      </c>
      <c r="G3747" t="s">
        <v>2241</v>
      </c>
      <c r="H3747" t="s">
        <v>17554</v>
      </c>
      <c r="I3747" t="s">
        <v>17555</v>
      </c>
      <c r="J3747" t="s">
        <v>381</v>
      </c>
      <c r="M3747" t="s">
        <v>46</v>
      </c>
      <c r="N3747" t="s">
        <v>478</v>
      </c>
      <c r="O3747" t="s">
        <v>17556</v>
      </c>
      <c r="P3747" t="s">
        <v>17557</v>
      </c>
      <c r="Q3747" t="s">
        <v>17558</v>
      </c>
      <c r="R3747">
        <v>12</v>
      </c>
      <c r="S3747">
        <v>16</v>
      </c>
    </row>
    <row r="3748" spans="1:19" x14ac:dyDescent="0.35">
      <c r="A3748">
        <v>9826</v>
      </c>
      <c r="B3748" t="s">
        <v>17541</v>
      </c>
      <c r="C3748" t="s">
        <v>42</v>
      </c>
      <c r="D3748" t="s">
        <v>17542</v>
      </c>
      <c r="E3748" t="e" cm="1">
        <f t="array" ref="E3748">- SIMVASTATIN</f>
        <v>#NAME?</v>
      </c>
      <c r="F3748" t="s">
        <v>17543</v>
      </c>
      <c r="G3748" t="s">
        <v>17544</v>
      </c>
      <c r="H3748" t="s">
        <v>6718</v>
      </c>
      <c r="I3748" t="s">
        <v>17545</v>
      </c>
      <c r="J3748" t="s">
        <v>17546</v>
      </c>
      <c r="K3748" t="s">
        <v>17547</v>
      </c>
      <c r="L3748" t="s">
        <v>17548</v>
      </c>
      <c r="M3748" t="s">
        <v>46</v>
      </c>
      <c r="N3748" t="s">
        <v>1150</v>
      </c>
      <c r="O3748" t="s">
        <v>17549</v>
      </c>
      <c r="P3748" t="s">
        <v>17550</v>
      </c>
      <c r="Q3748" t="s">
        <v>17551</v>
      </c>
      <c r="R3748">
        <v>12</v>
      </c>
      <c r="S3748">
        <v>16</v>
      </c>
    </row>
    <row r="3749" spans="1:19" x14ac:dyDescent="0.35">
      <c r="A3749">
        <v>6192</v>
      </c>
      <c r="B3749" t="s">
        <v>17559</v>
      </c>
      <c r="C3749" t="s">
        <v>42</v>
      </c>
      <c r="D3749" t="s">
        <v>17560</v>
      </c>
      <c r="E3749" t="e" cm="1">
        <f t="array" ref="E3749">- CLOXACILLIN SODIUM</f>
        <v>#NAME?</v>
      </c>
      <c r="F3749" t="s">
        <v>17561</v>
      </c>
      <c r="G3749" t="s">
        <v>737</v>
      </c>
      <c r="H3749" t="s">
        <v>17562</v>
      </c>
    </row>
    <row r="3750" spans="1:19" x14ac:dyDescent="0.35">
      <c r="A3750">
        <v>1858</v>
      </c>
      <c r="B3750" t="s">
        <v>4970</v>
      </c>
      <c r="C3750" t="s">
        <v>42</v>
      </c>
      <c r="D3750" t="s">
        <v>4990</v>
      </c>
      <c r="E3750" t="e" cm="1">
        <f t="array" ref="E3750">- DEXTROMETHORPHAN HYDROBROMIDE. GUAIFENESIN. PSEUDOEPHEDRINE HYDROCHLORIDE. CHLORPHENAMINE MALEATE</f>
        <v>#NAME?</v>
      </c>
      <c r="F3750" t="s">
        <v>4991</v>
      </c>
      <c r="G3750" t="s">
        <v>2241</v>
      </c>
      <c r="H3750" t="s">
        <v>4992</v>
      </c>
      <c r="I3750" t="s">
        <v>4974</v>
      </c>
      <c r="J3750" t="s">
        <v>829</v>
      </c>
      <c r="K3750" t="s">
        <v>4993</v>
      </c>
      <c r="L3750" t="s">
        <v>4976</v>
      </c>
      <c r="M3750" t="s">
        <v>271</v>
      </c>
      <c r="N3750" t="s">
        <v>17563</v>
      </c>
      <c r="O3750" t="s">
        <v>4977</v>
      </c>
      <c r="P3750" t="s">
        <v>4978</v>
      </c>
      <c r="Q3750" t="s">
        <v>17564</v>
      </c>
      <c r="R3750">
        <v>12</v>
      </c>
      <c r="S3750">
        <v>16</v>
      </c>
    </row>
    <row r="3751" spans="1:19" x14ac:dyDescent="0.35">
      <c r="A3751">
        <v>10049</v>
      </c>
      <c r="B3751" t="s">
        <v>17565</v>
      </c>
      <c r="C3751" t="s">
        <v>20</v>
      </c>
      <c r="D3751" t="s">
        <v>17566</v>
      </c>
      <c r="E3751" t="s">
        <v>17567</v>
      </c>
      <c r="F3751" t="s">
        <v>17568</v>
      </c>
      <c r="G3751" t="s">
        <v>17569</v>
      </c>
      <c r="H3751" t="s">
        <v>17570</v>
      </c>
      <c r="I3751" t="s">
        <v>17571</v>
      </c>
      <c r="J3751" t="s">
        <v>3409</v>
      </c>
      <c r="K3751" t="s">
        <v>17572</v>
      </c>
      <c r="L3751" t="s">
        <v>17573</v>
      </c>
      <c r="M3751" t="s">
        <v>38</v>
      </c>
      <c r="N3751" t="s">
        <v>17574</v>
      </c>
      <c r="O3751" t="s">
        <v>17575</v>
      </c>
      <c r="P3751" t="s">
        <v>17576</v>
      </c>
      <c r="Q3751" t="s">
        <v>17577</v>
      </c>
      <c r="R3751">
        <v>12</v>
      </c>
      <c r="S3751">
        <v>16</v>
      </c>
    </row>
    <row r="3752" spans="1:19" x14ac:dyDescent="0.35">
      <c r="A3752">
        <v>836</v>
      </c>
      <c r="B3752" t="s">
        <v>14595</v>
      </c>
      <c r="C3752" t="s">
        <v>42</v>
      </c>
      <c r="D3752" t="s">
        <v>14596</v>
      </c>
      <c r="E3752" t="e" cm="1">
        <f t="array" ref="E3752">- OXOMEMAZINE. GUAIFENESIN</f>
        <v>#NAME?</v>
      </c>
      <c r="F3752" t="s">
        <v>14597</v>
      </c>
      <c r="G3752" t="s">
        <v>3098</v>
      </c>
      <c r="H3752" t="s">
        <v>14598</v>
      </c>
      <c r="I3752" t="s">
        <v>14599</v>
      </c>
      <c r="J3752" t="s">
        <v>14600</v>
      </c>
      <c r="K3752" t="s">
        <v>14601</v>
      </c>
      <c r="L3752" t="s">
        <v>14602</v>
      </c>
      <c r="M3752" t="s">
        <v>38</v>
      </c>
      <c r="N3752" t="s">
        <v>10568</v>
      </c>
      <c r="O3752" t="s">
        <v>14603</v>
      </c>
      <c r="P3752" t="s">
        <v>14604</v>
      </c>
      <c r="Q3752" t="s">
        <v>17578</v>
      </c>
      <c r="R3752">
        <v>12</v>
      </c>
      <c r="S3752">
        <v>16</v>
      </c>
    </row>
    <row r="3753" spans="1:19" x14ac:dyDescent="0.35">
      <c r="A3753">
        <v>1759</v>
      </c>
      <c r="B3753" t="s">
        <v>17579</v>
      </c>
      <c r="C3753" t="s">
        <v>850</v>
      </c>
      <c r="D3753" t="s">
        <v>17580</v>
      </c>
      <c r="E3753" t="e" cm="1">
        <f t="array" ref="E3753">- Camphora</f>
        <v>#NAME?</v>
      </c>
      <c r="F3753" t="s">
        <v>17581</v>
      </c>
      <c r="G3753" t="s">
        <v>17582</v>
      </c>
      <c r="H3753" t="s">
        <v>17583</v>
      </c>
      <c r="I3753" t="s">
        <v>17584</v>
      </c>
      <c r="J3753" t="s">
        <v>6371</v>
      </c>
      <c r="L3753" t="s">
        <v>17585</v>
      </c>
      <c r="M3753" t="s">
        <v>3632</v>
      </c>
      <c r="N3753" t="s">
        <v>3633</v>
      </c>
      <c r="O3753" t="s">
        <v>17586</v>
      </c>
      <c r="P3753" t="s">
        <v>17587</v>
      </c>
      <c r="Q3753" t="s">
        <v>17588</v>
      </c>
      <c r="R3753">
        <v>12</v>
      </c>
      <c r="S3753">
        <v>16</v>
      </c>
    </row>
    <row r="3754" spans="1:19" x14ac:dyDescent="0.35">
      <c r="A3754">
        <v>837</v>
      </c>
      <c r="B3754" t="s">
        <v>14595</v>
      </c>
      <c r="C3754" t="s">
        <v>42</v>
      </c>
      <c r="D3754" t="s">
        <v>14596</v>
      </c>
      <c r="E3754" t="e" cm="1">
        <f t="array" ref="E3754">- OXOMEMAZINE. GUAIFENESIN</f>
        <v>#NAME?</v>
      </c>
      <c r="F3754" t="s">
        <v>14597</v>
      </c>
      <c r="G3754" t="s">
        <v>3098</v>
      </c>
      <c r="H3754" t="s">
        <v>14598</v>
      </c>
      <c r="I3754" t="s">
        <v>14599</v>
      </c>
      <c r="J3754" t="s">
        <v>14600</v>
      </c>
      <c r="K3754" t="s">
        <v>14601</v>
      </c>
      <c r="L3754" t="s">
        <v>14602</v>
      </c>
      <c r="M3754" t="s">
        <v>38</v>
      </c>
      <c r="N3754" t="s">
        <v>10568</v>
      </c>
      <c r="O3754" t="s">
        <v>14603</v>
      </c>
      <c r="P3754" t="s">
        <v>14604</v>
      </c>
      <c r="Q3754" t="s">
        <v>17578</v>
      </c>
      <c r="R3754">
        <v>12</v>
      </c>
      <c r="S3754">
        <v>16</v>
      </c>
    </row>
    <row r="3755" spans="1:19" x14ac:dyDescent="0.35">
      <c r="A3755">
        <v>6305</v>
      </c>
      <c r="B3755" t="s">
        <v>17589</v>
      </c>
      <c r="C3755" t="s">
        <v>42</v>
      </c>
      <c r="D3755" t="s">
        <v>17590</v>
      </c>
      <c r="E3755" t="e" cm="1">
        <f t="array" ref="E3755">- SULFAMETHOXAZOLE</f>
        <v>#NAME?</v>
      </c>
      <c r="F3755" t="s">
        <v>17591</v>
      </c>
      <c r="G3755" t="s">
        <v>17592</v>
      </c>
      <c r="H3755" t="s">
        <v>17554</v>
      </c>
      <c r="I3755" t="s">
        <v>17593</v>
      </c>
      <c r="J3755" t="s">
        <v>4472</v>
      </c>
      <c r="K3755" t="s">
        <v>17594</v>
      </c>
      <c r="L3755" t="s">
        <v>17595</v>
      </c>
      <c r="M3755" t="s">
        <v>46</v>
      </c>
      <c r="N3755" t="s">
        <v>478</v>
      </c>
      <c r="O3755" t="s">
        <v>17556</v>
      </c>
      <c r="P3755" t="s">
        <v>17596</v>
      </c>
      <c r="Q3755" t="s">
        <v>17597</v>
      </c>
      <c r="R3755">
        <v>12</v>
      </c>
      <c r="S3755">
        <v>16</v>
      </c>
    </row>
    <row r="3756" spans="1:19" x14ac:dyDescent="0.35">
      <c r="A3756">
        <v>6396</v>
      </c>
      <c r="B3756" t="s">
        <v>17598</v>
      </c>
      <c r="C3756" t="s">
        <v>42</v>
      </c>
      <c r="D3756" t="s">
        <v>17599</v>
      </c>
      <c r="E3756" t="e" cm="1">
        <f t="array" ref="E3756">- SULFAMETHOXAZOLE</f>
        <v>#NAME?</v>
      </c>
      <c r="F3756" s="1">
        <v>21400</v>
      </c>
      <c r="G3756" t="s">
        <v>2241</v>
      </c>
      <c r="H3756" t="s">
        <v>17600</v>
      </c>
      <c r="I3756" t="s">
        <v>17601</v>
      </c>
      <c r="J3756" t="s">
        <v>846</v>
      </c>
      <c r="K3756" t="s">
        <v>17602</v>
      </c>
      <c r="L3756" t="s">
        <v>17603</v>
      </c>
      <c r="M3756" t="s">
        <v>340</v>
      </c>
      <c r="N3756" t="s">
        <v>478</v>
      </c>
      <c r="O3756" t="s">
        <v>17604</v>
      </c>
      <c r="P3756" t="s">
        <v>17605</v>
      </c>
      <c r="Q3756" t="s">
        <v>17606</v>
      </c>
      <c r="R3756">
        <v>12</v>
      </c>
      <c r="S3756">
        <v>16</v>
      </c>
    </row>
    <row r="3757" spans="1:19" x14ac:dyDescent="0.35">
      <c r="A3757">
        <v>9994</v>
      </c>
      <c r="B3757" t="s">
        <v>17607</v>
      </c>
      <c r="C3757" t="s">
        <v>42</v>
      </c>
      <c r="D3757" t="s">
        <v>17608</v>
      </c>
      <c r="E3757" t="e" cm="1">
        <f t="array" ref="E3757">- ISOSORBIDE DINITRATE</f>
        <v>#NAME?</v>
      </c>
      <c r="F3757" t="s">
        <v>17609</v>
      </c>
      <c r="G3757" t="s">
        <v>737</v>
      </c>
      <c r="H3757" t="s">
        <v>17610</v>
      </c>
      <c r="I3757" t="s">
        <v>17611</v>
      </c>
      <c r="J3757" t="s">
        <v>599</v>
      </c>
      <c r="K3757" t="s">
        <v>17612</v>
      </c>
      <c r="L3757" t="s">
        <v>17613</v>
      </c>
      <c r="M3757" t="s">
        <v>46</v>
      </c>
      <c r="N3757" t="s">
        <v>6733</v>
      </c>
      <c r="O3757" t="s">
        <v>17614</v>
      </c>
      <c r="P3757" t="s">
        <v>17615</v>
      </c>
      <c r="Q3757" t="s">
        <v>17616</v>
      </c>
      <c r="R3757">
        <v>12</v>
      </c>
      <c r="S3757">
        <v>16</v>
      </c>
    </row>
    <row r="3758" spans="1:19" x14ac:dyDescent="0.35">
      <c r="A3758">
        <v>9993</v>
      </c>
      <c r="B3758" t="s">
        <v>17607</v>
      </c>
      <c r="C3758" t="s">
        <v>42</v>
      </c>
      <c r="D3758" t="s">
        <v>17608</v>
      </c>
      <c r="E3758" t="e" cm="1">
        <f t="array" ref="E3758">- ISOSORBIDE MONONITRATE</f>
        <v>#NAME?</v>
      </c>
      <c r="F3758" t="s">
        <v>17609</v>
      </c>
      <c r="G3758" t="s">
        <v>737</v>
      </c>
      <c r="H3758" t="s">
        <v>17610</v>
      </c>
      <c r="I3758" t="s">
        <v>17611</v>
      </c>
      <c r="J3758" t="s">
        <v>599</v>
      </c>
      <c r="K3758" t="s">
        <v>17612</v>
      </c>
      <c r="L3758" t="s">
        <v>17613</v>
      </c>
      <c r="M3758" t="s">
        <v>46</v>
      </c>
      <c r="N3758" t="s">
        <v>3543</v>
      </c>
      <c r="O3758" t="s">
        <v>17614</v>
      </c>
      <c r="P3758" t="s">
        <v>17615</v>
      </c>
      <c r="Q3758" t="s">
        <v>17617</v>
      </c>
      <c r="R3758">
        <v>12</v>
      </c>
      <c r="S3758">
        <v>16</v>
      </c>
    </row>
    <row r="3759" spans="1:19" x14ac:dyDescent="0.35">
      <c r="A3759">
        <v>6269</v>
      </c>
      <c r="B3759" t="s">
        <v>17618</v>
      </c>
      <c r="C3759" t="s">
        <v>42</v>
      </c>
      <c r="D3759" t="s">
        <v>17619</v>
      </c>
      <c r="E3759" t="e" cm="1">
        <f t="array" ref="E3759">- AMOXICILLIN TRIHYDRATE</f>
        <v>#NAME?</v>
      </c>
      <c r="F3759" t="s">
        <v>17620</v>
      </c>
      <c r="G3759" t="s">
        <v>5866</v>
      </c>
      <c r="H3759" t="s">
        <v>17621</v>
      </c>
      <c r="I3759" t="s">
        <v>17622</v>
      </c>
      <c r="J3759" t="s">
        <v>381</v>
      </c>
      <c r="K3759" t="s">
        <v>17623</v>
      </c>
      <c r="L3759" t="s">
        <v>17624</v>
      </c>
      <c r="M3759" t="s">
        <v>291</v>
      </c>
      <c r="N3759" t="s">
        <v>1523</v>
      </c>
      <c r="O3759" t="s">
        <v>17625</v>
      </c>
      <c r="P3759" t="s">
        <v>1243</v>
      </c>
      <c r="Q3759" t="s">
        <v>17626</v>
      </c>
      <c r="R3759">
        <v>12</v>
      </c>
      <c r="S3759">
        <v>16</v>
      </c>
    </row>
    <row r="3760" spans="1:19" x14ac:dyDescent="0.35">
      <c r="A3760">
        <v>6268</v>
      </c>
      <c r="B3760" t="s">
        <v>17618</v>
      </c>
      <c r="C3760" t="s">
        <v>42</v>
      </c>
      <c r="D3760" t="s">
        <v>17619</v>
      </c>
      <c r="E3760" t="e" cm="1">
        <f t="array" ref="E3760">- AMOXICILLIN TRIHYDRATE</f>
        <v>#NAME?</v>
      </c>
      <c r="F3760" t="s">
        <v>17620</v>
      </c>
      <c r="G3760" t="s">
        <v>5866</v>
      </c>
      <c r="H3760" t="s">
        <v>17621</v>
      </c>
      <c r="I3760" t="s">
        <v>17622</v>
      </c>
      <c r="J3760" t="s">
        <v>381</v>
      </c>
      <c r="K3760" t="s">
        <v>17623</v>
      </c>
      <c r="L3760" t="s">
        <v>17624</v>
      </c>
      <c r="M3760" t="s">
        <v>291</v>
      </c>
      <c r="N3760" t="s">
        <v>1523</v>
      </c>
      <c r="O3760" t="s">
        <v>17625</v>
      </c>
      <c r="P3760" t="s">
        <v>1243</v>
      </c>
      <c r="Q3760" t="s">
        <v>17626</v>
      </c>
      <c r="R3760">
        <v>12</v>
      </c>
      <c r="S3760">
        <v>16</v>
      </c>
    </row>
    <row r="3761" spans="1:19" x14ac:dyDescent="0.35">
      <c r="A3761">
        <v>9992</v>
      </c>
      <c r="B3761" t="s">
        <v>17607</v>
      </c>
      <c r="C3761" t="s">
        <v>42</v>
      </c>
      <c r="D3761" t="s">
        <v>17608</v>
      </c>
      <c r="E3761" t="e" cm="1">
        <f t="array" ref="E3761">- ISOSORBIDE MONONITRATE</f>
        <v>#NAME?</v>
      </c>
      <c r="F3761" t="s">
        <v>17609</v>
      </c>
      <c r="G3761" t="s">
        <v>737</v>
      </c>
      <c r="H3761" t="s">
        <v>17610</v>
      </c>
      <c r="I3761" t="s">
        <v>17611</v>
      </c>
      <c r="J3761" t="s">
        <v>599</v>
      </c>
      <c r="K3761" t="s">
        <v>17612</v>
      </c>
      <c r="L3761" t="s">
        <v>17613</v>
      </c>
      <c r="M3761" t="s">
        <v>46</v>
      </c>
      <c r="N3761" t="s">
        <v>3543</v>
      </c>
      <c r="O3761" t="s">
        <v>17614</v>
      </c>
      <c r="P3761" t="s">
        <v>17615</v>
      </c>
      <c r="Q3761" t="s">
        <v>17617</v>
      </c>
      <c r="R3761">
        <v>12</v>
      </c>
      <c r="S3761">
        <v>16</v>
      </c>
    </row>
    <row r="3762" spans="1:19" x14ac:dyDescent="0.35">
      <c r="A3762">
        <v>809</v>
      </c>
      <c r="B3762" t="s">
        <v>17627</v>
      </c>
      <c r="C3762" t="s">
        <v>42</v>
      </c>
      <c r="D3762" t="s">
        <v>17628</v>
      </c>
      <c r="E3762" t="e" cm="1">
        <f t="array" ref="E3762">- NOSCAPINE</f>
        <v>#NAME?</v>
      </c>
      <c r="F3762" t="s">
        <v>17629</v>
      </c>
      <c r="G3762" t="s">
        <v>60</v>
      </c>
      <c r="H3762" t="s">
        <v>17630</v>
      </c>
      <c r="I3762" t="s">
        <v>17631</v>
      </c>
      <c r="J3762" t="s">
        <v>810</v>
      </c>
      <c r="K3762" t="s">
        <v>17632</v>
      </c>
      <c r="L3762" t="s">
        <v>17633</v>
      </c>
      <c r="M3762" t="s">
        <v>38</v>
      </c>
      <c r="N3762" t="s">
        <v>17634</v>
      </c>
      <c r="O3762" t="s">
        <v>17635</v>
      </c>
      <c r="P3762" t="s">
        <v>17636</v>
      </c>
      <c r="Q3762" t="s">
        <v>17637</v>
      </c>
      <c r="R3762">
        <v>12</v>
      </c>
      <c r="S3762">
        <v>16</v>
      </c>
    </row>
    <row r="3763" spans="1:19" x14ac:dyDescent="0.35">
      <c r="A3763">
        <v>808</v>
      </c>
      <c r="B3763" t="s">
        <v>17627</v>
      </c>
      <c r="C3763" t="s">
        <v>42</v>
      </c>
      <c r="D3763" t="s">
        <v>17628</v>
      </c>
      <c r="E3763" t="e" cm="1">
        <f t="array" ref="E3763">- NOSCAPINE</f>
        <v>#NAME?</v>
      </c>
      <c r="F3763" t="s">
        <v>17629</v>
      </c>
      <c r="G3763" t="s">
        <v>60</v>
      </c>
      <c r="H3763" t="s">
        <v>17630</v>
      </c>
      <c r="I3763" t="s">
        <v>17631</v>
      </c>
      <c r="J3763" t="s">
        <v>810</v>
      </c>
      <c r="K3763" t="s">
        <v>17632</v>
      </c>
      <c r="L3763" t="s">
        <v>17633</v>
      </c>
      <c r="M3763" t="s">
        <v>38</v>
      </c>
      <c r="N3763" t="s">
        <v>17634</v>
      </c>
      <c r="O3763" t="s">
        <v>17635</v>
      </c>
      <c r="P3763" t="s">
        <v>17636</v>
      </c>
      <c r="Q3763" t="s">
        <v>17637</v>
      </c>
      <c r="R3763">
        <v>12</v>
      </c>
      <c r="S3763">
        <v>16</v>
      </c>
    </row>
    <row r="3764" spans="1:19" x14ac:dyDescent="0.35">
      <c r="A3764">
        <v>9973</v>
      </c>
      <c r="B3764" t="s">
        <v>17638</v>
      </c>
      <c r="C3764" t="s">
        <v>42</v>
      </c>
      <c r="D3764" t="s">
        <v>17639</v>
      </c>
      <c r="E3764" t="e" cm="1">
        <f t="array" ref="E3764">- AMIODARONE HYDROCHLORIDE</f>
        <v>#NAME?</v>
      </c>
      <c r="F3764" t="s">
        <v>17640</v>
      </c>
      <c r="G3764" t="s">
        <v>17641</v>
      </c>
      <c r="H3764" t="s">
        <v>17642</v>
      </c>
      <c r="I3764" t="s">
        <v>17643</v>
      </c>
      <c r="J3764" t="s">
        <v>2992</v>
      </c>
      <c r="K3764" t="s">
        <v>17644</v>
      </c>
      <c r="L3764" t="s">
        <v>17645</v>
      </c>
      <c r="M3764" t="s">
        <v>46</v>
      </c>
      <c r="N3764" t="s">
        <v>17646</v>
      </c>
      <c r="O3764" t="s">
        <v>17647</v>
      </c>
      <c r="P3764" t="s">
        <v>17648</v>
      </c>
      <c r="Q3764" t="s">
        <v>17649</v>
      </c>
      <c r="R3764">
        <v>12</v>
      </c>
      <c r="S3764">
        <v>16</v>
      </c>
    </row>
    <row r="3765" spans="1:19" x14ac:dyDescent="0.35">
      <c r="A3765">
        <v>9972</v>
      </c>
      <c r="B3765" t="s">
        <v>17638</v>
      </c>
      <c r="C3765" t="s">
        <v>42</v>
      </c>
      <c r="D3765" t="s">
        <v>17639</v>
      </c>
      <c r="E3765" t="e" cm="1">
        <f t="array" ref="E3765">- AMIODARONE HYDROCHLORIDE</f>
        <v>#NAME?</v>
      </c>
      <c r="F3765" t="s">
        <v>17640</v>
      </c>
      <c r="G3765" t="s">
        <v>17641</v>
      </c>
      <c r="H3765" t="s">
        <v>17642</v>
      </c>
      <c r="I3765" t="s">
        <v>17643</v>
      </c>
      <c r="J3765" t="s">
        <v>2992</v>
      </c>
      <c r="K3765" t="s">
        <v>17644</v>
      </c>
      <c r="L3765" t="s">
        <v>17645</v>
      </c>
      <c r="M3765" t="s">
        <v>46</v>
      </c>
      <c r="N3765" t="s">
        <v>17646</v>
      </c>
      <c r="O3765" t="s">
        <v>17647</v>
      </c>
      <c r="P3765" t="s">
        <v>17648</v>
      </c>
      <c r="Q3765" t="s">
        <v>17649</v>
      </c>
      <c r="R3765">
        <v>12</v>
      </c>
      <c r="S3765">
        <v>16</v>
      </c>
    </row>
    <row r="3766" spans="1:19" x14ac:dyDescent="0.35">
      <c r="A3766">
        <v>1810</v>
      </c>
      <c r="B3766" t="s">
        <v>17650</v>
      </c>
      <c r="C3766" t="s">
        <v>850</v>
      </c>
      <c r="D3766" t="s">
        <v>17651</v>
      </c>
      <c r="E3766" t="e" cm="1">
        <f t="array" ref="E3766">- Methyl Salicylate</f>
        <v>#NAME?</v>
      </c>
      <c r="F3766" t="s">
        <v>17652</v>
      </c>
      <c r="G3766" t="s">
        <v>17653</v>
      </c>
      <c r="H3766" t="s">
        <v>1322</v>
      </c>
      <c r="I3766" t="s">
        <v>17654</v>
      </c>
      <c r="J3766" t="s">
        <v>846</v>
      </c>
      <c r="L3766" t="s">
        <v>17655</v>
      </c>
      <c r="M3766" t="s">
        <v>2115</v>
      </c>
      <c r="N3766" t="s">
        <v>3276</v>
      </c>
      <c r="O3766" t="s">
        <v>17656</v>
      </c>
      <c r="P3766" t="s">
        <v>17657</v>
      </c>
      <c r="Q3766" t="s">
        <v>17658</v>
      </c>
      <c r="R3766">
        <v>12</v>
      </c>
      <c r="S3766">
        <v>16</v>
      </c>
    </row>
    <row r="3767" spans="1:19" x14ac:dyDescent="0.35">
      <c r="A3767">
        <v>866</v>
      </c>
      <c r="B3767" t="s">
        <v>17659</v>
      </c>
      <c r="C3767" t="s">
        <v>42</v>
      </c>
      <c r="D3767" t="s">
        <v>17660</v>
      </c>
      <c r="E3767" t="e" cm="1">
        <f t="array" ref="E3767">- ACETYLCYSTEINE</f>
        <v>#NAME?</v>
      </c>
      <c r="F3767" t="s">
        <v>17661</v>
      </c>
      <c r="G3767" t="s">
        <v>17662</v>
      </c>
      <c r="H3767" t="s">
        <v>17663</v>
      </c>
      <c r="I3767" t="s">
        <v>17664</v>
      </c>
      <c r="J3767" t="s">
        <v>17665</v>
      </c>
      <c r="K3767" t="s">
        <v>17458</v>
      </c>
      <c r="L3767" t="s">
        <v>17666</v>
      </c>
      <c r="M3767" t="s">
        <v>17667</v>
      </c>
      <c r="N3767" t="s">
        <v>9045</v>
      </c>
      <c r="O3767" t="s">
        <v>17460</v>
      </c>
      <c r="P3767" t="s">
        <v>17668</v>
      </c>
      <c r="Q3767" t="s">
        <v>17669</v>
      </c>
      <c r="R3767">
        <v>12</v>
      </c>
      <c r="S3767">
        <v>16</v>
      </c>
    </row>
    <row r="3768" spans="1:19" x14ac:dyDescent="0.35">
      <c r="A3768">
        <v>9958</v>
      </c>
      <c r="B3768" t="s">
        <v>17670</v>
      </c>
      <c r="C3768" t="s">
        <v>42</v>
      </c>
      <c r="D3768" t="s">
        <v>17671</v>
      </c>
      <c r="E3768" t="e" cm="1">
        <f t="array" ref="E3768">- APIXABAN</f>
        <v>#NAME?</v>
      </c>
      <c r="F3768" t="s">
        <v>17672</v>
      </c>
      <c r="G3768" t="s">
        <v>17673</v>
      </c>
      <c r="H3768" t="s">
        <v>17674</v>
      </c>
    </row>
    <row r="3769" spans="1:19" x14ac:dyDescent="0.35">
      <c r="A3769">
        <v>9957</v>
      </c>
      <c r="B3769" t="s">
        <v>17670</v>
      </c>
      <c r="C3769" t="s">
        <v>42</v>
      </c>
      <c r="D3769" t="s">
        <v>17671</v>
      </c>
      <c r="E3769" t="e" cm="1">
        <f t="array" ref="E3769">- APIXABAN</f>
        <v>#NAME?</v>
      </c>
      <c r="F3769" t="s">
        <v>17672</v>
      </c>
      <c r="G3769" t="s">
        <v>17673</v>
      </c>
      <c r="H3769" t="s">
        <v>17674</v>
      </c>
    </row>
    <row r="3770" spans="1:19" x14ac:dyDescent="0.35">
      <c r="A3770">
        <v>1840</v>
      </c>
      <c r="B3770" t="s">
        <v>10254</v>
      </c>
      <c r="C3770" t="s">
        <v>42</v>
      </c>
      <c r="D3770" t="s">
        <v>14413</v>
      </c>
      <c r="E3770" t="e" cm="1">
        <f t="array" ref="E3770">- DEXTROMETHORPHAN HYDROBROMIDE. GUAIFENESIN</f>
        <v>#NAME?</v>
      </c>
      <c r="F3770" t="s">
        <v>14414</v>
      </c>
      <c r="G3770" t="s">
        <v>2241</v>
      </c>
      <c r="H3770" t="s">
        <v>14415</v>
      </c>
      <c r="I3770" t="s">
        <v>14416</v>
      </c>
      <c r="J3770" t="s">
        <v>14417</v>
      </c>
      <c r="K3770" t="s">
        <v>14418</v>
      </c>
      <c r="L3770" t="s">
        <v>14419</v>
      </c>
      <c r="M3770" t="s">
        <v>271</v>
      </c>
      <c r="N3770" t="s">
        <v>13176</v>
      </c>
      <c r="O3770" t="s">
        <v>14420</v>
      </c>
      <c r="P3770" t="s">
        <v>10262</v>
      </c>
      <c r="Q3770" t="s">
        <v>17675</v>
      </c>
      <c r="R3770">
        <v>12</v>
      </c>
      <c r="S3770">
        <v>16</v>
      </c>
    </row>
    <row r="3771" spans="1:19" x14ac:dyDescent="0.35">
      <c r="A3771">
        <v>1841</v>
      </c>
      <c r="B3771" t="s">
        <v>10254</v>
      </c>
      <c r="C3771" t="s">
        <v>42</v>
      </c>
      <c r="D3771" t="s">
        <v>14413</v>
      </c>
      <c r="E3771" t="e" cm="1">
        <f t="array" ref="E3771">- DEXTROMETHORPHAN HYDROBROMIDE. GUAIFENESIN</f>
        <v>#NAME?</v>
      </c>
      <c r="F3771" t="s">
        <v>14414</v>
      </c>
      <c r="G3771" t="s">
        <v>2241</v>
      </c>
      <c r="H3771" t="s">
        <v>14415</v>
      </c>
      <c r="I3771" t="s">
        <v>14416</v>
      </c>
      <c r="J3771" t="s">
        <v>14417</v>
      </c>
      <c r="K3771" t="s">
        <v>14418</v>
      </c>
      <c r="L3771" t="s">
        <v>14419</v>
      </c>
      <c r="M3771" t="s">
        <v>271</v>
      </c>
      <c r="N3771" t="s">
        <v>13176</v>
      </c>
      <c r="O3771" t="s">
        <v>14420</v>
      </c>
      <c r="P3771" t="s">
        <v>10262</v>
      </c>
      <c r="Q3771" t="s">
        <v>17675</v>
      </c>
      <c r="R3771">
        <v>12</v>
      </c>
      <c r="S3771">
        <v>16</v>
      </c>
    </row>
    <row r="3772" spans="1:19" x14ac:dyDescent="0.35">
      <c r="A3772">
        <v>6210</v>
      </c>
      <c r="B3772" t="s">
        <v>17676</v>
      </c>
      <c r="C3772" t="s">
        <v>42</v>
      </c>
      <c r="D3772" t="s">
        <v>17677</v>
      </c>
      <c r="E3772" t="e" cm="1">
        <f t="array" ref="E3772">- AZITHROMYCIN DIHYDRATE</f>
        <v>#NAME?</v>
      </c>
      <c r="F3772" s="1">
        <v>259500</v>
      </c>
      <c r="G3772" t="s">
        <v>5568</v>
      </c>
      <c r="H3772" t="s">
        <v>17678</v>
      </c>
      <c r="I3772" t="s">
        <v>17679</v>
      </c>
      <c r="J3772" t="s">
        <v>17680</v>
      </c>
      <c r="K3772" t="s">
        <v>17681</v>
      </c>
      <c r="L3772" t="s">
        <v>17682</v>
      </c>
      <c r="M3772" t="s">
        <v>291</v>
      </c>
      <c r="N3772" t="s">
        <v>13005</v>
      </c>
      <c r="O3772" t="s">
        <v>17683</v>
      </c>
      <c r="P3772" t="s">
        <v>17684</v>
      </c>
      <c r="Q3772" t="s">
        <v>17685</v>
      </c>
      <c r="R3772">
        <v>12</v>
      </c>
      <c r="S3772">
        <v>16</v>
      </c>
    </row>
    <row r="3773" spans="1:19" x14ac:dyDescent="0.35">
      <c r="A3773">
        <v>6209</v>
      </c>
      <c r="B3773" t="s">
        <v>17686</v>
      </c>
      <c r="C3773" t="s">
        <v>42</v>
      </c>
      <c r="D3773" t="s">
        <v>17687</v>
      </c>
      <c r="E3773" t="e" cm="1">
        <f t="array" ref="E3773">- AZITHROMYCIN DIHYDRATE</f>
        <v>#NAME?</v>
      </c>
      <c r="F3773" s="1">
        <v>128300</v>
      </c>
      <c r="G3773" t="s">
        <v>5568</v>
      </c>
      <c r="H3773" t="s">
        <v>17678</v>
      </c>
      <c r="I3773" t="s">
        <v>17679</v>
      </c>
      <c r="J3773" t="s">
        <v>4547</v>
      </c>
      <c r="K3773" t="s">
        <v>17681</v>
      </c>
      <c r="L3773" t="s">
        <v>17688</v>
      </c>
      <c r="M3773" t="s">
        <v>38</v>
      </c>
      <c r="N3773" t="s">
        <v>13005</v>
      </c>
      <c r="O3773" t="s">
        <v>17683</v>
      </c>
      <c r="P3773" t="s">
        <v>17684</v>
      </c>
      <c r="Q3773" t="s">
        <v>17689</v>
      </c>
      <c r="R3773">
        <v>12</v>
      </c>
      <c r="S3773">
        <v>16</v>
      </c>
    </row>
    <row r="3774" spans="1:19" x14ac:dyDescent="0.35">
      <c r="A3774">
        <v>6208</v>
      </c>
      <c r="B3774" t="s">
        <v>17686</v>
      </c>
      <c r="C3774" t="s">
        <v>42</v>
      </c>
      <c r="D3774" t="s">
        <v>17687</v>
      </c>
      <c r="E3774" t="e" cm="1">
        <f t="array" ref="E3774">- AZITHROMYCIN DIHYDRATE</f>
        <v>#NAME?</v>
      </c>
      <c r="F3774" s="1">
        <v>128300</v>
      </c>
      <c r="G3774" t="s">
        <v>5568</v>
      </c>
      <c r="H3774" t="s">
        <v>17678</v>
      </c>
      <c r="I3774" t="s">
        <v>17679</v>
      </c>
      <c r="J3774" t="s">
        <v>4547</v>
      </c>
      <c r="K3774" t="s">
        <v>17681</v>
      </c>
      <c r="L3774" t="s">
        <v>17688</v>
      </c>
      <c r="M3774" t="s">
        <v>38</v>
      </c>
      <c r="N3774" t="s">
        <v>13005</v>
      </c>
      <c r="O3774" t="s">
        <v>17683</v>
      </c>
      <c r="P3774" t="s">
        <v>17684</v>
      </c>
      <c r="Q3774" t="s">
        <v>17689</v>
      </c>
      <c r="R3774">
        <v>12</v>
      </c>
      <c r="S3774">
        <v>16</v>
      </c>
    </row>
    <row r="3775" spans="1:19" x14ac:dyDescent="0.35">
      <c r="A3775">
        <v>1856</v>
      </c>
      <c r="B3775" t="s">
        <v>4970</v>
      </c>
      <c r="C3775" t="s">
        <v>42</v>
      </c>
      <c r="D3775" t="s">
        <v>4971</v>
      </c>
      <c r="E3775" t="e" cm="1">
        <f t="array" ref="E3775">- DEXTROMETHORPHAN HYDROBROMIDE. GUAIFENESIN. PSEUDOEPHEDRINE HYDROCHLORIDE. CHLORPHENAMINE MALEATE</f>
        <v>#NAME?</v>
      </c>
      <c r="F3775" t="s">
        <v>4972</v>
      </c>
      <c r="G3775" t="s">
        <v>2241</v>
      </c>
      <c r="H3775" t="s">
        <v>4973</v>
      </c>
      <c r="I3775" t="s">
        <v>4974</v>
      </c>
      <c r="J3775" t="s">
        <v>334</v>
      </c>
      <c r="K3775" t="s">
        <v>4975</v>
      </c>
      <c r="L3775" t="s">
        <v>4976</v>
      </c>
      <c r="M3775" t="s">
        <v>271</v>
      </c>
      <c r="N3775" t="s">
        <v>17563</v>
      </c>
      <c r="O3775" t="s">
        <v>4977</v>
      </c>
      <c r="P3775" t="s">
        <v>4978</v>
      </c>
      <c r="Q3775" t="s">
        <v>17564</v>
      </c>
      <c r="R3775">
        <v>12</v>
      </c>
      <c r="S3775">
        <v>16</v>
      </c>
    </row>
    <row r="3776" spans="1:19" x14ac:dyDescent="0.35">
      <c r="A3776">
        <v>6193</v>
      </c>
      <c r="B3776" t="s">
        <v>17559</v>
      </c>
      <c r="C3776" t="s">
        <v>42</v>
      </c>
      <c r="D3776" t="s">
        <v>17560</v>
      </c>
      <c r="E3776" t="e" cm="1">
        <f t="array" ref="E3776">- CLOXACILLIN SODIUM</f>
        <v>#NAME?</v>
      </c>
      <c r="F3776" t="s">
        <v>17561</v>
      </c>
      <c r="G3776" t="s">
        <v>737</v>
      </c>
      <c r="H3776" t="s">
        <v>17562</v>
      </c>
    </row>
    <row r="3777" spans="1:19" x14ac:dyDescent="0.35">
      <c r="A3777">
        <v>9282</v>
      </c>
      <c r="B3777" t="s">
        <v>17690</v>
      </c>
      <c r="C3777" t="s">
        <v>42</v>
      </c>
      <c r="D3777" t="s">
        <v>17691</v>
      </c>
      <c r="E3777" t="e" cm="1">
        <f t="array" ref="E3777">- TELMISARTAN</f>
        <v>#NAME?</v>
      </c>
      <c r="F3777" t="s">
        <v>17198</v>
      </c>
      <c r="G3777" t="s">
        <v>17692</v>
      </c>
      <c r="H3777" t="s">
        <v>17693</v>
      </c>
      <c r="I3777" t="s">
        <v>17694</v>
      </c>
      <c r="J3777" t="s">
        <v>12606</v>
      </c>
      <c r="K3777" t="s">
        <v>17695</v>
      </c>
      <c r="L3777" t="s">
        <v>17696</v>
      </c>
      <c r="M3777" t="s">
        <v>46</v>
      </c>
      <c r="N3777" t="s">
        <v>2270</v>
      </c>
      <c r="O3777" t="s">
        <v>17697</v>
      </c>
      <c r="P3777" t="s">
        <v>15604</v>
      </c>
      <c r="Q3777" t="s">
        <v>17698</v>
      </c>
      <c r="R3777">
        <v>12</v>
      </c>
      <c r="S3777">
        <v>16</v>
      </c>
    </row>
    <row r="3778" spans="1:19" x14ac:dyDescent="0.35">
      <c r="A3778">
        <v>6044</v>
      </c>
      <c r="B3778" t="s">
        <v>17699</v>
      </c>
      <c r="C3778" t="s">
        <v>42</v>
      </c>
      <c r="D3778" t="s">
        <v>17700</v>
      </c>
      <c r="E3778" t="e" cm="1">
        <f t="array" ref="E3778">- CHLORAMPHENICOL</f>
        <v>#NAME?</v>
      </c>
      <c r="F3778" t="s">
        <v>17701</v>
      </c>
      <c r="G3778" t="s">
        <v>8205</v>
      </c>
      <c r="H3778" t="s">
        <v>17702</v>
      </c>
      <c r="I3778" t="s">
        <v>17703</v>
      </c>
      <c r="J3778" t="s">
        <v>17704</v>
      </c>
      <c r="L3778" t="s">
        <v>270</v>
      </c>
      <c r="M3778" t="s">
        <v>38</v>
      </c>
      <c r="N3778" t="s">
        <v>1188</v>
      </c>
      <c r="O3778" t="s">
        <v>17705</v>
      </c>
      <c r="P3778" t="s">
        <v>17706</v>
      </c>
      <c r="Q3778" t="s">
        <v>17707</v>
      </c>
      <c r="R3778">
        <v>12</v>
      </c>
      <c r="S3778">
        <v>16</v>
      </c>
    </row>
    <row r="3779" spans="1:19" x14ac:dyDescent="0.35">
      <c r="A3779">
        <v>6627</v>
      </c>
      <c r="B3779" t="s">
        <v>17708</v>
      </c>
      <c r="C3779" t="s">
        <v>42</v>
      </c>
      <c r="D3779" t="s">
        <v>17709</v>
      </c>
      <c r="E3779" t="e" cm="1">
        <f t="array" ref="E3779">- METHISOPRINOL</f>
        <v>#NAME?</v>
      </c>
      <c r="F3779" t="s">
        <v>17710</v>
      </c>
      <c r="G3779" t="s">
        <v>2453</v>
      </c>
      <c r="H3779" t="s">
        <v>17711</v>
      </c>
      <c r="I3779" t="s">
        <v>14010</v>
      </c>
      <c r="J3779" t="s">
        <v>334</v>
      </c>
      <c r="K3779" t="s">
        <v>11107</v>
      </c>
      <c r="L3779" t="s">
        <v>14012</v>
      </c>
      <c r="M3779" t="s">
        <v>271</v>
      </c>
      <c r="N3779" t="s">
        <v>322</v>
      </c>
      <c r="O3779" t="s">
        <v>14013</v>
      </c>
      <c r="P3779" t="s">
        <v>17529</v>
      </c>
      <c r="Q3779" t="s">
        <v>17712</v>
      </c>
      <c r="R3779">
        <v>12</v>
      </c>
      <c r="S3779">
        <v>16</v>
      </c>
    </row>
    <row r="3780" spans="1:19" x14ac:dyDescent="0.35">
      <c r="A3780">
        <v>9623</v>
      </c>
      <c r="B3780" t="s">
        <v>6301</v>
      </c>
      <c r="C3780" t="s">
        <v>42</v>
      </c>
      <c r="D3780" t="s">
        <v>17713</v>
      </c>
      <c r="E3780" t="s">
        <v>6303</v>
      </c>
      <c r="F3780" s="1">
        <v>60000</v>
      </c>
      <c r="J3780" t="s">
        <v>17714</v>
      </c>
      <c r="M3780" t="s">
        <v>46</v>
      </c>
      <c r="N3780" t="s">
        <v>6304</v>
      </c>
      <c r="P3780" t="s">
        <v>17715</v>
      </c>
      <c r="Q3780" t="s">
        <v>17716</v>
      </c>
      <c r="R3780">
        <v>12</v>
      </c>
      <c r="S3780">
        <v>16</v>
      </c>
    </row>
    <row r="3781" spans="1:19" x14ac:dyDescent="0.35">
      <c r="A3781">
        <v>9622</v>
      </c>
      <c r="B3781" t="s">
        <v>6301</v>
      </c>
      <c r="C3781" t="s">
        <v>42</v>
      </c>
      <c r="D3781" t="s">
        <v>17717</v>
      </c>
      <c r="E3781" t="s">
        <v>6303</v>
      </c>
      <c r="F3781" s="1">
        <v>50000</v>
      </c>
      <c r="J3781" t="s">
        <v>17718</v>
      </c>
      <c r="M3781" t="s">
        <v>46</v>
      </c>
      <c r="N3781" t="s">
        <v>6304</v>
      </c>
      <c r="P3781" t="s">
        <v>17715</v>
      </c>
      <c r="Q3781" t="s">
        <v>17716</v>
      </c>
      <c r="R3781">
        <v>12</v>
      </c>
      <c r="S3781">
        <v>16</v>
      </c>
    </row>
    <row r="3782" spans="1:19" x14ac:dyDescent="0.35">
      <c r="A3782">
        <v>1644</v>
      </c>
      <c r="B3782" t="s">
        <v>17719</v>
      </c>
      <c r="C3782" t="s">
        <v>42</v>
      </c>
      <c r="D3782" t="s">
        <v>17720</v>
      </c>
      <c r="E3782" t="e" cm="1">
        <f t="array" ref="E3782">- PSEUDOEPHEDRINE HYDROCHLORIDE. CHLORPHENAMINE MALEATE</f>
        <v>#NAME?</v>
      </c>
      <c r="F3782" t="s">
        <v>17721</v>
      </c>
      <c r="G3782" t="s">
        <v>2241</v>
      </c>
      <c r="H3782" t="s">
        <v>17722</v>
      </c>
      <c r="I3782" t="s">
        <v>17723</v>
      </c>
      <c r="J3782" t="s">
        <v>17245</v>
      </c>
      <c r="K3782" t="s">
        <v>17724</v>
      </c>
      <c r="L3782" t="s">
        <v>17725</v>
      </c>
      <c r="M3782" t="s">
        <v>271</v>
      </c>
      <c r="N3782" t="s">
        <v>4926</v>
      </c>
      <c r="O3782" t="s">
        <v>12899</v>
      </c>
      <c r="P3782" t="s">
        <v>17726</v>
      </c>
      <c r="Q3782" t="s">
        <v>17727</v>
      </c>
      <c r="R3782">
        <v>12</v>
      </c>
      <c r="S3782">
        <v>16</v>
      </c>
    </row>
    <row r="3783" spans="1:19" x14ac:dyDescent="0.35">
      <c r="A3783">
        <v>2235</v>
      </c>
      <c r="B3783" t="s">
        <v>15158</v>
      </c>
      <c r="C3783" t="s">
        <v>42</v>
      </c>
      <c r="D3783" t="s">
        <v>15159</v>
      </c>
      <c r="E3783" t="e" cm="1">
        <f t="array" ref="E3783">- METAMIZOLE SODIUM ANHYDRATE</f>
        <v>#NAME?</v>
      </c>
      <c r="F3783" t="s">
        <v>15160</v>
      </c>
      <c r="G3783" t="s">
        <v>2241</v>
      </c>
      <c r="H3783" t="s">
        <v>15161</v>
      </c>
      <c r="I3783" t="s">
        <v>15162</v>
      </c>
      <c r="J3783" t="s">
        <v>15163</v>
      </c>
      <c r="L3783" t="s">
        <v>1875</v>
      </c>
      <c r="M3783" t="s">
        <v>46</v>
      </c>
      <c r="N3783" t="s">
        <v>3401</v>
      </c>
      <c r="O3783" t="s">
        <v>15164</v>
      </c>
      <c r="P3783" t="s">
        <v>15165</v>
      </c>
      <c r="Q3783" t="s">
        <v>17728</v>
      </c>
      <c r="R3783">
        <v>12</v>
      </c>
      <c r="S3783">
        <v>16</v>
      </c>
    </row>
    <row r="3784" spans="1:19" x14ac:dyDescent="0.35">
      <c r="A3784">
        <v>2258</v>
      </c>
      <c r="B3784" t="s">
        <v>17729</v>
      </c>
      <c r="C3784" t="s">
        <v>42</v>
      </c>
      <c r="D3784" t="s">
        <v>17730</v>
      </c>
      <c r="E3784" t="e" cm="1">
        <f t="array" ref="E3784">- ETORICOXIB</f>
        <v>#NAME?</v>
      </c>
      <c r="F3784" t="s">
        <v>17731</v>
      </c>
      <c r="I3784" t="s">
        <v>14774</v>
      </c>
      <c r="J3784" t="s">
        <v>2100</v>
      </c>
      <c r="M3784" t="s">
        <v>46</v>
      </c>
      <c r="N3784" t="s">
        <v>47</v>
      </c>
      <c r="O3784" t="s">
        <v>14779</v>
      </c>
      <c r="P3784" t="s">
        <v>17014</v>
      </c>
      <c r="Q3784" t="s">
        <v>17015</v>
      </c>
      <c r="R3784">
        <v>12</v>
      </c>
      <c r="S3784">
        <v>16</v>
      </c>
    </row>
    <row r="3785" spans="1:19" x14ac:dyDescent="0.35">
      <c r="A3785">
        <v>2259</v>
      </c>
      <c r="B3785" t="s">
        <v>17729</v>
      </c>
      <c r="C3785" t="s">
        <v>42</v>
      </c>
      <c r="D3785" t="s">
        <v>17730</v>
      </c>
      <c r="E3785" t="e" cm="1">
        <f t="array" ref="E3785">- ETORICOXIB</f>
        <v>#NAME?</v>
      </c>
      <c r="F3785" t="s">
        <v>17731</v>
      </c>
      <c r="I3785" t="s">
        <v>14774</v>
      </c>
      <c r="J3785" t="s">
        <v>2100</v>
      </c>
      <c r="M3785" t="s">
        <v>46</v>
      </c>
      <c r="N3785" t="s">
        <v>47</v>
      </c>
      <c r="O3785" t="s">
        <v>14779</v>
      </c>
      <c r="P3785" t="s">
        <v>17014</v>
      </c>
      <c r="Q3785" t="s">
        <v>17015</v>
      </c>
      <c r="R3785">
        <v>12</v>
      </c>
      <c r="S3785">
        <v>16</v>
      </c>
    </row>
    <row r="3786" spans="1:19" x14ac:dyDescent="0.35">
      <c r="A3786">
        <v>6944</v>
      </c>
      <c r="B3786" t="s">
        <v>1803</v>
      </c>
      <c r="C3786" t="s">
        <v>42</v>
      </c>
      <c r="D3786" t="s">
        <v>17732</v>
      </c>
      <c r="E3786" t="e" cm="1">
        <f t="array" ref="E3786">- TIZANIDINE HYDROCHLORIDE</f>
        <v>#NAME?</v>
      </c>
      <c r="F3786" t="s">
        <v>17733</v>
      </c>
      <c r="G3786" t="s">
        <v>17734</v>
      </c>
      <c r="H3786" t="s">
        <v>17735</v>
      </c>
      <c r="I3786" t="s">
        <v>17736</v>
      </c>
      <c r="J3786" t="s">
        <v>17737</v>
      </c>
      <c r="M3786" t="s">
        <v>46</v>
      </c>
      <c r="N3786" t="s">
        <v>1806</v>
      </c>
      <c r="O3786" t="s">
        <v>17738</v>
      </c>
      <c r="P3786" t="s">
        <v>17739</v>
      </c>
      <c r="Q3786" t="s">
        <v>17740</v>
      </c>
      <c r="R3786">
        <v>12</v>
      </c>
      <c r="S3786">
        <v>16</v>
      </c>
    </row>
    <row r="3787" spans="1:19" x14ac:dyDescent="0.35">
      <c r="A3787">
        <v>6965</v>
      </c>
      <c r="B3787" t="s">
        <v>1803</v>
      </c>
      <c r="C3787" t="s">
        <v>42</v>
      </c>
      <c r="D3787" t="s">
        <v>17741</v>
      </c>
      <c r="E3787" t="e" cm="1">
        <f t="array" ref="E3787">- TIZANIDINE HYDROCHLORIDE</f>
        <v>#NAME?</v>
      </c>
      <c r="F3787" t="s">
        <v>17742</v>
      </c>
      <c r="G3787" t="s">
        <v>17743</v>
      </c>
      <c r="I3787" t="s">
        <v>17744</v>
      </c>
      <c r="J3787" t="s">
        <v>17745</v>
      </c>
      <c r="M3787" t="s">
        <v>46</v>
      </c>
      <c r="N3787" t="s">
        <v>1806</v>
      </c>
      <c r="O3787" t="s">
        <v>17746</v>
      </c>
      <c r="P3787" t="s">
        <v>17747</v>
      </c>
      <c r="Q3787" t="s">
        <v>17748</v>
      </c>
      <c r="R3787">
        <v>12</v>
      </c>
      <c r="S3787">
        <v>16</v>
      </c>
    </row>
    <row r="3788" spans="1:19" x14ac:dyDescent="0.35">
      <c r="A3788">
        <v>5845</v>
      </c>
      <c r="B3788" t="s">
        <v>17749</v>
      </c>
      <c r="C3788" t="s">
        <v>42</v>
      </c>
      <c r="D3788" t="s">
        <v>17750</v>
      </c>
      <c r="E3788" t="e" cm="1">
        <f t="array" ref="E3788">- AMOXICILLIN TRIHYDRATE</f>
        <v>#NAME?</v>
      </c>
      <c r="F3788" t="s">
        <v>17751</v>
      </c>
      <c r="G3788" t="s">
        <v>2241</v>
      </c>
      <c r="H3788" t="s">
        <v>17752</v>
      </c>
      <c r="I3788" t="s">
        <v>17753</v>
      </c>
    </row>
    <row r="3789" spans="1:19" x14ac:dyDescent="0.35">
      <c r="A3789">
        <v>5844</v>
      </c>
      <c r="B3789" t="s">
        <v>17754</v>
      </c>
      <c r="C3789" t="s">
        <v>42</v>
      </c>
      <c r="D3789" t="s">
        <v>17755</v>
      </c>
      <c r="E3789" t="e" cm="1">
        <f t="array" ref="E3789">- AMOXICILLIN TRIHYDRATE</f>
        <v>#NAME?</v>
      </c>
      <c r="F3789" t="s">
        <v>9063</v>
      </c>
      <c r="G3789" t="s">
        <v>2241</v>
      </c>
      <c r="H3789" t="s">
        <v>17756</v>
      </c>
      <c r="I3789" t="s">
        <v>17753</v>
      </c>
    </row>
    <row r="3790" spans="1:19" x14ac:dyDescent="0.35">
      <c r="A3790">
        <v>5843</v>
      </c>
      <c r="B3790" t="s">
        <v>17754</v>
      </c>
      <c r="C3790" t="s">
        <v>42</v>
      </c>
      <c r="D3790" t="s">
        <v>17755</v>
      </c>
      <c r="E3790" t="e" cm="1">
        <f t="array" ref="E3790">- AMOXICILLIN TRIHYDRATE</f>
        <v>#NAME?</v>
      </c>
      <c r="F3790" t="s">
        <v>9063</v>
      </c>
      <c r="G3790" t="s">
        <v>2241</v>
      </c>
      <c r="H3790" t="s">
        <v>17756</v>
      </c>
      <c r="I3790" t="s">
        <v>17753</v>
      </c>
    </row>
    <row r="3791" spans="1:19" x14ac:dyDescent="0.35">
      <c r="A3791">
        <v>6975</v>
      </c>
      <c r="B3791" t="s">
        <v>1803</v>
      </c>
      <c r="C3791" t="s">
        <v>42</v>
      </c>
      <c r="D3791" t="s">
        <v>17757</v>
      </c>
      <c r="E3791" t="e" cm="1">
        <f t="array" ref="E3791">- TIZANIDINE HYDROCHLORIDE</f>
        <v>#NAME?</v>
      </c>
      <c r="F3791" t="s">
        <v>17758</v>
      </c>
      <c r="J3791" t="s">
        <v>16037</v>
      </c>
      <c r="M3791" t="s">
        <v>46</v>
      </c>
      <c r="N3791" t="s">
        <v>1806</v>
      </c>
      <c r="P3791" t="s">
        <v>17759</v>
      </c>
      <c r="Q3791" t="s">
        <v>17760</v>
      </c>
      <c r="R3791">
        <v>12</v>
      </c>
      <c r="S3791">
        <v>16</v>
      </c>
    </row>
    <row r="3792" spans="1:19" x14ac:dyDescent="0.35">
      <c r="A3792">
        <v>2314</v>
      </c>
      <c r="B3792" t="s">
        <v>15529</v>
      </c>
      <c r="C3792" t="s">
        <v>42</v>
      </c>
      <c r="D3792" t="s">
        <v>15530</v>
      </c>
      <c r="E3792" t="e" cm="1">
        <f t="array" ref="E3792">- PARACETAMOL. CAFFEINE</f>
        <v>#NAME?</v>
      </c>
      <c r="F3792" t="s">
        <v>15531</v>
      </c>
      <c r="G3792" t="s">
        <v>12603</v>
      </c>
      <c r="H3792" t="s">
        <v>15532</v>
      </c>
      <c r="I3792" t="s">
        <v>15533</v>
      </c>
      <c r="J3792" t="s">
        <v>15534</v>
      </c>
      <c r="K3792" t="s">
        <v>7640</v>
      </c>
      <c r="L3792" t="s">
        <v>15535</v>
      </c>
      <c r="M3792" t="s">
        <v>46</v>
      </c>
      <c r="N3792" t="s">
        <v>3655</v>
      </c>
      <c r="O3792" t="s">
        <v>15536</v>
      </c>
      <c r="P3792" t="s">
        <v>15537</v>
      </c>
      <c r="Q3792" t="s">
        <v>17761</v>
      </c>
      <c r="R3792">
        <v>12</v>
      </c>
      <c r="S3792">
        <v>16</v>
      </c>
    </row>
    <row r="3793" spans="1:19" x14ac:dyDescent="0.35">
      <c r="A3793">
        <v>2315</v>
      </c>
      <c r="B3793" t="s">
        <v>15529</v>
      </c>
      <c r="C3793" t="s">
        <v>42</v>
      </c>
      <c r="D3793" t="s">
        <v>15530</v>
      </c>
      <c r="E3793" t="e" cm="1">
        <f t="array" ref="E3793">- PARACETAMOL. CAFFEINE</f>
        <v>#NAME?</v>
      </c>
      <c r="F3793" t="s">
        <v>15531</v>
      </c>
      <c r="G3793" t="s">
        <v>12603</v>
      </c>
      <c r="H3793" t="s">
        <v>15532</v>
      </c>
      <c r="I3793" t="s">
        <v>15533</v>
      </c>
      <c r="J3793" t="s">
        <v>15534</v>
      </c>
      <c r="K3793" t="s">
        <v>7640</v>
      </c>
      <c r="L3793" t="s">
        <v>15535</v>
      </c>
      <c r="M3793" t="s">
        <v>46</v>
      </c>
      <c r="N3793" t="s">
        <v>3655</v>
      </c>
      <c r="O3793" t="s">
        <v>15536</v>
      </c>
      <c r="P3793" t="s">
        <v>15537</v>
      </c>
      <c r="Q3793" t="s">
        <v>17761</v>
      </c>
      <c r="R3793">
        <v>12</v>
      </c>
      <c r="S3793">
        <v>16</v>
      </c>
    </row>
    <row r="3794" spans="1:19" x14ac:dyDescent="0.35">
      <c r="A3794">
        <v>2316</v>
      </c>
      <c r="B3794" t="s">
        <v>15529</v>
      </c>
      <c r="C3794" t="s">
        <v>42</v>
      </c>
      <c r="D3794" t="s">
        <v>15530</v>
      </c>
      <c r="E3794" t="e" cm="1">
        <f t="array" ref="E3794">- PARACETAMOL. CAFFEINE</f>
        <v>#NAME?</v>
      </c>
      <c r="F3794" t="s">
        <v>15531</v>
      </c>
      <c r="G3794" t="s">
        <v>12603</v>
      </c>
      <c r="H3794" t="s">
        <v>15532</v>
      </c>
      <c r="I3794" t="s">
        <v>15533</v>
      </c>
      <c r="J3794" t="s">
        <v>15534</v>
      </c>
      <c r="K3794" t="s">
        <v>7640</v>
      </c>
      <c r="L3794" t="s">
        <v>15535</v>
      </c>
      <c r="M3794" t="s">
        <v>46</v>
      </c>
      <c r="N3794" t="s">
        <v>3655</v>
      </c>
      <c r="O3794" t="s">
        <v>15536</v>
      </c>
      <c r="P3794" t="s">
        <v>15537</v>
      </c>
      <c r="Q3794" t="s">
        <v>17761</v>
      </c>
      <c r="R3794">
        <v>12</v>
      </c>
      <c r="S3794">
        <v>16</v>
      </c>
    </row>
    <row r="3795" spans="1:19" x14ac:dyDescent="0.35">
      <c r="A3795">
        <v>2317</v>
      </c>
      <c r="B3795" t="s">
        <v>15529</v>
      </c>
      <c r="C3795" t="s">
        <v>42</v>
      </c>
      <c r="D3795" t="s">
        <v>15530</v>
      </c>
      <c r="E3795" t="e" cm="1">
        <f t="array" ref="E3795">- PARACETAMOL. CAFFEINE</f>
        <v>#NAME?</v>
      </c>
      <c r="F3795" t="s">
        <v>15531</v>
      </c>
      <c r="G3795" t="s">
        <v>12603</v>
      </c>
      <c r="H3795" t="s">
        <v>15532</v>
      </c>
      <c r="I3795" t="s">
        <v>15533</v>
      </c>
      <c r="J3795" t="s">
        <v>15534</v>
      </c>
      <c r="K3795" t="s">
        <v>7640</v>
      </c>
      <c r="L3795" t="s">
        <v>15535</v>
      </c>
      <c r="M3795" t="s">
        <v>46</v>
      </c>
      <c r="N3795" t="s">
        <v>3655</v>
      </c>
      <c r="O3795" t="s">
        <v>15536</v>
      </c>
      <c r="P3795" t="s">
        <v>15537</v>
      </c>
      <c r="Q3795" t="s">
        <v>17761</v>
      </c>
      <c r="R3795">
        <v>12</v>
      </c>
      <c r="S3795">
        <v>16</v>
      </c>
    </row>
    <row r="3796" spans="1:19" x14ac:dyDescent="0.35">
      <c r="A3796">
        <v>2325</v>
      </c>
      <c r="B3796" t="s">
        <v>13014</v>
      </c>
      <c r="C3796" t="s">
        <v>42</v>
      </c>
      <c r="D3796" t="s">
        <v>13015</v>
      </c>
      <c r="E3796" t="e" cm="1">
        <f t="array" ref="E3796">- PARACETAMOL. ACETYLSALICYLIC ACID. CAFFEINE</f>
        <v>#NAME?</v>
      </c>
      <c r="F3796" t="s">
        <v>13016</v>
      </c>
      <c r="G3796" t="s">
        <v>2241</v>
      </c>
      <c r="H3796" t="s">
        <v>13017</v>
      </c>
      <c r="I3796" t="s">
        <v>13018</v>
      </c>
      <c r="J3796" t="s">
        <v>13019</v>
      </c>
      <c r="K3796" t="s">
        <v>13020</v>
      </c>
      <c r="L3796" t="s">
        <v>13021</v>
      </c>
      <c r="M3796" t="s">
        <v>291</v>
      </c>
      <c r="N3796" t="s">
        <v>17762</v>
      </c>
      <c r="O3796" t="s">
        <v>13022</v>
      </c>
      <c r="P3796" t="s">
        <v>13023</v>
      </c>
      <c r="Q3796" t="s">
        <v>17763</v>
      </c>
      <c r="R3796">
        <v>12</v>
      </c>
      <c r="S3796">
        <v>16</v>
      </c>
    </row>
    <row r="3797" spans="1:19" x14ac:dyDescent="0.35">
      <c r="A3797">
        <v>2326</v>
      </c>
      <c r="B3797" t="s">
        <v>13014</v>
      </c>
      <c r="C3797" t="s">
        <v>42</v>
      </c>
      <c r="D3797" t="s">
        <v>13015</v>
      </c>
      <c r="E3797" t="e" cm="1">
        <f t="array" ref="E3797">- PARACETAMOL. ACETYLSALICYLIC ACID. CAFFEINE</f>
        <v>#NAME?</v>
      </c>
      <c r="F3797" t="s">
        <v>13016</v>
      </c>
      <c r="G3797" t="s">
        <v>2241</v>
      </c>
      <c r="H3797" t="s">
        <v>13017</v>
      </c>
      <c r="I3797" t="s">
        <v>13018</v>
      </c>
      <c r="J3797" t="s">
        <v>13019</v>
      </c>
      <c r="K3797" t="s">
        <v>13020</v>
      </c>
      <c r="L3797" t="s">
        <v>13021</v>
      </c>
      <c r="M3797" t="s">
        <v>291</v>
      </c>
      <c r="N3797" t="s">
        <v>17762</v>
      </c>
      <c r="O3797" t="s">
        <v>13022</v>
      </c>
      <c r="P3797" t="s">
        <v>13023</v>
      </c>
      <c r="Q3797" t="s">
        <v>17763</v>
      </c>
      <c r="R3797">
        <v>12</v>
      </c>
      <c r="S3797">
        <v>16</v>
      </c>
    </row>
    <row r="3798" spans="1:19" x14ac:dyDescent="0.35">
      <c r="A3798">
        <v>5811</v>
      </c>
      <c r="B3798" t="s">
        <v>17764</v>
      </c>
      <c r="C3798" t="s">
        <v>42</v>
      </c>
      <c r="D3798" t="s">
        <v>17765</v>
      </c>
      <c r="E3798" t="e" cm="1">
        <f t="array" ref="E3798">- METRONIDAZOLE. NYSTATIN</f>
        <v>#NAME?</v>
      </c>
      <c r="F3798" s="1">
        <v>19500</v>
      </c>
      <c r="G3798" t="s">
        <v>17766</v>
      </c>
      <c r="H3798" t="s">
        <v>17767</v>
      </c>
      <c r="I3798" t="s">
        <v>17768</v>
      </c>
      <c r="J3798" t="s">
        <v>17769</v>
      </c>
      <c r="K3798" t="s">
        <v>17770</v>
      </c>
      <c r="L3798" t="s">
        <v>17771</v>
      </c>
      <c r="M3798" t="s">
        <v>8891</v>
      </c>
      <c r="N3798" t="s">
        <v>10960</v>
      </c>
      <c r="O3798" t="s">
        <v>17772</v>
      </c>
      <c r="P3798" t="s">
        <v>17773</v>
      </c>
      <c r="Q3798" t="s">
        <v>17774</v>
      </c>
      <c r="R3798">
        <v>12</v>
      </c>
      <c r="S3798">
        <v>16</v>
      </c>
    </row>
    <row r="3799" spans="1:19" x14ac:dyDescent="0.35">
      <c r="A3799">
        <v>2342</v>
      </c>
      <c r="B3799" t="s">
        <v>17775</v>
      </c>
      <c r="C3799" t="s">
        <v>42</v>
      </c>
      <c r="D3799" t="s">
        <v>17776</v>
      </c>
      <c r="E3799" t="e" cm="1">
        <f t="array" ref="E3799">- KETOROLAC TROMETAMOL</f>
        <v>#NAME?</v>
      </c>
      <c r="F3799" s="1">
        <v>96700</v>
      </c>
      <c r="G3799" t="s">
        <v>2241</v>
      </c>
      <c r="H3799" t="s">
        <v>17777</v>
      </c>
      <c r="I3799" t="s">
        <v>17778</v>
      </c>
      <c r="J3799" t="s">
        <v>17146</v>
      </c>
      <c r="K3799" t="s">
        <v>17779</v>
      </c>
      <c r="L3799" t="s">
        <v>17780</v>
      </c>
      <c r="M3799" t="s">
        <v>46</v>
      </c>
      <c r="N3799" t="s">
        <v>2501</v>
      </c>
      <c r="O3799" t="s">
        <v>17781</v>
      </c>
      <c r="P3799" t="s">
        <v>17782</v>
      </c>
      <c r="Q3799" t="s">
        <v>17783</v>
      </c>
      <c r="R3799">
        <v>12</v>
      </c>
      <c r="S3799">
        <v>16</v>
      </c>
    </row>
    <row r="3800" spans="1:19" x14ac:dyDescent="0.35">
      <c r="A3800">
        <v>2344</v>
      </c>
      <c r="B3800" t="s">
        <v>17784</v>
      </c>
      <c r="C3800" t="s">
        <v>42</v>
      </c>
      <c r="D3800" t="s">
        <v>17785</v>
      </c>
      <c r="E3800" t="e" cm="1">
        <f t="array" ref="E3800">- BETAHISTINE MESILATE</f>
        <v>#NAME?</v>
      </c>
      <c r="F3800" t="s">
        <v>17786</v>
      </c>
      <c r="G3800" t="s">
        <v>17787</v>
      </c>
      <c r="H3800" t="s">
        <v>17788</v>
      </c>
      <c r="I3800" t="s">
        <v>17789</v>
      </c>
      <c r="J3800" t="s">
        <v>381</v>
      </c>
      <c r="K3800" t="s">
        <v>17790</v>
      </c>
      <c r="L3800" t="s">
        <v>17791</v>
      </c>
      <c r="M3800" t="s">
        <v>46</v>
      </c>
      <c r="N3800" t="s">
        <v>2380</v>
      </c>
      <c r="O3800" t="s">
        <v>17792</v>
      </c>
      <c r="P3800" t="s">
        <v>17793</v>
      </c>
      <c r="Q3800" t="s">
        <v>17794</v>
      </c>
      <c r="R3800">
        <v>12</v>
      </c>
      <c r="S3800">
        <v>16</v>
      </c>
    </row>
    <row r="3801" spans="1:19" x14ac:dyDescent="0.35">
      <c r="A3801">
        <v>2345</v>
      </c>
      <c r="B3801" t="s">
        <v>17784</v>
      </c>
      <c r="C3801" t="s">
        <v>42</v>
      </c>
      <c r="D3801" t="s">
        <v>17785</v>
      </c>
      <c r="E3801" t="e" cm="1">
        <f t="array" ref="E3801">- BETAHISTINE MESILATE</f>
        <v>#NAME?</v>
      </c>
      <c r="F3801" t="s">
        <v>17786</v>
      </c>
      <c r="G3801" t="s">
        <v>17787</v>
      </c>
      <c r="H3801" t="s">
        <v>17788</v>
      </c>
      <c r="I3801" t="s">
        <v>17789</v>
      </c>
      <c r="J3801" t="s">
        <v>381</v>
      </c>
      <c r="K3801" t="s">
        <v>17790</v>
      </c>
      <c r="L3801" t="s">
        <v>17791</v>
      </c>
      <c r="M3801" t="s">
        <v>46</v>
      </c>
      <c r="N3801" t="s">
        <v>2380</v>
      </c>
      <c r="O3801" t="s">
        <v>17792</v>
      </c>
      <c r="P3801" t="s">
        <v>17793</v>
      </c>
      <c r="Q3801" t="s">
        <v>17794</v>
      </c>
      <c r="R3801">
        <v>12</v>
      </c>
      <c r="S3801">
        <v>16</v>
      </c>
    </row>
    <row r="3802" spans="1:19" x14ac:dyDescent="0.35">
      <c r="A3802">
        <v>6995</v>
      </c>
      <c r="B3802" t="s">
        <v>1803</v>
      </c>
      <c r="C3802" t="s">
        <v>42</v>
      </c>
      <c r="D3802" t="s">
        <v>17233</v>
      </c>
      <c r="E3802" t="e" cm="1">
        <f t="array" ref="E3802">- TIZANIDINE HYDROCHLORIDE</f>
        <v>#NAME?</v>
      </c>
      <c r="F3802" t="s">
        <v>17234</v>
      </c>
      <c r="G3802" t="s">
        <v>17235</v>
      </c>
      <c r="H3802" t="s">
        <v>1322</v>
      </c>
      <c r="I3802" t="s">
        <v>17236</v>
      </c>
      <c r="J3802" t="s">
        <v>17237</v>
      </c>
      <c r="L3802" t="s">
        <v>17238</v>
      </c>
      <c r="M3802" t="s">
        <v>46</v>
      </c>
      <c r="N3802" t="s">
        <v>1806</v>
      </c>
      <c r="O3802" t="s">
        <v>17239</v>
      </c>
      <c r="P3802" t="s">
        <v>17240</v>
      </c>
      <c r="Q3802" t="s">
        <v>17795</v>
      </c>
      <c r="R3802">
        <v>12</v>
      </c>
      <c r="S3802">
        <v>16</v>
      </c>
    </row>
    <row r="3803" spans="1:19" x14ac:dyDescent="0.35">
      <c r="A3803">
        <v>6996</v>
      </c>
      <c r="B3803" t="s">
        <v>1803</v>
      </c>
      <c r="C3803" t="s">
        <v>42</v>
      </c>
      <c r="D3803" t="s">
        <v>17393</v>
      </c>
      <c r="E3803" t="e" cm="1">
        <f t="array" ref="E3803">- TIZANIDINE HYDROCHLORIDE</f>
        <v>#NAME?</v>
      </c>
      <c r="F3803" s="1">
        <v>20900</v>
      </c>
      <c r="G3803" t="s">
        <v>17394</v>
      </c>
      <c r="I3803" t="s">
        <v>17395</v>
      </c>
      <c r="J3803" t="s">
        <v>16009</v>
      </c>
      <c r="L3803" t="s">
        <v>17396</v>
      </c>
      <c r="M3803" t="s">
        <v>46</v>
      </c>
      <c r="N3803" t="s">
        <v>1806</v>
      </c>
      <c r="O3803" t="s">
        <v>17397</v>
      </c>
      <c r="P3803" t="s">
        <v>17398</v>
      </c>
      <c r="Q3803" t="s">
        <v>17796</v>
      </c>
      <c r="R3803">
        <v>12</v>
      </c>
      <c r="S3803">
        <v>16</v>
      </c>
    </row>
    <row r="3804" spans="1:19" x14ac:dyDescent="0.35">
      <c r="A3804">
        <v>6997</v>
      </c>
      <c r="B3804" t="s">
        <v>1803</v>
      </c>
      <c r="C3804" t="s">
        <v>42</v>
      </c>
      <c r="D3804" t="s">
        <v>17797</v>
      </c>
      <c r="E3804" t="e" cm="1">
        <f t="array" ref="E3804">- TIZANIDINE HYDROCHLORIDE</f>
        <v>#NAME?</v>
      </c>
      <c r="F3804" t="s">
        <v>17798</v>
      </c>
      <c r="G3804" t="s">
        <v>17038</v>
      </c>
      <c r="I3804" t="s">
        <v>17083</v>
      </c>
      <c r="J3804" t="s">
        <v>8147</v>
      </c>
      <c r="M3804" t="s">
        <v>46</v>
      </c>
      <c r="N3804" t="s">
        <v>1806</v>
      </c>
      <c r="O3804" t="s">
        <v>12012</v>
      </c>
      <c r="P3804" t="s">
        <v>17084</v>
      </c>
      <c r="Q3804" t="s">
        <v>17085</v>
      </c>
      <c r="R3804">
        <v>12</v>
      </c>
      <c r="S3804">
        <v>16</v>
      </c>
    </row>
    <row r="3805" spans="1:19" x14ac:dyDescent="0.35">
      <c r="A3805">
        <v>5929</v>
      </c>
      <c r="B3805" t="s">
        <v>17799</v>
      </c>
      <c r="C3805" t="s">
        <v>42</v>
      </c>
      <c r="D3805" t="s">
        <v>17800</v>
      </c>
      <c r="E3805" t="e" cm="1">
        <f t="array" ref="E3805">- SULFAMETHOXAZOLE</f>
        <v>#NAME?</v>
      </c>
      <c r="F3805" s="1">
        <v>3700</v>
      </c>
      <c r="G3805" t="s">
        <v>2241</v>
      </c>
      <c r="H3805" t="s">
        <v>17554</v>
      </c>
      <c r="I3805" t="s">
        <v>17555</v>
      </c>
      <c r="J3805" t="s">
        <v>727</v>
      </c>
      <c r="M3805" t="s">
        <v>291</v>
      </c>
      <c r="N3805" t="s">
        <v>478</v>
      </c>
      <c r="O3805" t="s">
        <v>17556</v>
      </c>
      <c r="P3805" t="s">
        <v>17801</v>
      </c>
      <c r="Q3805" t="s">
        <v>17802</v>
      </c>
      <c r="R3805">
        <v>12</v>
      </c>
      <c r="S3805">
        <v>16</v>
      </c>
    </row>
    <row r="3806" spans="1:19" x14ac:dyDescent="0.35">
      <c r="A3806">
        <v>6626</v>
      </c>
      <c r="B3806" t="s">
        <v>17708</v>
      </c>
      <c r="C3806" t="s">
        <v>42</v>
      </c>
      <c r="D3806" t="s">
        <v>17709</v>
      </c>
      <c r="E3806" t="e" cm="1">
        <f t="array" ref="E3806">- METHISOPRINOL</f>
        <v>#NAME?</v>
      </c>
      <c r="F3806" t="s">
        <v>17710</v>
      </c>
      <c r="G3806" t="s">
        <v>2453</v>
      </c>
      <c r="H3806" t="s">
        <v>17711</v>
      </c>
      <c r="I3806" t="s">
        <v>14010</v>
      </c>
      <c r="J3806" t="s">
        <v>334</v>
      </c>
      <c r="K3806" t="s">
        <v>11107</v>
      </c>
      <c r="L3806" t="s">
        <v>14012</v>
      </c>
      <c r="M3806" t="s">
        <v>271</v>
      </c>
      <c r="N3806" t="s">
        <v>322</v>
      </c>
      <c r="O3806" t="s">
        <v>14013</v>
      </c>
      <c r="P3806" t="s">
        <v>17529</v>
      </c>
      <c r="Q3806" t="s">
        <v>17712</v>
      </c>
      <c r="R3806">
        <v>12</v>
      </c>
      <c r="S3806">
        <v>16</v>
      </c>
    </row>
    <row r="3807" spans="1:19" x14ac:dyDescent="0.35">
      <c r="A3807">
        <v>5930</v>
      </c>
      <c r="B3807" t="s">
        <v>17799</v>
      </c>
      <c r="C3807" t="s">
        <v>42</v>
      </c>
      <c r="D3807" t="s">
        <v>17800</v>
      </c>
      <c r="E3807" t="e" cm="1">
        <f t="array" ref="E3807">- SULFAMETHOXAZOLE</f>
        <v>#NAME?</v>
      </c>
      <c r="F3807" s="1">
        <v>3700</v>
      </c>
      <c r="G3807" t="s">
        <v>2241</v>
      </c>
      <c r="H3807" t="s">
        <v>17554</v>
      </c>
      <c r="I3807" t="s">
        <v>17555</v>
      </c>
      <c r="J3807" t="s">
        <v>727</v>
      </c>
      <c r="M3807" t="s">
        <v>291</v>
      </c>
      <c r="N3807" t="s">
        <v>478</v>
      </c>
      <c r="O3807" t="s">
        <v>17556</v>
      </c>
      <c r="P3807" t="s">
        <v>17801</v>
      </c>
      <c r="Q3807" t="s">
        <v>17802</v>
      </c>
      <c r="R3807">
        <v>12</v>
      </c>
      <c r="S3807">
        <v>16</v>
      </c>
    </row>
    <row r="3808" spans="1:19" x14ac:dyDescent="0.35">
      <c r="A3808">
        <v>9663</v>
      </c>
      <c r="B3808" t="s">
        <v>17803</v>
      </c>
      <c r="C3808" t="s">
        <v>42</v>
      </c>
      <c r="D3808" t="s">
        <v>17804</v>
      </c>
      <c r="E3808" t="e" cm="1">
        <f t="array" ref="E3808">- SIMVASTATIN</f>
        <v>#NAME?</v>
      </c>
      <c r="F3808" t="s">
        <v>17805</v>
      </c>
      <c r="G3808" t="s">
        <v>12716</v>
      </c>
      <c r="H3808" t="s">
        <v>6718</v>
      </c>
      <c r="I3808" t="s">
        <v>17806</v>
      </c>
      <c r="J3808" t="s">
        <v>1093</v>
      </c>
      <c r="K3808" t="s">
        <v>17807</v>
      </c>
      <c r="L3808" t="s">
        <v>17808</v>
      </c>
      <c r="M3808" t="s">
        <v>46</v>
      </c>
      <c r="N3808" t="s">
        <v>1150</v>
      </c>
      <c r="O3808" t="s">
        <v>17809</v>
      </c>
      <c r="P3808" t="s">
        <v>1150</v>
      </c>
      <c r="Q3808" t="s">
        <v>17810</v>
      </c>
      <c r="R3808">
        <v>12</v>
      </c>
      <c r="S3808">
        <v>16</v>
      </c>
    </row>
    <row r="3809" spans="1:19" x14ac:dyDescent="0.35">
      <c r="A3809">
        <v>6628</v>
      </c>
      <c r="B3809" t="s">
        <v>17708</v>
      </c>
      <c r="C3809" t="s">
        <v>42</v>
      </c>
      <c r="D3809" t="s">
        <v>17709</v>
      </c>
      <c r="E3809" t="e" cm="1">
        <f t="array" ref="E3809">- METHISOPRINOL</f>
        <v>#NAME?</v>
      </c>
      <c r="F3809" t="s">
        <v>17710</v>
      </c>
      <c r="G3809" t="s">
        <v>2453</v>
      </c>
      <c r="H3809" t="s">
        <v>17711</v>
      </c>
      <c r="I3809" t="s">
        <v>14010</v>
      </c>
      <c r="J3809" t="s">
        <v>334</v>
      </c>
      <c r="K3809" t="s">
        <v>11107</v>
      </c>
      <c r="L3809" t="s">
        <v>14012</v>
      </c>
      <c r="M3809" t="s">
        <v>271</v>
      </c>
      <c r="N3809" t="s">
        <v>322</v>
      </c>
      <c r="O3809" t="s">
        <v>14013</v>
      </c>
      <c r="P3809" t="s">
        <v>17529</v>
      </c>
      <c r="Q3809" t="s">
        <v>17712</v>
      </c>
      <c r="R3809">
        <v>12</v>
      </c>
      <c r="S3809">
        <v>16</v>
      </c>
    </row>
    <row r="3810" spans="1:19" x14ac:dyDescent="0.35">
      <c r="A3810">
        <v>2058</v>
      </c>
      <c r="B3810" t="s">
        <v>17811</v>
      </c>
      <c r="C3810" t="s">
        <v>42</v>
      </c>
      <c r="D3810" t="s">
        <v>17812</v>
      </c>
      <c r="E3810" t="e" cm="1">
        <f t="array" ref="E3810">- PARACETAMOL</f>
        <v>#NAME?</v>
      </c>
      <c r="F3810" t="s">
        <v>9596</v>
      </c>
      <c r="G3810" t="s">
        <v>17813</v>
      </c>
      <c r="H3810" t="s">
        <v>17814</v>
      </c>
      <c r="I3810" t="s">
        <v>17815</v>
      </c>
      <c r="J3810" t="s">
        <v>17816</v>
      </c>
      <c r="K3810" t="s">
        <v>17817</v>
      </c>
      <c r="L3810" t="s">
        <v>17818</v>
      </c>
      <c r="M3810" t="s">
        <v>46</v>
      </c>
      <c r="N3810" t="s">
        <v>584</v>
      </c>
      <c r="O3810" t="s">
        <v>16926</v>
      </c>
      <c r="P3810" t="s">
        <v>17819</v>
      </c>
      <c r="Q3810" t="s">
        <v>17820</v>
      </c>
      <c r="R3810">
        <v>12</v>
      </c>
      <c r="S3810">
        <v>16</v>
      </c>
    </row>
    <row r="3811" spans="1:19" x14ac:dyDescent="0.35">
      <c r="A3811">
        <v>2059</v>
      </c>
      <c r="B3811" t="s">
        <v>17811</v>
      </c>
      <c r="C3811" t="s">
        <v>42</v>
      </c>
      <c r="D3811" t="s">
        <v>17812</v>
      </c>
      <c r="E3811" t="e" cm="1">
        <f t="array" ref="E3811">- PARACETAMOL</f>
        <v>#NAME?</v>
      </c>
      <c r="F3811" t="s">
        <v>9596</v>
      </c>
      <c r="G3811" t="s">
        <v>17813</v>
      </c>
      <c r="H3811" t="s">
        <v>17814</v>
      </c>
      <c r="I3811" t="s">
        <v>17815</v>
      </c>
      <c r="J3811" t="s">
        <v>17816</v>
      </c>
      <c r="K3811" t="s">
        <v>17817</v>
      </c>
      <c r="L3811" t="s">
        <v>17818</v>
      </c>
      <c r="M3811" t="s">
        <v>46</v>
      </c>
      <c r="N3811" t="s">
        <v>584</v>
      </c>
      <c r="O3811" t="s">
        <v>16926</v>
      </c>
      <c r="P3811" t="s">
        <v>17819</v>
      </c>
      <c r="Q3811" t="s">
        <v>17820</v>
      </c>
      <c r="R3811">
        <v>12</v>
      </c>
      <c r="S3811">
        <v>16</v>
      </c>
    </row>
    <row r="3812" spans="1:19" x14ac:dyDescent="0.35">
      <c r="A3812">
        <v>2060</v>
      </c>
      <c r="B3812" t="s">
        <v>17821</v>
      </c>
      <c r="C3812" t="s">
        <v>42</v>
      </c>
      <c r="D3812" t="s">
        <v>17822</v>
      </c>
      <c r="E3812" t="e" cm="1">
        <f t="array" ref="E3812">- PARACETAMOL</f>
        <v>#NAME?</v>
      </c>
      <c r="F3812" t="s">
        <v>17823</v>
      </c>
      <c r="G3812" t="s">
        <v>16921</v>
      </c>
      <c r="H3812" t="s">
        <v>16922</v>
      </c>
      <c r="I3812" t="s">
        <v>16923</v>
      </c>
      <c r="J3812" t="s">
        <v>17824</v>
      </c>
      <c r="K3812" t="s">
        <v>16924</v>
      </c>
      <c r="L3812" t="s">
        <v>16925</v>
      </c>
      <c r="M3812" t="s">
        <v>46</v>
      </c>
      <c r="N3812" t="s">
        <v>584</v>
      </c>
      <c r="O3812" t="s">
        <v>16926</v>
      </c>
      <c r="P3812" t="s">
        <v>17210</v>
      </c>
      <c r="Q3812" t="s">
        <v>17825</v>
      </c>
      <c r="R3812">
        <v>12</v>
      </c>
      <c r="S3812">
        <v>16</v>
      </c>
    </row>
    <row r="3813" spans="1:19" x14ac:dyDescent="0.35">
      <c r="A3813">
        <v>2061</v>
      </c>
      <c r="B3813" t="s">
        <v>17821</v>
      </c>
      <c r="C3813" t="s">
        <v>42</v>
      </c>
      <c r="D3813" t="s">
        <v>17822</v>
      </c>
      <c r="E3813" t="e" cm="1">
        <f t="array" ref="E3813">- PARACETAMOL</f>
        <v>#NAME?</v>
      </c>
      <c r="F3813" t="s">
        <v>17823</v>
      </c>
      <c r="G3813" t="s">
        <v>16921</v>
      </c>
      <c r="H3813" t="s">
        <v>16922</v>
      </c>
      <c r="I3813" t="s">
        <v>16923</v>
      </c>
      <c r="J3813" t="s">
        <v>17824</v>
      </c>
      <c r="K3813" t="s">
        <v>16924</v>
      </c>
      <c r="L3813" t="s">
        <v>16925</v>
      </c>
      <c r="M3813" t="s">
        <v>46</v>
      </c>
      <c r="N3813" t="s">
        <v>584</v>
      </c>
      <c r="O3813" t="s">
        <v>16926</v>
      </c>
      <c r="P3813" t="s">
        <v>17210</v>
      </c>
      <c r="Q3813" t="s">
        <v>17825</v>
      </c>
      <c r="R3813">
        <v>12</v>
      </c>
      <c r="S3813">
        <v>16</v>
      </c>
    </row>
    <row r="3814" spans="1:19" x14ac:dyDescent="0.35">
      <c r="A3814">
        <v>9825</v>
      </c>
      <c r="B3814" t="s">
        <v>17541</v>
      </c>
      <c r="C3814" t="s">
        <v>42</v>
      </c>
      <c r="D3814" t="s">
        <v>17542</v>
      </c>
      <c r="E3814" t="e" cm="1">
        <f t="array" ref="E3814">- SIMVASTATIN</f>
        <v>#NAME?</v>
      </c>
      <c r="F3814" t="s">
        <v>17543</v>
      </c>
      <c r="G3814" t="s">
        <v>17544</v>
      </c>
      <c r="H3814" t="s">
        <v>6718</v>
      </c>
      <c r="I3814" t="s">
        <v>17545</v>
      </c>
      <c r="J3814" t="s">
        <v>17546</v>
      </c>
      <c r="K3814" t="s">
        <v>17547</v>
      </c>
      <c r="L3814" t="s">
        <v>17548</v>
      </c>
      <c r="M3814" t="s">
        <v>46</v>
      </c>
      <c r="N3814" t="s">
        <v>1150</v>
      </c>
      <c r="O3814" t="s">
        <v>17549</v>
      </c>
      <c r="P3814" t="s">
        <v>17550</v>
      </c>
      <c r="Q3814" t="s">
        <v>17551</v>
      </c>
      <c r="R3814">
        <v>12</v>
      </c>
      <c r="S3814">
        <v>16</v>
      </c>
    </row>
    <row r="3815" spans="1:19" x14ac:dyDescent="0.35">
      <c r="A3815">
        <v>9824</v>
      </c>
      <c r="B3815" t="s">
        <v>17541</v>
      </c>
      <c r="C3815" t="s">
        <v>42</v>
      </c>
      <c r="D3815" t="s">
        <v>17542</v>
      </c>
      <c r="E3815" t="e" cm="1">
        <f t="array" ref="E3815">- SIMVASTATIN</f>
        <v>#NAME?</v>
      </c>
      <c r="F3815" t="s">
        <v>17543</v>
      </c>
      <c r="G3815" t="s">
        <v>17544</v>
      </c>
      <c r="H3815" t="s">
        <v>6718</v>
      </c>
      <c r="I3815" t="s">
        <v>17545</v>
      </c>
      <c r="J3815" t="s">
        <v>17546</v>
      </c>
      <c r="K3815" t="s">
        <v>17547</v>
      </c>
      <c r="L3815" t="s">
        <v>17548</v>
      </c>
      <c r="M3815" t="s">
        <v>46</v>
      </c>
      <c r="N3815" t="s">
        <v>1150</v>
      </c>
      <c r="O3815" t="s">
        <v>17549</v>
      </c>
      <c r="P3815" t="s">
        <v>17550</v>
      </c>
      <c r="Q3815" t="s">
        <v>17551</v>
      </c>
      <c r="R3815">
        <v>12</v>
      </c>
      <c r="S3815">
        <v>16</v>
      </c>
    </row>
    <row r="3816" spans="1:19" x14ac:dyDescent="0.35">
      <c r="A3816">
        <v>37</v>
      </c>
      <c r="B3816" t="s">
        <v>2902</v>
      </c>
      <c r="C3816" t="s">
        <v>42</v>
      </c>
      <c r="D3816" t="s">
        <v>14787</v>
      </c>
      <c r="E3816" t="e" cm="1">
        <f t="array" ref="E3816">- SILDENAFIL CITRATE</f>
        <v>#NAME?</v>
      </c>
      <c r="F3816" t="s">
        <v>14788</v>
      </c>
      <c r="G3816" t="s">
        <v>9438</v>
      </c>
      <c r="H3816" t="s">
        <v>1322</v>
      </c>
      <c r="I3816" t="s">
        <v>9439</v>
      </c>
      <c r="J3816" t="s">
        <v>14789</v>
      </c>
      <c r="M3816" t="s">
        <v>46</v>
      </c>
      <c r="N3816" t="s">
        <v>2519</v>
      </c>
      <c r="O3816" t="s">
        <v>9441</v>
      </c>
      <c r="P3816" t="s">
        <v>13881</v>
      </c>
      <c r="Q3816" t="s">
        <v>17826</v>
      </c>
      <c r="R3816">
        <v>12</v>
      </c>
      <c r="S3816">
        <v>16</v>
      </c>
    </row>
    <row r="3817" spans="1:19" x14ac:dyDescent="0.35">
      <c r="A3817">
        <v>9778</v>
      </c>
      <c r="B3817" t="s">
        <v>17827</v>
      </c>
      <c r="C3817" t="s">
        <v>42</v>
      </c>
      <c r="D3817" t="s">
        <v>17828</v>
      </c>
      <c r="E3817" t="e" cm="1">
        <f t="array" ref="E3817">- PRAVASTATIN SODIUM</f>
        <v>#NAME?</v>
      </c>
      <c r="F3817" t="s">
        <v>17829</v>
      </c>
      <c r="G3817" t="s">
        <v>60</v>
      </c>
      <c r="H3817" t="s">
        <v>17830</v>
      </c>
      <c r="I3817" t="s">
        <v>17831</v>
      </c>
      <c r="J3817" t="s">
        <v>2992</v>
      </c>
      <c r="K3817" t="s">
        <v>17832</v>
      </c>
      <c r="L3817" t="s">
        <v>17833</v>
      </c>
      <c r="M3817" t="s">
        <v>46</v>
      </c>
      <c r="N3817" t="s">
        <v>2396</v>
      </c>
      <c r="O3817" t="s">
        <v>17834</v>
      </c>
      <c r="P3817" t="s">
        <v>17835</v>
      </c>
      <c r="Q3817" t="s">
        <v>17836</v>
      </c>
      <c r="R3817">
        <v>12</v>
      </c>
      <c r="S3817">
        <v>16</v>
      </c>
    </row>
    <row r="3818" spans="1:19" x14ac:dyDescent="0.35">
      <c r="A3818">
        <v>890</v>
      </c>
      <c r="B3818" t="s">
        <v>12719</v>
      </c>
      <c r="C3818" t="s">
        <v>42</v>
      </c>
      <c r="D3818" t="s">
        <v>12720</v>
      </c>
      <c r="E3818" t="e" cm="1">
        <f t="array" ref="E3818">- TRIPROLIDINE HYDROCHLORIDE. PSEUDOEPHEDRINE HYDROCHLORIDE</f>
        <v>#NAME?</v>
      </c>
      <c r="F3818" t="s">
        <v>12721</v>
      </c>
      <c r="G3818" t="s">
        <v>2241</v>
      </c>
      <c r="H3818" t="s">
        <v>12722</v>
      </c>
      <c r="I3818" t="s">
        <v>12723</v>
      </c>
      <c r="J3818" t="s">
        <v>630</v>
      </c>
      <c r="K3818" t="s">
        <v>12724</v>
      </c>
      <c r="L3818" t="s">
        <v>12725</v>
      </c>
      <c r="M3818" t="s">
        <v>271</v>
      </c>
      <c r="N3818" t="s">
        <v>16710</v>
      </c>
      <c r="O3818" t="s">
        <v>12726</v>
      </c>
      <c r="P3818" t="s">
        <v>12727</v>
      </c>
      <c r="Q3818" t="s">
        <v>17837</v>
      </c>
      <c r="R3818">
        <v>12</v>
      </c>
      <c r="S3818">
        <v>16</v>
      </c>
    </row>
    <row r="3819" spans="1:19" x14ac:dyDescent="0.35">
      <c r="A3819">
        <v>9777</v>
      </c>
      <c r="B3819" t="s">
        <v>17838</v>
      </c>
      <c r="C3819" t="s">
        <v>42</v>
      </c>
      <c r="D3819" t="s">
        <v>17839</v>
      </c>
      <c r="E3819" t="e" cm="1">
        <f t="array" ref="E3819">- PRAVASTATIN SODIUM</f>
        <v>#NAME?</v>
      </c>
      <c r="F3819" t="s">
        <v>17840</v>
      </c>
      <c r="G3819" t="s">
        <v>60</v>
      </c>
      <c r="H3819" t="s">
        <v>17841</v>
      </c>
      <c r="I3819" t="s">
        <v>17831</v>
      </c>
      <c r="J3819" t="s">
        <v>2992</v>
      </c>
      <c r="K3819" t="s">
        <v>17832</v>
      </c>
      <c r="L3819" t="s">
        <v>17833</v>
      </c>
      <c r="M3819" t="s">
        <v>46</v>
      </c>
      <c r="N3819" t="s">
        <v>2396</v>
      </c>
      <c r="O3819" t="s">
        <v>17834</v>
      </c>
      <c r="P3819" t="s">
        <v>17835</v>
      </c>
      <c r="Q3819" t="s">
        <v>17836</v>
      </c>
      <c r="R3819">
        <v>12</v>
      </c>
      <c r="S3819">
        <v>16</v>
      </c>
    </row>
    <row r="3820" spans="1:19" x14ac:dyDescent="0.35">
      <c r="A3820">
        <v>6659</v>
      </c>
      <c r="B3820" t="s">
        <v>17842</v>
      </c>
      <c r="C3820" t="s">
        <v>42</v>
      </c>
      <c r="D3820" t="s">
        <v>17843</v>
      </c>
      <c r="E3820" t="e" cm="1">
        <f t="array" ref="E3820">- METHISOPRINOL</f>
        <v>#NAME?</v>
      </c>
      <c r="F3820" t="s">
        <v>17844</v>
      </c>
      <c r="G3820" t="s">
        <v>60</v>
      </c>
      <c r="H3820" t="s">
        <v>17522</v>
      </c>
      <c r="I3820" t="s">
        <v>17845</v>
      </c>
      <c r="J3820" t="s">
        <v>846</v>
      </c>
      <c r="M3820" t="s">
        <v>271</v>
      </c>
      <c r="N3820" t="s">
        <v>322</v>
      </c>
      <c r="O3820" t="s">
        <v>14013</v>
      </c>
      <c r="P3820" t="s">
        <v>17846</v>
      </c>
      <c r="Q3820" t="s">
        <v>17847</v>
      </c>
      <c r="R3820">
        <v>12</v>
      </c>
      <c r="S3820">
        <v>16</v>
      </c>
    </row>
    <row r="3821" spans="1:19" x14ac:dyDescent="0.35">
      <c r="A3821">
        <v>6663</v>
      </c>
      <c r="B3821" t="s">
        <v>17848</v>
      </c>
      <c r="C3821" t="s">
        <v>42</v>
      </c>
      <c r="D3821" t="s">
        <v>17849</v>
      </c>
      <c r="E3821" t="e" cm="1">
        <f t="array" ref="E3821">- OSELTAMIVIR PHOSPHATE</f>
        <v>#NAME?</v>
      </c>
      <c r="F3821" s="1">
        <v>253500</v>
      </c>
      <c r="G3821" t="s">
        <v>17850</v>
      </c>
      <c r="H3821" t="s">
        <v>17851</v>
      </c>
      <c r="I3821" t="s">
        <v>17852</v>
      </c>
      <c r="J3821" t="s">
        <v>17853</v>
      </c>
      <c r="K3821" t="s">
        <v>17854</v>
      </c>
      <c r="L3821" t="s">
        <v>17855</v>
      </c>
      <c r="M3821" t="s">
        <v>38</v>
      </c>
      <c r="N3821" t="s">
        <v>17856</v>
      </c>
      <c r="O3821" t="s">
        <v>17857</v>
      </c>
      <c r="P3821" t="s">
        <v>17858</v>
      </c>
      <c r="Q3821" t="s">
        <v>17859</v>
      </c>
      <c r="R3821">
        <v>12</v>
      </c>
      <c r="S3821">
        <v>16</v>
      </c>
    </row>
    <row r="3822" spans="1:19" x14ac:dyDescent="0.35">
      <c r="A3822">
        <v>6664</v>
      </c>
      <c r="B3822" t="s">
        <v>17848</v>
      </c>
      <c r="C3822" t="s">
        <v>42</v>
      </c>
      <c r="D3822" t="s">
        <v>17849</v>
      </c>
      <c r="E3822" t="e" cm="1">
        <f t="array" ref="E3822">- OSELTAMIVIR PHOSPHATE</f>
        <v>#NAME?</v>
      </c>
      <c r="F3822" s="1">
        <v>253500</v>
      </c>
      <c r="G3822" t="s">
        <v>17850</v>
      </c>
      <c r="H3822" t="s">
        <v>17851</v>
      </c>
      <c r="I3822" t="s">
        <v>17852</v>
      </c>
      <c r="J3822" t="s">
        <v>17853</v>
      </c>
      <c r="K3822" t="s">
        <v>17854</v>
      </c>
      <c r="L3822" t="s">
        <v>17855</v>
      </c>
      <c r="M3822" t="s">
        <v>38</v>
      </c>
      <c r="N3822" t="s">
        <v>17856</v>
      </c>
      <c r="O3822" t="s">
        <v>17857</v>
      </c>
      <c r="P3822" t="s">
        <v>17858</v>
      </c>
      <c r="Q3822" t="s">
        <v>17859</v>
      </c>
      <c r="R3822">
        <v>12</v>
      </c>
      <c r="S3822">
        <v>16</v>
      </c>
    </row>
    <row r="3823" spans="1:19" x14ac:dyDescent="0.35">
      <c r="A3823">
        <v>5995</v>
      </c>
      <c r="B3823" t="s">
        <v>17860</v>
      </c>
      <c r="C3823" t="s">
        <v>42</v>
      </c>
      <c r="D3823" t="s">
        <v>17861</v>
      </c>
      <c r="E3823" t="e" cm="1">
        <f t="array" ref="E3823">- PEFLOXACIN</f>
        <v>#NAME?</v>
      </c>
      <c r="F3823" t="s">
        <v>17862</v>
      </c>
      <c r="G3823" t="s">
        <v>4649</v>
      </c>
      <c r="H3823" t="s">
        <v>17863</v>
      </c>
      <c r="I3823" t="s">
        <v>17864</v>
      </c>
      <c r="J3823" t="s">
        <v>17865</v>
      </c>
      <c r="K3823" t="s">
        <v>17866</v>
      </c>
      <c r="L3823" t="s">
        <v>17867</v>
      </c>
      <c r="M3823" t="s">
        <v>291</v>
      </c>
      <c r="N3823" t="s">
        <v>17868</v>
      </c>
      <c r="O3823" t="s">
        <v>17869</v>
      </c>
      <c r="P3823" t="s">
        <v>17870</v>
      </c>
      <c r="Q3823" t="s">
        <v>17871</v>
      </c>
      <c r="R3823">
        <v>12</v>
      </c>
      <c r="S3823">
        <v>16</v>
      </c>
    </row>
    <row r="3824" spans="1:19" x14ac:dyDescent="0.35">
      <c r="A3824">
        <v>2134</v>
      </c>
      <c r="B3824" t="s">
        <v>17872</v>
      </c>
      <c r="C3824" t="s">
        <v>42</v>
      </c>
      <c r="D3824" t="s">
        <v>17873</v>
      </c>
      <c r="E3824" t="e" cm="1">
        <f t="array" ref="E3824">- PARACETAMOL</f>
        <v>#NAME?</v>
      </c>
      <c r="F3824" t="s">
        <v>17874</v>
      </c>
      <c r="G3824" t="s">
        <v>60</v>
      </c>
      <c r="H3824" t="s">
        <v>9708</v>
      </c>
      <c r="I3824" t="s">
        <v>15009</v>
      </c>
      <c r="J3824" t="s">
        <v>5221</v>
      </c>
      <c r="K3824" t="s">
        <v>2726</v>
      </c>
      <c r="L3824" t="s">
        <v>10168</v>
      </c>
      <c r="M3824" t="s">
        <v>291</v>
      </c>
      <c r="N3824" t="s">
        <v>584</v>
      </c>
      <c r="O3824" t="s">
        <v>15011</v>
      </c>
      <c r="P3824" t="s">
        <v>17875</v>
      </c>
      <c r="Q3824" t="s">
        <v>17876</v>
      </c>
      <c r="R3824">
        <v>12</v>
      </c>
      <c r="S3824">
        <v>16</v>
      </c>
    </row>
    <row r="3825" spans="1:19" x14ac:dyDescent="0.35">
      <c r="A3825">
        <v>2140</v>
      </c>
      <c r="B3825" t="s">
        <v>17877</v>
      </c>
      <c r="C3825" t="s">
        <v>42</v>
      </c>
      <c r="D3825" t="s">
        <v>17878</v>
      </c>
      <c r="E3825" t="e" cm="1">
        <f t="array" ref="E3825">- CELECOXIB</f>
        <v>#NAME?</v>
      </c>
      <c r="F3825" t="s">
        <v>17879</v>
      </c>
      <c r="G3825" t="s">
        <v>2241</v>
      </c>
      <c r="H3825" t="s">
        <v>16883</v>
      </c>
      <c r="I3825" t="s">
        <v>16884</v>
      </c>
      <c r="J3825" t="s">
        <v>3994</v>
      </c>
      <c r="K3825" t="s">
        <v>14776</v>
      </c>
      <c r="L3825" t="s">
        <v>17880</v>
      </c>
      <c r="M3825" t="s">
        <v>38</v>
      </c>
      <c r="N3825" t="s">
        <v>14778</v>
      </c>
      <c r="O3825" t="s">
        <v>16885</v>
      </c>
      <c r="P3825" t="s">
        <v>17881</v>
      </c>
      <c r="Q3825" t="s">
        <v>17882</v>
      </c>
      <c r="R3825">
        <v>12</v>
      </c>
      <c r="S3825">
        <v>16</v>
      </c>
    </row>
    <row r="3826" spans="1:19" x14ac:dyDescent="0.35">
      <c r="A3826">
        <v>6694</v>
      </c>
      <c r="B3826" t="s">
        <v>17883</v>
      </c>
      <c r="C3826" t="s">
        <v>42</v>
      </c>
      <c r="D3826" t="s">
        <v>17884</v>
      </c>
      <c r="E3826" t="e" cm="1">
        <f t="array" ref="E3826">- VALACICLOVIR HYDROCHLORIDE</f>
        <v>#NAME?</v>
      </c>
      <c r="F3826" s="1">
        <v>176000</v>
      </c>
      <c r="G3826" t="s">
        <v>8843</v>
      </c>
      <c r="H3826" t="s">
        <v>17885</v>
      </c>
      <c r="I3826" t="s">
        <v>17886</v>
      </c>
      <c r="J3826" t="s">
        <v>17887</v>
      </c>
      <c r="K3826" t="s">
        <v>2726</v>
      </c>
      <c r="L3826" t="s">
        <v>17888</v>
      </c>
      <c r="M3826" t="s">
        <v>291</v>
      </c>
      <c r="N3826" t="s">
        <v>1704</v>
      </c>
      <c r="O3826" t="s">
        <v>17889</v>
      </c>
      <c r="P3826" t="s">
        <v>17890</v>
      </c>
      <c r="Q3826" t="s">
        <v>17891</v>
      </c>
      <c r="R3826">
        <v>12</v>
      </c>
      <c r="S3826">
        <v>16</v>
      </c>
    </row>
    <row r="3827" spans="1:19" x14ac:dyDescent="0.35">
      <c r="A3827">
        <v>6712</v>
      </c>
      <c r="B3827" t="s">
        <v>17892</v>
      </c>
      <c r="C3827" t="s">
        <v>42</v>
      </c>
      <c r="D3827" t="s">
        <v>17893</v>
      </c>
      <c r="E3827" t="e" cm="1">
        <f t="array" ref="E3827">- ALENDRONATE SODIUM TRIHYDRATE</f>
        <v>#NAME?</v>
      </c>
      <c r="F3827" t="s">
        <v>17894</v>
      </c>
      <c r="G3827" t="s">
        <v>17895</v>
      </c>
      <c r="H3827" t="s">
        <v>10199</v>
      </c>
      <c r="I3827" t="s">
        <v>17896</v>
      </c>
      <c r="J3827" t="s">
        <v>4095</v>
      </c>
      <c r="L3827" t="s">
        <v>17897</v>
      </c>
      <c r="M3827" t="s">
        <v>46</v>
      </c>
      <c r="N3827" t="s">
        <v>12804</v>
      </c>
      <c r="O3827" t="s">
        <v>17898</v>
      </c>
      <c r="P3827" t="s">
        <v>17899</v>
      </c>
      <c r="Q3827" t="s">
        <v>17900</v>
      </c>
      <c r="R3827">
        <v>12</v>
      </c>
      <c r="S3827">
        <v>16</v>
      </c>
    </row>
    <row r="3828" spans="1:19" x14ac:dyDescent="0.35">
      <c r="A3828">
        <v>6713</v>
      </c>
      <c r="B3828" t="s">
        <v>17892</v>
      </c>
      <c r="C3828" t="s">
        <v>42</v>
      </c>
      <c r="D3828" t="s">
        <v>17893</v>
      </c>
      <c r="E3828" t="e" cm="1">
        <f t="array" ref="E3828">- ALENDRONATE SODIUM TRIHYDRATE</f>
        <v>#NAME?</v>
      </c>
      <c r="F3828" t="s">
        <v>17894</v>
      </c>
      <c r="G3828" t="s">
        <v>17895</v>
      </c>
      <c r="H3828" t="s">
        <v>10199</v>
      </c>
      <c r="I3828" t="s">
        <v>17896</v>
      </c>
      <c r="J3828" t="s">
        <v>4095</v>
      </c>
      <c r="L3828" t="s">
        <v>17897</v>
      </c>
      <c r="M3828" t="s">
        <v>46</v>
      </c>
      <c r="N3828" t="s">
        <v>12804</v>
      </c>
      <c r="O3828" t="s">
        <v>17898</v>
      </c>
      <c r="P3828" t="s">
        <v>17899</v>
      </c>
      <c r="Q3828" t="s">
        <v>17900</v>
      </c>
      <c r="R3828">
        <v>12</v>
      </c>
      <c r="S3828">
        <v>16</v>
      </c>
    </row>
    <row r="3829" spans="1:19" x14ac:dyDescent="0.35">
      <c r="A3829">
        <v>2156</v>
      </c>
      <c r="B3829" t="s">
        <v>6856</v>
      </c>
      <c r="C3829" t="s">
        <v>42</v>
      </c>
      <c r="D3829" t="s">
        <v>6857</v>
      </c>
      <c r="E3829" t="e" cm="1">
        <f t="array" ref="E3829">- PARACETAMOL. CAFFEINE. DEXCHLORPHENIRAMINE MALEATE. PROPYPHENAZONE</f>
        <v>#NAME?</v>
      </c>
      <c r="F3829" t="s">
        <v>6858</v>
      </c>
      <c r="G3829" t="s">
        <v>2241</v>
      </c>
      <c r="H3829" t="s">
        <v>6859</v>
      </c>
      <c r="I3829" t="s">
        <v>6860</v>
      </c>
      <c r="J3829" t="s">
        <v>6169</v>
      </c>
      <c r="K3829" t="s">
        <v>6861</v>
      </c>
      <c r="L3829" t="s">
        <v>6862</v>
      </c>
      <c r="M3829" t="s">
        <v>46</v>
      </c>
      <c r="N3829" t="s">
        <v>17901</v>
      </c>
      <c r="O3829" t="s">
        <v>6863</v>
      </c>
      <c r="P3829" t="s">
        <v>6864</v>
      </c>
      <c r="Q3829" t="s">
        <v>17902</v>
      </c>
      <c r="R3829">
        <v>12</v>
      </c>
      <c r="S3829">
        <v>16</v>
      </c>
    </row>
    <row r="3830" spans="1:19" x14ac:dyDescent="0.35">
      <c r="A3830">
        <v>2158</v>
      </c>
      <c r="B3830" t="s">
        <v>17903</v>
      </c>
      <c r="C3830" t="s">
        <v>42</v>
      </c>
      <c r="D3830" t="s">
        <v>17904</v>
      </c>
      <c r="E3830" t="e" cm="1">
        <f t="array" ref="E3830">- CELECOXIB</f>
        <v>#NAME?</v>
      </c>
      <c r="F3830" t="s">
        <v>17905</v>
      </c>
      <c r="G3830" t="s">
        <v>2241</v>
      </c>
      <c r="H3830" t="s">
        <v>16883</v>
      </c>
      <c r="I3830" t="s">
        <v>16884</v>
      </c>
      <c r="J3830" t="s">
        <v>3994</v>
      </c>
      <c r="K3830" t="s">
        <v>14776</v>
      </c>
      <c r="L3830" t="s">
        <v>17880</v>
      </c>
      <c r="M3830" t="s">
        <v>38</v>
      </c>
      <c r="N3830" t="s">
        <v>14778</v>
      </c>
      <c r="O3830" t="s">
        <v>16885</v>
      </c>
      <c r="P3830" t="s">
        <v>17881</v>
      </c>
      <c r="Q3830" t="s">
        <v>17882</v>
      </c>
      <c r="R3830">
        <v>12</v>
      </c>
      <c r="S3830">
        <v>16</v>
      </c>
    </row>
    <row r="3831" spans="1:19" x14ac:dyDescent="0.35">
      <c r="A3831">
        <v>2159</v>
      </c>
      <c r="B3831" t="s">
        <v>17903</v>
      </c>
      <c r="C3831" t="s">
        <v>42</v>
      </c>
      <c r="D3831" t="s">
        <v>17904</v>
      </c>
      <c r="E3831" t="e" cm="1">
        <f t="array" ref="E3831">- CELECOXIB</f>
        <v>#NAME?</v>
      </c>
      <c r="F3831" t="s">
        <v>17905</v>
      </c>
      <c r="G3831" t="s">
        <v>2241</v>
      </c>
      <c r="H3831" t="s">
        <v>16883</v>
      </c>
      <c r="I3831" t="s">
        <v>16884</v>
      </c>
      <c r="J3831" t="s">
        <v>3994</v>
      </c>
      <c r="K3831" t="s">
        <v>14776</v>
      </c>
      <c r="L3831" t="s">
        <v>17880</v>
      </c>
      <c r="M3831" t="s">
        <v>38</v>
      </c>
      <c r="N3831" t="s">
        <v>14778</v>
      </c>
      <c r="O3831" t="s">
        <v>16885</v>
      </c>
      <c r="P3831" t="s">
        <v>17881</v>
      </c>
      <c r="Q3831" t="s">
        <v>17882</v>
      </c>
      <c r="R3831">
        <v>12</v>
      </c>
      <c r="S3831">
        <v>16</v>
      </c>
    </row>
    <row r="3832" spans="1:19" x14ac:dyDescent="0.35">
      <c r="A3832">
        <v>2160</v>
      </c>
      <c r="B3832" t="s">
        <v>17903</v>
      </c>
      <c r="C3832" t="s">
        <v>42</v>
      </c>
      <c r="D3832" t="s">
        <v>17904</v>
      </c>
      <c r="E3832" t="e" cm="1">
        <f t="array" ref="E3832">- CELECOXIB</f>
        <v>#NAME?</v>
      </c>
      <c r="F3832" t="s">
        <v>17905</v>
      </c>
      <c r="G3832" t="s">
        <v>2241</v>
      </c>
      <c r="H3832" t="s">
        <v>16883</v>
      </c>
      <c r="I3832" t="s">
        <v>16884</v>
      </c>
      <c r="J3832" t="s">
        <v>3994</v>
      </c>
      <c r="K3832" t="s">
        <v>14776</v>
      </c>
      <c r="L3832" t="s">
        <v>17880</v>
      </c>
      <c r="M3832" t="s">
        <v>38</v>
      </c>
      <c r="N3832" t="s">
        <v>14778</v>
      </c>
      <c r="O3832" t="s">
        <v>16885</v>
      </c>
      <c r="P3832" t="s">
        <v>17881</v>
      </c>
      <c r="Q3832" t="s">
        <v>17882</v>
      </c>
      <c r="R3832">
        <v>12</v>
      </c>
      <c r="S3832">
        <v>16</v>
      </c>
    </row>
    <row r="3833" spans="1:19" x14ac:dyDescent="0.35">
      <c r="A3833">
        <v>9664</v>
      </c>
      <c r="B3833" t="s">
        <v>17906</v>
      </c>
      <c r="C3833" t="s">
        <v>42</v>
      </c>
      <c r="D3833" t="s">
        <v>17907</v>
      </c>
      <c r="E3833" t="e" cm="1">
        <f t="array" ref="E3833">- SIMVASTATIN</f>
        <v>#NAME?</v>
      </c>
      <c r="F3833" t="s">
        <v>17908</v>
      </c>
      <c r="G3833" t="s">
        <v>12716</v>
      </c>
      <c r="H3833" t="s">
        <v>6718</v>
      </c>
      <c r="I3833" t="s">
        <v>17806</v>
      </c>
      <c r="J3833" t="s">
        <v>1093</v>
      </c>
      <c r="K3833" t="s">
        <v>17807</v>
      </c>
      <c r="L3833" t="s">
        <v>17808</v>
      </c>
      <c r="M3833" t="s">
        <v>46</v>
      </c>
      <c r="N3833" t="s">
        <v>1150</v>
      </c>
      <c r="O3833" t="s">
        <v>17809</v>
      </c>
      <c r="P3833" t="s">
        <v>1150</v>
      </c>
      <c r="Q3833" t="s">
        <v>17810</v>
      </c>
      <c r="R3833">
        <v>12</v>
      </c>
      <c r="S3833">
        <v>16</v>
      </c>
    </row>
    <row r="3834" spans="1:19" x14ac:dyDescent="0.35">
      <c r="A3834">
        <v>9662</v>
      </c>
      <c r="B3834" t="s">
        <v>17803</v>
      </c>
      <c r="C3834" t="s">
        <v>42</v>
      </c>
      <c r="D3834" t="s">
        <v>17804</v>
      </c>
      <c r="E3834" t="e" cm="1">
        <f t="array" ref="E3834">- SIMVASTATIN</f>
        <v>#NAME?</v>
      </c>
      <c r="F3834" t="s">
        <v>17805</v>
      </c>
      <c r="G3834" t="s">
        <v>12716</v>
      </c>
      <c r="H3834" t="s">
        <v>6718</v>
      </c>
      <c r="I3834" t="s">
        <v>17806</v>
      </c>
      <c r="J3834" t="s">
        <v>1093</v>
      </c>
      <c r="K3834" t="s">
        <v>17807</v>
      </c>
      <c r="L3834" t="s">
        <v>17808</v>
      </c>
      <c r="M3834" t="s">
        <v>46</v>
      </c>
      <c r="N3834" t="s">
        <v>1150</v>
      </c>
      <c r="O3834" t="s">
        <v>17809</v>
      </c>
      <c r="P3834" t="s">
        <v>1150</v>
      </c>
      <c r="Q3834" t="s">
        <v>17810</v>
      </c>
      <c r="R3834">
        <v>12</v>
      </c>
      <c r="S3834">
        <v>16</v>
      </c>
    </row>
    <row r="3835" spans="1:19" x14ac:dyDescent="0.35">
      <c r="A3835">
        <v>2821</v>
      </c>
      <c r="B3835" t="s">
        <v>17909</v>
      </c>
      <c r="C3835" t="s">
        <v>42</v>
      </c>
      <c r="D3835" t="s">
        <v>17910</v>
      </c>
      <c r="E3835" t="e" cm="1">
        <f t="array" ref="E3835">- PARACETAMOL</f>
        <v>#NAME?</v>
      </c>
      <c r="F3835" t="s">
        <v>17911</v>
      </c>
      <c r="G3835" t="s">
        <v>7219</v>
      </c>
      <c r="H3835" t="s">
        <v>17912</v>
      </c>
      <c r="I3835" t="s">
        <v>15138</v>
      </c>
      <c r="J3835" t="s">
        <v>630</v>
      </c>
      <c r="K3835" t="s">
        <v>15139</v>
      </c>
      <c r="L3835" t="s">
        <v>15140</v>
      </c>
      <c r="M3835" t="s">
        <v>340</v>
      </c>
      <c r="N3835" t="s">
        <v>584</v>
      </c>
      <c r="O3835" t="s">
        <v>15141</v>
      </c>
      <c r="P3835" t="s">
        <v>17913</v>
      </c>
      <c r="Q3835" t="s">
        <v>17914</v>
      </c>
      <c r="R3835">
        <v>12</v>
      </c>
      <c r="S3835">
        <v>16</v>
      </c>
    </row>
    <row r="3836" spans="1:19" x14ac:dyDescent="0.35">
      <c r="A3836">
        <v>9142</v>
      </c>
      <c r="B3836" t="s">
        <v>17301</v>
      </c>
      <c r="C3836" t="s">
        <v>42</v>
      </c>
      <c r="D3836" t="s">
        <v>17302</v>
      </c>
      <c r="E3836" t="e" cm="1">
        <f t="array" ref="E3836">- DILTIAZEM HYDROCHLORIDE</f>
        <v>#NAME?</v>
      </c>
      <c r="F3836" t="s">
        <v>17303</v>
      </c>
      <c r="G3836" t="s">
        <v>17304</v>
      </c>
      <c r="H3836" t="s">
        <v>17305</v>
      </c>
      <c r="I3836" t="s">
        <v>17306</v>
      </c>
      <c r="J3836" t="s">
        <v>17307</v>
      </c>
      <c r="K3836" t="s">
        <v>2858</v>
      </c>
      <c r="L3836" t="s">
        <v>17308</v>
      </c>
      <c r="M3836" t="s">
        <v>38</v>
      </c>
      <c r="N3836" t="s">
        <v>2457</v>
      </c>
      <c r="O3836" t="s">
        <v>17309</v>
      </c>
      <c r="P3836" t="s">
        <v>13667</v>
      </c>
      <c r="Q3836" t="s">
        <v>17310</v>
      </c>
      <c r="R3836">
        <v>12</v>
      </c>
      <c r="S3836">
        <v>16</v>
      </c>
    </row>
    <row r="3837" spans="1:19" x14ac:dyDescent="0.35">
      <c r="A3837">
        <v>2823</v>
      </c>
      <c r="B3837" t="s">
        <v>17909</v>
      </c>
      <c r="C3837" t="s">
        <v>42</v>
      </c>
      <c r="D3837" t="s">
        <v>17910</v>
      </c>
      <c r="E3837" t="e" cm="1">
        <f t="array" ref="E3837">- PARACETAMOL</f>
        <v>#NAME?</v>
      </c>
      <c r="F3837" t="s">
        <v>17911</v>
      </c>
      <c r="G3837" t="s">
        <v>7219</v>
      </c>
      <c r="H3837" t="s">
        <v>17912</v>
      </c>
      <c r="I3837" t="s">
        <v>15138</v>
      </c>
      <c r="J3837" t="s">
        <v>630</v>
      </c>
      <c r="K3837" t="s">
        <v>15139</v>
      </c>
      <c r="L3837" t="s">
        <v>15140</v>
      </c>
      <c r="M3837" t="s">
        <v>340</v>
      </c>
      <c r="N3837" t="s">
        <v>584</v>
      </c>
      <c r="O3837" t="s">
        <v>15141</v>
      </c>
      <c r="P3837" t="s">
        <v>17913</v>
      </c>
      <c r="Q3837" t="s">
        <v>17914</v>
      </c>
      <c r="R3837">
        <v>12</v>
      </c>
      <c r="S3837">
        <v>16</v>
      </c>
    </row>
    <row r="3838" spans="1:19" x14ac:dyDescent="0.35">
      <c r="A3838">
        <v>199</v>
      </c>
      <c r="B3838" t="s">
        <v>2902</v>
      </c>
      <c r="C3838" t="s">
        <v>42</v>
      </c>
      <c r="D3838" t="s">
        <v>17060</v>
      </c>
      <c r="E3838" t="e" cm="1">
        <f t="array" ref="E3838">- SILDENAFIL CITRATE</f>
        <v>#NAME?</v>
      </c>
      <c r="F3838" t="s">
        <v>17061</v>
      </c>
      <c r="G3838" t="s">
        <v>11845</v>
      </c>
      <c r="H3838" t="s">
        <v>1322</v>
      </c>
      <c r="I3838" t="s">
        <v>11846</v>
      </c>
      <c r="J3838" t="s">
        <v>8120</v>
      </c>
      <c r="M3838" t="s">
        <v>46</v>
      </c>
      <c r="N3838" t="s">
        <v>2519</v>
      </c>
      <c r="O3838" t="s">
        <v>11352</v>
      </c>
      <c r="P3838" t="s">
        <v>17062</v>
      </c>
      <c r="Q3838" t="s">
        <v>17915</v>
      </c>
      <c r="R3838">
        <v>12</v>
      </c>
      <c r="S3838">
        <v>16</v>
      </c>
    </row>
    <row r="3839" spans="1:19" x14ac:dyDescent="0.35">
      <c r="A3839">
        <v>1353</v>
      </c>
      <c r="B3839" t="s">
        <v>17916</v>
      </c>
      <c r="C3839" t="s">
        <v>42</v>
      </c>
      <c r="D3839" t="s">
        <v>17917</v>
      </c>
      <c r="E3839" t="e" cm="1">
        <f t="array" ref="E3839">- PSEUDOEPHEDRINE HYDROCHLORIDE. TRIPROLIDINE HYDROCHLORIDE</f>
        <v>#NAME?</v>
      </c>
      <c r="F3839" t="s">
        <v>4827</v>
      </c>
      <c r="G3839" t="s">
        <v>539</v>
      </c>
      <c r="H3839" t="s">
        <v>17918</v>
      </c>
      <c r="I3839" t="s">
        <v>17919</v>
      </c>
      <c r="J3839" t="s">
        <v>2784</v>
      </c>
      <c r="M3839" t="s">
        <v>271</v>
      </c>
      <c r="N3839" t="s">
        <v>3820</v>
      </c>
      <c r="O3839" t="s">
        <v>17920</v>
      </c>
      <c r="P3839" t="s">
        <v>17921</v>
      </c>
      <c r="Q3839" t="s">
        <v>17922</v>
      </c>
      <c r="R3839">
        <v>12</v>
      </c>
      <c r="S3839">
        <v>16</v>
      </c>
    </row>
    <row r="3840" spans="1:19" x14ac:dyDescent="0.35">
      <c r="A3840">
        <v>8797</v>
      </c>
      <c r="B3840" t="s">
        <v>2388</v>
      </c>
      <c r="C3840" t="s">
        <v>42</v>
      </c>
      <c r="D3840" t="s">
        <v>14465</v>
      </c>
      <c r="E3840" t="e" cm="1">
        <f t="array" ref="E3840">- PIOGLITAZONE HYDROCHLORIDE</f>
        <v>#NAME?</v>
      </c>
      <c r="F3840" s="1">
        <v>21600</v>
      </c>
      <c r="G3840" t="s">
        <v>14467</v>
      </c>
      <c r="H3840" t="s">
        <v>1322</v>
      </c>
      <c r="I3840" t="s">
        <v>14468</v>
      </c>
      <c r="J3840" t="s">
        <v>14469</v>
      </c>
      <c r="M3840" t="s">
        <v>46</v>
      </c>
      <c r="N3840" t="s">
        <v>2389</v>
      </c>
      <c r="O3840" t="s">
        <v>14470</v>
      </c>
      <c r="P3840" t="s">
        <v>14471</v>
      </c>
      <c r="Q3840" t="s">
        <v>17923</v>
      </c>
      <c r="R3840">
        <v>12</v>
      </c>
      <c r="S3840">
        <v>16</v>
      </c>
    </row>
    <row r="3841" spans="1:19" x14ac:dyDescent="0.35">
      <c r="A3841">
        <v>8796</v>
      </c>
      <c r="B3841" t="s">
        <v>2388</v>
      </c>
      <c r="C3841" t="s">
        <v>42</v>
      </c>
      <c r="D3841" t="s">
        <v>14868</v>
      </c>
      <c r="E3841" t="e" cm="1">
        <f t="array" ref="E3841">- PIOGLITAZONE HYDROCHLORIDE</f>
        <v>#NAME?</v>
      </c>
      <c r="F3841" t="s">
        <v>17924</v>
      </c>
      <c r="G3841" t="s">
        <v>14870</v>
      </c>
      <c r="H3841" t="s">
        <v>14871</v>
      </c>
      <c r="I3841" t="s">
        <v>14872</v>
      </c>
      <c r="J3841" t="s">
        <v>3197</v>
      </c>
      <c r="K3841" t="s">
        <v>14873</v>
      </c>
      <c r="L3841" t="s">
        <v>14874</v>
      </c>
      <c r="M3841" t="s">
        <v>46</v>
      </c>
      <c r="N3841" t="s">
        <v>2389</v>
      </c>
      <c r="O3841" t="s">
        <v>14875</v>
      </c>
      <c r="P3841" t="s">
        <v>14876</v>
      </c>
      <c r="Q3841" t="s">
        <v>17925</v>
      </c>
      <c r="R3841">
        <v>12</v>
      </c>
      <c r="S3841">
        <v>16</v>
      </c>
    </row>
    <row r="3842" spans="1:19" x14ac:dyDescent="0.35">
      <c r="A3842">
        <v>7501</v>
      </c>
      <c r="B3842" t="s">
        <v>17926</v>
      </c>
      <c r="C3842" t="s">
        <v>42</v>
      </c>
      <c r="D3842" t="s">
        <v>17927</v>
      </c>
      <c r="E3842" t="e" cm="1">
        <f t="array" ref="E3842">- ASCORBIC ACID</f>
        <v>#NAME?</v>
      </c>
      <c r="F3842" t="s">
        <v>17928</v>
      </c>
      <c r="G3842" t="s">
        <v>17929</v>
      </c>
      <c r="H3842" t="s">
        <v>17930</v>
      </c>
      <c r="I3842" t="s">
        <v>17931</v>
      </c>
      <c r="J3842" t="s">
        <v>17932</v>
      </c>
      <c r="K3842" t="s">
        <v>17933</v>
      </c>
      <c r="L3842" t="s">
        <v>17934</v>
      </c>
      <c r="M3842" t="s">
        <v>38</v>
      </c>
      <c r="N3842" t="s">
        <v>15348</v>
      </c>
      <c r="O3842" t="s">
        <v>17935</v>
      </c>
      <c r="P3842" t="s">
        <v>17936</v>
      </c>
      <c r="Q3842" t="s">
        <v>17937</v>
      </c>
      <c r="R3842">
        <v>12</v>
      </c>
      <c r="S3842">
        <v>16</v>
      </c>
    </row>
    <row r="3843" spans="1:19" x14ac:dyDescent="0.35">
      <c r="A3843">
        <v>7505</v>
      </c>
      <c r="B3843" t="s">
        <v>17926</v>
      </c>
      <c r="C3843" t="s">
        <v>42</v>
      </c>
      <c r="D3843" t="s">
        <v>17938</v>
      </c>
      <c r="E3843" t="e" cm="1">
        <f t="array" ref="E3843">- ASCORBIC ACID</f>
        <v>#NAME?</v>
      </c>
      <c r="F3843" t="s">
        <v>17939</v>
      </c>
      <c r="G3843" t="s">
        <v>17929</v>
      </c>
      <c r="H3843" t="s">
        <v>17930</v>
      </c>
      <c r="I3843" t="s">
        <v>17931</v>
      </c>
      <c r="J3843" t="s">
        <v>17940</v>
      </c>
      <c r="K3843" t="s">
        <v>17933</v>
      </c>
      <c r="L3843" t="s">
        <v>17934</v>
      </c>
      <c r="M3843" t="s">
        <v>38</v>
      </c>
      <c r="N3843" t="s">
        <v>15348</v>
      </c>
      <c r="O3843" t="s">
        <v>17935</v>
      </c>
      <c r="P3843" t="s">
        <v>17936</v>
      </c>
      <c r="Q3843" t="s">
        <v>17937</v>
      </c>
      <c r="R3843">
        <v>12</v>
      </c>
      <c r="S3843">
        <v>16</v>
      </c>
    </row>
    <row r="3844" spans="1:19" x14ac:dyDescent="0.35">
      <c r="A3844">
        <v>7506</v>
      </c>
      <c r="B3844" t="s">
        <v>17926</v>
      </c>
      <c r="C3844" t="s">
        <v>42</v>
      </c>
      <c r="D3844" t="s">
        <v>17938</v>
      </c>
      <c r="E3844" t="e" cm="1">
        <f t="array" ref="E3844">- ASCORBIC ACID</f>
        <v>#NAME?</v>
      </c>
      <c r="F3844" t="s">
        <v>17939</v>
      </c>
      <c r="G3844" t="s">
        <v>17929</v>
      </c>
      <c r="H3844" t="s">
        <v>17930</v>
      </c>
      <c r="I3844" t="s">
        <v>17931</v>
      </c>
      <c r="J3844" t="s">
        <v>17940</v>
      </c>
      <c r="K3844" t="s">
        <v>17933</v>
      </c>
      <c r="L3844" t="s">
        <v>17934</v>
      </c>
      <c r="M3844" t="s">
        <v>38</v>
      </c>
      <c r="N3844" t="s">
        <v>15348</v>
      </c>
      <c r="O3844" t="s">
        <v>17935</v>
      </c>
      <c r="P3844" t="s">
        <v>17936</v>
      </c>
      <c r="Q3844" t="s">
        <v>17937</v>
      </c>
      <c r="R3844">
        <v>12</v>
      </c>
      <c r="S3844">
        <v>16</v>
      </c>
    </row>
    <row r="3845" spans="1:19" x14ac:dyDescent="0.35">
      <c r="A3845">
        <v>3081</v>
      </c>
      <c r="B3845" t="s">
        <v>17941</v>
      </c>
      <c r="C3845" t="s">
        <v>42</v>
      </c>
      <c r="D3845" t="s">
        <v>17942</v>
      </c>
      <c r="E3845" t="e" cm="1">
        <f t="array" ref="E3845">- REBAMIPIDE</f>
        <v>#NAME?</v>
      </c>
      <c r="F3845" t="s">
        <v>17943</v>
      </c>
      <c r="G3845" t="s">
        <v>3098</v>
      </c>
      <c r="H3845" t="s">
        <v>389</v>
      </c>
      <c r="I3845" t="s">
        <v>17944</v>
      </c>
    </row>
    <row r="3846" spans="1:19" x14ac:dyDescent="0.35">
      <c r="A3846">
        <v>3452</v>
      </c>
      <c r="B3846" t="s">
        <v>17945</v>
      </c>
      <c r="C3846" t="s">
        <v>42</v>
      </c>
      <c r="D3846" t="s">
        <v>17946</v>
      </c>
      <c r="E3846" t="e" cm="1">
        <f t="array" ref="E3846">- FAMOTIDINE</f>
        <v>#NAME?</v>
      </c>
      <c r="F3846" t="s">
        <v>17947</v>
      </c>
      <c r="G3846" t="s">
        <v>60</v>
      </c>
      <c r="H3846" t="s">
        <v>17948</v>
      </c>
      <c r="I3846" t="s">
        <v>17949</v>
      </c>
      <c r="J3846" t="s">
        <v>17950</v>
      </c>
      <c r="K3846" t="s">
        <v>17951</v>
      </c>
      <c r="L3846" t="s">
        <v>17952</v>
      </c>
      <c r="M3846" t="s">
        <v>291</v>
      </c>
      <c r="N3846" t="s">
        <v>10675</v>
      </c>
      <c r="O3846" t="s">
        <v>17953</v>
      </c>
      <c r="P3846" t="s">
        <v>10677</v>
      </c>
      <c r="Q3846" t="s">
        <v>17954</v>
      </c>
      <c r="R3846">
        <v>12</v>
      </c>
      <c r="S3846">
        <v>16</v>
      </c>
    </row>
    <row r="3847" spans="1:19" x14ac:dyDescent="0.35">
      <c r="A3847">
        <v>3082</v>
      </c>
      <c r="B3847" t="s">
        <v>17941</v>
      </c>
      <c r="C3847" t="s">
        <v>42</v>
      </c>
      <c r="D3847" t="s">
        <v>17942</v>
      </c>
      <c r="E3847" t="e" cm="1">
        <f t="array" ref="E3847">- REBAMIPIDE</f>
        <v>#NAME?</v>
      </c>
      <c r="F3847" t="s">
        <v>17943</v>
      </c>
      <c r="G3847" t="s">
        <v>3098</v>
      </c>
      <c r="H3847" t="s">
        <v>389</v>
      </c>
      <c r="I3847" t="s">
        <v>17944</v>
      </c>
    </row>
    <row r="3848" spans="1:19" x14ac:dyDescent="0.35">
      <c r="A3848">
        <v>7507</v>
      </c>
      <c r="B3848" t="s">
        <v>17926</v>
      </c>
      <c r="C3848" t="s">
        <v>42</v>
      </c>
      <c r="D3848" t="s">
        <v>17938</v>
      </c>
      <c r="E3848" t="e" cm="1">
        <f t="array" ref="E3848">- ASCORBIC ACID</f>
        <v>#NAME?</v>
      </c>
      <c r="F3848" t="s">
        <v>17939</v>
      </c>
      <c r="G3848" t="s">
        <v>17929</v>
      </c>
      <c r="H3848" t="s">
        <v>17930</v>
      </c>
      <c r="I3848" t="s">
        <v>17931</v>
      </c>
      <c r="J3848" t="s">
        <v>17940</v>
      </c>
      <c r="K3848" t="s">
        <v>17933</v>
      </c>
      <c r="L3848" t="s">
        <v>17934</v>
      </c>
      <c r="M3848" t="s">
        <v>38</v>
      </c>
      <c r="N3848" t="s">
        <v>15348</v>
      </c>
      <c r="O3848" t="s">
        <v>17935</v>
      </c>
      <c r="P3848" t="s">
        <v>17936</v>
      </c>
      <c r="Q3848" t="s">
        <v>17937</v>
      </c>
      <c r="R3848">
        <v>12</v>
      </c>
      <c r="S3848">
        <v>16</v>
      </c>
    </row>
    <row r="3849" spans="1:19" x14ac:dyDescent="0.35">
      <c r="A3849">
        <v>8350</v>
      </c>
      <c r="B3849" t="s">
        <v>551</v>
      </c>
      <c r="C3849" t="s">
        <v>42</v>
      </c>
      <c r="D3849" t="s">
        <v>17955</v>
      </c>
      <c r="E3849" t="e" cm="1">
        <f t="array" ref="E3849">- POVIDONE-IODINE</f>
        <v>#NAME?</v>
      </c>
      <c r="F3849" t="s">
        <v>17956</v>
      </c>
      <c r="I3849" t="s">
        <v>17957</v>
      </c>
      <c r="J3849" t="s">
        <v>17958</v>
      </c>
      <c r="L3849" t="s">
        <v>17959</v>
      </c>
      <c r="M3849" t="s">
        <v>554</v>
      </c>
      <c r="N3849" t="s">
        <v>555</v>
      </c>
      <c r="O3849" t="s">
        <v>17960</v>
      </c>
      <c r="P3849" t="s">
        <v>17961</v>
      </c>
      <c r="Q3849" t="s">
        <v>17962</v>
      </c>
      <c r="R3849">
        <v>12</v>
      </c>
      <c r="S3849">
        <v>16</v>
      </c>
    </row>
    <row r="3850" spans="1:19" x14ac:dyDescent="0.35">
      <c r="A3850">
        <v>7511</v>
      </c>
      <c r="B3850" t="s">
        <v>17926</v>
      </c>
      <c r="C3850" t="s">
        <v>42</v>
      </c>
      <c r="D3850" t="s">
        <v>17927</v>
      </c>
      <c r="E3850" t="e" cm="1">
        <f t="array" ref="E3850">- ASCORBIC ACID</f>
        <v>#NAME?</v>
      </c>
      <c r="F3850" t="s">
        <v>17928</v>
      </c>
      <c r="G3850" t="s">
        <v>17929</v>
      </c>
      <c r="H3850" t="s">
        <v>17930</v>
      </c>
      <c r="I3850" t="s">
        <v>17931</v>
      </c>
      <c r="J3850" t="s">
        <v>17932</v>
      </c>
      <c r="K3850" t="s">
        <v>17933</v>
      </c>
      <c r="L3850" t="s">
        <v>17934</v>
      </c>
      <c r="M3850" t="s">
        <v>38</v>
      </c>
      <c r="N3850" t="s">
        <v>15348</v>
      </c>
      <c r="O3850" t="s">
        <v>17935</v>
      </c>
      <c r="P3850" t="s">
        <v>17936</v>
      </c>
      <c r="Q3850" t="s">
        <v>17937</v>
      </c>
      <c r="R3850">
        <v>12</v>
      </c>
      <c r="S3850">
        <v>16</v>
      </c>
    </row>
    <row r="3851" spans="1:19" x14ac:dyDescent="0.35">
      <c r="A3851">
        <v>7512</v>
      </c>
      <c r="B3851" t="s">
        <v>17926</v>
      </c>
      <c r="C3851" t="s">
        <v>42</v>
      </c>
      <c r="D3851" t="s">
        <v>17927</v>
      </c>
      <c r="E3851" t="e" cm="1">
        <f t="array" ref="E3851">- ASCORBIC ACID</f>
        <v>#NAME?</v>
      </c>
      <c r="F3851" t="s">
        <v>17928</v>
      </c>
      <c r="G3851" t="s">
        <v>17929</v>
      </c>
      <c r="H3851" t="s">
        <v>17930</v>
      </c>
      <c r="I3851" t="s">
        <v>17931</v>
      </c>
      <c r="J3851" t="s">
        <v>17932</v>
      </c>
      <c r="K3851" t="s">
        <v>17933</v>
      </c>
      <c r="L3851" t="s">
        <v>17934</v>
      </c>
      <c r="M3851" t="s">
        <v>38</v>
      </c>
      <c r="N3851" t="s">
        <v>15348</v>
      </c>
      <c r="O3851" t="s">
        <v>17935</v>
      </c>
      <c r="P3851" t="s">
        <v>17936</v>
      </c>
      <c r="Q3851" t="s">
        <v>17937</v>
      </c>
      <c r="R3851">
        <v>12</v>
      </c>
      <c r="S3851">
        <v>16</v>
      </c>
    </row>
    <row r="3852" spans="1:19" x14ac:dyDescent="0.35">
      <c r="A3852">
        <v>7513</v>
      </c>
      <c r="B3852" t="s">
        <v>17926</v>
      </c>
      <c r="C3852" t="s">
        <v>42</v>
      </c>
      <c r="D3852" t="s">
        <v>17927</v>
      </c>
      <c r="E3852" t="e" cm="1">
        <f t="array" ref="E3852">- ASCORBIC ACID</f>
        <v>#NAME?</v>
      </c>
      <c r="F3852" t="s">
        <v>17928</v>
      </c>
      <c r="G3852" t="s">
        <v>17929</v>
      </c>
      <c r="H3852" t="s">
        <v>17930</v>
      </c>
      <c r="I3852" t="s">
        <v>17931</v>
      </c>
      <c r="J3852" t="s">
        <v>17932</v>
      </c>
      <c r="K3852" t="s">
        <v>17933</v>
      </c>
      <c r="L3852" t="s">
        <v>17934</v>
      </c>
      <c r="M3852" t="s">
        <v>38</v>
      </c>
      <c r="N3852" t="s">
        <v>15348</v>
      </c>
      <c r="O3852" t="s">
        <v>17935</v>
      </c>
      <c r="P3852" t="s">
        <v>17936</v>
      </c>
      <c r="Q3852" t="s">
        <v>17937</v>
      </c>
      <c r="R3852">
        <v>12</v>
      </c>
      <c r="S3852">
        <v>16</v>
      </c>
    </row>
    <row r="3853" spans="1:19" x14ac:dyDescent="0.35">
      <c r="A3853">
        <v>200</v>
      </c>
      <c r="B3853" t="s">
        <v>2902</v>
      </c>
      <c r="C3853" t="s">
        <v>42</v>
      </c>
      <c r="D3853" t="s">
        <v>17064</v>
      </c>
      <c r="E3853" t="e" cm="1">
        <f t="array" ref="E3853">- SILDENAFIL CITRATE</f>
        <v>#NAME?</v>
      </c>
      <c r="F3853" t="s">
        <v>17065</v>
      </c>
      <c r="G3853" t="s">
        <v>11845</v>
      </c>
      <c r="H3853" t="s">
        <v>1322</v>
      </c>
      <c r="I3853" t="s">
        <v>17039</v>
      </c>
      <c r="J3853" t="s">
        <v>17066</v>
      </c>
      <c r="M3853" t="s">
        <v>46</v>
      </c>
      <c r="N3853" t="s">
        <v>2519</v>
      </c>
      <c r="O3853" t="s">
        <v>11352</v>
      </c>
      <c r="P3853" t="s">
        <v>17062</v>
      </c>
      <c r="Q3853" t="s">
        <v>17915</v>
      </c>
      <c r="R3853">
        <v>12</v>
      </c>
      <c r="S3853">
        <v>16</v>
      </c>
    </row>
    <row r="3854" spans="1:19" x14ac:dyDescent="0.35">
      <c r="A3854">
        <v>7517</v>
      </c>
      <c r="B3854" t="s">
        <v>17926</v>
      </c>
      <c r="C3854" t="s">
        <v>42</v>
      </c>
      <c r="D3854" t="s">
        <v>17938</v>
      </c>
      <c r="E3854" t="e" cm="1">
        <f t="array" ref="E3854">- ASCORBIC ACID</f>
        <v>#NAME?</v>
      </c>
      <c r="F3854" t="s">
        <v>17939</v>
      </c>
      <c r="G3854" t="s">
        <v>17929</v>
      </c>
      <c r="H3854" t="s">
        <v>17930</v>
      </c>
      <c r="I3854" t="s">
        <v>17931</v>
      </c>
      <c r="J3854" t="s">
        <v>17940</v>
      </c>
      <c r="K3854" t="s">
        <v>17933</v>
      </c>
      <c r="L3854" t="s">
        <v>17934</v>
      </c>
      <c r="M3854" t="s">
        <v>38</v>
      </c>
      <c r="N3854" t="s">
        <v>15348</v>
      </c>
      <c r="O3854" t="s">
        <v>17935</v>
      </c>
      <c r="P3854" t="s">
        <v>17936</v>
      </c>
      <c r="Q3854" t="s">
        <v>17937</v>
      </c>
      <c r="R3854">
        <v>12</v>
      </c>
      <c r="S3854">
        <v>16</v>
      </c>
    </row>
    <row r="3855" spans="1:19" x14ac:dyDescent="0.35">
      <c r="A3855">
        <v>7500</v>
      </c>
      <c r="B3855" t="s">
        <v>17926</v>
      </c>
      <c r="C3855" t="s">
        <v>42</v>
      </c>
      <c r="D3855" t="s">
        <v>17927</v>
      </c>
      <c r="E3855" t="e" cm="1">
        <f t="array" ref="E3855">- ASCORBIC ACID</f>
        <v>#NAME?</v>
      </c>
      <c r="F3855" t="s">
        <v>17928</v>
      </c>
      <c r="G3855" t="s">
        <v>17929</v>
      </c>
      <c r="H3855" t="s">
        <v>17930</v>
      </c>
      <c r="I3855" t="s">
        <v>17931</v>
      </c>
      <c r="J3855" t="s">
        <v>17932</v>
      </c>
      <c r="K3855" t="s">
        <v>17933</v>
      </c>
      <c r="L3855" t="s">
        <v>17934</v>
      </c>
      <c r="M3855" t="s">
        <v>38</v>
      </c>
      <c r="N3855" t="s">
        <v>15348</v>
      </c>
      <c r="O3855" t="s">
        <v>17935</v>
      </c>
      <c r="P3855" t="s">
        <v>17936</v>
      </c>
      <c r="Q3855" t="s">
        <v>17937</v>
      </c>
      <c r="R3855">
        <v>12</v>
      </c>
      <c r="S3855">
        <v>16</v>
      </c>
    </row>
    <row r="3856" spans="1:19" x14ac:dyDescent="0.35">
      <c r="A3856">
        <v>3473</v>
      </c>
      <c r="B3856" t="s">
        <v>17963</v>
      </c>
      <c r="C3856" t="s">
        <v>20</v>
      </c>
      <c r="D3856" t="s">
        <v>17964</v>
      </c>
      <c r="E3856" t="s">
        <v>17965</v>
      </c>
      <c r="F3856" t="s">
        <v>17966</v>
      </c>
      <c r="G3856" t="s">
        <v>5746</v>
      </c>
      <c r="H3856" t="s">
        <v>17967</v>
      </c>
      <c r="I3856" t="s">
        <v>10884</v>
      </c>
      <c r="J3856" t="s">
        <v>17968</v>
      </c>
      <c r="L3856" t="s">
        <v>17969</v>
      </c>
      <c r="M3856" t="s">
        <v>38</v>
      </c>
      <c r="N3856" t="s">
        <v>17970</v>
      </c>
      <c r="O3856" t="s">
        <v>10887</v>
      </c>
      <c r="P3856" t="s">
        <v>17971</v>
      </c>
      <c r="Q3856" t="s">
        <v>17972</v>
      </c>
      <c r="R3856">
        <v>12</v>
      </c>
      <c r="S3856">
        <v>16</v>
      </c>
    </row>
    <row r="3857" spans="1:19" x14ac:dyDescent="0.35">
      <c r="A3857">
        <v>7499</v>
      </c>
      <c r="B3857" t="s">
        <v>17926</v>
      </c>
      <c r="C3857" t="s">
        <v>42</v>
      </c>
      <c r="D3857" t="s">
        <v>17927</v>
      </c>
      <c r="E3857" t="e" cm="1">
        <f t="array" ref="E3857">- ASCORBIC ACID</f>
        <v>#NAME?</v>
      </c>
      <c r="F3857" t="s">
        <v>17928</v>
      </c>
      <c r="G3857" t="s">
        <v>17929</v>
      </c>
      <c r="H3857" t="s">
        <v>17930</v>
      </c>
      <c r="I3857" t="s">
        <v>17931</v>
      </c>
      <c r="J3857" t="s">
        <v>17932</v>
      </c>
      <c r="K3857" t="s">
        <v>17933</v>
      </c>
      <c r="L3857" t="s">
        <v>17934</v>
      </c>
      <c r="M3857" t="s">
        <v>38</v>
      </c>
      <c r="N3857" t="s">
        <v>15348</v>
      </c>
      <c r="O3857" t="s">
        <v>17935</v>
      </c>
      <c r="P3857" t="s">
        <v>17936</v>
      </c>
      <c r="Q3857" t="s">
        <v>17937</v>
      </c>
      <c r="R3857">
        <v>12</v>
      </c>
      <c r="S3857">
        <v>16</v>
      </c>
    </row>
    <row r="3858" spans="1:19" x14ac:dyDescent="0.35">
      <c r="A3858">
        <v>5177</v>
      </c>
      <c r="B3858" t="s">
        <v>17973</v>
      </c>
      <c r="C3858" t="s">
        <v>42</v>
      </c>
      <c r="D3858" t="s">
        <v>17974</v>
      </c>
      <c r="E3858" t="e" cm="1">
        <f t="array" ref="E3858">- NEOMYCIN SULFATE</f>
        <v>#NAME?</v>
      </c>
      <c r="F3858" t="s">
        <v>17975</v>
      </c>
      <c r="G3858" t="s">
        <v>17976</v>
      </c>
      <c r="H3858" t="s">
        <v>17977</v>
      </c>
      <c r="I3858" t="s">
        <v>17978</v>
      </c>
      <c r="J3858" t="s">
        <v>13944</v>
      </c>
      <c r="K3858" t="s">
        <v>17979</v>
      </c>
      <c r="L3858" t="s">
        <v>17980</v>
      </c>
      <c r="M3858" t="s">
        <v>87</v>
      </c>
      <c r="N3858" t="s">
        <v>13908</v>
      </c>
      <c r="O3858" t="s">
        <v>17981</v>
      </c>
      <c r="P3858" t="s">
        <v>17982</v>
      </c>
      <c r="Q3858" t="s">
        <v>17983</v>
      </c>
      <c r="R3858">
        <v>12</v>
      </c>
      <c r="S3858">
        <v>16</v>
      </c>
    </row>
    <row r="3859" spans="1:19" x14ac:dyDescent="0.35">
      <c r="A3859">
        <v>7456</v>
      </c>
      <c r="B3859" t="s">
        <v>17984</v>
      </c>
      <c r="C3859" t="s">
        <v>20</v>
      </c>
      <c r="D3859" t="s">
        <v>17985</v>
      </c>
      <c r="E3859" t="s">
        <v>17986</v>
      </c>
      <c r="F3859" s="1">
        <v>83000</v>
      </c>
      <c r="G3859" t="s">
        <v>14861</v>
      </c>
      <c r="H3859" t="s">
        <v>17987</v>
      </c>
      <c r="I3859" t="s">
        <v>17988</v>
      </c>
      <c r="J3859" t="s">
        <v>107</v>
      </c>
      <c r="M3859" t="s">
        <v>38</v>
      </c>
      <c r="N3859" t="s">
        <v>17989</v>
      </c>
      <c r="O3859" t="s">
        <v>5703</v>
      </c>
      <c r="P3859" t="s">
        <v>17990</v>
      </c>
      <c r="Q3859" t="s">
        <v>17991</v>
      </c>
      <c r="R3859">
        <v>12</v>
      </c>
      <c r="S3859">
        <v>16</v>
      </c>
    </row>
    <row r="3860" spans="1:19" x14ac:dyDescent="0.35">
      <c r="A3860">
        <v>7458</v>
      </c>
      <c r="B3860" t="s">
        <v>17992</v>
      </c>
      <c r="C3860" t="s">
        <v>20</v>
      </c>
      <c r="D3860" t="s">
        <v>17993</v>
      </c>
      <c r="E3860" t="s">
        <v>17994</v>
      </c>
      <c r="F3860" s="1">
        <v>3200</v>
      </c>
      <c r="G3860" t="s">
        <v>3098</v>
      </c>
      <c r="H3860" t="s">
        <v>17995</v>
      </c>
      <c r="I3860" t="s">
        <v>17996</v>
      </c>
      <c r="J3860" t="s">
        <v>17997</v>
      </c>
      <c r="K3860" t="s">
        <v>2726</v>
      </c>
      <c r="L3860" t="s">
        <v>17998</v>
      </c>
      <c r="M3860" t="s">
        <v>38</v>
      </c>
      <c r="N3860" t="s">
        <v>17999</v>
      </c>
      <c r="O3860" t="s">
        <v>18000</v>
      </c>
      <c r="P3860" t="s">
        <v>17999</v>
      </c>
      <c r="Q3860" t="s">
        <v>18001</v>
      </c>
      <c r="R3860">
        <v>12</v>
      </c>
      <c r="S3860">
        <v>16</v>
      </c>
    </row>
    <row r="3861" spans="1:19" x14ac:dyDescent="0.35">
      <c r="A3861">
        <v>7459</v>
      </c>
      <c r="B3861" t="s">
        <v>17992</v>
      </c>
      <c r="C3861" t="s">
        <v>20</v>
      </c>
      <c r="D3861" t="s">
        <v>17993</v>
      </c>
      <c r="E3861" t="s">
        <v>17994</v>
      </c>
      <c r="F3861" s="1">
        <v>3200</v>
      </c>
      <c r="G3861" t="s">
        <v>3098</v>
      </c>
      <c r="H3861" t="s">
        <v>17995</v>
      </c>
      <c r="I3861" t="s">
        <v>17996</v>
      </c>
      <c r="J3861" t="s">
        <v>17997</v>
      </c>
      <c r="K3861" t="s">
        <v>2726</v>
      </c>
      <c r="L3861" t="s">
        <v>17998</v>
      </c>
      <c r="M3861" t="s">
        <v>38</v>
      </c>
      <c r="N3861" t="s">
        <v>17999</v>
      </c>
      <c r="O3861" t="s">
        <v>18000</v>
      </c>
      <c r="P3861" t="s">
        <v>17999</v>
      </c>
      <c r="Q3861" t="s">
        <v>18001</v>
      </c>
      <c r="R3861">
        <v>12</v>
      </c>
      <c r="S3861">
        <v>16</v>
      </c>
    </row>
    <row r="3862" spans="1:19" x14ac:dyDescent="0.35">
      <c r="A3862">
        <v>8870</v>
      </c>
      <c r="B3862" t="s">
        <v>18002</v>
      </c>
      <c r="C3862" t="s">
        <v>20</v>
      </c>
      <c r="D3862" t="s">
        <v>18003</v>
      </c>
      <c r="E3862" t="s">
        <v>18004</v>
      </c>
      <c r="F3862" t="s">
        <v>18005</v>
      </c>
      <c r="G3862" t="s">
        <v>2241</v>
      </c>
      <c r="H3862" t="s">
        <v>18006</v>
      </c>
      <c r="I3862" t="s">
        <v>18007</v>
      </c>
      <c r="J3862" t="s">
        <v>18008</v>
      </c>
      <c r="M3862" t="s">
        <v>38</v>
      </c>
      <c r="N3862" t="s">
        <v>18009</v>
      </c>
      <c r="O3862" t="s">
        <v>18010</v>
      </c>
      <c r="P3862" t="s">
        <v>18011</v>
      </c>
      <c r="Q3862" t="s">
        <v>18012</v>
      </c>
      <c r="R3862">
        <v>12</v>
      </c>
      <c r="S3862">
        <v>16</v>
      </c>
    </row>
    <row r="3863" spans="1:19" x14ac:dyDescent="0.35">
      <c r="A3863">
        <v>3015</v>
      </c>
      <c r="B3863" t="s">
        <v>8787</v>
      </c>
      <c r="C3863" t="s">
        <v>42</v>
      </c>
      <c r="D3863" t="s">
        <v>18013</v>
      </c>
      <c r="E3863" t="e" cm="1">
        <f t="array" ref="E3863">- SUCRALFATE</f>
        <v>#NAME?</v>
      </c>
      <c r="F3863" t="s">
        <v>18014</v>
      </c>
      <c r="G3863" t="s">
        <v>8790</v>
      </c>
      <c r="H3863" t="s">
        <v>18015</v>
      </c>
      <c r="I3863" t="s">
        <v>18016</v>
      </c>
      <c r="J3863" t="s">
        <v>2083</v>
      </c>
      <c r="K3863" t="s">
        <v>8793</v>
      </c>
      <c r="L3863" t="s">
        <v>18017</v>
      </c>
      <c r="M3863" t="s">
        <v>340</v>
      </c>
      <c r="N3863" t="s">
        <v>375</v>
      </c>
      <c r="O3863" t="s">
        <v>18018</v>
      </c>
      <c r="P3863" t="s">
        <v>8796</v>
      </c>
      <c r="Q3863" t="s">
        <v>18019</v>
      </c>
      <c r="R3863">
        <v>12</v>
      </c>
      <c r="S3863">
        <v>16</v>
      </c>
    </row>
    <row r="3864" spans="1:19" x14ac:dyDescent="0.35">
      <c r="A3864">
        <v>3016</v>
      </c>
      <c r="B3864" t="s">
        <v>8787</v>
      </c>
      <c r="C3864" t="s">
        <v>42</v>
      </c>
      <c r="D3864" t="s">
        <v>18013</v>
      </c>
      <c r="E3864" t="e" cm="1">
        <f t="array" ref="E3864">- SUCRALFATE</f>
        <v>#NAME?</v>
      </c>
      <c r="F3864" t="s">
        <v>18014</v>
      </c>
      <c r="G3864" t="s">
        <v>8790</v>
      </c>
      <c r="H3864" t="s">
        <v>18015</v>
      </c>
      <c r="I3864" t="s">
        <v>18016</v>
      </c>
      <c r="J3864" t="s">
        <v>2083</v>
      </c>
      <c r="K3864" t="s">
        <v>8793</v>
      </c>
      <c r="L3864" t="s">
        <v>18017</v>
      </c>
      <c r="M3864" t="s">
        <v>340</v>
      </c>
      <c r="N3864" t="s">
        <v>375</v>
      </c>
      <c r="O3864" t="s">
        <v>18018</v>
      </c>
      <c r="P3864" t="s">
        <v>8796</v>
      </c>
      <c r="Q3864" t="s">
        <v>18019</v>
      </c>
      <c r="R3864">
        <v>12</v>
      </c>
      <c r="S3864">
        <v>16</v>
      </c>
    </row>
    <row r="3865" spans="1:19" x14ac:dyDescent="0.35">
      <c r="A3865">
        <v>548</v>
      </c>
      <c r="B3865" t="s">
        <v>18020</v>
      </c>
      <c r="C3865" t="s">
        <v>42</v>
      </c>
      <c r="D3865" t="s">
        <v>18021</v>
      </c>
      <c r="E3865" t="e" cm="1">
        <f t="array" ref="E3865">- KETOTIFEN FUMARATE</f>
        <v>#NAME?</v>
      </c>
      <c r="F3865" t="s">
        <v>18022</v>
      </c>
      <c r="G3865" t="s">
        <v>2266</v>
      </c>
      <c r="H3865" t="s">
        <v>18023</v>
      </c>
      <c r="I3865" t="s">
        <v>18024</v>
      </c>
      <c r="J3865" t="s">
        <v>18025</v>
      </c>
      <c r="L3865" t="s">
        <v>18026</v>
      </c>
      <c r="M3865" t="s">
        <v>46</v>
      </c>
      <c r="N3865" t="s">
        <v>8559</v>
      </c>
      <c r="O3865" t="s">
        <v>18027</v>
      </c>
      <c r="P3865" t="s">
        <v>18028</v>
      </c>
      <c r="Q3865" t="s">
        <v>18029</v>
      </c>
      <c r="R3865">
        <v>12</v>
      </c>
      <c r="S3865">
        <v>16</v>
      </c>
    </row>
    <row r="3866" spans="1:19" x14ac:dyDescent="0.35">
      <c r="A3866">
        <v>8863</v>
      </c>
      <c r="B3866" t="s">
        <v>15508</v>
      </c>
      <c r="C3866" t="s">
        <v>20</v>
      </c>
      <c r="D3866" t="s">
        <v>18030</v>
      </c>
      <c r="E3866" t="s">
        <v>15510</v>
      </c>
      <c r="F3866" t="s">
        <v>18031</v>
      </c>
      <c r="G3866" t="s">
        <v>60</v>
      </c>
      <c r="H3866" t="s">
        <v>15512</v>
      </c>
      <c r="I3866" t="s">
        <v>18032</v>
      </c>
      <c r="J3866" t="s">
        <v>18033</v>
      </c>
      <c r="M3866" t="s">
        <v>15516</v>
      </c>
      <c r="N3866" t="s">
        <v>15517</v>
      </c>
      <c r="O3866" t="s">
        <v>18034</v>
      </c>
      <c r="P3866" t="s">
        <v>15519</v>
      </c>
      <c r="Q3866" t="s">
        <v>18035</v>
      </c>
      <c r="R3866">
        <v>12</v>
      </c>
      <c r="S3866">
        <v>16</v>
      </c>
    </row>
    <row r="3867" spans="1:19" x14ac:dyDescent="0.35">
      <c r="A3867">
        <v>7518</v>
      </c>
      <c r="B3867" t="s">
        <v>17926</v>
      </c>
      <c r="C3867" t="s">
        <v>42</v>
      </c>
      <c r="D3867" t="s">
        <v>17938</v>
      </c>
      <c r="E3867" t="e" cm="1">
        <f t="array" ref="E3867">- ASCORBIC ACID</f>
        <v>#NAME?</v>
      </c>
      <c r="F3867" t="s">
        <v>17939</v>
      </c>
      <c r="G3867" t="s">
        <v>17929</v>
      </c>
      <c r="H3867" t="s">
        <v>17930</v>
      </c>
      <c r="I3867" t="s">
        <v>17931</v>
      </c>
      <c r="J3867" t="s">
        <v>17940</v>
      </c>
      <c r="K3867" t="s">
        <v>17933</v>
      </c>
      <c r="L3867" t="s">
        <v>17934</v>
      </c>
      <c r="M3867" t="s">
        <v>38</v>
      </c>
      <c r="N3867" t="s">
        <v>15348</v>
      </c>
      <c r="O3867" t="s">
        <v>17935</v>
      </c>
      <c r="P3867" t="s">
        <v>17936</v>
      </c>
      <c r="Q3867" t="s">
        <v>17937</v>
      </c>
      <c r="R3867">
        <v>12</v>
      </c>
      <c r="S3867">
        <v>16</v>
      </c>
    </row>
    <row r="3868" spans="1:19" x14ac:dyDescent="0.35">
      <c r="A3868">
        <v>7469</v>
      </c>
      <c r="B3868" t="s">
        <v>18036</v>
      </c>
      <c r="C3868" t="s">
        <v>20</v>
      </c>
      <c r="D3868" t="s">
        <v>18037</v>
      </c>
      <c r="E3868" t="s">
        <v>18038</v>
      </c>
      <c r="F3868" t="s">
        <v>18039</v>
      </c>
      <c r="I3868" t="s">
        <v>18040</v>
      </c>
      <c r="J3868" t="s">
        <v>18041</v>
      </c>
      <c r="M3868" t="s">
        <v>271</v>
      </c>
      <c r="N3868" t="s">
        <v>18042</v>
      </c>
      <c r="O3868" t="s">
        <v>18043</v>
      </c>
      <c r="P3868" t="s">
        <v>18042</v>
      </c>
      <c r="Q3868" t="s">
        <v>18044</v>
      </c>
      <c r="R3868">
        <v>12</v>
      </c>
      <c r="S3868">
        <v>16</v>
      </c>
    </row>
    <row r="3869" spans="1:19" x14ac:dyDescent="0.35">
      <c r="A3869">
        <v>7470</v>
      </c>
      <c r="B3869" t="s">
        <v>18045</v>
      </c>
      <c r="C3869" t="s">
        <v>20</v>
      </c>
      <c r="D3869" t="s">
        <v>18046</v>
      </c>
      <c r="E3869" t="s">
        <v>18038</v>
      </c>
      <c r="F3869" t="s">
        <v>18047</v>
      </c>
      <c r="I3869" t="s">
        <v>18040</v>
      </c>
      <c r="J3869" t="s">
        <v>846</v>
      </c>
      <c r="M3869" t="s">
        <v>271</v>
      </c>
      <c r="N3869" t="s">
        <v>18042</v>
      </c>
      <c r="O3869" t="s">
        <v>18043</v>
      </c>
      <c r="P3869" t="s">
        <v>18042</v>
      </c>
      <c r="Q3869" t="s">
        <v>18044</v>
      </c>
      <c r="R3869">
        <v>12</v>
      </c>
      <c r="S3869">
        <v>16</v>
      </c>
    </row>
    <row r="3870" spans="1:19" x14ac:dyDescent="0.35">
      <c r="A3870">
        <v>190</v>
      </c>
      <c r="B3870" t="s">
        <v>2902</v>
      </c>
      <c r="C3870" t="s">
        <v>42</v>
      </c>
      <c r="D3870" t="s">
        <v>17043</v>
      </c>
      <c r="E3870" t="e" cm="1">
        <f t="array" ref="E3870">- SILDENAFIL CITRATE</f>
        <v>#NAME?</v>
      </c>
      <c r="F3870" t="s">
        <v>17044</v>
      </c>
      <c r="H3870" t="s">
        <v>1322</v>
      </c>
      <c r="I3870" t="s">
        <v>17045</v>
      </c>
      <c r="J3870" t="s">
        <v>8697</v>
      </c>
      <c r="M3870" t="s">
        <v>46</v>
      </c>
      <c r="N3870" t="s">
        <v>2519</v>
      </c>
      <c r="O3870" t="s">
        <v>17046</v>
      </c>
      <c r="P3870" t="s">
        <v>17041</v>
      </c>
      <c r="Q3870" t="s">
        <v>18048</v>
      </c>
      <c r="R3870">
        <v>12</v>
      </c>
      <c r="S3870">
        <v>16</v>
      </c>
    </row>
    <row r="3871" spans="1:19" x14ac:dyDescent="0.35">
      <c r="A3871">
        <v>7478</v>
      </c>
      <c r="B3871" t="s">
        <v>18049</v>
      </c>
      <c r="C3871" t="s">
        <v>20</v>
      </c>
      <c r="D3871" t="s">
        <v>18050</v>
      </c>
      <c r="E3871" t="s">
        <v>18051</v>
      </c>
      <c r="F3871" t="s">
        <v>18052</v>
      </c>
      <c r="G3871" t="s">
        <v>4545</v>
      </c>
      <c r="H3871" t="s">
        <v>18053</v>
      </c>
      <c r="I3871" t="s">
        <v>18054</v>
      </c>
      <c r="J3871" t="s">
        <v>10107</v>
      </c>
      <c r="K3871" t="s">
        <v>18055</v>
      </c>
      <c r="L3871" t="s">
        <v>18056</v>
      </c>
      <c r="M3871" t="s">
        <v>46</v>
      </c>
      <c r="N3871" t="s">
        <v>18057</v>
      </c>
      <c r="O3871" t="s">
        <v>18058</v>
      </c>
      <c r="P3871" t="s">
        <v>18057</v>
      </c>
      <c r="Q3871" t="s">
        <v>18059</v>
      </c>
      <c r="R3871">
        <v>12</v>
      </c>
      <c r="S3871">
        <v>16</v>
      </c>
    </row>
    <row r="3872" spans="1:19" x14ac:dyDescent="0.35">
      <c r="A3872">
        <v>4832</v>
      </c>
      <c r="B3872" t="s">
        <v>18060</v>
      </c>
      <c r="C3872" t="s">
        <v>42</v>
      </c>
      <c r="D3872" t="s">
        <v>18061</v>
      </c>
      <c r="E3872" t="e" cm="1">
        <f t="array" ref="E3872">- GRAMICIDIN</f>
        <v>#NAME?</v>
      </c>
      <c r="F3872" t="s">
        <v>18062</v>
      </c>
      <c r="G3872" t="s">
        <v>18063</v>
      </c>
      <c r="H3872" t="s">
        <v>319</v>
      </c>
      <c r="I3872" t="s">
        <v>18064</v>
      </c>
      <c r="J3872" t="s">
        <v>7544</v>
      </c>
      <c r="K3872" t="s">
        <v>2726</v>
      </c>
      <c r="L3872" t="s">
        <v>321</v>
      </c>
      <c r="M3872" t="s">
        <v>1029</v>
      </c>
      <c r="N3872" t="s">
        <v>18065</v>
      </c>
      <c r="O3872" t="s">
        <v>18066</v>
      </c>
      <c r="P3872" t="s">
        <v>18067</v>
      </c>
      <c r="Q3872" t="s">
        <v>18068</v>
      </c>
      <c r="R3872">
        <v>12</v>
      </c>
      <c r="S3872">
        <v>16</v>
      </c>
    </row>
    <row r="3873" spans="1:19" x14ac:dyDescent="0.35">
      <c r="A3873">
        <v>4845</v>
      </c>
      <c r="B3873" t="s">
        <v>18069</v>
      </c>
      <c r="C3873" t="s">
        <v>42</v>
      </c>
      <c r="D3873" t="s">
        <v>18070</v>
      </c>
      <c r="E3873" t="e" cm="1">
        <f t="array" ref="E3873">- TRAVOPROST. TIMOLOL</f>
        <v>#NAME?</v>
      </c>
      <c r="F3873" t="s">
        <v>18071</v>
      </c>
      <c r="G3873" t="s">
        <v>11067</v>
      </c>
      <c r="H3873" t="s">
        <v>18072</v>
      </c>
      <c r="I3873" t="s">
        <v>18073</v>
      </c>
      <c r="J3873" t="s">
        <v>18074</v>
      </c>
      <c r="L3873" t="s">
        <v>18075</v>
      </c>
      <c r="M3873" t="s">
        <v>824</v>
      </c>
      <c r="N3873" t="s">
        <v>18076</v>
      </c>
      <c r="O3873" t="s">
        <v>18077</v>
      </c>
      <c r="P3873" t="s">
        <v>18078</v>
      </c>
      <c r="Q3873" t="s">
        <v>18079</v>
      </c>
      <c r="R3873">
        <v>12</v>
      </c>
      <c r="S3873">
        <v>16</v>
      </c>
    </row>
    <row r="3874" spans="1:19" x14ac:dyDescent="0.35">
      <c r="A3874">
        <v>192</v>
      </c>
      <c r="B3874" t="s">
        <v>2902</v>
      </c>
      <c r="C3874" t="s">
        <v>42</v>
      </c>
      <c r="D3874" t="s">
        <v>17048</v>
      </c>
      <c r="E3874" t="e" cm="1">
        <f t="array" ref="E3874">- SILDENAFIL CITRATE</f>
        <v>#NAME?</v>
      </c>
      <c r="F3874" t="s">
        <v>17049</v>
      </c>
      <c r="G3874" t="s">
        <v>17050</v>
      </c>
      <c r="H3874" t="s">
        <v>1322</v>
      </c>
      <c r="I3874" t="s">
        <v>17051</v>
      </c>
      <c r="J3874" t="s">
        <v>8147</v>
      </c>
      <c r="M3874" t="s">
        <v>46</v>
      </c>
      <c r="N3874" t="s">
        <v>2519</v>
      </c>
      <c r="O3874" t="s">
        <v>17052</v>
      </c>
      <c r="P3874" t="s">
        <v>8129</v>
      </c>
      <c r="Q3874" t="s">
        <v>18080</v>
      </c>
      <c r="R3874">
        <v>12</v>
      </c>
      <c r="S3874">
        <v>16</v>
      </c>
    </row>
    <row r="3875" spans="1:19" x14ac:dyDescent="0.35">
      <c r="A3875">
        <v>7483</v>
      </c>
      <c r="B3875" t="s">
        <v>18081</v>
      </c>
      <c r="C3875" t="s">
        <v>20</v>
      </c>
      <c r="D3875" t="s">
        <v>18082</v>
      </c>
      <c r="E3875" t="s">
        <v>18083</v>
      </c>
      <c r="F3875" t="s">
        <v>18084</v>
      </c>
      <c r="I3875" t="s">
        <v>5748</v>
      </c>
      <c r="J3875" t="s">
        <v>4376</v>
      </c>
      <c r="M3875" t="s">
        <v>291</v>
      </c>
      <c r="N3875" t="s">
        <v>18085</v>
      </c>
      <c r="O3875" t="s">
        <v>5703</v>
      </c>
      <c r="P3875" t="s">
        <v>18086</v>
      </c>
      <c r="Q3875" t="s">
        <v>18087</v>
      </c>
      <c r="R3875">
        <v>12</v>
      </c>
      <c r="S3875">
        <v>16</v>
      </c>
    </row>
    <row r="3876" spans="1:19" x14ac:dyDescent="0.35">
      <c r="A3876">
        <v>193</v>
      </c>
      <c r="B3876" t="s">
        <v>2902</v>
      </c>
      <c r="C3876" t="s">
        <v>42</v>
      </c>
      <c r="D3876" t="s">
        <v>17054</v>
      </c>
      <c r="E3876" t="e" cm="1">
        <f t="array" ref="E3876">- SILDENAFIL CITRATE</f>
        <v>#NAME?</v>
      </c>
      <c r="F3876" t="s">
        <v>17055</v>
      </c>
      <c r="G3876" t="s">
        <v>17056</v>
      </c>
      <c r="H3876" t="s">
        <v>1322</v>
      </c>
      <c r="I3876" t="s">
        <v>17057</v>
      </c>
      <c r="J3876" t="s">
        <v>8697</v>
      </c>
      <c r="M3876" t="s">
        <v>46</v>
      </c>
      <c r="N3876" t="s">
        <v>2519</v>
      </c>
      <c r="O3876" t="s">
        <v>17058</v>
      </c>
      <c r="P3876" t="s">
        <v>8129</v>
      </c>
      <c r="Q3876" t="s">
        <v>18088</v>
      </c>
      <c r="R3876">
        <v>12</v>
      </c>
      <c r="S3876">
        <v>16</v>
      </c>
    </row>
    <row r="3877" spans="1:19" x14ac:dyDescent="0.35">
      <c r="A3877">
        <v>189</v>
      </c>
      <c r="B3877" t="s">
        <v>2902</v>
      </c>
      <c r="C3877" t="s">
        <v>42</v>
      </c>
      <c r="D3877" t="s">
        <v>17036</v>
      </c>
      <c r="E3877" t="e" cm="1">
        <f t="array" ref="E3877">- SILDENAFIL CITRATE</f>
        <v>#NAME?</v>
      </c>
      <c r="F3877" t="s">
        <v>17037</v>
      </c>
      <c r="G3877" t="s">
        <v>17038</v>
      </c>
      <c r="H3877" t="s">
        <v>1322</v>
      </c>
      <c r="I3877" t="s">
        <v>17039</v>
      </c>
      <c r="J3877" t="s">
        <v>17040</v>
      </c>
      <c r="M3877" t="s">
        <v>46</v>
      </c>
      <c r="N3877" t="s">
        <v>2519</v>
      </c>
      <c r="O3877" t="s">
        <v>11352</v>
      </c>
      <c r="P3877" t="s">
        <v>17041</v>
      </c>
      <c r="Q3877" t="s">
        <v>18089</v>
      </c>
      <c r="R3877">
        <v>12</v>
      </c>
      <c r="S3877">
        <v>16</v>
      </c>
    </row>
    <row r="3878" spans="1:19" x14ac:dyDescent="0.35">
      <c r="A3878">
        <v>8776</v>
      </c>
      <c r="B3878" t="s">
        <v>2388</v>
      </c>
      <c r="C3878" t="s">
        <v>42</v>
      </c>
      <c r="D3878" t="s">
        <v>18090</v>
      </c>
      <c r="E3878" t="e" cm="1">
        <f t="array" ref="E3878">- PIOGLITAZONE HYDROCHLORIDE</f>
        <v>#NAME?</v>
      </c>
      <c r="F3878" s="1">
        <v>0</v>
      </c>
      <c r="G3878" t="s">
        <v>11833</v>
      </c>
      <c r="I3878" t="s">
        <v>11834</v>
      </c>
      <c r="J3878" t="s">
        <v>18091</v>
      </c>
      <c r="M3878" t="s">
        <v>46</v>
      </c>
      <c r="N3878" t="s">
        <v>2389</v>
      </c>
      <c r="O3878" t="s">
        <v>11836</v>
      </c>
      <c r="P3878" t="s">
        <v>18092</v>
      </c>
      <c r="Q3878" t="s">
        <v>18093</v>
      </c>
      <c r="R3878">
        <v>12</v>
      </c>
      <c r="S3878">
        <v>16</v>
      </c>
    </row>
    <row r="3879" spans="1:19" x14ac:dyDescent="0.35">
      <c r="A3879">
        <v>7519</v>
      </c>
      <c r="B3879" t="s">
        <v>17926</v>
      </c>
      <c r="C3879" t="s">
        <v>42</v>
      </c>
      <c r="D3879" t="s">
        <v>17938</v>
      </c>
      <c r="E3879" t="e" cm="1">
        <f t="array" ref="E3879">- ASCORBIC ACID</f>
        <v>#NAME?</v>
      </c>
      <c r="F3879" t="s">
        <v>17939</v>
      </c>
      <c r="G3879" t="s">
        <v>17929</v>
      </c>
      <c r="H3879" t="s">
        <v>17930</v>
      </c>
      <c r="I3879" t="s">
        <v>17931</v>
      </c>
      <c r="J3879" t="s">
        <v>17940</v>
      </c>
      <c r="K3879" t="s">
        <v>17933</v>
      </c>
      <c r="L3879" t="s">
        <v>17934</v>
      </c>
      <c r="M3879" t="s">
        <v>38</v>
      </c>
      <c r="N3879" t="s">
        <v>15348</v>
      </c>
      <c r="O3879" t="s">
        <v>17935</v>
      </c>
      <c r="P3879" t="s">
        <v>17936</v>
      </c>
      <c r="Q3879" t="s">
        <v>17937</v>
      </c>
      <c r="R3879">
        <v>12</v>
      </c>
      <c r="S3879">
        <v>16</v>
      </c>
    </row>
    <row r="3880" spans="1:19" x14ac:dyDescent="0.35">
      <c r="A3880">
        <v>1364</v>
      </c>
      <c r="B3880" t="s">
        <v>2074</v>
      </c>
      <c r="C3880" t="s">
        <v>42</v>
      </c>
      <c r="D3880" t="s">
        <v>16598</v>
      </c>
      <c r="E3880" t="e" cm="1">
        <f t="array" ref="E3880">- GUAIFENESIN</f>
        <v>#NAME?</v>
      </c>
      <c r="F3880" t="s">
        <v>16599</v>
      </c>
      <c r="G3880" t="s">
        <v>16600</v>
      </c>
      <c r="H3880" t="s">
        <v>16601</v>
      </c>
      <c r="I3880" t="s">
        <v>16602</v>
      </c>
      <c r="J3880" t="s">
        <v>16603</v>
      </c>
      <c r="L3880" t="s">
        <v>16604</v>
      </c>
      <c r="M3880" t="s">
        <v>46</v>
      </c>
      <c r="N3880" t="s">
        <v>361</v>
      </c>
      <c r="O3880" t="s">
        <v>16605</v>
      </c>
      <c r="P3880" t="s">
        <v>16606</v>
      </c>
      <c r="Q3880" t="s">
        <v>18094</v>
      </c>
      <c r="R3880">
        <v>12</v>
      </c>
      <c r="S3880">
        <v>16</v>
      </c>
    </row>
    <row r="3881" spans="1:19" x14ac:dyDescent="0.35">
      <c r="A3881">
        <v>5040</v>
      </c>
      <c r="B3881" t="s">
        <v>18095</v>
      </c>
      <c r="C3881" t="s">
        <v>42</v>
      </c>
      <c r="D3881" t="s">
        <v>18096</v>
      </c>
      <c r="E3881" t="e" cm="1">
        <f t="array" ref="E3881">- ALCLOMETASONE DIPROPIONATE</f>
        <v>#NAME?</v>
      </c>
      <c r="F3881" t="s">
        <v>18097</v>
      </c>
      <c r="G3881" t="s">
        <v>18098</v>
      </c>
      <c r="H3881" t="s">
        <v>18099</v>
      </c>
      <c r="I3881" t="s">
        <v>18100</v>
      </c>
      <c r="J3881" t="s">
        <v>1402</v>
      </c>
      <c r="L3881" t="s">
        <v>18101</v>
      </c>
      <c r="M3881" t="s">
        <v>1289</v>
      </c>
      <c r="N3881" t="s">
        <v>18102</v>
      </c>
      <c r="O3881" t="s">
        <v>15772</v>
      </c>
      <c r="P3881" t="s">
        <v>18103</v>
      </c>
      <c r="Q3881" t="s">
        <v>18104</v>
      </c>
      <c r="R3881">
        <v>12</v>
      </c>
      <c r="S3881">
        <v>16</v>
      </c>
    </row>
    <row r="3882" spans="1:19" x14ac:dyDescent="0.35">
      <c r="A3882">
        <v>3210</v>
      </c>
      <c r="B3882" t="s">
        <v>12023</v>
      </c>
      <c r="C3882" t="s">
        <v>42</v>
      </c>
      <c r="D3882" t="s">
        <v>18105</v>
      </c>
      <c r="E3882" t="e" cm="1">
        <f t="array" ref="E3882">- SUCRALFATE</f>
        <v>#NAME?</v>
      </c>
      <c r="F3882" t="s">
        <v>18106</v>
      </c>
      <c r="G3882" t="s">
        <v>8205</v>
      </c>
      <c r="H3882" t="s">
        <v>18107</v>
      </c>
      <c r="I3882" t="s">
        <v>18108</v>
      </c>
      <c r="J3882" t="s">
        <v>2083</v>
      </c>
      <c r="K3882" t="s">
        <v>8205</v>
      </c>
      <c r="L3882" t="s">
        <v>18109</v>
      </c>
      <c r="M3882" t="s">
        <v>340</v>
      </c>
      <c r="N3882" t="s">
        <v>375</v>
      </c>
      <c r="O3882" t="s">
        <v>18110</v>
      </c>
      <c r="P3882" t="s">
        <v>12032</v>
      </c>
      <c r="Q3882" t="s">
        <v>18111</v>
      </c>
      <c r="R3882">
        <v>12</v>
      </c>
      <c r="S3882">
        <v>16</v>
      </c>
    </row>
    <row r="3883" spans="1:19" x14ac:dyDescent="0.35">
      <c r="A3883">
        <v>3211</v>
      </c>
      <c r="B3883" t="s">
        <v>12023</v>
      </c>
      <c r="C3883" t="s">
        <v>42</v>
      </c>
      <c r="D3883" t="s">
        <v>18105</v>
      </c>
      <c r="E3883" t="e" cm="1">
        <f t="array" ref="E3883">- SUCRALFATE</f>
        <v>#NAME?</v>
      </c>
      <c r="F3883" t="s">
        <v>18106</v>
      </c>
      <c r="G3883" t="s">
        <v>8205</v>
      </c>
      <c r="H3883" t="s">
        <v>18107</v>
      </c>
      <c r="I3883" t="s">
        <v>18108</v>
      </c>
      <c r="J3883" t="s">
        <v>2083</v>
      </c>
      <c r="K3883" t="s">
        <v>8205</v>
      </c>
      <c r="L3883" t="s">
        <v>18109</v>
      </c>
      <c r="M3883" t="s">
        <v>340</v>
      </c>
      <c r="N3883" t="s">
        <v>375</v>
      </c>
      <c r="O3883" t="s">
        <v>18110</v>
      </c>
      <c r="P3883" t="s">
        <v>12032</v>
      </c>
      <c r="Q3883" t="s">
        <v>18111</v>
      </c>
      <c r="R3883">
        <v>12</v>
      </c>
      <c r="S3883">
        <v>16</v>
      </c>
    </row>
    <row r="3884" spans="1:19" x14ac:dyDescent="0.35">
      <c r="A3884">
        <v>3212</v>
      </c>
      <c r="B3884" t="s">
        <v>12023</v>
      </c>
      <c r="C3884" t="s">
        <v>42</v>
      </c>
      <c r="D3884" t="s">
        <v>18105</v>
      </c>
      <c r="E3884" t="e" cm="1">
        <f t="array" ref="E3884">- SUCRALFATE</f>
        <v>#NAME?</v>
      </c>
      <c r="F3884" t="s">
        <v>18106</v>
      </c>
      <c r="G3884" t="s">
        <v>8205</v>
      </c>
      <c r="H3884" t="s">
        <v>18107</v>
      </c>
      <c r="I3884" t="s">
        <v>18108</v>
      </c>
      <c r="J3884" t="s">
        <v>2083</v>
      </c>
      <c r="K3884" t="s">
        <v>8205</v>
      </c>
      <c r="L3884" t="s">
        <v>18109</v>
      </c>
      <c r="M3884" t="s">
        <v>340</v>
      </c>
      <c r="N3884" t="s">
        <v>375</v>
      </c>
      <c r="O3884" t="s">
        <v>18110</v>
      </c>
      <c r="P3884" t="s">
        <v>12032</v>
      </c>
      <c r="Q3884" t="s">
        <v>18111</v>
      </c>
      <c r="R3884">
        <v>12</v>
      </c>
      <c r="S3884">
        <v>16</v>
      </c>
    </row>
    <row r="3885" spans="1:19" x14ac:dyDescent="0.35">
      <c r="A3885">
        <v>3322</v>
      </c>
      <c r="B3885" t="s">
        <v>18112</v>
      </c>
      <c r="C3885" t="s">
        <v>20</v>
      </c>
      <c r="D3885" t="s">
        <v>18113</v>
      </c>
      <c r="E3885" t="s">
        <v>18114</v>
      </c>
      <c r="F3885" t="s">
        <v>18115</v>
      </c>
      <c r="G3885" t="s">
        <v>18116</v>
      </c>
      <c r="H3885" t="s">
        <v>18117</v>
      </c>
      <c r="I3885" t="s">
        <v>18118</v>
      </c>
      <c r="J3885" t="s">
        <v>3433</v>
      </c>
      <c r="L3885" t="s">
        <v>18119</v>
      </c>
      <c r="M3885" t="s">
        <v>38</v>
      </c>
      <c r="N3885" t="s">
        <v>18120</v>
      </c>
      <c r="O3885" t="s">
        <v>18121</v>
      </c>
      <c r="P3885" t="s">
        <v>18120</v>
      </c>
      <c r="Q3885" t="s">
        <v>18122</v>
      </c>
      <c r="R3885">
        <v>12</v>
      </c>
      <c r="S3885">
        <v>16</v>
      </c>
    </row>
    <row r="3886" spans="1:19" x14ac:dyDescent="0.35">
      <c r="A3886">
        <v>3321</v>
      </c>
      <c r="B3886" t="s">
        <v>18112</v>
      </c>
      <c r="C3886" t="s">
        <v>20</v>
      </c>
      <c r="D3886" t="s">
        <v>18113</v>
      </c>
      <c r="E3886" t="s">
        <v>18114</v>
      </c>
      <c r="F3886" t="s">
        <v>18115</v>
      </c>
      <c r="G3886" t="s">
        <v>18116</v>
      </c>
      <c r="H3886" t="s">
        <v>18117</v>
      </c>
      <c r="I3886" t="s">
        <v>18118</v>
      </c>
      <c r="J3886" t="s">
        <v>3433</v>
      </c>
      <c r="L3886" t="s">
        <v>18119</v>
      </c>
      <c r="M3886" t="s">
        <v>38</v>
      </c>
      <c r="N3886" t="s">
        <v>18120</v>
      </c>
      <c r="O3886" t="s">
        <v>18121</v>
      </c>
      <c r="P3886" t="s">
        <v>18120</v>
      </c>
      <c r="Q3886" t="s">
        <v>18122</v>
      </c>
      <c r="R3886">
        <v>12</v>
      </c>
      <c r="S3886">
        <v>16</v>
      </c>
    </row>
    <row r="3887" spans="1:19" x14ac:dyDescent="0.35">
      <c r="A3887">
        <v>3213</v>
      </c>
      <c r="B3887" t="s">
        <v>12023</v>
      </c>
      <c r="C3887" t="s">
        <v>42</v>
      </c>
      <c r="D3887" t="s">
        <v>18105</v>
      </c>
      <c r="E3887" t="e" cm="1">
        <f t="array" ref="E3887">- SUCRALFATE</f>
        <v>#NAME?</v>
      </c>
      <c r="F3887" t="s">
        <v>18106</v>
      </c>
      <c r="G3887" t="s">
        <v>8205</v>
      </c>
      <c r="H3887" t="s">
        <v>18107</v>
      </c>
      <c r="I3887" t="s">
        <v>18108</v>
      </c>
      <c r="J3887" t="s">
        <v>2083</v>
      </c>
      <c r="K3887" t="s">
        <v>8205</v>
      </c>
      <c r="L3887" t="s">
        <v>18109</v>
      </c>
      <c r="M3887" t="s">
        <v>340</v>
      </c>
      <c r="N3887" t="s">
        <v>375</v>
      </c>
      <c r="O3887" t="s">
        <v>18110</v>
      </c>
      <c r="P3887" t="s">
        <v>12032</v>
      </c>
      <c r="Q3887" t="s">
        <v>18111</v>
      </c>
      <c r="R3887">
        <v>12</v>
      </c>
      <c r="S3887">
        <v>16</v>
      </c>
    </row>
    <row r="3888" spans="1:19" x14ac:dyDescent="0.35">
      <c r="A3888">
        <v>1407</v>
      </c>
      <c r="B3888" t="s">
        <v>8509</v>
      </c>
      <c r="C3888" t="s">
        <v>42</v>
      </c>
      <c r="D3888" t="s">
        <v>8510</v>
      </c>
      <c r="E3888" t="e" cm="1">
        <f t="array" ref="E3888">- DEXTROMETHORPHAN HYDROBROMIDE. CHLORPHENAMINE MALEATE. PSEUDOEPHEDRINE HYDROCHLORIDE</f>
        <v>#NAME?</v>
      </c>
      <c r="F3888" t="s">
        <v>8511</v>
      </c>
      <c r="G3888" t="s">
        <v>8512</v>
      </c>
      <c r="H3888" t="s">
        <v>8513</v>
      </c>
      <c r="I3888" t="s">
        <v>8514</v>
      </c>
      <c r="J3888" t="s">
        <v>334</v>
      </c>
      <c r="L3888" t="s">
        <v>8515</v>
      </c>
      <c r="M3888" t="s">
        <v>271</v>
      </c>
      <c r="N3888" t="s">
        <v>18123</v>
      </c>
      <c r="O3888" t="s">
        <v>8516</v>
      </c>
      <c r="P3888" t="s">
        <v>8517</v>
      </c>
      <c r="Q3888" t="s">
        <v>18124</v>
      </c>
      <c r="R3888">
        <v>12</v>
      </c>
      <c r="S3888">
        <v>16</v>
      </c>
    </row>
    <row r="3889" spans="1:19" x14ac:dyDescent="0.35">
      <c r="A3889">
        <v>7610</v>
      </c>
      <c r="B3889" t="s">
        <v>18125</v>
      </c>
      <c r="C3889" t="s">
        <v>20</v>
      </c>
      <c r="D3889" t="s">
        <v>18126</v>
      </c>
      <c r="E3889" t="s">
        <v>18127</v>
      </c>
      <c r="F3889" t="s">
        <v>12359</v>
      </c>
      <c r="G3889" t="s">
        <v>18128</v>
      </c>
      <c r="H3889" t="s">
        <v>18129</v>
      </c>
      <c r="I3889" t="s">
        <v>18130</v>
      </c>
      <c r="J3889" t="s">
        <v>16541</v>
      </c>
      <c r="N3889" t="s">
        <v>18131</v>
      </c>
      <c r="O3889" t="s">
        <v>18132</v>
      </c>
      <c r="P3889" t="s">
        <v>18131</v>
      </c>
      <c r="Q3889" t="s">
        <v>18133</v>
      </c>
      <c r="R3889">
        <v>12</v>
      </c>
      <c r="S3889">
        <v>16</v>
      </c>
    </row>
    <row r="3890" spans="1:19" x14ac:dyDescent="0.35">
      <c r="A3890">
        <v>5039</v>
      </c>
      <c r="B3890" t="s">
        <v>18095</v>
      </c>
      <c r="C3890" t="s">
        <v>42</v>
      </c>
      <c r="D3890" t="s">
        <v>18096</v>
      </c>
      <c r="E3890" t="e" cm="1">
        <f t="array" ref="E3890">- ALCLOMETASONE DIPROPIONATE</f>
        <v>#NAME?</v>
      </c>
      <c r="F3890" t="s">
        <v>18097</v>
      </c>
      <c r="G3890" t="s">
        <v>18098</v>
      </c>
      <c r="H3890" t="s">
        <v>18099</v>
      </c>
      <c r="I3890" t="s">
        <v>18100</v>
      </c>
      <c r="J3890" t="s">
        <v>1402</v>
      </c>
      <c r="L3890" t="s">
        <v>18101</v>
      </c>
      <c r="M3890" t="s">
        <v>1289</v>
      </c>
      <c r="N3890" t="s">
        <v>18102</v>
      </c>
      <c r="O3890" t="s">
        <v>15772</v>
      </c>
      <c r="P3890" t="s">
        <v>18103</v>
      </c>
      <c r="Q3890" t="s">
        <v>18104</v>
      </c>
      <c r="R3890">
        <v>12</v>
      </c>
      <c r="S3890">
        <v>16</v>
      </c>
    </row>
    <row r="3891" spans="1:19" x14ac:dyDescent="0.35">
      <c r="A3891">
        <v>7578</v>
      </c>
      <c r="B3891" t="s">
        <v>18134</v>
      </c>
      <c r="C3891" t="s">
        <v>20</v>
      </c>
      <c r="D3891" t="s">
        <v>18135</v>
      </c>
      <c r="E3891" t="s">
        <v>18136</v>
      </c>
      <c r="F3891" t="s">
        <v>18137</v>
      </c>
      <c r="G3891" t="s">
        <v>18138</v>
      </c>
      <c r="H3891" t="s">
        <v>18139</v>
      </c>
      <c r="I3891" t="s">
        <v>18140</v>
      </c>
      <c r="J3891" t="s">
        <v>18141</v>
      </c>
      <c r="M3891" t="s">
        <v>63</v>
      </c>
      <c r="N3891" t="s">
        <v>18142</v>
      </c>
      <c r="O3891" t="s">
        <v>5909</v>
      </c>
      <c r="P3891" t="s">
        <v>18143</v>
      </c>
      <c r="Q3891" t="s">
        <v>18144</v>
      </c>
      <c r="R3891">
        <v>12</v>
      </c>
      <c r="S3891">
        <v>16</v>
      </c>
    </row>
    <row r="3892" spans="1:19" x14ac:dyDescent="0.35">
      <c r="A3892">
        <v>3274</v>
      </c>
      <c r="B3892" t="s">
        <v>18145</v>
      </c>
      <c r="C3892" t="s">
        <v>42</v>
      </c>
      <c r="D3892" t="s">
        <v>18146</v>
      </c>
      <c r="E3892" t="e" cm="1">
        <f t="array" ref="E3892">- RANITIDINE HYDROCHLORIDE</f>
        <v>#NAME?</v>
      </c>
      <c r="F3892" t="s">
        <v>18147</v>
      </c>
      <c r="G3892" t="s">
        <v>3083</v>
      </c>
      <c r="H3892" t="s">
        <v>1984</v>
      </c>
      <c r="I3892" t="s">
        <v>18148</v>
      </c>
      <c r="J3892" t="s">
        <v>18149</v>
      </c>
      <c r="L3892" t="s">
        <v>18150</v>
      </c>
      <c r="M3892" t="s">
        <v>46</v>
      </c>
      <c r="N3892" t="s">
        <v>1985</v>
      </c>
      <c r="O3892" t="s">
        <v>18151</v>
      </c>
      <c r="P3892" t="s">
        <v>18152</v>
      </c>
      <c r="Q3892" t="s">
        <v>18153</v>
      </c>
      <c r="R3892">
        <v>12</v>
      </c>
      <c r="S3892">
        <v>16</v>
      </c>
    </row>
    <row r="3893" spans="1:19" x14ac:dyDescent="0.35">
      <c r="A3893">
        <v>3272</v>
      </c>
      <c r="B3893" t="s">
        <v>18154</v>
      </c>
      <c r="C3893" t="s">
        <v>42</v>
      </c>
      <c r="D3893" t="s">
        <v>18155</v>
      </c>
      <c r="E3893" t="e" cm="1">
        <f t="array" ref="E3893">- ALUMINIUM HYDROXIDE</f>
        <v>#NAME?</v>
      </c>
      <c r="F3893" t="s">
        <v>18156</v>
      </c>
      <c r="G3893" t="s">
        <v>737</v>
      </c>
      <c r="H3893" t="s">
        <v>18157</v>
      </c>
      <c r="I3893" t="s">
        <v>18158</v>
      </c>
      <c r="J3893" t="s">
        <v>18159</v>
      </c>
      <c r="K3893" t="s">
        <v>4677</v>
      </c>
      <c r="L3893" t="s">
        <v>18160</v>
      </c>
      <c r="M3893" t="s">
        <v>340</v>
      </c>
      <c r="N3893" t="s">
        <v>1771</v>
      </c>
      <c r="O3893" t="s">
        <v>18161</v>
      </c>
      <c r="P3893" t="s">
        <v>18162</v>
      </c>
      <c r="Q3893" t="s">
        <v>18163</v>
      </c>
      <c r="R3893">
        <v>12</v>
      </c>
      <c r="S3893">
        <v>16</v>
      </c>
    </row>
    <row r="3894" spans="1:19" x14ac:dyDescent="0.35">
      <c r="A3894">
        <v>3270</v>
      </c>
      <c r="B3894" t="s">
        <v>18154</v>
      </c>
      <c r="C3894" t="s">
        <v>42</v>
      </c>
      <c r="D3894" t="s">
        <v>18164</v>
      </c>
      <c r="E3894" t="e" cm="1">
        <f t="array" ref="E3894">- ALUMINIUM HYDROXIDE</f>
        <v>#NAME?</v>
      </c>
      <c r="F3894" t="s">
        <v>18165</v>
      </c>
      <c r="G3894" t="s">
        <v>737</v>
      </c>
      <c r="H3894" t="s">
        <v>18157</v>
      </c>
      <c r="I3894" t="s">
        <v>18158</v>
      </c>
      <c r="J3894" t="s">
        <v>374</v>
      </c>
      <c r="K3894" t="s">
        <v>4677</v>
      </c>
      <c r="L3894" t="s">
        <v>18160</v>
      </c>
      <c r="M3894" t="s">
        <v>340</v>
      </c>
      <c r="N3894" t="s">
        <v>1771</v>
      </c>
      <c r="O3894" t="s">
        <v>18161</v>
      </c>
      <c r="P3894" t="s">
        <v>18162</v>
      </c>
      <c r="Q3894" t="s">
        <v>18163</v>
      </c>
      <c r="R3894">
        <v>12</v>
      </c>
      <c r="S3894">
        <v>16</v>
      </c>
    </row>
    <row r="3895" spans="1:19" x14ac:dyDescent="0.35">
      <c r="A3895">
        <v>7577</v>
      </c>
      <c r="B3895" t="s">
        <v>18166</v>
      </c>
      <c r="C3895" t="s">
        <v>20</v>
      </c>
      <c r="D3895" t="s">
        <v>18167</v>
      </c>
      <c r="E3895" t="s">
        <v>18168</v>
      </c>
      <c r="F3895" t="s">
        <v>18169</v>
      </c>
      <c r="G3895" t="s">
        <v>18138</v>
      </c>
      <c r="H3895" t="s">
        <v>18139</v>
      </c>
      <c r="I3895" t="s">
        <v>18140</v>
      </c>
      <c r="J3895" t="s">
        <v>18141</v>
      </c>
      <c r="M3895" t="s">
        <v>63</v>
      </c>
      <c r="N3895" t="s">
        <v>18170</v>
      </c>
      <c r="O3895" t="s">
        <v>5909</v>
      </c>
      <c r="P3895" t="s">
        <v>18171</v>
      </c>
      <c r="Q3895" t="s">
        <v>18172</v>
      </c>
      <c r="R3895">
        <v>12</v>
      </c>
      <c r="S3895">
        <v>16</v>
      </c>
    </row>
    <row r="3896" spans="1:19" x14ac:dyDescent="0.35">
      <c r="A3896">
        <v>7576</v>
      </c>
      <c r="B3896" t="s">
        <v>18173</v>
      </c>
      <c r="C3896" t="s">
        <v>20</v>
      </c>
      <c r="D3896" t="s">
        <v>18174</v>
      </c>
      <c r="E3896" t="s">
        <v>18175</v>
      </c>
      <c r="F3896" t="s">
        <v>18137</v>
      </c>
      <c r="G3896" t="s">
        <v>18138</v>
      </c>
      <c r="H3896" t="s">
        <v>18139</v>
      </c>
      <c r="I3896" t="s">
        <v>18140</v>
      </c>
      <c r="J3896" t="s">
        <v>18141</v>
      </c>
      <c r="M3896" t="s">
        <v>63</v>
      </c>
      <c r="N3896" t="s">
        <v>18176</v>
      </c>
      <c r="O3896" t="s">
        <v>5909</v>
      </c>
      <c r="P3896" t="s">
        <v>18177</v>
      </c>
      <c r="Q3896" t="s">
        <v>18178</v>
      </c>
      <c r="R3896">
        <v>12</v>
      </c>
      <c r="S3896">
        <v>16</v>
      </c>
    </row>
    <row r="3897" spans="1:19" x14ac:dyDescent="0.35">
      <c r="A3897">
        <v>5023</v>
      </c>
      <c r="B3897" t="s">
        <v>18179</v>
      </c>
      <c r="C3897" t="s">
        <v>42</v>
      </c>
      <c r="D3897" t="s">
        <v>18180</v>
      </c>
      <c r="E3897" t="e" cm="1">
        <f t="array" ref="E3897">- MOMETASONE FUROATE</f>
        <v>#NAME?</v>
      </c>
      <c r="F3897" t="s">
        <v>18181</v>
      </c>
      <c r="G3897" t="s">
        <v>18182</v>
      </c>
      <c r="H3897" t="s">
        <v>6538</v>
      </c>
      <c r="I3897" t="s">
        <v>18183</v>
      </c>
      <c r="J3897" t="s">
        <v>2167</v>
      </c>
      <c r="K3897" t="s">
        <v>2726</v>
      </c>
      <c r="L3897" t="s">
        <v>18184</v>
      </c>
      <c r="M3897" t="s">
        <v>1029</v>
      </c>
      <c r="N3897" t="s">
        <v>13785</v>
      </c>
      <c r="O3897" t="s">
        <v>15772</v>
      </c>
      <c r="P3897" t="s">
        <v>18185</v>
      </c>
      <c r="Q3897" t="s">
        <v>18186</v>
      </c>
      <c r="R3897">
        <v>12</v>
      </c>
      <c r="S3897">
        <v>16</v>
      </c>
    </row>
    <row r="3898" spans="1:19" x14ac:dyDescent="0.35">
      <c r="A3898">
        <v>226</v>
      </c>
      <c r="B3898" t="s">
        <v>2902</v>
      </c>
      <c r="C3898" t="s">
        <v>42</v>
      </c>
      <c r="D3898" t="s">
        <v>18187</v>
      </c>
      <c r="E3898" t="e" cm="1">
        <f t="array" ref="E3898">- SILDENAFIL CITRATE</f>
        <v>#NAME?</v>
      </c>
      <c r="F3898" t="s">
        <v>18188</v>
      </c>
      <c r="G3898" t="s">
        <v>18189</v>
      </c>
      <c r="H3898" t="s">
        <v>1322</v>
      </c>
      <c r="I3898" t="s">
        <v>18190</v>
      </c>
      <c r="J3898" t="s">
        <v>18191</v>
      </c>
      <c r="L3898" t="s">
        <v>18192</v>
      </c>
      <c r="M3898" t="s">
        <v>46</v>
      </c>
      <c r="N3898" t="s">
        <v>2519</v>
      </c>
      <c r="O3898" t="s">
        <v>18193</v>
      </c>
      <c r="P3898" t="s">
        <v>18194</v>
      </c>
      <c r="Q3898" t="s">
        <v>18195</v>
      </c>
      <c r="R3898">
        <v>12</v>
      </c>
      <c r="S3898">
        <v>16</v>
      </c>
    </row>
    <row r="3899" spans="1:19" x14ac:dyDescent="0.35">
      <c r="A3899">
        <v>4982</v>
      </c>
      <c r="B3899" t="s">
        <v>18196</v>
      </c>
      <c r="C3899" t="s">
        <v>42</v>
      </c>
      <c r="D3899" t="s">
        <v>18197</v>
      </c>
      <c r="E3899" t="e" cm="1">
        <f t="array" ref="E3899">- MOMETASONE FUROATE</f>
        <v>#NAME?</v>
      </c>
      <c r="F3899" t="s">
        <v>18198</v>
      </c>
      <c r="G3899" t="s">
        <v>18199</v>
      </c>
      <c r="H3899" t="s">
        <v>6538</v>
      </c>
      <c r="I3899" t="s">
        <v>18200</v>
      </c>
      <c r="J3899" t="s">
        <v>2040</v>
      </c>
      <c r="K3899" t="s">
        <v>18201</v>
      </c>
      <c r="L3899" t="s">
        <v>18202</v>
      </c>
      <c r="M3899" t="s">
        <v>1289</v>
      </c>
      <c r="N3899" t="s">
        <v>13785</v>
      </c>
      <c r="O3899" t="s">
        <v>18203</v>
      </c>
      <c r="P3899" t="s">
        <v>18204</v>
      </c>
      <c r="Q3899" t="s">
        <v>18205</v>
      </c>
      <c r="R3899">
        <v>12</v>
      </c>
      <c r="S3899">
        <v>16</v>
      </c>
    </row>
    <row r="3900" spans="1:19" x14ac:dyDescent="0.35">
      <c r="A3900">
        <v>3520</v>
      </c>
      <c r="B3900" t="s">
        <v>18206</v>
      </c>
      <c r="C3900" t="s">
        <v>42</v>
      </c>
      <c r="D3900" t="s">
        <v>18207</v>
      </c>
      <c r="E3900" t="e" cm="1">
        <f t="array" ref="E3900">- ONDANSETRON</f>
        <v>#NAME?</v>
      </c>
      <c r="F3900" t="s">
        <v>18208</v>
      </c>
      <c r="G3900" t="s">
        <v>14378</v>
      </c>
      <c r="H3900" t="s">
        <v>14379</v>
      </c>
      <c r="I3900" t="s">
        <v>18209</v>
      </c>
      <c r="J3900" t="s">
        <v>18210</v>
      </c>
      <c r="K3900" t="s">
        <v>14086</v>
      </c>
      <c r="L3900" t="s">
        <v>14382</v>
      </c>
      <c r="M3900" t="s">
        <v>46</v>
      </c>
      <c r="N3900" t="s">
        <v>1869</v>
      </c>
      <c r="O3900" t="s">
        <v>14383</v>
      </c>
      <c r="P3900" t="s">
        <v>18211</v>
      </c>
      <c r="Q3900" t="s">
        <v>18212</v>
      </c>
      <c r="R3900">
        <v>12</v>
      </c>
      <c r="S3900">
        <v>16</v>
      </c>
    </row>
    <row r="3901" spans="1:19" x14ac:dyDescent="0.35">
      <c r="A3901">
        <v>214</v>
      </c>
      <c r="B3901" t="s">
        <v>2902</v>
      </c>
      <c r="C3901" t="s">
        <v>42</v>
      </c>
      <c r="D3901" t="s">
        <v>16941</v>
      </c>
      <c r="E3901" t="e" cm="1">
        <f t="array" ref="E3901">- SILDENAFIL CITRATE</f>
        <v>#NAME?</v>
      </c>
      <c r="F3901" t="s">
        <v>16942</v>
      </c>
      <c r="G3901" t="s">
        <v>12009</v>
      </c>
      <c r="I3901" t="s">
        <v>16943</v>
      </c>
      <c r="J3901" t="s">
        <v>16944</v>
      </c>
      <c r="L3901" t="s">
        <v>16945</v>
      </c>
      <c r="M3901" t="s">
        <v>46</v>
      </c>
      <c r="N3901" t="s">
        <v>2519</v>
      </c>
      <c r="O3901" t="s">
        <v>16946</v>
      </c>
      <c r="P3901" t="s">
        <v>16947</v>
      </c>
      <c r="Q3901" t="s">
        <v>18213</v>
      </c>
      <c r="R3901">
        <v>12</v>
      </c>
      <c r="S3901">
        <v>16</v>
      </c>
    </row>
    <row r="3902" spans="1:19" x14ac:dyDescent="0.35">
      <c r="A3902">
        <v>8405</v>
      </c>
      <c r="B3902" t="s">
        <v>551</v>
      </c>
      <c r="C3902" t="s">
        <v>42</v>
      </c>
      <c r="D3902" t="s">
        <v>18214</v>
      </c>
      <c r="E3902" t="e" cm="1">
        <f t="array" ref="E3902">- POVIDONE-IODINE</f>
        <v>#NAME?</v>
      </c>
      <c r="F3902" t="s">
        <v>18215</v>
      </c>
      <c r="I3902" t="s">
        <v>18216</v>
      </c>
      <c r="J3902" t="s">
        <v>18191</v>
      </c>
      <c r="M3902" t="s">
        <v>554</v>
      </c>
      <c r="N3902" t="s">
        <v>555</v>
      </c>
      <c r="O3902" t="s">
        <v>18217</v>
      </c>
      <c r="P3902" t="s">
        <v>18218</v>
      </c>
      <c r="Q3902" t="s">
        <v>18219</v>
      </c>
      <c r="R3902">
        <v>12</v>
      </c>
      <c r="S3902">
        <v>16</v>
      </c>
    </row>
    <row r="3903" spans="1:19" x14ac:dyDescent="0.35">
      <c r="A3903">
        <v>8351</v>
      </c>
      <c r="B3903" t="s">
        <v>551</v>
      </c>
      <c r="C3903" t="s">
        <v>42</v>
      </c>
      <c r="D3903" t="s">
        <v>17955</v>
      </c>
      <c r="E3903" t="e" cm="1">
        <f t="array" ref="E3903">- POVIDONE-IODINE</f>
        <v>#NAME?</v>
      </c>
      <c r="F3903" t="s">
        <v>17956</v>
      </c>
      <c r="I3903" t="s">
        <v>17957</v>
      </c>
      <c r="J3903" t="s">
        <v>17958</v>
      </c>
      <c r="L3903" t="s">
        <v>17959</v>
      </c>
      <c r="M3903" t="s">
        <v>554</v>
      </c>
      <c r="N3903" t="s">
        <v>555</v>
      </c>
      <c r="O3903" t="s">
        <v>17960</v>
      </c>
      <c r="P3903" t="s">
        <v>17961</v>
      </c>
      <c r="Q3903" t="s">
        <v>17962</v>
      </c>
      <c r="R3903">
        <v>12</v>
      </c>
      <c r="S3903">
        <v>16</v>
      </c>
    </row>
    <row r="3904" spans="1:19" x14ac:dyDescent="0.35">
      <c r="A3904">
        <v>8767</v>
      </c>
      <c r="B3904" t="s">
        <v>2388</v>
      </c>
      <c r="C3904" t="s">
        <v>42</v>
      </c>
      <c r="D3904" t="s">
        <v>18220</v>
      </c>
      <c r="E3904" t="e" cm="1">
        <f t="array" ref="E3904">- PIOGLITAZONE HYDROCHLORIDE</f>
        <v>#NAME?</v>
      </c>
      <c r="F3904" t="s">
        <v>18221</v>
      </c>
      <c r="G3904" t="s">
        <v>18222</v>
      </c>
      <c r="H3904" t="s">
        <v>18223</v>
      </c>
      <c r="I3904" t="s">
        <v>18224</v>
      </c>
      <c r="J3904" t="s">
        <v>18225</v>
      </c>
      <c r="L3904" t="s">
        <v>18226</v>
      </c>
      <c r="M3904" t="s">
        <v>46</v>
      </c>
      <c r="N3904" t="s">
        <v>2389</v>
      </c>
      <c r="O3904" t="s">
        <v>18227</v>
      </c>
      <c r="P3904" t="s">
        <v>18228</v>
      </c>
      <c r="Q3904" t="s">
        <v>18229</v>
      </c>
      <c r="R3904">
        <v>12</v>
      </c>
      <c r="S3904">
        <v>16</v>
      </c>
    </row>
    <row r="3905" spans="1:19" x14ac:dyDescent="0.35">
      <c r="A3905">
        <v>1067</v>
      </c>
      <c r="B3905" t="s">
        <v>18230</v>
      </c>
      <c r="C3905" t="s">
        <v>42</v>
      </c>
      <c r="D3905" t="s">
        <v>18231</v>
      </c>
      <c r="E3905" t="e" cm="1">
        <f t="array" ref="E3905">- GUAIFENESIN. BROMHEXINE HYDROCHLORIDE</f>
        <v>#NAME?</v>
      </c>
      <c r="F3905" s="1">
        <v>4100</v>
      </c>
      <c r="G3905" t="s">
        <v>6135</v>
      </c>
      <c r="H3905" t="s">
        <v>18232</v>
      </c>
      <c r="I3905" t="s">
        <v>18233</v>
      </c>
      <c r="J3905" t="s">
        <v>18234</v>
      </c>
      <c r="M3905" t="s">
        <v>46</v>
      </c>
      <c r="N3905" t="s">
        <v>4908</v>
      </c>
      <c r="O3905" t="s">
        <v>18235</v>
      </c>
      <c r="P3905" t="s">
        <v>3556</v>
      </c>
      <c r="Q3905" t="s">
        <v>18236</v>
      </c>
      <c r="R3905">
        <v>12</v>
      </c>
      <c r="S3905">
        <v>16</v>
      </c>
    </row>
    <row r="3906" spans="1:19" x14ac:dyDescent="0.35">
      <c r="A3906">
        <v>5133</v>
      </c>
      <c r="B3906" t="s">
        <v>18237</v>
      </c>
      <c r="C3906" t="s">
        <v>42</v>
      </c>
      <c r="D3906" t="s">
        <v>18238</v>
      </c>
      <c r="E3906" t="e" cm="1">
        <f t="array" ref="E3906">- BETAMETHASONE DIPROPIONATE</f>
        <v>#NAME?</v>
      </c>
      <c r="F3906" t="s">
        <v>18239</v>
      </c>
      <c r="G3906" t="s">
        <v>7120</v>
      </c>
      <c r="H3906" t="s">
        <v>18240</v>
      </c>
      <c r="I3906" t="s">
        <v>18241</v>
      </c>
      <c r="J3906" t="s">
        <v>7114</v>
      </c>
      <c r="K3906" t="s">
        <v>18242</v>
      </c>
      <c r="L3906" t="s">
        <v>18243</v>
      </c>
      <c r="M3906" t="s">
        <v>1289</v>
      </c>
      <c r="N3906" t="s">
        <v>2685</v>
      </c>
      <c r="O3906" t="s">
        <v>18244</v>
      </c>
      <c r="P3906" t="s">
        <v>18245</v>
      </c>
      <c r="Q3906" t="s">
        <v>18246</v>
      </c>
      <c r="R3906">
        <v>12</v>
      </c>
      <c r="S3906">
        <v>16</v>
      </c>
    </row>
    <row r="3907" spans="1:19" x14ac:dyDescent="0.35">
      <c r="A3907">
        <v>1066</v>
      </c>
      <c r="B3907" t="s">
        <v>18247</v>
      </c>
      <c r="C3907" t="s">
        <v>42</v>
      </c>
      <c r="D3907" t="s">
        <v>18248</v>
      </c>
      <c r="E3907" t="e" cm="1">
        <f t="array" ref="E3907">- BROMHEXINE HYDROCHLORIDE</f>
        <v>#NAME?</v>
      </c>
      <c r="F3907" s="1">
        <v>3900</v>
      </c>
      <c r="H3907" t="s">
        <v>18249</v>
      </c>
      <c r="I3907" t="s">
        <v>18250</v>
      </c>
      <c r="J3907" t="s">
        <v>18251</v>
      </c>
      <c r="K3907" t="s">
        <v>18252</v>
      </c>
      <c r="L3907" t="s">
        <v>18253</v>
      </c>
      <c r="M3907" t="s">
        <v>46</v>
      </c>
      <c r="N3907" t="s">
        <v>1342</v>
      </c>
      <c r="O3907" t="s">
        <v>18254</v>
      </c>
      <c r="P3907" t="s">
        <v>18255</v>
      </c>
      <c r="Q3907" t="s">
        <v>18256</v>
      </c>
      <c r="R3907">
        <v>12</v>
      </c>
      <c r="S3907">
        <v>16</v>
      </c>
    </row>
    <row r="3908" spans="1:19" x14ac:dyDescent="0.35">
      <c r="A3908">
        <v>560</v>
      </c>
      <c r="B3908" t="s">
        <v>18257</v>
      </c>
      <c r="C3908" t="s">
        <v>42</v>
      </c>
      <c r="D3908" t="s">
        <v>18258</v>
      </c>
      <c r="E3908" t="e" cm="1">
        <f t="array" ref="E3908">- TERBUTALINE SULFATE</f>
        <v>#NAME?</v>
      </c>
      <c r="F3908" t="s">
        <v>18259</v>
      </c>
      <c r="G3908" t="s">
        <v>18260</v>
      </c>
      <c r="H3908" t="s">
        <v>18261</v>
      </c>
      <c r="I3908" t="s">
        <v>18262</v>
      </c>
      <c r="J3908" t="s">
        <v>18263</v>
      </c>
      <c r="K3908" t="s">
        <v>18264</v>
      </c>
      <c r="L3908" t="s">
        <v>1875</v>
      </c>
      <c r="M3908" t="s">
        <v>46</v>
      </c>
      <c r="N3908" t="s">
        <v>4594</v>
      </c>
      <c r="O3908" t="s">
        <v>18265</v>
      </c>
      <c r="P3908" t="s">
        <v>18266</v>
      </c>
      <c r="Q3908" t="s">
        <v>18267</v>
      </c>
      <c r="R3908">
        <v>12</v>
      </c>
      <c r="S3908">
        <v>16</v>
      </c>
    </row>
    <row r="3909" spans="1:19" x14ac:dyDescent="0.35">
      <c r="A3909">
        <v>3383</v>
      </c>
      <c r="B3909" t="s">
        <v>13912</v>
      </c>
      <c r="C3909" t="s">
        <v>42</v>
      </c>
      <c r="D3909" t="s">
        <v>18268</v>
      </c>
      <c r="E3909" t="e" cm="1">
        <f t="array" ref="E3909">- SUCRALFATE</f>
        <v>#NAME?</v>
      </c>
      <c r="F3909" t="s">
        <v>18269</v>
      </c>
      <c r="H3909" t="s">
        <v>8791</v>
      </c>
      <c r="I3909" t="s">
        <v>18016</v>
      </c>
      <c r="J3909" t="s">
        <v>2083</v>
      </c>
      <c r="L3909" t="s">
        <v>321</v>
      </c>
      <c r="M3909" t="s">
        <v>340</v>
      </c>
      <c r="N3909" t="s">
        <v>375</v>
      </c>
      <c r="O3909" t="s">
        <v>18018</v>
      </c>
      <c r="P3909" t="s">
        <v>13920</v>
      </c>
      <c r="Q3909" t="s">
        <v>18270</v>
      </c>
      <c r="R3909">
        <v>12</v>
      </c>
      <c r="S3909">
        <v>16</v>
      </c>
    </row>
    <row r="3910" spans="1:19" x14ac:dyDescent="0.35">
      <c r="A3910">
        <v>3382</v>
      </c>
      <c r="B3910" t="s">
        <v>13912</v>
      </c>
      <c r="C3910" t="s">
        <v>42</v>
      </c>
      <c r="D3910" t="s">
        <v>18268</v>
      </c>
      <c r="E3910" t="e" cm="1">
        <f t="array" ref="E3910">- SUCRALFATE</f>
        <v>#NAME?</v>
      </c>
      <c r="F3910" t="s">
        <v>18269</v>
      </c>
      <c r="H3910" t="s">
        <v>8791</v>
      </c>
      <c r="I3910" t="s">
        <v>18016</v>
      </c>
      <c r="J3910" t="s">
        <v>2083</v>
      </c>
      <c r="L3910" t="s">
        <v>321</v>
      </c>
      <c r="M3910" t="s">
        <v>340</v>
      </c>
      <c r="N3910" t="s">
        <v>375</v>
      </c>
      <c r="O3910" t="s">
        <v>18018</v>
      </c>
      <c r="P3910" t="s">
        <v>13920</v>
      </c>
      <c r="Q3910" t="s">
        <v>18270</v>
      </c>
      <c r="R3910">
        <v>12</v>
      </c>
      <c r="S3910">
        <v>16</v>
      </c>
    </row>
    <row r="3911" spans="1:19" x14ac:dyDescent="0.35">
      <c r="A3911">
        <v>1378</v>
      </c>
      <c r="B3911" t="s">
        <v>2074</v>
      </c>
      <c r="C3911" t="s">
        <v>42</v>
      </c>
      <c r="D3911" t="s">
        <v>16625</v>
      </c>
      <c r="E3911" t="e" cm="1">
        <f t="array" ref="E3911">- GUAIFENESIN</f>
        <v>#NAME?</v>
      </c>
      <c r="F3911" t="s">
        <v>16626</v>
      </c>
      <c r="G3911" t="s">
        <v>16627</v>
      </c>
      <c r="H3911" t="s">
        <v>16628</v>
      </c>
      <c r="I3911" t="s">
        <v>16629</v>
      </c>
      <c r="J3911" t="s">
        <v>13510</v>
      </c>
      <c r="L3911" t="s">
        <v>16630</v>
      </c>
      <c r="M3911" t="s">
        <v>46</v>
      </c>
      <c r="N3911" t="s">
        <v>361</v>
      </c>
      <c r="O3911" t="s">
        <v>16631</v>
      </c>
      <c r="P3911" t="s">
        <v>16632</v>
      </c>
      <c r="Q3911" t="s">
        <v>18271</v>
      </c>
      <c r="R3911">
        <v>12</v>
      </c>
      <c r="S3911">
        <v>16</v>
      </c>
    </row>
    <row r="3912" spans="1:19" x14ac:dyDescent="0.35">
      <c r="A3912">
        <v>7537</v>
      </c>
      <c r="B3912" t="s">
        <v>5929</v>
      </c>
      <c r="C3912" t="s">
        <v>42</v>
      </c>
      <c r="D3912" t="s">
        <v>5930</v>
      </c>
      <c r="E3912" t="e" cm="1">
        <f t="array" ref="E3912">- TRIBASIC CALCIUM PHOSPHATE. CYANOCOBALAMIN. PLACENTA Extract</f>
        <v>#NAME?</v>
      </c>
      <c r="F3912" t="s">
        <v>5931</v>
      </c>
      <c r="G3912" t="s">
        <v>60</v>
      </c>
      <c r="H3912" t="s">
        <v>5932</v>
      </c>
      <c r="I3912" t="s">
        <v>5933</v>
      </c>
      <c r="J3912" t="s">
        <v>5934</v>
      </c>
      <c r="K3912" t="s">
        <v>5935</v>
      </c>
      <c r="L3912" t="s">
        <v>321</v>
      </c>
      <c r="M3912" t="s">
        <v>46</v>
      </c>
      <c r="N3912" t="s">
        <v>18272</v>
      </c>
      <c r="O3912" t="s">
        <v>5936</v>
      </c>
      <c r="P3912" t="s">
        <v>5937</v>
      </c>
      <c r="Q3912" t="s">
        <v>18273</v>
      </c>
      <c r="R3912">
        <v>12</v>
      </c>
      <c r="S3912">
        <v>16</v>
      </c>
    </row>
    <row r="3913" spans="1:19" x14ac:dyDescent="0.35">
      <c r="A3913">
        <v>3158</v>
      </c>
      <c r="B3913" t="s">
        <v>15931</v>
      </c>
      <c r="C3913" t="s">
        <v>42</v>
      </c>
      <c r="D3913" t="s">
        <v>15932</v>
      </c>
      <c r="E3913" t="e" cm="1">
        <f t="array" ref="E3913">- DRIED ALUMINIUM HYDROXIDE GEL</f>
        <v>#NAME?</v>
      </c>
      <c r="F3913" t="s">
        <v>15933</v>
      </c>
      <c r="G3913" t="s">
        <v>737</v>
      </c>
      <c r="H3913" t="s">
        <v>15934</v>
      </c>
      <c r="I3913" t="s">
        <v>15935</v>
      </c>
      <c r="J3913" t="s">
        <v>15936</v>
      </c>
      <c r="K3913" t="s">
        <v>15937</v>
      </c>
      <c r="L3913" t="s">
        <v>15938</v>
      </c>
      <c r="M3913" t="s">
        <v>46</v>
      </c>
      <c r="N3913" t="s">
        <v>4172</v>
      </c>
      <c r="O3913" t="s">
        <v>15940</v>
      </c>
      <c r="P3913" t="s">
        <v>11907</v>
      </c>
      <c r="Q3913" t="s">
        <v>18274</v>
      </c>
      <c r="R3913">
        <v>12</v>
      </c>
      <c r="S3913">
        <v>16</v>
      </c>
    </row>
    <row r="3914" spans="1:19" x14ac:dyDescent="0.35">
      <c r="A3914">
        <v>8550</v>
      </c>
      <c r="B3914" t="s">
        <v>18275</v>
      </c>
      <c r="C3914" t="s">
        <v>42</v>
      </c>
      <c r="D3914" t="s">
        <v>18276</v>
      </c>
      <c r="E3914" t="e" cm="1">
        <f t="array" ref="E3914">- ACARBOSE</f>
        <v>#NAME?</v>
      </c>
      <c r="F3914" t="s">
        <v>18277</v>
      </c>
      <c r="G3914" t="s">
        <v>12037</v>
      </c>
      <c r="H3914" t="s">
        <v>12038</v>
      </c>
      <c r="I3914" t="s">
        <v>18278</v>
      </c>
      <c r="J3914" t="s">
        <v>381</v>
      </c>
      <c r="K3914" t="s">
        <v>18279</v>
      </c>
      <c r="L3914" t="s">
        <v>18280</v>
      </c>
      <c r="M3914" t="s">
        <v>46</v>
      </c>
      <c r="N3914" t="s">
        <v>970</v>
      </c>
      <c r="O3914" t="s">
        <v>18281</v>
      </c>
      <c r="P3914" t="s">
        <v>970</v>
      </c>
      <c r="Q3914" t="s">
        <v>18282</v>
      </c>
      <c r="R3914">
        <v>12</v>
      </c>
      <c r="S3914">
        <v>16</v>
      </c>
    </row>
    <row r="3915" spans="1:19" x14ac:dyDescent="0.35">
      <c r="A3915">
        <v>3381</v>
      </c>
      <c r="B3915" t="s">
        <v>13912</v>
      </c>
      <c r="C3915" t="s">
        <v>42</v>
      </c>
      <c r="D3915" t="s">
        <v>18268</v>
      </c>
      <c r="E3915" t="e" cm="1">
        <f t="array" ref="E3915">- SUCRALFATE</f>
        <v>#NAME?</v>
      </c>
      <c r="F3915" t="s">
        <v>18269</v>
      </c>
      <c r="H3915" t="s">
        <v>8791</v>
      </c>
      <c r="I3915" t="s">
        <v>18016</v>
      </c>
      <c r="J3915" t="s">
        <v>2083</v>
      </c>
      <c r="L3915" t="s">
        <v>321</v>
      </c>
      <c r="M3915" t="s">
        <v>340</v>
      </c>
      <c r="N3915" t="s">
        <v>375</v>
      </c>
      <c r="O3915" t="s">
        <v>18018</v>
      </c>
      <c r="P3915" t="s">
        <v>13920</v>
      </c>
      <c r="Q3915" t="s">
        <v>18270</v>
      </c>
      <c r="R3915">
        <v>12</v>
      </c>
      <c r="S3915">
        <v>16</v>
      </c>
    </row>
    <row r="3916" spans="1:19" x14ac:dyDescent="0.35">
      <c r="A3916">
        <v>8549</v>
      </c>
      <c r="B3916" t="s">
        <v>18275</v>
      </c>
      <c r="C3916" t="s">
        <v>42</v>
      </c>
      <c r="D3916" t="s">
        <v>18276</v>
      </c>
      <c r="E3916" t="e" cm="1">
        <f t="array" ref="E3916">- ACARBOSE</f>
        <v>#NAME?</v>
      </c>
      <c r="F3916" t="s">
        <v>18277</v>
      </c>
      <c r="G3916" t="s">
        <v>12037</v>
      </c>
      <c r="H3916" t="s">
        <v>12038</v>
      </c>
      <c r="I3916" t="s">
        <v>18278</v>
      </c>
      <c r="J3916" t="s">
        <v>381</v>
      </c>
      <c r="K3916" t="s">
        <v>18279</v>
      </c>
      <c r="L3916" t="s">
        <v>18280</v>
      </c>
      <c r="M3916" t="s">
        <v>46</v>
      </c>
      <c r="N3916" t="s">
        <v>970</v>
      </c>
      <c r="O3916" t="s">
        <v>18281</v>
      </c>
      <c r="P3916" t="s">
        <v>970</v>
      </c>
      <c r="Q3916" t="s">
        <v>18282</v>
      </c>
      <c r="R3916">
        <v>12</v>
      </c>
      <c r="S3916">
        <v>16</v>
      </c>
    </row>
    <row r="3917" spans="1:19" x14ac:dyDescent="0.35">
      <c r="A3917">
        <v>8548</v>
      </c>
      <c r="B3917" t="s">
        <v>18283</v>
      </c>
      <c r="C3917" t="s">
        <v>42</v>
      </c>
      <c r="D3917" t="s">
        <v>18284</v>
      </c>
      <c r="E3917" t="e" cm="1">
        <f t="array" ref="E3917">- DAPAGLIFLOZIN PROPENADIOL</f>
        <v>#NAME?</v>
      </c>
      <c r="F3917" t="s">
        <v>18285</v>
      </c>
      <c r="G3917" t="s">
        <v>18286</v>
      </c>
      <c r="H3917" t="s">
        <v>18287</v>
      </c>
      <c r="I3917" t="s">
        <v>18288</v>
      </c>
      <c r="J3917" t="s">
        <v>18289</v>
      </c>
      <c r="K3917" t="s">
        <v>18290</v>
      </c>
      <c r="L3917" t="s">
        <v>18291</v>
      </c>
      <c r="M3917" t="s">
        <v>46</v>
      </c>
      <c r="N3917" t="s">
        <v>3146</v>
      </c>
      <c r="O3917" t="s">
        <v>18292</v>
      </c>
      <c r="P3917" t="s">
        <v>3147</v>
      </c>
      <c r="Q3917" t="s">
        <v>18293</v>
      </c>
      <c r="R3917">
        <v>12</v>
      </c>
      <c r="S3917">
        <v>16</v>
      </c>
    </row>
    <row r="3918" spans="1:19" x14ac:dyDescent="0.35">
      <c r="A3918">
        <v>2822</v>
      </c>
      <c r="B3918" t="s">
        <v>17909</v>
      </c>
      <c r="C3918" t="s">
        <v>42</v>
      </c>
      <c r="D3918" t="s">
        <v>17910</v>
      </c>
      <c r="E3918" t="e" cm="1">
        <f t="array" ref="E3918">- PARACETAMOL</f>
        <v>#NAME?</v>
      </c>
      <c r="F3918" t="s">
        <v>17911</v>
      </c>
      <c r="G3918" t="s">
        <v>7219</v>
      </c>
      <c r="H3918" t="s">
        <v>17912</v>
      </c>
      <c r="I3918" t="s">
        <v>15138</v>
      </c>
      <c r="J3918" t="s">
        <v>630</v>
      </c>
      <c r="K3918" t="s">
        <v>15139</v>
      </c>
      <c r="L3918" t="s">
        <v>15140</v>
      </c>
      <c r="M3918" t="s">
        <v>340</v>
      </c>
      <c r="N3918" t="s">
        <v>584</v>
      </c>
      <c r="O3918" t="s">
        <v>15141</v>
      </c>
      <c r="P3918" t="s">
        <v>17913</v>
      </c>
      <c r="Q3918" t="s">
        <v>17914</v>
      </c>
      <c r="R3918">
        <v>12</v>
      </c>
      <c r="S3918">
        <v>16</v>
      </c>
    </row>
    <row r="3919" spans="1:19" x14ac:dyDescent="0.35">
      <c r="A3919">
        <v>8404</v>
      </c>
      <c r="B3919" t="s">
        <v>551</v>
      </c>
      <c r="C3919" t="s">
        <v>42</v>
      </c>
      <c r="D3919" t="s">
        <v>18214</v>
      </c>
      <c r="E3919" t="e" cm="1">
        <f t="array" ref="E3919">- POVIDONE-IODINE</f>
        <v>#NAME?</v>
      </c>
      <c r="F3919" t="s">
        <v>18215</v>
      </c>
      <c r="I3919" t="s">
        <v>18216</v>
      </c>
      <c r="J3919" t="s">
        <v>18191</v>
      </c>
      <c r="M3919" t="s">
        <v>554</v>
      </c>
      <c r="N3919" t="s">
        <v>555</v>
      </c>
      <c r="O3919" t="s">
        <v>18217</v>
      </c>
      <c r="P3919" t="s">
        <v>18218</v>
      </c>
      <c r="Q3919" t="s">
        <v>18219</v>
      </c>
      <c r="R3919">
        <v>12</v>
      </c>
      <c r="S3919">
        <v>16</v>
      </c>
    </row>
    <row r="3920" spans="1:19" x14ac:dyDescent="0.35">
      <c r="A3920">
        <v>8528</v>
      </c>
      <c r="B3920" t="s">
        <v>18294</v>
      </c>
      <c r="C3920" t="s">
        <v>20</v>
      </c>
      <c r="D3920" t="s">
        <v>18295</v>
      </c>
      <c r="E3920" t="s">
        <v>18296</v>
      </c>
      <c r="F3920" t="s">
        <v>18297</v>
      </c>
      <c r="G3920" t="s">
        <v>18298</v>
      </c>
      <c r="H3920" t="s">
        <v>18299</v>
      </c>
      <c r="I3920" t="s">
        <v>18300</v>
      </c>
      <c r="J3920" t="s">
        <v>829</v>
      </c>
      <c r="L3920" t="s">
        <v>18301</v>
      </c>
      <c r="N3920" t="s">
        <v>18302</v>
      </c>
      <c r="O3920" t="s">
        <v>18303</v>
      </c>
      <c r="P3920" t="s">
        <v>18302</v>
      </c>
      <c r="Q3920" t="s">
        <v>18304</v>
      </c>
      <c r="R3920">
        <v>12</v>
      </c>
      <c r="S3920">
        <v>16</v>
      </c>
    </row>
    <row r="3921" spans="1:19" x14ac:dyDescent="0.35">
      <c r="A3921">
        <v>209</v>
      </c>
      <c r="B3921" t="s">
        <v>2902</v>
      </c>
      <c r="C3921" t="s">
        <v>42</v>
      </c>
      <c r="D3921" t="s">
        <v>17075</v>
      </c>
      <c r="E3921" t="e" cm="1">
        <f t="array" ref="E3921">- SILDENAFIL CITRATE</f>
        <v>#NAME?</v>
      </c>
      <c r="F3921" t="s">
        <v>17076</v>
      </c>
      <c r="G3921" t="s">
        <v>12009</v>
      </c>
      <c r="H3921" t="s">
        <v>1322</v>
      </c>
      <c r="I3921" t="s">
        <v>17077</v>
      </c>
      <c r="J3921" t="s">
        <v>8106</v>
      </c>
      <c r="M3921" t="s">
        <v>46</v>
      </c>
      <c r="N3921" t="s">
        <v>2519</v>
      </c>
      <c r="O3921" t="s">
        <v>17078</v>
      </c>
      <c r="P3921" t="s">
        <v>12013</v>
      </c>
      <c r="Q3921" t="s">
        <v>18305</v>
      </c>
      <c r="R3921">
        <v>12</v>
      </c>
      <c r="S3921">
        <v>16</v>
      </c>
    </row>
    <row r="3922" spans="1:19" x14ac:dyDescent="0.35">
      <c r="A3922">
        <v>2999</v>
      </c>
      <c r="B3922" t="s">
        <v>18306</v>
      </c>
      <c r="C3922" t="s">
        <v>42</v>
      </c>
      <c r="D3922" t="s">
        <v>18307</v>
      </c>
      <c r="E3922" t="e" cm="1">
        <f t="array" ref="E3922">- PARACETAMOL</f>
        <v>#NAME?</v>
      </c>
      <c r="F3922" t="s">
        <v>18308</v>
      </c>
      <c r="G3922" t="s">
        <v>7219</v>
      </c>
      <c r="H3922" t="s">
        <v>18309</v>
      </c>
      <c r="I3922" t="s">
        <v>15475</v>
      </c>
      <c r="J3922" t="s">
        <v>846</v>
      </c>
      <c r="K3922" t="s">
        <v>15139</v>
      </c>
      <c r="L3922" t="s">
        <v>15140</v>
      </c>
      <c r="M3922" t="s">
        <v>340</v>
      </c>
      <c r="N3922" t="s">
        <v>584</v>
      </c>
      <c r="O3922" t="s">
        <v>15476</v>
      </c>
      <c r="P3922" t="s">
        <v>18310</v>
      </c>
      <c r="Q3922" t="s">
        <v>18311</v>
      </c>
      <c r="R3922">
        <v>12</v>
      </c>
      <c r="S3922">
        <v>16</v>
      </c>
    </row>
    <row r="3923" spans="1:19" x14ac:dyDescent="0.35">
      <c r="A3923">
        <v>8845</v>
      </c>
      <c r="B3923" t="s">
        <v>18312</v>
      </c>
      <c r="C3923" t="s">
        <v>42</v>
      </c>
      <c r="D3923" t="s">
        <v>18313</v>
      </c>
      <c r="E3923" t="e" cm="1">
        <f t="array" ref="E3923">- DAPAGLIFLOZIN PROPENADIOL</f>
        <v>#NAME?</v>
      </c>
      <c r="F3923" t="s">
        <v>18314</v>
      </c>
      <c r="G3923" t="s">
        <v>18286</v>
      </c>
      <c r="H3923" t="s">
        <v>18287</v>
      </c>
      <c r="I3923" t="s">
        <v>18288</v>
      </c>
      <c r="J3923" t="s">
        <v>18289</v>
      </c>
      <c r="K3923" t="s">
        <v>18315</v>
      </c>
      <c r="L3923" t="s">
        <v>18316</v>
      </c>
      <c r="M3923" t="s">
        <v>46</v>
      </c>
      <c r="N3923" t="s">
        <v>3146</v>
      </c>
      <c r="O3923" t="s">
        <v>18292</v>
      </c>
      <c r="P3923" t="s">
        <v>3147</v>
      </c>
      <c r="Q3923" t="s">
        <v>18293</v>
      </c>
      <c r="R3923">
        <v>12</v>
      </c>
      <c r="S3923">
        <v>16</v>
      </c>
    </row>
    <row r="3924" spans="1:19" x14ac:dyDescent="0.35">
      <c r="A3924">
        <v>3250</v>
      </c>
      <c r="B3924" t="s">
        <v>18317</v>
      </c>
      <c r="C3924" t="s">
        <v>42</v>
      </c>
      <c r="D3924" t="s">
        <v>18318</v>
      </c>
      <c r="E3924" t="e" cm="1">
        <f t="array" ref="E3924">- SUCRALFATE</f>
        <v>#NAME?</v>
      </c>
      <c r="F3924" s="1">
        <v>58900</v>
      </c>
      <c r="G3924" t="s">
        <v>8790</v>
      </c>
      <c r="H3924" t="s">
        <v>8791</v>
      </c>
      <c r="I3924" t="s">
        <v>18016</v>
      </c>
      <c r="J3924" t="s">
        <v>374</v>
      </c>
      <c r="K3924" t="s">
        <v>8793</v>
      </c>
      <c r="L3924" t="s">
        <v>18017</v>
      </c>
      <c r="M3924" t="s">
        <v>340</v>
      </c>
      <c r="N3924" t="s">
        <v>375</v>
      </c>
      <c r="O3924" t="s">
        <v>18018</v>
      </c>
      <c r="P3924" t="s">
        <v>18319</v>
      </c>
      <c r="Q3924" t="s">
        <v>18320</v>
      </c>
      <c r="R3924">
        <v>12</v>
      </c>
      <c r="S3924">
        <v>16</v>
      </c>
    </row>
    <row r="3925" spans="1:19" x14ac:dyDescent="0.35">
      <c r="A3925">
        <v>2978</v>
      </c>
      <c r="B3925" t="s">
        <v>18321</v>
      </c>
      <c r="C3925" t="s">
        <v>42</v>
      </c>
      <c r="D3925" t="s">
        <v>18322</v>
      </c>
      <c r="E3925" t="e" cm="1">
        <f t="array" ref="E3925">- PARACETAMOL</f>
        <v>#NAME?</v>
      </c>
      <c r="F3925" s="1">
        <v>15500</v>
      </c>
      <c r="G3925" t="s">
        <v>60</v>
      </c>
      <c r="H3925" t="s">
        <v>18323</v>
      </c>
      <c r="I3925" t="s">
        <v>18324</v>
      </c>
      <c r="J3925" t="s">
        <v>334</v>
      </c>
      <c r="K3925" t="s">
        <v>16924</v>
      </c>
      <c r="L3925" t="s">
        <v>18325</v>
      </c>
      <c r="M3925" t="s">
        <v>271</v>
      </c>
      <c r="N3925" t="s">
        <v>584</v>
      </c>
      <c r="O3925" t="s">
        <v>18326</v>
      </c>
      <c r="P3925" t="s">
        <v>892</v>
      </c>
      <c r="Q3925" t="s">
        <v>18327</v>
      </c>
      <c r="R3925">
        <v>12</v>
      </c>
      <c r="S3925">
        <v>16</v>
      </c>
    </row>
    <row r="3926" spans="1:19" x14ac:dyDescent="0.35">
      <c r="A3926">
        <v>171</v>
      </c>
      <c r="B3926" t="s">
        <v>2902</v>
      </c>
      <c r="C3926" t="s">
        <v>42</v>
      </c>
      <c r="D3926" t="s">
        <v>16986</v>
      </c>
      <c r="E3926" t="e" cm="1">
        <f t="array" ref="E3926">- SILDENAFIL CITRATE</f>
        <v>#NAME?</v>
      </c>
      <c r="F3926" t="s">
        <v>16987</v>
      </c>
      <c r="H3926" t="s">
        <v>1322</v>
      </c>
      <c r="I3926" t="s">
        <v>16959</v>
      </c>
      <c r="J3926" t="s">
        <v>16988</v>
      </c>
      <c r="L3926" t="s">
        <v>16989</v>
      </c>
      <c r="M3926" t="s">
        <v>46</v>
      </c>
      <c r="N3926" t="s">
        <v>2519</v>
      </c>
      <c r="O3926" t="s">
        <v>16960</v>
      </c>
      <c r="P3926" t="s">
        <v>16990</v>
      </c>
      <c r="Q3926" t="s">
        <v>18328</v>
      </c>
      <c r="R3926">
        <v>12</v>
      </c>
      <c r="S3926">
        <v>16</v>
      </c>
    </row>
    <row r="3927" spans="1:19" x14ac:dyDescent="0.35">
      <c r="A3927">
        <v>4806</v>
      </c>
      <c r="B3927" t="s">
        <v>18329</v>
      </c>
      <c r="C3927" t="s">
        <v>42</v>
      </c>
      <c r="D3927" t="s">
        <v>18330</v>
      </c>
      <c r="E3927" t="e" cm="1">
        <f t="array" ref="E3927">- CYCLOPENTOLATE HYDROCHLORIDE</f>
        <v>#NAME?</v>
      </c>
      <c r="F3927" t="s">
        <v>18331</v>
      </c>
      <c r="G3927" t="s">
        <v>7569</v>
      </c>
      <c r="H3927" t="s">
        <v>18332</v>
      </c>
      <c r="I3927" t="s">
        <v>18333</v>
      </c>
      <c r="J3927" t="s">
        <v>18334</v>
      </c>
      <c r="K3927" t="s">
        <v>18335</v>
      </c>
      <c r="L3927" t="s">
        <v>18336</v>
      </c>
      <c r="M3927" t="s">
        <v>824</v>
      </c>
      <c r="N3927" t="s">
        <v>18337</v>
      </c>
      <c r="O3927" t="s">
        <v>18338</v>
      </c>
      <c r="P3927" t="s">
        <v>18339</v>
      </c>
      <c r="Q3927" t="s">
        <v>18340</v>
      </c>
      <c r="R3927">
        <v>12</v>
      </c>
      <c r="S3927">
        <v>16</v>
      </c>
    </row>
    <row r="3928" spans="1:19" x14ac:dyDescent="0.35">
      <c r="A3928">
        <v>4764</v>
      </c>
      <c r="B3928" t="s">
        <v>18341</v>
      </c>
      <c r="C3928" t="s">
        <v>42</v>
      </c>
      <c r="D3928" t="s">
        <v>18342</v>
      </c>
      <c r="E3928" t="e" cm="1">
        <f t="array" ref="E3928">- LEVOFLOXACIN HEMIHYDRATE</f>
        <v>#NAME?</v>
      </c>
      <c r="F3928" t="s">
        <v>18343</v>
      </c>
      <c r="G3928" t="s">
        <v>18344</v>
      </c>
      <c r="H3928" t="s">
        <v>18345</v>
      </c>
      <c r="I3928" t="s">
        <v>18346</v>
      </c>
      <c r="J3928" t="s">
        <v>9310</v>
      </c>
      <c r="K3928" t="s">
        <v>11485</v>
      </c>
      <c r="L3928" t="s">
        <v>18347</v>
      </c>
      <c r="M3928" t="s">
        <v>824</v>
      </c>
      <c r="N3928" t="s">
        <v>1784</v>
      </c>
      <c r="O3928" t="s">
        <v>18348</v>
      </c>
      <c r="P3928" t="s">
        <v>18349</v>
      </c>
      <c r="Q3928" t="s">
        <v>18350</v>
      </c>
      <c r="R3928">
        <v>12</v>
      </c>
      <c r="S3928">
        <v>16</v>
      </c>
    </row>
    <row r="3929" spans="1:19" x14ac:dyDescent="0.35">
      <c r="A3929">
        <v>4805</v>
      </c>
      <c r="B3929" t="s">
        <v>18329</v>
      </c>
      <c r="C3929" t="s">
        <v>42</v>
      </c>
      <c r="D3929" t="s">
        <v>18330</v>
      </c>
      <c r="E3929" t="e" cm="1">
        <f t="array" ref="E3929">- CYCLOPENTOLATE  HYDROCHLORIDE</f>
        <v>#NAME?</v>
      </c>
      <c r="F3929" t="s">
        <v>18331</v>
      </c>
      <c r="G3929" t="s">
        <v>7569</v>
      </c>
      <c r="H3929" t="s">
        <v>18332</v>
      </c>
      <c r="I3929" t="s">
        <v>18333</v>
      </c>
      <c r="J3929" t="s">
        <v>18334</v>
      </c>
      <c r="K3929" t="s">
        <v>18335</v>
      </c>
      <c r="L3929" t="s">
        <v>18336</v>
      </c>
      <c r="M3929" t="s">
        <v>824</v>
      </c>
      <c r="N3929" t="s">
        <v>18351</v>
      </c>
      <c r="O3929" t="s">
        <v>18338</v>
      </c>
      <c r="P3929" t="s">
        <v>18339</v>
      </c>
      <c r="Q3929" t="s">
        <v>18352</v>
      </c>
      <c r="R3929">
        <v>12</v>
      </c>
      <c r="S3929">
        <v>16</v>
      </c>
    </row>
    <row r="3930" spans="1:19" x14ac:dyDescent="0.35">
      <c r="A3930">
        <v>7425</v>
      </c>
      <c r="B3930" t="s">
        <v>18353</v>
      </c>
      <c r="C3930" t="s">
        <v>42</v>
      </c>
      <c r="D3930" t="s">
        <v>18354</v>
      </c>
      <c r="E3930" t="e" cm="1">
        <f t="array" ref="E3930">- CYANOCOBALAMIN</f>
        <v>#NAME?</v>
      </c>
      <c r="F3930" t="s">
        <v>18355</v>
      </c>
      <c r="G3930" t="s">
        <v>1258</v>
      </c>
      <c r="H3930" t="s">
        <v>7658</v>
      </c>
      <c r="I3930" t="s">
        <v>18356</v>
      </c>
      <c r="J3930" t="s">
        <v>18357</v>
      </c>
      <c r="K3930" t="s">
        <v>2858</v>
      </c>
      <c r="L3930" t="s">
        <v>18358</v>
      </c>
      <c r="M3930" t="s">
        <v>291</v>
      </c>
      <c r="N3930" t="s">
        <v>677</v>
      </c>
      <c r="O3930" t="s">
        <v>18359</v>
      </c>
      <c r="P3930" t="s">
        <v>5669</v>
      </c>
      <c r="Q3930" t="s">
        <v>18360</v>
      </c>
      <c r="R3930">
        <v>12</v>
      </c>
      <c r="S3930">
        <v>16</v>
      </c>
    </row>
    <row r="3931" spans="1:19" x14ac:dyDescent="0.35">
      <c r="A3931">
        <v>8895</v>
      </c>
      <c r="B3931" t="s">
        <v>18361</v>
      </c>
      <c r="C3931" t="s">
        <v>42</v>
      </c>
      <c r="D3931" t="s">
        <v>18362</v>
      </c>
      <c r="E3931" t="e" cm="1">
        <f t="array" ref="E3931">- INSULIN HUMAN</f>
        <v>#NAME?</v>
      </c>
      <c r="F3931" t="s">
        <v>18363</v>
      </c>
      <c r="G3931" t="s">
        <v>18364</v>
      </c>
      <c r="H3931" t="s">
        <v>18365</v>
      </c>
      <c r="I3931" t="s">
        <v>18366</v>
      </c>
      <c r="J3931" t="s">
        <v>8611</v>
      </c>
      <c r="K3931" t="s">
        <v>18367</v>
      </c>
      <c r="L3931" t="s">
        <v>18368</v>
      </c>
      <c r="M3931" t="s">
        <v>2403</v>
      </c>
      <c r="N3931" t="s">
        <v>18369</v>
      </c>
      <c r="O3931" t="s">
        <v>18370</v>
      </c>
      <c r="P3931" t="s">
        <v>18371</v>
      </c>
      <c r="Q3931" t="s">
        <v>18372</v>
      </c>
      <c r="R3931">
        <v>12</v>
      </c>
      <c r="S3931">
        <v>16</v>
      </c>
    </row>
    <row r="3932" spans="1:19" x14ac:dyDescent="0.35">
      <c r="A3932">
        <v>5282</v>
      </c>
      <c r="B3932" t="s">
        <v>18373</v>
      </c>
      <c r="C3932" t="s">
        <v>42</v>
      </c>
      <c r="D3932" t="s">
        <v>18374</v>
      </c>
      <c r="E3932" t="e" cm="1">
        <f t="array" ref="E3932">- FLUOCINOLONE ACETONIDE</f>
        <v>#NAME?</v>
      </c>
      <c r="F3932" t="s">
        <v>18375</v>
      </c>
      <c r="G3932" t="s">
        <v>17127</v>
      </c>
      <c r="H3932" t="s">
        <v>18376</v>
      </c>
      <c r="I3932" t="s">
        <v>18377</v>
      </c>
      <c r="J3932" t="s">
        <v>7123</v>
      </c>
      <c r="K3932" t="s">
        <v>18378</v>
      </c>
      <c r="L3932" t="s">
        <v>18379</v>
      </c>
      <c r="M3932" t="s">
        <v>1289</v>
      </c>
      <c r="N3932" t="s">
        <v>2766</v>
      </c>
      <c r="O3932" t="s">
        <v>18380</v>
      </c>
      <c r="P3932" t="s">
        <v>18381</v>
      </c>
      <c r="Q3932" t="s">
        <v>18382</v>
      </c>
      <c r="R3932">
        <v>12</v>
      </c>
      <c r="S3932">
        <v>16</v>
      </c>
    </row>
    <row r="3933" spans="1:19" x14ac:dyDescent="0.35">
      <c r="A3933">
        <v>7419</v>
      </c>
      <c r="B3933" t="s">
        <v>18383</v>
      </c>
      <c r="C3933" t="s">
        <v>42</v>
      </c>
      <c r="D3933" t="s">
        <v>18384</v>
      </c>
      <c r="E3933" t="e" cm="1">
        <f t="array" ref="E3933">- CYANOCOBALAMIN</f>
        <v>#NAME?</v>
      </c>
      <c r="F3933" t="s">
        <v>18385</v>
      </c>
      <c r="G3933" t="s">
        <v>18386</v>
      </c>
      <c r="H3933" t="s">
        <v>18387</v>
      </c>
      <c r="I3933" t="s">
        <v>18388</v>
      </c>
      <c r="J3933" t="s">
        <v>777</v>
      </c>
      <c r="K3933" t="s">
        <v>2858</v>
      </c>
      <c r="L3933" t="s">
        <v>18389</v>
      </c>
      <c r="M3933" t="s">
        <v>46</v>
      </c>
      <c r="N3933" t="s">
        <v>677</v>
      </c>
      <c r="O3933" t="s">
        <v>18390</v>
      </c>
      <c r="P3933" t="s">
        <v>18391</v>
      </c>
      <c r="Q3933" t="s">
        <v>18392</v>
      </c>
      <c r="R3933">
        <v>12</v>
      </c>
      <c r="S3933">
        <v>16</v>
      </c>
    </row>
    <row r="3934" spans="1:19" x14ac:dyDescent="0.35">
      <c r="A3934">
        <v>8897</v>
      </c>
      <c r="B3934" t="s">
        <v>18393</v>
      </c>
      <c r="C3934" t="s">
        <v>42</v>
      </c>
      <c r="D3934" t="s">
        <v>18394</v>
      </c>
      <c r="E3934" t="e" cm="1">
        <f t="array" ref="E3934">- INSULIN</f>
        <v>#NAME?</v>
      </c>
      <c r="F3934" t="s">
        <v>18395</v>
      </c>
      <c r="G3934" t="s">
        <v>18396</v>
      </c>
      <c r="H3934" t="s">
        <v>18397</v>
      </c>
      <c r="I3934" t="s">
        <v>18398</v>
      </c>
      <c r="J3934" t="s">
        <v>18399</v>
      </c>
      <c r="K3934" t="s">
        <v>18400</v>
      </c>
      <c r="L3934" t="s">
        <v>18401</v>
      </c>
      <c r="M3934" t="s">
        <v>2403</v>
      </c>
      <c r="N3934" t="s">
        <v>3051</v>
      </c>
      <c r="O3934" t="s">
        <v>18402</v>
      </c>
      <c r="P3934" t="s">
        <v>18403</v>
      </c>
      <c r="Q3934" t="s">
        <v>18404</v>
      </c>
      <c r="R3934">
        <v>12</v>
      </c>
      <c r="S3934">
        <v>16</v>
      </c>
    </row>
    <row r="3935" spans="1:19" x14ac:dyDescent="0.35">
      <c r="A3935">
        <v>4804</v>
      </c>
      <c r="B3935" t="s">
        <v>18329</v>
      </c>
      <c r="C3935" t="s">
        <v>42</v>
      </c>
      <c r="D3935" t="s">
        <v>18330</v>
      </c>
      <c r="E3935" t="e" cm="1">
        <f t="array" ref="E3935">- CYCLOPENTOLATE  HYDROCHLORIDE</f>
        <v>#NAME?</v>
      </c>
      <c r="F3935" t="s">
        <v>18331</v>
      </c>
      <c r="G3935" t="s">
        <v>7569</v>
      </c>
      <c r="H3935" t="s">
        <v>18332</v>
      </c>
      <c r="I3935" t="s">
        <v>18333</v>
      </c>
      <c r="J3935" t="s">
        <v>18334</v>
      </c>
      <c r="K3935" t="s">
        <v>18335</v>
      </c>
      <c r="L3935" t="s">
        <v>18336</v>
      </c>
      <c r="M3935" t="s">
        <v>824</v>
      </c>
      <c r="N3935" t="s">
        <v>18351</v>
      </c>
      <c r="O3935" t="s">
        <v>18338</v>
      </c>
      <c r="P3935" t="s">
        <v>18339</v>
      </c>
      <c r="Q3935" t="s">
        <v>18352</v>
      </c>
      <c r="R3935">
        <v>12</v>
      </c>
      <c r="S3935">
        <v>16</v>
      </c>
    </row>
    <row r="3936" spans="1:19" x14ac:dyDescent="0.35">
      <c r="A3936">
        <v>2944</v>
      </c>
      <c r="B3936" t="s">
        <v>18405</v>
      </c>
      <c r="C3936" t="s">
        <v>42</v>
      </c>
      <c r="D3936" t="s">
        <v>18406</v>
      </c>
      <c r="E3936" t="e" cm="1">
        <f t="array" ref="E3936">- PARACETAMOL</f>
        <v>#NAME?</v>
      </c>
      <c r="F3936" t="s">
        <v>18407</v>
      </c>
      <c r="G3936" t="s">
        <v>1258</v>
      </c>
      <c r="H3936" t="s">
        <v>18408</v>
      </c>
      <c r="I3936" t="s">
        <v>18409</v>
      </c>
      <c r="J3936" t="s">
        <v>18410</v>
      </c>
      <c r="K3936" t="s">
        <v>18411</v>
      </c>
      <c r="L3936" t="s">
        <v>15725</v>
      </c>
      <c r="M3936" t="s">
        <v>824</v>
      </c>
      <c r="N3936" t="s">
        <v>584</v>
      </c>
      <c r="O3936" t="s">
        <v>18412</v>
      </c>
      <c r="P3936" t="s">
        <v>18413</v>
      </c>
      <c r="Q3936" t="s">
        <v>18414</v>
      </c>
      <c r="R3936">
        <v>12</v>
      </c>
      <c r="S3936">
        <v>16</v>
      </c>
    </row>
    <row r="3937" spans="1:19" x14ac:dyDescent="0.35">
      <c r="A3937">
        <v>2928</v>
      </c>
      <c r="B3937" t="s">
        <v>18415</v>
      </c>
      <c r="C3937" t="s">
        <v>42</v>
      </c>
      <c r="D3937" t="s">
        <v>18416</v>
      </c>
      <c r="E3937" t="e" cm="1">
        <f t="array" ref="E3937">- PARACETAMOL</f>
        <v>#NAME?</v>
      </c>
      <c r="F3937" s="1">
        <v>13800</v>
      </c>
      <c r="G3937" t="s">
        <v>60</v>
      </c>
      <c r="H3937" t="s">
        <v>18417</v>
      </c>
      <c r="I3937" t="s">
        <v>18418</v>
      </c>
      <c r="J3937" t="s">
        <v>3167</v>
      </c>
      <c r="L3937" t="s">
        <v>18419</v>
      </c>
      <c r="M3937" t="s">
        <v>271</v>
      </c>
      <c r="N3937" t="s">
        <v>584</v>
      </c>
      <c r="O3937" t="s">
        <v>18420</v>
      </c>
      <c r="P3937" t="s">
        <v>18421</v>
      </c>
      <c r="Q3937" t="s">
        <v>18422</v>
      </c>
      <c r="R3937">
        <v>12</v>
      </c>
      <c r="S3937">
        <v>16</v>
      </c>
    </row>
    <row r="3938" spans="1:19" x14ac:dyDescent="0.35">
      <c r="A3938">
        <v>2866</v>
      </c>
      <c r="B3938" t="s">
        <v>18423</v>
      </c>
      <c r="C3938" t="s">
        <v>42</v>
      </c>
      <c r="D3938" t="s">
        <v>18424</v>
      </c>
      <c r="E3938" t="e" cm="1">
        <f t="array" ref="E3938">- PARACETAMOL</f>
        <v>#NAME?</v>
      </c>
      <c r="F3938" s="1">
        <v>5700</v>
      </c>
      <c r="G3938" t="s">
        <v>6869</v>
      </c>
      <c r="H3938" t="s">
        <v>17209</v>
      </c>
      <c r="I3938" t="s">
        <v>16923</v>
      </c>
      <c r="J3938" t="s">
        <v>334</v>
      </c>
      <c r="M3938" t="s">
        <v>271</v>
      </c>
      <c r="N3938" t="s">
        <v>584</v>
      </c>
      <c r="O3938" t="s">
        <v>16926</v>
      </c>
      <c r="P3938" t="s">
        <v>18425</v>
      </c>
      <c r="Q3938" t="s">
        <v>18426</v>
      </c>
      <c r="R3938">
        <v>12</v>
      </c>
      <c r="S3938">
        <v>16</v>
      </c>
    </row>
    <row r="3939" spans="1:19" x14ac:dyDescent="0.35">
      <c r="A3939">
        <v>7696</v>
      </c>
      <c r="B3939" t="s">
        <v>18427</v>
      </c>
      <c r="C3939" t="s">
        <v>20</v>
      </c>
      <c r="D3939" t="s">
        <v>18428</v>
      </c>
      <c r="E3939" t="s">
        <v>18429</v>
      </c>
      <c r="F3939" t="s">
        <v>18430</v>
      </c>
      <c r="G3939" t="s">
        <v>4640</v>
      </c>
      <c r="H3939" t="s">
        <v>18431</v>
      </c>
      <c r="I3939" t="s">
        <v>18432</v>
      </c>
      <c r="J3939" t="s">
        <v>18433</v>
      </c>
      <c r="L3939" t="s">
        <v>18434</v>
      </c>
      <c r="M3939" t="s">
        <v>46</v>
      </c>
      <c r="N3939" t="s">
        <v>18435</v>
      </c>
      <c r="O3939" t="s">
        <v>18436</v>
      </c>
      <c r="P3939" t="s">
        <v>18435</v>
      </c>
      <c r="Q3939" t="s">
        <v>18437</v>
      </c>
      <c r="R3939">
        <v>12</v>
      </c>
      <c r="S3939">
        <v>16</v>
      </c>
    </row>
    <row r="3940" spans="1:19" x14ac:dyDescent="0.35">
      <c r="A3940">
        <v>2920</v>
      </c>
      <c r="B3940" t="s">
        <v>18438</v>
      </c>
      <c r="C3940" t="s">
        <v>42</v>
      </c>
      <c r="D3940" t="s">
        <v>18439</v>
      </c>
      <c r="E3940" t="e" cm="1">
        <f t="array" ref="E3940">- PARACETAMOL</f>
        <v>#NAME?</v>
      </c>
      <c r="F3940" t="s">
        <v>18440</v>
      </c>
      <c r="G3940" t="s">
        <v>60</v>
      </c>
      <c r="H3940" t="s">
        <v>18323</v>
      </c>
      <c r="I3940" t="s">
        <v>18441</v>
      </c>
      <c r="J3940" t="s">
        <v>334</v>
      </c>
      <c r="K3940" t="s">
        <v>16924</v>
      </c>
      <c r="M3940" t="s">
        <v>271</v>
      </c>
      <c r="N3940" t="s">
        <v>584</v>
      </c>
      <c r="O3940" t="s">
        <v>18442</v>
      </c>
      <c r="P3940" t="s">
        <v>18443</v>
      </c>
      <c r="Q3940" t="s">
        <v>18444</v>
      </c>
      <c r="R3940">
        <v>12</v>
      </c>
      <c r="S3940">
        <v>16</v>
      </c>
    </row>
    <row r="3941" spans="1:19" x14ac:dyDescent="0.35">
      <c r="A3941">
        <v>2868</v>
      </c>
      <c r="B3941" t="s">
        <v>18445</v>
      </c>
      <c r="C3941" t="s">
        <v>42</v>
      </c>
      <c r="D3941" t="s">
        <v>18446</v>
      </c>
      <c r="E3941" t="e" cm="1">
        <f t="array" ref="E3941">- PARACETAMOL</f>
        <v>#NAME?</v>
      </c>
      <c r="F3941" t="s">
        <v>1719</v>
      </c>
      <c r="G3941" t="s">
        <v>18447</v>
      </c>
      <c r="H3941" t="s">
        <v>18448</v>
      </c>
      <c r="I3941" t="s">
        <v>16923</v>
      </c>
      <c r="J3941" t="s">
        <v>18449</v>
      </c>
      <c r="K3941" t="s">
        <v>18450</v>
      </c>
      <c r="L3941" t="s">
        <v>18451</v>
      </c>
      <c r="M3941" t="s">
        <v>271</v>
      </c>
      <c r="N3941" t="s">
        <v>584</v>
      </c>
      <c r="O3941" t="s">
        <v>16926</v>
      </c>
      <c r="P3941" t="s">
        <v>18452</v>
      </c>
      <c r="Q3941" t="s">
        <v>18453</v>
      </c>
      <c r="R3941">
        <v>12</v>
      </c>
      <c r="S3941">
        <v>16</v>
      </c>
    </row>
    <row r="3942" spans="1:19" x14ac:dyDescent="0.35">
      <c r="A3942">
        <v>1001</v>
      </c>
      <c r="B3942" t="s">
        <v>18454</v>
      </c>
      <c r="C3942" t="s">
        <v>42</v>
      </c>
      <c r="D3942" t="s">
        <v>18455</v>
      </c>
      <c r="E3942" t="e" cm="1">
        <f t="array" ref="E3942">- AMMONIUM CHLORIDE. GUAIFENESIN. CHLORPHENAMINE MALEATE</f>
        <v>#NAME?</v>
      </c>
      <c r="F3942" t="s">
        <v>18456</v>
      </c>
      <c r="G3942" t="s">
        <v>18457</v>
      </c>
      <c r="H3942" t="s">
        <v>18458</v>
      </c>
      <c r="I3942" t="s">
        <v>18459</v>
      </c>
      <c r="J3942" t="s">
        <v>374</v>
      </c>
      <c r="K3942" t="s">
        <v>18460</v>
      </c>
      <c r="L3942" t="s">
        <v>18461</v>
      </c>
      <c r="M3942" t="s">
        <v>271</v>
      </c>
      <c r="N3942" t="s">
        <v>18462</v>
      </c>
      <c r="O3942" t="s">
        <v>18463</v>
      </c>
      <c r="P3942" t="s">
        <v>18464</v>
      </c>
      <c r="Q3942" t="s">
        <v>18465</v>
      </c>
      <c r="R3942">
        <v>12</v>
      </c>
      <c r="S3942">
        <v>16</v>
      </c>
    </row>
    <row r="3943" spans="1:19" x14ac:dyDescent="0.35">
      <c r="A3943">
        <v>1467</v>
      </c>
      <c r="B3943" t="s">
        <v>11337</v>
      </c>
      <c r="C3943" t="s">
        <v>42</v>
      </c>
      <c r="D3943" t="s">
        <v>11338</v>
      </c>
      <c r="E3943" t="e" cm="1">
        <f t="array" ref="E3943">- DIPHENHYDRAMINE HYDROCHLORIDE. AMMONIUM CHLORIDE</f>
        <v>#NAME?</v>
      </c>
      <c r="F3943" t="s">
        <v>11339</v>
      </c>
      <c r="H3943" t="s">
        <v>11340</v>
      </c>
      <c r="I3943" t="s">
        <v>11341</v>
      </c>
      <c r="J3943" t="s">
        <v>334</v>
      </c>
      <c r="K3943" t="s">
        <v>11342</v>
      </c>
      <c r="L3943" t="s">
        <v>11343</v>
      </c>
      <c r="M3943" t="s">
        <v>271</v>
      </c>
      <c r="N3943" t="s">
        <v>4607</v>
      </c>
      <c r="O3943" t="s">
        <v>11344</v>
      </c>
      <c r="P3943" t="s">
        <v>11345</v>
      </c>
      <c r="Q3943" t="s">
        <v>18466</v>
      </c>
      <c r="R3943">
        <v>12</v>
      </c>
      <c r="S3943">
        <v>16</v>
      </c>
    </row>
    <row r="3944" spans="1:19" x14ac:dyDescent="0.35">
      <c r="A3944">
        <v>7378</v>
      </c>
      <c r="B3944" t="s">
        <v>18467</v>
      </c>
      <c r="C3944" t="s">
        <v>850</v>
      </c>
      <c r="D3944" t="s">
        <v>18468</v>
      </c>
      <c r="E3944" t="e" cm="1">
        <f t="array" ref="E3944">- Balsamum Peruvianum</f>
        <v>#NAME?</v>
      </c>
      <c r="F3944" s="1">
        <v>15700</v>
      </c>
      <c r="H3944" t="s">
        <v>1322</v>
      </c>
      <c r="I3944" t="s">
        <v>18469</v>
      </c>
      <c r="J3944" t="s">
        <v>9173</v>
      </c>
      <c r="N3944" t="s">
        <v>18470</v>
      </c>
      <c r="O3944" t="s">
        <v>18471</v>
      </c>
      <c r="P3944" t="s">
        <v>18472</v>
      </c>
      <c r="Q3944" t="s">
        <v>18473</v>
      </c>
      <c r="R3944">
        <v>12</v>
      </c>
      <c r="S3944">
        <v>16</v>
      </c>
    </row>
    <row r="3945" spans="1:19" x14ac:dyDescent="0.35">
      <c r="A3945">
        <v>2895</v>
      </c>
      <c r="B3945" t="s">
        <v>18474</v>
      </c>
      <c r="C3945" t="s">
        <v>42</v>
      </c>
      <c r="D3945" t="s">
        <v>18475</v>
      </c>
      <c r="E3945" t="e" cm="1">
        <f t="array" ref="E3945">- PARACETAMOL</f>
        <v>#NAME?</v>
      </c>
      <c r="F3945" s="1">
        <v>15500</v>
      </c>
      <c r="G3945" t="s">
        <v>2241</v>
      </c>
      <c r="H3945" t="s">
        <v>18476</v>
      </c>
      <c r="I3945" t="s">
        <v>18477</v>
      </c>
      <c r="J3945" t="s">
        <v>743</v>
      </c>
      <c r="K3945" t="s">
        <v>18478</v>
      </c>
      <c r="L3945" t="s">
        <v>18479</v>
      </c>
      <c r="M3945" t="s">
        <v>824</v>
      </c>
      <c r="N3945" t="s">
        <v>584</v>
      </c>
      <c r="O3945" t="s">
        <v>18480</v>
      </c>
      <c r="P3945" t="s">
        <v>805</v>
      </c>
      <c r="Q3945" t="s">
        <v>18481</v>
      </c>
      <c r="R3945">
        <v>12</v>
      </c>
      <c r="S3945">
        <v>16</v>
      </c>
    </row>
    <row r="3946" spans="1:19" x14ac:dyDescent="0.35">
      <c r="A3946">
        <v>7701</v>
      </c>
      <c r="B3946" t="s">
        <v>18482</v>
      </c>
      <c r="C3946" t="s">
        <v>20</v>
      </c>
      <c r="D3946" t="s">
        <v>18483</v>
      </c>
      <c r="E3946" t="s">
        <v>18484</v>
      </c>
      <c r="F3946" t="s">
        <v>18485</v>
      </c>
      <c r="G3946" t="s">
        <v>4649</v>
      </c>
      <c r="H3946" t="s">
        <v>18486</v>
      </c>
      <c r="I3946" t="s">
        <v>18487</v>
      </c>
      <c r="J3946" t="s">
        <v>18433</v>
      </c>
      <c r="L3946" t="s">
        <v>18488</v>
      </c>
      <c r="M3946" t="s">
        <v>46</v>
      </c>
      <c r="N3946" t="s">
        <v>18489</v>
      </c>
      <c r="O3946" t="s">
        <v>18436</v>
      </c>
      <c r="P3946" t="s">
        <v>18489</v>
      </c>
      <c r="Q3946" t="s">
        <v>18490</v>
      </c>
      <c r="R3946">
        <v>12</v>
      </c>
      <c r="S3946">
        <v>16</v>
      </c>
    </row>
    <row r="3947" spans="1:19" x14ac:dyDescent="0.35">
      <c r="A3947">
        <v>7393</v>
      </c>
      <c r="B3947" t="s">
        <v>18491</v>
      </c>
      <c r="C3947" t="s">
        <v>42</v>
      </c>
      <c r="D3947" t="s">
        <v>18492</v>
      </c>
      <c r="E3947" t="s">
        <v>9944</v>
      </c>
      <c r="F3947" t="s">
        <v>18493</v>
      </c>
      <c r="G3947" t="s">
        <v>18386</v>
      </c>
      <c r="H3947" t="s">
        <v>18494</v>
      </c>
      <c r="I3947" t="s">
        <v>18495</v>
      </c>
      <c r="J3947" t="s">
        <v>18496</v>
      </c>
      <c r="K3947" t="s">
        <v>16776</v>
      </c>
      <c r="L3947" t="s">
        <v>15853</v>
      </c>
      <c r="M3947" t="s">
        <v>46</v>
      </c>
      <c r="N3947" t="s">
        <v>9949</v>
      </c>
      <c r="O3947" t="s">
        <v>18497</v>
      </c>
      <c r="P3947" t="s">
        <v>18498</v>
      </c>
      <c r="Q3947" t="s">
        <v>18499</v>
      </c>
      <c r="R3947">
        <v>12</v>
      </c>
      <c r="S3947">
        <v>16</v>
      </c>
    </row>
    <row r="3948" spans="1:19" x14ac:dyDescent="0.35">
      <c r="A3948">
        <v>2979</v>
      </c>
      <c r="B3948" t="s">
        <v>18321</v>
      </c>
      <c r="C3948" t="s">
        <v>42</v>
      </c>
      <c r="D3948" t="s">
        <v>18322</v>
      </c>
      <c r="E3948" t="e" cm="1">
        <f t="array" ref="E3948">- PARACETAMOL</f>
        <v>#NAME?</v>
      </c>
      <c r="F3948" s="1">
        <v>15500</v>
      </c>
      <c r="G3948" t="s">
        <v>60</v>
      </c>
      <c r="H3948" t="s">
        <v>18323</v>
      </c>
      <c r="I3948" t="s">
        <v>18324</v>
      </c>
      <c r="J3948" t="s">
        <v>334</v>
      </c>
      <c r="K3948" t="s">
        <v>16924</v>
      </c>
      <c r="L3948" t="s">
        <v>18325</v>
      </c>
      <c r="M3948" t="s">
        <v>271</v>
      </c>
      <c r="N3948" t="s">
        <v>584</v>
      </c>
      <c r="O3948" t="s">
        <v>18326</v>
      </c>
      <c r="P3948" t="s">
        <v>892</v>
      </c>
      <c r="Q3948" t="s">
        <v>18327</v>
      </c>
      <c r="R3948">
        <v>12</v>
      </c>
      <c r="S3948">
        <v>16</v>
      </c>
    </row>
    <row r="3949" spans="1:19" x14ac:dyDescent="0.35">
      <c r="A3949">
        <v>7394</v>
      </c>
      <c r="B3949" t="s">
        <v>18491</v>
      </c>
      <c r="C3949" t="s">
        <v>42</v>
      </c>
      <c r="D3949" t="s">
        <v>18492</v>
      </c>
      <c r="E3949" t="s">
        <v>9944</v>
      </c>
      <c r="F3949" t="s">
        <v>18493</v>
      </c>
      <c r="G3949" t="s">
        <v>18386</v>
      </c>
      <c r="H3949" t="s">
        <v>18494</v>
      </c>
      <c r="I3949" t="s">
        <v>18495</v>
      </c>
      <c r="J3949" t="s">
        <v>18496</v>
      </c>
      <c r="K3949" t="s">
        <v>16776</v>
      </c>
      <c r="L3949" t="s">
        <v>15853</v>
      </c>
      <c r="M3949" t="s">
        <v>46</v>
      </c>
      <c r="N3949" t="s">
        <v>9949</v>
      </c>
      <c r="O3949" t="s">
        <v>18497</v>
      </c>
      <c r="P3949" t="s">
        <v>18498</v>
      </c>
      <c r="Q3949" t="s">
        <v>18499</v>
      </c>
      <c r="R3949">
        <v>12</v>
      </c>
      <c r="S3949">
        <v>16</v>
      </c>
    </row>
    <row r="3950" spans="1:19" x14ac:dyDescent="0.35">
      <c r="A3950">
        <v>4773</v>
      </c>
      <c r="B3950" t="s">
        <v>18500</v>
      </c>
      <c r="C3950" t="s">
        <v>42</v>
      </c>
      <c r="D3950" t="s">
        <v>18501</v>
      </c>
      <c r="E3950" t="e" cm="1">
        <f t="array" ref="E3950">- ACETAZOLAMIDE</f>
        <v>#NAME?</v>
      </c>
      <c r="F3950" s="1">
        <v>66800</v>
      </c>
      <c r="G3950" t="s">
        <v>4545</v>
      </c>
      <c r="H3950" t="s">
        <v>319</v>
      </c>
      <c r="I3950" t="s">
        <v>18502</v>
      </c>
      <c r="J3950" t="s">
        <v>18503</v>
      </c>
      <c r="K3950" t="s">
        <v>18504</v>
      </c>
      <c r="L3950" t="s">
        <v>321</v>
      </c>
      <c r="M3950" t="s">
        <v>46</v>
      </c>
      <c r="N3950" t="s">
        <v>18505</v>
      </c>
      <c r="O3950" t="s">
        <v>18506</v>
      </c>
      <c r="P3950" t="s">
        <v>18507</v>
      </c>
      <c r="Q3950" t="s">
        <v>18508</v>
      </c>
      <c r="R3950">
        <v>12</v>
      </c>
      <c r="S3950">
        <v>16</v>
      </c>
    </row>
    <row r="3951" spans="1:19" x14ac:dyDescent="0.35">
      <c r="A3951">
        <v>4772</v>
      </c>
      <c r="B3951" t="s">
        <v>18500</v>
      </c>
      <c r="C3951" t="s">
        <v>42</v>
      </c>
      <c r="D3951" t="s">
        <v>18501</v>
      </c>
      <c r="E3951" t="e" cm="1">
        <f t="array" ref="E3951">- ACETAZOLAMIDE</f>
        <v>#NAME?</v>
      </c>
      <c r="F3951" s="1">
        <v>66800</v>
      </c>
      <c r="G3951" t="s">
        <v>4545</v>
      </c>
      <c r="H3951" t="s">
        <v>319</v>
      </c>
      <c r="I3951" t="s">
        <v>18502</v>
      </c>
      <c r="J3951" t="s">
        <v>18503</v>
      </c>
      <c r="K3951" t="s">
        <v>18504</v>
      </c>
      <c r="L3951" t="s">
        <v>321</v>
      </c>
      <c r="M3951" t="s">
        <v>46</v>
      </c>
      <c r="N3951" t="s">
        <v>18505</v>
      </c>
      <c r="O3951" t="s">
        <v>18506</v>
      </c>
      <c r="P3951" t="s">
        <v>18507</v>
      </c>
      <c r="Q3951" t="s">
        <v>18508</v>
      </c>
      <c r="R3951">
        <v>12</v>
      </c>
      <c r="S3951">
        <v>16</v>
      </c>
    </row>
    <row r="3952" spans="1:19" x14ac:dyDescent="0.35">
      <c r="A3952">
        <v>3521</v>
      </c>
      <c r="B3952" t="s">
        <v>18206</v>
      </c>
      <c r="C3952" t="s">
        <v>42</v>
      </c>
      <c r="D3952" t="s">
        <v>18207</v>
      </c>
      <c r="E3952" t="e" cm="1">
        <f t="array" ref="E3952">- ONDANSETRON</f>
        <v>#NAME?</v>
      </c>
      <c r="F3952" t="s">
        <v>18208</v>
      </c>
      <c r="G3952" t="s">
        <v>14378</v>
      </c>
      <c r="H3952" t="s">
        <v>14379</v>
      </c>
      <c r="I3952" t="s">
        <v>18209</v>
      </c>
      <c r="J3952" t="s">
        <v>18210</v>
      </c>
      <c r="K3952" t="s">
        <v>14086</v>
      </c>
      <c r="L3952" t="s">
        <v>14382</v>
      </c>
      <c r="M3952" t="s">
        <v>46</v>
      </c>
      <c r="N3952" t="s">
        <v>1869</v>
      </c>
      <c r="O3952" t="s">
        <v>14383</v>
      </c>
      <c r="P3952" t="s">
        <v>18211</v>
      </c>
      <c r="Q3952" t="s">
        <v>18212</v>
      </c>
      <c r="R3952">
        <v>12</v>
      </c>
      <c r="S3952">
        <v>16</v>
      </c>
    </row>
    <row r="3953" spans="1:19" x14ac:dyDescent="0.35">
      <c r="A3953">
        <v>2869</v>
      </c>
      <c r="B3953" t="s">
        <v>18445</v>
      </c>
      <c r="C3953" t="s">
        <v>42</v>
      </c>
      <c r="D3953" t="s">
        <v>18446</v>
      </c>
      <c r="E3953" t="e" cm="1">
        <f t="array" ref="E3953">- PARACETAMOL</f>
        <v>#NAME?</v>
      </c>
      <c r="F3953" t="s">
        <v>1719</v>
      </c>
      <c r="G3953" t="s">
        <v>18447</v>
      </c>
      <c r="H3953" t="s">
        <v>18448</v>
      </c>
      <c r="I3953" t="s">
        <v>16923</v>
      </c>
      <c r="J3953" t="s">
        <v>18449</v>
      </c>
      <c r="K3953" t="s">
        <v>18450</v>
      </c>
      <c r="L3953" t="s">
        <v>18451</v>
      </c>
      <c r="M3953" t="s">
        <v>271</v>
      </c>
      <c r="N3953" t="s">
        <v>584</v>
      </c>
      <c r="O3953" t="s">
        <v>16926</v>
      </c>
      <c r="P3953" t="s">
        <v>18452</v>
      </c>
      <c r="Q3953" t="s">
        <v>18453</v>
      </c>
      <c r="R3953">
        <v>12</v>
      </c>
      <c r="S3953">
        <v>16</v>
      </c>
    </row>
    <row r="3954" spans="1:19" x14ac:dyDescent="0.35">
      <c r="A3954">
        <v>7408</v>
      </c>
      <c r="B3954" t="s">
        <v>18509</v>
      </c>
      <c r="C3954" t="s">
        <v>42</v>
      </c>
      <c r="D3954" t="s">
        <v>18510</v>
      </c>
      <c r="E3954" t="e" cm="1">
        <f t="array" ref="E3954">- CYANOCOBALAMIN</f>
        <v>#NAME?</v>
      </c>
      <c r="F3954" t="s">
        <v>18511</v>
      </c>
      <c r="G3954" t="s">
        <v>12364</v>
      </c>
      <c r="H3954" t="s">
        <v>18512</v>
      </c>
      <c r="I3954" t="s">
        <v>18513</v>
      </c>
      <c r="J3954" t="s">
        <v>7479</v>
      </c>
      <c r="K3954" t="s">
        <v>2726</v>
      </c>
      <c r="L3954" t="s">
        <v>15420</v>
      </c>
      <c r="M3954" t="s">
        <v>46</v>
      </c>
      <c r="N3954" t="s">
        <v>677</v>
      </c>
      <c r="O3954" t="s">
        <v>18514</v>
      </c>
      <c r="P3954" t="s">
        <v>18515</v>
      </c>
      <c r="Q3954" t="s">
        <v>18516</v>
      </c>
      <c r="R3954">
        <v>12</v>
      </c>
      <c r="S3954">
        <v>16</v>
      </c>
    </row>
    <row r="3955" spans="1:19" x14ac:dyDescent="0.35">
      <c r="A3955">
        <v>172</v>
      </c>
      <c r="B3955" t="s">
        <v>2902</v>
      </c>
      <c r="C3955" t="s">
        <v>42</v>
      </c>
      <c r="D3955" t="s">
        <v>16992</v>
      </c>
      <c r="E3955" t="e" cm="1">
        <f t="array" ref="E3955">- SILDENAFIL CITRATE</f>
        <v>#NAME?</v>
      </c>
      <c r="F3955" t="s">
        <v>18517</v>
      </c>
      <c r="G3955" t="s">
        <v>16994</v>
      </c>
      <c r="H3955" t="s">
        <v>1322</v>
      </c>
      <c r="I3955" t="s">
        <v>16959</v>
      </c>
      <c r="J3955" t="s">
        <v>8147</v>
      </c>
      <c r="L3955" t="s">
        <v>16995</v>
      </c>
      <c r="M3955" t="s">
        <v>46</v>
      </c>
      <c r="N3955" t="s">
        <v>2519</v>
      </c>
      <c r="O3955" t="s">
        <v>16960</v>
      </c>
      <c r="P3955" t="s">
        <v>16990</v>
      </c>
      <c r="Q3955" t="s">
        <v>18328</v>
      </c>
      <c r="R3955">
        <v>12</v>
      </c>
      <c r="S3955">
        <v>16</v>
      </c>
    </row>
    <row r="3956" spans="1:19" x14ac:dyDescent="0.35">
      <c r="A3956">
        <v>8952</v>
      </c>
      <c r="B3956" t="s">
        <v>18518</v>
      </c>
      <c r="C3956" t="s">
        <v>42</v>
      </c>
      <c r="D3956" t="s">
        <v>18519</v>
      </c>
      <c r="E3956" t="e" cm="1">
        <f t="array" ref="E3956">- METHYLDOPA</f>
        <v>#NAME?</v>
      </c>
      <c r="F3956" t="s">
        <v>18520</v>
      </c>
      <c r="G3956" t="s">
        <v>60</v>
      </c>
      <c r="H3956" t="s">
        <v>18521</v>
      </c>
      <c r="I3956" t="s">
        <v>18522</v>
      </c>
      <c r="J3956" t="s">
        <v>18523</v>
      </c>
      <c r="K3956" t="s">
        <v>18524</v>
      </c>
      <c r="L3956" t="s">
        <v>18525</v>
      </c>
      <c r="M3956" t="s">
        <v>46</v>
      </c>
      <c r="N3956" t="s">
        <v>18526</v>
      </c>
      <c r="O3956" t="s">
        <v>18527</v>
      </c>
      <c r="P3956" t="s">
        <v>18528</v>
      </c>
      <c r="Q3956" t="s">
        <v>18529</v>
      </c>
      <c r="R3956">
        <v>12</v>
      </c>
      <c r="S3956">
        <v>16</v>
      </c>
    </row>
    <row r="3957" spans="1:19" x14ac:dyDescent="0.35">
      <c r="A3957">
        <v>1350</v>
      </c>
      <c r="B3957" t="s">
        <v>18530</v>
      </c>
      <c r="C3957" t="s">
        <v>42</v>
      </c>
      <c r="D3957" t="s">
        <v>18531</v>
      </c>
      <c r="E3957" t="e" cm="1">
        <f t="array" ref="E3957">- CHLORPHENAMINE MALEATE</f>
        <v>#NAME?</v>
      </c>
      <c r="F3957" t="s">
        <v>18532</v>
      </c>
      <c r="G3957" t="s">
        <v>60</v>
      </c>
      <c r="H3957" t="s">
        <v>18533</v>
      </c>
      <c r="I3957" t="s">
        <v>18534</v>
      </c>
      <c r="J3957" t="s">
        <v>3167</v>
      </c>
      <c r="K3957" t="s">
        <v>18535</v>
      </c>
      <c r="L3957" t="s">
        <v>18536</v>
      </c>
      <c r="M3957" t="s">
        <v>271</v>
      </c>
      <c r="N3957" t="s">
        <v>1354</v>
      </c>
      <c r="O3957" t="s">
        <v>18537</v>
      </c>
      <c r="P3957" t="s">
        <v>18538</v>
      </c>
      <c r="Q3957" t="s">
        <v>18539</v>
      </c>
      <c r="R3957">
        <v>12</v>
      </c>
      <c r="S3957">
        <v>16</v>
      </c>
    </row>
    <row r="3958" spans="1:19" x14ac:dyDescent="0.35">
      <c r="A3958">
        <v>7708</v>
      </c>
      <c r="B3958" t="s">
        <v>18540</v>
      </c>
      <c r="C3958" t="s">
        <v>20</v>
      </c>
      <c r="D3958" t="s">
        <v>18541</v>
      </c>
      <c r="E3958" t="s">
        <v>18542</v>
      </c>
      <c r="F3958" t="s">
        <v>18543</v>
      </c>
      <c r="G3958" t="s">
        <v>18544</v>
      </c>
      <c r="H3958" t="s">
        <v>18545</v>
      </c>
      <c r="I3958" t="s">
        <v>18546</v>
      </c>
      <c r="J3958" t="s">
        <v>18547</v>
      </c>
      <c r="L3958" t="s">
        <v>18548</v>
      </c>
      <c r="M3958" t="s">
        <v>38</v>
      </c>
      <c r="N3958" t="s">
        <v>18549</v>
      </c>
      <c r="O3958" t="s">
        <v>18550</v>
      </c>
      <c r="P3958" t="s">
        <v>18549</v>
      </c>
      <c r="Q3958" t="s">
        <v>18551</v>
      </c>
      <c r="R3958">
        <v>12</v>
      </c>
      <c r="S3958">
        <v>16</v>
      </c>
    </row>
    <row r="3959" spans="1:19" x14ac:dyDescent="0.35">
      <c r="A3959">
        <v>159</v>
      </c>
      <c r="B3959" t="s">
        <v>2902</v>
      </c>
      <c r="C3959" t="s">
        <v>42</v>
      </c>
      <c r="D3959" t="s">
        <v>17797</v>
      </c>
      <c r="E3959" t="e" cm="1">
        <f t="array" ref="E3959">- SILDENAFIL CITRATE</f>
        <v>#NAME?</v>
      </c>
      <c r="F3959" t="s">
        <v>17798</v>
      </c>
      <c r="G3959" t="s">
        <v>17038</v>
      </c>
      <c r="I3959" t="s">
        <v>17083</v>
      </c>
      <c r="J3959" t="s">
        <v>8147</v>
      </c>
      <c r="M3959" t="s">
        <v>46</v>
      </c>
      <c r="N3959" t="s">
        <v>2519</v>
      </c>
      <c r="O3959" t="s">
        <v>12012</v>
      </c>
      <c r="P3959" t="s">
        <v>17084</v>
      </c>
      <c r="Q3959" t="s">
        <v>18552</v>
      </c>
      <c r="R3959">
        <v>12</v>
      </c>
      <c r="S3959">
        <v>16</v>
      </c>
    </row>
    <row r="3960" spans="1:19" x14ac:dyDescent="0.35">
      <c r="A3960">
        <v>161</v>
      </c>
      <c r="B3960" t="s">
        <v>2902</v>
      </c>
      <c r="C3960" t="s">
        <v>42</v>
      </c>
      <c r="D3960" t="s">
        <v>16957</v>
      </c>
      <c r="E3960" t="e" cm="1">
        <f t="array" ref="E3960">- SILDENAFIL CITRATE</f>
        <v>#NAME?</v>
      </c>
      <c r="F3960" t="s">
        <v>16958</v>
      </c>
      <c r="G3960" t="s">
        <v>12009</v>
      </c>
      <c r="I3960" t="s">
        <v>16959</v>
      </c>
      <c r="J3960" t="s">
        <v>5331</v>
      </c>
      <c r="M3960" t="s">
        <v>46</v>
      </c>
      <c r="N3960" t="s">
        <v>2519</v>
      </c>
      <c r="O3960" t="s">
        <v>16960</v>
      </c>
      <c r="P3960" t="s">
        <v>5327</v>
      </c>
      <c r="Q3960" t="s">
        <v>18553</v>
      </c>
      <c r="R3960">
        <v>12</v>
      </c>
      <c r="S3960">
        <v>16</v>
      </c>
    </row>
    <row r="3961" spans="1:19" x14ac:dyDescent="0.35">
      <c r="A3961">
        <v>3591</v>
      </c>
      <c r="B3961" t="s">
        <v>18554</v>
      </c>
      <c r="C3961" t="s">
        <v>42</v>
      </c>
      <c r="D3961" t="s">
        <v>18555</v>
      </c>
      <c r="E3961" t="e" cm="1">
        <f t="array" ref="E3961">- ONDANSETRON HYDROCHLORIDE DIHYDRATE</f>
        <v>#NAME?</v>
      </c>
      <c r="F3961" t="s">
        <v>18556</v>
      </c>
      <c r="G3961" t="s">
        <v>2266</v>
      </c>
      <c r="H3961" t="s">
        <v>18557</v>
      </c>
      <c r="I3961" t="s">
        <v>18558</v>
      </c>
      <c r="J3961" t="s">
        <v>18559</v>
      </c>
      <c r="K3961" t="s">
        <v>11602</v>
      </c>
      <c r="L3961" t="s">
        <v>18560</v>
      </c>
      <c r="M3961" t="s">
        <v>46</v>
      </c>
      <c r="N3961" t="s">
        <v>14087</v>
      </c>
      <c r="O3961" t="s">
        <v>18561</v>
      </c>
      <c r="P3961" t="s">
        <v>18562</v>
      </c>
      <c r="Q3961" t="s">
        <v>18563</v>
      </c>
      <c r="R3961">
        <v>12</v>
      </c>
      <c r="S3961">
        <v>16</v>
      </c>
    </row>
    <row r="3962" spans="1:19" x14ac:dyDescent="0.35">
      <c r="A3962">
        <v>990</v>
      </c>
      <c r="B3962" t="s">
        <v>18564</v>
      </c>
      <c r="C3962" t="s">
        <v>42</v>
      </c>
      <c r="D3962" t="s">
        <v>18565</v>
      </c>
      <c r="E3962" t="e" cm="1">
        <f t="array" ref="E3962">- BROMHEXINE HYDROCHLORIDE</f>
        <v>#NAME?</v>
      </c>
      <c r="F3962" t="s">
        <v>18566</v>
      </c>
      <c r="G3962" t="s">
        <v>2453</v>
      </c>
      <c r="H3962" t="s">
        <v>18567</v>
      </c>
      <c r="I3962" t="s">
        <v>18568</v>
      </c>
      <c r="J3962" t="s">
        <v>18569</v>
      </c>
      <c r="K3962" t="s">
        <v>18570</v>
      </c>
      <c r="L3962" t="s">
        <v>18571</v>
      </c>
      <c r="M3962" t="s">
        <v>271</v>
      </c>
      <c r="N3962" t="s">
        <v>1342</v>
      </c>
      <c r="O3962" t="s">
        <v>18572</v>
      </c>
      <c r="P3962" t="s">
        <v>18573</v>
      </c>
      <c r="Q3962" t="s">
        <v>18574</v>
      </c>
      <c r="R3962">
        <v>12</v>
      </c>
      <c r="S3962">
        <v>16</v>
      </c>
    </row>
    <row r="3963" spans="1:19" x14ac:dyDescent="0.35">
      <c r="A3963">
        <v>160</v>
      </c>
      <c r="B3963" t="s">
        <v>2902</v>
      </c>
      <c r="C3963" t="s">
        <v>42</v>
      </c>
      <c r="D3963" t="s">
        <v>17080</v>
      </c>
      <c r="E3963" t="e" cm="1">
        <f t="array" ref="E3963">- SILDENAFIL CITRATE</f>
        <v>#NAME?</v>
      </c>
      <c r="F3963" t="s">
        <v>17081</v>
      </c>
      <c r="G3963" t="s">
        <v>17056</v>
      </c>
      <c r="H3963" t="s">
        <v>17082</v>
      </c>
      <c r="I3963" t="s">
        <v>17083</v>
      </c>
      <c r="J3963" t="s">
        <v>5351</v>
      </c>
      <c r="M3963" t="s">
        <v>46</v>
      </c>
      <c r="N3963" t="s">
        <v>2519</v>
      </c>
      <c r="O3963" t="s">
        <v>12012</v>
      </c>
      <c r="P3963" t="s">
        <v>17084</v>
      </c>
      <c r="Q3963" t="s">
        <v>18552</v>
      </c>
      <c r="R3963">
        <v>12</v>
      </c>
      <c r="S3963">
        <v>16</v>
      </c>
    </row>
    <row r="3964" spans="1:19" x14ac:dyDescent="0.35">
      <c r="A3964">
        <v>1422</v>
      </c>
      <c r="B3964" t="s">
        <v>18575</v>
      </c>
      <c r="C3964" t="s">
        <v>42</v>
      </c>
      <c r="D3964" t="s">
        <v>18576</v>
      </c>
      <c r="E3964" t="e" cm="1">
        <f t="array" ref="E3964">- AMMONIUM CHLORIDE</f>
        <v>#NAME?</v>
      </c>
      <c r="F3964" t="s">
        <v>18577</v>
      </c>
      <c r="G3964" t="s">
        <v>8512</v>
      </c>
      <c r="H3964" t="s">
        <v>18578</v>
      </c>
      <c r="I3964" t="s">
        <v>18579</v>
      </c>
      <c r="J3964" t="s">
        <v>3856</v>
      </c>
      <c r="K3964" t="s">
        <v>18580</v>
      </c>
      <c r="L3964" t="s">
        <v>18581</v>
      </c>
      <c r="M3964" t="s">
        <v>271</v>
      </c>
      <c r="N3964" t="s">
        <v>1672</v>
      </c>
      <c r="O3964" t="s">
        <v>18582</v>
      </c>
      <c r="P3964" t="s">
        <v>18583</v>
      </c>
      <c r="Q3964" t="s">
        <v>18584</v>
      </c>
      <c r="R3964">
        <v>12</v>
      </c>
      <c r="S3964">
        <v>16</v>
      </c>
    </row>
    <row r="3965" spans="1:19" x14ac:dyDescent="0.35">
      <c r="A3965">
        <v>7722</v>
      </c>
      <c r="B3965" t="s">
        <v>18585</v>
      </c>
      <c r="C3965" t="s">
        <v>20</v>
      </c>
      <c r="D3965" t="s">
        <v>18586</v>
      </c>
      <c r="E3965" t="s">
        <v>18587</v>
      </c>
      <c r="F3965" t="s">
        <v>18588</v>
      </c>
      <c r="H3965" t="s">
        <v>18589</v>
      </c>
      <c r="I3965" t="s">
        <v>18590</v>
      </c>
      <c r="J3965" t="s">
        <v>302</v>
      </c>
      <c r="M3965" t="s">
        <v>38</v>
      </c>
      <c r="N3965" t="s">
        <v>18591</v>
      </c>
      <c r="O3965" t="s">
        <v>7912</v>
      </c>
      <c r="P3965" t="s">
        <v>18592</v>
      </c>
      <c r="Q3965" t="s">
        <v>18593</v>
      </c>
      <c r="R3965">
        <v>12</v>
      </c>
      <c r="S3965">
        <v>16</v>
      </c>
    </row>
    <row r="3966" spans="1:19" x14ac:dyDescent="0.35">
      <c r="A3966">
        <v>4816</v>
      </c>
      <c r="B3966" t="s">
        <v>18594</v>
      </c>
      <c r="C3966" t="s">
        <v>42</v>
      </c>
      <c r="D3966" t="s">
        <v>18595</v>
      </c>
      <c r="E3966" t="e" cm="1">
        <f t="array" ref="E3966">- GENTAMICIN SULFATE</f>
        <v>#NAME?</v>
      </c>
      <c r="F3966" t="s">
        <v>18596</v>
      </c>
      <c r="G3966" t="s">
        <v>6213</v>
      </c>
      <c r="H3966" t="s">
        <v>7542</v>
      </c>
      <c r="I3966" t="s">
        <v>18597</v>
      </c>
      <c r="J3966" t="s">
        <v>3511</v>
      </c>
      <c r="L3966" t="s">
        <v>2278</v>
      </c>
      <c r="M3966" t="s">
        <v>824</v>
      </c>
      <c r="N3966" t="s">
        <v>6119</v>
      </c>
      <c r="O3966" t="s">
        <v>18598</v>
      </c>
      <c r="P3966" t="s">
        <v>18599</v>
      </c>
      <c r="Q3966" t="s">
        <v>18600</v>
      </c>
      <c r="R3966">
        <v>12</v>
      </c>
      <c r="S3966">
        <v>16</v>
      </c>
    </row>
    <row r="3967" spans="1:19" x14ac:dyDescent="0.35">
      <c r="A3967">
        <v>2839</v>
      </c>
      <c r="B3967" t="s">
        <v>18601</v>
      </c>
      <c r="C3967" t="s">
        <v>42</v>
      </c>
      <c r="D3967" t="s">
        <v>18602</v>
      </c>
      <c r="E3967" t="e" cm="1">
        <f t="array" ref="E3967">- PARACETAMOL</f>
        <v>#NAME?</v>
      </c>
      <c r="F3967" t="s">
        <v>18603</v>
      </c>
      <c r="G3967" t="s">
        <v>60</v>
      </c>
      <c r="H3967" t="s">
        <v>18604</v>
      </c>
      <c r="I3967" t="s">
        <v>18605</v>
      </c>
      <c r="J3967" t="s">
        <v>334</v>
      </c>
      <c r="K3967" t="s">
        <v>18606</v>
      </c>
      <c r="L3967" t="s">
        <v>18607</v>
      </c>
      <c r="M3967" t="s">
        <v>340</v>
      </c>
      <c r="N3967" t="s">
        <v>584</v>
      </c>
      <c r="O3967" t="s">
        <v>18608</v>
      </c>
      <c r="P3967" t="s">
        <v>7643</v>
      </c>
      <c r="Q3967" t="s">
        <v>18609</v>
      </c>
      <c r="R3967">
        <v>12</v>
      </c>
      <c r="S3967">
        <v>16</v>
      </c>
    </row>
    <row r="3968" spans="1:19" x14ac:dyDescent="0.35">
      <c r="A3968">
        <v>4817</v>
      </c>
      <c r="B3968" t="s">
        <v>18594</v>
      </c>
      <c r="C3968" t="s">
        <v>42</v>
      </c>
      <c r="D3968" t="s">
        <v>18595</v>
      </c>
      <c r="E3968" t="e" cm="1">
        <f t="array" ref="E3968">- GENTAMICIN SULFATE</f>
        <v>#NAME?</v>
      </c>
      <c r="F3968" t="s">
        <v>18596</v>
      </c>
      <c r="G3968" t="s">
        <v>6213</v>
      </c>
      <c r="H3968" t="s">
        <v>7542</v>
      </c>
      <c r="I3968" t="s">
        <v>18597</v>
      </c>
      <c r="J3968" t="s">
        <v>3511</v>
      </c>
      <c r="L3968" t="s">
        <v>2278</v>
      </c>
      <c r="M3968" t="s">
        <v>824</v>
      </c>
      <c r="N3968" t="s">
        <v>6119</v>
      </c>
      <c r="O3968" t="s">
        <v>18598</v>
      </c>
      <c r="P3968" t="s">
        <v>18599</v>
      </c>
      <c r="Q3968" t="s">
        <v>18600</v>
      </c>
      <c r="R3968">
        <v>12</v>
      </c>
      <c r="S3968">
        <v>16</v>
      </c>
    </row>
    <row r="3969" spans="1:19" x14ac:dyDescent="0.35">
      <c r="A3969">
        <v>2824</v>
      </c>
      <c r="B3969" t="s">
        <v>17909</v>
      </c>
      <c r="C3969" t="s">
        <v>42</v>
      </c>
      <c r="D3969" t="s">
        <v>17910</v>
      </c>
      <c r="E3969" t="e" cm="1">
        <f t="array" ref="E3969">- PARACETAMOL</f>
        <v>#NAME?</v>
      </c>
      <c r="F3969" t="s">
        <v>17911</v>
      </c>
      <c r="G3969" t="s">
        <v>7219</v>
      </c>
      <c r="H3969" t="s">
        <v>17912</v>
      </c>
      <c r="I3969" t="s">
        <v>15138</v>
      </c>
      <c r="J3969" t="s">
        <v>630</v>
      </c>
      <c r="K3969" t="s">
        <v>15139</v>
      </c>
      <c r="L3969" t="s">
        <v>15140</v>
      </c>
      <c r="M3969" t="s">
        <v>340</v>
      </c>
      <c r="N3969" t="s">
        <v>584</v>
      </c>
      <c r="O3969" t="s">
        <v>15141</v>
      </c>
      <c r="P3969" t="s">
        <v>17913</v>
      </c>
      <c r="Q3969" t="s">
        <v>17914</v>
      </c>
      <c r="R3969">
        <v>12</v>
      </c>
      <c r="S3969">
        <v>16</v>
      </c>
    </row>
    <row r="3970" spans="1:19" x14ac:dyDescent="0.35">
      <c r="A3970">
        <v>1423</v>
      </c>
      <c r="B3970" t="s">
        <v>18575</v>
      </c>
      <c r="C3970" t="s">
        <v>42</v>
      </c>
      <c r="D3970" t="s">
        <v>18576</v>
      </c>
      <c r="E3970" t="e" cm="1">
        <f t="array" ref="E3970">- AMMONIUM CHLORIDE</f>
        <v>#NAME?</v>
      </c>
      <c r="F3970" t="s">
        <v>18577</v>
      </c>
      <c r="G3970" t="s">
        <v>8512</v>
      </c>
      <c r="H3970" t="s">
        <v>18578</v>
      </c>
      <c r="I3970" t="s">
        <v>18579</v>
      </c>
      <c r="J3970" t="s">
        <v>3856</v>
      </c>
      <c r="K3970" t="s">
        <v>18580</v>
      </c>
      <c r="L3970" t="s">
        <v>18581</v>
      </c>
      <c r="M3970" t="s">
        <v>271</v>
      </c>
      <c r="N3970" t="s">
        <v>1672</v>
      </c>
      <c r="O3970" t="s">
        <v>18582</v>
      </c>
      <c r="P3970" t="s">
        <v>18583</v>
      </c>
      <c r="Q3970" t="s">
        <v>18584</v>
      </c>
      <c r="R3970">
        <v>12</v>
      </c>
      <c r="S3970">
        <v>16</v>
      </c>
    </row>
    <row r="3971" spans="1:19" x14ac:dyDescent="0.35">
      <c r="A3971">
        <v>5374</v>
      </c>
      <c r="B3971" t="s">
        <v>18610</v>
      </c>
      <c r="C3971" t="s">
        <v>42</v>
      </c>
      <c r="D3971" t="s">
        <v>18611</v>
      </c>
      <c r="E3971" t="e" cm="1">
        <f t="array" ref="E3971">- BETAMETHASONE DIPROPIONATE</f>
        <v>#NAME?</v>
      </c>
      <c r="F3971" t="s">
        <v>18612</v>
      </c>
      <c r="H3971" t="s">
        <v>18613</v>
      </c>
      <c r="I3971" t="s">
        <v>18614</v>
      </c>
      <c r="J3971" t="s">
        <v>18615</v>
      </c>
      <c r="K3971" t="s">
        <v>18616</v>
      </c>
      <c r="L3971" t="s">
        <v>321</v>
      </c>
      <c r="M3971" t="s">
        <v>1289</v>
      </c>
      <c r="N3971" t="s">
        <v>2685</v>
      </c>
      <c r="O3971" t="s">
        <v>18617</v>
      </c>
      <c r="P3971" t="s">
        <v>18618</v>
      </c>
      <c r="Q3971" t="s">
        <v>18619</v>
      </c>
      <c r="R3971">
        <v>12</v>
      </c>
      <c r="S3971">
        <v>16</v>
      </c>
    </row>
    <row r="3972" spans="1:19" x14ac:dyDescent="0.35">
      <c r="A3972">
        <v>7434</v>
      </c>
      <c r="B3972" t="s">
        <v>18620</v>
      </c>
      <c r="C3972" t="s">
        <v>42</v>
      </c>
      <c r="D3972" t="s">
        <v>18621</v>
      </c>
      <c r="E3972" t="e" cm="1">
        <f t="array" ref="E3972">- CHOLECALCIFEROL</f>
        <v>#NAME?</v>
      </c>
      <c r="F3972" s="1">
        <v>52000</v>
      </c>
      <c r="G3972" t="s">
        <v>2241</v>
      </c>
      <c r="H3972" t="s">
        <v>18622</v>
      </c>
      <c r="I3972" t="s">
        <v>18623</v>
      </c>
      <c r="J3972" t="s">
        <v>18624</v>
      </c>
      <c r="K3972" t="s">
        <v>18625</v>
      </c>
      <c r="L3972" t="s">
        <v>18626</v>
      </c>
      <c r="M3972" t="s">
        <v>46</v>
      </c>
      <c r="N3972" t="s">
        <v>18627</v>
      </c>
      <c r="O3972" t="s">
        <v>18628</v>
      </c>
      <c r="P3972" t="s">
        <v>18629</v>
      </c>
      <c r="Q3972" t="s">
        <v>18630</v>
      </c>
      <c r="R3972">
        <v>12</v>
      </c>
      <c r="S3972">
        <v>16</v>
      </c>
    </row>
    <row r="3973" spans="1:19" x14ac:dyDescent="0.35">
      <c r="A3973">
        <v>4818</v>
      </c>
      <c r="B3973" t="s">
        <v>18594</v>
      </c>
      <c r="C3973" t="s">
        <v>42</v>
      </c>
      <c r="D3973" t="s">
        <v>18595</v>
      </c>
      <c r="E3973" t="e" cm="1">
        <f t="array" ref="E3973">- GENTAMICIN SULFATE</f>
        <v>#NAME?</v>
      </c>
      <c r="F3973" t="s">
        <v>18596</v>
      </c>
      <c r="G3973" t="s">
        <v>6213</v>
      </c>
      <c r="H3973" t="s">
        <v>7542</v>
      </c>
      <c r="I3973" t="s">
        <v>18597</v>
      </c>
      <c r="J3973" t="s">
        <v>3511</v>
      </c>
      <c r="L3973" t="s">
        <v>2278</v>
      </c>
      <c r="M3973" t="s">
        <v>824</v>
      </c>
      <c r="N3973" t="s">
        <v>6119</v>
      </c>
      <c r="O3973" t="s">
        <v>18598</v>
      </c>
      <c r="P3973" t="s">
        <v>18599</v>
      </c>
      <c r="Q3973" t="s">
        <v>18600</v>
      </c>
      <c r="R3973">
        <v>12</v>
      </c>
      <c r="S3973">
        <v>16</v>
      </c>
    </row>
    <row r="3974" spans="1:19" x14ac:dyDescent="0.35">
      <c r="A3974">
        <v>8886</v>
      </c>
      <c r="B3974" t="s">
        <v>18631</v>
      </c>
      <c r="C3974" t="s">
        <v>42</v>
      </c>
      <c r="D3974" t="s">
        <v>18632</v>
      </c>
      <c r="E3974" t="e" cm="1">
        <f t="array" ref="E3974">- INSULIN ASPART</f>
        <v>#NAME?</v>
      </c>
      <c r="F3974" t="s">
        <v>18633</v>
      </c>
      <c r="G3974" t="s">
        <v>18634</v>
      </c>
      <c r="H3974" t="s">
        <v>18635</v>
      </c>
      <c r="I3974" t="s">
        <v>18636</v>
      </c>
      <c r="J3974" t="s">
        <v>8611</v>
      </c>
      <c r="K3974" t="s">
        <v>18637</v>
      </c>
      <c r="L3974" t="s">
        <v>18638</v>
      </c>
      <c r="M3974" t="s">
        <v>2403</v>
      </c>
      <c r="N3974" t="s">
        <v>8614</v>
      </c>
      <c r="O3974" t="s">
        <v>18639</v>
      </c>
      <c r="P3974" t="s">
        <v>18640</v>
      </c>
      <c r="Q3974" t="s">
        <v>18641</v>
      </c>
      <c r="R3974">
        <v>12</v>
      </c>
      <c r="S3974">
        <v>16</v>
      </c>
    </row>
    <row r="3975" spans="1:19" x14ac:dyDescent="0.35">
      <c r="A3975">
        <v>8976</v>
      </c>
      <c r="B3975" t="s">
        <v>18642</v>
      </c>
      <c r="C3975" t="s">
        <v>42</v>
      </c>
      <c r="D3975" t="s">
        <v>18643</v>
      </c>
      <c r="E3975" t="e" cm="1">
        <f t="array" ref="E3975">- TELMISARTAN. AMLODIPINE BESILATE</f>
        <v>#NAME?</v>
      </c>
      <c r="F3975" t="s">
        <v>18644</v>
      </c>
      <c r="G3975" t="s">
        <v>18645</v>
      </c>
      <c r="H3975" t="s">
        <v>18646</v>
      </c>
      <c r="I3975" t="s">
        <v>15299</v>
      </c>
      <c r="J3975" t="s">
        <v>18647</v>
      </c>
      <c r="K3975" t="s">
        <v>18648</v>
      </c>
      <c r="L3975" t="s">
        <v>18649</v>
      </c>
    </row>
    <row r="3976" spans="1:19" x14ac:dyDescent="0.35">
      <c r="A3976">
        <v>4815</v>
      </c>
      <c r="B3976" t="s">
        <v>18594</v>
      </c>
      <c r="C3976" t="s">
        <v>42</v>
      </c>
      <c r="D3976" t="s">
        <v>18595</v>
      </c>
      <c r="E3976" t="e" cm="1">
        <f t="array" ref="E3976">- GENTAMICIN SULFATE</f>
        <v>#NAME?</v>
      </c>
      <c r="F3976" t="s">
        <v>18596</v>
      </c>
      <c r="G3976" t="s">
        <v>6213</v>
      </c>
      <c r="H3976" t="s">
        <v>7542</v>
      </c>
      <c r="I3976" t="s">
        <v>18597</v>
      </c>
      <c r="J3976" t="s">
        <v>3511</v>
      </c>
      <c r="L3976" t="s">
        <v>2278</v>
      </c>
      <c r="M3976" t="s">
        <v>824</v>
      </c>
      <c r="N3976" t="s">
        <v>6119</v>
      </c>
      <c r="O3976" t="s">
        <v>18598</v>
      </c>
      <c r="P3976" t="s">
        <v>18599</v>
      </c>
      <c r="Q3976" t="s">
        <v>18600</v>
      </c>
      <c r="R3976">
        <v>12</v>
      </c>
      <c r="S3976">
        <v>16</v>
      </c>
    </row>
    <row r="3977" spans="1:19" x14ac:dyDescent="0.35">
      <c r="A3977">
        <v>8887</v>
      </c>
      <c r="B3977" t="s">
        <v>18631</v>
      </c>
      <c r="C3977" t="s">
        <v>42</v>
      </c>
      <c r="D3977" t="s">
        <v>18632</v>
      </c>
      <c r="E3977" t="e" cm="1">
        <f t="array" ref="E3977">- INSULIN ASPART</f>
        <v>#NAME?</v>
      </c>
      <c r="F3977" t="s">
        <v>18633</v>
      </c>
      <c r="G3977" t="s">
        <v>18634</v>
      </c>
      <c r="H3977" t="s">
        <v>18635</v>
      </c>
      <c r="I3977" t="s">
        <v>18636</v>
      </c>
      <c r="J3977" t="s">
        <v>8611</v>
      </c>
      <c r="K3977" t="s">
        <v>18637</v>
      </c>
      <c r="L3977" t="s">
        <v>18638</v>
      </c>
      <c r="M3977" t="s">
        <v>2403</v>
      </c>
      <c r="N3977" t="s">
        <v>8614</v>
      </c>
      <c r="O3977" t="s">
        <v>18639</v>
      </c>
      <c r="P3977" t="s">
        <v>18640</v>
      </c>
      <c r="Q3977" t="s">
        <v>18641</v>
      </c>
      <c r="R3977">
        <v>12</v>
      </c>
      <c r="S3977">
        <v>16</v>
      </c>
    </row>
    <row r="3978" spans="1:19" x14ac:dyDescent="0.35">
      <c r="A3978">
        <v>4929</v>
      </c>
      <c r="B3978" t="s">
        <v>13938</v>
      </c>
      <c r="C3978" t="s">
        <v>42</v>
      </c>
      <c r="D3978" t="s">
        <v>13939</v>
      </c>
      <c r="E3978" t="e" cm="1">
        <f t="array" ref="E3978">- HYDROQUINONE. TRETINOIN. FLUOCINOLONE ACETONIDE</f>
        <v>#NAME?</v>
      </c>
      <c r="F3978" t="s">
        <v>13940</v>
      </c>
      <c r="G3978" t="s">
        <v>13941</v>
      </c>
      <c r="H3978" t="s">
        <v>13942</v>
      </c>
      <c r="I3978" t="s">
        <v>13943</v>
      </c>
      <c r="J3978" t="s">
        <v>13944</v>
      </c>
      <c r="K3978" t="s">
        <v>13945</v>
      </c>
      <c r="L3978" t="s">
        <v>13946</v>
      </c>
      <c r="M3978" t="s">
        <v>1289</v>
      </c>
      <c r="N3978" t="s">
        <v>18650</v>
      </c>
      <c r="O3978" t="s">
        <v>13947</v>
      </c>
      <c r="P3978" t="s">
        <v>13948</v>
      </c>
      <c r="Q3978" t="s">
        <v>18651</v>
      </c>
      <c r="R3978">
        <v>13</v>
      </c>
      <c r="S3978">
        <v>16</v>
      </c>
    </row>
    <row r="3979" spans="1:19" x14ac:dyDescent="0.35">
      <c r="A3979">
        <v>6639</v>
      </c>
      <c r="B3979" t="s">
        <v>18652</v>
      </c>
      <c r="C3979" t="s">
        <v>42</v>
      </c>
      <c r="D3979" t="s">
        <v>18653</v>
      </c>
      <c r="E3979" t="e" cm="1">
        <f t="array" ref="E3979">- OSELTAMIVIR PHOSPHATE</f>
        <v>#NAME?</v>
      </c>
      <c r="F3979" t="s">
        <v>18654</v>
      </c>
      <c r="G3979" t="s">
        <v>2241</v>
      </c>
      <c r="H3979" t="s">
        <v>17851</v>
      </c>
      <c r="I3979" t="s">
        <v>18655</v>
      </c>
      <c r="J3979" t="s">
        <v>18656</v>
      </c>
      <c r="K3979" t="s">
        <v>18657</v>
      </c>
      <c r="L3979" t="s">
        <v>18658</v>
      </c>
      <c r="M3979" t="s">
        <v>38</v>
      </c>
      <c r="N3979" t="s">
        <v>17856</v>
      </c>
      <c r="O3979" t="s">
        <v>18659</v>
      </c>
      <c r="P3979" t="s">
        <v>18660</v>
      </c>
      <c r="Q3979" t="s">
        <v>18661</v>
      </c>
      <c r="R3979">
        <v>13</v>
      </c>
      <c r="S3979">
        <v>16</v>
      </c>
    </row>
    <row r="3980" spans="1:19" x14ac:dyDescent="0.35">
      <c r="A3980">
        <v>6640</v>
      </c>
      <c r="B3980" t="s">
        <v>18652</v>
      </c>
      <c r="C3980" t="s">
        <v>42</v>
      </c>
      <c r="D3980" t="s">
        <v>18653</v>
      </c>
      <c r="E3980" t="e" cm="1">
        <f t="array" ref="E3980">- OSELTAMIVIR PHOSPHATE</f>
        <v>#NAME?</v>
      </c>
      <c r="F3980" t="s">
        <v>18654</v>
      </c>
      <c r="G3980" t="s">
        <v>2241</v>
      </c>
      <c r="H3980" t="s">
        <v>17851</v>
      </c>
      <c r="I3980" t="s">
        <v>18655</v>
      </c>
      <c r="J3980" t="s">
        <v>18656</v>
      </c>
      <c r="K3980" t="s">
        <v>18657</v>
      </c>
      <c r="L3980" t="s">
        <v>18658</v>
      </c>
      <c r="M3980" t="s">
        <v>38</v>
      </c>
      <c r="N3980" t="s">
        <v>17856</v>
      </c>
      <c r="O3980" t="s">
        <v>18659</v>
      </c>
      <c r="P3980" t="s">
        <v>18660</v>
      </c>
      <c r="Q3980" t="s">
        <v>18661</v>
      </c>
      <c r="R3980">
        <v>13</v>
      </c>
      <c r="S3980">
        <v>16</v>
      </c>
    </row>
    <row r="3981" spans="1:19" x14ac:dyDescent="0.35">
      <c r="A3981">
        <v>4233</v>
      </c>
      <c r="B3981" t="s">
        <v>18662</v>
      </c>
      <c r="C3981" t="s">
        <v>42</v>
      </c>
      <c r="D3981" t="s">
        <v>18663</v>
      </c>
      <c r="E3981" t="e" cm="1">
        <f t="array" ref="E3981">- CETIRIZINE HYDROCHLORIDE</f>
        <v>#NAME?</v>
      </c>
      <c r="F3981" t="s">
        <v>18664</v>
      </c>
      <c r="G3981" t="s">
        <v>5698</v>
      </c>
      <c r="H3981" t="s">
        <v>1498</v>
      </c>
      <c r="I3981" t="s">
        <v>18665</v>
      </c>
      <c r="J3981" t="s">
        <v>1093</v>
      </c>
      <c r="L3981" t="s">
        <v>382</v>
      </c>
      <c r="M3981" t="s">
        <v>46</v>
      </c>
      <c r="N3981" t="s">
        <v>1390</v>
      </c>
      <c r="O3981" t="s">
        <v>18666</v>
      </c>
      <c r="P3981" t="s">
        <v>18667</v>
      </c>
      <c r="Q3981" t="s">
        <v>18668</v>
      </c>
      <c r="R3981">
        <v>13</v>
      </c>
      <c r="S3981">
        <v>16</v>
      </c>
    </row>
    <row r="3982" spans="1:19" x14ac:dyDescent="0.35">
      <c r="A3982">
        <v>4928</v>
      </c>
      <c r="B3982" t="s">
        <v>13938</v>
      </c>
      <c r="C3982" t="s">
        <v>42</v>
      </c>
      <c r="D3982" t="s">
        <v>13939</v>
      </c>
      <c r="E3982" t="e" cm="1">
        <f t="array" ref="E3982">- HYDROQUINONE. TRETINOIN. FLUOCINOLONE ACETONIDE</f>
        <v>#NAME?</v>
      </c>
      <c r="F3982" t="s">
        <v>13940</v>
      </c>
      <c r="G3982" t="s">
        <v>13941</v>
      </c>
      <c r="H3982" t="s">
        <v>13942</v>
      </c>
      <c r="I3982" t="s">
        <v>13943</v>
      </c>
      <c r="J3982" t="s">
        <v>13944</v>
      </c>
      <c r="K3982" t="s">
        <v>13945</v>
      </c>
      <c r="L3982" t="s">
        <v>13946</v>
      </c>
      <c r="M3982" t="s">
        <v>1289</v>
      </c>
      <c r="N3982" t="s">
        <v>18650</v>
      </c>
      <c r="O3982" t="s">
        <v>13947</v>
      </c>
      <c r="P3982" t="s">
        <v>13948</v>
      </c>
      <c r="Q3982" t="s">
        <v>18651</v>
      </c>
      <c r="R3982">
        <v>13</v>
      </c>
      <c r="S3982">
        <v>16</v>
      </c>
    </row>
    <row r="3983" spans="1:19" x14ac:dyDescent="0.35">
      <c r="A3983">
        <v>6738</v>
      </c>
      <c r="B3983" t="s">
        <v>18669</v>
      </c>
      <c r="C3983" t="s">
        <v>42</v>
      </c>
      <c r="D3983" t="s">
        <v>18670</v>
      </c>
      <c r="E3983" t="e" cm="1">
        <f t="array" ref="E3983">- CALCITRIOL</f>
        <v>#NAME?</v>
      </c>
      <c r="F3983" t="s">
        <v>18671</v>
      </c>
      <c r="G3983" t="s">
        <v>18672</v>
      </c>
      <c r="H3983" t="s">
        <v>18673</v>
      </c>
      <c r="I3983" t="s">
        <v>18674</v>
      </c>
      <c r="J3983" t="s">
        <v>107</v>
      </c>
      <c r="K3983" t="s">
        <v>18675</v>
      </c>
      <c r="L3983" t="s">
        <v>18676</v>
      </c>
      <c r="M3983" t="s">
        <v>38</v>
      </c>
      <c r="N3983" t="s">
        <v>442</v>
      </c>
      <c r="O3983" t="s">
        <v>18677</v>
      </c>
      <c r="P3983" t="s">
        <v>18678</v>
      </c>
      <c r="Q3983" t="s">
        <v>18679</v>
      </c>
      <c r="R3983">
        <v>13</v>
      </c>
      <c r="S3983">
        <v>16</v>
      </c>
    </row>
    <row r="3984" spans="1:19" x14ac:dyDescent="0.35">
      <c r="A3984">
        <v>7575</v>
      </c>
      <c r="B3984" t="s">
        <v>18680</v>
      </c>
      <c r="C3984" t="s">
        <v>42</v>
      </c>
      <c r="D3984" t="s">
        <v>18681</v>
      </c>
      <c r="E3984" t="e" cm="1">
        <f t="array" ref="E3984">- CYANOCOBALAMIN</f>
        <v>#NAME?</v>
      </c>
      <c r="F3984" t="s">
        <v>18682</v>
      </c>
      <c r="H3984" t="s">
        <v>18683</v>
      </c>
      <c r="I3984" t="s">
        <v>18684</v>
      </c>
      <c r="J3984" t="s">
        <v>18685</v>
      </c>
      <c r="M3984" t="s">
        <v>46</v>
      </c>
      <c r="N3984" t="s">
        <v>677</v>
      </c>
      <c r="O3984" t="s">
        <v>18686</v>
      </c>
      <c r="P3984" t="s">
        <v>18687</v>
      </c>
      <c r="Q3984" t="s">
        <v>18688</v>
      </c>
      <c r="R3984">
        <v>13</v>
      </c>
      <c r="S3984">
        <v>16</v>
      </c>
    </row>
    <row r="3985" spans="1:19" x14ac:dyDescent="0.35">
      <c r="A3985">
        <v>4234</v>
      </c>
      <c r="B3985" t="s">
        <v>18689</v>
      </c>
      <c r="C3985" t="s">
        <v>42</v>
      </c>
      <c r="D3985" t="s">
        <v>18690</v>
      </c>
      <c r="E3985" t="e" cm="1">
        <f t="array" ref="E3985">- CETIRIZINE HYDROCHLORIDE</f>
        <v>#NAME?</v>
      </c>
      <c r="F3985" s="1">
        <v>7400</v>
      </c>
      <c r="G3985" t="s">
        <v>5698</v>
      </c>
      <c r="H3985" t="s">
        <v>18691</v>
      </c>
      <c r="I3985" t="s">
        <v>18665</v>
      </c>
      <c r="J3985" t="s">
        <v>334</v>
      </c>
      <c r="M3985" t="s">
        <v>271</v>
      </c>
      <c r="N3985" t="s">
        <v>1390</v>
      </c>
      <c r="O3985" t="s">
        <v>18666</v>
      </c>
      <c r="P3985" t="s">
        <v>18667</v>
      </c>
      <c r="Q3985" t="s">
        <v>18692</v>
      </c>
      <c r="R3985">
        <v>13</v>
      </c>
      <c r="S3985">
        <v>16</v>
      </c>
    </row>
    <row r="3986" spans="1:19" x14ac:dyDescent="0.35">
      <c r="A3986">
        <v>827</v>
      </c>
      <c r="B3986" t="s">
        <v>18693</v>
      </c>
      <c r="C3986" t="s">
        <v>42</v>
      </c>
      <c r="D3986" t="s">
        <v>18694</v>
      </c>
      <c r="E3986" t="e" cm="1">
        <f t="array" ref="E3986">- DEXTROMETHORPHAN HYDROBROMIDE</f>
        <v>#NAME?</v>
      </c>
      <c r="F3986" t="s">
        <v>18695</v>
      </c>
      <c r="G3986" t="s">
        <v>2241</v>
      </c>
      <c r="H3986" t="s">
        <v>18696</v>
      </c>
      <c r="I3986" t="s">
        <v>18697</v>
      </c>
      <c r="J3986" t="s">
        <v>374</v>
      </c>
      <c r="K3986" t="s">
        <v>14418</v>
      </c>
      <c r="L3986" t="s">
        <v>18698</v>
      </c>
      <c r="M3986" t="s">
        <v>271</v>
      </c>
      <c r="N3986" t="s">
        <v>1376</v>
      </c>
      <c r="O3986" t="s">
        <v>18699</v>
      </c>
      <c r="P3986" t="s">
        <v>18700</v>
      </c>
      <c r="Q3986" t="s">
        <v>18701</v>
      </c>
      <c r="R3986">
        <v>13</v>
      </c>
      <c r="S3986">
        <v>16</v>
      </c>
    </row>
    <row r="3987" spans="1:19" x14ac:dyDescent="0.35">
      <c r="A3987">
        <v>6737</v>
      </c>
      <c r="B3987" t="s">
        <v>18669</v>
      </c>
      <c r="C3987" t="s">
        <v>42</v>
      </c>
      <c r="D3987" t="s">
        <v>18670</v>
      </c>
      <c r="E3987" t="e" cm="1">
        <f t="array" ref="E3987">- CALCITRIOL</f>
        <v>#NAME?</v>
      </c>
      <c r="F3987" t="s">
        <v>18671</v>
      </c>
      <c r="G3987" t="s">
        <v>18672</v>
      </c>
      <c r="H3987" t="s">
        <v>18673</v>
      </c>
      <c r="I3987" t="s">
        <v>18674</v>
      </c>
      <c r="J3987" t="s">
        <v>107</v>
      </c>
      <c r="K3987" t="s">
        <v>18675</v>
      </c>
      <c r="L3987" t="s">
        <v>18676</v>
      </c>
      <c r="M3987" t="s">
        <v>38</v>
      </c>
      <c r="N3987" t="s">
        <v>442</v>
      </c>
      <c r="O3987" t="s">
        <v>18677</v>
      </c>
      <c r="P3987" t="s">
        <v>18678</v>
      </c>
      <c r="Q3987" t="s">
        <v>18679</v>
      </c>
      <c r="R3987">
        <v>13</v>
      </c>
      <c r="S3987">
        <v>16</v>
      </c>
    </row>
    <row r="3988" spans="1:19" x14ac:dyDescent="0.35">
      <c r="A3988">
        <v>6781</v>
      </c>
      <c r="B3988" t="s">
        <v>18702</v>
      </c>
      <c r="C3988" t="s">
        <v>42</v>
      </c>
      <c r="D3988" t="s">
        <v>18703</v>
      </c>
      <c r="E3988" t="e" cm="1">
        <f t="array" ref="E3988">- COLCHICINE</f>
        <v>#NAME?</v>
      </c>
      <c r="F3988" s="1">
        <v>57400</v>
      </c>
      <c r="I3988" t="s">
        <v>18704</v>
      </c>
      <c r="J3988" t="s">
        <v>2100</v>
      </c>
      <c r="M3988" t="s">
        <v>46</v>
      </c>
      <c r="N3988" t="s">
        <v>9119</v>
      </c>
      <c r="O3988" t="s">
        <v>18705</v>
      </c>
      <c r="P3988" t="s">
        <v>18706</v>
      </c>
      <c r="Q3988" t="s">
        <v>18707</v>
      </c>
      <c r="R3988">
        <v>13</v>
      </c>
      <c r="S3988">
        <v>16</v>
      </c>
    </row>
    <row r="3989" spans="1:19" x14ac:dyDescent="0.35">
      <c r="A3989">
        <v>6402</v>
      </c>
      <c r="B3989" t="s">
        <v>18708</v>
      </c>
      <c r="C3989" t="s">
        <v>42</v>
      </c>
      <c r="D3989" t="s">
        <v>18709</v>
      </c>
      <c r="E3989" t="e" cm="1">
        <f t="array" ref="E3989">- AMOXICILLIN TRIHYDRATE</f>
        <v>#NAME?</v>
      </c>
      <c r="F3989" t="s">
        <v>18710</v>
      </c>
      <c r="G3989" t="s">
        <v>18711</v>
      </c>
      <c r="H3989" t="s">
        <v>18712</v>
      </c>
      <c r="I3989" t="s">
        <v>18713</v>
      </c>
      <c r="J3989" t="s">
        <v>18714</v>
      </c>
      <c r="K3989" t="s">
        <v>18715</v>
      </c>
      <c r="L3989" t="s">
        <v>18716</v>
      </c>
      <c r="M3989" t="s">
        <v>271</v>
      </c>
      <c r="N3989" t="s">
        <v>1523</v>
      </c>
      <c r="O3989" t="s">
        <v>18717</v>
      </c>
      <c r="P3989" t="s">
        <v>18718</v>
      </c>
      <c r="Q3989" t="s">
        <v>18719</v>
      </c>
      <c r="R3989">
        <v>13</v>
      </c>
      <c r="S3989">
        <v>16</v>
      </c>
    </row>
    <row r="3990" spans="1:19" x14ac:dyDescent="0.35">
      <c r="A3990">
        <v>6336</v>
      </c>
      <c r="B3990" t="s">
        <v>7593</v>
      </c>
      <c r="C3990" t="s">
        <v>42</v>
      </c>
      <c r="D3990" t="s">
        <v>14447</v>
      </c>
      <c r="E3990" t="e" cm="1">
        <f t="array" ref="E3990">- ISONIAZID. PYRIDOXINE HYDROCHLORIDE</f>
        <v>#NAME?</v>
      </c>
      <c r="F3990" t="s">
        <v>14448</v>
      </c>
      <c r="G3990" t="s">
        <v>2241</v>
      </c>
      <c r="H3990" t="s">
        <v>14449</v>
      </c>
    </row>
    <row r="3991" spans="1:19" x14ac:dyDescent="0.35">
      <c r="A3991">
        <v>822</v>
      </c>
      <c r="B3991" t="s">
        <v>18693</v>
      </c>
      <c r="C3991" t="s">
        <v>42</v>
      </c>
      <c r="D3991" t="s">
        <v>18720</v>
      </c>
      <c r="E3991" t="e" cm="1">
        <f t="array" ref="E3991">- DEXTROMETHORPHAN HYDROBROMIDE</f>
        <v>#NAME?</v>
      </c>
      <c r="F3991" t="s">
        <v>18721</v>
      </c>
      <c r="G3991" t="s">
        <v>2241</v>
      </c>
      <c r="H3991" t="s">
        <v>18696</v>
      </c>
      <c r="I3991" t="s">
        <v>18697</v>
      </c>
      <c r="J3991" t="s">
        <v>14417</v>
      </c>
      <c r="K3991" t="s">
        <v>14418</v>
      </c>
      <c r="L3991" t="s">
        <v>18698</v>
      </c>
      <c r="M3991" t="s">
        <v>271</v>
      </c>
      <c r="N3991" t="s">
        <v>1376</v>
      </c>
      <c r="O3991" t="s">
        <v>18699</v>
      </c>
      <c r="P3991" t="s">
        <v>18700</v>
      </c>
      <c r="Q3991" t="s">
        <v>18701</v>
      </c>
      <c r="R3991">
        <v>13</v>
      </c>
      <c r="S3991">
        <v>16</v>
      </c>
    </row>
    <row r="3992" spans="1:19" x14ac:dyDescent="0.35">
      <c r="A3992">
        <v>6284</v>
      </c>
      <c r="B3992" t="s">
        <v>18722</v>
      </c>
      <c r="C3992" t="s">
        <v>42</v>
      </c>
      <c r="D3992" t="s">
        <v>18723</v>
      </c>
      <c r="E3992" t="e" cm="1">
        <f t="array" ref="E3992">- SULFAMETHOXAZOLE</f>
        <v>#NAME?</v>
      </c>
      <c r="F3992" t="s">
        <v>18724</v>
      </c>
      <c r="G3992" t="s">
        <v>18725</v>
      </c>
      <c r="H3992" t="s">
        <v>18726</v>
      </c>
      <c r="I3992" t="s">
        <v>18727</v>
      </c>
      <c r="J3992" t="s">
        <v>18728</v>
      </c>
      <c r="K3992" t="s">
        <v>2726</v>
      </c>
      <c r="L3992" t="s">
        <v>18729</v>
      </c>
      <c r="M3992" t="s">
        <v>46</v>
      </c>
      <c r="N3992" t="s">
        <v>478</v>
      </c>
      <c r="O3992" t="s">
        <v>18730</v>
      </c>
      <c r="P3992" t="s">
        <v>18731</v>
      </c>
      <c r="Q3992" t="s">
        <v>18732</v>
      </c>
      <c r="R3992">
        <v>13</v>
      </c>
      <c r="S3992">
        <v>16</v>
      </c>
    </row>
    <row r="3993" spans="1:19" x14ac:dyDescent="0.35">
      <c r="A3993">
        <v>4313</v>
      </c>
      <c r="B3993" t="s">
        <v>18733</v>
      </c>
      <c r="C3993" t="s">
        <v>850</v>
      </c>
      <c r="D3993" t="s">
        <v>18734</v>
      </c>
      <c r="E3993" t="e" cm="1">
        <f t="array" ref="E3993">- Asam Salisiat</f>
        <v>#NAME?</v>
      </c>
      <c r="F3993" t="s">
        <v>18735</v>
      </c>
      <c r="H3993" t="s">
        <v>1322</v>
      </c>
      <c r="I3993" t="s">
        <v>18736</v>
      </c>
      <c r="J3993" t="s">
        <v>3856</v>
      </c>
      <c r="L3993" t="s">
        <v>18737</v>
      </c>
      <c r="N3993" t="s">
        <v>18738</v>
      </c>
      <c r="O3993" t="s">
        <v>18739</v>
      </c>
      <c r="P3993" t="s">
        <v>4011</v>
      </c>
      <c r="Q3993" t="s">
        <v>18740</v>
      </c>
      <c r="R3993">
        <v>13</v>
      </c>
      <c r="S3993">
        <v>16</v>
      </c>
    </row>
    <row r="3994" spans="1:19" x14ac:dyDescent="0.35">
      <c r="A3994">
        <v>7716</v>
      </c>
      <c r="B3994" t="s">
        <v>3649</v>
      </c>
      <c r="C3994" t="s">
        <v>42</v>
      </c>
      <c r="D3994" t="s">
        <v>3650</v>
      </c>
      <c r="E3994" t="e" cm="1">
        <f t="array" ref="E3994">- THIAMINE MONONITRATE. PYRIDOXINE HYDROCHLORIDE. CYANOCOBALAMIN. ADENOSINE TRIPHOSPHATE DISODIUM. DL-ALPHA-TOCOPHERYL ACETATE</f>
        <v>#NAME?</v>
      </c>
      <c r="F3994" t="s">
        <v>3651</v>
      </c>
      <c r="H3994" t="s">
        <v>269</v>
      </c>
      <c r="L3994" t="s">
        <v>270</v>
      </c>
      <c r="M3994" t="s">
        <v>46</v>
      </c>
      <c r="N3994" t="s">
        <v>18741</v>
      </c>
      <c r="P3994" t="s">
        <v>3653</v>
      </c>
      <c r="Q3994" t="s">
        <v>18742</v>
      </c>
      <c r="R3994">
        <v>13</v>
      </c>
      <c r="S3994">
        <v>16</v>
      </c>
    </row>
    <row r="3995" spans="1:19" x14ac:dyDescent="0.35">
      <c r="A3995">
        <v>534</v>
      </c>
      <c r="B3995" t="s">
        <v>18743</v>
      </c>
      <c r="C3995" t="s">
        <v>42</v>
      </c>
      <c r="D3995" t="s">
        <v>18744</v>
      </c>
      <c r="E3995" t="e" cm="1">
        <f t="array" ref="E3995">- TRETOQUINOL HYDROCHLORIDE</f>
        <v>#NAME?</v>
      </c>
      <c r="F3995" t="s">
        <v>18745</v>
      </c>
      <c r="H3995" t="s">
        <v>18746</v>
      </c>
    </row>
    <row r="3996" spans="1:19" x14ac:dyDescent="0.35">
      <c r="A3996">
        <v>4676</v>
      </c>
      <c r="B3996" t="s">
        <v>18747</v>
      </c>
      <c r="C3996" t="s">
        <v>42</v>
      </c>
      <c r="D3996" t="s">
        <v>18748</v>
      </c>
      <c r="E3996" t="s">
        <v>16311</v>
      </c>
      <c r="F3996" t="s">
        <v>18749</v>
      </c>
      <c r="G3996" t="s">
        <v>7569</v>
      </c>
      <c r="H3996" t="s">
        <v>16213</v>
      </c>
      <c r="I3996" t="s">
        <v>16313</v>
      </c>
      <c r="J3996" t="s">
        <v>18750</v>
      </c>
      <c r="K3996" t="s">
        <v>3473</v>
      </c>
      <c r="L3996" t="s">
        <v>16314</v>
      </c>
      <c r="M3996" t="s">
        <v>824</v>
      </c>
      <c r="N3996" t="s">
        <v>16315</v>
      </c>
      <c r="O3996" t="s">
        <v>16316</v>
      </c>
      <c r="P3996" t="s">
        <v>18751</v>
      </c>
      <c r="Q3996" t="s">
        <v>18752</v>
      </c>
      <c r="R3996">
        <v>13</v>
      </c>
      <c r="S3996">
        <v>16</v>
      </c>
    </row>
    <row r="3997" spans="1:19" x14ac:dyDescent="0.35">
      <c r="A3997">
        <v>4677</v>
      </c>
      <c r="B3997" t="s">
        <v>18747</v>
      </c>
      <c r="C3997" t="s">
        <v>42</v>
      </c>
      <c r="D3997" t="s">
        <v>18748</v>
      </c>
      <c r="E3997" t="s">
        <v>16311</v>
      </c>
      <c r="F3997" t="s">
        <v>18749</v>
      </c>
      <c r="G3997" t="s">
        <v>7569</v>
      </c>
      <c r="H3997" t="s">
        <v>16213</v>
      </c>
      <c r="I3997" t="s">
        <v>16313</v>
      </c>
      <c r="J3997" t="s">
        <v>18750</v>
      </c>
      <c r="K3997" t="s">
        <v>3473</v>
      </c>
      <c r="L3997" t="s">
        <v>16314</v>
      </c>
      <c r="M3997" t="s">
        <v>824</v>
      </c>
      <c r="N3997" t="s">
        <v>16315</v>
      </c>
      <c r="O3997" t="s">
        <v>16316</v>
      </c>
      <c r="P3997" t="s">
        <v>18751</v>
      </c>
      <c r="Q3997" t="s">
        <v>18752</v>
      </c>
      <c r="R3997">
        <v>13</v>
      </c>
      <c r="S3997">
        <v>16</v>
      </c>
    </row>
    <row r="3998" spans="1:19" x14ac:dyDescent="0.35">
      <c r="A3998">
        <v>6638</v>
      </c>
      <c r="B3998" t="s">
        <v>18652</v>
      </c>
      <c r="C3998" t="s">
        <v>42</v>
      </c>
      <c r="D3998" t="s">
        <v>18653</v>
      </c>
      <c r="E3998" t="e" cm="1">
        <f t="array" ref="E3998">- OSELTAMIVIR PHOSPHATE</f>
        <v>#NAME?</v>
      </c>
      <c r="F3998" t="s">
        <v>18654</v>
      </c>
      <c r="G3998" t="s">
        <v>2241</v>
      </c>
      <c r="H3998" t="s">
        <v>17851</v>
      </c>
      <c r="I3998" t="s">
        <v>18655</v>
      </c>
      <c r="J3998" t="s">
        <v>18656</v>
      </c>
      <c r="K3998" t="s">
        <v>18657</v>
      </c>
      <c r="L3998" t="s">
        <v>18658</v>
      </c>
      <c r="M3998" t="s">
        <v>38</v>
      </c>
      <c r="N3998" t="s">
        <v>17856</v>
      </c>
      <c r="O3998" t="s">
        <v>18659</v>
      </c>
      <c r="P3998" t="s">
        <v>18660</v>
      </c>
      <c r="Q3998" t="s">
        <v>18661</v>
      </c>
      <c r="R3998">
        <v>13</v>
      </c>
      <c r="S3998">
        <v>16</v>
      </c>
    </row>
    <row r="3999" spans="1:19" x14ac:dyDescent="0.35">
      <c r="A3999">
        <v>6645</v>
      </c>
      <c r="B3999" t="s">
        <v>18652</v>
      </c>
      <c r="C3999" t="s">
        <v>42</v>
      </c>
      <c r="D3999" t="s">
        <v>18653</v>
      </c>
      <c r="E3999" t="e" cm="1">
        <f t="array" ref="E3999">- OSELTAMIVIR PHOSPHATE</f>
        <v>#NAME?</v>
      </c>
      <c r="F3999" t="s">
        <v>18654</v>
      </c>
      <c r="G3999" t="s">
        <v>2241</v>
      </c>
      <c r="H3999" t="s">
        <v>17851</v>
      </c>
      <c r="I3999" t="s">
        <v>18655</v>
      </c>
      <c r="J3999" t="s">
        <v>18656</v>
      </c>
      <c r="K3999" t="s">
        <v>18657</v>
      </c>
      <c r="L3999" t="s">
        <v>18658</v>
      </c>
      <c r="M3999" t="s">
        <v>38</v>
      </c>
      <c r="N3999" t="s">
        <v>17856</v>
      </c>
      <c r="O3999" t="s">
        <v>18659</v>
      </c>
      <c r="P3999" t="s">
        <v>18660</v>
      </c>
      <c r="Q3999" t="s">
        <v>18661</v>
      </c>
      <c r="R3999">
        <v>13</v>
      </c>
      <c r="S3999">
        <v>16</v>
      </c>
    </row>
    <row r="4000" spans="1:19" x14ac:dyDescent="0.35">
      <c r="A4000">
        <v>6644</v>
      </c>
      <c r="B4000" t="s">
        <v>18652</v>
      </c>
      <c r="C4000" t="s">
        <v>42</v>
      </c>
      <c r="D4000" t="s">
        <v>18653</v>
      </c>
      <c r="E4000" t="e" cm="1">
        <f t="array" ref="E4000">- OSELTAMIVIR PHOSPHATE</f>
        <v>#NAME?</v>
      </c>
      <c r="F4000" t="s">
        <v>18654</v>
      </c>
      <c r="G4000" t="s">
        <v>2241</v>
      </c>
      <c r="H4000" t="s">
        <v>17851</v>
      </c>
      <c r="I4000" t="s">
        <v>18655</v>
      </c>
      <c r="J4000" t="s">
        <v>18656</v>
      </c>
      <c r="K4000" t="s">
        <v>18657</v>
      </c>
      <c r="L4000" t="s">
        <v>18658</v>
      </c>
      <c r="M4000" t="s">
        <v>38</v>
      </c>
      <c r="N4000" t="s">
        <v>17856</v>
      </c>
      <c r="O4000" t="s">
        <v>18659</v>
      </c>
      <c r="P4000" t="s">
        <v>18660</v>
      </c>
      <c r="Q4000" t="s">
        <v>18661</v>
      </c>
      <c r="R4000">
        <v>13</v>
      </c>
      <c r="S4000">
        <v>16</v>
      </c>
    </row>
    <row r="4001" spans="1:19" x14ac:dyDescent="0.35">
      <c r="A4001">
        <v>4933</v>
      </c>
      <c r="B4001" t="s">
        <v>13938</v>
      </c>
      <c r="C4001" t="s">
        <v>42</v>
      </c>
      <c r="D4001" t="s">
        <v>13969</v>
      </c>
      <c r="E4001" t="e" cm="1">
        <f t="array" ref="E4001">- HYDROQUINONE. TRETINOIN. FLUOCINOLONE ACETONIDE</f>
        <v>#NAME?</v>
      </c>
      <c r="F4001" t="s">
        <v>13970</v>
      </c>
      <c r="G4001" t="s">
        <v>13941</v>
      </c>
      <c r="H4001" t="s">
        <v>13942</v>
      </c>
      <c r="I4001" t="s">
        <v>13943</v>
      </c>
      <c r="J4001" t="s">
        <v>1367</v>
      </c>
      <c r="K4001" t="s">
        <v>13971</v>
      </c>
      <c r="L4001" t="s">
        <v>13946</v>
      </c>
      <c r="M4001" t="s">
        <v>1289</v>
      </c>
      <c r="N4001" t="s">
        <v>18650</v>
      </c>
      <c r="O4001" t="s">
        <v>13947</v>
      </c>
      <c r="P4001" t="s">
        <v>13948</v>
      </c>
      <c r="Q4001" t="s">
        <v>18651</v>
      </c>
      <c r="R4001">
        <v>13</v>
      </c>
      <c r="S4001">
        <v>16</v>
      </c>
    </row>
    <row r="4002" spans="1:19" x14ac:dyDescent="0.35">
      <c r="A4002">
        <v>4932</v>
      </c>
      <c r="B4002" t="s">
        <v>13938</v>
      </c>
      <c r="C4002" t="s">
        <v>42</v>
      </c>
      <c r="D4002" t="s">
        <v>13969</v>
      </c>
      <c r="E4002" t="e" cm="1">
        <f t="array" ref="E4002">- HYDROQUINONE. TRETINOIN. FLUOCINOLONE ACETONIDE</f>
        <v>#NAME?</v>
      </c>
      <c r="F4002" t="s">
        <v>13970</v>
      </c>
      <c r="G4002" t="s">
        <v>13941</v>
      </c>
      <c r="H4002" t="s">
        <v>13942</v>
      </c>
      <c r="I4002" t="s">
        <v>13943</v>
      </c>
      <c r="J4002" t="s">
        <v>1367</v>
      </c>
      <c r="K4002" t="s">
        <v>13971</v>
      </c>
      <c r="L4002" t="s">
        <v>13946</v>
      </c>
      <c r="M4002" t="s">
        <v>1289</v>
      </c>
      <c r="N4002" t="s">
        <v>18650</v>
      </c>
      <c r="O4002" t="s">
        <v>13947</v>
      </c>
      <c r="P4002" t="s">
        <v>13948</v>
      </c>
      <c r="Q4002" t="s">
        <v>18651</v>
      </c>
      <c r="R4002">
        <v>13</v>
      </c>
      <c r="S4002">
        <v>16</v>
      </c>
    </row>
    <row r="4003" spans="1:19" x14ac:dyDescent="0.35">
      <c r="A4003">
        <v>6678</v>
      </c>
      <c r="B4003" t="s">
        <v>18753</v>
      </c>
      <c r="C4003" t="s">
        <v>42</v>
      </c>
      <c r="D4003" t="s">
        <v>18754</v>
      </c>
      <c r="E4003" t="e" cm="1">
        <f t="array" ref="E4003">- METHISOPRINOL</f>
        <v>#NAME?</v>
      </c>
      <c r="F4003" t="s">
        <v>18755</v>
      </c>
      <c r="G4003" t="s">
        <v>4545</v>
      </c>
      <c r="H4003" t="s">
        <v>18756</v>
      </c>
      <c r="I4003" t="s">
        <v>18757</v>
      </c>
      <c r="J4003" t="s">
        <v>18758</v>
      </c>
      <c r="K4003" t="s">
        <v>18759</v>
      </c>
      <c r="L4003" t="s">
        <v>18760</v>
      </c>
      <c r="M4003" t="s">
        <v>46</v>
      </c>
      <c r="N4003" t="s">
        <v>322</v>
      </c>
      <c r="O4003" t="s">
        <v>18761</v>
      </c>
      <c r="P4003" t="s">
        <v>323</v>
      </c>
      <c r="Q4003" t="s">
        <v>18762</v>
      </c>
      <c r="R4003">
        <v>13</v>
      </c>
      <c r="S4003">
        <v>16</v>
      </c>
    </row>
    <row r="4004" spans="1:19" x14ac:dyDescent="0.35">
      <c r="A4004">
        <v>4978</v>
      </c>
      <c r="B4004" t="s">
        <v>18763</v>
      </c>
      <c r="C4004" t="s">
        <v>42</v>
      </c>
      <c r="D4004" t="s">
        <v>18764</v>
      </c>
      <c r="E4004" t="e" cm="1">
        <f t="array" ref="E4004">- BETAMETHASONE VALERATE</f>
        <v>#NAME?</v>
      </c>
      <c r="F4004" t="s">
        <v>18765</v>
      </c>
      <c r="G4004" t="s">
        <v>18766</v>
      </c>
      <c r="H4004" t="s">
        <v>18767</v>
      </c>
      <c r="I4004" t="s">
        <v>18768</v>
      </c>
      <c r="J4004" t="s">
        <v>18769</v>
      </c>
      <c r="K4004" t="s">
        <v>18770</v>
      </c>
      <c r="L4004" t="s">
        <v>18771</v>
      </c>
      <c r="M4004" t="s">
        <v>1289</v>
      </c>
      <c r="N4004" t="s">
        <v>2059</v>
      </c>
      <c r="O4004" t="s">
        <v>18772</v>
      </c>
      <c r="P4004" t="s">
        <v>18773</v>
      </c>
      <c r="Q4004" t="s">
        <v>18774</v>
      </c>
      <c r="R4004">
        <v>13</v>
      </c>
      <c r="S4004">
        <v>16</v>
      </c>
    </row>
    <row r="4005" spans="1:19" x14ac:dyDescent="0.35">
      <c r="A4005">
        <v>6643</v>
      </c>
      <c r="B4005" t="s">
        <v>18652</v>
      </c>
      <c r="C4005" t="s">
        <v>42</v>
      </c>
      <c r="D4005" t="s">
        <v>18653</v>
      </c>
      <c r="E4005" t="e" cm="1">
        <f t="array" ref="E4005">- OSELTAMIVIR PHOSPHATE</f>
        <v>#NAME?</v>
      </c>
      <c r="F4005" t="s">
        <v>18654</v>
      </c>
      <c r="G4005" t="s">
        <v>2241</v>
      </c>
      <c r="H4005" t="s">
        <v>17851</v>
      </c>
      <c r="I4005" t="s">
        <v>18655</v>
      </c>
      <c r="J4005" t="s">
        <v>18656</v>
      </c>
      <c r="K4005" t="s">
        <v>18657</v>
      </c>
      <c r="L4005" t="s">
        <v>18658</v>
      </c>
      <c r="M4005" t="s">
        <v>38</v>
      </c>
      <c r="N4005" t="s">
        <v>17856</v>
      </c>
      <c r="O4005" t="s">
        <v>18659</v>
      </c>
      <c r="P4005" t="s">
        <v>18660</v>
      </c>
      <c r="Q4005" t="s">
        <v>18661</v>
      </c>
      <c r="R4005">
        <v>13</v>
      </c>
      <c r="S4005">
        <v>16</v>
      </c>
    </row>
    <row r="4006" spans="1:19" x14ac:dyDescent="0.35">
      <c r="A4006">
        <v>755</v>
      </c>
      <c r="B4006" t="s">
        <v>18775</v>
      </c>
      <c r="C4006" t="s">
        <v>42</v>
      </c>
      <c r="D4006" t="s">
        <v>18776</v>
      </c>
      <c r="E4006" t="e" cm="1">
        <f t="array" ref="E4006">- CHLORPHENAMINE MALEATE</f>
        <v>#NAME?</v>
      </c>
      <c r="F4006" t="s">
        <v>18777</v>
      </c>
      <c r="G4006" t="s">
        <v>2266</v>
      </c>
      <c r="H4006" t="s">
        <v>18778</v>
      </c>
      <c r="I4006" t="s">
        <v>18779</v>
      </c>
      <c r="J4006" t="s">
        <v>334</v>
      </c>
      <c r="K4006" t="s">
        <v>14337</v>
      </c>
      <c r="L4006" t="s">
        <v>14338</v>
      </c>
      <c r="M4006" t="s">
        <v>271</v>
      </c>
      <c r="N4006" t="s">
        <v>1354</v>
      </c>
      <c r="O4006" t="s">
        <v>18780</v>
      </c>
      <c r="P4006" t="s">
        <v>18781</v>
      </c>
      <c r="Q4006" t="s">
        <v>18782</v>
      </c>
      <c r="R4006">
        <v>13</v>
      </c>
      <c r="S4006">
        <v>16</v>
      </c>
    </row>
    <row r="4007" spans="1:19" x14ac:dyDescent="0.35">
      <c r="A4007">
        <v>6641</v>
      </c>
      <c r="B4007" t="s">
        <v>18652</v>
      </c>
      <c r="C4007" t="s">
        <v>42</v>
      </c>
      <c r="D4007" t="s">
        <v>18653</v>
      </c>
      <c r="E4007" t="e" cm="1">
        <f t="array" ref="E4007">- OSELTAMIVIR PHOSPHATE</f>
        <v>#NAME?</v>
      </c>
      <c r="F4007" t="s">
        <v>18654</v>
      </c>
      <c r="G4007" t="s">
        <v>2241</v>
      </c>
      <c r="H4007" t="s">
        <v>17851</v>
      </c>
      <c r="I4007" t="s">
        <v>18655</v>
      </c>
      <c r="J4007" t="s">
        <v>18656</v>
      </c>
      <c r="K4007" t="s">
        <v>18657</v>
      </c>
      <c r="L4007" t="s">
        <v>18658</v>
      </c>
      <c r="M4007" t="s">
        <v>38</v>
      </c>
      <c r="N4007" t="s">
        <v>17856</v>
      </c>
      <c r="O4007" t="s">
        <v>18659</v>
      </c>
      <c r="P4007" t="s">
        <v>18660</v>
      </c>
      <c r="Q4007" t="s">
        <v>18661</v>
      </c>
      <c r="R4007">
        <v>13</v>
      </c>
      <c r="S4007">
        <v>16</v>
      </c>
    </row>
    <row r="4008" spans="1:19" x14ac:dyDescent="0.35">
      <c r="A4008">
        <v>6395</v>
      </c>
      <c r="B4008" t="s">
        <v>17598</v>
      </c>
      <c r="C4008" t="s">
        <v>42</v>
      </c>
      <c r="D4008" t="s">
        <v>17599</v>
      </c>
      <c r="E4008" t="e" cm="1">
        <f t="array" ref="E4008">- SULFAMETHOXAZOLE. TRIMETHOPRIM</f>
        <v>#NAME?</v>
      </c>
      <c r="F4008" s="1">
        <v>21400</v>
      </c>
      <c r="G4008" t="s">
        <v>2241</v>
      </c>
      <c r="H4008" t="s">
        <v>17600</v>
      </c>
      <c r="I4008" t="s">
        <v>17601</v>
      </c>
      <c r="J4008" t="s">
        <v>846</v>
      </c>
      <c r="K4008" t="s">
        <v>17602</v>
      </c>
      <c r="L4008" t="s">
        <v>17603</v>
      </c>
      <c r="M4008" t="s">
        <v>340</v>
      </c>
      <c r="N4008" t="s">
        <v>1379</v>
      </c>
      <c r="O4008" t="s">
        <v>17604</v>
      </c>
      <c r="P4008" t="s">
        <v>17605</v>
      </c>
      <c r="Q4008" t="s">
        <v>18783</v>
      </c>
      <c r="R4008">
        <v>13</v>
      </c>
      <c r="S4008">
        <v>16</v>
      </c>
    </row>
    <row r="4009" spans="1:19" x14ac:dyDescent="0.35">
      <c r="A4009">
        <v>4296</v>
      </c>
      <c r="B4009" t="s">
        <v>18784</v>
      </c>
      <c r="C4009" t="s">
        <v>42</v>
      </c>
      <c r="D4009" t="s">
        <v>18785</v>
      </c>
      <c r="E4009" t="e" cm="1">
        <f t="array" ref="E4009">- CHLORPHENAMINE MALEATE</f>
        <v>#NAME?</v>
      </c>
      <c r="F4009" t="s">
        <v>18786</v>
      </c>
      <c r="G4009" t="s">
        <v>2855</v>
      </c>
      <c r="H4009" t="s">
        <v>18787</v>
      </c>
      <c r="I4009" t="s">
        <v>18788</v>
      </c>
      <c r="J4009" t="s">
        <v>18789</v>
      </c>
      <c r="K4009" t="s">
        <v>18790</v>
      </c>
      <c r="L4009" t="s">
        <v>321</v>
      </c>
      <c r="M4009" t="s">
        <v>46</v>
      </c>
      <c r="N4009" t="s">
        <v>1354</v>
      </c>
      <c r="O4009" t="s">
        <v>18791</v>
      </c>
      <c r="P4009" t="s">
        <v>18792</v>
      </c>
      <c r="Q4009" t="s">
        <v>18793</v>
      </c>
      <c r="R4009">
        <v>13</v>
      </c>
      <c r="S4009">
        <v>16</v>
      </c>
    </row>
    <row r="4010" spans="1:19" x14ac:dyDescent="0.35">
      <c r="A4010">
        <v>4977</v>
      </c>
      <c r="B4010" t="s">
        <v>18763</v>
      </c>
      <c r="C4010" t="s">
        <v>42</v>
      </c>
      <c r="D4010" t="s">
        <v>18764</v>
      </c>
      <c r="E4010" t="e" cm="1">
        <f t="array" ref="E4010">- BETAMETHASONE VALERATE</f>
        <v>#NAME?</v>
      </c>
      <c r="F4010" t="s">
        <v>18765</v>
      </c>
      <c r="G4010" t="s">
        <v>18766</v>
      </c>
      <c r="H4010" t="s">
        <v>18767</v>
      </c>
      <c r="I4010" t="s">
        <v>18768</v>
      </c>
      <c r="J4010" t="s">
        <v>18769</v>
      </c>
      <c r="K4010" t="s">
        <v>18770</v>
      </c>
      <c r="L4010" t="s">
        <v>18771</v>
      </c>
      <c r="M4010" t="s">
        <v>1289</v>
      </c>
      <c r="N4010" t="s">
        <v>2059</v>
      </c>
      <c r="O4010" t="s">
        <v>18772</v>
      </c>
      <c r="P4010" t="s">
        <v>18773</v>
      </c>
      <c r="Q4010" t="s">
        <v>18774</v>
      </c>
      <c r="R4010">
        <v>13</v>
      </c>
      <c r="S4010">
        <v>16</v>
      </c>
    </row>
    <row r="4011" spans="1:19" x14ac:dyDescent="0.35">
      <c r="A4011">
        <v>826</v>
      </c>
      <c r="B4011" t="s">
        <v>18693</v>
      </c>
      <c r="C4011" t="s">
        <v>42</v>
      </c>
      <c r="D4011" t="s">
        <v>18694</v>
      </c>
      <c r="E4011" t="e" cm="1">
        <f t="array" ref="E4011">- DEXTROMETHORPHAN HYDROBROMIDE</f>
        <v>#NAME?</v>
      </c>
      <c r="F4011" t="s">
        <v>18695</v>
      </c>
      <c r="G4011" t="s">
        <v>2241</v>
      </c>
      <c r="H4011" t="s">
        <v>18696</v>
      </c>
      <c r="I4011" t="s">
        <v>18697</v>
      </c>
      <c r="J4011" t="s">
        <v>374</v>
      </c>
      <c r="K4011" t="s">
        <v>14418</v>
      </c>
      <c r="L4011" t="s">
        <v>18698</v>
      </c>
      <c r="M4011" t="s">
        <v>271</v>
      </c>
      <c r="N4011" t="s">
        <v>1376</v>
      </c>
      <c r="O4011" t="s">
        <v>18699</v>
      </c>
      <c r="P4011" t="s">
        <v>18700</v>
      </c>
      <c r="Q4011" t="s">
        <v>18701</v>
      </c>
      <c r="R4011">
        <v>13</v>
      </c>
      <c r="S4011">
        <v>16</v>
      </c>
    </row>
    <row r="4012" spans="1:19" x14ac:dyDescent="0.35">
      <c r="A4012">
        <v>6335</v>
      </c>
      <c r="B4012" t="s">
        <v>7593</v>
      </c>
      <c r="C4012" t="s">
        <v>42</v>
      </c>
      <c r="D4012" t="s">
        <v>14447</v>
      </c>
      <c r="E4012" t="e" cm="1">
        <f t="array" ref="E4012">- ISONIAZID. PYRIDOXINE HYDROCHLORIDE</f>
        <v>#NAME?</v>
      </c>
      <c r="F4012" t="s">
        <v>14448</v>
      </c>
      <c r="G4012" t="s">
        <v>2241</v>
      </c>
      <c r="H4012" t="s">
        <v>14449</v>
      </c>
    </row>
    <row r="4013" spans="1:19" x14ac:dyDescent="0.35">
      <c r="A4013">
        <v>4295</v>
      </c>
      <c r="B4013" t="s">
        <v>18784</v>
      </c>
      <c r="C4013" t="s">
        <v>42</v>
      </c>
      <c r="D4013" t="s">
        <v>18785</v>
      </c>
      <c r="E4013" t="e" cm="1">
        <f t="array" ref="E4013">- CHLORPHENAMINE MALEATE</f>
        <v>#NAME?</v>
      </c>
      <c r="F4013" t="s">
        <v>18786</v>
      </c>
      <c r="G4013" t="s">
        <v>2855</v>
      </c>
      <c r="H4013" t="s">
        <v>18787</v>
      </c>
      <c r="I4013" t="s">
        <v>18788</v>
      </c>
      <c r="J4013" t="s">
        <v>18789</v>
      </c>
      <c r="K4013" t="s">
        <v>18790</v>
      </c>
      <c r="L4013" t="s">
        <v>321</v>
      </c>
      <c r="M4013" t="s">
        <v>46</v>
      </c>
      <c r="N4013" t="s">
        <v>1354</v>
      </c>
      <c r="O4013" t="s">
        <v>18791</v>
      </c>
      <c r="P4013" t="s">
        <v>18792</v>
      </c>
      <c r="Q4013" t="s">
        <v>18793</v>
      </c>
      <c r="R4013">
        <v>13</v>
      </c>
      <c r="S4013">
        <v>16</v>
      </c>
    </row>
    <row r="4014" spans="1:19" x14ac:dyDescent="0.35">
      <c r="A4014">
        <v>537</v>
      </c>
      <c r="B4014" t="s">
        <v>18794</v>
      </c>
      <c r="C4014" t="s">
        <v>42</v>
      </c>
      <c r="D4014" t="s">
        <v>18795</v>
      </c>
      <c r="E4014" t="e" cm="1">
        <f t="array" ref="E4014">- TERBUTALINE SULFATE</f>
        <v>#NAME?</v>
      </c>
      <c r="F4014" t="s">
        <v>18796</v>
      </c>
      <c r="G4014" t="s">
        <v>60</v>
      </c>
      <c r="H4014" t="s">
        <v>18797</v>
      </c>
      <c r="I4014" t="s">
        <v>18798</v>
      </c>
      <c r="J4014" t="s">
        <v>374</v>
      </c>
      <c r="K4014" t="s">
        <v>18799</v>
      </c>
      <c r="L4014" t="s">
        <v>18800</v>
      </c>
      <c r="M4014" t="s">
        <v>271</v>
      </c>
      <c r="N4014" t="s">
        <v>4594</v>
      </c>
      <c r="O4014" t="s">
        <v>18801</v>
      </c>
      <c r="P4014" t="s">
        <v>18802</v>
      </c>
      <c r="Q4014" t="s">
        <v>18803</v>
      </c>
      <c r="R4014">
        <v>13</v>
      </c>
      <c r="S4014">
        <v>16</v>
      </c>
    </row>
    <row r="4015" spans="1:19" x14ac:dyDescent="0.35">
      <c r="A4015">
        <v>823</v>
      </c>
      <c r="B4015" t="s">
        <v>18693</v>
      </c>
      <c r="C4015" t="s">
        <v>42</v>
      </c>
      <c r="D4015" t="s">
        <v>18720</v>
      </c>
      <c r="E4015" t="e" cm="1">
        <f t="array" ref="E4015">- DEXTROMETHORPHAN HYDROBROMIDE</f>
        <v>#NAME?</v>
      </c>
      <c r="F4015" t="s">
        <v>18721</v>
      </c>
      <c r="G4015" t="s">
        <v>2241</v>
      </c>
      <c r="H4015" t="s">
        <v>18696</v>
      </c>
      <c r="I4015" t="s">
        <v>18697</v>
      </c>
      <c r="J4015" t="s">
        <v>14417</v>
      </c>
      <c r="K4015" t="s">
        <v>14418</v>
      </c>
      <c r="L4015" t="s">
        <v>18698</v>
      </c>
      <c r="M4015" t="s">
        <v>271</v>
      </c>
      <c r="N4015" t="s">
        <v>1376</v>
      </c>
      <c r="O4015" t="s">
        <v>18699</v>
      </c>
      <c r="P4015" t="s">
        <v>18700</v>
      </c>
      <c r="Q4015" t="s">
        <v>18701</v>
      </c>
      <c r="R4015">
        <v>13</v>
      </c>
      <c r="S4015">
        <v>16</v>
      </c>
    </row>
    <row r="4016" spans="1:19" x14ac:dyDescent="0.35">
      <c r="A4016">
        <v>6642</v>
      </c>
      <c r="B4016" t="s">
        <v>18652</v>
      </c>
      <c r="C4016" t="s">
        <v>42</v>
      </c>
      <c r="D4016" t="s">
        <v>18653</v>
      </c>
      <c r="E4016" t="e" cm="1">
        <f t="array" ref="E4016">- OSELTAMIVIR PHOSPHATE</f>
        <v>#NAME?</v>
      </c>
      <c r="F4016" t="s">
        <v>18654</v>
      </c>
      <c r="G4016" t="s">
        <v>2241</v>
      </c>
      <c r="H4016" t="s">
        <v>17851</v>
      </c>
      <c r="I4016" t="s">
        <v>18655</v>
      </c>
      <c r="J4016" t="s">
        <v>18656</v>
      </c>
      <c r="K4016" t="s">
        <v>18657</v>
      </c>
      <c r="L4016" t="s">
        <v>18658</v>
      </c>
      <c r="M4016" t="s">
        <v>38</v>
      </c>
      <c r="N4016" t="s">
        <v>17856</v>
      </c>
      <c r="O4016" t="s">
        <v>18659</v>
      </c>
      <c r="P4016" t="s">
        <v>18660</v>
      </c>
      <c r="Q4016" t="s">
        <v>18661</v>
      </c>
      <c r="R4016">
        <v>13</v>
      </c>
      <c r="S4016">
        <v>16</v>
      </c>
    </row>
    <row r="4017" spans="1:19" x14ac:dyDescent="0.35">
      <c r="A4017">
        <v>6304</v>
      </c>
      <c r="B4017" t="s">
        <v>17589</v>
      </c>
      <c r="C4017" t="s">
        <v>42</v>
      </c>
      <c r="D4017" t="s">
        <v>17590</v>
      </c>
      <c r="E4017" t="e" cm="1">
        <f t="array" ref="E4017">- SULFAMETHOXAZOLE. TRIMETHOPRIM</f>
        <v>#NAME?</v>
      </c>
      <c r="F4017" t="s">
        <v>17591</v>
      </c>
      <c r="G4017" t="s">
        <v>17592</v>
      </c>
      <c r="H4017" t="s">
        <v>17554</v>
      </c>
      <c r="I4017" t="s">
        <v>17593</v>
      </c>
      <c r="J4017" t="s">
        <v>4472</v>
      </c>
      <c r="K4017" t="s">
        <v>17594</v>
      </c>
      <c r="L4017" t="s">
        <v>17595</v>
      </c>
      <c r="M4017" t="s">
        <v>46</v>
      </c>
      <c r="N4017" t="s">
        <v>1379</v>
      </c>
      <c r="O4017" t="s">
        <v>17556</v>
      </c>
      <c r="P4017" t="s">
        <v>17596</v>
      </c>
      <c r="Q4017" t="s">
        <v>18804</v>
      </c>
      <c r="R4017">
        <v>13</v>
      </c>
      <c r="S4017">
        <v>16</v>
      </c>
    </row>
    <row r="4018" spans="1:19" x14ac:dyDescent="0.35">
      <c r="A4018">
        <v>6469</v>
      </c>
      <c r="B4018" t="s">
        <v>18805</v>
      </c>
      <c r="C4018" t="s">
        <v>42</v>
      </c>
      <c r="D4018" t="s">
        <v>18806</v>
      </c>
      <c r="E4018" t="e" cm="1">
        <f t="array" ref="E4018">- SULFAMETHOXAZOLE</f>
        <v>#NAME?</v>
      </c>
      <c r="F4018" t="s">
        <v>18807</v>
      </c>
      <c r="G4018" t="s">
        <v>4649</v>
      </c>
      <c r="H4018" t="s">
        <v>17413</v>
      </c>
      <c r="I4018" t="s">
        <v>17414</v>
      </c>
      <c r="J4018" t="s">
        <v>18808</v>
      </c>
      <c r="K4018" t="s">
        <v>17415</v>
      </c>
    </row>
    <row r="4019" spans="1:19" x14ac:dyDescent="0.35">
      <c r="A4019">
        <v>7948</v>
      </c>
      <c r="B4019" t="s">
        <v>18809</v>
      </c>
      <c r="C4019" t="s">
        <v>20</v>
      </c>
      <c r="D4019" t="s">
        <v>18810</v>
      </c>
      <c r="E4019" t="s">
        <v>18811</v>
      </c>
      <c r="F4019" t="s">
        <v>18812</v>
      </c>
      <c r="G4019" t="s">
        <v>5866</v>
      </c>
      <c r="H4019" t="s">
        <v>18813</v>
      </c>
      <c r="I4019" t="s">
        <v>18814</v>
      </c>
      <c r="J4019" t="s">
        <v>4547</v>
      </c>
      <c r="M4019" t="s">
        <v>38</v>
      </c>
      <c r="N4019" t="s">
        <v>18815</v>
      </c>
      <c r="O4019" t="s">
        <v>18816</v>
      </c>
      <c r="P4019" t="s">
        <v>18815</v>
      </c>
      <c r="Q4019" t="s">
        <v>18817</v>
      </c>
      <c r="R4019">
        <v>13</v>
      </c>
      <c r="S4019">
        <v>16</v>
      </c>
    </row>
    <row r="4020" spans="1:19" x14ac:dyDescent="0.35">
      <c r="A4020">
        <v>4727</v>
      </c>
      <c r="B4020" t="s">
        <v>16210</v>
      </c>
      <c r="C4020" t="s">
        <v>42</v>
      </c>
      <c r="D4020" t="s">
        <v>16211</v>
      </c>
      <c r="E4020" t="e" cm="1">
        <f t="array" ref="E4020">- TETRAHYDROZOLINE HYDROCHLORIDE</f>
        <v>#NAME?</v>
      </c>
      <c r="F4020" t="s">
        <v>16212</v>
      </c>
      <c r="G4020" t="s">
        <v>7569</v>
      </c>
      <c r="H4020" t="s">
        <v>16213</v>
      </c>
      <c r="I4020" t="s">
        <v>16214</v>
      </c>
      <c r="J4020" t="s">
        <v>16170</v>
      </c>
      <c r="M4020" t="s">
        <v>824</v>
      </c>
      <c r="N4020" t="s">
        <v>3512</v>
      </c>
      <c r="O4020" t="s">
        <v>16215</v>
      </c>
      <c r="P4020" t="s">
        <v>16216</v>
      </c>
      <c r="Q4020" t="s">
        <v>18818</v>
      </c>
      <c r="R4020">
        <v>13</v>
      </c>
      <c r="S4020">
        <v>16</v>
      </c>
    </row>
    <row r="4021" spans="1:19" x14ac:dyDescent="0.35">
      <c r="A4021">
        <v>7662</v>
      </c>
      <c r="B4021" t="s">
        <v>18819</v>
      </c>
      <c r="C4021" t="s">
        <v>20</v>
      </c>
      <c r="D4021" t="s">
        <v>18820</v>
      </c>
      <c r="E4021" t="s">
        <v>18821</v>
      </c>
      <c r="F4021" t="s">
        <v>18822</v>
      </c>
      <c r="G4021" t="s">
        <v>18823</v>
      </c>
      <c r="H4021" t="s">
        <v>18824</v>
      </c>
      <c r="I4021" t="s">
        <v>18825</v>
      </c>
      <c r="J4021" t="s">
        <v>18826</v>
      </c>
      <c r="L4021" t="s">
        <v>18827</v>
      </c>
      <c r="M4021" t="s">
        <v>63</v>
      </c>
      <c r="N4021" t="s">
        <v>18828</v>
      </c>
      <c r="O4021" t="s">
        <v>18829</v>
      </c>
      <c r="P4021" t="s">
        <v>18828</v>
      </c>
      <c r="Q4021" t="s">
        <v>18830</v>
      </c>
      <c r="R4021">
        <v>13</v>
      </c>
      <c r="S4021">
        <v>16</v>
      </c>
    </row>
    <row r="4022" spans="1:19" x14ac:dyDescent="0.35">
      <c r="A4022">
        <v>7573</v>
      </c>
      <c r="B4022" t="s">
        <v>18831</v>
      </c>
      <c r="C4022" t="s">
        <v>42</v>
      </c>
      <c r="D4022" t="s">
        <v>18832</v>
      </c>
      <c r="E4022" t="e" cm="1">
        <f t="array" ref="E4022">- ASCORBIC ACID</f>
        <v>#NAME?</v>
      </c>
      <c r="F4022" t="s">
        <v>18833</v>
      </c>
      <c r="G4022" t="s">
        <v>2241</v>
      </c>
      <c r="H4022" t="s">
        <v>18834</v>
      </c>
      <c r="I4022" t="s">
        <v>18835</v>
      </c>
      <c r="J4022" t="s">
        <v>18836</v>
      </c>
      <c r="K4022" t="s">
        <v>18837</v>
      </c>
      <c r="L4022" t="s">
        <v>18838</v>
      </c>
    </row>
    <row r="4023" spans="1:19" x14ac:dyDescent="0.35">
      <c r="A4023">
        <v>4272</v>
      </c>
      <c r="B4023" t="s">
        <v>18839</v>
      </c>
      <c r="C4023" t="s">
        <v>42</v>
      </c>
      <c r="D4023" t="s">
        <v>18840</v>
      </c>
      <c r="E4023" t="e" cm="1">
        <f t="array" ref="E4023">- CETIRIZINE HYDROCHLORIDE</f>
        <v>#NAME?</v>
      </c>
      <c r="F4023" t="s">
        <v>18841</v>
      </c>
      <c r="G4023" t="s">
        <v>5698</v>
      </c>
      <c r="H4023" t="s">
        <v>18842</v>
      </c>
      <c r="I4023" t="s">
        <v>18665</v>
      </c>
      <c r="J4023" t="s">
        <v>18843</v>
      </c>
      <c r="K4023" t="s">
        <v>18844</v>
      </c>
      <c r="L4023" t="s">
        <v>18845</v>
      </c>
      <c r="M4023" t="s">
        <v>824</v>
      </c>
      <c r="N4023" t="s">
        <v>1390</v>
      </c>
      <c r="O4023" t="s">
        <v>18666</v>
      </c>
      <c r="P4023" t="s">
        <v>18846</v>
      </c>
      <c r="Q4023" t="s">
        <v>18847</v>
      </c>
      <c r="R4023">
        <v>13</v>
      </c>
      <c r="S4023">
        <v>16</v>
      </c>
    </row>
    <row r="4024" spans="1:19" x14ac:dyDescent="0.35">
      <c r="A4024">
        <v>4271</v>
      </c>
      <c r="B4024" t="s">
        <v>18839</v>
      </c>
      <c r="C4024" t="s">
        <v>42</v>
      </c>
      <c r="D4024" t="s">
        <v>18840</v>
      </c>
      <c r="E4024" t="e" cm="1">
        <f t="array" ref="E4024">- CETIRIZINE HYDROCHLORIDE</f>
        <v>#NAME?</v>
      </c>
      <c r="F4024" t="s">
        <v>18841</v>
      </c>
      <c r="G4024" t="s">
        <v>5698</v>
      </c>
      <c r="H4024" t="s">
        <v>18842</v>
      </c>
      <c r="I4024" t="s">
        <v>18665</v>
      </c>
      <c r="J4024" t="s">
        <v>18843</v>
      </c>
      <c r="K4024" t="s">
        <v>18844</v>
      </c>
      <c r="L4024" t="s">
        <v>18845</v>
      </c>
      <c r="M4024" t="s">
        <v>824</v>
      </c>
      <c r="N4024" t="s">
        <v>1390</v>
      </c>
      <c r="O4024" t="s">
        <v>18666</v>
      </c>
      <c r="P4024" t="s">
        <v>18846</v>
      </c>
      <c r="Q4024" t="s">
        <v>18847</v>
      </c>
      <c r="R4024">
        <v>13</v>
      </c>
      <c r="S4024">
        <v>16</v>
      </c>
    </row>
    <row r="4025" spans="1:19" x14ac:dyDescent="0.35">
      <c r="A4025">
        <v>6207</v>
      </c>
      <c r="B4025" t="s">
        <v>18848</v>
      </c>
      <c r="C4025" t="s">
        <v>42</v>
      </c>
      <c r="D4025" t="s">
        <v>18849</v>
      </c>
      <c r="E4025" t="e" cm="1">
        <f t="array" ref="E4025">- AMOXICILLIN TRIHYDRATE</f>
        <v>#NAME?</v>
      </c>
      <c r="F4025" t="s">
        <v>18850</v>
      </c>
      <c r="G4025" t="s">
        <v>11706</v>
      </c>
      <c r="H4025" t="s">
        <v>18851</v>
      </c>
      <c r="I4025" t="s">
        <v>18852</v>
      </c>
      <c r="J4025" t="s">
        <v>3926</v>
      </c>
      <c r="K4025" t="s">
        <v>18853</v>
      </c>
      <c r="L4025" t="s">
        <v>18854</v>
      </c>
      <c r="M4025" t="s">
        <v>271</v>
      </c>
      <c r="N4025" t="s">
        <v>1523</v>
      </c>
      <c r="O4025" t="s">
        <v>18855</v>
      </c>
      <c r="P4025" t="s">
        <v>18856</v>
      </c>
      <c r="Q4025" t="s">
        <v>18857</v>
      </c>
      <c r="R4025">
        <v>13</v>
      </c>
      <c r="S4025">
        <v>16</v>
      </c>
    </row>
    <row r="4026" spans="1:19" x14ac:dyDescent="0.35">
      <c r="A4026">
        <v>4826</v>
      </c>
      <c r="B4026" t="s">
        <v>18858</v>
      </c>
      <c r="C4026" t="s">
        <v>42</v>
      </c>
      <c r="D4026" t="s">
        <v>18859</v>
      </c>
      <c r="E4026" t="e" cm="1">
        <f t="array" ref="E4026">- TROPICAMIDE</f>
        <v>#NAME?</v>
      </c>
      <c r="F4026" t="s">
        <v>18860</v>
      </c>
      <c r="G4026" t="s">
        <v>7569</v>
      </c>
      <c r="H4026" t="s">
        <v>18861</v>
      </c>
      <c r="I4026" t="s">
        <v>18862</v>
      </c>
      <c r="J4026" t="s">
        <v>18863</v>
      </c>
      <c r="L4026" t="s">
        <v>18864</v>
      </c>
      <c r="M4026" t="s">
        <v>824</v>
      </c>
      <c r="N4026" t="s">
        <v>18865</v>
      </c>
      <c r="O4026" t="s">
        <v>18866</v>
      </c>
      <c r="P4026" t="s">
        <v>18867</v>
      </c>
      <c r="Q4026" t="s">
        <v>18868</v>
      </c>
      <c r="R4026">
        <v>13</v>
      </c>
      <c r="S4026">
        <v>16</v>
      </c>
    </row>
    <row r="4027" spans="1:19" x14ac:dyDescent="0.35">
      <c r="A4027">
        <v>4825</v>
      </c>
      <c r="B4027" t="s">
        <v>18858</v>
      </c>
      <c r="C4027" t="s">
        <v>42</v>
      </c>
      <c r="D4027" t="s">
        <v>18859</v>
      </c>
      <c r="E4027" t="e" cm="1">
        <f t="array" ref="E4027">- TROPICAMIDE</f>
        <v>#NAME?</v>
      </c>
      <c r="F4027" t="s">
        <v>18860</v>
      </c>
      <c r="G4027" t="s">
        <v>7569</v>
      </c>
      <c r="H4027" t="s">
        <v>18861</v>
      </c>
      <c r="I4027" t="s">
        <v>18862</v>
      </c>
      <c r="J4027" t="s">
        <v>18863</v>
      </c>
      <c r="L4027" t="s">
        <v>18864</v>
      </c>
      <c r="M4027" t="s">
        <v>824</v>
      </c>
      <c r="N4027" t="s">
        <v>18865</v>
      </c>
      <c r="O4027" t="s">
        <v>18866</v>
      </c>
      <c r="P4027" t="s">
        <v>18867</v>
      </c>
      <c r="Q4027" t="s">
        <v>18868</v>
      </c>
      <c r="R4027">
        <v>13</v>
      </c>
      <c r="S4027">
        <v>16</v>
      </c>
    </row>
    <row r="4028" spans="1:19" x14ac:dyDescent="0.35">
      <c r="A4028">
        <v>880</v>
      </c>
      <c r="B4028" t="s">
        <v>18869</v>
      </c>
      <c r="C4028" t="s">
        <v>42</v>
      </c>
      <c r="D4028" t="s">
        <v>18870</v>
      </c>
      <c r="E4028" t="e" cm="1">
        <f t="array" ref="E4028">- CHLORPHENAMINE MALEATE</f>
        <v>#NAME?</v>
      </c>
      <c r="F4028" t="s">
        <v>18871</v>
      </c>
      <c r="G4028" t="s">
        <v>60</v>
      </c>
      <c r="H4028" t="s">
        <v>18872</v>
      </c>
      <c r="I4028" t="s">
        <v>18873</v>
      </c>
      <c r="J4028" t="s">
        <v>374</v>
      </c>
      <c r="K4028" t="s">
        <v>18874</v>
      </c>
      <c r="L4028" t="s">
        <v>18875</v>
      </c>
      <c r="M4028" t="s">
        <v>271</v>
      </c>
      <c r="N4028" t="s">
        <v>1354</v>
      </c>
      <c r="O4028" t="s">
        <v>18876</v>
      </c>
      <c r="P4028" t="s">
        <v>18877</v>
      </c>
      <c r="Q4028" t="s">
        <v>18878</v>
      </c>
      <c r="R4028">
        <v>13</v>
      </c>
      <c r="S4028">
        <v>16</v>
      </c>
    </row>
    <row r="4029" spans="1:19" x14ac:dyDescent="0.35">
      <c r="A4029">
        <v>4270</v>
      </c>
      <c r="B4029" t="s">
        <v>18839</v>
      </c>
      <c r="C4029" t="s">
        <v>42</v>
      </c>
      <c r="D4029" t="s">
        <v>18840</v>
      </c>
      <c r="E4029" t="e" cm="1">
        <f t="array" ref="E4029">- CETIRIZINE HYDROCHLORIDE</f>
        <v>#NAME?</v>
      </c>
      <c r="F4029" t="s">
        <v>18841</v>
      </c>
      <c r="G4029" t="s">
        <v>5698</v>
      </c>
      <c r="H4029" t="s">
        <v>18842</v>
      </c>
      <c r="I4029" t="s">
        <v>18665</v>
      </c>
      <c r="J4029" t="s">
        <v>18843</v>
      </c>
      <c r="K4029" t="s">
        <v>18844</v>
      </c>
      <c r="L4029" t="s">
        <v>18845</v>
      </c>
      <c r="M4029" t="s">
        <v>824</v>
      </c>
      <c r="N4029" t="s">
        <v>1390</v>
      </c>
      <c r="O4029" t="s">
        <v>18666</v>
      </c>
      <c r="P4029" t="s">
        <v>18846</v>
      </c>
      <c r="Q4029" t="s">
        <v>18847</v>
      </c>
      <c r="R4029">
        <v>13</v>
      </c>
      <c r="S4029">
        <v>16</v>
      </c>
    </row>
    <row r="4030" spans="1:19" x14ac:dyDescent="0.35">
      <c r="A4030">
        <v>6563</v>
      </c>
      <c r="B4030" t="s">
        <v>18879</v>
      </c>
      <c r="C4030" t="s">
        <v>42</v>
      </c>
      <c r="D4030" t="s">
        <v>18880</v>
      </c>
      <c r="E4030" t="e" cm="1">
        <f t="array" ref="E4030">- ITRACONAZOLE</f>
        <v>#NAME?</v>
      </c>
      <c r="F4030" t="s">
        <v>18881</v>
      </c>
      <c r="G4030" t="s">
        <v>5506</v>
      </c>
      <c r="H4030" t="s">
        <v>18882</v>
      </c>
      <c r="I4030" t="s">
        <v>18883</v>
      </c>
      <c r="J4030" t="s">
        <v>7989</v>
      </c>
      <c r="K4030" t="s">
        <v>18884</v>
      </c>
      <c r="L4030" t="s">
        <v>18885</v>
      </c>
      <c r="M4030" t="s">
        <v>38</v>
      </c>
      <c r="N4030" t="s">
        <v>5512</v>
      </c>
      <c r="O4030" t="s">
        <v>18886</v>
      </c>
      <c r="P4030" t="s">
        <v>18887</v>
      </c>
      <c r="Q4030" t="s">
        <v>18888</v>
      </c>
      <c r="R4030">
        <v>13</v>
      </c>
      <c r="S4030">
        <v>16</v>
      </c>
    </row>
    <row r="4031" spans="1:19" x14ac:dyDescent="0.35">
      <c r="A4031">
        <v>6562</v>
      </c>
      <c r="B4031" t="s">
        <v>18879</v>
      </c>
      <c r="C4031" t="s">
        <v>42</v>
      </c>
      <c r="D4031" t="s">
        <v>18880</v>
      </c>
      <c r="E4031" t="e" cm="1">
        <f t="array" ref="E4031">- ITRACONAZOLE</f>
        <v>#NAME?</v>
      </c>
      <c r="F4031" t="s">
        <v>18881</v>
      </c>
      <c r="G4031" t="s">
        <v>5506</v>
      </c>
      <c r="H4031" t="s">
        <v>18882</v>
      </c>
      <c r="I4031" t="s">
        <v>18883</v>
      </c>
      <c r="J4031" t="s">
        <v>7989</v>
      </c>
      <c r="K4031" t="s">
        <v>18884</v>
      </c>
      <c r="L4031" t="s">
        <v>18885</v>
      </c>
      <c r="M4031" t="s">
        <v>38</v>
      </c>
      <c r="N4031" t="s">
        <v>5512</v>
      </c>
      <c r="O4031" t="s">
        <v>18886</v>
      </c>
      <c r="P4031" t="s">
        <v>18887</v>
      </c>
      <c r="Q4031" t="s">
        <v>18888</v>
      </c>
      <c r="R4031">
        <v>13</v>
      </c>
      <c r="S4031">
        <v>16</v>
      </c>
    </row>
    <row r="4032" spans="1:19" x14ac:dyDescent="0.35">
      <c r="A4032">
        <v>4728</v>
      </c>
      <c r="B4032" t="s">
        <v>16210</v>
      </c>
      <c r="C4032" t="s">
        <v>42</v>
      </c>
      <c r="D4032" t="s">
        <v>16211</v>
      </c>
      <c r="E4032" t="e" cm="1">
        <f t="array" ref="E4032">- TETRAHYDROZOLINE HYDROCHLORIDE</f>
        <v>#NAME?</v>
      </c>
      <c r="F4032" t="s">
        <v>16212</v>
      </c>
      <c r="G4032" t="s">
        <v>7569</v>
      </c>
      <c r="H4032" t="s">
        <v>16213</v>
      </c>
      <c r="I4032" t="s">
        <v>16214</v>
      </c>
      <c r="J4032" t="s">
        <v>16170</v>
      </c>
      <c r="M4032" t="s">
        <v>824</v>
      </c>
      <c r="N4032" t="s">
        <v>3512</v>
      </c>
      <c r="O4032" t="s">
        <v>16215</v>
      </c>
      <c r="P4032" t="s">
        <v>16216</v>
      </c>
      <c r="Q4032" t="s">
        <v>18818</v>
      </c>
      <c r="R4032">
        <v>13</v>
      </c>
      <c r="S4032">
        <v>16</v>
      </c>
    </row>
    <row r="4033" spans="1:19" x14ac:dyDescent="0.35">
      <c r="A4033">
        <v>4824</v>
      </c>
      <c r="B4033" t="s">
        <v>18858</v>
      </c>
      <c r="C4033" t="s">
        <v>42</v>
      </c>
      <c r="D4033" t="s">
        <v>18859</v>
      </c>
      <c r="E4033" t="e" cm="1">
        <f t="array" ref="E4033">- TROPICAMIDE</f>
        <v>#NAME?</v>
      </c>
      <c r="F4033" t="s">
        <v>18860</v>
      </c>
      <c r="G4033" t="s">
        <v>7569</v>
      </c>
      <c r="H4033" t="s">
        <v>18861</v>
      </c>
      <c r="I4033" t="s">
        <v>18862</v>
      </c>
      <c r="J4033" t="s">
        <v>18863</v>
      </c>
      <c r="L4033" t="s">
        <v>18864</v>
      </c>
      <c r="M4033" t="s">
        <v>824</v>
      </c>
      <c r="N4033" t="s">
        <v>18865</v>
      </c>
      <c r="O4033" t="s">
        <v>18866</v>
      </c>
      <c r="P4033" t="s">
        <v>18867</v>
      </c>
      <c r="Q4033" t="s">
        <v>18868</v>
      </c>
      <c r="R4033">
        <v>13</v>
      </c>
      <c r="S4033">
        <v>16</v>
      </c>
    </row>
    <row r="4034" spans="1:19" x14ac:dyDescent="0.35">
      <c r="A4034">
        <v>6115</v>
      </c>
      <c r="B4034" t="s">
        <v>18889</v>
      </c>
      <c r="C4034" t="s">
        <v>42</v>
      </c>
      <c r="D4034" t="s">
        <v>18890</v>
      </c>
      <c r="E4034" t="e" cm="1">
        <f t="array" ref="E4034">- AMOXICILLIN TRIHYDRATE</f>
        <v>#NAME?</v>
      </c>
      <c r="F4034" t="s">
        <v>18891</v>
      </c>
      <c r="G4034" t="s">
        <v>1691</v>
      </c>
      <c r="H4034" t="s">
        <v>18892</v>
      </c>
      <c r="I4034" t="s">
        <v>18893</v>
      </c>
      <c r="J4034" t="s">
        <v>18894</v>
      </c>
      <c r="K4034" t="s">
        <v>14288</v>
      </c>
      <c r="L4034" t="s">
        <v>18895</v>
      </c>
      <c r="M4034" t="s">
        <v>271</v>
      </c>
      <c r="N4034" t="s">
        <v>1523</v>
      </c>
      <c r="O4034" t="s">
        <v>18896</v>
      </c>
      <c r="P4034" t="s">
        <v>18897</v>
      </c>
      <c r="Q4034" t="s">
        <v>18898</v>
      </c>
      <c r="R4034">
        <v>13</v>
      </c>
      <c r="S4034">
        <v>16</v>
      </c>
    </row>
    <row r="4035" spans="1:19" x14ac:dyDescent="0.35">
      <c r="A4035">
        <v>4263</v>
      </c>
      <c r="B4035" t="s">
        <v>16751</v>
      </c>
      <c r="C4035" t="s">
        <v>42</v>
      </c>
      <c r="D4035" t="s">
        <v>16752</v>
      </c>
      <c r="E4035" t="e" cm="1">
        <f t="array" ref="E4035">- CYPROHEPTADINE HYDROCHLORIDE</f>
        <v>#NAME?</v>
      </c>
      <c r="F4035" t="s">
        <v>16753</v>
      </c>
      <c r="G4035" t="s">
        <v>16754</v>
      </c>
      <c r="H4035" t="s">
        <v>16755</v>
      </c>
      <c r="I4035" t="s">
        <v>16756</v>
      </c>
      <c r="J4035" t="s">
        <v>727</v>
      </c>
      <c r="K4035" t="s">
        <v>16757</v>
      </c>
      <c r="L4035" t="s">
        <v>16758</v>
      </c>
      <c r="M4035" t="s">
        <v>291</v>
      </c>
      <c r="N4035" t="s">
        <v>1634</v>
      </c>
      <c r="O4035" t="s">
        <v>16760</v>
      </c>
      <c r="P4035" t="s">
        <v>16761</v>
      </c>
      <c r="Q4035" t="s">
        <v>18899</v>
      </c>
      <c r="R4035">
        <v>13</v>
      </c>
      <c r="S4035">
        <v>16</v>
      </c>
    </row>
    <row r="4036" spans="1:19" x14ac:dyDescent="0.35">
      <c r="A4036">
        <v>6117</v>
      </c>
      <c r="B4036" t="s">
        <v>18900</v>
      </c>
      <c r="C4036" t="s">
        <v>42</v>
      </c>
      <c r="D4036" t="s">
        <v>18901</v>
      </c>
      <c r="E4036" t="e" cm="1">
        <f t="array" ref="E4036">- AMOXICILLIN</f>
        <v>#NAME?</v>
      </c>
      <c r="F4036" t="s">
        <v>18902</v>
      </c>
      <c r="G4036" t="s">
        <v>1691</v>
      </c>
      <c r="H4036" t="s">
        <v>18892</v>
      </c>
      <c r="I4036" t="s">
        <v>18893</v>
      </c>
      <c r="J4036" t="s">
        <v>18903</v>
      </c>
      <c r="K4036" t="s">
        <v>14288</v>
      </c>
      <c r="L4036" t="s">
        <v>18895</v>
      </c>
      <c r="M4036" t="s">
        <v>271</v>
      </c>
      <c r="N4036" t="s">
        <v>505</v>
      </c>
      <c r="O4036" t="s">
        <v>18896</v>
      </c>
      <c r="P4036" t="s">
        <v>18904</v>
      </c>
      <c r="Q4036" t="s">
        <v>18905</v>
      </c>
      <c r="R4036">
        <v>13</v>
      </c>
      <c r="S4036">
        <v>16</v>
      </c>
    </row>
    <row r="4037" spans="1:19" x14ac:dyDescent="0.35">
      <c r="A4037">
        <v>6118</v>
      </c>
      <c r="B4037" t="s">
        <v>18906</v>
      </c>
      <c r="C4037" t="s">
        <v>42</v>
      </c>
      <c r="D4037" t="s">
        <v>18907</v>
      </c>
      <c r="E4037" t="e" cm="1">
        <f t="array" ref="E4037">- ETHAMBUTOL HYDROCHLORIDE</f>
        <v>#NAME?</v>
      </c>
      <c r="F4037" t="s">
        <v>18908</v>
      </c>
      <c r="H4037" t="s">
        <v>18909</v>
      </c>
      <c r="I4037" t="s">
        <v>18910</v>
      </c>
      <c r="J4037" t="s">
        <v>3019</v>
      </c>
      <c r="K4037" t="s">
        <v>18911</v>
      </c>
      <c r="L4037" t="s">
        <v>18912</v>
      </c>
      <c r="M4037" t="s">
        <v>291</v>
      </c>
      <c r="N4037" t="s">
        <v>3130</v>
      </c>
      <c r="O4037" t="s">
        <v>18913</v>
      </c>
      <c r="P4037" t="s">
        <v>18914</v>
      </c>
      <c r="Q4037" t="s">
        <v>18915</v>
      </c>
      <c r="R4037">
        <v>13</v>
      </c>
      <c r="S4037">
        <v>16</v>
      </c>
    </row>
    <row r="4038" spans="1:19" x14ac:dyDescent="0.35">
      <c r="A4038">
        <v>4822</v>
      </c>
      <c r="B4038" t="s">
        <v>18916</v>
      </c>
      <c r="C4038" t="s">
        <v>42</v>
      </c>
      <c r="D4038" t="s">
        <v>18917</v>
      </c>
      <c r="E4038" t="e" cm="1">
        <f t="array" ref="E4038">- HYPROMELLOSE</f>
        <v>#NAME?</v>
      </c>
      <c r="F4038" t="s">
        <v>18918</v>
      </c>
      <c r="G4038" t="s">
        <v>7569</v>
      </c>
      <c r="H4038" t="s">
        <v>7570</v>
      </c>
      <c r="I4038" t="s">
        <v>18919</v>
      </c>
      <c r="J4038" t="s">
        <v>18920</v>
      </c>
      <c r="L4038" t="s">
        <v>270</v>
      </c>
      <c r="M4038" t="s">
        <v>824</v>
      </c>
      <c r="N4038" t="s">
        <v>6336</v>
      </c>
      <c r="O4038" t="s">
        <v>18921</v>
      </c>
      <c r="P4038" t="s">
        <v>18922</v>
      </c>
      <c r="Q4038" t="s">
        <v>18923</v>
      </c>
      <c r="R4038">
        <v>13</v>
      </c>
      <c r="S4038">
        <v>16</v>
      </c>
    </row>
    <row r="4039" spans="1:19" x14ac:dyDescent="0.35">
      <c r="A4039">
        <v>4821</v>
      </c>
      <c r="B4039" t="s">
        <v>18916</v>
      </c>
      <c r="C4039" t="s">
        <v>42</v>
      </c>
      <c r="D4039" t="s">
        <v>18917</v>
      </c>
      <c r="E4039" t="e" cm="1">
        <f t="array" ref="E4039">- HYPROMELLOSE</f>
        <v>#NAME?</v>
      </c>
      <c r="F4039" t="s">
        <v>18918</v>
      </c>
      <c r="G4039" t="s">
        <v>7569</v>
      </c>
      <c r="H4039" t="s">
        <v>7570</v>
      </c>
      <c r="I4039" t="s">
        <v>18919</v>
      </c>
      <c r="J4039" t="s">
        <v>18920</v>
      </c>
      <c r="L4039" t="s">
        <v>270</v>
      </c>
      <c r="M4039" t="s">
        <v>824</v>
      </c>
      <c r="N4039" t="s">
        <v>6336</v>
      </c>
      <c r="O4039" t="s">
        <v>18921</v>
      </c>
      <c r="P4039" t="s">
        <v>18922</v>
      </c>
      <c r="Q4039" t="s">
        <v>18923</v>
      </c>
      <c r="R4039">
        <v>13</v>
      </c>
      <c r="S4039">
        <v>16</v>
      </c>
    </row>
    <row r="4040" spans="1:19" x14ac:dyDescent="0.35">
      <c r="A4040">
        <v>4726</v>
      </c>
      <c r="B4040" t="s">
        <v>16210</v>
      </c>
      <c r="C4040" t="s">
        <v>42</v>
      </c>
      <c r="D4040" t="s">
        <v>16211</v>
      </c>
      <c r="E4040" t="e" cm="1">
        <f t="array" ref="E4040">- TETRAHYDROZOLINE HYDROCHLORIDE</f>
        <v>#NAME?</v>
      </c>
      <c r="F4040" t="s">
        <v>16212</v>
      </c>
      <c r="G4040" t="s">
        <v>7569</v>
      </c>
      <c r="H4040" t="s">
        <v>16213</v>
      </c>
      <c r="I4040" t="s">
        <v>16214</v>
      </c>
      <c r="J4040" t="s">
        <v>16170</v>
      </c>
      <c r="M4040" t="s">
        <v>824</v>
      </c>
      <c r="N4040" t="s">
        <v>3512</v>
      </c>
      <c r="O4040" t="s">
        <v>16215</v>
      </c>
      <c r="P4040" t="s">
        <v>16216</v>
      </c>
      <c r="Q4040" t="s">
        <v>18818</v>
      </c>
      <c r="R4040">
        <v>13</v>
      </c>
      <c r="S4040">
        <v>16</v>
      </c>
    </row>
    <row r="4041" spans="1:19" x14ac:dyDescent="0.35">
      <c r="A4041">
        <v>876</v>
      </c>
      <c r="B4041" t="s">
        <v>18869</v>
      </c>
      <c r="C4041" t="s">
        <v>42</v>
      </c>
      <c r="D4041" t="s">
        <v>18924</v>
      </c>
      <c r="E4041" t="e" cm="1">
        <f t="array" ref="E4041">- CHLORPHENAMINE MALEATE</f>
        <v>#NAME?</v>
      </c>
      <c r="F4041" t="s">
        <v>18925</v>
      </c>
      <c r="G4041" t="s">
        <v>60</v>
      </c>
      <c r="H4041" t="s">
        <v>18926</v>
      </c>
      <c r="I4041" t="s">
        <v>18927</v>
      </c>
      <c r="J4041" t="s">
        <v>17245</v>
      </c>
      <c r="K4041" t="s">
        <v>18928</v>
      </c>
      <c r="L4041" t="s">
        <v>18929</v>
      </c>
      <c r="M4041" t="s">
        <v>271</v>
      </c>
      <c r="N4041" t="s">
        <v>1354</v>
      </c>
      <c r="O4041" t="s">
        <v>18930</v>
      </c>
      <c r="P4041" t="s">
        <v>18877</v>
      </c>
      <c r="Q4041" t="s">
        <v>18931</v>
      </c>
      <c r="R4041">
        <v>13</v>
      </c>
      <c r="S4041">
        <v>16</v>
      </c>
    </row>
    <row r="4042" spans="1:19" x14ac:dyDescent="0.35">
      <c r="A4042">
        <v>875</v>
      </c>
      <c r="B4042" t="s">
        <v>18869</v>
      </c>
      <c r="C4042" t="s">
        <v>42</v>
      </c>
      <c r="D4042" t="s">
        <v>18924</v>
      </c>
      <c r="E4042" t="e" cm="1">
        <f t="array" ref="E4042">- CHLORPHENAMINE MALEATE</f>
        <v>#NAME?</v>
      </c>
      <c r="F4042" t="s">
        <v>18925</v>
      </c>
      <c r="G4042" t="s">
        <v>60</v>
      </c>
      <c r="H4042" t="s">
        <v>18926</v>
      </c>
      <c r="I4042" t="s">
        <v>18927</v>
      </c>
      <c r="J4042" t="s">
        <v>17245</v>
      </c>
      <c r="K4042" t="s">
        <v>18928</v>
      </c>
      <c r="L4042" t="s">
        <v>18929</v>
      </c>
      <c r="M4042" t="s">
        <v>271</v>
      </c>
      <c r="N4042" t="s">
        <v>1354</v>
      </c>
      <c r="O4042" t="s">
        <v>18930</v>
      </c>
      <c r="P4042" t="s">
        <v>18877</v>
      </c>
      <c r="Q4042" t="s">
        <v>18931</v>
      </c>
      <c r="R4042">
        <v>13</v>
      </c>
      <c r="S4042">
        <v>16</v>
      </c>
    </row>
    <row r="4043" spans="1:19" x14ac:dyDescent="0.35">
      <c r="A4043">
        <v>6474</v>
      </c>
      <c r="B4043" t="s">
        <v>18932</v>
      </c>
      <c r="C4043" t="s">
        <v>42</v>
      </c>
      <c r="D4043" t="s">
        <v>18933</v>
      </c>
      <c r="E4043" t="e" cm="1">
        <f t="array" ref="E4043">- ROXITHROMYCIN</f>
        <v>#NAME?</v>
      </c>
      <c r="F4043" t="s">
        <v>18934</v>
      </c>
      <c r="G4043" t="s">
        <v>5568</v>
      </c>
      <c r="H4043" t="s">
        <v>18935</v>
      </c>
      <c r="I4043" t="s">
        <v>18936</v>
      </c>
      <c r="J4043" t="s">
        <v>18937</v>
      </c>
      <c r="K4043" t="s">
        <v>2726</v>
      </c>
      <c r="L4043" t="s">
        <v>18938</v>
      </c>
      <c r="M4043" t="s">
        <v>38</v>
      </c>
      <c r="N4043" t="s">
        <v>18939</v>
      </c>
      <c r="O4043" t="s">
        <v>18940</v>
      </c>
      <c r="P4043" t="s">
        <v>18941</v>
      </c>
      <c r="Q4043" t="s">
        <v>18942</v>
      </c>
      <c r="R4043">
        <v>13</v>
      </c>
      <c r="S4043">
        <v>16</v>
      </c>
    </row>
    <row r="4044" spans="1:19" x14ac:dyDescent="0.35">
      <c r="A4044">
        <v>874</v>
      </c>
      <c r="B4044" t="s">
        <v>18869</v>
      </c>
      <c r="C4044" t="s">
        <v>42</v>
      </c>
      <c r="D4044" t="s">
        <v>18924</v>
      </c>
      <c r="E4044" t="e" cm="1">
        <f t="array" ref="E4044">- CHLORPHENAMINE MALEATE</f>
        <v>#NAME?</v>
      </c>
      <c r="F4044" t="s">
        <v>18925</v>
      </c>
      <c r="G4044" t="s">
        <v>60</v>
      </c>
      <c r="H4044" t="s">
        <v>18926</v>
      </c>
      <c r="I4044" t="s">
        <v>18927</v>
      </c>
      <c r="J4044" t="s">
        <v>17245</v>
      </c>
      <c r="K4044" t="s">
        <v>18928</v>
      </c>
      <c r="L4044" t="s">
        <v>18929</v>
      </c>
      <c r="M4044" t="s">
        <v>271</v>
      </c>
      <c r="N4044" t="s">
        <v>1354</v>
      </c>
      <c r="O4044" t="s">
        <v>18930</v>
      </c>
      <c r="P4044" t="s">
        <v>18877</v>
      </c>
      <c r="Q4044" t="s">
        <v>18931</v>
      </c>
      <c r="R4044">
        <v>13</v>
      </c>
      <c r="S4044">
        <v>16</v>
      </c>
    </row>
    <row r="4045" spans="1:19" x14ac:dyDescent="0.35">
      <c r="A4045">
        <v>4820</v>
      </c>
      <c r="B4045" t="s">
        <v>18916</v>
      </c>
      <c r="C4045" t="s">
        <v>42</v>
      </c>
      <c r="D4045" t="s">
        <v>18917</v>
      </c>
      <c r="E4045" t="e" cm="1">
        <f t="array" ref="E4045">- HYPROMELLOSE</f>
        <v>#NAME?</v>
      </c>
      <c r="F4045" t="s">
        <v>18918</v>
      </c>
      <c r="G4045" t="s">
        <v>7569</v>
      </c>
      <c r="H4045" t="s">
        <v>7570</v>
      </c>
      <c r="I4045" t="s">
        <v>18919</v>
      </c>
      <c r="J4045" t="s">
        <v>18920</v>
      </c>
      <c r="L4045" t="s">
        <v>270</v>
      </c>
      <c r="M4045" t="s">
        <v>824</v>
      </c>
      <c r="N4045" t="s">
        <v>6336</v>
      </c>
      <c r="O4045" t="s">
        <v>18921</v>
      </c>
      <c r="P4045" t="s">
        <v>18922</v>
      </c>
      <c r="Q4045" t="s">
        <v>18923</v>
      </c>
      <c r="R4045">
        <v>13</v>
      </c>
      <c r="S4045">
        <v>16</v>
      </c>
    </row>
    <row r="4046" spans="1:19" x14ac:dyDescent="0.35">
      <c r="A4046">
        <v>4823</v>
      </c>
      <c r="B4046" t="s">
        <v>18858</v>
      </c>
      <c r="C4046" t="s">
        <v>42</v>
      </c>
      <c r="D4046" t="s">
        <v>18859</v>
      </c>
      <c r="E4046" t="e" cm="1">
        <f t="array" ref="E4046">- TROPICAMIDE</f>
        <v>#NAME?</v>
      </c>
      <c r="F4046" t="s">
        <v>18860</v>
      </c>
      <c r="G4046" t="s">
        <v>7569</v>
      </c>
      <c r="H4046" t="s">
        <v>18861</v>
      </c>
      <c r="I4046" t="s">
        <v>18862</v>
      </c>
      <c r="J4046" t="s">
        <v>18863</v>
      </c>
      <c r="L4046" t="s">
        <v>18864</v>
      </c>
      <c r="M4046" t="s">
        <v>824</v>
      </c>
      <c r="N4046" t="s">
        <v>18865</v>
      </c>
      <c r="O4046" t="s">
        <v>18866</v>
      </c>
      <c r="P4046" t="s">
        <v>18867</v>
      </c>
      <c r="Q4046" t="s">
        <v>18868</v>
      </c>
      <c r="R4046">
        <v>13</v>
      </c>
      <c r="S4046">
        <v>16</v>
      </c>
    </row>
    <row r="4047" spans="1:19" x14ac:dyDescent="0.35">
      <c r="A4047">
        <v>6446</v>
      </c>
      <c r="B4047" t="s">
        <v>18943</v>
      </c>
      <c r="C4047" t="s">
        <v>42</v>
      </c>
      <c r="D4047" t="s">
        <v>18944</v>
      </c>
      <c r="E4047" t="e" cm="1">
        <f t="array" ref="E4047">- TETRACYCLINE HYDROCHLORIDE</f>
        <v>#NAME?</v>
      </c>
      <c r="F4047" t="s">
        <v>18945</v>
      </c>
      <c r="G4047" t="s">
        <v>737</v>
      </c>
      <c r="H4047" t="s">
        <v>18946</v>
      </c>
    </row>
    <row r="4048" spans="1:19" x14ac:dyDescent="0.35">
      <c r="A4048">
        <v>553</v>
      </c>
      <c r="B4048" t="s">
        <v>14887</v>
      </c>
      <c r="C4048" t="s">
        <v>42</v>
      </c>
      <c r="D4048" t="s">
        <v>14888</v>
      </c>
      <c r="E4048" t="e" cm="1">
        <f t="array" ref="E4048">- SALBUTAMOL SULFATE. GUAIFENESIN</f>
        <v>#NAME?</v>
      </c>
      <c r="F4048" t="s">
        <v>14889</v>
      </c>
      <c r="G4048" t="s">
        <v>14890</v>
      </c>
      <c r="H4048" t="s">
        <v>14891</v>
      </c>
      <c r="I4048" t="s">
        <v>14892</v>
      </c>
      <c r="J4048" t="s">
        <v>374</v>
      </c>
      <c r="K4048" t="s">
        <v>11699</v>
      </c>
      <c r="L4048" t="s">
        <v>14893</v>
      </c>
      <c r="M4048" t="s">
        <v>271</v>
      </c>
      <c r="N4048" t="s">
        <v>18947</v>
      </c>
      <c r="O4048" t="s">
        <v>14894</v>
      </c>
      <c r="P4048" t="s">
        <v>14895</v>
      </c>
      <c r="Q4048" t="s">
        <v>18948</v>
      </c>
      <c r="R4048">
        <v>13</v>
      </c>
      <c r="S4048">
        <v>16</v>
      </c>
    </row>
    <row r="4049" spans="1:19" x14ac:dyDescent="0.35">
      <c r="A4049">
        <v>4866</v>
      </c>
      <c r="B4049" t="s">
        <v>18949</v>
      </c>
      <c r="C4049" t="s">
        <v>42</v>
      </c>
      <c r="D4049" t="s">
        <v>18950</v>
      </c>
      <c r="E4049" t="e" cm="1">
        <f t="array" ref="E4049">- LATANOPROST</f>
        <v>#NAME?</v>
      </c>
      <c r="F4049" t="s">
        <v>18951</v>
      </c>
      <c r="G4049" t="s">
        <v>7569</v>
      </c>
      <c r="H4049" t="s">
        <v>18952</v>
      </c>
      <c r="I4049" t="s">
        <v>18953</v>
      </c>
      <c r="J4049" t="s">
        <v>18074</v>
      </c>
      <c r="K4049" t="s">
        <v>18954</v>
      </c>
      <c r="L4049" t="s">
        <v>18955</v>
      </c>
      <c r="M4049" t="s">
        <v>824</v>
      </c>
      <c r="N4049" t="s">
        <v>14727</v>
      </c>
      <c r="O4049" t="s">
        <v>18956</v>
      </c>
      <c r="P4049" t="s">
        <v>18957</v>
      </c>
      <c r="Q4049" t="s">
        <v>18958</v>
      </c>
      <c r="R4049">
        <v>13</v>
      </c>
      <c r="S4049">
        <v>16</v>
      </c>
    </row>
    <row r="4050" spans="1:19" x14ac:dyDescent="0.35">
      <c r="A4050">
        <v>4895</v>
      </c>
      <c r="B4050" t="s">
        <v>18959</v>
      </c>
      <c r="C4050" t="s">
        <v>42</v>
      </c>
      <c r="D4050" t="s">
        <v>18960</v>
      </c>
      <c r="E4050" t="e" cm="1">
        <f t="array" ref="E4050">- TRAVOPROST</f>
        <v>#NAME?</v>
      </c>
      <c r="F4050" t="s">
        <v>18961</v>
      </c>
      <c r="G4050" t="s">
        <v>18962</v>
      </c>
      <c r="H4050" t="s">
        <v>18963</v>
      </c>
      <c r="I4050" t="s">
        <v>18964</v>
      </c>
      <c r="J4050" t="s">
        <v>18965</v>
      </c>
      <c r="K4050" t="s">
        <v>18966</v>
      </c>
      <c r="L4050" t="s">
        <v>18967</v>
      </c>
      <c r="M4050" t="s">
        <v>824</v>
      </c>
      <c r="N4050" t="s">
        <v>18968</v>
      </c>
      <c r="O4050" t="s">
        <v>18969</v>
      </c>
      <c r="P4050" t="s">
        <v>18970</v>
      </c>
      <c r="Q4050" t="s">
        <v>18971</v>
      </c>
      <c r="R4050">
        <v>13</v>
      </c>
      <c r="S4050">
        <v>16</v>
      </c>
    </row>
    <row r="4051" spans="1:19" x14ac:dyDescent="0.35">
      <c r="A4051">
        <v>6038</v>
      </c>
      <c r="B4051" t="s">
        <v>18972</v>
      </c>
      <c r="C4051" t="s">
        <v>42</v>
      </c>
      <c r="D4051" t="s">
        <v>18973</v>
      </c>
      <c r="E4051" t="e" cm="1">
        <f t="array" ref="E4051">- SULFAMETHOXAZOLE</f>
        <v>#NAME?</v>
      </c>
      <c r="F4051" t="s">
        <v>18974</v>
      </c>
      <c r="H4051" t="s">
        <v>18975</v>
      </c>
      <c r="I4051" t="s">
        <v>18976</v>
      </c>
      <c r="J4051" t="s">
        <v>5221</v>
      </c>
      <c r="L4051" t="s">
        <v>13087</v>
      </c>
      <c r="M4051" t="s">
        <v>291</v>
      </c>
      <c r="N4051" t="s">
        <v>478</v>
      </c>
      <c r="O4051" t="s">
        <v>18977</v>
      </c>
      <c r="P4051" t="s">
        <v>18978</v>
      </c>
      <c r="Q4051" t="s">
        <v>18979</v>
      </c>
      <c r="R4051">
        <v>13</v>
      </c>
      <c r="S4051">
        <v>16</v>
      </c>
    </row>
    <row r="4052" spans="1:19" x14ac:dyDescent="0.35">
      <c r="A4052">
        <v>6041</v>
      </c>
      <c r="B4052" t="s">
        <v>18980</v>
      </c>
      <c r="C4052" t="s">
        <v>42</v>
      </c>
      <c r="D4052" t="s">
        <v>18981</v>
      </c>
      <c r="E4052" t="e" cm="1">
        <f t="array" ref="E4052">- SULFAMETHOXAZOLE</f>
        <v>#NAME?</v>
      </c>
      <c r="F4052" t="s">
        <v>18982</v>
      </c>
      <c r="H4052" t="s">
        <v>18975</v>
      </c>
      <c r="I4052" t="s">
        <v>18976</v>
      </c>
      <c r="J4052" t="s">
        <v>5221</v>
      </c>
      <c r="L4052" t="s">
        <v>13087</v>
      </c>
      <c r="M4052" t="s">
        <v>340</v>
      </c>
      <c r="N4052" t="s">
        <v>478</v>
      </c>
      <c r="O4052" t="s">
        <v>18977</v>
      </c>
      <c r="P4052" t="s">
        <v>18978</v>
      </c>
      <c r="Q4052" t="s">
        <v>18983</v>
      </c>
      <c r="R4052">
        <v>13</v>
      </c>
      <c r="S4052">
        <v>16</v>
      </c>
    </row>
    <row r="4053" spans="1:19" x14ac:dyDescent="0.35">
      <c r="A4053">
        <v>4288</v>
      </c>
      <c r="B4053" t="s">
        <v>18984</v>
      </c>
      <c r="C4053" t="s">
        <v>42</v>
      </c>
      <c r="D4053" t="s">
        <v>18985</v>
      </c>
      <c r="E4053" t="e" cm="1">
        <f t="array" ref="E4053">- CHLORPHENAMINE MALEATE</f>
        <v>#NAME?</v>
      </c>
      <c r="F4053" s="1">
        <v>2500</v>
      </c>
      <c r="G4053" t="s">
        <v>2241</v>
      </c>
      <c r="H4053" t="s">
        <v>18986</v>
      </c>
      <c r="I4053" t="s">
        <v>18788</v>
      </c>
      <c r="J4053" t="s">
        <v>381</v>
      </c>
      <c r="L4053" t="s">
        <v>18987</v>
      </c>
      <c r="M4053" t="s">
        <v>46</v>
      </c>
      <c r="N4053" t="s">
        <v>1354</v>
      </c>
      <c r="O4053" t="s">
        <v>18791</v>
      </c>
      <c r="P4053" t="s">
        <v>18988</v>
      </c>
      <c r="Q4053" t="s">
        <v>18989</v>
      </c>
      <c r="R4053">
        <v>13</v>
      </c>
      <c r="S4053">
        <v>16</v>
      </c>
    </row>
    <row r="4054" spans="1:19" x14ac:dyDescent="0.35">
      <c r="A4054">
        <v>6403</v>
      </c>
      <c r="B4054" t="s">
        <v>18708</v>
      </c>
      <c r="C4054" t="s">
        <v>42</v>
      </c>
      <c r="D4054" t="s">
        <v>18709</v>
      </c>
      <c r="E4054" t="e" cm="1">
        <f t="array" ref="E4054">- AMOXICILLIN TRIHYDRATE</f>
        <v>#NAME?</v>
      </c>
      <c r="F4054" t="s">
        <v>18710</v>
      </c>
      <c r="G4054" t="s">
        <v>18711</v>
      </c>
      <c r="H4054" t="s">
        <v>18712</v>
      </c>
      <c r="I4054" t="s">
        <v>18713</v>
      </c>
      <c r="J4054" t="s">
        <v>18714</v>
      </c>
      <c r="K4054" t="s">
        <v>18715</v>
      </c>
      <c r="L4054" t="s">
        <v>18716</v>
      </c>
      <c r="M4054" t="s">
        <v>271</v>
      </c>
      <c r="N4054" t="s">
        <v>1523</v>
      </c>
      <c r="O4054" t="s">
        <v>18717</v>
      </c>
      <c r="P4054" t="s">
        <v>18718</v>
      </c>
      <c r="Q4054" t="s">
        <v>18719</v>
      </c>
      <c r="R4054">
        <v>13</v>
      </c>
      <c r="S4054">
        <v>16</v>
      </c>
    </row>
    <row r="4055" spans="1:19" x14ac:dyDescent="0.35">
      <c r="A4055">
        <v>4700</v>
      </c>
      <c r="B4055" t="s">
        <v>18990</v>
      </c>
      <c r="C4055" t="s">
        <v>42</v>
      </c>
      <c r="D4055" t="s">
        <v>18991</v>
      </c>
      <c r="E4055" t="e" cm="1">
        <f t="array" ref="E4055">- TIMOLOL MALEATE</f>
        <v>#NAME?</v>
      </c>
      <c r="F4055" t="s">
        <v>18992</v>
      </c>
      <c r="G4055" t="s">
        <v>7569</v>
      </c>
      <c r="H4055" t="s">
        <v>18993</v>
      </c>
      <c r="I4055" t="s">
        <v>18994</v>
      </c>
      <c r="J4055" t="s">
        <v>10248</v>
      </c>
      <c r="K4055" t="s">
        <v>18995</v>
      </c>
      <c r="L4055" t="s">
        <v>18996</v>
      </c>
      <c r="M4055" t="s">
        <v>824</v>
      </c>
      <c r="N4055" t="s">
        <v>6219</v>
      </c>
      <c r="O4055" t="s">
        <v>18997</v>
      </c>
      <c r="P4055" t="s">
        <v>18998</v>
      </c>
      <c r="Q4055" t="s">
        <v>18999</v>
      </c>
      <c r="R4055">
        <v>13</v>
      </c>
      <c r="S4055">
        <v>16</v>
      </c>
    </row>
    <row r="4056" spans="1:19" x14ac:dyDescent="0.35">
      <c r="A4056">
        <v>4784</v>
      </c>
      <c r="B4056" t="s">
        <v>19000</v>
      </c>
      <c r="C4056" t="s">
        <v>42</v>
      </c>
      <c r="D4056" t="s">
        <v>19001</v>
      </c>
      <c r="E4056" t="e" cm="1">
        <f t="array" ref="E4056">- TOBRAMYCIN</f>
        <v>#NAME?</v>
      </c>
      <c r="F4056" t="s">
        <v>19002</v>
      </c>
      <c r="H4056" t="s">
        <v>19003</v>
      </c>
      <c r="I4056" t="s">
        <v>19004</v>
      </c>
      <c r="J4056" t="s">
        <v>9310</v>
      </c>
      <c r="K4056" t="s">
        <v>19005</v>
      </c>
      <c r="L4056" t="s">
        <v>19006</v>
      </c>
      <c r="M4056" t="s">
        <v>824</v>
      </c>
      <c r="N4056" t="s">
        <v>16621</v>
      </c>
      <c r="O4056" t="s">
        <v>19007</v>
      </c>
      <c r="P4056" t="s">
        <v>19008</v>
      </c>
      <c r="Q4056" t="s">
        <v>19009</v>
      </c>
      <c r="R4056">
        <v>13</v>
      </c>
      <c r="S4056">
        <v>16</v>
      </c>
    </row>
    <row r="4057" spans="1:19" x14ac:dyDescent="0.35">
      <c r="A4057">
        <v>4285</v>
      </c>
      <c r="B4057" t="s">
        <v>19010</v>
      </c>
      <c r="C4057" t="s">
        <v>42</v>
      </c>
      <c r="D4057" t="s">
        <v>19011</v>
      </c>
      <c r="E4057" t="e" cm="1">
        <f t="array" ref="E4057">- DIPHENHYDRAMINE HYDROCHLORIDE</f>
        <v>#NAME?</v>
      </c>
      <c r="F4057" t="s">
        <v>19012</v>
      </c>
      <c r="G4057" t="s">
        <v>2241</v>
      </c>
      <c r="H4057" t="s">
        <v>19013</v>
      </c>
      <c r="I4057" t="s">
        <v>19014</v>
      </c>
      <c r="J4057" t="s">
        <v>381</v>
      </c>
      <c r="M4057" t="s">
        <v>46</v>
      </c>
      <c r="N4057" t="s">
        <v>16004</v>
      </c>
      <c r="O4057" t="s">
        <v>19015</v>
      </c>
      <c r="P4057" t="s">
        <v>19016</v>
      </c>
      <c r="Q4057" t="s">
        <v>19017</v>
      </c>
      <c r="R4057">
        <v>13</v>
      </c>
      <c r="S4057">
        <v>16</v>
      </c>
    </row>
    <row r="4058" spans="1:19" x14ac:dyDescent="0.35">
      <c r="A4058">
        <v>4284</v>
      </c>
      <c r="B4058" t="s">
        <v>19010</v>
      </c>
      <c r="C4058" t="s">
        <v>42</v>
      </c>
      <c r="D4058" t="s">
        <v>19011</v>
      </c>
      <c r="E4058" t="e" cm="1">
        <f t="array" ref="E4058">- DIPHENHYDRAMINE HYDROCHLORIDE</f>
        <v>#NAME?</v>
      </c>
      <c r="F4058" t="s">
        <v>19012</v>
      </c>
      <c r="G4058" t="s">
        <v>2241</v>
      </c>
      <c r="H4058" t="s">
        <v>19013</v>
      </c>
      <c r="I4058" t="s">
        <v>19014</v>
      </c>
      <c r="J4058" t="s">
        <v>381</v>
      </c>
      <c r="M4058" t="s">
        <v>46</v>
      </c>
      <c r="N4058" t="s">
        <v>16004</v>
      </c>
      <c r="O4058" t="s">
        <v>19015</v>
      </c>
      <c r="P4058" t="s">
        <v>19016</v>
      </c>
      <c r="Q4058" t="s">
        <v>19017</v>
      </c>
      <c r="R4058">
        <v>13</v>
      </c>
      <c r="S4058">
        <v>16</v>
      </c>
    </row>
    <row r="4059" spans="1:19" x14ac:dyDescent="0.35">
      <c r="A4059">
        <v>4701</v>
      </c>
      <c r="B4059" t="s">
        <v>18990</v>
      </c>
      <c r="C4059" t="s">
        <v>42</v>
      </c>
      <c r="D4059" t="s">
        <v>18991</v>
      </c>
      <c r="E4059" t="e" cm="1">
        <f t="array" ref="E4059">- TIMOLOL MALEATE</f>
        <v>#NAME?</v>
      </c>
      <c r="F4059" t="s">
        <v>18992</v>
      </c>
      <c r="G4059" t="s">
        <v>7569</v>
      </c>
      <c r="H4059" t="s">
        <v>18993</v>
      </c>
      <c r="I4059" t="s">
        <v>18994</v>
      </c>
      <c r="J4059" t="s">
        <v>10248</v>
      </c>
      <c r="K4059" t="s">
        <v>18995</v>
      </c>
      <c r="L4059" t="s">
        <v>18996</v>
      </c>
      <c r="M4059" t="s">
        <v>824</v>
      </c>
      <c r="N4059" t="s">
        <v>6219</v>
      </c>
      <c r="O4059" t="s">
        <v>18997</v>
      </c>
      <c r="P4059" t="s">
        <v>18998</v>
      </c>
      <c r="Q4059" t="s">
        <v>18999</v>
      </c>
      <c r="R4059">
        <v>13</v>
      </c>
      <c r="S4059">
        <v>16</v>
      </c>
    </row>
    <row r="4060" spans="1:19" x14ac:dyDescent="0.35">
      <c r="A4060">
        <v>7697</v>
      </c>
      <c r="B4060" t="s">
        <v>19018</v>
      </c>
      <c r="C4060" t="s">
        <v>20</v>
      </c>
      <c r="D4060" t="s">
        <v>19019</v>
      </c>
      <c r="E4060" t="s">
        <v>19020</v>
      </c>
      <c r="F4060" t="s">
        <v>19021</v>
      </c>
      <c r="G4060" t="s">
        <v>60</v>
      </c>
      <c r="H4060" t="s">
        <v>6956</v>
      </c>
      <c r="I4060" t="s">
        <v>10859</v>
      </c>
      <c r="J4060" t="s">
        <v>19022</v>
      </c>
      <c r="K4060" t="s">
        <v>19023</v>
      </c>
      <c r="L4060" t="s">
        <v>19024</v>
      </c>
      <c r="M4060" t="s">
        <v>38</v>
      </c>
      <c r="N4060" t="s">
        <v>19025</v>
      </c>
      <c r="O4060" t="s">
        <v>5759</v>
      </c>
      <c r="P4060" t="s">
        <v>19026</v>
      </c>
      <c r="Q4060" t="s">
        <v>19027</v>
      </c>
      <c r="R4060">
        <v>13</v>
      </c>
      <c r="S4060">
        <v>16</v>
      </c>
    </row>
    <row r="4061" spans="1:19" x14ac:dyDescent="0.35">
      <c r="A4061">
        <v>4281</v>
      </c>
      <c r="B4061" t="s">
        <v>19028</v>
      </c>
      <c r="C4061" t="s">
        <v>42</v>
      </c>
      <c r="D4061" t="s">
        <v>19029</v>
      </c>
      <c r="E4061" t="e" cm="1">
        <f t="array" ref="E4061">- CETIRIZINE HYDROCHLORIDE</f>
        <v>#NAME?</v>
      </c>
      <c r="F4061" t="s">
        <v>19030</v>
      </c>
      <c r="I4061" t="s">
        <v>18665</v>
      </c>
      <c r="J4061" t="s">
        <v>2478</v>
      </c>
      <c r="M4061" t="s">
        <v>291</v>
      </c>
      <c r="N4061" t="s">
        <v>1390</v>
      </c>
      <c r="O4061" t="s">
        <v>18666</v>
      </c>
      <c r="P4061" t="s">
        <v>1487</v>
      </c>
      <c r="Q4061" t="s">
        <v>19031</v>
      </c>
      <c r="R4061">
        <v>13</v>
      </c>
      <c r="S4061">
        <v>16</v>
      </c>
    </row>
    <row r="4062" spans="1:19" x14ac:dyDescent="0.35">
      <c r="A4062">
        <v>4702</v>
      </c>
      <c r="B4062" t="s">
        <v>18990</v>
      </c>
      <c r="C4062" t="s">
        <v>42</v>
      </c>
      <c r="D4062" t="s">
        <v>18991</v>
      </c>
      <c r="E4062" t="e" cm="1">
        <f t="array" ref="E4062">- TIMOLOL MALEATE</f>
        <v>#NAME?</v>
      </c>
      <c r="F4062" t="s">
        <v>18992</v>
      </c>
      <c r="G4062" t="s">
        <v>7569</v>
      </c>
      <c r="H4062" t="s">
        <v>18993</v>
      </c>
      <c r="I4062" t="s">
        <v>18994</v>
      </c>
      <c r="J4062" t="s">
        <v>10248</v>
      </c>
      <c r="K4062" t="s">
        <v>18995</v>
      </c>
      <c r="L4062" t="s">
        <v>18996</v>
      </c>
      <c r="M4062" t="s">
        <v>824</v>
      </c>
      <c r="N4062" t="s">
        <v>6219</v>
      </c>
      <c r="O4062" t="s">
        <v>18997</v>
      </c>
      <c r="P4062" t="s">
        <v>18998</v>
      </c>
      <c r="Q4062" t="s">
        <v>18999</v>
      </c>
      <c r="R4062">
        <v>13</v>
      </c>
      <c r="S4062">
        <v>16</v>
      </c>
    </row>
    <row r="4063" spans="1:19" x14ac:dyDescent="0.35">
      <c r="A4063">
        <v>6244</v>
      </c>
      <c r="B4063" t="s">
        <v>19032</v>
      </c>
      <c r="C4063" t="s">
        <v>42</v>
      </c>
      <c r="D4063" t="s">
        <v>19033</v>
      </c>
      <c r="E4063" t="e" cm="1">
        <f t="array" ref="E4063">- TETRACYCLINE HYDROCHLORIDE</f>
        <v>#NAME?</v>
      </c>
      <c r="F4063" t="s">
        <v>19034</v>
      </c>
      <c r="H4063" t="s">
        <v>19035</v>
      </c>
      <c r="I4063" t="s">
        <v>19036</v>
      </c>
      <c r="J4063" t="s">
        <v>19037</v>
      </c>
      <c r="L4063" t="s">
        <v>321</v>
      </c>
      <c r="M4063" t="s">
        <v>38</v>
      </c>
      <c r="N4063" t="s">
        <v>3156</v>
      </c>
      <c r="O4063" t="s">
        <v>19038</v>
      </c>
      <c r="P4063" t="s">
        <v>19039</v>
      </c>
      <c r="Q4063" t="s">
        <v>19040</v>
      </c>
      <c r="R4063">
        <v>13</v>
      </c>
      <c r="S4063">
        <v>16</v>
      </c>
    </row>
    <row r="4064" spans="1:19" x14ac:dyDescent="0.35">
      <c r="A4064">
        <v>4710</v>
      </c>
      <c r="B4064" t="s">
        <v>14849</v>
      </c>
      <c r="C4064" t="s">
        <v>42</v>
      </c>
      <c r="D4064" t="s">
        <v>14850</v>
      </c>
      <c r="E4064" t="e" cm="1">
        <f t="array" ref="E4064">- CIPROFLOXACIN HYDROCHLORIDE MONOHYDRATE</f>
        <v>#NAME?</v>
      </c>
      <c r="F4064" t="s">
        <v>14851</v>
      </c>
      <c r="G4064" t="s">
        <v>7569</v>
      </c>
      <c r="H4064" t="s">
        <v>14852</v>
      </c>
      <c r="I4064" t="s">
        <v>14853</v>
      </c>
      <c r="J4064" t="s">
        <v>10248</v>
      </c>
      <c r="L4064" t="s">
        <v>270</v>
      </c>
      <c r="M4064" t="s">
        <v>824</v>
      </c>
      <c r="N4064" t="s">
        <v>10679</v>
      </c>
      <c r="O4064" t="s">
        <v>14854</v>
      </c>
      <c r="P4064" t="s">
        <v>14855</v>
      </c>
      <c r="Q4064" t="s">
        <v>19041</v>
      </c>
      <c r="R4064">
        <v>13</v>
      </c>
      <c r="S4064">
        <v>16</v>
      </c>
    </row>
    <row r="4065" spans="1:19" x14ac:dyDescent="0.35">
      <c r="A4065">
        <v>6243</v>
      </c>
      <c r="B4065" t="s">
        <v>19032</v>
      </c>
      <c r="C4065" t="s">
        <v>42</v>
      </c>
      <c r="D4065" t="s">
        <v>19033</v>
      </c>
      <c r="E4065" t="e" cm="1">
        <f t="array" ref="E4065">- TETRACYCLINE HYDROCHLORIDE</f>
        <v>#NAME?</v>
      </c>
      <c r="F4065" t="s">
        <v>19034</v>
      </c>
      <c r="H4065" t="s">
        <v>19035</v>
      </c>
      <c r="I4065" t="s">
        <v>19036</v>
      </c>
      <c r="J4065" t="s">
        <v>19037</v>
      </c>
      <c r="L4065" t="s">
        <v>321</v>
      </c>
      <c r="M4065" t="s">
        <v>38</v>
      </c>
      <c r="N4065" t="s">
        <v>3156</v>
      </c>
      <c r="O4065" t="s">
        <v>19038</v>
      </c>
      <c r="P4065" t="s">
        <v>19039</v>
      </c>
      <c r="Q4065" t="s">
        <v>19040</v>
      </c>
      <c r="R4065">
        <v>13</v>
      </c>
      <c r="S4065">
        <v>16</v>
      </c>
    </row>
    <row r="4066" spans="1:19" x14ac:dyDescent="0.35">
      <c r="A4066">
        <v>4711</v>
      </c>
      <c r="B4066" t="s">
        <v>14849</v>
      </c>
      <c r="C4066" t="s">
        <v>42</v>
      </c>
      <c r="D4066" t="s">
        <v>14850</v>
      </c>
      <c r="E4066" t="e" cm="1">
        <f t="array" ref="E4066">- CIPROFLOXACIN HYDROCHLORIDE MONOHYDRATE</f>
        <v>#NAME?</v>
      </c>
      <c r="F4066" t="s">
        <v>14851</v>
      </c>
      <c r="G4066" t="s">
        <v>7569</v>
      </c>
      <c r="H4066" t="s">
        <v>14852</v>
      </c>
      <c r="I4066" t="s">
        <v>14853</v>
      </c>
      <c r="J4066" t="s">
        <v>10248</v>
      </c>
      <c r="L4066" t="s">
        <v>270</v>
      </c>
      <c r="M4066" t="s">
        <v>824</v>
      </c>
      <c r="N4066" t="s">
        <v>10679</v>
      </c>
      <c r="O4066" t="s">
        <v>14854</v>
      </c>
      <c r="P4066" t="s">
        <v>14855</v>
      </c>
      <c r="Q4066" t="s">
        <v>19041</v>
      </c>
      <c r="R4066">
        <v>13</v>
      </c>
      <c r="S4066">
        <v>16</v>
      </c>
    </row>
    <row r="4067" spans="1:19" x14ac:dyDescent="0.35">
      <c r="A4067">
        <v>6438</v>
      </c>
      <c r="B4067" t="s">
        <v>19042</v>
      </c>
      <c r="C4067" t="s">
        <v>42</v>
      </c>
      <c r="D4067" t="s">
        <v>19043</v>
      </c>
      <c r="E4067" t="e" cm="1">
        <f t="array" ref="E4067">- OFLOXACIN</f>
        <v>#NAME?</v>
      </c>
      <c r="F4067" t="s">
        <v>19044</v>
      </c>
      <c r="H4067" t="s">
        <v>19045</v>
      </c>
      <c r="I4067" t="s">
        <v>19046</v>
      </c>
      <c r="L4067" t="s">
        <v>270</v>
      </c>
      <c r="M4067" t="s">
        <v>46</v>
      </c>
      <c r="N4067" t="s">
        <v>1640</v>
      </c>
      <c r="O4067" t="s">
        <v>19047</v>
      </c>
      <c r="P4067" t="s">
        <v>19048</v>
      </c>
      <c r="Q4067" t="s">
        <v>19049</v>
      </c>
      <c r="R4067">
        <v>13</v>
      </c>
      <c r="S4067">
        <v>16</v>
      </c>
    </row>
    <row r="4068" spans="1:19" x14ac:dyDescent="0.35">
      <c r="A4068">
        <v>6439</v>
      </c>
      <c r="B4068" t="s">
        <v>19050</v>
      </c>
      <c r="C4068" t="s">
        <v>42</v>
      </c>
      <c r="D4068" t="s">
        <v>19051</v>
      </c>
      <c r="E4068" t="e" cm="1">
        <f t="array" ref="E4068">- OFLOXACIN</f>
        <v>#NAME?</v>
      </c>
      <c r="F4068" t="s">
        <v>19052</v>
      </c>
      <c r="G4068" t="s">
        <v>19053</v>
      </c>
      <c r="H4068" t="s">
        <v>19045</v>
      </c>
      <c r="I4068" t="s">
        <v>19046</v>
      </c>
      <c r="J4068" t="s">
        <v>4095</v>
      </c>
      <c r="L4068" t="s">
        <v>19054</v>
      </c>
      <c r="M4068" t="s">
        <v>46</v>
      </c>
      <c r="N4068" t="s">
        <v>1640</v>
      </c>
      <c r="O4068" t="s">
        <v>19047</v>
      </c>
      <c r="P4068" t="s">
        <v>19048</v>
      </c>
      <c r="Q4068" t="s">
        <v>19049</v>
      </c>
      <c r="R4068">
        <v>13</v>
      </c>
      <c r="S4068">
        <v>16</v>
      </c>
    </row>
    <row r="4069" spans="1:19" x14ac:dyDescent="0.35">
      <c r="A4069">
        <v>6085</v>
      </c>
      <c r="B4069" t="s">
        <v>19055</v>
      </c>
      <c r="C4069" t="s">
        <v>42</v>
      </c>
      <c r="D4069" t="s">
        <v>19056</v>
      </c>
      <c r="E4069" t="e" cm="1">
        <f t="array" ref="E4069">- CLARITHROMYCIN</f>
        <v>#NAME?</v>
      </c>
      <c r="F4069" t="s">
        <v>10717</v>
      </c>
      <c r="G4069" t="s">
        <v>19057</v>
      </c>
      <c r="H4069" t="s">
        <v>19058</v>
      </c>
      <c r="I4069" t="s">
        <v>19059</v>
      </c>
      <c r="J4069" t="s">
        <v>4095</v>
      </c>
      <c r="L4069" t="s">
        <v>19060</v>
      </c>
      <c r="M4069" t="s">
        <v>291</v>
      </c>
      <c r="N4069" t="s">
        <v>985</v>
      </c>
      <c r="O4069" t="s">
        <v>19061</v>
      </c>
      <c r="P4069" t="s">
        <v>19062</v>
      </c>
      <c r="Q4069" t="s">
        <v>19063</v>
      </c>
      <c r="R4069">
        <v>13</v>
      </c>
      <c r="S4069">
        <v>16</v>
      </c>
    </row>
    <row r="4070" spans="1:19" x14ac:dyDescent="0.35">
      <c r="A4070">
        <v>4729</v>
      </c>
      <c r="B4070" t="s">
        <v>16210</v>
      </c>
      <c r="C4070" t="s">
        <v>42</v>
      </c>
      <c r="D4070" t="s">
        <v>16211</v>
      </c>
      <c r="E4070" t="e" cm="1">
        <f t="array" ref="E4070">- TETRAHYDROZOLINE HYDROCHLORIDE</f>
        <v>#NAME?</v>
      </c>
      <c r="F4070" t="s">
        <v>16212</v>
      </c>
      <c r="G4070" t="s">
        <v>7569</v>
      </c>
      <c r="H4070" t="s">
        <v>16213</v>
      </c>
      <c r="I4070" t="s">
        <v>16214</v>
      </c>
      <c r="J4070" t="s">
        <v>16170</v>
      </c>
      <c r="M4070" t="s">
        <v>824</v>
      </c>
      <c r="N4070" t="s">
        <v>3512</v>
      </c>
      <c r="O4070" t="s">
        <v>16215</v>
      </c>
      <c r="P4070" t="s">
        <v>16216</v>
      </c>
      <c r="Q4070" t="s">
        <v>18818</v>
      </c>
      <c r="R4070">
        <v>13</v>
      </c>
      <c r="S4070">
        <v>16</v>
      </c>
    </row>
    <row r="4071" spans="1:19" x14ac:dyDescent="0.35">
      <c r="A4071">
        <v>4867</v>
      </c>
      <c r="B4071" t="s">
        <v>18949</v>
      </c>
      <c r="C4071" t="s">
        <v>42</v>
      </c>
      <c r="D4071" t="s">
        <v>18950</v>
      </c>
      <c r="E4071" t="e" cm="1">
        <f t="array" ref="E4071">- LATANOPROST</f>
        <v>#NAME?</v>
      </c>
      <c r="F4071" t="s">
        <v>18951</v>
      </c>
      <c r="G4071" t="s">
        <v>7569</v>
      </c>
      <c r="H4071" t="s">
        <v>18952</v>
      </c>
      <c r="I4071" t="s">
        <v>18953</v>
      </c>
      <c r="J4071" t="s">
        <v>18074</v>
      </c>
      <c r="K4071" t="s">
        <v>18954</v>
      </c>
      <c r="L4071" t="s">
        <v>18955</v>
      </c>
      <c r="M4071" t="s">
        <v>824</v>
      </c>
      <c r="N4071" t="s">
        <v>14727</v>
      </c>
      <c r="O4071" t="s">
        <v>18956</v>
      </c>
      <c r="P4071" t="s">
        <v>18957</v>
      </c>
      <c r="Q4071" t="s">
        <v>18958</v>
      </c>
      <c r="R4071">
        <v>13</v>
      </c>
      <c r="S4071">
        <v>16</v>
      </c>
    </row>
    <row r="4072" spans="1:19" x14ac:dyDescent="0.35">
      <c r="A4072">
        <v>6444</v>
      </c>
      <c r="B4072" t="s">
        <v>19064</v>
      </c>
      <c r="C4072" t="s">
        <v>42</v>
      </c>
      <c r="D4072" t="s">
        <v>19065</v>
      </c>
      <c r="E4072" t="e" cm="1">
        <f t="array" ref="E4072">- TETRACYCLINE HYDROCHLORIDE</f>
        <v>#NAME?</v>
      </c>
      <c r="F4072" t="s">
        <v>5068</v>
      </c>
      <c r="G4072" t="s">
        <v>5568</v>
      </c>
      <c r="H4072" t="s">
        <v>19035</v>
      </c>
      <c r="I4072" t="s">
        <v>19036</v>
      </c>
      <c r="J4072" t="s">
        <v>19066</v>
      </c>
      <c r="K4072" t="s">
        <v>19067</v>
      </c>
      <c r="L4072" t="s">
        <v>19068</v>
      </c>
      <c r="M4072" t="s">
        <v>38</v>
      </c>
      <c r="N4072" t="s">
        <v>3156</v>
      </c>
      <c r="O4072" t="s">
        <v>19038</v>
      </c>
      <c r="P4072" t="s">
        <v>19069</v>
      </c>
      <c r="Q4072" t="s">
        <v>19070</v>
      </c>
      <c r="R4072">
        <v>13</v>
      </c>
      <c r="S4072">
        <v>16</v>
      </c>
    </row>
    <row r="4073" spans="1:19" x14ac:dyDescent="0.35">
      <c r="A4073">
        <v>882</v>
      </c>
      <c r="B4073" t="s">
        <v>18869</v>
      </c>
      <c r="C4073" t="s">
        <v>42</v>
      </c>
      <c r="D4073" t="s">
        <v>18870</v>
      </c>
      <c r="E4073" t="e" cm="1">
        <f t="array" ref="E4073">- CHLORPHENAMINE MALEATE</f>
        <v>#NAME?</v>
      </c>
      <c r="F4073" t="s">
        <v>18871</v>
      </c>
      <c r="G4073" t="s">
        <v>60</v>
      </c>
      <c r="H4073" t="s">
        <v>18872</v>
      </c>
      <c r="I4073" t="s">
        <v>18873</v>
      </c>
      <c r="J4073" t="s">
        <v>374</v>
      </c>
      <c r="K4073" t="s">
        <v>18874</v>
      </c>
      <c r="L4073" t="s">
        <v>18875</v>
      </c>
      <c r="M4073" t="s">
        <v>271</v>
      </c>
      <c r="N4073" t="s">
        <v>1354</v>
      </c>
      <c r="O4073" t="s">
        <v>18876</v>
      </c>
      <c r="P4073" t="s">
        <v>18877</v>
      </c>
      <c r="Q4073" t="s">
        <v>18878</v>
      </c>
      <c r="R4073">
        <v>13</v>
      </c>
      <c r="S4073">
        <v>16</v>
      </c>
    </row>
    <row r="4074" spans="1:19" x14ac:dyDescent="0.35">
      <c r="A4074">
        <v>881</v>
      </c>
      <c r="B4074" t="s">
        <v>18869</v>
      </c>
      <c r="C4074" t="s">
        <v>42</v>
      </c>
      <c r="D4074" t="s">
        <v>18870</v>
      </c>
      <c r="E4074" t="e" cm="1">
        <f t="array" ref="E4074">- CHLORPHENAMINE MALEATE</f>
        <v>#NAME?</v>
      </c>
      <c r="F4074" t="s">
        <v>18871</v>
      </c>
      <c r="G4074" t="s">
        <v>60</v>
      </c>
      <c r="H4074" t="s">
        <v>18872</v>
      </c>
      <c r="I4074" t="s">
        <v>18873</v>
      </c>
      <c r="J4074" t="s">
        <v>374</v>
      </c>
      <c r="K4074" t="s">
        <v>18874</v>
      </c>
      <c r="L4074" t="s">
        <v>18875</v>
      </c>
      <c r="M4074" t="s">
        <v>271</v>
      </c>
      <c r="N4074" t="s">
        <v>1354</v>
      </c>
      <c r="O4074" t="s">
        <v>18876</v>
      </c>
      <c r="P4074" t="s">
        <v>18877</v>
      </c>
      <c r="Q4074" t="s">
        <v>18878</v>
      </c>
      <c r="R4074">
        <v>13</v>
      </c>
      <c r="S4074">
        <v>16</v>
      </c>
    </row>
    <row r="4075" spans="1:19" x14ac:dyDescent="0.35">
      <c r="A4075">
        <v>4275</v>
      </c>
      <c r="B4075" t="s">
        <v>19071</v>
      </c>
      <c r="C4075" t="s">
        <v>42</v>
      </c>
      <c r="D4075" t="s">
        <v>19072</v>
      </c>
      <c r="E4075" t="e" cm="1">
        <f t="array" ref="E4075">- CETIRIZINE HYDROCHLORIDE</f>
        <v>#NAME?</v>
      </c>
      <c r="F4075" s="1">
        <v>75200</v>
      </c>
      <c r="G4075" t="s">
        <v>5698</v>
      </c>
      <c r="H4075" t="s">
        <v>19073</v>
      </c>
      <c r="I4075" t="s">
        <v>18665</v>
      </c>
      <c r="J4075" t="s">
        <v>334</v>
      </c>
      <c r="K4075" t="s">
        <v>18844</v>
      </c>
      <c r="L4075" t="s">
        <v>18845</v>
      </c>
      <c r="M4075" t="s">
        <v>271</v>
      </c>
      <c r="N4075" t="s">
        <v>1390</v>
      </c>
      <c r="O4075" t="s">
        <v>18666</v>
      </c>
      <c r="P4075" t="s">
        <v>18846</v>
      </c>
      <c r="Q4075" t="s">
        <v>19074</v>
      </c>
      <c r="R4075">
        <v>13</v>
      </c>
      <c r="S4075">
        <v>16</v>
      </c>
    </row>
    <row r="4076" spans="1:19" x14ac:dyDescent="0.35">
      <c r="A4076">
        <v>4274</v>
      </c>
      <c r="B4076" t="s">
        <v>19071</v>
      </c>
      <c r="C4076" t="s">
        <v>42</v>
      </c>
      <c r="D4076" t="s">
        <v>19072</v>
      </c>
      <c r="E4076" t="e" cm="1">
        <f t="array" ref="E4076">- CETIRIZINE HYDROCHLORIDE</f>
        <v>#NAME?</v>
      </c>
      <c r="F4076" s="1">
        <v>75200</v>
      </c>
      <c r="G4076" t="s">
        <v>5698</v>
      </c>
      <c r="H4076" t="s">
        <v>19073</v>
      </c>
      <c r="I4076" t="s">
        <v>18665</v>
      </c>
      <c r="J4076" t="s">
        <v>334</v>
      </c>
      <c r="K4076" t="s">
        <v>18844</v>
      </c>
      <c r="L4076" t="s">
        <v>18845</v>
      </c>
      <c r="M4076" t="s">
        <v>271</v>
      </c>
      <c r="N4076" t="s">
        <v>1390</v>
      </c>
      <c r="O4076" t="s">
        <v>18666</v>
      </c>
      <c r="P4076" t="s">
        <v>18846</v>
      </c>
      <c r="Q4076" t="s">
        <v>19074</v>
      </c>
      <c r="R4076">
        <v>13</v>
      </c>
      <c r="S4076">
        <v>16</v>
      </c>
    </row>
    <row r="4077" spans="1:19" x14ac:dyDescent="0.35">
      <c r="A4077">
        <v>4779</v>
      </c>
      <c r="B4077" t="s">
        <v>19075</v>
      </c>
      <c r="C4077" t="s">
        <v>42</v>
      </c>
      <c r="D4077" t="s">
        <v>19076</v>
      </c>
      <c r="E4077" t="e" cm="1">
        <f t="array" ref="E4077">- OFLOXACIN</f>
        <v>#NAME?</v>
      </c>
      <c r="F4077" t="s">
        <v>19077</v>
      </c>
      <c r="G4077" t="s">
        <v>19078</v>
      </c>
      <c r="H4077" t="s">
        <v>19079</v>
      </c>
      <c r="I4077" t="s">
        <v>19080</v>
      </c>
      <c r="J4077" t="s">
        <v>11321</v>
      </c>
      <c r="K4077" t="s">
        <v>19081</v>
      </c>
      <c r="L4077" t="s">
        <v>19082</v>
      </c>
      <c r="M4077" t="s">
        <v>824</v>
      </c>
      <c r="N4077" t="s">
        <v>1640</v>
      </c>
      <c r="O4077" t="s">
        <v>19083</v>
      </c>
      <c r="P4077" t="s">
        <v>19084</v>
      </c>
      <c r="Q4077" t="s">
        <v>19085</v>
      </c>
      <c r="R4077">
        <v>13</v>
      </c>
      <c r="S4077">
        <v>16</v>
      </c>
    </row>
    <row r="4078" spans="1:19" x14ac:dyDescent="0.35">
      <c r="A4078">
        <v>4785</v>
      </c>
      <c r="B4078" t="s">
        <v>19000</v>
      </c>
      <c r="C4078" t="s">
        <v>42</v>
      </c>
      <c r="D4078" t="s">
        <v>19001</v>
      </c>
      <c r="E4078" t="e" cm="1">
        <f t="array" ref="E4078">- TOBRAMYCIN</f>
        <v>#NAME?</v>
      </c>
      <c r="F4078" t="s">
        <v>19002</v>
      </c>
      <c r="H4078" t="s">
        <v>19003</v>
      </c>
      <c r="I4078" t="s">
        <v>19004</v>
      </c>
      <c r="J4078" t="s">
        <v>9310</v>
      </c>
      <c r="K4078" t="s">
        <v>19005</v>
      </c>
      <c r="L4078" t="s">
        <v>19006</v>
      </c>
      <c r="M4078" t="s">
        <v>824</v>
      </c>
      <c r="N4078" t="s">
        <v>16621</v>
      </c>
      <c r="O4078" t="s">
        <v>19007</v>
      </c>
      <c r="P4078" t="s">
        <v>19008</v>
      </c>
      <c r="Q4078" t="s">
        <v>19009</v>
      </c>
      <c r="R4078">
        <v>13</v>
      </c>
      <c r="S4078">
        <v>16</v>
      </c>
    </row>
    <row r="4079" spans="1:19" x14ac:dyDescent="0.35">
      <c r="A4079">
        <v>5794</v>
      </c>
      <c r="B4079" t="s">
        <v>19086</v>
      </c>
      <c r="C4079" t="s">
        <v>42</v>
      </c>
      <c r="D4079" t="s">
        <v>19087</v>
      </c>
      <c r="E4079" t="e" cm="1">
        <f t="array" ref="E4079">- SULFAMETHOXAZOLE</f>
        <v>#NAME?</v>
      </c>
      <c r="F4079" t="s">
        <v>19088</v>
      </c>
      <c r="G4079" t="s">
        <v>5033</v>
      </c>
      <c r="H4079" t="s">
        <v>19089</v>
      </c>
      <c r="I4079" t="s">
        <v>17555</v>
      </c>
      <c r="J4079" t="s">
        <v>5221</v>
      </c>
      <c r="K4079" t="s">
        <v>19090</v>
      </c>
      <c r="L4079" t="s">
        <v>19091</v>
      </c>
      <c r="M4079" t="s">
        <v>291</v>
      </c>
      <c r="N4079" t="s">
        <v>478</v>
      </c>
      <c r="O4079" t="s">
        <v>17556</v>
      </c>
      <c r="P4079" t="s">
        <v>19092</v>
      </c>
      <c r="Q4079" t="s">
        <v>19093</v>
      </c>
      <c r="R4079">
        <v>13</v>
      </c>
      <c r="S4079">
        <v>16</v>
      </c>
    </row>
    <row r="4080" spans="1:19" x14ac:dyDescent="0.35">
      <c r="A4080">
        <v>6782</v>
      </c>
      <c r="B4080" t="s">
        <v>18702</v>
      </c>
      <c r="C4080" t="s">
        <v>42</v>
      </c>
      <c r="D4080" t="s">
        <v>18703</v>
      </c>
      <c r="E4080" t="e" cm="1">
        <f t="array" ref="E4080">- COLCHICINE</f>
        <v>#NAME?</v>
      </c>
      <c r="F4080" s="1">
        <v>57400</v>
      </c>
      <c r="I4080" t="s">
        <v>18704</v>
      </c>
      <c r="J4080" t="s">
        <v>2100</v>
      </c>
      <c r="M4080" t="s">
        <v>46</v>
      </c>
      <c r="N4080" t="s">
        <v>9119</v>
      </c>
      <c r="O4080" t="s">
        <v>18705</v>
      </c>
      <c r="P4080" t="s">
        <v>18706</v>
      </c>
      <c r="Q4080" t="s">
        <v>18707</v>
      </c>
      <c r="R4080">
        <v>13</v>
      </c>
      <c r="S4080">
        <v>16</v>
      </c>
    </row>
    <row r="4081" spans="1:19" x14ac:dyDescent="0.35">
      <c r="A4081">
        <v>959</v>
      </c>
      <c r="B4081" t="s">
        <v>8548</v>
      </c>
      <c r="C4081" t="s">
        <v>42</v>
      </c>
      <c r="D4081" t="s">
        <v>8549</v>
      </c>
      <c r="E4081" t="e" cm="1">
        <f t="array" ref="E4081">- SUCCUS LIQUIRITIAE. GUAIFENESIN. PHENYLEPHRINE HYDROCHLORIDE. CHLORPHENAMINE MALEATE</f>
        <v>#NAME?</v>
      </c>
      <c r="F4081" t="s">
        <v>8550</v>
      </c>
      <c r="G4081" t="s">
        <v>4482</v>
      </c>
      <c r="H4081" t="s">
        <v>8551</v>
      </c>
    </row>
    <row r="4082" spans="1:19" x14ac:dyDescent="0.35">
      <c r="A4082">
        <v>478</v>
      </c>
      <c r="B4082" t="s">
        <v>19094</v>
      </c>
      <c r="C4082" t="s">
        <v>42</v>
      </c>
      <c r="D4082" t="s">
        <v>19095</v>
      </c>
      <c r="E4082" t="e" cm="1">
        <f t="array" ref="E4082">- THEOPHYLLINE</f>
        <v>#NAME?</v>
      </c>
      <c r="F4082" t="s">
        <v>19096</v>
      </c>
      <c r="G4082" t="s">
        <v>16590</v>
      </c>
      <c r="H4082" t="s">
        <v>19097</v>
      </c>
      <c r="I4082" t="s">
        <v>16592</v>
      </c>
      <c r="J4082" t="s">
        <v>19098</v>
      </c>
      <c r="L4082" t="s">
        <v>16594</v>
      </c>
      <c r="M4082" t="s">
        <v>46</v>
      </c>
      <c r="N4082" t="s">
        <v>4449</v>
      </c>
      <c r="O4082" t="s">
        <v>16595</v>
      </c>
      <c r="P4082" t="s">
        <v>19099</v>
      </c>
      <c r="Q4082" t="s">
        <v>19100</v>
      </c>
      <c r="R4082">
        <v>13</v>
      </c>
      <c r="S4082">
        <v>16</v>
      </c>
    </row>
    <row r="4083" spans="1:19" x14ac:dyDescent="0.35">
      <c r="A4083">
        <v>960</v>
      </c>
      <c r="B4083" t="s">
        <v>8548</v>
      </c>
      <c r="C4083" t="s">
        <v>42</v>
      </c>
      <c r="D4083" t="s">
        <v>8549</v>
      </c>
      <c r="E4083" t="e" cm="1">
        <f t="array" ref="E4083">- GUAIFENESIN. CHLORPHENAMINE MALEATE. SUCCUS LIQUIRITIAE. PHENYLEPHRINE HYDROCHLORIDE</f>
        <v>#NAME?</v>
      </c>
      <c r="F4083" t="s">
        <v>8550</v>
      </c>
      <c r="G4083" t="s">
        <v>4482</v>
      </c>
      <c r="H4083" t="s">
        <v>8551</v>
      </c>
    </row>
    <row r="4084" spans="1:19" x14ac:dyDescent="0.35">
      <c r="A4084">
        <v>7448</v>
      </c>
      <c r="B4084" t="s">
        <v>19101</v>
      </c>
      <c r="C4084" t="s">
        <v>20</v>
      </c>
      <c r="D4084" t="s">
        <v>19102</v>
      </c>
      <c r="E4084" t="s">
        <v>19103</v>
      </c>
      <c r="F4084" t="s">
        <v>19104</v>
      </c>
      <c r="G4084" t="s">
        <v>4469</v>
      </c>
      <c r="H4084" t="s">
        <v>19105</v>
      </c>
      <c r="I4084" t="s">
        <v>19106</v>
      </c>
      <c r="J4084" t="s">
        <v>19107</v>
      </c>
      <c r="K4084" t="s">
        <v>2726</v>
      </c>
      <c r="L4084" t="s">
        <v>19108</v>
      </c>
      <c r="M4084" t="s">
        <v>46</v>
      </c>
      <c r="N4084" t="s">
        <v>19109</v>
      </c>
      <c r="O4084" t="s">
        <v>19110</v>
      </c>
      <c r="P4084" t="s">
        <v>19111</v>
      </c>
      <c r="Q4084" t="s">
        <v>19112</v>
      </c>
      <c r="R4084">
        <v>13</v>
      </c>
      <c r="S4084">
        <v>16</v>
      </c>
    </row>
    <row r="4085" spans="1:19" x14ac:dyDescent="0.35">
      <c r="A4085">
        <v>5521</v>
      </c>
      <c r="B4085" t="s">
        <v>19113</v>
      </c>
      <c r="C4085" t="s">
        <v>42</v>
      </c>
      <c r="D4085" t="s">
        <v>19114</v>
      </c>
      <c r="E4085" t="e" cm="1">
        <f t="array" ref="E4085">- HEPARIN SODIUM</f>
        <v>#NAME?</v>
      </c>
      <c r="F4085" t="s">
        <v>19115</v>
      </c>
      <c r="G4085" t="s">
        <v>17269</v>
      </c>
      <c r="H4085" t="s">
        <v>17270</v>
      </c>
      <c r="I4085" t="s">
        <v>19116</v>
      </c>
      <c r="J4085" t="s">
        <v>3197</v>
      </c>
      <c r="K4085" t="s">
        <v>17272</v>
      </c>
      <c r="L4085" t="s">
        <v>17273</v>
      </c>
      <c r="M4085" t="s">
        <v>87</v>
      </c>
      <c r="N4085" t="s">
        <v>2168</v>
      </c>
      <c r="O4085" t="s">
        <v>19117</v>
      </c>
      <c r="P4085" t="s">
        <v>19118</v>
      </c>
      <c r="Q4085" t="s">
        <v>19119</v>
      </c>
      <c r="R4085">
        <v>13</v>
      </c>
      <c r="S4085">
        <v>16</v>
      </c>
    </row>
    <row r="4086" spans="1:19" x14ac:dyDescent="0.35">
      <c r="A4086">
        <v>5520</v>
      </c>
      <c r="B4086" t="s">
        <v>19113</v>
      </c>
      <c r="C4086" t="s">
        <v>42</v>
      </c>
      <c r="D4086" t="s">
        <v>19114</v>
      </c>
      <c r="E4086" t="e" cm="1">
        <f t="array" ref="E4086">- HEPARIN SODIUM</f>
        <v>#NAME?</v>
      </c>
      <c r="F4086" t="s">
        <v>19115</v>
      </c>
      <c r="G4086" t="s">
        <v>17269</v>
      </c>
      <c r="H4086" t="s">
        <v>17270</v>
      </c>
      <c r="I4086" t="s">
        <v>19116</v>
      </c>
      <c r="J4086" t="s">
        <v>3197</v>
      </c>
      <c r="K4086" t="s">
        <v>17272</v>
      </c>
      <c r="L4086" t="s">
        <v>17273</v>
      </c>
      <c r="M4086" t="s">
        <v>87</v>
      </c>
      <c r="N4086" t="s">
        <v>2168</v>
      </c>
      <c r="O4086" t="s">
        <v>19117</v>
      </c>
      <c r="P4086" t="s">
        <v>19118</v>
      </c>
      <c r="Q4086" t="s">
        <v>19119</v>
      </c>
      <c r="R4086">
        <v>13</v>
      </c>
      <c r="S4086">
        <v>16</v>
      </c>
    </row>
    <row r="4087" spans="1:19" x14ac:dyDescent="0.35">
      <c r="A4087">
        <v>7449</v>
      </c>
      <c r="B4087" t="s">
        <v>19120</v>
      </c>
      <c r="C4087" t="s">
        <v>20</v>
      </c>
      <c r="D4087" t="s">
        <v>19121</v>
      </c>
      <c r="E4087" t="s">
        <v>19122</v>
      </c>
      <c r="F4087" t="s">
        <v>19123</v>
      </c>
      <c r="H4087" t="s">
        <v>19124</v>
      </c>
      <c r="I4087" t="s">
        <v>19125</v>
      </c>
      <c r="J4087" t="s">
        <v>70</v>
      </c>
      <c r="M4087" t="s">
        <v>38</v>
      </c>
      <c r="N4087" t="s">
        <v>19126</v>
      </c>
      <c r="O4087" t="s">
        <v>10146</v>
      </c>
      <c r="P4087" t="s">
        <v>19127</v>
      </c>
      <c r="Q4087" t="s">
        <v>19128</v>
      </c>
      <c r="R4087">
        <v>13</v>
      </c>
      <c r="S4087">
        <v>16</v>
      </c>
    </row>
    <row r="4088" spans="1:19" x14ac:dyDescent="0.35">
      <c r="A4088">
        <v>5519</v>
      </c>
      <c r="B4088" t="s">
        <v>19129</v>
      </c>
      <c r="C4088" t="s">
        <v>42</v>
      </c>
      <c r="D4088" t="s">
        <v>19130</v>
      </c>
      <c r="E4088" t="e" cm="1">
        <f t="array" ref="E4088">- KETOCONAZOLE</f>
        <v>#NAME?</v>
      </c>
      <c r="F4088" t="s">
        <v>19131</v>
      </c>
      <c r="H4088" t="s">
        <v>19132</v>
      </c>
      <c r="I4088" t="s">
        <v>19133</v>
      </c>
      <c r="J4088" t="s">
        <v>19134</v>
      </c>
      <c r="K4088" t="s">
        <v>19135</v>
      </c>
      <c r="L4088" t="s">
        <v>19136</v>
      </c>
      <c r="M4088" t="s">
        <v>1289</v>
      </c>
      <c r="N4088" t="s">
        <v>533</v>
      </c>
      <c r="O4088" t="s">
        <v>19137</v>
      </c>
      <c r="P4088" t="s">
        <v>19138</v>
      </c>
      <c r="Q4088" t="s">
        <v>19139</v>
      </c>
      <c r="R4088">
        <v>13</v>
      </c>
      <c r="S4088">
        <v>16</v>
      </c>
    </row>
    <row r="4089" spans="1:19" x14ac:dyDescent="0.35">
      <c r="A4089">
        <v>7436</v>
      </c>
      <c r="B4089" t="s">
        <v>19140</v>
      </c>
      <c r="C4089" t="s">
        <v>42</v>
      </c>
      <c r="D4089" t="s">
        <v>19141</v>
      </c>
      <c r="E4089" t="e" cm="1">
        <f t="array" ref="E4089">- CHOLECALCIFEROL</f>
        <v>#NAME?</v>
      </c>
      <c r="F4089" s="1">
        <v>243100</v>
      </c>
      <c r="G4089" t="s">
        <v>2241</v>
      </c>
      <c r="H4089" t="s">
        <v>19142</v>
      </c>
      <c r="I4089" t="s">
        <v>19143</v>
      </c>
      <c r="J4089" t="s">
        <v>19144</v>
      </c>
      <c r="K4089" t="s">
        <v>19145</v>
      </c>
      <c r="L4089" t="s">
        <v>19146</v>
      </c>
      <c r="M4089" t="s">
        <v>38</v>
      </c>
      <c r="N4089" t="s">
        <v>18627</v>
      </c>
      <c r="O4089" t="s">
        <v>19147</v>
      </c>
      <c r="P4089" t="s">
        <v>19148</v>
      </c>
      <c r="Q4089" t="s">
        <v>19149</v>
      </c>
      <c r="R4089">
        <v>13</v>
      </c>
      <c r="S4089">
        <v>16</v>
      </c>
    </row>
    <row r="4090" spans="1:19" x14ac:dyDescent="0.35">
      <c r="A4090">
        <v>7267</v>
      </c>
      <c r="B4090" t="s">
        <v>19150</v>
      </c>
      <c r="C4090" t="s">
        <v>850</v>
      </c>
      <c r="D4090" t="s">
        <v>19151</v>
      </c>
      <c r="E4090" t="e" cm="1">
        <f t="array" ref="E4090">- Menthol</f>
        <v>#NAME?</v>
      </c>
      <c r="F4090" t="s">
        <v>19152</v>
      </c>
      <c r="H4090" t="s">
        <v>19153</v>
      </c>
      <c r="I4090" t="s">
        <v>19154</v>
      </c>
      <c r="J4090" t="s">
        <v>846</v>
      </c>
      <c r="M4090" t="s">
        <v>2115</v>
      </c>
      <c r="N4090" t="s">
        <v>2034</v>
      </c>
      <c r="O4090" t="s">
        <v>19155</v>
      </c>
      <c r="P4090" t="s">
        <v>19156</v>
      </c>
      <c r="Q4090" t="s">
        <v>19157</v>
      </c>
      <c r="R4090">
        <v>13</v>
      </c>
      <c r="S4090">
        <v>16</v>
      </c>
    </row>
    <row r="4091" spans="1:19" x14ac:dyDescent="0.35">
      <c r="A4091">
        <v>479</v>
      </c>
      <c r="B4091" t="s">
        <v>19094</v>
      </c>
      <c r="C4091" t="s">
        <v>42</v>
      </c>
      <c r="D4091" t="s">
        <v>19095</v>
      </c>
      <c r="E4091" t="e" cm="1">
        <f t="array" ref="E4091">- THEOPHYLLINE</f>
        <v>#NAME?</v>
      </c>
      <c r="F4091" t="s">
        <v>19096</v>
      </c>
      <c r="G4091" t="s">
        <v>16590</v>
      </c>
      <c r="H4091" t="s">
        <v>19097</v>
      </c>
      <c r="I4091" t="s">
        <v>16592</v>
      </c>
      <c r="J4091" t="s">
        <v>19098</v>
      </c>
      <c r="L4091" t="s">
        <v>16594</v>
      </c>
      <c r="M4091" t="s">
        <v>46</v>
      </c>
      <c r="N4091" t="s">
        <v>4449</v>
      </c>
      <c r="O4091" t="s">
        <v>16595</v>
      </c>
      <c r="P4091" t="s">
        <v>19099</v>
      </c>
      <c r="Q4091" t="s">
        <v>19100</v>
      </c>
      <c r="R4091">
        <v>13</v>
      </c>
      <c r="S4091">
        <v>16</v>
      </c>
    </row>
    <row r="4092" spans="1:19" x14ac:dyDescent="0.35">
      <c r="A4092">
        <v>480</v>
      </c>
      <c r="B4092" t="s">
        <v>19094</v>
      </c>
      <c r="C4092" t="s">
        <v>42</v>
      </c>
      <c r="D4092" t="s">
        <v>19095</v>
      </c>
      <c r="E4092" t="e" cm="1">
        <f t="array" ref="E4092">- THEOPHYLLINE</f>
        <v>#NAME?</v>
      </c>
      <c r="F4092" t="s">
        <v>19096</v>
      </c>
      <c r="G4092" t="s">
        <v>16590</v>
      </c>
      <c r="H4092" t="s">
        <v>19097</v>
      </c>
      <c r="I4092" t="s">
        <v>16592</v>
      </c>
      <c r="J4092" t="s">
        <v>19098</v>
      </c>
      <c r="L4092" t="s">
        <v>16594</v>
      </c>
      <c r="M4092" t="s">
        <v>46</v>
      </c>
      <c r="N4092" t="s">
        <v>4449</v>
      </c>
      <c r="O4092" t="s">
        <v>16595</v>
      </c>
      <c r="P4092" t="s">
        <v>19099</v>
      </c>
      <c r="Q4092" t="s">
        <v>19100</v>
      </c>
      <c r="R4092">
        <v>13</v>
      </c>
      <c r="S4092">
        <v>16</v>
      </c>
    </row>
    <row r="4093" spans="1:19" x14ac:dyDescent="0.35">
      <c r="A4093">
        <v>5514</v>
      </c>
      <c r="B4093" t="s">
        <v>19158</v>
      </c>
      <c r="C4093" t="s">
        <v>42</v>
      </c>
      <c r="D4093" t="s">
        <v>19159</v>
      </c>
      <c r="E4093" t="e" cm="1">
        <f t="array" ref="E4093">- HYDROCORTISONE. MICONAZOLE NITRATE</f>
        <v>#NAME?</v>
      </c>
      <c r="F4093" t="s">
        <v>19160</v>
      </c>
      <c r="G4093" t="s">
        <v>15873</v>
      </c>
      <c r="H4093" t="s">
        <v>19161</v>
      </c>
      <c r="I4093" t="s">
        <v>19162</v>
      </c>
      <c r="J4093" t="s">
        <v>1684</v>
      </c>
      <c r="K4093" t="s">
        <v>19163</v>
      </c>
      <c r="L4093" t="s">
        <v>19164</v>
      </c>
      <c r="M4093" t="s">
        <v>1289</v>
      </c>
      <c r="N4093" t="s">
        <v>19165</v>
      </c>
      <c r="O4093" t="s">
        <v>19166</v>
      </c>
      <c r="P4093" t="s">
        <v>19167</v>
      </c>
      <c r="Q4093" t="s">
        <v>19168</v>
      </c>
      <c r="R4093">
        <v>13</v>
      </c>
      <c r="S4093">
        <v>16</v>
      </c>
    </row>
    <row r="4094" spans="1:19" x14ac:dyDescent="0.35">
      <c r="A4094">
        <v>7427</v>
      </c>
      <c r="B4094" t="s">
        <v>19169</v>
      </c>
      <c r="C4094" t="s">
        <v>42</v>
      </c>
      <c r="D4094" t="s">
        <v>19170</v>
      </c>
      <c r="E4094" t="e" cm="1">
        <f t="array" ref="E4094">- THIAMINE NITRATE. PYRIDOXINE HYDROCHLORIDE. CYANOCOBALAMIN</f>
        <v>#NAME?</v>
      </c>
      <c r="F4094" t="s">
        <v>19171</v>
      </c>
      <c r="G4094" t="s">
        <v>5970</v>
      </c>
      <c r="H4094" t="s">
        <v>7649</v>
      </c>
      <c r="I4094" t="s">
        <v>19172</v>
      </c>
      <c r="J4094" t="s">
        <v>3019</v>
      </c>
      <c r="L4094" t="s">
        <v>19173</v>
      </c>
      <c r="M4094" t="s">
        <v>291</v>
      </c>
      <c r="N4094" t="s">
        <v>5479</v>
      </c>
      <c r="O4094" t="s">
        <v>19174</v>
      </c>
      <c r="P4094" t="s">
        <v>7653</v>
      </c>
      <c r="Q4094" t="s">
        <v>19175</v>
      </c>
      <c r="R4094">
        <v>13</v>
      </c>
      <c r="S4094">
        <v>16</v>
      </c>
    </row>
    <row r="4095" spans="1:19" x14ac:dyDescent="0.35">
      <c r="A4095">
        <v>7266</v>
      </c>
      <c r="B4095" t="s">
        <v>19150</v>
      </c>
      <c r="C4095" t="s">
        <v>850</v>
      </c>
      <c r="D4095" t="s">
        <v>19176</v>
      </c>
      <c r="E4095" t="e" cm="1">
        <f t="array" ref="E4095">- Menthol</f>
        <v>#NAME?</v>
      </c>
      <c r="F4095" t="s">
        <v>19177</v>
      </c>
      <c r="G4095" t="s">
        <v>19178</v>
      </c>
      <c r="H4095" t="s">
        <v>19179</v>
      </c>
      <c r="I4095" t="s">
        <v>19154</v>
      </c>
      <c r="J4095" t="s">
        <v>19180</v>
      </c>
      <c r="M4095" t="s">
        <v>2115</v>
      </c>
      <c r="N4095" t="s">
        <v>2034</v>
      </c>
      <c r="O4095" t="s">
        <v>19155</v>
      </c>
      <c r="P4095" t="s">
        <v>19156</v>
      </c>
      <c r="Q4095" t="s">
        <v>19157</v>
      </c>
      <c r="R4095">
        <v>13</v>
      </c>
      <c r="S4095">
        <v>16</v>
      </c>
    </row>
    <row r="4096" spans="1:19" x14ac:dyDescent="0.35">
      <c r="A4096">
        <v>958</v>
      </c>
      <c r="B4096" t="s">
        <v>8548</v>
      </c>
      <c r="C4096" t="s">
        <v>42</v>
      </c>
      <c r="D4096" t="s">
        <v>8549</v>
      </c>
      <c r="E4096" t="e" cm="1">
        <f t="array" ref="E4096">- GUAIFENESIN. CHLORPHENAMINE MALEATE. SUCCUS LIQUIRITIAE. PHENYLEPHRINE HYDROCHLORIDE</f>
        <v>#NAME?</v>
      </c>
      <c r="F4096" t="s">
        <v>8550</v>
      </c>
      <c r="G4096" t="s">
        <v>4482</v>
      </c>
      <c r="H4096" t="s">
        <v>8551</v>
      </c>
    </row>
    <row r="4097" spans="1:19" x14ac:dyDescent="0.35">
      <c r="A4097">
        <v>957</v>
      </c>
      <c r="B4097" t="s">
        <v>8548</v>
      </c>
      <c r="C4097" t="s">
        <v>42</v>
      </c>
      <c r="D4097" t="s">
        <v>8549</v>
      </c>
      <c r="E4097" t="e" cm="1">
        <f t="array" ref="E4097">- SUCCUS LIQUIRITIAE. GUAIFENESIN. PHENYLEPHRINE HYDROCHLORIDE. CHLORPHENAMINE MALEATE</f>
        <v>#NAME?</v>
      </c>
      <c r="F4097" t="s">
        <v>8550</v>
      </c>
      <c r="G4097" t="s">
        <v>4482</v>
      </c>
      <c r="H4097" t="s">
        <v>8551</v>
      </c>
    </row>
    <row r="4098" spans="1:19" x14ac:dyDescent="0.35">
      <c r="A4098">
        <v>7849</v>
      </c>
      <c r="B4098" t="s">
        <v>9587</v>
      </c>
      <c r="C4098" t="s">
        <v>20</v>
      </c>
      <c r="D4098" t="s">
        <v>19181</v>
      </c>
      <c r="E4098" t="s">
        <v>9589</v>
      </c>
      <c r="F4098" t="s">
        <v>19182</v>
      </c>
      <c r="G4098" t="s">
        <v>19183</v>
      </c>
      <c r="H4098" t="s">
        <v>1322</v>
      </c>
      <c r="I4098" t="s">
        <v>19184</v>
      </c>
      <c r="J4098" t="s">
        <v>19185</v>
      </c>
      <c r="M4098" t="s">
        <v>63</v>
      </c>
      <c r="N4098" t="s">
        <v>9591</v>
      </c>
      <c r="O4098" t="s">
        <v>19186</v>
      </c>
      <c r="P4098" t="s">
        <v>19187</v>
      </c>
      <c r="Q4098" t="s">
        <v>19188</v>
      </c>
      <c r="R4098">
        <v>13</v>
      </c>
      <c r="S4098">
        <v>16</v>
      </c>
    </row>
    <row r="4099" spans="1:19" x14ac:dyDescent="0.35">
      <c r="A4099">
        <v>7798</v>
      </c>
      <c r="B4099" t="s">
        <v>19189</v>
      </c>
      <c r="C4099" t="s">
        <v>20</v>
      </c>
      <c r="D4099" t="s">
        <v>19190</v>
      </c>
      <c r="E4099" t="s">
        <v>19191</v>
      </c>
      <c r="F4099" t="s">
        <v>19192</v>
      </c>
      <c r="G4099" t="s">
        <v>539</v>
      </c>
      <c r="H4099" t="s">
        <v>19193</v>
      </c>
      <c r="I4099" t="s">
        <v>19194</v>
      </c>
      <c r="J4099" t="s">
        <v>19195</v>
      </c>
      <c r="M4099" t="s">
        <v>38</v>
      </c>
      <c r="N4099" t="s">
        <v>19196</v>
      </c>
      <c r="O4099" t="s">
        <v>19197</v>
      </c>
      <c r="P4099" t="s">
        <v>19198</v>
      </c>
      <c r="Q4099" t="s">
        <v>19199</v>
      </c>
      <c r="R4099">
        <v>13</v>
      </c>
      <c r="S4099">
        <v>16</v>
      </c>
    </row>
    <row r="4100" spans="1:19" x14ac:dyDescent="0.35">
      <c r="A4100">
        <v>5564</v>
      </c>
      <c r="B4100" t="s">
        <v>19200</v>
      </c>
      <c r="C4100" t="s">
        <v>42</v>
      </c>
      <c r="D4100" t="s">
        <v>19201</v>
      </c>
      <c r="E4100" t="e" cm="1">
        <f t="array" ref="E4100">- HEPARIN SODIUM</f>
        <v>#NAME?</v>
      </c>
      <c r="F4100" t="s">
        <v>19202</v>
      </c>
      <c r="G4100" t="s">
        <v>17269</v>
      </c>
      <c r="H4100" t="s">
        <v>17270</v>
      </c>
      <c r="I4100" t="s">
        <v>19203</v>
      </c>
      <c r="J4100" t="s">
        <v>14844</v>
      </c>
      <c r="M4100" t="s">
        <v>87</v>
      </c>
      <c r="N4100" t="s">
        <v>2168</v>
      </c>
      <c r="O4100" t="s">
        <v>19204</v>
      </c>
      <c r="P4100" t="s">
        <v>19205</v>
      </c>
      <c r="Q4100" t="s">
        <v>19206</v>
      </c>
      <c r="R4100">
        <v>13</v>
      </c>
      <c r="S4100">
        <v>16</v>
      </c>
    </row>
    <row r="4101" spans="1:19" x14ac:dyDescent="0.35">
      <c r="A4101">
        <v>1103</v>
      </c>
      <c r="B4101" t="s">
        <v>19207</v>
      </c>
      <c r="C4101" t="s">
        <v>42</v>
      </c>
      <c r="D4101" t="s">
        <v>19208</v>
      </c>
      <c r="E4101" t="e" cm="1">
        <f t="array" ref="E4101">- DEXTROMETHORPHAN HYDROBROMIDE. CHLORPHENAMINE MALEATE. GUAIFENESIN</f>
        <v>#NAME?</v>
      </c>
      <c r="F4101" t="s">
        <v>14485</v>
      </c>
      <c r="G4101" t="s">
        <v>4649</v>
      </c>
      <c r="H4101" t="s">
        <v>19209</v>
      </c>
      <c r="I4101" t="s">
        <v>6709</v>
      </c>
      <c r="J4101" t="s">
        <v>19210</v>
      </c>
      <c r="K4101" t="s">
        <v>8963</v>
      </c>
      <c r="L4101" t="s">
        <v>19211</v>
      </c>
      <c r="M4101" t="s">
        <v>271</v>
      </c>
      <c r="N4101" t="s">
        <v>13582</v>
      </c>
      <c r="O4101" t="s">
        <v>5144</v>
      </c>
      <c r="P4101" t="s">
        <v>19212</v>
      </c>
      <c r="Q4101" t="s">
        <v>19213</v>
      </c>
      <c r="R4101">
        <v>13</v>
      </c>
      <c r="S4101">
        <v>16</v>
      </c>
    </row>
    <row r="4102" spans="1:19" x14ac:dyDescent="0.35">
      <c r="A4102">
        <v>1102</v>
      </c>
      <c r="B4102" t="s">
        <v>19214</v>
      </c>
      <c r="C4102" t="s">
        <v>42</v>
      </c>
      <c r="D4102" t="s">
        <v>19215</v>
      </c>
      <c r="E4102" t="e" cm="1">
        <f t="array" ref="E4102">- DEXTROMETHORPHAN HYDROBROMIDE. CHLORPHENAMINE MALEATE. GUAIFENESIN</f>
        <v>#NAME?</v>
      </c>
      <c r="F4102" t="s">
        <v>19216</v>
      </c>
      <c r="G4102" t="s">
        <v>4482</v>
      </c>
      <c r="H4102" t="s">
        <v>19217</v>
      </c>
      <c r="I4102" t="s">
        <v>19218</v>
      </c>
      <c r="J4102" t="s">
        <v>2121</v>
      </c>
      <c r="K4102" t="s">
        <v>16334</v>
      </c>
      <c r="L4102" t="s">
        <v>12249</v>
      </c>
      <c r="M4102" t="s">
        <v>271</v>
      </c>
      <c r="N4102" t="s">
        <v>13582</v>
      </c>
      <c r="O4102" t="s">
        <v>16336</v>
      </c>
      <c r="P4102" t="s">
        <v>19219</v>
      </c>
      <c r="Q4102" t="s">
        <v>19220</v>
      </c>
      <c r="R4102">
        <v>13</v>
      </c>
      <c r="S4102">
        <v>16</v>
      </c>
    </row>
    <row r="4103" spans="1:19" x14ac:dyDescent="0.35">
      <c r="A4103">
        <v>4588</v>
      </c>
      <c r="B4103" t="s">
        <v>16617</v>
      </c>
      <c r="C4103" t="s">
        <v>42</v>
      </c>
      <c r="D4103" t="s">
        <v>19221</v>
      </c>
      <c r="E4103" t="e" cm="1">
        <f t="array" ref="E4103">- TOBRAMYCIN</f>
        <v>#NAME?</v>
      </c>
      <c r="F4103" t="s">
        <v>19222</v>
      </c>
      <c r="G4103" t="s">
        <v>7569</v>
      </c>
      <c r="H4103" t="s">
        <v>7570</v>
      </c>
      <c r="I4103" t="s">
        <v>19223</v>
      </c>
      <c r="J4103" t="s">
        <v>18334</v>
      </c>
      <c r="K4103" t="s">
        <v>19224</v>
      </c>
      <c r="L4103" t="s">
        <v>12469</v>
      </c>
      <c r="M4103" t="s">
        <v>824</v>
      </c>
      <c r="N4103" t="s">
        <v>16621</v>
      </c>
      <c r="O4103" t="s">
        <v>19225</v>
      </c>
      <c r="P4103" t="s">
        <v>19226</v>
      </c>
      <c r="Q4103" t="s">
        <v>19227</v>
      </c>
      <c r="R4103">
        <v>13</v>
      </c>
      <c r="S4103">
        <v>16</v>
      </c>
    </row>
    <row r="4104" spans="1:19" x14ac:dyDescent="0.35">
      <c r="A4104">
        <v>5563</v>
      </c>
      <c r="B4104" t="s">
        <v>19228</v>
      </c>
      <c r="C4104" t="s">
        <v>42</v>
      </c>
      <c r="D4104" t="s">
        <v>19229</v>
      </c>
      <c r="E4104" t="e" cm="1">
        <f t="array" ref="E4104">- LIDOCAINE. PRILOCAINE</f>
        <v>#NAME?</v>
      </c>
      <c r="F4104" t="s">
        <v>19230</v>
      </c>
      <c r="G4104" t="s">
        <v>11887</v>
      </c>
      <c r="H4104" t="s">
        <v>19231</v>
      </c>
      <c r="I4104" t="s">
        <v>19232</v>
      </c>
      <c r="J4104" t="s">
        <v>19233</v>
      </c>
      <c r="L4104" t="s">
        <v>19234</v>
      </c>
      <c r="M4104" t="s">
        <v>1289</v>
      </c>
      <c r="N4104" t="s">
        <v>19235</v>
      </c>
      <c r="O4104" t="s">
        <v>19236</v>
      </c>
      <c r="P4104" t="s">
        <v>19237</v>
      </c>
      <c r="Q4104" t="s">
        <v>19238</v>
      </c>
      <c r="R4104">
        <v>13</v>
      </c>
      <c r="S4104">
        <v>16</v>
      </c>
    </row>
    <row r="4105" spans="1:19" x14ac:dyDescent="0.35">
      <c r="A4105">
        <v>4587</v>
      </c>
      <c r="B4105" t="s">
        <v>16617</v>
      </c>
      <c r="C4105" t="s">
        <v>42</v>
      </c>
      <c r="D4105" t="s">
        <v>19221</v>
      </c>
      <c r="E4105" t="e" cm="1">
        <f t="array" ref="E4105">- TOBRAMYCIN</f>
        <v>#NAME?</v>
      </c>
      <c r="F4105" t="s">
        <v>19222</v>
      </c>
      <c r="G4105" t="s">
        <v>7569</v>
      </c>
      <c r="H4105" t="s">
        <v>7570</v>
      </c>
      <c r="I4105" t="s">
        <v>19223</v>
      </c>
      <c r="J4105" t="s">
        <v>18334</v>
      </c>
      <c r="K4105" t="s">
        <v>19224</v>
      </c>
      <c r="L4105" t="s">
        <v>12469</v>
      </c>
      <c r="M4105" t="s">
        <v>824</v>
      </c>
      <c r="N4105" t="s">
        <v>16621</v>
      </c>
      <c r="O4105" t="s">
        <v>19225</v>
      </c>
      <c r="P4105" t="s">
        <v>19226</v>
      </c>
      <c r="Q4105" t="s">
        <v>19227</v>
      </c>
      <c r="R4105">
        <v>13</v>
      </c>
      <c r="S4105">
        <v>16</v>
      </c>
    </row>
    <row r="4106" spans="1:19" x14ac:dyDescent="0.35">
      <c r="A4106">
        <v>5562</v>
      </c>
      <c r="B4106" t="s">
        <v>19228</v>
      </c>
      <c r="C4106" t="s">
        <v>42</v>
      </c>
      <c r="D4106" t="s">
        <v>19229</v>
      </c>
      <c r="E4106" t="e" cm="1">
        <f t="array" ref="E4106">- LIDOCAINE. PRILOCAINE</f>
        <v>#NAME?</v>
      </c>
      <c r="F4106" t="s">
        <v>19230</v>
      </c>
      <c r="G4106" t="s">
        <v>11887</v>
      </c>
      <c r="H4106" t="s">
        <v>19231</v>
      </c>
      <c r="I4106" t="s">
        <v>19232</v>
      </c>
      <c r="J4106" t="s">
        <v>19233</v>
      </c>
      <c r="L4106" t="s">
        <v>19234</v>
      </c>
      <c r="M4106" t="s">
        <v>1289</v>
      </c>
      <c r="N4106" t="s">
        <v>19235</v>
      </c>
      <c r="O4106" t="s">
        <v>19236</v>
      </c>
      <c r="P4106" t="s">
        <v>19237</v>
      </c>
      <c r="Q4106" t="s">
        <v>19238</v>
      </c>
      <c r="R4106">
        <v>13</v>
      </c>
      <c r="S4106">
        <v>16</v>
      </c>
    </row>
    <row r="4107" spans="1:19" x14ac:dyDescent="0.35">
      <c r="A4107">
        <v>944</v>
      </c>
      <c r="B4107" t="s">
        <v>19239</v>
      </c>
      <c r="C4107" t="s">
        <v>42</v>
      </c>
      <c r="D4107" t="s">
        <v>19240</v>
      </c>
      <c r="E4107" t="e" cm="1">
        <f t="array" ref="E4107">- BROMHEXINE HYDROCHLORIDE</f>
        <v>#NAME?</v>
      </c>
      <c r="F4107" t="s">
        <v>19241</v>
      </c>
      <c r="G4107" t="s">
        <v>2241</v>
      </c>
      <c r="H4107" t="s">
        <v>19242</v>
      </c>
      <c r="I4107" t="s">
        <v>19243</v>
      </c>
      <c r="J4107" t="s">
        <v>334</v>
      </c>
      <c r="K4107" t="s">
        <v>2726</v>
      </c>
      <c r="L4107" t="s">
        <v>19244</v>
      </c>
      <c r="M4107" t="s">
        <v>271</v>
      </c>
      <c r="N4107" t="s">
        <v>1342</v>
      </c>
      <c r="O4107" t="s">
        <v>19245</v>
      </c>
      <c r="P4107" t="s">
        <v>19246</v>
      </c>
      <c r="Q4107" t="s">
        <v>19247</v>
      </c>
      <c r="R4107">
        <v>13</v>
      </c>
      <c r="S4107">
        <v>16</v>
      </c>
    </row>
    <row r="4108" spans="1:19" x14ac:dyDescent="0.35">
      <c r="A4108">
        <v>945</v>
      </c>
      <c r="B4108" t="s">
        <v>19239</v>
      </c>
      <c r="C4108" t="s">
        <v>42</v>
      </c>
      <c r="D4108" t="s">
        <v>19240</v>
      </c>
      <c r="E4108" t="e" cm="1">
        <f t="array" ref="E4108">- BROMHEXINE HYDROCHLORIDE</f>
        <v>#NAME?</v>
      </c>
      <c r="F4108" t="s">
        <v>19241</v>
      </c>
      <c r="G4108" t="s">
        <v>2241</v>
      </c>
      <c r="H4108" t="s">
        <v>19242</v>
      </c>
      <c r="I4108" t="s">
        <v>19243</v>
      </c>
      <c r="J4108" t="s">
        <v>334</v>
      </c>
      <c r="K4108" t="s">
        <v>2726</v>
      </c>
      <c r="L4108" t="s">
        <v>19244</v>
      </c>
      <c r="M4108" t="s">
        <v>271</v>
      </c>
      <c r="N4108" t="s">
        <v>1342</v>
      </c>
      <c r="O4108" t="s">
        <v>19245</v>
      </c>
      <c r="P4108" t="s">
        <v>19246</v>
      </c>
      <c r="Q4108" t="s">
        <v>19247</v>
      </c>
      <c r="R4108">
        <v>13</v>
      </c>
      <c r="S4108">
        <v>16</v>
      </c>
    </row>
    <row r="4109" spans="1:19" x14ac:dyDescent="0.35">
      <c r="A4109">
        <v>7860</v>
      </c>
      <c r="B4109" t="s">
        <v>19248</v>
      </c>
      <c r="C4109" t="s">
        <v>20</v>
      </c>
      <c r="D4109" t="s">
        <v>19249</v>
      </c>
      <c r="E4109" t="s">
        <v>19250</v>
      </c>
      <c r="F4109" t="s">
        <v>19251</v>
      </c>
      <c r="H4109" t="s">
        <v>4524</v>
      </c>
      <c r="I4109" t="s">
        <v>19252</v>
      </c>
      <c r="J4109" t="s">
        <v>107</v>
      </c>
      <c r="M4109" t="s">
        <v>38</v>
      </c>
      <c r="N4109" t="s">
        <v>19253</v>
      </c>
      <c r="O4109" t="s">
        <v>19254</v>
      </c>
      <c r="P4109" t="s">
        <v>19255</v>
      </c>
      <c r="Q4109" t="s">
        <v>19256</v>
      </c>
      <c r="R4109">
        <v>13</v>
      </c>
      <c r="S4109">
        <v>16</v>
      </c>
    </row>
    <row r="4110" spans="1:19" x14ac:dyDescent="0.35">
      <c r="A4110">
        <v>594</v>
      </c>
      <c r="B4110" t="s">
        <v>19257</v>
      </c>
      <c r="C4110" t="s">
        <v>42</v>
      </c>
      <c r="D4110" t="s">
        <v>19258</v>
      </c>
      <c r="E4110" t="e" cm="1">
        <f t="array" ref="E4110">- SALBUTAMOL SULFATE</f>
        <v>#NAME?</v>
      </c>
      <c r="F4110" t="s">
        <v>19259</v>
      </c>
      <c r="G4110" t="s">
        <v>19260</v>
      </c>
      <c r="H4110" t="s">
        <v>19261</v>
      </c>
      <c r="I4110" t="s">
        <v>19262</v>
      </c>
      <c r="J4110" t="s">
        <v>19263</v>
      </c>
      <c r="K4110" t="s">
        <v>3952</v>
      </c>
      <c r="L4110" t="s">
        <v>19264</v>
      </c>
      <c r="M4110" t="s">
        <v>3423</v>
      </c>
      <c r="N4110" t="s">
        <v>3424</v>
      </c>
      <c r="O4110" t="s">
        <v>19265</v>
      </c>
      <c r="P4110" t="s">
        <v>19266</v>
      </c>
      <c r="Q4110" t="s">
        <v>19267</v>
      </c>
      <c r="R4110">
        <v>13</v>
      </c>
      <c r="S4110">
        <v>16</v>
      </c>
    </row>
    <row r="4111" spans="1:19" x14ac:dyDescent="0.35">
      <c r="A4111">
        <v>473</v>
      </c>
      <c r="B4111" t="s">
        <v>19268</v>
      </c>
      <c r="C4111" t="s">
        <v>42</v>
      </c>
      <c r="D4111" t="s">
        <v>19269</v>
      </c>
      <c r="E4111" t="e" cm="1">
        <f t="array" ref="E4111">- PROCATEROL HYDROCHLORIDE</f>
        <v>#NAME?</v>
      </c>
      <c r="F4111" t="s">
        <v>19270</v>
      </c>
      <c r="G4111" t="s">
        <v>60</v>
      </c>
      <c r="H4111" t="s">
        <v>19271</v>
      </c>
      <c r="I4111" t="s">
        <v>19272</v>
      </c>
      <c r="J4111" t="s">
        <v>754</v>
      </c>
      <c r="K4111" t="s">
        <v>4677</v>
      </c>
      <c r="L4111" t="s">
        <v>19273</v>
      </c>
      <c r="M4111" t="s">
        <v>46</v>
      </c>
      <c r="N4111" t="s">
        <v>1678</v>
      </c>
      <c r="O4111" t="s">
        <v>19274</v>
      </c>
      <c r="P4111" t="s">
        <v>19275</v>
      </c>
      <c r="Q4111" t="s">
        <v>19276</v>
      </c>
      <c r="R4111">
        <v>13</v>
      </c>
      <c r="S4111">
        <v>16</v>
      </c>
    </row>
    <row r="4112" spans="1:19" x14ac:dyDescent="0.35">
      <c r="A4112">
        <v>5544</v>
      </c>
      <c r="B4112" t="s">
        <v>14790</v>
      </c>
      <c r="C4112" t="s">
        <v>42</v>
      </c>
      <c r="D4112" t="s">
        <v>14791</v>
      </c>
      <c r="E4112" t="e" cm="1">
        <f t="array" ref="E4112">- PARAFFIN.  LIQUID</f>
        <v>#NAME?</v>
      </c>
      <c r="F4112" t="s">
        <v>14792</v>
      </c>
      <c r="G4112" t="s">
        <v>14793</v>
      </c>
      <c r="H4112" t="s">
        <v>14794</v>
      </c>
      <c r="I4112" t="s">
        <v>14795</v>
      </c>
      <c r="J4112" t="s">
        <v>3197</v>
      </c>
      <c r="K4112" t="s">
        <v>3952</v>
      </c>
      <c r="L4112" t="s">
        <v>14796</v>
      </c>
      <c r="M4112" t="s">
        <v>1289</v>
      </c>
      <c r="N4112" t="s">
        <v>19277</v>
      </c>
      <c r="O4112" t="s">
        <v>14797</v>
      </c>
      <c r="P4112" t="s">
        <v>14798</v>
      </c>
      <c r="Q4112" t="s">
        <v>19278</v>
      </c>
      <c r="R4112">
        <v>13</v>
      </c>
      <c r="S4112">
        <v>16</v>
      </c>
    </row>
    <row r="4113" spans="1:19" x14ac:dyDescent="0.35">
      <c r="A4113">
        <v>7460</v>
      </c>
      <c r="B4113" t="s">
        <v>19279</v>
      </c>
      <c r="C4113" t="s">
        <v>20</v>
      </c>
      <c r="D4113" t="s">
        <v>19280</v>
      </c>
      <c r="E4113" t="s">
        <v>19281</v>
      </c>
      <c r="F4113" t="s">
        <v>19282</v>
      </c>
      <c r="I4113" t="s">
        <v>19283</v>
      </c>
      <c r="J4113" t="s">
        <v>19284</v>
      </c>
      <c r="M4113" t="s">
        <v>38</v>
      </c>
      <c r="N4113" t="s">
        <v>19285</v>
      </c>
      <c r="O4113" t="s">
        <v>19286</v>
      </c>
      <c r="P4113" t="s">
        <v>19285</v>
      </c>
      <c r="Q4113" t="s">
        <v>19287</v>
      </c>
      <c r="R4113">
        <v>13</v>
      </c>
      <c r="S4113">
        <v>16</v>
      </c>
    </row>
    <row r="4114" spans="1:19" x14ac:dyDescent="0.35">
      <c r="A4114">
        <v>4507</v>
      </c>
      <c r="B4114" t="s">
        <v>16309</v>
      </c>
      <c r="C4114" t="s">
        <v>42</v>
      </c>
      <c r="D4114" t="s">
        <v>16310</v>
      </c>
      <c r="E4114" t="s">
        <v>19288</v>
      </c>
      <c r="F4114" t="s">
        <v>16312</v>
      </c>
      <c r="G4114" t="s">
        <v>7569</v>
      </c>
      <c r="H4114" t="s">
        <v>16213</v>
      </c>
      <c r="I4114" t="s">
        <v>16313</v>
      </c>
      <c r="J4114" t="s">
        <v>7561</v>
      </c>
      <c r="K4114" t="s">
        <v>3473</v>
      </c>
      <c r="L4114" t="s">
        <v>16314</v>
      </c>
      <c r="M4114" t="s">
        <v>824</v>
      </c>
      <c r="N4114" t="s">
        <v>19289</v>
      </c>
      <c r="O4114" t="s">
        <v>16316</v>
      </c>
      <c r="P4114" t="s">
        <v>16317</v>
      </c>
      <c r="Q4114" t="s">
        <v>19290</v>
      </c>
      <c r="R4114">
        <v>13</v>
      </c>
      <c r="S4114">
        <v>16</v>
      </c>
    </row>
    <row r="4115" spans="1:19" x14ac:dyDescent="0.35">
      <c r="A4115">
        <v>4508</v>
      </c>
      <c r="B4115" t="s">
        <v>16309</v>
      </c>
      <c r="C4115" t="s">
        <v>42</v>
      </c>
      <c r="D4115" t="s">
        <v>16310</v>
      </c>
      <c r="E4115" t="s">
        <v>19288</v>
      </c>
      <c r="F4115" t="s">
        <v>16312</v>
      </c>
      <c r="G4115" t="s">
        <v>7569</v>
      </c>
      <c r="H4115" t="s">
        <v>16213</v>
      </c>
      <c r="I4115" t="s">
        <v>16313</v>
      </c>
      <c r="J4115" t="s">
        <v>7561</v>
      </c>
      <c r="K4115" t="s">
        <v>3473</v>
      </c>
      <c r="L4115" t="s">
        <v>16314</v>
      </c>
      <c r="M4115" t="s">
        <v>824</v>
      </c>
      <c r="N4115" t="s">
        <v>19289</v>
      </c>
      <c r="O4115" t="s">
        <v>16316</v>
      </c>
      <c r="P4115" t="s">
        <v>16317</v>
      </c>
      <c r="Q4115" t="s">
        <v>19290</v>
      </c>
      <c r="R4115">
        <v>13</v>
      </c>
      <c r="S4115">
        <v>16</v>
      </c>
    </row>
    <row r="4116" spans="1:19" x14ac:dyDescent="0.35">
      <c r="A4116">
        <v>4509</v>
      </c>
      <c r="B4116" t="s">
        <v>16309</v>
      </c>
      <c r="C4116" t="s">
        <v>42</v>
      </c>
      <c r="D4116" t="s">
        <v>16310</v>
      </c>
      <c r="E4116" t="s">
        <v>19288</v>
      </c>
      <c r="F4116" t="s">
        <v>16312</v>
      </c>
      <c r="G4116" t="s">
        <v>7569</v>
      </c>
      <c r="H4116" t="s">
        <v>16213</v>
      </c>
      <c r="I4116" t="s">
        <v>16313</v>
      </c>
      <c r="J4116" t="s">
        <v>7561</v>
      </c>
      <c r="K4116" t="s">
        <v>3473</v>
      </c>
      <c r="L4116" t="s">
        <v>16314</v>
      </c>
      <c r="M4116" t="s">
        <v>824</v>
      </c>
      <c r="N4116" t="s">
        <v>19289</v>
      </c>
      <c r="O4116" t="s">
        <v>16316</v>
      </c>
      <c r="P4116" t="s">
        <v>16317</v>
      </c>
      <c r="Q4116" t="s">
        <v>19290</v>
      </c>
      <c r="R4116">
        <v>13</v>
      </c>
      <c r="S4116">
        <v>16</v>
      </c>
    </row>
    <row r="4117" spans="1:19" x14ac:dyDescent="0.35">
      <c r="A4117">
        <v>4510</v>
      </c>
      <c r="B4117" t="s">
        <v>16309</v>
      </c>
      <c r="C4117" t="s">
        <v>42</v>
      </c>
      <c r="D4117" t="s">
        <v>16310</v>
      </c>
      <c r="E4117" t="s">
        <v>19288</v>
      </c>
      <c r="F4117" t="s">
        <v>16312</v>
      </c>
      <c r="G4117" t="s">
        <v>7569</v>
      </c>
      <c r="H4117" t="s">
        <v>16213</v>
      </c>
      <c r="I4117" t="s">
        <v>16313</v>
      </c>
      <c r="J4117" t="s">
        <v>7561</v>
      </c>
      <c r="K4117" t="s">
        <v>3473</v>
      </c>
      <c r="L4117" t="s">
        <v>16314</v>
      </c>
      <c r="M4117" t="s">
        <v>824</v>
      </c>
      <c r="N4117" t="s">
        <v>19289</v>
      </c>
      <c r="O4117" t="s">
        <v>16316</v>
      </c>
      <c r="P4117" t="s">
        <v>16317</v>
      </c>
      <c r="Q4117" t="s">
        <v>19290</v>
      </c>
      <c r="R4117">
        <v>13</v>
      </c>
      <c r="S4117">
        <v>16</v>
      </c>
    </row>
    <row r="4118" spans="1:19" x14ac:dyDescent="0.35">
      <c r="A4118">
        <v>5435</v>
      </c>
      <c r="B4118" t="s">
        <v>19291</v>
      </c>
      <c r="C4118" t="s">
        <v>42</v>
      </c>
      <c r="D4118" t="s">
        <v>19292</v>
      </c>
      <c r="E4118" t="e" cm="1">
        <f t="array" ref="E4118">- GENTAMICIN SULFATE</f>
        <v>#NAME?</v>
      </c>
      <c r="F4118" t="s">
        <v>19293</v>
      </c>
      <c r="G4118" t="s">
        <v>19294</v>
      </c>
      <c r="H4118" t="s">
        <v>19295</v>
      </c>
      <c r="I4118" t="s">
        <v>19296</v>
      </c>
      <c r="J4118" t="s">
        <v>19233</v>
      </c>
      <c r="K4118" t="s">
        <v>19297</v>
      </c>
      <c r="L4118" t="s">
        <v>19298</v>
      </c>
      <c r="M4118" t="s">
        <v>1289</v>
      </c>
      <c r="N4118" t="s">
        <v>6119</v>
      </c>
      <c r="O4118" t="s">
        <v>19299</v>
      </c>
      <c r="P4118" t="s">
        <v>19300</v>
      </c>
      <c r="Q4118" t="s">
        <v>19301</v>
      </c>
      <c r="R4118">
        <v>13</v>
      </c>
      <c r="S4118">
        <v>16</v>
      </c>
    </row>
    <row r="4119" spans="1:19" x14ac:dyDescent="0.35">
      <c r="A4119">
        <v>5434</v>
      </c>
      <c r="B4119" t="s">
        <v>19291</v>
      </c>
      <c r="C4119" t="s">
        <v>42</v>
      </c>
      <c r="D4119" t="s">
        <v>19292</v>
      </c>
      <c r="E4119" t="e" cm="1">
        <f t="array" ref="E4119">- GENTAMICIN SULFATE</f>
        <v>#NAME?</v>
      </c>
      <c r="F4119" t="s">
        <v>19293</v>
      </c>
      <c r="G4119" t="s">
        <v>19294</v>
      </c>
      <c r="H4119" t="s">
        <v>19295</v>
      </c>
      <c r="I4119" t="s">
        <v>19296</v>
      </c>
      <c r="J4119" t="s">
        <v>19233</v>
      </c>
      <c r="K4119" t="s">
        <v>19297</v>
      </c>
      <c r="L4119" t="s">
        <v>19298</v>
      </c>
      <c r="M4119" t="s">
        <v>1289</v>
      </c>
      <c r="N4119" t="s">
        <v>6119</v>
      </c>
      <c r="O4119" t="s">
        <v>19299</v>
      </c>
      <c r="P4119" t="s">
        <v>19300</v>
      </c>
      <c r="Q4119" t="s">
        <v>19301</v>
      </c>
      <c r="R4119">
        <v>13</v>
      </c>
      <c r="S4119">
        <v>16</v>
      </c>
    </row>
    <row r="4120" spans="1:19" x14ac:dyDescent="0.35">
      <c r="A4120">
        <v>5433</v>
      </c>
      <c r="B4120" t="s">
        <v>19291</v>
      </c>
      <c r="C4120" t="s">
        <v>42</v>
      </c>
      <c r="D4120" t="s">
        <v>19292</v>
      </c>
      <c r="E4120" t="e" cm="1">
        <f t="array" ref="E4120">- GENTAMICIN SULFATE</f>
        <v>#NAME?</v>
      </c>
      <c r="F4120" t="s">
        <v>19293</v>
      </c>
      <c r="G4120" t="s">
        <v>19294</v>
      </c>
      <c r="H4120" t="s">
        <v>19295</v>
      </c>
      <c r="I4120" t="s">
        <v>19296</v>
      </c>
      <c r="J4120" t="s">
        <v>19233</v>
      </c>
      <c r="K4120" t="s">
        <v>19297</v>
      </c>
      <c r="L4120" t="s">
        <v>19298</v>
      </c>
      <c r="M4120" t="s">
        <v>1289</v>
      </c>
      <c r="N4120" t="s">
        <v>6119</v>
      </c>
      <c r="O4120" t="s">
        <v>19299</v>
      </c>
      <c r="P4120" t="s">
        <v>19300</v>
      </c>
      <c r="Q4120" t="s">
        <v>19301</v>
      </c>
      <c r="R4120">
        <v>13</v>
      </c>
      <c r="S4120">
        <v>16</v>
      </c>
    </row>
    <row r="4121" spans="1:19" x14ac:dyDescent="0.35">
      <c r="A4121">
        <v>5429</v>
      </c>
      <c r="B4121" t="s">
        <v>19302</v>
      </c>
      <c r="C4121" t="s">
        <v>42</v>
      </c>
      <c r="D4121" t="s">
        <v>19303</v>
      </c>
      <c r="E4121" t="e" cm="1">
        <f t="array" ref="E4121">- FUSIDIC ACID</f>
        <v>#NAME?</v>
      </c>
      <c r="F4121" s="1">
        <v>76000</v>
      </c>
      <c r="G4121" t="s">
        <v>19304</v>
      </c>
      <c r="H4121" t="s">
        <v>19305</v>
      </c>
      <c r="I4121" t="s">
        <v>19306</v>
      </c>
      <c r="J4121" t="s">
        <v>7123</v>
      </c>
      <c r="K4121" t="s">
        <v>3473</v>
      </c>
      <c r="L4121" t="s">
        <v>6541</v>
      </c>
      <c r="M4121" t="s">
        <v>1289</v>
      </c>
      <c r="N4121" t="s">
        <v>3865</v>
      </c>
      <c r="O4121" t="s">
        <v>19307</v>
      </c>
      <c r="P4121" t="s">
        <v>19308</v>
      </c>
      <c r="Q4121" t="s">
        <v>19309</v>
      </c>
      <c r="R4121">
        <v>13</v>
      </c>
      <c r="S4121">
        <v>16</v>
      </c>
    </row>
    <row r="4122" spans="1:19" x14ac:dyDescent="0.35">
      <c r="A4122">
        <v>5428</v>
      </c>
      <c r="B4122" t="s">
        <v>19302</v>
      </c>
      <c r="C4122" t="s">
        <v>42</v>
      </c>
      <c r="D4122" t="s">
        <v>19303</v>
      </c>
      <c r="E4122" t="e" cm="1">
        <f t="array" ref="E4122">- FUSIDIC ACID</f>
        <v>#NAME?</v>
      </c>
      <c r="F4122" s="1">
        <v>76000</v>
      </c>
      <c r="G4122" t="s">
        <v>19304</v>
      </c>
      <c r="H4122" t="s">
        <v>19305</v>
      </c>
      <c r="I4122" t="s">
        <v>19306</v>
      </c>
      <c r="J4122" t="s">
        <v>7123</v>
      </c>
      <c r="K4122" t="s">
        <v>3473</v>
      </c>
      <c r="L4122" t="s">
        <v>6541</v>
      </c>
      <c r="M4122" t="s">
        <v>1289</v>
      </c>
      <c r="N4122" t="s">
        <v>3865</v>
      </c>
      <c r="O4122" t="s">
        <v>19307</v>
      </c>
      <c r="P4122" t="s">
        <v>19308</v>
      </c>
      <c r="Q4122" t="s">
        <v>19309</v>
      </c>
      <c r="R4122">
        <v>13</v>
      </c>
      <c r="S4122">
        <v>16</v>
      </c>
    </row>
    <row r="4123" spans="1:19" x14ac:dyDescent="0.35">
      <c r="A4123">
        <v>7834</v>
      </c>
      <c r="B4123" t="s">
        <v>19310</v>
      </c>
      <c r="C4123" t="s">
        <v>20</v>
      </c>
      <c r="D4123" t="s">
        <v>19311</v>
      </c>
      <c r="E4123" t="s">
        <v>19312</v>
      </c>
      <c r="F4123" t="s">
        <v>19313</v>
      </c>
      <c r="G4123" t="s">
        <v>19314</v>
      </c>
      <c r="H4123" t="s">
        <v>19315</v>
      </c>
      <c r="I4123" t="s">
        <v>19316</v>
      </c>
      <c r="J4123" t="s">
        <v>19317</v>
      </c>
      <c r="M4123" t="s">
        <v>38</v>
      </c>
      <c r="N4123" t="s">
        <v>19318</v>
      </c>
      <c r="O4123" t="s">
        <v>19319</v>
      </c>
      <c r="P4123" t="s">
        <v>19318</v>
      </c>
      <c r="Q4123" t="s">
        <v>19320</v>
      </c>
      <c r="R4123">
        <v>13</v>
      </c>
      <c r="S4123">
        <v>16</v>
      </c>
    </row>
    <row r="4124" spans="1:19" x14ac:dyDescent="0.35">
      <c r="A4124">
        <v>5412</v>
      </c>
      <c r="B4124" t="s">
        <v>13826</v>
      </c>
      <c r="C4124" t="s">
        <v>42</v>
      </c>
      <c r="D4124" t="s">
        <v>14215</v>
      </c>
      <c r="E4124" t="e" cm="1">
        <f t="array" ref="E4124">- NEOMYCIN SULFATE. FLUOCINOLONE ACETONIDE</f>
        <v>#NAME?</v>
      </c>
      <c r="F4124" t="s">
        <v>14216</v>
      </c>
      <c r="H4124" t="s">
        <v>13829</v>
      </c>
      <c r="I4124" t="s">
        <v>13830</v>
      </c>
      <c r="J4124" t="s">
        <v>2040</v>
      </c>
      <c r="K4124" t="s">
        <v>13831</v>
      </c>
      <c r="L4124" t="s">
        <v>13832</v>
      </c>
      <c r="M4124" t="s">
        <v>1289</v>
      </c>
      <c r="N4124" t="s">
        <v>19321</v>
      </c>
      <c r="O4124" t="s">
        <v>13833</v>
      </c>
      <c r="P4124" t="s">
        <v>13834</v>
      </c>
      <c r="Q4124" t="s">
        <v>19322</v>
      </c>
      <c r="R4124">
        <v>13</v>
      </c>
      <c r="S4124">
        <v>16</v>
      </c>
    </row>
    <row r="4125" spans="1:19" x14ac:dyDescent="0.35">
      <c r="A4125">
        <v>5411</v>
      </c>
      <c r="B4125" t="s">
        <v>13826</v>
      </c>
      <c r="C4125" t="s">
        <v>42</v>
      </c>
      <c r="D4125" t="s">
        <v>14215</v>
      </c>
      <c r="E4125" t="e" cm="1">
        <f t="array" ref="E4125">- NEOMYCIN SULFATE. FLUOCINOLONE ACETONIDE</f>
        <v>#NAME?</v>
      </c>
      <c r="F4125" t="s">
        <v>14216</v>
      </c>
      <c r="H4125" t="s">
        <v>13829</v>
      </c>
      <c r="I4125" t="s">
        <v>13830</v>
      </c>
      <c r="J4125" t="s">
        <v>2040</v>
      </c>
      <c r="K4125" t="s">
        <v>13831</v>
      </c>
      <c r="L4125" t="s">
        <v>13832</v>
      </c>
      <c r="M4125" t="s">
        <v>1289</v>
      </c>
      <c r="N4125" t="s">
        <v>19321</v>
      </c>
      <c r="O4125" t="s">
        <v>13833</v>
      </c>
      <c r="P4125" t="s">
        <v>13834</v>
      </c>
      <c r="Q4125" t="s">
        <v>19322</v>
      </c>
      <c r="R4125">
        <v>13</v>
      </c>
      <c r="S4125">
        <v>16</v>
      </c>
    </row>
    <row r="4126" spans="1:19" x14ac:dyDescent="0.35">
      <c r="A4126">
        <v>484</v>
      </c>
      <c r="B4126" t="s">
        <v>19323</v>
      </c>
      <c r="C4126" t="s">
        <v>42</v>
      </c>
      <c r="D4126" t="s">
        <v>19324</v>
      </c>
      <c r="E4126" t="e" cm="1">
        <f t="array" ref="E4126">- TERBUTALINE SULFATE</f>
        <v>#NAME?</v>
      </c>
      <c r="F4126" t="s">
        <v>19325</v>
      </c>
      <c r="G4126" t="s">
        <v>60</v>
      </c>
      <c r="H4126" t="s">
        <v>19326</v>
      </c>
      <c r="I4126" t="s">
        <v>19327</v>
      </c>
      <c r="J4126" t="s">
        <v>2978</v>
      </c>
      <c r="K4126" t="s">
        <v>18799</v>
      </c>
      <c r="L4126" t="s">
        <v>19328</v>
      </c>
      <c r="M4126" t="s">
        <v>46</v>
      </c>
      <c r="N4126" t="s">
        <v>4594</v>
      </c>
      <c r="O4126" t="s">
        <v>19329</v>
      </c>
      <c r="P4126" t="s">
        <v>18802</v>
      </c>
      <c r="Q4126" t="s">
        <v>19330</v>
      </c>
      <c r="R4126">
        <v>13</v>
      </c>
      <c r="S4126">
        <v>16</v>
      </c>
    </row>
    <row r="4127" spans="1:19" x14ac:dyDescent="0.35">
      <c r="A4127">
        <v>485</v>
      </c>
      <c r="B4127" t="s">
        <v>19323</v>
      </c>
      <c r="C4127" t="s">
        <v>42</v>
      </c>
      <c r="D4127" t="s">
        <v>19324</v>
      </c>
      <c r="E4127" t="e" cm="1">
        <f t="array" ref="E4127">- TERBUTALINE SULFATE</f>
        <v>#NAME?</v>
      </c>
      <c r="F4127" t="s">
        <v>19325</v>
      </c>
      <c r="G4127" t="s">
        <v>60</v>
      </c>
      <c r="H4127" t="s">
        <v>19326</v>
      </c>
      <c r="I4127" t="s">
        <v>19327</v>
      </c>
      <c r="J4127" t="s">
        <v>2978</v>
      </c>
      <c r="K4127" t="s">
        <v>18799</v>
      </c>
      <c r="L4127" t="s">
        <v>19328</v>
      </c>
      <c r="M4127" t="s">
        <v>46</v>
      </c>
      <c r="N4127" t="s">
        <v>4594</v>
      </c>
      <c r="O4127" t="s">
        <v>19329</v>
      </c>
      <c r="P4127" t="s">
        <v>18802</v>
      </c>
      <c r="Q4127" t="s">
        <v>19330</v>
      </c>
      <c r="R4127">
        <v>13</v>
      </c>
      <c r="S4127">
        <v>16</v>
      </c>
    </row>
    <row r="4128" spans="1:19" x14ac:dyDescent="0.35">
      <c r="A4128">
        <v>5408</v>
      </c>
      <c r="B4128" t="s">
        <v>13826</v>
      </c>
      <c r="C4128" t="s">
        <v>42</v>
      </c>
      <c r="D4128" t="s">
        <v>13827</v>
      </c>
      <c r="E4128" t="e" cm="1">
        <f t="array" ref="E4128">- NEOMYCIN SULFATE. FLUOCINOLONE ACETONIDE</f>
        <v>#NAME?</v>
      </c>
      <c r="F4128" t="s">
        <v>13828</v>
      </c>
      <c r="H4128" t="s">
        <v>13829</v>
      </c>
      <c r="I4128" t="s">
        <v>13830</v>
      </c>
      <c r="J4128" t="s">
        <v>1367</v>
      </c>
      <c r="K4128" t="s">
        <v>13831</v>
      </c>
      <c r="L4128" t="s">
        <v>13832</v>
      </c>
      <c r="M4128" t="s">
        <v>1289</v>
      </c>
      <c r="N4128" t="s">
        <v>19321</v>
      </c>
      <c r="O4128" t="s">
        <v>13833</v>
      </c>
      <c r="P4128" t="s">
        <v>13834</v>
      </c>
      <c r="Q4128" t="s">
        <v>19322</v>
      </c>
      <c r="R4128">
        <v>13</v>
      </c>
      <c r="S4128">
        <v>16</v>
      </c>
    </row>
    <row r="4129" spans="1:19" x14ac:dyDescent="0.35">
      <c r="A4129">
        <v>5407</v>
      </c>
      <c r="B4129" t="s">
        <v>13826</v>
      </c>
      <c r="C4129" t="s">
        <v>42</v>
      </c>
      <c r="D4129" t="s">
        <v>13827</v>
      </c>
      <c r="E4129" t="e" cm="1">
        <f t="array" ref="E4129">- NEOMYCIN SULFATE. FLUOCINOLONE ACETONIDE</f>
        <v>#NAME?</v>
      </c>
      <c r="F4129" t="s">
        <v>13828</v>
      </c>
      <c r="H4129" t="s">
        <v>13829</v>
      </c>
      <c r="I4129" t="s">
        <v>13830</v>
      </c>
      <c r="J4129" t="s">
        <v>1367</v>
      </c>
      <c r="K4129" t="s">
        <v>13831</v>
      </c>
      <c r="L4129" t="s">
        <v>13832</v>
      </c>
      <c r="M4129" t="s">
        <v>1289</v>
      </c>
      <c r="N4129" t="s">
        <v>19321</v>
      </c>
      <c r="O4129" t="s">
        <v>13833</v>
      </c>
      <c r="P4129" t="s">
        <v>13834</v>
      </c>
      <c r="Q4129" t="s">
        <v>19322</v>
      </c>
      <c r="R4129">
        <v>13</v>
      </c>
      <c r="S4129">
        <v>16</v>
      </c>
    </row>
    <row r="4130" spans="1:19" x14ac:dyDescent="0.35">
      <c r="A4130">
        <v>7823</v>
      </c>
      <c r="B4130" t="s">
        <v>4478</v>
      </c>
      <c r="C4130" t="s">
        <v>20</v>
      </c>
      <c r="D4130" t="s">
        <v>19331</v>
      </c>
      <c r="E4130" t="s">
        <v>4480</v>
      </c>
      <c r="F4130" t="s">
        <v>19332</v>
      </c>
      <c r="H4130" t="s">
        <v>19333</v>
      </c>
      <c r="I4130" t="e" cm="1">
        <f t="array" ref="I4130">- Membantu meluruhkan batu urin di ginjal &amp; saluran kemih - Membantu melancarkan buang air kecil</f>
        <v>#NAME?</v>
      </c>
      <c r="J4130" t="s">
        <v>3812</v>
      </c>
      <c r="M4130" t="s">
        <v>38</v>
      </c>
      <c r="N4130" t="s">
        <v>4486</v>
      </c>
      <c r="O4130" t="e" cm="1">
        <f t="array" ref="O4130">- Membantu meluruhkan batu urin ginjal saluran kemih - Membantu melancarkan buang air</f>
        <v>#NAME?</v>
      </c>
      <c r="P4130" t="s">
        <v>4486</v>
      </c>
      <c r="Q4130" t="s">
        <v>19334</v>
      </c>
      <c r="R4130">
        <v>13</v>
      </c>
      <c r="S4130">
        <v>16</v>
      </c>
    </row>
    <row r="4131" spans="1:19" x14ac:dyDescent="0.35">
      <c r="A4131">
        <v>989</v>
      </c>
      <c r="B4131" t="s">
        <v>18564</v>
      </c>
      <c r="C4131" t="s">
        <v>42</v>
      </c>
      <c r="D4131" t="s">
        <v>18565</v>
      </c>
      <c r="E4131" t="e" cm="1">
        <f t="array" ref="E4131">- GUAIFENESIN. BROMHEXINE HYDROCHLORIDE</f>
        <v>#NAME?</v>
      </c>
      <c r="F4131" t="s">
        <v>18566</v>
      </c>
      <c r="G4131" t="s">
        <v>2453</v>
      </c>
      <c r="H4131" t="s">
        <v>18567</v>
      </c>
      <c r="I4131" t="s">
        <v>18568</v>
      </c>
      <c r="J4131" t="s">
        <v>18569</v>
      </c>
      <c r="K4131" t="s">
        <v>18570</v>
      </c>
      <c r="L4131" t="s">
        <v>18571</v>
      </c>
      <c r="M4131" t="s">
        <v>271</v>
      </c>
      <c r="N4131" t="s">
        <v>4908</v>
      </c>
      <c r="O4131" t="s">
        <v>18572</v>
      </c>
      <c r="P4131" t="s">
        <v>18573</v>
      </c>
      <c r="Q4131" t="s">
        <v>19335</v>
      </c>
      <c r="R4131">
        <v>13</v>
      </c>
      <c r="S4131">
        <v>16</v>
      </c>
    </row>
    <row r="4132" spans="1:19" x14ac:dyDescent="0.35">
      <c r="A4132">
        <v>5400</v>
      </c>
      <c r="B4132" t="s">
        <v>19336</v>
      </c>
      <c r="C4132" t="s">
        <v>42</v>
      </c>
      <c r="D4132" t="s">
        <v>19337</v>
      </c>
      <c r="E4132" t="e" cm="1">
        <f t="array" ref="E4132">- HYDROCORTISONE ACETATE</f>
        <v>#NAME?</v>
      </c>
      <c r="F4132" t="s">
        <v>19338</v>
      </c>
      <c r="G4132" t="s">
        <v>19339</v>
      </c>
      <c r="H4132" t="s">
        <v>19340</v>
      </c>
      <c r="I4132" t="s">
        <v>19341</v>
      </c>
      <c r="J4132" t="s">
        <v>9739</v>
      </c>
      <c r="K4132" t="s">
        <v>19342</v>
      </c>
      <c r="L4132" t="s">
        <v>19343</v>
      </c>
      <c r="M4132" t="s">
        <v>1289</v>
      </c>
      <c r="N4132" t="s">
        <v>7168</v>
      </c>
      <c r="O4132" t="s">
        <v>19344</v>
      </c>
      <c r="P4132" t="s">
        <v>19345</v>
      </c>
      <c r="Q4132" t="s">
        <v>19346</v>
      </c>
      <c r="R4132">
        <v>13</v>
      </c>
      <c r="S4132">
        <v>16</v>
      </c>
    </row>
    <row r="4133" spans="1:19" x14ac:dyDescent="0.35">
      <c r="A4133">
        <v>7311</v>
      </c>
      <c r="B4133" t="s">
        <v>19347</v>
      </c>
      <c r="C4133" t="s">
        <v>42</v>
      </c>
      <c r="D4133" t="s">
        <v>19348</v>
      </c>
      <c r="E4133" t="e" cm="1">
        <f t="array" ref="E4133">- CALCIUM POLYSTYRENE SULFONATE</f>
        <v>#NAME?</v>
      </c>
      <c r="F4133" t="s">
        <v>19349</v>
      </c>
      <c r="G4133" t="s">
        <v>8205</v>
      </c>
      <c r="H4133" t="s">
        <v>19350</v>
      </c>
      <c r="I4133" t="s">
        <v>19351</v>
      </c>
      <c r="J4133" t="s">
        <v>19352</v>
      </c>
      <c r="L4133" t="s">
        <v>270</v>
      </c>
      <c r="M4133" t="s">
        <v>1280</v>
      </c>
      <c r="N4133" t="s">
        <v>17174</v>
      </c>
      <c r="O4133" t="s">
        <v>19353</v>
      </c>
      <c r="P4133" t="s">
        <v>19354</v>
      </c>
      <c r="Q4133" t="s">
        <v>19355</v>
      </c>
      <c r="R4133">
        <v>13</v>
      </c>
      <c r="S4133">
        <v>16</v>
      </c>
    </row>
    <row r="4134" spans="1:19" x14ac:dyDescent="0.35">
      <c r="A4134">
        <v>7467</v>
      </c>
      <c r="B4134" t="s">
        <v>19356</v>
      </c>
      <c r="C4134" t="s">
        <v>20</v>
      </c>
      <c r="D4134" t="s">
        <v>19357</v>
      </c>
      <c r="E4134" t="s">
        <v>19358</v>
      </c>
      <c r="F4134" t="s">
        <v>19359</v>
      </c>
      <c r="G4134" t="s">
        <v>2241</v>
      </c>
      <c r="H4134" t="s">
        <v>4385</v>
      </c>
      <c r="I4134" t="s">
        <v>19360</v>
      </c>
      <c r="J4134" t="s">
        <v>19361</v>
      </c>
      <c r="M4134" t="s">
        <v>38</v>
      </c>
      <c r="N4134" t="s">
        <v>19362</v>
      </c>
      <c r="O4134" t="s">
        <v>19363</v>
      </c>
      <c r="P4134" t="s">
        <v>19364</v>
      </c>
      <c r="Q4134" t="s">
        <v>19365</v>
      </c>
      <c r="R4134">
        <v>13</v>
      </c>
      <c r="S4134">
        <v>16</v>
      </c>
    </row>
    <row r="4135" spans="1:19" x14ac:dyDescent="0.35">
      <c r="A4135">
        <v>5369</v>
      </c>
      <c r="B4135" t="s">
        <v>19366</v>
      </c>
      <c r="C4135" t="s">
        <v>42</v>
      </c>
      <c r="D4135" t="s">
        <v>19367</v>
      </c>
      <c r="E4135" t="e" cm="1">
        <f t="array" ref="E4135">- FLUOCINOLONE ACETONIDE</f>
        <v>#NAME?</v>
      </c>
      <c r="F4135" t="s">
        <v>19368</v>
      </c>
      <c r="G4135" t="s">
        <v>19369</v>
      </c>
      <c r="H4135" t="s">
        <v>19370</v>
      </c>
      <c r="I4135" t="s">
        <v>19371</v>
      </c>
      <c r="J4135" t="s">
        <v>18615</v>
      </c>
      <c r="K4135" t="s">
        <v>19372</v>
      </c>
      <c r="L4135" t="s">
        <v>19373</v>
      </c>
      <c r="M4135" t="s">
        <v>1289</v>
      </c>
      <c r="N4135" t="s">
        <v>2766</v>
      </c>
      <c r="O4135" t="s">
        <v>19374</v>
      </c>
      <c r="P4135" t="s">
        <v>19375</v>
      </c>
      <c r="Q4135" t="s">
        <v>19376</v>
      </c>
      <c r="R4135">
        <v>13</v>
      </c>
      <c r="S4135">
        <v>16</v>
      </c>
    </row>
    <row r="4136" spans="1:19" x14ac:dyDescent="0.35">
      <c r="A4136">
        <v>7305</v>
      </c>
      <c r="B4136" t="s">
        <v>19377</v>
      </c>
      <c r="C4136" t="s">
        <v>20</v>
      </c>
      <c r="D4136" t="s">
        <v>19378</v>
      </c>
      <c r="E4136" t="s">
        <v>19379</v>
      </c>
      <c r="F4136" t="s">
        <v>19380</v>
      </c>
      <c r="G4136" t="s">
        <v>19381</v>
      </c>
      <c r="H4136" t="s">
        <v>19382</v>
      </c>
      <c r="I4136" t="s">
        <v>19383</v>
      </c>
      <c r="J4136" t="s">
        <v>19384</v>
      </c>
      <c r="L4136" t="s">
        <v>19385</v>
      </c>
      <c r="M4136" t="s">
        <v>818</v>
      </c>
      <c r="N4136" t="s">
        <v>19386</v>
      </c>
      <c r="O4136" t="s">
        <v>19387</v>
      </c>
      <c r="P4136" t="s">
        <v>19388</v>
      </c>
      <c r="Q4136" t="s">
        <v>19389</v>
      </c>
      <c r="R4136">
        <v>13</v>
      </c>
      <c r="S4136">
        <v>16</v>
      </c>
    </row>
    <row r="4137" spans="1:19" x14ac:dyDescent="0.35">
      <c r="A4137">
        <v>5498</v>
      </c>
      <c r="B4137" t="s">
        <v>19390</v>
      </c>
      <c r="C4137" t="s">
        <v>42</v>
      </c>
      <c r="D4137" t="s">
        <v>19391</v>
      </c>
      <c r="E4137" t="e" cm="1">
        <f t="array" ref="E4137">- FLUOCINOLONE ACETONIDE</f>
        <v>#NAME?</v>
      </c>
      <c r="F4137" t="s">
        <v>19392</v>
      </c>
      <c r="H4137" t="s">
        <v>19393</v>
      </c>
      <c r="I4137" t="s">
        <v>19394</v>
      </c>
      <c r="J4137" t="s">
        <v>2040</v>
      </c>
      <c r="K4137" t="s">
        <v>19395</v>
      </c>
      <c r="L4137" t="s">
        <v>19396</v>
      </c>
      <c r="M4137" t="s">
        <v>1289</v>
      </c>
      <c r="N4137" t="s">
        <v>2766</v>
      </c>
      <c r="O4137" t="s">
        <v>19397</v>
      </c>
      <c r="P4137" t="s">
        <v>19398</v>
      </c>
      <c r="Q4137" t="s">
        <v>19399</v>
      </c>
      <c r="R4137">
        <v>13</v>
      </c>
      <c r="S4137">
        <v>16</v>
      </c>
    </row>
    <row r="4138" spans="1:19" x14ac:dyDescent="0.35">
      <c r="A4138">
        <v>5283</v>
      </c>
      <c r="B4138" t="s">
        <v>19400</v>
      </c>
      <c r="C4138" t="s">
        <v>42</v>
      </c>
      <c r="D4138" t="s">
        <v>19401</v>
      </c>
      <c r="E4138" t="e" cm="1">
        <f t="array" ref="E4138">- CHLORAMPHENICOL</f>
        <v>#NAME?</v>
      </c>
      <c r="F4138" t="s">
        <v>1359</v>
      </c>
      <c r="G4138" t="s">
        <v>11776</v>
      </c>
      <c r="H4138" t="s">
        <v>19402</v>
      </c>
      <c r="I4138" t="s">
        <v>19403</v>
      </c>
      <c r="J4138" t="s">
        <v>7187</v>
      </c>
      <c r="K4138" t="s">
        <v>2858</v>
      </c>
      <c r="L4138" t="s">
        <v>19404</v>
      </c>
      <c r="M4138" t="s">
        <v>1029</v>
      </c>
      <c r="N4138" t="s">
        <v>1188</v>
      </c>
      <c r="O4138" t="s">
        <v>19405</v>
      </c>
      <c r="P4138" t="s">
        <v>1830</v>
      </c>
      <c r="Q4138" t="s">
        <v>19406</v>
      </c>
      <c r="R4138">
        <v>13</v>
      </c>
      <c r="S4138">
        <v>16</v>
      </c>
    </row>
    <row r="4139" spans="1:19" x14ac:dyDescent="0.35">
      <c r="A4139">
        <v>5284</v>
      </c>
      <c r="B4139" t="s">
        <v>19400</v>
      </c>
      <c r="C4139" t="s">
        <v>42</v>
      </c>
      <c r="D4139" t="s">
        <v>19401</v>
      </c>
      <c r="E4139" t="e" cm="1">
        <f t="array" ref="E4139">- CHLORAMPHENICOL</f>
        <v>#NAME?</v>
      </c>
      <c r="F4139" t="s">
        <v>1359</v>
      </c>
      <c r="G4139" t="s">
        <v>11776</v>
      </c>
      <c r="H4139" t="s">
        <v>19402</v>
      </c>
      <c r="I4139" t="s">
        <v>19403</v>
      </c>
      <c r="J4139" t="s">
        <v>7187</v>
      </c>
      <c r="K4139" t="s">
        <v>2858</v>
      </c>
      <c r="L4139" t="s">
        <v>19404</v>
      </c>
      <c r="M4139" t="s">
        <v>1029</v>
      </c>
      <c r="N4139" t="s">
        <v>1188</v>
      </c>
      <c r="O4139" t="s">
        <v>19405</v>
      </c>
      <c r="P4139" t="s">
        <v>1830</v>
      </c>
      <c r="Q4139" t="s">
        <v>19406</v>
      </c>
      <c r="R4139">
        <v>13</v>
      </c>
      <c r="S4139">
        <v>16</v>
      </c>
    </row>
    <row r="4140" spans="1:19" x14ac:dyDescent="0.35">
      <c r="A4140">
        <v>7275</v>
      </c>
      <c r="B4140" t="s">
        <v>19407</v>
      </c>
      <c r="C4140" t="s">
        <v>850</v>
      </c>
      <c r="D4140" t="s">
        <v>19408</v>
      </c>
      <c r="E4140" t="e" cm="1">
        <f t="array" ref="E4140">- Cinnamomi Burmannii Cortex</f>
        <v>#NAME?</v>
      </c>
      <c r="F4140" t="s">
        <v>19409</v>
      </c>
      <c r="G4140" t="s">
        <v>19410</v>
      </c>
      <c r="I4140" t="s">
        <v>19411</v>
      </c>
      <c r="J4140" t="s">
        <v>19412</v>
      </c>
      <c r="L4140" t="s">
        <v>19413</v>
      </c>
      <c r="N4140" t="s">
        <v>7703</v>
      </c>
      <c r="O4140" t="s">
        <v>19414</v>
      </c>
      <c r="P4140" t="s">
        <v>19415</v>
      </c>
      <c r="Q4140" t="s">
        <v>19416</v>
      </c>
      <c r="R4140">
        <v>13</v>
      </c>
      <c r="S4140">
        <v>16</v>
      </c>
    </row>
    <row r="4141" spans="1:19" x14ac:dyDescent="0.35">
      <c r="A4141">
        <v>7276</v>
      </c>
      <c r="B4141" t="s">
        <v>19407</v>
      </c>
      <c r="C4141" t="s">
        <v>850</v>
      </c>
      <c r="D4141" t="s">
        <v>19408</v>
      </c>
      <c r="E4141" t="e" cm="1">
        <f t="array" ref="E4141">- Cinnamomi Burmannii Cortex</f>
        <v>#NAME?</v>
      </c>
      <c r="F4141" t="s">
        <v>19409</v>
      </c>
      <c r="G4141" t="s">
        <v>19410</v>
      </c>
      <c r="I4141" t="s">
        <v>19411</v>
      </c>
      <c r="J4141" t="s">
        <v>19412</v>
      </c>
      <c r="L4141" t="s">
        <v>19413</v>
      </c>
      <c r="N4141" t="s">
        <v>7703</v>
      </c>
      <c r="O4141" t="s">
        <v>19414</v>
      </c>
      <c r="P4141" t="s">
        <v>19415</v>
      </c>
      <c r="Q4141" t="s">
        <v>19416</v>
      </c>
      <c r="R4141">
        <v>13</v>
      </c>
      <c r="S4141">
        <v>16</v>
      </c>
    </row>
    <row r="4142" spans="1:19" x14ac:dyDescent="0.35">
      <c r="A4142">
        <v>4521</v>
      </c>
      <c r="B4142" t="s">
        <v>16429</v>
      </c>
      <c r="C4142" t="s">
        <v>42</v>
      </c>
      <c r="D4142" t="s">
        <v>19417</v>
      </c>
      <c r="E4142" t="e" cm="1">
        <f t="array" ref="E4142">- OFLOXACIN</f>
        <v>#NAME?</v>
      </c>
      <c r="F4142" t="s">
        <v>19418</v>
      </c>
      <c r="G4142" t="s">
        <v>7569</v>
      </c>
      <c r="H4142" t="s">
        <v>16433</v>
      </c>
      <c r="I4142" t="s">
        <v>19419</v>
      </c>
      <c r="J4142" t="s">
        <v>16097</v>
      </c>
      <c r="K4142" t="s">
        <v>19420</v>
      </c>
      <c r="L4142" t="s">
        <v>19421</v>
      </c>
      <c r="M4142" t="s">
        <v>824</v>
      </c>
      <c r="N4142" t="s">
        <v>1640</v>
      </c>
      <c r="O4142" t="s">
        <v>19422</v>
      </c>
      <c r="P4142" t="s">
        <v>19423</v>
      </c>
      <c r="Q4142" t="s">
        <v>19424</v>
      </c>
      <c r="R4142">
        <v>13</v>
      </c>
      <c r="S4142">
        <v>16</v>
      </c>
    </row>
    <row r="4143" spans="1:19" x14ac:dyDescent="0.35">
      <c r="A4143">
        <v>4522</v>
      </c>
      <c r="B4143" t="s">
        <v>16429</v>
      </c>
      <c r="C4143" t="s">
        <v>42</v>
      </c>
      <c r="D4143" t="s">
        <v>19417</v>
      </c>
      <c r="E4143" t="e" cm="1">
        <f t="array" ref="E4143">- OFLOXACIN</f>
        <v>#NAME?</v>
      </c>
      <c r="F4143" t="s">
        <v>19418</v>
      </c>
      <c r="G4143" t="s">
        <v>7569</v>
      </c>
      <c r="H4143" t="s">
        <v>16433</v>
      </c>
      <c r="I4143" t="s">
        <v>19419</v>
      </c>
      <c r="J4143" t="s">
        <v>16097</v>
      </c>
      <c r="K4143" t="s">
        <v>19420</v>
      </c>
      <c r="L4143" t="s">
        <v>19421</v>
      </c>
      <c r="M4143" t="s">
        <v>824</v>
      </c>
      <c r="N4143" t="s">
        <v>1640</v>
      </c>
      <c r="O4143" t="s">
        <v>19422</v>
      </c>
      <c r="P4143" t="s">
        <v>19423</v>
      </c>
      <c r="Q4143" t="s">
        <v>19424</v>
      </c>
      <c r="R4143">
        <v>13</v>
      </c>
      <c r="S4143">
        <v>16</v>
      </c>
    </row>
    <row r="4144" spans="1:19" x14ac:dyDescent="0.35">
      <c r="A4144">
        <v>7411</v>
      </c>
      <c r="B4144" t="s">
        <v>9803</v>
      </c>
      <c r="C4144" t="s">
        <v>42</v>
      </c>
      <c r="D4144" t="s">
        <v>9804</v>
      </c>
      <c r="E4144" t="e" cm="1">
        <f t="array" ref="E4144">- PYRIDOXINE HYDROCHLORIDE. CYANOCOBALAMIN. THIAMINE MONONITRATE</f>
        <v>#NAME?</v>
      </c>
      <c r="F4144" t="s">
        <v>9805</v>
      </c>
      <c r="G4144" t="s">
        <v>9806</v>
      </c>
      <c r="H4144" t="s">
        <v>9807</v>
      </c>
      <c r="I4144" t="s">
        <v>9808</v>
      </c>
      <c r="J4144" t="s">
        <v>9809</v>
      </c>
      <c r="L4144" t="s">
        <v>9810</v>
      </c>
      <c r="M4144" t="s">
        <v>46</v>
      </c>
      <c r="N4144" t="s">
        <v>19425</v>
      </c>
      <c r="O4144" t="s">
        <v>9811</v>
      </c>
      <c r="P4144" t="s">
        <v>9812</v>
      </c>
      <c r="Q4144" t="s">
        <v>19426</v>
      </c>
      <c r="R4144">
        <v>13</v>
      </c>
      <c r="S4144">
        <v>16</v>
      </c>
    </row>
    <row r="4145" spans="1:19" x14ac:dyDescent="0.35">
      <c r="A4145">
        <v>5315</v>
      </c>
      <c r="B4145" t="s">
        <v>19427</v>
      </c>
      <c r="C4145" t="s">
        <v>42</v>
      </c>
      <c r="D4145" t="s">
        <v>19428</v>
      </c>
      <c r="E4145" t="e" cm="1">
        <f t="array" ref="E4145">- GENTAMICIN</f>
        <v>#NAME?</v>
      </c>
      <c r="F4145" t="s">
        <v>19429</v>
      </c>
      <c r="G4145" t="s">
        <v>11776</v>
      </c>
      <c r="H4145" t="s">
        <v>11913</v>
      </c>
      <c r="I4145" t="s">
        <v>19430</v>
      </c>
      <c r="J4145" t="s">
        <v>1367</v>
      </c>
      <c r="K4145" t="s">
        <v>2726</v>
      </c>
      <c r="L4145" t="s">
        <v>19431</v>
      </c>
      <c r="M4145" t="s">
        <v>1029</v>
      </c>
      <c r="N4145" t="s">
        <v>3913</v>
      </c>
      <c r="O4145" t="s">
        <v>19432</v>
      </c>
      <c r="P4145" t="s">
        <v>19433</v>
      </c>
      <c r="Q4145" t="s">
        <v>19434</v>
      </c>
      <c r="R4145">
        <v>13</v>
      </c>
      <c r="S4145">
        <v>16</v>
      </c>
    </row>
    <row r="4146" spans="1:19" x14ac:dyDescent="0.35">
      <c r="A4146">
        <v>4523</v>
      </c>
      <c r="B4146" t="s">
        <v>16429</v>
      </c>
      <c r="C4146" t="s">
        <v>42</v>
      </c>
      <c r="D4146" t="s">
        <v>19417</v>
      </c>
      <c r="E4146" t="e" cm="1">
        <f t="array" ref="E4146">- OFLOXACIN</f>
        <v>#NAME?</v>
      </c>
      <c r="F4146" t="s">
        <v>19418</v>
      </c>
      <c r="G4146" t="s">
        <v>7569</v>
      </c>
      <c r="H4146" t="s">
        <v>16433</v>
      </c>
      <c r="I4146" t="s">
        <v>19419</v>
      </c>
      <c r="J4146" t="s">
        <v>16097</v>
      </c>
      <c r="K4146" t="s">
        <v>19420</v>
      </c>
      <c r="L4146" t="s">
        <v>19421</v>
      </c>
      <c r="M4146" t="s">
        <v>824</v>
      </c>
      <c r="N4146" t="s">
        <v>1640</v>
      </c>
      <c r="O4146" t="s">
        <v>19422</v>
      </c>
      <c r="P4146" t="s">
        <v>19423</v>
      </c>
      <c r="Q4146" t="s">
        <v>19424</v>
      </c>
      <c r="R4146">
        <v>13</v>
      </c>
      <c r="S4146">
        <v>16</v>
      </c>
    </row>
    <row r="4147" spans="1:19" x14ac:dyDescent="0.35">
      <c r="A4147">
        <v>4524</v>
      </c>
      <c r="B4147" t="s">
        <v>16429</v>
      </c>
      <c r="C4147" t="s">
        <v>42</v>
      </c>
      <c r="D4147" t="s">
        <v>19417</v>
      </c>
      <c r="E4147" t="e" cm="1">
        <f t="array" ref="E4147">- OFLOXACIN</f>
        <v>#NAME?</v>
      </c>
      <c r="F4147" t="s">
        <v>19418</v>
      </c>
      <c r="G4147" t="s">
        <v>7569</v>
      </c>
      <c r="H4147" t="s">
        <v>16433</v>
      </c>
      <c r="I4147" t="s">
        <v>19419</v>
      </c>
      <c r="J4147" t="s">
        <v>16097</v>
      </c>
      <c r="K4147" t="s">
        <v>19420</v>
      </c>
      <c r="L4147" t="s">
        <v>19421</v>
      </c>
      <c r="M4147" t="s">
        <v>824</v>
      </c>
      <c r="N4147" t="s">
        <v>1640</v>
      </c>
      <c r="O4147" t="s">
        <v>19422</v>
      </c>
      <c r="P4147" t="s">
        <v>19423</v>
      </c>
      <c r="Q4147" t="s">
        <v>19424</v>
      </c>
      <c r="R4147">
        <v>13</v>
      </c>
      <c r="S4147">
        <v>16</v>
      </c>
    </row>
    <row r="4148" spans="1:19" x14ac:dyDescent="0.35">
      <c r="A4148">
        <v>7391</v>
      </c>
      <c r="B4148" t="s">
        <v>19435</v>
      </c>
      <c r="C4148" t="s">
        <v>42</v>
      </c>
      <c r="D4148" t="s">
        <v>19436</v>
      </c>
      <c r="E4148" t="e" cm="1">
        <f t="array" ref="E4148">- THIAMINE NITRATE. PYRIDOXINE HYDROCHLORIDE. CYANOCOBALAMIN</f>
        <v>#NAME?</v>
      </c>
      <c r="F4148" t="s">
        <v>19437</v>
      </c>
      <c r="G4148" t="s">
        <v>19438</v>
      </c>
      <c r="H4148" t="s">
        <v>19439</v>
      </c>
      <c r="I4148" t="s">
        <v>19440</v>
      </c>
      <c r="J4148" t="s">
        <v>10764</v>
      </c>
      <c r="K4148" t="s">
        <v>16389</v>
      </c>
      <c r="L4148" t="s">
        <v>19441</v>
      </c>
      <c r="M4148" t="s">
        <v>46</v>
      </c>
      <c r="N4148" t="s">
        <v>5479</v>
      </c>
      <c r="O4148" t="s">
        <v>19442</v>
      </c>
      <c r="P4148" t="s">
        <v>15855</v>
      </c>
      <c r="Q4148" t="s">
        <v>19443</v>
      </c>
      <c r="R4148">
        <v>13</v>
      </c>
      <c r="S4148">
        <v>16</v>
      </c>
    </row>
    <row r="4149" spans="1:19" x14ac:dyDescent="0.35">
      <c r="A4149">
        <v>7377</v>
      </c>
      <c r="B4149" t="s">
        <v>18467</v>
      </c>
      <c r="C4149" t="s">
        <v>850</v>
      </c>
      <c r="D4149" t="s">
        <v>19444</v>
      </c>
      <c r="E4149" t="e" cm="1">
        <f t="array" ref="E4149">- Balsamum Peruvianum</f>
        <v>#NAME?</v>
      </c>
      <c r="F4149" t="s">
        <v>19445</v>
      </c>
      <c r="G4149" t="s">
        <v>19446</v>
      </c>
      <c r="H4149" t="s">
        <v>1322</v>
      </c>
      <c r="I4149" t="s">
        <v>19447</v>
      </c>
      <c r="J4149" t="s">
        <v>19448</v>
      </c>
      <c r="N4149" t="s">
        <v>18470</v>
      </c>
      <c r="O4149" t="s">
        <v>18471</v>
      </c>
      <c r="P4149" t="s">
        <v>19449</v>
      </c>
      <c r="Q4149" t="s">
        <v>19450</v>
      </c>
      <c r="R4149">
        <v>13</v>
      </c>
      <c r="S4149">
        <v>16</v>
      </c>
    </row>
    <row r="4150" spans="1:19" x14ac:dyDescent="0.35">
      <c r="A4150">
        <v>1005</v>
      </c>
      <c r="B4150" t="s">
        <v>19451</v>
      </c>
      <c r="C4150" t="s">
        <v>42</v>
      </c>
      <c r="D4150" t="s">
        <v>19452</v>
      </c>
      <c r="E4150" t="e" cm="1">
        <f t="array" ref="E4150">- GUAIFENESIN. PSEUDOEPHEDRINE HYDROCHLORIDE. TRIPROLIDINE HYDROCHLORIDE</f>
        <v>#NAME?</v>
      </c>
      <c r="F4150" t="s">
        <v>19453</v>
      </c>
      <c r="G4150" t="s">
        <v>2241</v>
      </c>
      <c r="H4150" t="s">
        <v>19454</v>
      </c>
      <c r="I4150" t="s">
        <v>19455</v>
      </c>
      <c r="J4150" t="s">
        <v>334</v>
      </c>
      <c r="K4150" t="s">
        <v>19456</v>
      </c>
      <c r="L4150" t="s">
        <v>19457</v>
      </c>
      <c r="M4150" t="s">
        <v>271</v>
      </c>
      <c r="N4150" t="s">
        <v>19458</v>
      </c>
      <c r="O4150" t="s">
        <v>19459</v>
      </c>
      <c r="P4150" t="s">
        <v>19460</v>
      </c>
      <c r="Q4150" t="s">
        <v>19461</v>
      </c>
      <c r="R4150">
        <v>13</v>
      </c>
      <c r="S4150">
        <v>16</v>
      </c>
    </row>
    <row r="4151" spans="1:19" x14ac:dyDescent="0.35">
      <c r="A4151">
        <v>5464</v>
      </c>
      <c r="B4151" t="s">
        <v>13793</v>
      </c>
      <c r="C4151" t="s">
        <v>42</v>
      </c>
      <c r="D4151" t="s">
        <v>13794</v>
      </c>
      <c r="E4151" t="e" cm="1">
        <f t="array" ref="E4151">- BETAMETHASONE VALERATE. NEOMYCIN SULFATE</f>
        <v>#NAME?</v>
      </c>
      <c r="F4151" t="s">
        <v>13795</v>
      </c>
      <c r="G4151" t="s">
        <v>13796</v>
      </c>
      <c r="H4151" t="s">
        <v>9718</v>
      </c>
      <c r="I4151" t="s">
        <v>13797</v>
      </c>
      <c r="J4151" t="s">
        <v>13798</v>
      </c>
      <c r="K4151" t="s">
        <v>13799</v>
      </c>
      <c r="L4151" t="s">
        <v>13800</v>
      </c>
      <c r="M4151" t="s">
        <v>1289</v>
      </c>
      <c r="N4151" t="s">
        <v>4089</v>
      </c>
      <c r="O4151" t="s">
        <v>13801</v>
      </c>
      <c r="P4151" t="s">
        <v>13802</v>
      </c>
      <c r="Q4151" t="s">
        <v>19462</v>
      </c>
      <c r="R4151">
        <v>13</v>
      </c>
      <c r="S4151">
        <v>16</v>
      </c>
    </row>
    <row r="4152" spans="1:19" x14ac:dyDescent="0.35">
      <c r="A4152">
        <v>999</v>
      </c>
      <c r="B4152" t="s">
        <v>19463</v>
      </c>
      <c r="C4152" t="s">
        <v>42</v>
      </c>
      <c r="D4152" t="s">
        <v>19464</v>
      </c>
      <c r="E4152" t="e" cm="1">
        <f t="array" ref="E4152">- CHLORPHENAMINE MALEATE. PSEUDOEPHEDRINE HYDROCHLORIDE</f>
        <v>#NAME?</v>
      </c>
      <c r="F4152" t="s">
        <v>19465</v>
      </c>
      <c r="G4152" t="s">
        <v>2241</v>
      </c>
      <c r="H4152" t="s">
        <v>19466</v>
      </c>
      <c r="I4152" t="s">
        <v>12897</v>
      </c>
      <c r="J4152" t="s">
        <v>334</v>
      </c>
      <c r="K4152" t="s">
        <v>17002</v>
      </c>
      <c r="L4152" t="s">
        <v>17003</v>
      </c>
      <c r="M4152" t="s">
        <v>271</v>
      </c>
      <c r="N4152" t="s">
        <v>19467</v>
      </c>
      <c r="O4152" t="s">
        <v>12899</v>
      </c>
      <c r="P4152" t="s">
        <v>19468</v>
      </c>
      <c r="Q4152" t="s">
        <v>19469</v>
      </c>
      <c r="R4152">
        <v>13</v>
      </c>
      <c r="S4152">
        <v>16</v>
      </c>
    </row>
    <row r="4153" spans="1:19" x14ac:dyDescent="0.35">
      <c r="A4153">
        <v>4322</v>
      </c>
      <c r="B4153" t="s">
        <v>19470</v>
      </c>
      <c r="C4153" t="s">
        <v>850</v>
      </c>
      <c r="D4153" t="s">
        <v>19471</v>
      </c>
      <c r="E4153" t="e" cm="1">
        <f t="array" ref="E4153">- Asam Benzoat</f>
        <v>#NAME?</v>
      </c>
      <c r="F4153" s="1">
        <v>9500</v>
      </c>
      <c r="G4153" t="s">
        <v>11887</v>
      </c>
      <c r="H4153" t="s">
        <v>19472</v>
      </c>
      <c r="I4153" t="s">
        <v>19473</v>
      </c>
      <c r="J4153" t="s">
        <v>19474</v>
      </c>
      <c r="N4153" t="s">
        <v>19475</v>
      </c>
      <c r="O4153" t="s">
        <v>19476</v>
      </c>
      <c r="P4153" t="s">
        <v>19477</v>
      </c>
      <c r="Q4153" t="s">
        <v>19478</v>
      </c>
      <c r="R4153">
        <v>13</v>
      </c>
      <c r="S4153">
        <v>16</v>
      </c>
    </row>
    <row r="4154" spans="1:19" x14ac:dyDescent="0.35">
      <c r="A4154">
        <v>5193</v>
      </c>
      <c r="B4154" t="s">
        <v>15082</v>
      </c>
      <c r="C4154" t="s">
        <v>42</v>
      </c>
      <c r="D4154" t="s">
        <v>15083</v>
      </c>
      <c r="E4154" t="e" cm="1">
        <f t="array" ref="E4154">- BETAMETHASONE VALERATE. MICONAZOLE NITRATE</f>
        <v>#NAME?</v>
      </c>
      <c r="F4154" t="s">
        <v>15084</v>
      </c>
      <c r="G4154" t="s">
        <v>15085</v>
      </c>
      <c r="H4154" t="s">
        <v>15086</v>
      </c>
      <c r="I4154" t="s">
        <v>15087</v>
      </c>
      <c r="J4154" t="s">
        <v>2040</v>
      </c>
      <c r="K4154" t="s">
        <v>15088</v>
      </c>
      <c r="L4154" t="s">
        <v>15089</v>
      </c>
      <c r="M4154" t="s">
        <v>1289</v>
      </c>
      <c r="N4154" t="s">
        <v>19479</v>
      </c>
      <c r="O4154" t="s">
        <v>15090</v>
      </c>
      <c r="P4154" t="s">
        <v>15091</v>
      </c>
      <c r="Q4154" t="s">
        <v>19480</v>
      </c>
      <c r="R4154">
        <v>13</v>
      </c>
      <c r="S4154">
        <v>16</v>
      </c>
    </row>
    <row r="4155" spans="1:19" x14ac:dyDescent="0.35">
      <c r="A4155">
        <v>4458</v>
      </c>
      <c r="B4155" t="s">
        <v>19481</v>
      </c>
      <c r="C4155" t="s">
        <v>42</v>
      </c>
      <c r="D4155" t="s">
        <v>19482</v>
      </c>
      <c r="E4155" t="e" cm="1">
        <f t="array" ref="E4155">- LEVOFLOXACIN</f>
        <v>#NAME?</v>
      </c>
      <c r="F4155" t="s">
        <v>19483</v>
      </c>
      <c r="G4155" t="s">
        <v>19484</v>
      </c>
      <c r="H4155" t="s">
        <v>19485</v>
      </c>
      <c r="I4155" t="s">
        <v>19486</v>
      </c>
      <c r="J4155" t="s">
        <v>19487</v>
      </c>
      <c r="K4155" t="s">
        <v>11485</v>
      </c>
      <c r="L4155" t="s">
        <v>10249</v>
      </c>
      <c r="M4155" t="s">
        <v>824</v>
      </c>
      <c r="N4155" t="s">
        <v>11487</v>
      </c>
      <c r="O4155" t="s">
        <v>19488</v>
      </c>
      <c r="P4155" t="s">
        <v>19489</v>
      </c>
      <c r="Q4155" t="s">
        <v>19490</v>
      </c>
      <c r="R4155">
        <v>13</v>
      </c>
      <c r="S4155">
        <v>16</v>
      </c>
    </row>
    <row r="4156" spans="1:19" x14ac:dyDescent="0.35">
      <c r="A4156">
        <v>1028</v>
      </c>
      <c r="B4156" t="s">
        <v>3832</v>
      </c>
      <c r="C4156" t="s">
        <v>42</v>
      </c>
      <c r="D4156" t="s">
        <v>3968</v>
      </c>
      <c r="E4156" t="e" cm="1">
        <f t="array" ref="E4156">- SUCCUS LIQUIRITIAE. AMMONIUM CHLORIDE. KOMBINASI-SOLUTIO AMMONIAE SPIRITUSA ANISATA</f>
        <v>#NAME?</v>
      </c>
      <c r="F4156" t="s">
        <v>3969</v>
      </c>
      <c r="G4156" t="s">
        <v>3970</v>
      </c>
      <c r="H4156" t="s">
        <v>3971</v>
      </c>
      <c r="I4156" t="s">
        <v>3972</v>
      </c>
      <c r="J4156" t="s">
        <v>374</v>
      </c>
      <c r="K4156" t="s">
        <v>3973</v>
      </c>
      <c r="L4156" t="s">
        <v>3974</v>
      </c>
      <c r="M4156" t="s">
        <v>271</v>
      </c>
      <c r="N4156" t="s">
        <v>19491</v>
      </c>
      <c r="O4156" t="s">
        <v>3841</v>
      </c>
      <c r="P4156" t="s">
        <v>3842</v>
      </c>
      <c r="Q4156" t="s">
        <v>19492</v>
      </c>
      <c r="R4156">
        <v>13</v>
      </c>
      <c r="S4156">
        <v>16</v>
      </c>
    </row>
    <row r="4157" spans="1:19" x14ac:dyDescent="0.35">
      <c r="A4157">
        <v>1025</v>
      </c>
      <c r="B4157" t="s">
        <v>3832</v>
      </c>
      <c r="C4157" t="s">
        <v>42</v>
      </c>
      <c r="D4157" t="s">
        <v>3833</v>
      </c>
      <c r="E4157" t="e" cm="1">
        <f t="array" ref="E4157">- SUCCUS LIQUIRITIAE. AMMONIUM CHLORIDE. KOMBINASI-SOLUTIO AMMONIAE SPIRITUSA ANISATA</f>
        <v>#NAME?</v>
      </c>
      <c r="F4157" t="s">
        <v>3834</v>
      </c>
      <c r="G4157" t="s">
        <v>2241</v>
      </c>
      <c r="H4157" t="s">
        <v>3835</v>
      </c>
      <c r="I4157" t="s">
        <v>3836</v>
      </c>
      <c r="J4157" t="s">
        <v>3837</v>
      </c>
      <c r="K4157" t="s">
        <v>3838</v>
      </c>
      <c r="L4157" t="s">
        <v>3839</v>
      </c>
      <c r="M4157" t="s">
        <v>271</v>
      </c>
      <c r="N4157" t="s">
        <v>19491</v>
      </c>
      <c r="O4157" t="s">
        <v>3841</v>
      </c>
      <c r="P4157" t="s">
        <v>3842</v>
      </c>
      <c r="Q4157" t="s">
        <v>19492</v>
      </c>
      <c r="R4157">
        <v>13</v>
      </c>
      <c r="S4157">
        <v>16</v>
      </c>
    </row>
    <row r="4158" spans="1:19" x14ac:dyDescent="0.35">
      <c r="A4158">
        <v>4640</v>
      </c>
      <c r="B4158" t="s">
        <v>19493</v>
      </c>
      <c r="C4158" t="s">
        <v>42</v>
      </c>
      <c r="D4158" t="s">
        <v>19494</v>
      </c>
      <c r="E4158" t="e" cm="1">
        <f t="array" ref="E4158">- PHENYLEPHRINE HYDROCHLORIDE</f>
        <v>#NAME?</v>
      </c>
      <c r="F4158" t="s">
        <v>19495</v>
      </c>
      <c r="H4158" t="s">
        <v>19496</v>
      </c>
      <c r="I4158" t="s">
        <v>19497</v>
      </c>
      <c r="J4158" t="s">
        <v>4201</v>
      </c>
      <c r="L4158" t="s">
        <v>6318</v>
      </c>
      <c r="M4158" t="s">
        <v>824</v>
      </c>
      <c r="N4158" t="s">
        <v>19498</v>
      </c>
      <c r="O4158" t="s">
        <v>19499</v>
      </c>
      <c r="P4158" t="s">
        <v>19500</v>
      </c>
      <c r="Q4158" t="s">
        <v>19501</v>
      </c>
      <c r="R4158">
        <v>13</v>
      </c>
      <c r="S4158">
        <v>16</v>
      </c>
    </row>
    <row r="4159" spans="1:19" x14ac:dyDescent="0.35">
      <c r="A4159">
        <v>7912</v>
      </c>
      <c r="B415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s">
        <v>19509</v>
      </c>
      <c r="R4159">
        <v>13</v>
      </c>
      <c r="S4159">
        <v>16</v>
      </c>
    </row>
    <row r="4160" spans="1:19" x14ac:dyDescent="0.35">
      <c r="A4160">
        <v>1024</v>
      </c>
      <c r="B4160" t="s">
        <v>3832</v>
      </c>
      <c r="C4160" t="s">
        <v>42</v>
      </c>
      <c r="D4160" t="s">
        <v>3833</v>
      </c>
      <c r="E4160" t="e" cm="1">
        <f t="array" ref="E4160">- SUCCUS LIQUIRITIAE. AMMONIUM CHLORIDE. KOMBINASI-SOLUTIO AMMONIAE SPIRITUSA ANISATA</f>
        <v>#NAME?</v>
      </c>
      <c r="F4160" t="s">
        <v>3834</v>
      </c>
      <c r="G4160" t="s">
        <v>2241</v>
      </c>
      <c r="H4160" t="s">
        <v>3835</v>
      </c>
      <c r="I4160" t="s">
        <v>3836</v>
      </c>
      <c r="J4160" t="s">
        <v>3837</v>
      </c>
      <c r="K4160" t="s">
        <v>3838</v>
      </c>
      <c r="L4160" t="s">
        <v>3839</v>
      </c>
      <c r="M4160" t="s">
        <v>271</v>
      </c>
      <c r="N4160" t="s">
        <v>19491</v>
      </c>
      <c r="O4160" t="s">
        <v>3841</v>
      </c>
      <c r="P4160" t="s">
        <v>3842</v>
      </c>
      <c r="Q4160" t="s">
        <v>19492</v>
      </c>
      <c r="R4160">
        <v>13</v>
      </c>
      <c r="S4160">
        <v>16</v>
      </c>
    </row>
    <row r="4161" spans="1:19" x14ac:dyDescent="0.35">
      <c r="A4161">
        <v>5070</v>
      </c>
      <c r="B4161" t="s">
        <v>19510</v>
      </c>
      <c r="C4161" t="s">
        <v>42</v>
      </c>
      <c r="D4161" t="s">
        <v>19511</v>
      </c>
      <c r="E4161" t="e" cm="1">
        <f t="array" ref="E4161">- BETAMETHASONE DIPROPIONATE</f>
        <v>#NAME?</v>
      </c>
      <c r="F4161" t="s">
        <v>19512</v>
      </c>
      <c r="G4161" t="s">
        <v>19513</v>
      </c>
      <c r="H4161" t="s">
        <v>19514</v>
      </c>
      <c r="I4161" t="s">
        <v>19515</v>
      </c>
      <c r="J4161" t="s">
        <v>2049</v>
      </c>
      <c r="K4161" t="s">
        <v>19516</v>
      </c>
      <c r="L4161" t="s">
        <v>19517</v>
      </c>
      <c r="M4161" t="s">
        <v>1029</v>
      </c>
      <c r="N4161" t="s">
        <v>2685</v>
      </c>
      <c r="O4161" t="s">
        <v>19518</v>
      </c>
      <c r="P4161" t="s">
        <v>19519</v>
      </c>
      <c r="Q4161" t="s">
        <v>19520</v>
      </c>
      <c r="R4161">
        <v>13</v>
      </c>
      <c r="S4161">
        <v>16</v>
      </c>
    </row>
    <row r="4162" spans="1:19" x14ac:dyDescent="0.35">
      <c r="A4162">
        <v>1029</v>
      </c>
      <c r="B4162" t="s">
        <v>3832</v>
      </c>
      <c r="C4162" t="s">
        <v>42</v>
      </c>
      <c r="D4162" t="s">
        <v>3968</v>
      </c>
      <c r="E4162" t="e" cm="1">
        <f t="array" ref="E4162">- SUCCUS LIQUIRITIAE. AMMONIUM CHLORIDE. KOMBINASI-SOLUTIO AMMONIAE SPIRITUSA ANISATA</f>
        <v>#NAME?</v>
      </c>
      <c r="F4162" t="s">
        <v>3969</v>
      </c>
      <c r="G4162" t="s">
        <v>3970</v>
      </c>
      <c r="H4162" t="s">
        <v>3971</v>
      </c>
      <c r="I4162" t="s">
        <v>3972</v>
      </c>
      <c r="J4162" t="s">
        <v>374</v>
      </c>
      <c r="K4162" t="s">
        <v>3973</v>
      </c>
      <c r="L4162" t="s">
        <v>3974</v>
      </c>
      <c r="M4162" t="s">
        <v>271</v>
      </c>
      <c r="N4162" t="s">
        <v>19491</v>
      </c>
      <c r="O4162" t="s">
        <v>3841</v>
      </c>
      <c r="P4162" t="s">
        <v>3842</v>
      </c>
      <c r="Q4162" t="s">
        <v>19492</v>
      </c>
      <c r="R4162">
        <v>13</v>
      </c>
      <c r="S4162">
        <v>16</v>
      </c>
    </row>
    <row r="4163" spans="1:19" x14ac:dyDescent="0.35">
      <c r="A4163">
        <v>5071</v>
      </c>
      <c r="B4163" t="s">
        <v>19510</v>
      </c>
      <c r="C4163" t="s">
        <v>42</v>
      </c>
      <c r="D4163" t="s">
        <v>19511</v>
      </c>
      <c r="E4163" t="e" cm="1">
        <f t="array" ref="E4163">- BETAMETHASONE DIPROPIONATE</f>
        <v>#NAME?</v>
      </c>
      <c r="F4163" t="s">
        <v>19512</v>
      </c>
      <c r="G4163" t="s">
        <v>19513</v>
      </c>
      <c r="H4163" t="s">
        <v>19514</v>
      </c>
      <c r="I4163" t="s">
        <v>19515</v>
      </c>
      <c r="J4163" t="s">
        <v>2049</v>
      </c>
      <c r="K4163" t="s">
        <v>19516</v>
      </c>
      <c r="L4163" t="s">
        <v>19517</v>
      </c>
      <c r="M4163" t="s">
        <v>1029</v>
      </c>
      <c r="N4163" t="s">
        <v>2685</v>
      </c>
      <c r="O4163" t="s">
        <v>19518</v>
      </c>
      <c r="P4163" t="s">
        <v>19519</v>
      </c>
      <c r="Q4163" t="s">
        <v>19520</v>
      </c>
      <c r="R4163">
        <v>13</v>
      </c>
      <c r="S4163">
        <v>16</v>
      </c>
    </row>
    <row r="4164" spans="1:19" x14ac:dyDescent="0.35">
      <c r="A4164">
        <v>7774</v>
      </c>
      <c r="B4164" t="s">
        <v>7887</v>
      </c>
      <c r="C4164" t="s">
        <v>20</v>
      </c>
      <c r="D4164" t="s">
        <v>19521</v>
      </c>
      <c r="E4164" t="s">
        <v>7889</v>
      </c>
      <c r="F4164" t="s">
        <v>19522</v>
      </c>
      <c r="G4164" t="s">
        <v>2241</v>
      </c>
      <c r="H4164" t="s">
        <v>19523</v>
      </c>
      <c r="I4164" t="s">
        <v>5700</v>
      </c>
      <c r="J4164" t="s">
        <v>10694</v>
      </c>
      <c r="L4164" t="s">
        <v>19524</v>
      </c>
      <c r="M4164" t="s">
        <v>38</v>
      </c>
      <c r="N4164" t="s">
        <v>7894</v>
      </c>
      <c r="O4164" t="s">
        <v>5703</v>
      </c>
      <c r="P4164" t="s">
        <v>19525</v>
      </c>
      <c r="Q4164" t="s">
        <v>19526</v>
      </c>
      <c r="R4164">
        <v>13</v>
      </c>
      <c r="S4164">
        <v>16</v>
      </c>
    </row>
    <row r="4165" spans="1:19" x14ac:dyDescent="0.35">
      <c r="A4165">
        <v>441</v>
      </c>
      <c r="B4165" t="s">
        <v>19527</v>
      </c>
      <c r="C4165" t="s">
        <v>20</v>
      </c>
      <c r="D4165" t="s">
        <v>19528</v>
      </c>
      <c r="E4165" t="s">
        <v>19529</v>
      </c>
      <c r="F4165" t="s">
        <v>19530</v>
      </c>
      <c r="I4165" t="s">
        <v>19531</v>
      </c>
      <c r="J4165" t="s">
        <v>5788</v>
      </c>
      <c r="M4165" t="s">
        <v>38</v>
      </c>
      <c r="N4165" t="s">
        <v>19532</v>
      </c>
      <c r="O4165" t="s">
        <v>4551</v>
      </c>
      <c r="P4165" t="s">
        <v>19533</v>
      </c>
      <c r="Q4165" t="s">
        <v>19534</v>
      </c>
      <c r="R4165">
        <v>13</v>
      </c>
      <c r="S4165">
        <v>16</v>
      </c>
    </row>
    <row r="4166" spans="1:19" x14ac:dyDescent="0.35">
      <c r="A4166">
        <v>7775</v>
      </c>
      <c r="B4166" t="s">
        <v>7887</v>
      </c>
      <c r="C4166" t="s">
        <v>20</v>
      </c>
      <c r="D4166" t="s">
        <v>19535</v>
      </c>
      <c r="E4166" t="s">
        <v>7889</v>
      </c>
      <c r="F4166" t="s">
        <v>19536</v>
      </c>
      <c r="G4166" t="s">
        <v>2241</v>
      </c>
      <c r="H4166" t="s">
        <v>19537</v>
      </c>
      <c r="I4166" t="s">
        <v>5700</v>
      </c>
      <c r="J4166" t="s">
        <v>19538</v>
      </c>
      <c r="L4166" t="s">
        <v>19524</v>
      </c>
      <c r="M4166" t="s">
        <v>38</v>
      </c>
      <c r="N4166" t="s">
        <v>7894</v>
      </c>
      <c r="O4166" t="s">
        <v>5703</v>
      </c>
      <c r="P4166" t="s">
        <v>19525</v>
      </c>
      <c r="Q4166" t="s">
        <v>19526</v>
      </c>
      <c r="R4166">
        <v>13</v>
      </c>
      <c r="S4166">
        <v>16</v>
      </c>
    </row>
    <row r="4167" spans="1:19" x14ac:dyDescent="0.35">
      <c r="A4167">
        <v>442</v>
      </c>
      <c r="B4167" t="s">
        <v>19527</v>
      </c>
      <c r="C4167" t="s">
        <v>20</v>
      </c>
      <c r="D4167" t="s">
        <v>19528</v>
      </c>
      <c r="E4167" t="s">
        <v>19529</v>
      </c>
      <c r="F4167" t="s">
        <v>19530</v>
      </c>
      <c r="I4167" t="s">
        <v>19531</v>
      </c>
      <c r="J4167" t="s">
        <v>5788</v>
      </c>
      <c r="M4167" t="s">
        <v>38</v>
      </c>
      <c r="N4167" t="s">
        <v>19532</v>
      </c>
      <c r="O4167" t="s">
        <v>4551</v>
      </c>
      <c r="P4167" t="s">
        <v>19533</v>
      </c>
      <c r="Q4167" t="s">
        <v>19534</v>
      </c>
      <c r="R4167">
        <v>13</v>
      </c>
      <c r="S4167">
        <v>16</v>
      </c>
    </row>
    <row r="4168" spans="1:19" x14ac:dyDescent="0.35">
      <c r="A4168">
        <v>5075</v>
      </c>
      <c r="B4168" t="s">
        <v>19539</v>
      </c>
      <c r="C4168" t="s">
        <v>42</v>
      </c>
      <c r="D4168" t="s">
        <v>19540</v>
      </c>
      <c r="E4168" t="e" cm="1">
        <f t="array" ref="E4168">- MOMETASONE FUROATE</f>
        <v>#NAME?</v>
      </c>
      <c r="F4168" t="s">
        <v>19541</v>
      </c>
      <c r="G4168" t="s">
        <v>19542</v>
      </c>
      <c r="H4168" t="s">
        <v>6538</v>
      </c>
      <c r="I4168" t="s">
        <v>18183</v>
      </c>
      <c r="J4168" t="s">
        <v>19233</v>
      </c>
      <c r="K4168" t="s">
        <v>19543</v>
      </c>
      <c r="L4168" t="s">
        <v>19544</v>
      </c>
      <c r="M4168" t="s">
        <v>1289</v>
      </c>
      <c r="N4168" t="s">
        <v>13785</v>
      </c>
      <c r="O4168" t="s">
        <v>15772</v>
      </c>
      <c r="P4168" t="s">
        <v>19545</v>
      </c>
      <c r="Q4168" t="s">
        <v>19546</v>
      </c>
      <c r="R4168">
        <v>13</v>
      </c>
      <c r="S4168">
        <v>16</v>
      </c>
    </row>
    <row r="4169" spans="1:19" x14ac:dyDescent="0.35">
      <c r="A4169">
        <v>5088</v>
      </c>
      <c r="B4169" t="s">
        <v>19547</v>
      </c>
      <c r="C4169" t="s">
        <v>42</v>
      </c>
      <c r="D4169" t="s">
        <v>19548</v>
      </c>
      <c r="E4169" t="e" cm="1">
        <f t="array" ref="E4169">- FUSIDIC ACID. BETAMETHASONE DIPROPIONATE</f>
        <v>#NAME?</v>
      </c>
      <c r="F4169" t="s">
        <v>19549</v>
      </c>
      <c r="G4169" t="s">
        <v>19550</v>
      </c>
      <c r="H4169" t="s">
        <v>19551</v>
      </c>
      <c r="I4169" t="s">
        <v>19552</v>
      </c>
      <c r="J4169" t="s">
        <v>19553</v>
      </c>
      <c r="K4169" t="s">
        <v>19554</v>
      </c>
      <c r="L4169" t="s">
        <v>19555</v>
      </c>
      <c r="M4169" t="s">
        <v>1289</v>
      </c>
      <c r="N4169" t="s">
        <v>19556</v>
      </c>
      <c r="O4169" t="s">
        <v>19557</v>
      </c>
      <c r="P4169" t="s">
        <v>19558</v>
      </c>
      <c r="Q4169" t="s">
        <v>19559</v>
      </c>
      <c r="R4169">
        <v>13</v>
      </c>
      <c r="S4169">
        <v>16</v>
      </c>
    </row>
    <row r="4170" spans="1:19" x14ac:dyDescent="0.35">
      <c r="A4170">
        <v>5074</v>
      </c>
      <c r="B4170" t="s">
        <v>19539</v>
      </c>
      <c r="C4170" t="s">
        <v>42</v>
      </c>
      <c r="D4170" t="s">
        <v>19540</v>
      </c>
      <c r="E4170" t="e" cm="1">
        <f t="array" ref="E4170">- MOMETASONE FUROATE</f>
        <v>#NAME?</v>
      </c>
      <c r="F4170" t="s">
        <v>19541</v>
      </c>
      <c r="G4170" t="s">
        <v>19542</v>
      </c>
      <c r="H4170" t="s">
        <v>6538</v>
      </c>
      <c r="I4170" t="s">
        <v>18183</v>
      </c>
      <c r="J4170" t="s">
        <v>19233</v>
      </c>
      <c r="K4170" t="s">
        <v>19543</v>
      </c>
      <c r="L4170" t="s">
        <v>19544</v>
      </c>
      <c r="M4170" t="s">
        <v>1289</v>
      </c>
      <c r="N4170" t="s">
        <v>13785</v>
      </c>
      <c r="O4170" t="s">
        <v>15772</v>
      </c>
      <c r="P4170" t="s">
        <v>19545</v>
      </c>
      <c r="Q4170" t="s">
        <v>19546</v>
      </c>
      <c r="R4170">
        <v>13</v>
      </c>
      <c r="S4170">
        <v>16</v>
      </c>
    </row>
    <row r="4171" spans="1:19" x14ac:dyDescent="0.35">
      <c r="A4171">
        <v>4641</v>
      </c>
      <c r="B4171" t="s">
        <v>19493</v>
      </c>
      <c r="C4171" t="s">
        <v>42</v>
      </c>
      <c r="D4171" t="s">
        <v>19494</v>
      </c>
      <c r="E4171" t="e" cm="1">
        <f t="array" ref="E4171">- PHENYLEPHRINE HYDROCHLORIDE</f>
        <v>#NAME?</v>
      </c>
      <c r="F4171" t="s">
        <v>19495</v>
      </c>
      <c r="H4171" t="s">
        <v>19496</v>
      </c>
      <c r="I4171" t="s">
        <v>19497</v>
      </c>
      <c r="J4171" t="s">
        <v>4201</v>
      </c>
      <c r="L4171" t="s">
        <v>6318</v>
      </c>
      <c r="M4171" t="s">
        <v>824</v>
      </c>
      <c r="N4171" t="s">
        <v>19498</v>
      </c>
      <c r="O4171" t="s">
        <v>19499</v>
      </c>
      <c r="P4171" t="s">
        <v>19500</v>
      </c>
      <c r="Q4171" t="s">
        <v>19501</v>
      </c>
      <c r="R4171">
        <v>13</v>
      </c>
      <c r="S4171">
        <v>16</v>
      </c>
    </row>
    <row r="4172" spans="1:19" x14ac:dyDescent="0.35">
      <c r="A4172">
        <v>4642</v>
      </c>
      <c r="B4172" t="s">
        <v>19493</v>
      </c>
      <c r="C4172" t="s">
        <v>42</v>
      </c>
      <c r="D4172" t="s">
        <v>19494</v>
      </c>
      <c r="E4172" t="e" cm="1">
        <f t="array" ref="E4172">- PHENYLEPHRINE HYDROCHLORIDE</f>
        <v>#NAME?</v>
      </c>
      <c r="F4172" t="s">
        <v>19495</v>
      </c>
      <c r="H4172" t="s">
        <v>19496</v>
      </c>
      <c r="I4172" t="s">
        <v>19497</v>
      </c>
      <c r="J4172" t="s">
        <v>4201</v>
      </c>
      <c r="L4172" t="s">
        <v>6318</v>
      </c>
      <c r="M4172" t="s">
        <v>824</v>
      </c>
      <c r="N4172" t="s">
        <v>19498</v>
      </c>
      <c r="O4172" t="s">
        <v>19499</v>
      </c>
      <c r="P4172" t="s">
        <v>19500</v>
      </c>
      <c r="Q4172" t="s">
        <v>19501</v>
      </c>
      <c r="R4172">
        <v>13</v>
      </c>
      <c r="S4172">
        <v>16</v>
      </c>
    </row>
    <row r="4173" spans="1:19" x14ac:dyDescent="0.35">
      <c r="A4173">
        <v>4651</v>
      </c>
      <c r="B4173" t="s">
        <v>19493</v>
      </c>
      <c r="C4173" t="s">
        <v>42</v>
      </c>
      <c r="D4173" t="s">
        <v>19560</v>
      </c>
      <c r="E4173" t="e" cm="1">
        <f t="array" ref="E4173">- PHENYLEPHRINE HYDROCHLORIDE</f>
        <v>#NAME?</v>
      </c>
      <c r="F4173" t="s">
        <v>19561</v>
      </c>
      <c r="H4173" t="s">
        <v>19496</v>
      </c>
      <c r="I4173" t="s">
        <v>19497</v>
      </c>
      <c r="J4173" t="s">
        <v>11321</v>
      </c>
      <c r="L4173" t="s">
        <v>6318</v>
      </c>
      <c r="M4173" t="s">
        <v>824</v>
      </c>
      <c r="N4173" t="s">
        <v>19498</v>
      </c>
      <c r="O4173" t="s">
        <v>19499</v>
      </c>
      <c r="P4173" t="s">
        <v>19500</v>
      </c>
      <c r="Q4173" t="s">
        <v>19501</v>
      </c>
      <c r="R4173">
        <v>13</v>
      </c>
      <c r="S4173">
        <v>16</v>
      </c>
    </row>
    <row r="4174" spans="1:19" x14ac:dyDescent="0.35">
      <c r="A4174">
        <v>4324</v>
      </c>
      <c r="B4174" t="s">
        <v>19562</v>
      </c>
      <c r="C4174" t="s">
        <v>850</v>
      </c>
      <c r="D4174" t="s">
        <v>19563</v>
      </c>
      <c r="E4174" t="e" cm="1">
        <f t="array" ref="E4174">- Acidum Benzoicum</f>
        <v>#NAME?</v>
      </c>
      <c r="F4174" t="s">
        <v>19564</v>
      </c>
      <c r="G4174" t="s">
        <v>19565</v>
      </c>
      <c r="H4174" t="s">
        <v>19566</v>
      </c>
      <c r="I4174" t="s">
        <v>19567</v>
      </c>
      <c r="J4174" t="s">
        <v>19568</v>
      </c>
      <c r="N4174" t="s">
        <v>19569</v>
      </c>
      <c r="O4174" t="s">
        <v>19570</v>
      </c>
      <c r="P4174" t="s">
        <v>19571</v>
      </c>
      <c r="Q4174" t="s">
        <v>19572</v>
      </c>
      <c r="R4174">
        <v>13</v>
      </c>
      <c r="S4174">
        <v>16</v>
      </c>
    </row>
    <row r="4175" spans="1:19" x14ac:dyDescent="0.35">
      <c r="A4175">
        <v>7929</v>
      </c>
      <c r="B4175" t="s">
        <v>19573</v>
      </c>
      <c r="C4175" t="s">
        <v>20</v>
      </c>
      <c r="D4175" t="s">
        <v>19574</v>
      </c>
      <c r="E4175" t="s">
        <v>19358</v>
      </c>
      <c r="F4175" t="s">
        <v>19575</v>
      </c>
      <c r="H4175" t="s">
        <v>19576</v>
      </c>
      <c r="I4175" t="s">
        <v>19360</v>
      </c>
      <c r="J4175" t="s">
        <v>16528</v>
      </c>
      <c r="M4175" t="s">
        <v>38</v>
      </c>
      <c r="N4175" t="s">
        <v>19362</v>
      </c>
      <c r="O4175" t="s">
        <v>19363</v>
      </c>
      <c r="P4175" t="s">
        <v>19364</v>
      </c>
      <c r="Q4175" t="s">
        <v>19365</v>
      </c>
      <c r="R4175">
        <v>13</v>
      </c>
      <c r="S4175">
        <v>16</v>
      </c>
    </row>
    <row r="4176" spans="1:19" x14ac:dyDescent="0.35">
      <c r="A4176">
        <v>6809</v>
      </c>
      <c r="B4176" t="s">
        <v>19577</v>
      </c>
      <c r="C4176" t="s">
        <v>42</v>
      </c>
      <c r="D4176" t="s">
        <v>19578</v>
      </c>
      <c r="E4176" t="e" cm="1">
        <f t="array" ref="E4176">- COLCHICINE</f>
        <v>#NAME?</v>
      </c>
      <c r="F4176" s="1">
        <v>0</v>
      </c>
      <c r="G4176" t="s">
        <v>2241</v>
      </c>
      <c r="H4176" t="s">
        <v>19579</v>
      </c>
      <c r="I4176" t="s">
        <v>18704</v>
      </c>
      <c r="J4176" t="s">
        <v>599</v>
      </c>
      <c r="L4176" t="s">
        <v>19580</v>
      </c>
    </row>
    <row r="4177" spans="1:19" x14ac:dyDescent="0.35">
      <c r="A4177">
        <v>6882</v>
      </c>
      <c r="B4177" t="s">
        <v>19581</v>
      </c>
      <c r="C4177" t="s">
        <v>850</v>
      </c>
      <c r="D4177" t="s">
        <v>19582</v>
      </c>
      <c r="E4177" t="e" cm="1">
        <f t="array" ref="E4177">- eugenol</f>
        <v>#NAME?</v>
      </c>
      <c r="F4177" t="s">
        <v>19583</v>
      </c>
      <c r="G4177" t="s">
        <v>19584</v>
      </c>
      <c r="H4177" t="s">
        <v>19585</v>
      </c>
      <c r="I4177" t="s">
        <v>19586</v>
      </c>
      <c r="J4177" t="s">
        <v>19587</v>
      </c>
      <c r="L4177" t="s">
        <v>19588</v>
      </c>
      <c r="M4177" t="s">
        <v>1289</v>
      </c>
      <c r="N4177" t="s">
        <v>19589</v>
      </c>
      <c r="O4177" t="s">
        <v>19590</v>
      </c>
      <c r="P4177" t="s">
        <v>19591</v>
      </c>
      <c r="Q4177" t="s">
        <v>19592</v>
      </c>
      <c r="R4177">
        <v>13</v>
      </c>
      <c r="S4177">
        <v>16</v>
      </c>
    </row>
    <row r="4178" spans="1:19" x14ac:dyDescent="0.35">
      <c r="A4178">
        <v>5910</v>
      </c>
      <c r="B4178" t="s">
        <v>19593</v>
      </c>
      <c r="C4178" t="s">
        <v>42</v>
      </c>
      <c r="D4178" t="s">
        <v>19594</v>
      </c>
      <c r="E4178" t="e" cm="1">
        <f t="array" ref="E4178">- CEFALEXIN MONOHYDRATE</f>
        <v>#NAME?</v>
      </c>
      <c r="F4178" t="s">
        <v>19595</v>
      </c>
      <c r="G4178" t="s">
        <v>19596</v>
      </c>
      <c r="H4178" t="s">
        <v>19597</v>
      </c>
      <c r="I4178" t="s">
        <v>19598</v>
      </c>
      <c r="J4178" t="s">
        <v>334</v>
      </c>
      <c r="K4178" t="s">
        <v>19599</v>
      </c>
      <c r="L4178" t="s">
        <v>19600</v>
      </c>
      <c r="M4178" t="s">
        <v>271</v>
      </c>
      <c r="N4178" t="s">
        <v>19601</v>
      </c>
      <c r="O4178" t="s">
        <v>19602</v>
      </c>
      <c r="P4178" t="s">
        <v>19603</v>
      </c>
      <c r="Q4178" t="s">
        <v>19604</v>
      </c>
      <c r="R4178">
        <v>13</v>
      </c>
      <c r="S4178">
        <v>16</v>
      </c>
    </row>
    <row r="4179" spans="1:19" x14ac:dyDescent="0.35">
      <c r="A4179">
        <v>5909</v>
      </c>
      <c r="B4179" t="s">
        <v>19593</v>
      </c>
      <c r="C4179" t="s">
        <v>42</v>
      </c>
      <c r="D4179" t="s">
        <v>19594</v>
      </c>
      <c r="E4179" t="e" cm="1">
        <f t="array" ref="E4179">- CEFALEXIN MONOHYDRATE</f>
        <v>#NAME?</v>
      </c>
      <c r="F4179" t="s">
        <v>19595</v>
      </c>
      <c r="G4179" t="s">
        <v>19596</v>
      </c>
      <c r="H4179" t="s">
        <v>19597</v>
      </c>
      <c r="I4179" t="s">
        <v>19598</v>
      </c>
      <c r="J4179" t="s">
        <v>334</v>
      </c>
      <c r="K4179" t="s">
        <v>19599</v>
      </c>
      <c r="L4179" t="s">
        <v>19600</v>
      </c>
      <c r="M4179" t="s">
        <v>271</v>
      </c>
      <c r="N4179" t="s">
        <v>19601</v>
      </c>
      <c r="O4179" t="s">
        <v>19602</v>
      </c>
      <c r="P4179" t="s">
        <v>19603</v>
      </c>
      <c r="Q4179" t="s">
        <v>19604</v>
      </c>
      <c r="R4179">
        <v>13</v>
      </c>
      <c r="S4179">
        <v>16</v>
      </c>
    </row>
    <row r="4180" spans="1:19" x14ac:dyDescent="0.35">
      <c r="A4180">
        <v>5908</v>
      </c>
      <c r="B4180" t="s">
        <v>19605</v>
      </c>
      <c r="C4180" t="s">
        <v>42</v>
      </c>
      <c r="D4180" t="s">
        <v>19606</v>
      </c>
      <c r="E4180" t="e" cm="1">
        <f t="array" ref="E4180">- CEFALEXIN MONOHYDRATE</f>
        <v>#NAME?</v>
      </c>
      <c r="F4180" t="s">
        <v>19607</v>
      </c>
      <c r="G4180" t="s">
        <v>2855</v>
      </c>
      <c r="H4180" t="s">
        <v>19608</v>
      </c>
      <c r="I4180" t="s">
        <v>19598</v>
      </c>
      <c r="J4180" t="s">
        <v>9961</v>
      </c>
      <c r="L4180" t="s">
        <v>19609</v>
      </c>
      <c r="M4180" t="s">
        <v>38</v>
      </c>
      <c r="N4180" t="s">
        <v>19601</v>
      </c>
      <c r="O4180" t="s">
        <v>19602</v>
      </c>
      <c r="P4180" t="s">
        <v>19603</v>
      </c>
      <c r="Q4180" t="s">
        <v>19610</v>
      </c>
      <c r="R4180">
        <v>13</v>
      </c>
      <c r="S4180">
        <v>16</v>
      </c>
    </row>
    <row r="4181" spans="1:19" x14ac:dyDescent="0.35">
      <c r="A4181">
        <v>5030</v>
      </c>
      <c r="B4181" t="s">
        <v>19611</v>
      </c>
      <c r="C4181" t="s">
        <v>42</v>
      </c>
      <c r="D4181" t="s">
        <v>19612</v>
      </c>
      <c r="E4181" t="e" cm="1">
        <f t="array" ref="E4181">- MOMETASONE FUROATE</f>
        <v>#NAME?</v>
      </c>
      <c r="F4181" t="s">
        <v>19613</v>
      </c>
      <c r="G4181" t="s">
        <v>19614</v>
      </c>
      <c r="H4181" t="s">
        <v>6538</v>
      </c>
      <c r="I4181" t="s">
        <v>19615</v>
      </c>
      <c r="J4181" t="s">
        <v>2049</v>
      </c>
      <c r="K4181" t="s">
        <v>19616</v>
      </c>
      <c r="L4181" t="s">
        <v>19617</v>
      </c>
      <c r="M4181" t="s">
        <v>1289</v>
      </c>
      <c r="N4181" t="s">
        <v>13785</v>
      </c>
      <c r="O4181" t="s">
        <v>19618</v>
      </c>
      <c r="P4181" t="s">
        <v>19619</v>
      </c>
      <c r="Q4181" t="s">
        <v>19620</v>
      </c>
      <c r="R4181">
        <v>13</v>
      </c>
      <c r="S4181">
        <v>16</v>
      </c>
    </row>
    <row r="4182" spans="1:19" x14ac:dyDescent="0.35">
      <c r="A4182">
        <v>5031</v>
      </c>
      <c r="B4182" t="s">
        <v>19611</v>
      </c>
      <c r="C4182" t="s">
        <v>42</v>
      </c>
      <c r="D4182" t="s">
        <v>19612</v>
      </c>
      <c r="E4182" t="e" cm="1">
        <f t="array" ref="E4182">- MOMETASONE FUROATE</f>
        <v>#NAME?</v>
      </c>
      <c r="F4182" t="s">
        <v>19613</v>
      </c>
      <c r="G4182" t="s">
        <v>19614</v>
      </c>
      <c r="H4182" t="s">
        <v>6538</v>
      </c>
      <c r="I4182" t="s">
        <v>19615</v>
      </c>
      <c r="J4182" t="s">
        <v>2049</v>
      </c>
      <c r="K4182" t="s">
        <v>19616</v>
      </c>
      <c r="L4182" t="s">
        <v>19617</v>
      </c>
      <c r="M4182" t="s">
        <v>1289</v>
      </c>
      <c r="N4182" t="s">
        <v>13785</v>
      </c>
      <c r="O4182" t="s">
        <v>19618</v>
      </c>
      <c r="P4182" t="s">
        <v>19619</v>
      </c>
      <c r="Q4182" t="s">
        <v>19620</v>
      </c>
      <c r="R4182">
        <v>13</v>
      </c>
      <c r="S4182">
        <v>16</v>
      </c>
    </row>
    <row r="4183" spans="1:19" x14ac:dyDescent="0.35">
      <c r="A4183">
        <v>4653</v>
      </c>
      <c r="B4183" t="s">
        <v>19493</v>
      </c>
      <c r="C4183" t="s">
        <v>42</v>
      </c>
      <c r="D4183" t="s">
        <v>19560</v>
      </c>
      <c r="E4183" t="e" cm="1">
        <f t="array" ref="E4183">- PHENYLEPHRINE HYDROCHLORIDE</f>
        <v>#NAME?</v>
      </c>
      <c r="F4183" t="s">
        <v>19561</v>
      </c>
      <c r="H4183" t="s">
        <v>19496</v>
      </c>
      <c r="I4183" t="s">
        <v>19497</v>
      </c>
      <c r="J4183" t="s">
        <v>11321</v>
      </c>
      <c r="L4183" t="s">
        <v>6318</v>
      </c>
      <c r="M4183" t="s">
        <v>824</v>
      </c>
      <c r="N4183" t="s">
        <v>19498</v>
      </c>
      <c r="O4183" t="s">
        <v>19499</v>
      </c>
      <c r="P4183" t="s">
        <v>19500</v>
      </c>
      <c r="Q4183" t="s">
        <v>19501</v>
      </c>
      <c r="R4183">
        <v>13</v>
      </c>
      <c r="S4183">
        <v>16</v>
      </c>
    </row>
    <row r="4184" spans="1:19" x14ac:dyDescent="0.35">
      <c r="A4184">
        <v>5891</v>
      </c>
      <c r="B4184" t="s">
        <v>19621</v>
      </c>
      <c r="C4184" t="s">
        <v>42</v>
      </c>
      <c r="D4184" t="s">
        <v>19622</v>
      </c>
      <c r="E4184" t="e" cm="1">
        <f t="array" ref="E4184">- AMOXICILLIN TRIHYDRATE</f>
        <v>#NAME?</v>
      </c>
      <c r="F4184" t="s">
        <v>19623</v>
      </c>
      <c r="H4184" t="s">
        <v>19624</v>
      </c>
      <c r="I4184" t="s">
        <v>19625</v>
      </c>
      <c r="J4184" t="s">
        <v>334</v>
      </c>
      <c r="L4184" t="s">
        <v>321</v>
      </c>
      <c r="M4184" t="s">
        <v>271</v>
      </c>
      <c r="N4184" t="s">
        <v>1523</v>
      </c>
      <c r="O4184" t="s">
        <v>19626</v>
      </c>
      <c r="P4184" t="s">
        <v>2095</v>
      </c>
      <c r="Q4184" t="s">
        <v>19627</v>
      </c>
      <c r="R4184">
        <v>13</v>
      </c>
      <c r="S4184">
        <v>16</v>
      </c>
    </row>
    <row r="4185" spans="1:19" x14ac:dyDescent="0.35">
      <c r="A4185">
        <v>1034</v>
      </c>
      <c r="B4185" t="s">
        <v>6281</v>
      </c>
      <c r="C4185" t="s">
        <v>42</v>
      </c>
      <c r="D4185" t="s">
        <v>6282</v>
      </c>
      <c r="E4185" t="e" cm="1">
        <f t="array" ref="E4185">- LIQUORICE ESSENCE. PIPAZETATE HYDROCHLORIDE. ISOTHIPENDYL HYDROCHLORIDE. GUAIFENESIN</f>
        <v>#NAME?</v>
      </c>
      <c r="F4185" t="s">
        <v>6283</v>
      </c>
      <c r="G4185" t="s">
        <v>60</v>
      </c>
      <c r="H4185" t="s">
        <v>6284</v>
      </c>
      <c r="I4185" t="s">
        <v>6285</v>
      </c>
      <c r="J4185" t="s">
        <v>374</v>
      </c>
      <c r="K4185" t="s">
        <v>6286</v>
      </c>
      <c r="L4185" t="s">
        <v>6287</v>
      </c>
      <c r="M4185" t="s">
        <v>271</v>
      </c>
      <c r="N4185" t="s">
        <v>19628</v>
      </c>
      <c r="O4185" t="s">
        <v>6288</v>
      </c>
      <c r="P4185" t="s">
        <v>6289</v>
      </c>
      <c r="Q4185" t="s">
        <v>19629</v>
      </c>
      <c r="R4185">
        <v>13</v>
      </c>
      <c r="S4185">
        <v>16</v>
      </c>
    </row>
    <row r="4186" spans="1:19" x14ac:dyDescent="0.35">
      <c r="A4186">
        <v>4652</v>
      </c>
      <c r="B4186" t="s">
        <v>19493</v>
      </c>
      <c r="C4186" t="s">
        <v>42</v>
      </c>
      <c r="D4186" t="s">
        <v>19560</v>
      </c>
      <c r="E4186" t="e" cm="1">
        <f t="array" ref="E4186">- PHENYLEPHRINE HYDROCHLORIDE</f>
        <v>#NAME?</v>
      </c>
      <c r="F4186" t="s">
        <v>19561</v>
      </c>
      <c r="H4186" t="s">
        <v>19496</v>
      </c>
      <c r="I4186" t="s">
        <v>19497</v>
      </c>
      <c r="J4186" t="s">
        <v>11321</v>
      </c>
      <c r="L4186" t="s">
        <v>6318</v>
      </c>
      <c r="M4186" t="s">
        <v>824</v>
      </c>
      <c r="N4186" t="s">
        <v>19498</v>
      </c>
      <c r="O4186" t="s">
        <v>19499</v>
      </c>
      <c r="P4186" t="s">
        <v>19500</v>
      </c>
      <c r="Q4186" t="s">
        <v>19501</v>
      </c>
      <c r="R4186">
        <v>13</v>
      </c>
      <c r="S4186">
        <v>16</v>
      </c>
    </row>
    <row r="4187" spans="1:19" x14ac:dyDescent="0.35">
      <c r="A4187">
        <v>5866</v>
      </c>
      <c r="B4187" t="s">
        <v>19630</v>
      </c>
      <c r="C4187" t="s">
        <v>42</v>
      </c>
      <c r="D4187" t="s">
        <v>19631</v>
      </c>
      <c r="E4187" t="e" cm="1">
        <f t="array" ref="E4187">- ETHAMBUTOL HYDROCHLORIDE</f>
        <v>#NAME?</v>
      </c>
      <c r="F4187" t="s">
        <v>19632</v>
      </c>
      <c r="G4187" t="s">
        <v>2241</v>
      </c>
      <c r="H4187" t="s">
        <v>19633</v>
      </c>
      <c r="I4187" t="s">
        <v>19634</v>
      </c>
    </row>
    <row r="4188" spans="1:19" x14ac:dyDescent="0.35">
      <c r="A4188">
        <v>5865</v>
      </c>
      <c r="B4188" t="s">
        <v>19630</v>
      </c>
      <c r="C4188" t="s">
        <v>42</v>
      </c>
      <c r="D4188" t="s">
        <v>19631</v>
      </c>
      <c r="E4188" t="e" cm="1">
        <f t="array" ref="E4188">- ETHAMBUTOL HYDROCHLORIDE</f>
        <v>#NAME?</v>
      </c>
      <c r="F4188" t="s">
        <v>19632</v>
      </c>
      <c r="G4188" t="s">
        <v>2241</v>
      </c>
      <c r="H4188" t="s">
        <v>19633</v>
      </c>
      <c r="I4188" t="s">
        <v>19634</v>
      </c>
    </row>
    <row r="4189" spans="1:19" x14ac:dyDescent="0.35">
      <c r="A4189">
        <v>7777</v>
      </c>
      <c r="B4189" t="s">
        <v>7887</v>
      </c>
      <c r="C4189" t="s">
        <v>20</v>
      </c>
      <c r="D4189" t="s">
        <v>19635</v>
      </c>
      <c r="E4189" t="s">
        <v>7889</v>
      </c>
      <c r="F4189" t="s">
        <v>19636</v>
      </c>
      <c r="G4189" t="s">
        <v>2241</v>
      </c>
      <c r="H4189" t="s">
        <v>19537</v>
      </c>
      <c r="I4189" t="s">
        <v>5700</v>
      </c>
      <c r="J4189" t="s">
        <v>3812</v>
      </c>
      <c r="L4189" t="s">
        <v>19524</v>
      </c>
      <c r="M4189" t="s">
        <v>38</v>
      </c>
      <c r="N4189" t="s">
        <v>7894</v>
      </c>
      <c r="O4189" t="s">
        <v>5703</v>
      </c>
      <c r="P4189" t="s">
        <v>19525</v>
      </c>
      <c r="Q4189" t="s">
        <v>19526</v>
      </c>
      <c r="R4189">
        <v>13</v>
      </c>
      <c r="S4189">
        <v>16</v>
      </c>
    </row>
    <row r="4190" spans="1:19" x14ac:dyDescent="0.35">
      <c r="A4190">
        <v>926</v>
      </c>
      <c r="B4190" t="s">
        <v>19637</v>
      </c>
      <c r="C4190" t="s">
        <v>42</v>
      </c>
      <c r="D4190" t="s">
        <v>19638</v>
      </c>
      <c r="E4190" t="e" cm="1">
        <f t="array" ref="E4190">- OXOMEMAZINE. GUAIFENESIN</f>
        <v>#NAME?</v>
      </c>
      <c r="F4190" t="s">
        <v>19639</v>
      </c>
      <c r="G4190" t="s">
        <v>19640</v>
      </c>
      <c r="H4190" t="s">
        <v>19641</v>
      </c>
      <c r="I4190" t="s">
        <v>14365</v>
      </c>
      <c r="J4190" t="s">
        <v>334</v>
      </c>
      <c r="K4190" t="s">
        <v>19642</v>
      </c>
      <c r="L4190" t="s">
        <v>19643</v>
      </c>
      <c r="M4190" t="s">
        <v>271</v>
      </c>
      <c r="N4190" t="s">
        <v>10568</v>
      </c>
      <c r="O4190" t="s">
        <v>14368</v>
      </c>
      <c r="P4190" t="s">
        <v>19644</v>
      </c>
      <c r="Q4190" t="s">
        <v>19645</v>
      </c>
      <c r="R4190">
        <v>13</v>
      </c>
      <c r="S4190">
        <v>16</v>
      </c>
    </row>
    <row r="4191" spans="1:19" x14ac:dyDescent="0.35">
      <c r="A4191">
        <v>5780</v>
      </c>
      <c r="B4191" t="s">
        <v>19646</v>
      </c>
      <c r="C4191" t="s">
        <v>42</v>
      </c>
      <c r="D4191" t="s">
        <v>19647</v>
      </c>
      <c r="E4191" t="e" cm="1">
        <f t="array" ref="E4191">- ISONIAZID</f>
        <v>#NAME?</v>
      </c>
      <c r="F4191" t="s">
        <v>19648</v>
      </c>
      <c r="G4191" t="s">
        <v>19649</v>
      </c>
      <c r="H4191" t="s">
        <v>19650</v>
      </c>
      <c r="I4191" t="s">
        <v>19651</v>
      </c>
      <c r="J4191" t="s">
        <v>1093</v>
      </c>
      <c r="K4191" t="s">
        <v>19652</v>
      </c>
      <c r="L4191" t="s">
        <v>19653</v>
      </c>
      <c r="M4191" t="s">
        <v>46</v>
      </c>
      <c r="N4191" t="s">
        <v>1699</v>
      </c>
      <c r="O4191" t="s">
        <v>19654</v>
      </c>
      <c r="P4191" t="s">
        <v>19655</v>
      </c>
      <c r="Q4191" t="s">
        <v>19656</v>
      </c>
      <c r="R4191">
        <v>13</v>
      </c>
      <c r="S4191">
        <v>16</v>
      </c>
    </row>
    <row r="4192" spans="1:19" x14ac:dyDescent="0.35">
      <c r="A4192">
        <v>5110</v>
      </c>
      <c r="B4192" t="s">
        <v>19657</v>
      </c>
      <c r="C4192" t="s">
        <v>42</v>
      </c>
      <c r="D4192" t="s">
        <v>19658</v>
      </c>
      <c r="E4192" t="e" cm="1">
        <f t="array" ref="E4192">- FLUTICASONE PROPIONAT</f>
        <v>#NAME?</v>
      </c>
      <c r="F4192" t="s">
        <v>19659</v>
      </c>
      <c r="G4192" t="s">
        <v>17127</v>
      </c>
      <c r="H4192" t="s">
        <v>19660</v>
      </c>
      <c r="I4192" t="s">
        <v>19661</v>
      </c>
      <c r="J4192" t="s">
        <v>1367</v>
      </c>
      <c r="K4192" t="s">
        <v>19662</v>
      </c>
      <c r="L4192" t="s">
        <v>19663</v>
      </c>
      <c r="M4192" t="s">
        <v>1289</v>
      </c>
      <c r="N4192" t="s">
        <v>3457</v>
      </c>
      <c r="O4192" t="s">
        <v>19664</v>
      </c>
      <c r="P4192" t="s">
        <v>19665</v>
      </c>
      <c r="Q4192" t="s">
        <v>19666</v>
      </c>
      <c r="R4192">
        <v>13</v>
      </c>
      <c r="S4192">
        <v>16</v>
      </c>
    </row>
    <row r="4193" spans="1:19" x14ac:dyDescent="0.35">
      <c r="A4193">
        <v>7788</v>
      </c>
      <c r="B4193" t="s">
        <v>19667</v>
      </c>
      <c r="C4193" t="s">
        <v>20</v>
      </c>
      <c r="D4193" t="s">
        <v>19668</v>
      </c>
      <c r="E4193" t="s">
        <v>19669</v>
      </c>
      <c r="F4193" t="s">
        <v>19670</v>
      </c>
      <c r="I4193" t="s">
        <v>5700</v>
      </c>
      <c r="J4193" t="s">
        <v>2757</v>
      </c>
      <c r="M4193" t="s">
        <v>291</v>
      </c>
      <c r="N4193" t="s">
        <v>19671</v>
      </c>
      <c r="O4193" t="s">
        <v>5703</v>
      </c>
      <c r="P4193" t="s">
        <v>19672</v>
      </c>
      <c r="Q4193" t="s">
        <v>19673</v>
      </c>
      <c r="R4193">
        <v>13</v>
      </c>
      <c r="S4193">
        <v>16</v>
      </c>
    </row>
    <row r="4194" spans="1:19" x14ac:dyDescent="0.35">
      <c r="A4194">
        <v>4429</v>
      </c>
      <c r="B4194" t="s">
        <v>15339</v>
      </c>
      <c r="C4194" t="s">
        <v>42</v>
      </c>
      <c r="D4194" t="s">
        <v>15340</v>
      </c>
      <c r="E4194" t="e" cm="1">
        <f t="array" ref="E4194">- DEQUALINIUM CHLORIDE. ASCORBIC ACID</f>
        <v>#NAME?</v>
      </c>
      <c r="F4194" t="s">
        <v>15341</v>
      </c>
      <c r="G4194" t="s">
        <v>15342</v>
      </c>
      <c r="H4194" t="s">
        <v>15343</v>
      </c>
      <c r="I4194" t="s">
        <v>15344</v>
      </c>
      <c r="J4194" t="s">
        <v>15345</v>
      </c>
      <c r="K4194" t="s">
        <v>15346</v>
      </c>
      <c r="L4194" t="s">
        <v>15347</v>
      </c>
      <c r="M4194" t="s">
        <v>46</v>
      </c>
      <c r="N4194" t="s">
        <v>19674</v>
      </c>
      <c r="O4194" t="s">
        <v>15349</v>
      </c>
      <c r="P4194" t="s">
        <v>15350</v>
      </c>
      <c r="Q4194" t="s">
        <v>19675</v>
      </c>
      <c r="R4194">
        <v>13</v>
      </c>
      <c r="S4194">
        <v>16</v>
      </c>
    </row>
    <row r="4195" spans="1:19" x14ac:dyDescent="0.35">
      <c r="A4195">
        <v>7057</v>
      </c>
      <c r="B4195" t="s">
        <v>1803</v>
      </c>
      <c r="C4195" t="s">
        <v>42</v>
      </c>
      <c r="D4195" t="s">
        <v>19676</v>
      </c>
      <c r="E4195" t="e" cm="1">
        <f t="array" ref="E4195">- TIZANIDINE HYDROCHLORIDE</f>
        <v>#NAME?</v>
      </c>
      <c r="F4195" t="s">
        <v>19677</v>
      </c>
      <c r="G4195" t="s">
        <v>14025</v>
      </c>
      <c r="I4195" t="s">
        <v>14026</v>
      </c>
      <c r="J4195" t="s">
        <v>19678</v>
      </c>
      <c r="M4195" t="s">
        <v>46</v>
      </c>
      <c r="N4195" t="s">
        <v>1806</v>
      </c>
      <c r="O4195" t="s">
        <v>14028</v>
      </c>
      <c r="P4195" t="s">
        <v>19679</v>
      </c>
      <c r="Q4195" t="s">
        <v>19680</v>
      </c>
      <c r="R4195">
        <v>13</v>
      </c>
      <c r="S4195">
        <v>16</v>
      </c>
    </row>
    <row r="4196" spans="1:19" x14ac:dyDescent="0.35">
      <c r="A4196">
        <v>7058</v>
      </c>
      <c r="B4196" t="s">
        <v>1803</v>
      </c>
      <c r="C4196" t="s">
        <v>42</v>
      </c>
      <c r="D4196" t="s">
        <v>19676</v>
      </c>
      <c r="E4196" t="e" cm="1">
        <f t="array" ref="E4196">- TIZANIDINE HYDROCHLORIDE</f>
        <v>#NAME?</v>
      </c>
      <c r="F4196" t="s">
        <v>19677</v>
      </c>
      <c r="G4196" t="s">
        <v>14025</v>
      </c>
      <c r="I4196" t="s">
        <v>14026</v>
      </c>
      <c r="J4196" t="s">
        <v>19678</v>
      </c>
      <c r="M4196" t="s">
        <v>46</v>
      </c>
      <c r="N4196" t="s">
        <v>1806</v>
      </c>
      <c r="O4196" t="s">
        <v>14028</v>
      </c>
      <c r="P4196" t="s">
        <v>19679</v>
      </c>
      <c r="Q4196" t="s">
        <v>19680</v>
      </c>
      <c r="R4196">
        <v>13</v>
      </c>
      <c r="S4196">
        <v>16</v>
      </c>
    </row>
    <row r="4197" spans="1:19" x14ac:dyDescent="0.35">
      <c r="A4197">
        <v>5679</v>
      </c>
      <c r="B4197" t="s">
        <v>19681</v>
      </c>
      <c r="C4197" t="s">
        <v>42</v>
      </c>
      <c r="D4197" t="s">
        <v>19682</v>
      </c>
      <c r="E4197" t="e" cm="1">
        <f t="array" ref="E4197">- TETRACYCLINE HYDROCHLORIDE</f>
        <v>#NAME?</v>
      </c>
      <c r="F4197" t="s">
        <v>19683</v>
      </c>
      <c r="G4197" t="s">
        <v>19684</v>
      </c>
      <c r="H4197" t="s">
        <v>19685</v>
      </c>
      <c r="I4197" t="s">
        <v>19686</v>
      </c>
      <c r="J4197" t="s">
        <v>810</v>
      </c>
      <c r="K4197" t="s">
        <v>19687</v>
      </c>
      <c r="L4197" t="s">
        <v>19688</v>
      </c>
      <c r="M4197" t="s">
        <v>38</v>
      </c>
      <c r="N4197" t="s">
        <v>3156</v>
      </c>
      <c r="O4197" t="s">
        <v>19689</v>
      </c>
      <c r="P4197" t="s">
        <v>19690</v>
      </c>
      <c r="Q4197" t="s">
        <v>19691</v>
      </c>
      <c r="R4197">
        <v>13</v>
      </c>
      <c r="S4197">
        <v>16</v>
      </c>
    </row>
    <row r="4198" spans="1:19" x14ac:dyDescent="0.35">
      <c r="A4198">
        <v>7880</v>
      </c>
      <c r="B4198" t="s">
        <v>19692</v>
      </c>
      <c r="C4198" t="s">
        <v>20</v>
      </c>
      <c r="D4198" t="s">
        <v>19693</v>
      </c>
      <c r="E4198" t="s">
        <v>19694</v>
      </c>
      <c r="F4198" t="s">
        <v>19695</v>
      </c>
      <c r="I4198" t="s">
        <v>19696</v>
      </c>
      <c r="J4198" t="s">
        <v>2013</v>
      </c>
      <c r="M4198" t="s">
        <v>38</v>
      </c>
      <c r="N4198" t="s">
        <v>19697</v>
      </c>
      <c r="O4198" t="s">
        <v>19698</v>
      </c>
      <c r="P4198" t="s">
        <v>19699</v>
      </c>
      <c r="Q4198" t="s">
        <v>19700</v>
      </c>
      <c r="R4198">
        <v>13</v>
      </c>
      <c r="S4198">
        <v>16</v>
      </c>
    </row>
    <row r="4199" spans="1:19" x14ac:dyDescent="0.35">
      <c r="A4199">
        <v>4438</v>
      </c>
      <c r="B4199" t="s">
        <v>19701</v>
      </c>
      <c r="C4199" t="s">
        <v>20</v>
      </c>
      <c r="D4199" t="s">
        <v>19702</v>
      </c>
      <c r="E4199" t="s">
        <v>19703</v>
      </c>
      <c r="F4199" t="s">
        <v>3308</v>
      </c>
      <c r="G4199" t="s">
        <v>19704</v>
      </c>
      <c r="H4199" t="s">
        <v>19705</v>
      </c>
      <c r="I4199" t="s">
        <v>10061</v>
      </c>
      <c r="J4199" t="s">
        <v>19706</v>
      </c>
      <c r="K4199" t="s">
        <v>19707</v>
      </c>
      <c r="L4199" t="s">
        <v>19708</v>
      </c>
      <c r="M4199" t="s">
        <v>46</v>
      </c>
      <c r="N4199" t="s">
        <v>19709</v>
      </c>
      <c r="O4199" t="s">
        <v>10063</v>
      </c>
      <c r="P4199" t="s">
        <v>19710</v>
      </c>
      <c r="Q4199" t="s">
        <v>19711</v>
      </c>
      <c r="R4199">
        <v>13</v>
      </c>
      <c r="S4199">
        <v>16</v>
      </c>
    </row>
    <row r="4200" spans="1:19" x14ac:dyDescent="0.35">
      <c r="A4200">
        <v>7084</v>
      </c>
      <c r="B4200" t="s">
        <v>7954</v>
      </c>
      <c r="C4200" t="s">
        <v>850</v>
      </c>
      <c r="D4200" t="s">
        <v>19712</v>
      </c>
      <c r="E4200" t="e" cm="1">
        <f t="array" ref="E4200">- Menthol</f>
        <v>#NAME?</v>
      </c>
      <c r="F4200" t="s">
        <v>19713</v>
      </c>
      <c r="H4200" t="s">
        <v>19714</v>
      </c>
      <c r="I4200" t="s">
        <v>19715</v>
      </c>
      <c r="J4200" t="s">
        <v>19716</v>
      </c>
      <c r="M4200" t="s">
        <v>87</v>
      </c>
      <c r="N4200" t="s">
        <v>2034</v>
      </c>
      <c r="O4200" t="s">
        <v>19717</v>
      </c>
      <c r="P4200" t="s">
        <v>16830</v>
      </c>
      <c r="Q4200" t="s">
        <v>19718</v>
      </c>
      <c r="R4200">
        <v>13</v>
      </c>
      <c r="S4200">
        <v>16</v>
      </c>
    </row>
    <row r="4201" spans="1:19" x14ac:dyDescent="0.35">
      <c r="A4201">
        <v>7085</v>
      </c>
      <c r="B4201" t="s">
        <v>7954</v>
      </c>
      <c r="C4201" t="s">
        <v>850</v>
      </c>
      <c r="D4201" t="s">
        <v>19712</v>
      </c>
      <c r="E4201" t="e" cm="1">
        <f t="array" ref="E4201">- Menthol</f>
        <v>#NAME?</v>
      </c>
      <c r="F4201" t="s">
        <v>19713</v>
      </c>
      <c r="H4201" t="s">
        <v>19714</v>
      </c>
      <c r="I4201" t="s">
        <v>19715</v>
      </c>
      <c r="J4201" t="s">
        <v>19716</v>
      </c>
      <c r="M4201" t="s">
        <v>87</v>
      </c>
      <c r="N4201" t="s">
        <v>2034</v>
      </c>
      <c r="O4201" t="s">
        <v>19717</v>
      </c>
      <c r="P4201" t="s">
        <v>16830</v>
      </c>
      <c r="Q4201" t="s">
        <v>19718</v>
      </c>
      <c r="R4201">
        <v>13</v>
      </c>
      <c r="S4201">
        <v>16</v>
      </c>
    </row>
    <row r="4202" spans="1:19" x14ac:dyDescent="0.35">
      <c r="A4202">
        <v>5655</v>
      </c>
      <c r="B4202" t="s">
        <v>19719</v>
      </c>
      <c r="C4202" t="s">
        <v>42</v>
      </c>
      <c r="D4202" t="s">
        <v>19720</v>
      </c>
      <c r="E4202" t="e" cm="1">
        <f t="array" ref="E4202">- AMOXICILLIN TRIHYDRATE</f>
        <v>#NAME?</v>
      </c>
      <c r="F4202" t="s">
        <v>19721</v>
      </c>
      <c r="G4202" t="s">
        <v>4545</v>
      </c>
      <c r="H4202" t="s">
        <v>19722</v>
      </c>
      <c r="I4202" t="s">
        <v>19723</v>
      </c>
      <c r="J4202" t="s">
        <v>334</v>
      </c>
      <c r="K4202" t="s">
        <v>19724</v>
      </c>
      <c r="L4202" t="s">
        <v>19725</v>
      </c>
      <c r="M4202" t="s">
        <v>271</v>
      </c>
      <c r="N4202" t="s">
        <v>1523</v>
      </c>
      <c r="O4202" t="s">
        <v>19726</v>
      </c>
      <c r="P4202" t="s">
        <v>19727</v>
      </c>
      <c r="Q4202" t="s">
        <v>19728</v>
      </c>
      <c r="R4202">
        <v>13</v>
      </c>
      <c r="S4202">
        <v>16</v>
      </c>
    </row>
    <row r="4203" spans="1:19" x14ac:dyDescent="0.35">
      <c r="A4203">
        <v>4443</v>
      </c>
      <c r="B4203" t="s">
        <v>19729</v>
      </c>
      <c r="C4203" t="s">
        <v>42</v>
      </c>
      <c r="D4203" t="s">
        <v>19730</v>
      </c>
      <c r="E4203" t="e" cm="1">
        <f t="array" ref="E4203">- DEQUALINIUM CHLORIDE</f>
        <v>#NAME?</v>
      </c>
      <c r="F4203" t="s">
        <v>19731</v>
      </c>
      <c r="G4203" t="s">
        <v>13603</v>
      </c>
      <c r="H4203" t="s">
        <v>19732</v>
      </c>
      <c r="I4203" t="s">
        <v>19733</v>
      </c>
      <c r="J4203" t="s">
        <v>19734</v>
      </c>
      <c r="M4203" t="s">
        <v>46</v>
      </c>
      <c r="N4203" t="s">
        <v>10495</v>
      </c>
      <c r="O4203" t="s">
        <v>19735</v>
      </c>
      <c r="P4203" t="s">
        <v>19736</v>
      </c>
      <c r="Q4203" t="s">
        <v>19737</v>
      </c>
      <c r="R4203">
        <v>13</v>
      </c>
      <c r="S4203">
        <v>16</v>
      </c>
    </row>
    <row r="4204" spans="1:19" x14ac:dyDescent="0.35">
      <c r="A4204">
        <v>7875</v>
      </c>
      <c r="B4204" t="s">
        <v>19738</v>
      </c>
      <c r="C4204" t="s">
        <v>20</v>
      </c>
      <c r="D4204" t="s">
        <v>19739</v>
      </c>
      <c r="E4204" t="s">
        <v>19740</v>
      </c>
      <c r="F4204" t="s">
        <v>19741</v>
      </c>
      <c r="H4204" t="s">
        <v>12055</v>
      </c>
      <c r="I4204" t="s">
        <v>19742</v>
      </c>
      <c r="J4204" t="s">
        <v>107</v>
      </c>
      <c r="M4204" t="s">
        <v>38</v>
      </c>
      <c r="N4204" t="s">
        <v>19743</v>
      </c>
      <c r="O4204" t="s">
        <v>19744</v>
      </c>
      <c r="P4204" t="s">
        <v>19745</v>
      </c>
      <c r="Q4204" t="s">
        <v>19746</v>
      </c>
      <c r="R4204">
        <v>13</v>
      </c>
      <c r="S4204">
        <v>16</v>
      </c>
    </row>
    <row r="4205" spans="1:19" x14ac:dyDescent="0.35">
      <c r="A4205">
        <v>5632</v>
      </c>
      <c r="B4205" t="s">
        <v>19747</v>
      </c>
      <c r="C4205" t="s">
        <v>42</v>
      </c>
      <c r="D4205" t="s">
        <v>19748</v>
      </c>
      <c r="E4205" t="e" cm="1">
        <f t="array" ref="E4205">- DOXYCYCLINE HYCLATE</f>
        <v>#NAME?</v>
      </c>
      <c r="F4205" t="s">
        <v>19749</v>
      </c>
      <c r="G4205" t="s">
        <v>2453</v>
      </c>
      <c r="H4205" t="s">
        <v>19750</v>
      </c>
      <c r="I4205" t="s">
        <v>19751</v>
      </c>
      <c r="J4205" t="s">
        <v>810</v>
      </c>
      <c r="K4205" t="s">
        <v>19752</v>
      </c>
      <c r="L4205" t="s">
        <v>19753</v>
      </c>
      <c r="M4205" t="s">
        <v>38</v>
      </c>
      <c r="N4205" t="s">
        <v>19754</v>
      </c>
      <c r="O4205" t="s">
        <v>19755</v>
      </c>
      <c r="P4205" t="s">
        <v>19756</v>
      </c>
      <c r="Q4205" t="s">
        <v>19757</v>
      </c>
      <c r="R4205">
        <v>13</v>
      </c>
      <c r="S4205">
        <v>16</v>
      </c>
    </row>
    <row r="4206" spans="1:19" x14ac:dyDescent="0.35">
      <c r="A4206">
        <v>5631</v>
      </c>
      <c r="B4206" t="s">
        <v>19758</v>
      </c>
      <c r="C4206" t="s">
        <v>42</v>
      </c>
      <c r="D4206" t="s">
        <v>19759</v>
      </c>
      <c r="E4206" t="e" cm="1">
        <f t="array" ref="E4206">- AMOXICILLIN TRIHYDRATE</f>
        <v>#NAME?</v>
      </c>
      <c r="F4206" t="s">
        <v>19760</v>
      </c>
      <c r="G4206" t="s">
        <v>2241</v>
      </c>
      <c r="H4206" t="s">
        <v>19761</v>
      </c>
      <c r="I4206" t="s">
        <v>19762</v>
      </c>
      <c r="J4206" t="s">
        <v>284</v>
      </c>
      <c r="K4206" t="s">
        <v>19724</v>
      </c>
      <c r="L4206" t="s">
        <v>19725</v>
      </c>
      <c r="M4206" t="s">
        <v>291</v>
      </c>
      <c r="N4206" t="s">
        <v>1523</v>
      </c>
      <c r="O4206" t="s">
        <v>19726</v>
      </c>
      <c r="P4206" t="s">
        <v>19727</v>
      </c>
      <c r="Q4206" t="s">
        <v>19763</v>
      </c>
      <c r="R4206">
        <v>13</v>
      </c>
      <c r="S4206">
        <v>16</v>
      </c>
    </row>
    <row r="4207" spans="1:19" x14ac:dyDescent="0.35">
      <c r="A4207">
        <v>7158</v>
      </c>
      <c r="B4207" t="s">
        <v>19764</v>
      </c>
      <c r="C4207" t="s">
        <v>850</v>
      </c>
      <c r="D4207" t="s">
        <v>19765</v>
      </c>
      <c r="E4207" t="e" cm="1">
        <f t="array" ref="E4207">- Benzil Nicotinate</f>
        <v>#NAME?</v>
      </c>
      <c r="F4207" t="s">
        <v>19766</v>
      </c>
      <c r="G4207" t="s">
        <v>19767</v>
      </c>
      <c r="H4207" t="s">
        <v>1322</v>
      </c>
      <c r="I4207" t="s">
        <v>19768</v>
      </c>
      <c r="J4207" t="s">
        <v>19769</v>
      </c>
      <c r="K4207" t="s">
        <v>19770</v>
      </c>
      <c r="L4207" t="s">
        <v>19771</v>
      </c>
      <c r="M4207" t="s">
        <v>1289</v>
      </c>
      <c r="N4207" t="s">
        <v>19772</v>
      </c>
      <c r="O4207" t="s">
        <v>19773</v>
      </c>
      <c r="P4207" t="s">
        <v>19774</v>
      </c>
      <c r="Q4207" t="s">
        <v>19775</v>
      </c>
      <c r="R4207">
        <v>13</v>
      </c>
      <c r="S4207">
        <v>16</v>
      </c>
    </row>
    <row r="4208" spans="1:19" x14ac:dyDescent="0.35">
      <c r="A4208">
        <v>5723</v>
      </c>
      <c r="B4208" t="s">
        <v>16949</v>
      </c>
      <c r="C4208" t="s">
        <v>42</v>
      </c>
      <c r="D4208" t="s">
        <v>16950</v>
      </c>
      <c r="E4208" t="e" cm="1">
        <f t="array" ref="E4208">- TRIMETHOPRIM. SULFAMETHOXAZOLE</f>
        <v>#NAME?</v>
      </c>
      <c r="F4208" t="s">
        <v>16951</v>
      </c>
      <c r="G4208" t="s">
        <v>4045</v>
      </c>
      <c r="H4208" t="s">
        <v>16952</v>
      </c>
      <c r="I4208" t="s">
        <v>16953</v>
      </c>
      <c r="J4208" t="s">
        <v>381</v>
      </c>
      <c r="K4208" t="s">
        <v>13519</v>
      </c>
      <c r="L4208" t="s">
        <v>16954</v>
      </c>
      <c r="M4208" t="s">
        <v>46</v>
      </c>
      <c r="N4208" t="s">
        <v>1469</v>
      </c>
      <c r="O4208" t="s">
        <v>16955</v>
      </c>
      <c r="P4208" t="s">
        <v>13522</v>
      </c>
      <c r="Q4208" t="s">
        <v>19776</v>
      </c>
      <c r="R4208">
        <v>13</v>
      </c>
      <c r="S4208">
        <v>16</v>
      </c>
    </row>
    <row r="4209" spans="1:19" x14ac:dyDescent="0.35">
      <c r="A4209">
        <v>4459</v>
      </c>
      <c r="B4209" t="s">
        <v>19481</v>
      </c>
      <c r="C4209" t="s">
        <v>42</v>
      </c>
      <c r="D4209" t="s">
        <v>19482</v>
      </c>
      <c r="E4209" t="e" cm="1">
        <f t="array" ref="E4209">- LEVOFLOXACIN</f>
        <v>#NAME?</v>
      </c>
      <c r="F4209" t="s">
        <v>19483</v>
      </c>
      <c r="G4209" t="s">
        <v>19484</v>
      </c>
      <c r="H4209" t="s">
        <v>19485</v>
      </c>
      <c r="I4209" t="s">
        <v>19486</v>
      </c>
      <c r="J4209" t="s">
        <v>19487</v>
      </c>
      <c r="K4209" t="s">
        <v>11485</v>
      </c>
      <c r="L4209" t="s">
        <v>10249</v>
      </c>
      <c r="M4209" t="s">
        <v>824</v>
      </c>
      <c r="N4209" t="s">
        <v>11487</v>
      </c>
      <c r="O4209" t="s">
        <v>19488</v>
      </c>
      <c r="P4209" t="s">
        <v>19489</v>
      </c>
      <c r="Q4209" t="s">
        <v>19490</v>
      </c>
      <c r="R4209">
        <v>13</v>
      </c>
      <c r="S4209">
        <v>16</v>
      </c>
    </row>
    <row r="4210" spans="1:19" x14ac:dyDescent="0.35">
      <c r="A4210">
        <v>7041</v>
      </c>
      <c r="B4210" t="s">
        <v>1803</v>
      </c>
      <c r="C4210" t="s">
        <v>42</v>
      </c>
      <c r="D4210" t="s">
        <v>19777</v>
      </c>
      <c r="E4210" t="e" cm="1">
        <f t="array" ref="E4210">- TIZANIDINE HYDROCHLORIDE</f>
        <v>#NAME?</v>
      </c>
      <c r="F4210" t="s">
        <v>19778</v>
      </c>
      <c r="G4210" t="s">
        <v>12009</v>
      </c>
      <c r="I4210" t="s">
        <v>16959</v>
      </c>
      <c r="J4210" t="s">
        <v>19779</v>
      </c>
      <c r="M4210" t="s">
        <v>46</v>
      </c>
      <c r="N4210" t="s">
        <v>1806</v>
      </c>
      <c r="O4210" t="s">
        <v>16960</v>
      </c>
      <c r="P4210" t="s">
        <v>11353</v>
      </c>
      <c r="Q4210" t="s">
        <v>19780</v>
      </c>
      <c r="R4210">
        <v>13</v>
      </c>
      <c r="S4210">
        <v>16</v>
      </c>
    </row>
    <row r="4211" spans="1:19" x14ac:dyDescent="0.35">
      <c r="A4211">
        <v>5155</v>
      </c>
      <c r="B4211" t="s">
        <v>15203</v>
      </c>
      <c r="C4211" t="s">
        <v>42</v>
      </c>
      <c r="D4211" t="s">
        <v>15204</v>
      </c>
      <c r="E4211" t="e" cm="1">
        <f t="array" ref="E4211">- BETAMETHASONE DIPROPIONATE. GENTAMICIN SULFATE</f>
        <v>#NAME?</v>
      </c>
      <c r="F4211" t="s">
        <v>15205</v>
      </c>
      <c r="G4211" t="s">
        <v>15206</v>
      </c>
      <c r="H4211" t="s">
        <v>15207</v>
      </c>
      <c r="I4211" t="s">
        <v>15208</v>
      </c>
      <c r="J4211" t="s">
        <v>2167</v>
      </c>
      <c r="K4211" t="s">
        <v>15209</v>
      </c>
      <c r="L4211" t="s">
        <v>15210</v>
      </c>
      <c r="M4211" t="s">
        <v>1289</v>
      </c>
      <c r="N4211" t="s">
        <v>19781</v>
      </c>
      <c r="O4211" t="s">
        <v>15211</v>
      </c>
      <c r="P4211" t="s">
        <v>15212</v>
      </c>
      <c r="Q4211" t="s">
        <v>19782</v>
      </c>
      <c r="R4211">
        <v>13</v>
      </c>
      <c r="S4211">
        <v>16</v>
      </c>
    </row>
    <row r="4212" spans="1:19" x14ac:dyDescent="0.35">
      <c r="A4212">
        <v>5111</v>
      </c>
      <c r="B4212" t="s">
        <v>19657</v>
      </c>
      <c r="C4212" t="s">
        <v>42</v>
      </c>
      <c r="D4212" t="s">
        <v>19658</v>
      </c>
      <c r="E4212" t="e" cm="1">
        <f t="array" ref="E4212">- FLUTICASONE PROPIONAT</f>
        <v>#NAME?</v>
      </c>
      <c r="F4212" t="s">
        <v>19659</v>
      </c>
      <c r="G4212" t="s">
        <v>17127</v>
      </c>
      <c r="H4212" t="s">
        <v>19660</v>
      </c>
      <c r="I4212" t="s">
        <v>19661</v>
      </c>
      <c r="J4212" t="s">
        <v>1367</v>
      </c>
      <c r="K4212" t="s">
        <v>19662</v>
      </c>
      <c r="L4212" t="s">
        <v>19663</v>
      </c>
      <c r="M4212" t="s">
        <v>1289</v>
      </c>
      <c r="N4212" t="s">
        <v>3457</v>
      </c>
      <c r="O4212" t="s">
        <v>19664</v>
      </c>
      <c r="P4212" t="s">
        <v>19665</v>
      </c>
      <c r="Q4212" t="s">
        <v>19666</v>
      </c>
      <c r="R4212">
        <v>13</v>
      </c>
      <c r="S4212">
        <v>16</v>
      </c>
    </row>
    <row r="4213" spans="1:19" x14ac:dyDescent="0.35">
      <c r="A4213">
        <v>5112</v>
      </c>
      <c r="B4213" t="s">
        <v>19657</v>
      </c>
      <c r="C4213" t="s">
        <v>42</v>
      </c>
      <c r="D4213" t="s">
        <v>19783</v>
      </c>
      <c r="E4213" t="e" cm="1">
        <f t="array" ref="E4213">- FLUTICASONE PROPIONAT</f>
        <v>#NAME?</v>
      </c>
      <c r="F4213" t="s">
        <v>19784</v>
      </c>
      <c r="G4213" t="s">
        <v>5456</v>
      </c>
      <c r="H4213" t="s">
        <v>19785</v>
      </c>
      <c r="I4213" t="s">
        <v>19786</v>
      </c>
      <c r="J4213" t="s">
        <v>19787</v>
      </c>
      <c r="K4213" t="s">
        <v>19788</v>
      </c>
      <c r="L4213" t="s">
        <v>19789</v>
      </c>
      <c r="M4213" t="s">
        <v>1289</v>
      </c>
      <c r="N4213" t="s">
        <v>3457</v>
      </c>
      <c r="O4213" t="s">
        <v>19790</v>
      </c>
      <c r="P4213" t="s">
        <v>19791</v>
      </c>
      <c r="Q4213" t="s">
        <v>19792</v>
      </c>
      <c r="R4213">
        <v>13</v>
      </c>
      <c r="S4213">
        <v>16</v>
      </c>
    </row>
    <row r="4214" spans="1:19" x14ac:dyDescent="0.35">
      <c r="A4214">
        <v>5113</v>
      </c>
      <c r="B4214" t="s">
        <v>19657</v>
      </c>
      <c r="C4214" t="s">
        <v>42</v>
      </c>
      <c r="D4214" t="s">
        <v>19783</v>
      </c>
      <c r="E4214" t="e" cm="1">
        <f t="array" ref="E4214">- FLUTICASONE PROPIONAT</f>
        <v>#NAME?</v>
      </c>
      <c r="F4214" t="s">
        <v>19784</v>
      </c>
      <c r="G4214" t="s">
        <v>5456</v>
      </c>
      <c r="H4214" t="s">
        <v>19785</v>
      </c>
      <c r="I4214" t="s">
        <v>19786</v>
      </c>
      <c r="J4214" t="s">
        <v>19787</v>
      </c>
      <c r="K4214" t="s">
        <v>19788</v>
      </c>
      <c r="L4214" t="s">
        <v>19789</v>
      </c>
      <c r="M4214" t="s">
        <v>1289</v>
      </c>
      <c r="N4214" t="s">
        <v>3457</v>
      </c>
      <c r="O4214" t="s">
        <v>19790</v>
      </c>
      <c r="P4214" t="s">
        <v>19791</v>
      </c>
      <c r="Q4214" t="s">
        <v>19792</v>
      </c>
      <c r="R4214">
        <v>13</v>
      </c>
      <c r="S4214">
        <v>16</v>
      </c>
    </row>
    <row r="4215" spans="1:19" x14ac:dyDescent="0.35">
      <c r="A4215">
        <v>5124</v>
      </c>
      <c r="B4215" t="s">
        <v>19793</v>
      </c>
      <c r="C4215" t="s">
        <v>42</v>
      </c>
      <c r="D4215" t="s">
        <v>19794</v>
      </c>
      <c r="E4215" t="e" cm="1">
        <f t="array" ref="E4215">- MOMETASONE FUROATE</f>
        <v>#NAME?</v>
      </c>
      <c r="F4215" t="s">
        <v>19795</v>
      </c>
      <c r="G4215" t="s">
        <v>19614</v>
      </c>
      <c r="H4215" t="s">
        <v>6538</v>
      </c>
      <c r="I4215" t="s">
        <v>19661</v>
      </c>
      <c r="J4215" t="s">
        <v>7114</v>
      </c>
      <c r="K4215" t="s">
        <v>19616</v>
      </c>
      <c r="L4215" t="s">
        <v>19796</v>
      </c>
      <c r="M4215" t="s">
        <v>1289</v>
      </c>
      <c r="N4215" t="s">
        <v>13785</v>
      </c>
      <c r="O4215" t="s">
        <v>19664</v>
      </c>
      <c r="P4215" t="s">
        <v>19797</v>
      </c>
      <c r="Q4215" t="s">
        <v>19798</v>
      </c>
      <c r="R4215">
        <v>13</v>
      </c>
      <c r="S4215">
        <v>16</v>
      </c>
    </row>
    <row r="4216" spans="1:19" x14ac:dyDescent="0.35">
      <c r="A4216">
        <v>5125</v>
      </c>
      <c r="B4216" t="s">
        <v>19793</v>
      </c>
      <c r="C4216" t="s">
        <v>42</v>
      </c>
      <c r="D4216" t="s">
        <v>19794</v>
      </c>
      <c r="E4216" t="e" cm="1">
        <f t="array" ref="E4216">- MOMETASONE FUROATE</f>
        <v>#NAME?</v>
      </c>
      <c r="F4216" t="s">
        <v>19795</v>
      </c>
      <c r="G4216" t="s">
        <v>19614</v>
      </c>
      <c r="H4216" t="s">
        <v>6538</v>
      </c>
      <c r="I4216" t="s">
        <v>19661</v>
      </c>
      <c r="J4216" t="s">
        <v>7114</v>
      </c>
      <c r="K4216" t="s">
        <v>19616</v>
      </c>
      <c r="L4216" t="s">
        <v>19796</v>
      </c>
      <c r="M4216" t="s">
        <v>1289</v>
      </c>
      <c r="N4216" t="s">
        <v>13785</v>
      </c>
      <c r="O4216" t="s">
        <v>19664</v>
      </c>
      <c r="P4216" t="s">
        <v>19797</v>
      </c>
      <c r="Q4216" t="s">
        <v>19798</v>
      </c>
      <c r="R4216">
        <v>13</v>
      </c>
      <c r="S4216">
        <v>16</v>
      </c>
    </row>
    <row r="4217" spans="1:19" x14ac:dyDescent="0.35">
      <c r="A4217">
        <v>5126</v>
      </c>
      <c r="B4217" t="s">
        <v>19793</v>
      </c>
      <c r="C4217" t="s">
        <v>42</v>
      </c>
      <c r="D4217" t="s">
        <v>19799</v>
      </c>
      <c r="E4217" t="e" cm="1">
        <f t="array" ref="E4217">- MOMETASONE FUROATE</f>
        <v>#NAME?</v>
      </c>
      <c r="F4217" t="s">
        <v>19800</v>
      </c>
      <c r="G4217" t="s">
        <v>19614</v>
      </c>
      <c r="H4217" t="s">
        <v>6538</v>
      </c>
      <c r="I4217" t="s">
        <v>19661</v>
      </c>
      <c r="J4217" t="s">
        <v>1684</v>
      </c>
      <c r="K4217" t="s">
        <v>19616</v>
      </c>
      <c r="L4217" t="s">
        <v>19796</v>
      </c>
      <c r="M4217" t="s">
        <v>1289</v>
      </c>
      <c r="N4217" t="s">
        <v>13785</v>
      </c>
      <c r="O4217" t="s">
        <v>19664</v>
      </c>
      <c r="P4217" t="s">
        <v>19797</v>
      </c>
      <c r="Q4217" t="s">
        <v>19798</v>
      </c>
      <c r="R4217">
        <v>13</v>
      </c>
      <c r="S4217">
        <v>16</v>
      </c>
    </row>
    <row r="4218" spans="1:19" x14ac:dyDescent="0.35">
      <c r="A4218">
        <v>4399</v>
      </c>
      <c r="B4218" t="s">
        <v>19801</v>
      </c>
      <c r="C4218" t="s">
        <v>42</v>
      </c>
      <c r="D4218" t="s">
        <v>19802</v>
      </c>
      <c r="E4218" t="e" cm="1">
        <f t="array" ref="E4218">- BENZYDAMINE HYDROCHLORIDE</f>
        <v>#NAME?</v>
      </c>
      <c r="F4218" t="s">
        <v>19803</v>
      </c>
      <c r="G4218" t="s">
        <v>19804</v>
      </c>
      <c r="H4218" t="s">
        <v>19805</v>
      </c>
      <c r="I4218" t="s">
        <v>19806</v>
      </c>
      <c r="J4218" t="s">
        <v>334</v>
      </c>
      <c r="K4218" t="s">
        <v>19807</v>
      </c>
      <c r="L4218" t="s">
        <v>19808</v>
      </c>
      <c r="M4218" t="s">
        <v>554</v>
      </c>
      <c r="N4218" t="s">
        <v>19809</v>
      </c>
      <c r="O4218" t="s">
        <v>19810</v>
      </c>
      <c r="P4218" t="s">
        <v>19811</v>
      </c>
      <c r="Q4218" t="s">
        <v>19812</v>
      </c>
      <c r="R4218">
        <v>13</v>
      </c>
      <c r="S4218">
        <v>16</v>
      </c>
    </row>
    <row r="4219" spans="1:19" x14ac:dyDescent="0.35">
      <c r="A4219">
        <v>4400</v>
      </c>
      <c r="B4219" t="s">
        <v>19801</v>
      </c>
      <c r="C4219" t="s">
        <v>42</v>
      </c>
      <c r="D4219" t="s">
        <v>19802</v>
      </c>
      <c r="E4219" t="e" cm="1">
        <f t="array" ref="E4219">- BENZYDAMINE HYDROCHLORIDE</f>
        <v>#NAME?</v>
      </c>
      <c r="F4219" t="s">
        <v>19803</v>
      </c>
      <c r="G4219" t="s">
        <v>19804</v>
      </c>
      <c r="H4219" t="s">
        <v>19805</v>
      </c>
      <c r="I4219" t="s">
        <v>19806</v>
      </c>
      <c r="J4219" t="s">
        <v>334</v>
      </c>
      <c r="K4219" t="s">
        <v>19807</v>
      </c>
      <c r="L4219" t="s">
        <v>19808</v>
      </c>
      <c r="M4219" t="s">
        <v>554</v>
      </c>
      <c r="N4219" t="s">
        <v>19809</v>
      </c>
      <c r="O4219" t="s">
        <v>19810</v>
      </c>
      <c r="P4219" t="s">
        <v>19811</v>
      </c>
      <c r="Q4219" t="s">
        <v>19812</v>
      </c>
      <c r="R4219">
        <v>13</v>
      </c>
      <c r="S4219">
        <v>16</v>
      </c>
    </row>
    <row r="4220" spans="1:19" x14ac:dyDescent="0.35">
      <c r="A4220">
        <v>5127</v>
      </c>
      <c r="B4220" t="s">
        <v>19793</v>
      </c>
      <c r="C4220" t="s">
        <v>42</v>
      </c>
      <c r="D4220" t="s">
        <v>19799</v>
      </c>
      <c r="E4220" t="e" cm="1">
        <f t="array" ref="E4220">- MOMETASONE FUROATE</f>
        <v>#NAME?</v>
      </c>
      <c r="F4220" t="s">
        <v>19800</v>
      </c>
      <c r="G4220" t="s">
        <v>19614</v>
      </c>
      <c r="H4220" t="s">
        <v>6538</v>
      </c>
      <c r="I4220" t="s">
        <v>19661</v>
      </c>
      <c r="J4220" t="s">
        <v>1684</v>
      </c>
      <c r="K4220" t="s">
        <v>19616</v>
      </c>
      <c r="L4220" t="s">
        <v>19796</v>
      </c>
      <c r="M4220" t="s">
        <v>1289</v>
      </c>
      <c r="N4220" t="s">
        <v>13785</v>
      </c>
      <c r="O4220" t="s">
        <v>19664</v>
      </c>
      <c r="P4220" t="s">
        <v>19797</v>
      </c>
      <c r="Q4220" t="s">
        <v>19798</v>
      </c>
      <c r="R4220">
        <v>13</v>
      </c>
      <c r="S4220">
        <v>16</v>
      </c>
    </row>
    <row r="4221" spans="1:19" x14ac:dyDescent="0.35">
      <c r="A4221">
        <v>4401</v>
      </c>
      <c r="B4221" t="s">
        <v>19801</v>
      </c>
      <c r="C4221" t="s">
        <v>42</v>
      </c>
      <c r="D4221" t="s">
        <v>19802</v>
      </c>
      <c r="E4221" t="e" cm="1">
        <f t="array" ref="E4221">- BENZYDAMINE HYDROCHLORIDE</f>
        <v>#NAME?</v>
      </c>
      <c r="F4221" t="s">
        <v>19803</v>
      </c>
      <c r="G4221" t="s">
        <v>19804</v>
      </c>
      <c r="H4221" t="s">
        <v>19805</v>
      </c>
      <c r="I4221" t="s">
        <v>19806</v>
      </c>
      <c r="J4221" t="s">
        <v>334</v>
      </c>
      <c r="K4221" t="s">
        <v>19807</v>
      </c>
      <c r="L4221" t="s">
        <v>19808</v>
      </c>
      <c r="M4221" t="s">
        <v>554</v>
      </c>
      <c r="N4221" t="s">
        <v>19809</v>
      </c>
      <c r="O4221" t="s">
        <v>19810</v>
      </c>
      <c r="P4221" t="s">
        <v>19811</v>
      </c>
      <c r="Q4221" t="s">
        <v>19812</v>
      </c>
      <c r="R4221">
        <v>13</v>
      </c>
      <c r="S4221">
        <v>16</v>
      </c>
    </row>
    <row r="4222" spans="1:19" x14ac:dyDescent="0.35">
      <c r="A4222">
        <v>4402</v>
      </c>
      <c r="B4222" t="s">
        <v>19801</v>
      </c>
      <c r="C4222" t="s">
        <v>42</v>
      </c>
      <c r="D4222" t="s">
        <v>19802</v>
      </c>
      <c r="E4222" t="e" cm="1">
        <f t="array" ref="E4222">- BENZYDAMINE HYDROCHLORIDE</f>
        <v>#NAME?</v>
      </c>
      <c r="F4222" t="s">
        <v>19803</v>
      </c>
      <c r="G4222" t="s">
        <v>19804</v>
      </c>
      <c r="H4222" t="s">
        <v>19805</v>
      </c>
      <c r="I4222" t="s">
        <v>19806</v>
      </c>
      <c r="J4222" t="s">
        <v>334</v>
      </c>
      <c r="K4222" t="s">
        <v>19807</v>
      </c>
      <c r="L4222" t="s">
        <v>19808</v>
      </c>
      <c r="M4222" t="s">
        <v>554</v>
      </c>
      <c r="N4222" t="s">
        <v>19809</v>
      </c>
      <c r="O4222" t="s">
        <v>19810</v>
      </c>
      <c r="P4222" t="s">
        <v>19811</v>
      </c>
      <c r="Q4222" t="s">
        <v>19812</v>
      </c>
      <c r="R4222">
        <v>13</v>
      </c>
      <c r="S4222">
        <v>16</v>
      </c>
    </row>
    <row r="4223" spans="1:19" x14ac:dyDescent="0.35">
      <c r="A4223">
        <v>5756</v>
      </c>
      <c r="B4223" t="s">
        <v>19813</v>
      </c>
      <c r="C4223" t="s">
        <v>42</v>
      </c>
      <c r="D4223" t="s">
        <v>19814</v>
      </c>
      <c r="E4223" t="e" cm="1">
        <f t="array" ref="E4223">- AMPICILLIN TRIHYDRATE</f>
        <v>#NAME?</v>
      </c>
      <c r="F4223" t="s">
        <v>19815</v>
      </c>
      <c r="G4223" t="s">
        <v>5568</v>
      </c>
      <c r="H4223" t="s">
        <v>19816</v>
      </c>
      <c r="I4223" t="s">
        <v>19817</v>
      </c>
    </row>
    <row r="4224" spans="1:19" x14ac:dyDescent="0.35">
      <c r="A4224">
        <v>5755</v>
      </c>
      <c r="B4224" t="s">
        <v>19813</v>
      </c>
      <c r="C4224" t="s">
        <v>42</v>
      </c>
      <c r="D4224" t="s">
        <v>19818</v>
      </c>
      <c r="E4224" t="e" cm="1">
        <f t="array" ref="E4224">- AMPICILLIN TRIHYDRATE</f>
        <v>#NAME?</v>
      </c>
      <c r="F4224" t="s">
        <v>19819</v>
      </c>
      <c r="G4224" t="s">
        <v>5568</v>
      </c>
      <c r="H4224" t="s">
        <v>19816</v>
      </c>
      <c r="I4224" t="s">
        <v>19817</v>
      </c>
    </row>
    <row r="4225" spans="1:19" x14ac:dyDescent="0.35">
      <c r="A4225">
        <v>7026</v>
      </c>
      <c r="B4225" t="s">
        <v>1803</v>
      </c>
      <c r="C4225" t="s">
        <v>42</v>
      </c>
      <c r="D4225" t="s">
        <v>19820</v>
      </c>
      <c r="E4225" t="e" cm="1">
        <f t="array" ref="E4225">- TIZANIDINE HYDROCHLORIDE</f>
        <v>#NAME?</v>
      </c>
      <c r="F4225" t="s">
        <v>19821</v>
      </c>
      <c r="G4225" t="s">
        <v>17038</v>
      </c>
      <c r="H4225" t="s">
        <v>1322</v>
      </c>
      <c r="I4225" t="s">
        <v>11846</v>
      </c>
      <c r="J4225" t="s">
        <v>12011</v>
      </c>
      <c r="M4225" t="s">
        <v>46</v>
      </c>
      <c r="N4225" t="s">
        <v>1806</v>
      </c>
      <c r="O4225" t="s">
        <v>11352</v>
      </c>
      <c r="P4225" t="s">
        <v>19822</v>
      </c>
      <c r="Q4225" t="s">
        <v>19823</v>
      </c>
      <c r="R4225">
        <v>13</v>
      </c>
      <c r="S4225">
        <v>16</v>
      </c>
    </row>
    <row r="4226" spans="1:19" x14ac:dyDescent="0.35">
      <c r="A4226">
        <v>5749</v>
      </c>
      <c r="B4226" t="s">
        <v>19824</v>
      </c>
      <c r="C4226" t="s">
        <v>42</v>
      </c>
      <c r="D4226" t="s">
        <v>19825</v>
      </c>
      <c r="E4226" t="e" cm="1">
        <f t="array" ref="E4226">- AZITHROMYCIN DIHYDRATE</f>
        <v>#NAME?</v>
      </c>
      <c r="F4226" t="s">
        <v>19826</v>
      </c>
      <c r="G4226" t="s">
        <v>5568</v>
      </c>
      <c r="H4226" t="s">
        <v>19827</v>
      </c>
      <c r="I4226" t="s">
        <v>19828</v>
      </c>
      <c r="J4226" t="s">
        <v>19829</v>
      </c>
      <c r="K4226" t="s">
        <v>19830</v>
      </c>
      <c r="L4226" t="s">
        <v>19831</v>
      </c>
      <c r="M4226" t="s">
        <v>271</v>
      </c>
      <c r="N4226" t="s">
        <v>13005</v>
      </c>
      <c r="O4226" t="s">
        <v>19832</v>
      </c>
      <c r="P4226" t="s">
        <v>19833</v>
      </c>
      <c r="Q4226" t="s">
        <v>19834</v>
      </c>
      <c r="R4226">
        <v>13</v>
      </c>
      <c r="S4226">
        <v>16</v>
      </c>
    </row>
    <row r="4227" spans="1:19" x14ac:dyDescent="0.35">
      <c r="A4227">
        <v>5738</v>
      </c>
      <c r="B4227" t="s">
        <v>19835</v>
      </c>
      <c r="C4227" t="s">
        <v>42</v>
      </c>
      <c r="D4227" t="s">
        <v>19836</v>
      </c>
      <c r="E4227" t="e" cm="1">
        <f t="array" ref="E4227">- AMOXICILLIN TRIHYDRATE</f>
        <v>#NAME?</v>
      </c>
      <c r="F4227" s="1">
        <v>21500</v>
      </c>
      <c r="G4227" t="s">
        <v>2241</v>
      </c>
      <c r="H4227" t="s">
        <v>19837</v>
      </c>
      <c r="I4227" t="s">
        <v>17753</v>
      </c>
    </row>
    <row r="4228" spans="1:19" x14ac:dyDescent="0.35">
      <c r="A4228">
        <v>4044</v>
      </c>
      <c r="B4228" t="s">
        <v>19838</v>
      </c>
      <c r="C4228" t="s">
        <v>42</v>
      </c>
      <c r="D4228" t="s">
        <v>19839</v>
      </c>
      <c r="E4228" t="e" cm="1">
        <f t="array" ref="E4228">- CETIRIZINE HYDROCHLORIDE</f>
        <v>#NAME?</v>
      </c>
      <c r="F4228" t="s">
        <v>19840</v>
      </c>
      <c r="G4228" t="s">
        <v>60</v>
      </c>
      <c r="H4228" t="s">
        <v>1498</v>
      </c>
      <c r="I4228" t="s">
        <v>19841</v>
      </c>
      <c r="J4228" t="s">
        <v>1977</v>
      </c>
      <c r="K4228" t="s">
        <v>19842</v>
      </c>
      <c r="L4228" t="s">
        <v>19843</v>
      </c>
      <c r="M4228" t="s">
        <v>46</v>
      </c>
      <c r="N4228" t="s">
        <v>1390</v>
      </c>
      <c r="O4228" t="s">
        <v>18666</v>
      </c>
      <c r="P4228" t="s">
        <v>16655</v>
      </c>
      <c r="Q4228" t="s">
        <v>19844</v>
      </c>
      <c r="R4228">
        <v>13</v>
      </c>
      <c r="S4228">
        <v>16</v>
      </c>
    </row>
    <row r="4229" spans="1:19" x14ac:dyDescent="0.35">
      <c r="A4229">
        <v>831</v>
      </c>
      <c r="B4229" t="s">
        <v>18693</v>
      </c>
      <c r="C4229" t="s">
        <v>42</v>
      </c>
      <c r="D4229" t="s">
        <v>19845</v>
      </c>
      <c r="E4229" t="e" cm="1">
        <f t="array" ref="E4229">- DEXTROMETHORPHAN HYDROBROMIDE</f>
        <v>#NAME?</v>
      </c>
      <c r="F4229" t="s">
        <v>19846</v>
      </c>
      <c r="G4229" t="s">
        <v>2241</v>
      </c>
      <c r="H4229" t="s">
        <v>19847</v>
      </c>
      <c r="I4229" t="s">
        <v>18697</v>
      </c>
      <c r="J4229" t="s">
        <v>10259</v>
      </c>
      <c r="K4229" t="s">
        <v>19848</v>
      </c>
      <c r="L4229" t="s">
        <v>18698</v>
      </c>
      <c r="M4229" t="s">
        <v>271</v>
      </c>
      <c r="N4229" t="s">
        <v>1376</v>
      </c>
      <c r="O4229" t="s">
        <v>18699</v>
      </c>
      <c r="P4229" t="s">
        <v>18700</v>
      </c>
      <c r="Q4229" t="s">
        <v>18701</v>
      </c>
      <c r="R4229">
        <v>13</v>
      </c>
      <c r="S4229">
        <v>16</v>
      </c>
    </row>
    <row r="4230" spans="1:19" x14ac:dyDescent="0.35">
      <c r="A4230">
        <v>2950</v>
      </c>
      <c r="B4230" t="s">
        <v>19849</v>
      </c>
      <c r="C4230" t="s">
        <v>42</v>
      </c>
      <c r="D4230" t="s">
        <v>19850</v>
      </c>
      <c r="E4230" t="e" cm="1">
        <f t="array" ref="E4230">- PARACETAMOL</f>
        <v>#NAME?</v>
      </c>
      <c r="F4230" t="s">
        <v>19851</v>
      </c>
      <c r="G4230" t="s">
        <v>2241</v>
      </c>
      <c r="H4230" t="s">
        <v>19852</v>
      </c>
      <c r="I4230" t="s">
        <v>16874</v>
      </c>
      <c r="J4230" t="s">
        <v>3926</v>
      </c>
      <c r="K4230" t="s">
        <v>6767</v>
      </c>
      <c r="L4230" t="s">
        <v>19853</v>
      </c>
      <c r="M4230" t="s">
        <v>271</v>
      </c>
      <c r="N4230" t="s">
        <v>584</v>
      </c>
      <c r="O4230" t="s">
        <v>16878</v>
      </c>
      <c r="P4230" t="s">
        <v>19854</v>
      </c>
      <c r="Q4230" t="s">
        <v>19855</v>
      </c>
      <c r="R4230">
        <v>13</v>
      </c>
      <c r="S4230">
        <v>16</v>
      </c>
    </row>
    <row r="4231" spans="1:19" x14ac:dyDescent="0.35">
      <c r="A4231">
        <v>2221</v>
      </c>
      <c r="B4231" t="s">
        <v>19856</v>
      </c>
      <c r="C4231" t="s">
        <v>42</v>
      </c>
      <c r="D4231" t="s">
        <v>19857</v>
      </c>
      <c r="E4231" t="e" cm="1">
        <f t="array" ref="E4231">- BETAHISTINE MESILATE</f>
        <v>#NAME?</v>
      </c>
      <c r="F4231" t="s">
        <v>19858</v>
      </c>
      <c r="G4231" t="s">
        <v>2241</v>
      </c>
      <c r="H4231" t="s">
        <v>19859</v>
      </c>
      <c r="I4231" t="s">
        <v>19860</v>
      </c>
      <c r="J4231" t="s">
        <v>381</v>
      </c>
      <c r="K4231" t="s">
        <v>19861</v>
      </c>
      <c r="L4231" t="s">
        <v>19862</v>
      </c>
      <c r="M4231" t="s">
        <v>46</v>
      </c>
      <c r="N4231" t="s">
        <v>2380</v>
      </c>
      <c r="O4231" t="s">
        <v>19863</v>
      </c>
      <c r="P4231" t="s">
        <v>19864</v>
      </c>
      <c r="Q4231" t="s">
        <v>19865</v>
      </c>
      <c r="R4231">
        <v>13</v>
      </c>
      <c r="S4231">
        <v>16</v>
      </c>
    </row>
    <row r="4232" spans="1:19" x14ac:dyDescent="0.35">
      <c r="A4232">
        <v>2220</v>
      </c>
      <c r="B4232" t="s">
        <v>19856</v>
      </c>
      <c r="C4232" t="s">
        <v>42</v>
      </c>
      <c r="D4232" t="s">
        <v>19857</v>
      </c>
      <c r="E4232" t="e" cm="1">
        <f t="array" ref="E4232">- BETAHISTINE MESILATE</f>
        <v>#NAME?</v>
      </c>
      <c r="F4232" t="s">
        <v>19858</v>
      </c>
      <c r="G4232" t="s">
        <v>2241</v>
      </c>
      <c r="H4232" t="s">
        <v>19859</v>
      </c>
      <c r="I4232" t="s">
        <v>19860</v>
      </c>
      <c r="J4232" t="s">
        <v>381</v>
      </c>
      <c r="K4232" t="s">
        <v>19861</v>
      </c>
      <c r="L4232" t="s">
        <v>19862</v>
      </c>
      <c r="M4232" t="s">
        <v>46</v>
      </c>
      <c r="N4232" t="s">
        <v>2380</v>
      </c>
      <c r="O4232" t="s">
        <v>19863</v>
      </c>
      <c r="P4232" t="s">
        <v>19864</v>
      </c>
      <c r="Q4232" t="s">
        <v>19865</v>
      </c>
      <c r="R4232">
        <v>13</v>
      </c>
      <c r="S4232">
        <v>16</v>
      </c>
    </row>
    <row r="4233" spans="1:19" x14ac:dyDescent="0.35">
      <c r="A4233">
        <v>9653</v>
      </c>
      <c r="B4233" t="s">
        <v>19866</v>
      </c>
      <c r="C4233" t="s">
        <v>42</v>
      </c>
      <c r="D4233" t="s">
        <v>19867</v>
      </c>
      <c r="E4233" t="e" cm="1">
        <f t="array" ref="E4233">- RAMIPRIL</f>
        <v>#NAME?</v>
      </c>
      <c r="F4233" t="s">
        <v>19868</v>
      </c>
      <c r="G4233" t="s">
        <v>60</v>
      </c>
      <c r="H4233" t="s">
        <v>19869</v>
      </c>
      <c r="I4233" t="s">
        <v>19870</v>
      </c>
      <c r="J4233" t="s">
        <v>2664</v>
      </c>
      <c r="K4233" t="s">
        <v>19871</v>
      </c>
      <c r="L4233" t="s">
        <v>19872</v>
      </c>
      <c r="M4233" t="s">
        <v>46</v>
      </c>
      <c r="N4233" t="s">
        <v>2222</v>
      </c>
      <c r="O4233" t="s">
        <v>19873</v>
      </c>
      <c r="P4233" t="s">
        <v>19874</v>
      </c>
      <c r="Q4233" t="s">
        <v>19875</v>
      </c>
      <c r="R4233">
        <v>13</v>
      </c>
      <c r="S4233">
        <v>16</v>
      </c>
    </row>
    <row r="4234" spans="1:19" x14ac:dyDescent="0.35">
      <c r="A4234">
        <v>1329</v>
      </c>
      <c r="B4234" t="s">
        <v>19876</v>
      </c>
      <c r="C4234" t="s">
        <v>42</v>
      </c>
      <c r="D4234" t="s">
        <v>19877</v>
      </c>
      <c r="E4234" t="e" cm="1">
        <f t="array" ref="E4234">- PARACETAMOL</f>
        <v>#NAME?</v>
      </c>
      <c r="F4234" t="s">
        <v>19878</v>
      </c>
      <c r="H4234" t="s">
        <v>19879</v>
      </c>
      <c r="I4234" t="s">
        <v>19880</v>
      </c>
      <c r="J4234" t="s">
        <v>1631</v>
      </c>
      <c r="M4234" t="s">
        <v>291</v>
      </c>
      <c r="N4234" t="s">
        <v>584</v>
      </c>
      <c r="O4234" t="s">
        <v>19881</v>
      </c>
      <c r="P4234" t="s">
        <v>19882</v>
      </c>
      <c r="Q4234" t="s">
        <v>19883</v>
      </c>
      <c r="R4234">
        <v>13</v>
      </c>
      <c r="S4234">
        <v>16</v>
      </c>
    </row>
    <row r="4235" spans="1:19" x14ac:dyDescent="0.35">
      <c r="A4235">
        <v>8235</v>
      </c>
      <c r="B4235" t="s">
        <v>551</v>
      </c>
      <c r="C4235" t="s">
        <v>42</v>
      </c>
      <c r="D4235" t="s">
        <v>19884</v>
      </c>
      <c r="E4235" t="e" cm="1">
        <f t="array" ref="E4235">- POVIDONE-IODINE</f>
        <v>#NAME?</v>
      </c>
      <c r="F4235" t="s">
        <v>19885</v>
      </c>
      <c r="H4235" t="s">
        <v>1322</v>
      </c>
      <c r="I4235" t="s">
        <v>9439</v>
      </c>
      <c r="J4235" t="s">
        <v>19886</v>
      </c>
      <c r="L4235" t="s">
        <v>9649</v>
      </c>
      <c r="M4235" t="s">
        <v>554</v>
      </c>
      <c r="N4235" t="s">
        <v>555</v>
      </c>
      <c r="O4235" t="s">
        <v>9441</v>
      </c>
      <c r="P4235" t="s">
        <v>19887</v>
      </c>
      <c r="Q4235" t="s">
        <v>19888</v>
      </c>
      <c r="R4235">
        <v>13</v>
      </c>
      <c r="S4235">
        <v>16</v>
      </c>
    </row>
    <row r="4236" spans="1:19" x14ac:dyDescent="0.35">
      <c r="A4236">
        <v>8234</v>
      </c>
      <c r="B4236" t="s">
        <v>551</v>
      </c>
      <c r="C4236" t="s">
        <v>42</v>
      </c>
      <c r="D4236" t="s">
        <v>19884</v>
      </c>
      <c r="E4236" t="e" cm="1">
        <f t="array" ref="E4236">- POVIDONE-IODINE</f>
        <v>#NAME?</v>
      </c>
      <c r="F4236" t="s">
        <v>19885</v>
      </c>
      <c r="H4236" t="s">
        <v>1322</v>
      </c>
      <c r="I4236" t="s">
        <v>9439</v>
      </c>
      <c r="J4236" t="s">
        <v>19886</v>
      </c>
      <c r="L4236" t="s">
        <v>9649</v>
      </c>
      <c r="M4236" t="s">
        <v>554</v>
      </c>
      <c r="N4236" t="s">
        <v>555</v>
      </c>
      <c r="O4236" t="s">
        <v>9441</v>
      </c>
      <c r="P4236" t="s">
        <v>19887</v>
      </c>
      <c r="Q4236" t="s">
        <v>19888</v>
      </c>
      <c r="R4236">
        <v>13</v>
      </c>
      <c r="S4236">
        <v>16</v>
      </c>
    </row>
    <row r="4237" spans="1:19" x14ac:dyDescent="0.35">
      <c r="A4237">
        <v>2175</v>
      </c>
      <c r="B4237" t="s">
        <v>19889</v>
      </c>
      <c r="C4237" t="s">
        <v>42</v>
      </c>
      <c r="D4237" t="s">
        <v>19890</v>
      </c>
      <c r="E4237" t="e" cm="1">
        <f t="array" ref="E4237">- ETORICOXIB</f>
        <v>#NAME?</v>
      </c>
      <c r="F4237" t="s">
        <v>19891</v>
      </c>
      <c r="G4237" t="s">
        <v>60</v>
      </c>
      <c r="H4237" t="s">
        <v>19892</v>
      </c>
      <c r="I4237" t="s">
        <v>19893</v>
      </c>
      <c r="J4237" t="s">
        <v>956</v>
      </c>
      <c r="K4237" t="s">
        <v>19894</v>
      </c>
      <c r="L4237" t="s">
        <v>19895</v>
      </c>
      <c r="M4237" t="s">
        <v>46</v>
      </c>
      <c r="N4237" t="s">
        <v>47</v>
      </c>
      <c r="O4237" t="s">
        <v>19896</v>
      </c>
      <c r="P4237" t="s">
        <v>19897</v>
      </c>
      <c r="Q4237" t="s">
        <v>19898</v>
      </c>
      <c r="R4237">
        <v>13</v>
      </c>
      <c r="S4237">
        <v>16</v>
      </c>
    </row>
    <row r="4238" spans="1:19" x14ac:dyDescent="0.35">
      <c r="A4238">
        <v>3632</v>
      </c>
      <c r="B4238" t="s">
        <v>19899</v>
      </c>
      <c r="C4238" t="s">
        <v>42</v>
      </c>
      <c r="D4238" t="s">
        <v>19900</v>
      </c>
      <c r="E4238" t="e" cm="1">
        <f t="array" ref="E4238">- ONDANSETRON HYDROCHLORIDE</f>
        <v>#NAME?</v>
      </c>
      <c r="F4238" t="s">
        <v>19901</v>
      </c>
      <c r="I4238" t="s">
        <v>14380</v>
      </c>
      <c r="J4238" t="s">
        <v>334</v>
      </c>
      <c r="M4238" t="s">
        <v>271</v>
      </c>
      <c r="N4238" t="s">
        <v>14328</v>
      </c>
      <c r="O4238" t="s">
        <v>14383</v>
      </c>
      <c r="P4238" t="s">
        <v>19902</v>
      </c>
      <c r="Q4238" t="s">
        <v>19903</v>
      </c>
      <c r="R4238">
        <v>13</v>
      </c>
      <c r="S4238">
        <v>16</v>
      </c>
    </row>
    <row r="4239" spans="1:19" x14ac:dyDescent="0.35">
      <c r="A4239">
        <v>3641</v>
      </c>
      <c r="B4239" t="s">
        <v>19904</v>
      </c>
      <c r="C4239" t="s">
        <v>42</v>
      </c>
      <c r="D4239" t="s">
        <v>19905</v>
      </c>
      <c r="E4239" t="e" cm="1">
        <f t="array" ref="E4239">- METOCLOPRAMIDE HYDROCHLORIDE</f>
        <v>#NAME?</v>
      </c>
      <c r="F4239" t="s">
        <v>19906</v>
      </c>
      <c r="G4239" t="s">
        <v>19907</v>
      </c>
      <c r="H4239" t="s">
        <v>19908</v>
      </c>
      <c r="I4239" t="s">
        <v>19909</v>
      </c>
      <c r="J4239" t="s">
        <v>381</v>
      </c>
      <c r="K4239" t="s">
        <v>19910</v>
      </c>
      <c r="L4239" t="s">
        <v>19911</v>
      </c>
      <c r="M4239" t="s">
        <v>46</v>
      </c>
      <c r="N4239" t="s">
        <v>1876</v>
      </c>
      <c r="O4239" t="s">
        <v>19912</v>
      </c>
      <c r="P4239" t="s">
        <v>19913</v>
      </c>
      <c r="Q4239" t="s">
        <v>19914</v>
      </c>
      <c r="R4239">
        <v>13</v>
      </c>
      <c r="S4239">
        <v>16</v>
      </c>
    </row>
    <row r="4240" spans="1:19" x14ac:dyDescent="0.35">
      <c r="A4240">
        <v>3642</v>
      </c>
      <c r="B4240" t="s">
        <v>19904</v>
      </c>
      <c r="C4240" t="s">
        <v>42</v>
      </c>
      <c r="D4240" t="s">
        <v>19905</v>
      </c>
      <c r="E4240" t="e" cm="1">
        <f t="array" ref="E4240">- METOCLOPRAMIDE HYDROCHLORIDE</f>
        <v>#NAME?</v>
      </c>
      <c r="F4240" t="s">
        <v>19906</v>
      </c>
      <c r="G4240" t="s">
        <v>19907</v>
      </c>
      <c r="H4240" t="s">
        <v>19908</v>
      </c>
      <c r="I4240" t="s">
        <v>19909</v>
      </c>
      <c r="J4240" t="s">
        <v>381</v>
      </c>
      <c r="K4240" t="s">
        <v>19910</v>
      </c>
      <c r="L4240" t="s">
        <v>19911</v>
      </c>
      <c r="M4240" t="s">
        <v>46</v>
      </c>
      <c r="N4240" t="s">
        <v>1876</v>
      </c>
      <c r="O4240" t="s">
        <v>19912</v>
      </c>
      <c r="P4240" t="s">
        <v>19913</v>
      </c>
      <c r="Q4240" t="s">
        <v>19914</v>
      </c>
      <c r="R4240">
        <v>13</v>
      </c>
      <c r="S4240">
        <v>16</v>
      </c>
    </row>
    <row r="4241" spans="1:19" x14ac:dyDescent="0.35">
      <c r="A4241">
        <v>8223</v>
      </c>
      <c r="B4241" t="s">
        <v>551</v>
      </c>
      <c r="C4241" t="s">
        <v>42</v>
      </c>
      <c r="D4241" t="s">
        <v>19915</v>
      </c>
      <c r="E4241" t="e" cm="1">
        <f t="array" ref="E4241">- POVIDONE-IODINE</f>
        <v>#NAME?</v>
      </c>
      <c r="F4241" t="s">
        <v>19916</v>
      </c>
      <c r="I4241" t="s">
        <v>19917</v>
      </c>
      <c r="J4241" t="s">
        <v>19918</v>
      </c>
      <c r="M4241" t="s">
        <v>554</v>
      </c>
      <c r="N4241" t="s">
        <v>555</v>
      </c>
      <c r="O4241" t="s">
        <v>19919</v>
      </c>
      <c r="P4241" t="s">
        <v>19920</v>
      </c>
      <c r="Q4241" t="s">
        <v>19921</v>
      </c>
      <c r="R4241">
        <v>13</v>
      </c>
      <c r="S4241">
        <v>16</v>
      </c>
    </row>
    <row r="4242" spans="1:19" x14ac:dyDescent="0.35">
      <c r="A4242">
        <v>2174</v>
      </c>
      <c r="B4242" t="s">
        <v>19889</v>
      </c>
      <c r="C4242" t="s">
        <v>42</v>
      </c>
      <c r="D4242" t="s">
        <v>19890</v>
      </c>
      <c r="E4242" t="e" cm="1">
        <f t="array" ref="E4242">- ETORICOXIB</f>
        <v>#NAME?</v>
      </c>
      <c r="F4242" t="s">
        <v>19891</v>
      </c>
      <c r="G4242" t="s">
        <v>60</v>
      </c>
      <c r="H4242" t="s">
        <v>19892</v>
      </c>
      <c r="I4242" t="s">
        <v>19893</v>
      </c>
      <c r="J4242" t="s">
        <v>956</v>
      </c>
      <c r="K4242" t="s">
        <v>19894</v>
      </c>
      <c r="L4242" t="s">
        <v>19895</v>
      </c>
      <c r="M4242" t="s">
        <v>46</v>
      </c>
      <c r="N4242" t="s">
        <v>47</v>
      </c>
      <c r="O4242" t="s">
        <v>19896</v>
      </c>
      <c r="P4242" t="s">
        <v>19897</v>
      </c>
      <c r="Q4242" t="s">
        <v>19898</v>
      </c>
      <c r="R4242">
        <v>13</v>
      </c>
      <c r="S4242">
        <v>16</v>
      </c>
    </row>
    <row r="4243" spans="1:19" x14ac:dyDescent="0.35">
      <c r="A4243">
        <v>2173</v>
      </c>
      <c r="B4243" t="s">
        <v>19889</v>
      </c>
      <c r="C4243" t="s">
        <v>42</v>
      </c>
      <c r="D4243" t="s">
        <v>19890</v>
      </c>
      <c r="E4243" t="e" cm="1">
        <f t="array" ref="E4243">- ETORICOXIB</f>
        <v>#NAME?</v>
      </c>
      <c r="F4243" t="s">
        <v>19891</v>
      </c>
      <c r="G4243" t="s">
        <v>60</v>
      </c>
      <c r="H4243" t="s">
        <v>19892</v>
      </c>
      <c r="I4243" t="s">
        <v>19893</v>
      </c>
      <c r="J4243" t="s">
        <v>956</v>
      </c>
      <c r="K4243" t="s">
        <v>19894</v>
      </c>
      <c r="L4243" t="s">
        <v>19895</v>
      </c>
      <c r="M4243" t="s">
        <v>46</v>
      </c>
      <c r="N4243" t="s">
        <v>47</v>
      </c>
      <c r="O4243" t="s">
        <v>19896</v>
      </c>
      <c r="P4243" t="s">
        <v>19897</v>
      </c>
      <c r="Q4243" t="s">
        <v>19898</v>
      </c>
      <c r="R4243">
        <v>13</v>
      </c>
      <c r="S4243">
        <v>16</v>
      </c>
    </row>
    <row r="4244" spans="1:19" x14ac:dyDescent="0.35">
      <c r="A4244">
        <v>2172</v>
      </c>
      <c r="B4244" t="s">
        <v>19889</v>
      </c>
      <c r="C4244" t="s">
        <v>42</v>
      </c>
      <c r="D4244" t="s">
        <v>19890</v>
      </c>
      <c r="E4244" t="e" cm="1">
        <f t="array" ref="E4244">- ETORICOXIB</f>
        <v>#NAME?</v>
      </c>
      <c r="F4244" t="s">
        <v>19891</v>
      </c>
      <c r="G4244" t="s">
        <v>60</v>
      </c>
      <c r="H4244" t="s">
        <v>19892</v>
      </c>
      <c r="I4244" t="s">
        <v>19893</v>
      </c>
      <c r="J4244" t="s">
        <v>956</v>
      </c>
      <c r="K4244" t="s">
        <v>19894</v>
      </c>
      <c r="L4244" t="s">
        <v>19895</v>
      </c>
      <c r="M4244" t="s">
        <v>46</v>
      </c>
      <c r="N4244" t="s">
        <v>47</v>
      </c>
      <c r="O4244" t="s">
        <v>19896</v>
      </c>
      <c r="P4244" t="s">
        <v>19897</v>
      </c>
      <c r="Q4244" t="s">
        <v>19898</v>
      </c>
      <c r="R4244">
        <v>13</v>
      </c>
      <c r="S4244">
        <v>16</v>
      </c>
    </row>
    <row r="4245" spans="1:19" x14ac:dyDescent="0.35">
      <c r="A4245">
        <v>2171</v>
      </c>
      <c r="B4245" t="s">
        <v>19889</v>
      </c>
      <c r="C4245" t="s">
        <v>42</v>
      </c>
      <c r="D4245" t="s">
        <v>19890</v>
      </c>
      <c r="E4245" t="e" cm="1">
        <f t="array" ref="E4245">- ETORICOXIB</f>
        <v>#NAME?</v>
      </c>
      <c r="F4245" t="s">
        <v>19891</v>
      </c>
      <c r="G4245" t="s">
        <v>60</v>
      </c>
      <c r="H4245" t="s">
        <v>19892</v>
      </c>
      <c r="I4245" t="s">
        <v>19893</v>
      </c>
      <c r="J4245" t="s">
        <v>956</v>
      </c>
      <c r="K4245" t="s">
        <v>19894</v>
      </c>
      <c r="L4245" t="s">
        <v>19895</v>
      </c>
      <c r="M4245" t="s">
        <v>46</v>
      </c>
      <c r="N4245" t="s">
        <v>47</v>
      </c>
      <c r="O4245" t="s">
        <v>19896</v>
      </c>
      <c r="P4245" t="s">
        <v>19897</v>
      </c>
      <c r="Q4245" t="s">
        <v>19898</v>
      </c>
      <c r="R4245">
        <v>13</v>
      </c>
      <c r="S4245">
        <v>16</v>
      </c>
    </row>
    <row r="4246" spans="1:19" x14ac:dyDescent="0.35">
      <c r="A4246">
        <v>2170</v>
      </c>
      <c r="B4246" t="s">
        <v>19889</v>
      </c>
      <c r="C4246" t="s">
        <v>42</v>
      </c>
      <c r="D4246" t="s">
        <v>19890</v>
      </c>
      <c r="E4246" t="e" cm="1">
        <f t="array" ref="E4246">- ETORICOXIB</f>
        <v>#NAME?</v>
      </c>
      <c r="F4246" t="s">
        <v>19891</v>
      </c>
      <c r="G4246" t="s">
        <v>60</v>
      </c>
      <c r="H4246" t="s">
        <v>19892</v>
      </c>
      <c r="I4246" t="s">
        <v>19893</v>
      </c>
      <c r="J4246" t="s">
        <v>956</v>
      </c>
      <c r="K4246" t="s">
        <v>19894</v>
      </c>
      <c r="L4246" t="s">
        <v>19895</v>
      </c>
      <c r="M4246" t="s">
        <v>46</v>
      </c>
      <c r="N4246" t="s">
        <v>47</v>
      </c>
      <c r="O4246" t="s">
        <v>19896</v>
      </c>
      <c r="P4246" t="s">
        <v>19897</v>
      </c>
      <c r="Q4246" t="s">
        <v>19898</v>
      </c>
      <c r="R4246">
        <v>13</v>
      </c>
      <c r="S4246">
        <v>16</v>
      </c>
    </row>
    <row r="4247" spans="1:19" x14ac:dyDescent="0.35">
      <c r="A4247">
        <v>8222</v>
      </c>
      <c r="B4247" t="s">
        <v>551</v>
      </c>
      <c r="C4247" t="s">
        <v>42</v>
      </c>
      <c r="D4247" t="s">
        <v>19915</v>
      </c>
      <c r="E4247" t="e" cm="1">
        <f t="array" ref="E4247">- POVIDONE-IODINE</f>
        <v>#NAME?</v>
      </c>
      <c r="F4247" t="s">
        <v>19916</v>
      </c>
      <c r="I4247" t="s">
        <v>19917</v>
      </c>
      <c r="J4247" t="s">
        <v>19918</v>
      </c>
      <c r="M4247" t="s">
        <v>554</v>
      </c>
      <c r="N4247" t="s">
        <v>555</v>
      </c>
      <c r="O4247" t="s">
        <v>19919</v>
      </c>
      <c r="P4247" t="s">
        <v>19920</v>
      </c>
      <c r="Q4247" t="s">
        <v>19921</v>
      </c>
      <c r="R4247">
        <v>13</v>
      </c>
      <c r="S4247">
        <v>16</v>
      </c>
    </row>
    <row r="4248" spans="1:19" x14ac:dyDescent="0.35">
      <c r="A4248">
        <v>2169</v>
      </c>
      <c r="B4248" t="s">
        <v>19889</v>
      </c>
      <c r="C4248" t="s">
        <v>42</v>
      </c>
      <c r="D4248" t="s">
        <v>19890</v>
      </c>
      <c r="E4248" t="e" cm="1">
        <f t="array" ref="E4248">- ETORICOXIB</f>
        <v>#NAME?</v>
      </c>
      <c r="F4248" t="s">
        <v>19891</v>
      </c>
      <c r="G4248" t="s">
        <v>60</v>
      </c>
      <c r="H4248" t="s">
        <v>19892</v>
      </c>
      <c r="I4248" t="s">
        <v>19893</v>
      </c>
      <c r="J4248" t="s">
        <v>956</v>
      </c>
      <c r="K4248" t="s">
        <v>19894</v>
      </c>
      <c r="L4248" t="s">
        <v>19895</v>
      </c>
      <c r="M4248" t="s">
        <v>46</v>
      </c>
      <c r="N4248" t="s">
        <v>47</v>
      </c>
      <c r="O4248" t="s">
        <v>19896</v>
      </c>
      <c r="P4248" t="s">
        <v>19897</v>
      </c>
      <c r="Q4248" t="s">
        <v>19898</v>
      </c>
      <c r="R4248">
        <v>13</v>
      </c>
      <c r="S4248">
        <v>16</v>
      </c>
    </row>
    <row r="4249" spans="1:19" x14ac:dyDescent="0.35">
      <c r="A4249">
        <v>3663</v>
      </c>
      <c r="B4249" t="s">
        <v>19922</v>
      </c>
      <c r="C4249" t="s">
        <v>42</v>
      </c>
      <c r="D4249" t="s">
        <v>19923</v>
      </c>
      <c r="E4249" t="e" cm="1">
        <f t="array" ref="E4249">- METOCLOPRAMIDE HYDROCHLORIDE</f>
        <v>#NAME?</v>
      </c>
      <c r="F4249" t="s">
        <v>19924</v>
      </c>
      <c r="G4249" t="s">
        <v>6774</v>
      </c>
      <c r="H4249" t="s">
        <v>19925</v>
      </c>
      <c r="I4249" t="s">
        <v>19926</v>
      </c>
      <c r="J4249" t="s">
        <v>19927</v>
      </c>
      <c r="K4249" t="s">
        <v>19928</v>
      </c>
      <c r="L4249" t="s">
        <v>19929</v>
      </c>
      <c r="M4249" t="s">
        <v>46</v>
      </c>
      <c r="N4249" t="s">
        <v>1876</v>
      </c>
      <c r="O4249" t="s">
        <v>19930</v>
      </c>
      <c r="P4249" t="s">
        <v>19931</v>
      </c>
      <c r="Q4249" t="s">
        <v>19932</v>
      </c>
      <c r="R4249">
        <v>13</v>
      </c>
      <c r="S4249">
        <v>16</v>
      </c>
    </row>
    <row r="4250" spans="1:19" x14ac:dyDescent="0.35">
      <c r="A4250">
        <v>3664</v>
      </c>
      <c r="B4250" t="s">
        <v>19922</v>
      </c>
      <c r="C4250" t="s">
        <v>42</v>
      </c>
      <c r="D4250" t="s">
        <v>19923</v>
      </c>
      <c r="E4250" t="e" cm="1">
        <f t="array" ref="E4250">- METOCLOPRAMIDE HYDROCHLORIDE</f>
        <v>#NAME?</v>
      </c>
      <c r="F4250" t="s">
        <v>19924</v>
      </c>
      <c r="G4250" t="s">
        <v>6774</v>
      </c>
      <c r="H4250" t="s">
        <v>19925</v>
      </c>
      <c r="I4250" t="s">
        <v>19926</v>
      </c>
      <c r="J4250" t="s">
        <v>19927</v>
      </c>
      <c r="K4250" t="s">
        <v>19928</v>
      </c>
      <c r="L4250" t="s">
        <v>19929</v>
      </c>
      <c r="M4250" t="s">
        <v>46</v>
      </c>
      <c r="N4250" t="s">
        <v>1876</v>
      </c>
      <c r="O4250" t="s">
        <v>19930</v>
      </c>
      <c r="P4250" t="s">
        <v>19931</v>
      </c>
      <c r="Q4250" t="s">
        <v>19932</v>
      </c>
      <c r="R4250">
        <v>13</v>
      </c>
      <c r="S4250">
        <v>16</v>
      </c>
    </row>
    <row r="4251" spans="1:19" x14ac:dyDescent="0.35">
      <c r="A4251">
        <v>3667</v>
      </c>
      <c r="B4251" t="s">
        <v>19933</v>
      </c>
      <c r="C4251" t="s">
        <v>42</v>
      </c>
      <c r="D4251" t="s">
        <v>19934</v>
      </c>
      <c r="E4251" t="e" cm="1">
        <f t="array" ref="E4251">- ONDANSETRON HYDROCHLORIDE</f>
        <v>#NAME?</v>
      </c>
      <c r="F4251" t="s">
        <v>19935</v>
      </c>
      <c r="G4251" t="s">
        <v>60</v>
      </c>
      <c r="H4251" t="s">
        <v>19936</v>
      </c>
      <c r="I4251" t="s">
        <v>19937</v>
      </c>
      <c r="J4251" t="s">
        <v>19938</v>
      </c>
      <c r="K4251" t="s">
        <v>11602</v>
      </c>
      <c r="L4251" t="s">
        <v>2537</v>
      </c>
      <c r="M4251" t="s">
        <v>46</v>
      </c>
      <c r="N4251" t="s">
        <v>14328</v>
      </c>
      <c r="O4251" t="s">
        <v>19939</v>
      </c>
      <c r="P4251" t="s">
        <v>19940</v>
      </c>
      <c r="Q4251" t="s">
        <v>19941</v>
      </c>
      <c r="R4251">
        <v>13</v>
      </c>
      <c r="S4251">
        <v>16</v>
      </c>
    </row>
    <row r="4252" spans="1:19" x14ac:dyDescent="0.35">
      <c r="A4252">
        <v>2149</v>
      </c>
      <c r="B4252" t="s">
        <v>19942</v>
      </c>
      <c r="C4252" t="s">
        <v>42</v>
      </c>
      <c r="D4252" t="s">
        <v>19943</v>
      </c>
      <c r="E4252" t="e" cm="1">
        <f t="array" ref="E4252">- ETORICOXIB</f>
        <v>#NAME?</v>
      </c>
      <c r="F4252" t="s">
        <v>19944</v>
      </c>
      <c r="G4252" t="s">
        <v>60</v>
      </c>
      <c r="H4252" t="s">
        <v>19892</v>
      </c>
      <c r="I4252" t="s">
        <v>19893</v>
      </c>
      <c r="J4252" t="s">
        <v>956</v>
      </c>
      <c r="K4252" t="s">
        <v>19894</v>
      </c>
      <c r="L4252" t="s">
        <v>19895</v>
      </c>
      <c r="M4252" t="s">
        <v>46</v>
      </c>
      <c r="N4252" t="s">
        <v>47</v>
      </c>
      <c r="O4252" t="s">
        <v>19896</v>
      </c>
      <c r="P4252" t="s">
        <v>19897</v>
      </c>
      <c r="Q4252" t="s">
        <v>19898</v>
      </c>
      <c r="R4252">
        <v>13</v>
      </c>
      <c r="S4252">
        <v>16</v>
      </c>
    </row>
    <row r="4253" spans="1:19" x14ac:dyDescent="0.35">
      <c r="A4253">
        <v>2148</v>
      </c>
      <c r="B4253" t="s">
        <v>19942</v>
      </c>
      <c r="C4253" t="s">
        <v>42</v>
      </c>
      <c r="D4253" t="s">
        <v>19943</v>
      </c>
      <c r="E4253" t="e" cm="1">
        <f t="array" ref="E4253">- ETORICOXIB</f>
        <v>#NAME?</v>
      </c>
      <c r="F4253" t="s">
        <v>19944</v>
      </c>
      <c r="G4253" t="s">
        <v>60</v>
      </c>
      <c r="H4253" t="s">
        <v>19892</v>
      </c>
      <c r="I4253" t="s">
        <v>19893</v>
      </c>
      <c r="J4253" t="s">
        <v>956</v>
      </c>
      <c r="K4253" t="s">
        <v>19894</v>
      </c>
      <c r="L4253" t="s">
        <v>19895</v>
      </c>
      <c r="M4253" t="s">
        <v>46</v>
      </c>
      <c r="N4253" t="s">
        <v>47</v>
      </c>
      <c r="O4253" t="s">
        <v>19896</v>
      </c>
      <c r="P4253" t="s">
        <v>19897</v>
      </c>
      <c r="Q4253" t="s">
        <v>19898</v>
      </c>
      <c r="R4253">
        <v>13</v>
      </c>
      <c r="S4253">
        <v>16</v>
      </c>
    </row>
    <row r="4254" spans="1:19" x14ac:dyDescent="0.35">
      <c r="A4254">
        <v>2147</v>
      </c>
      <c r="B4254" t="s">
        <v>19942</v>
      </c>
      <c r="C4254" t="s">
        <v>42</v>
      </c>
      <c r="D4254" t="s">
        <v>19943</v>
      </c>
      <c r="E4254" t="e" cm="1">
        <f t="array" ref="E4254">- ETORICOXIB</f>
        <v>#NAME?</v>
      </c>
      <c r="F4254" t="s">
        <v>19944</v>
      </c>
      <c r="G4254" t="s">
        <v>60</v>
      </c>
      <c r="H4254" t="s">
        <v>19892</v>
      </c>
      <c r="I4254" t="s">
        <v>19893</v>
      </c>
      <c r="J4254" t="s">
        <v>956</v>
      </c>
      <c r="K4254" t="s">
        <v>19894</v>
      </c>
      <c r="L4254" t="s">
        <v>19895</v>
      </c>
      <c r="M4254" t="s">
        <v>46</v>
      </c>
      <c r="N4254" t="s">
        <v>47</v>
      </c>
      <c r="O4254" t="s">
        <v>19896</v>
      </c>
      <c r="P4254" t="s">
        <v>19897</v>
      </c>
      <c r="Q4254" t="s">
        <v>19898</v>
      </c>
      <c r="R4254">
        <v>13</v>
      </c>
      <c r="S4254">
        <v>16</v>
      </c>
    </row>
    <row r="4255" spans="1:19" x14ac:dyDescent="0.35">
      <c r="A4255">
        <v>2146</v>
      </c>
      <c r="B4255" t="s">
        <v>19942</v>
      </c>
      <c r="C4255" t="s">
        <v>42</v>
      </c>
      <c r="D4255" t="s">
        <v>19943</v>
      </c>
      <c r="E4255" t="e" cm="1">
        <f t="array" ref="E4255">- ETORICOXIB</f>
        <v>#NAME?</v>
      </c>
      <c r="F4255" t="s">
        <v>19944</v>
      </c>
      <c r="G4255" t="s">
        <v>60</v>
      </c>
      <c r="H4255" t="s">
        <v>19892</v>
      </c>
      <c r="I4255" t="s">
        <v>19893</v>
      </c>
      <c r="J4255" t="s">
        <v>956</v>
      </c>
      <c r="K4255" t="s">
        <v>19894</v>
      </c>
      <c r="L4255" t="s">
        <v>19895</v>
      </c>
      <c r="M4255" t="s">
        <v>46</v>
      </c>
      <c r="N4255" t="s">
        <v>47</v>
      </c>
      <c r="O4255" t="s">
        <v>19896</v>
      </c>
      <c r="P4255" t="s">
        <v>19897</v>
      </c>
      <c r="Q4255" t="s">
        <v>19898</v>
      </c>
      <c r="R4255">
        <v>13</v>
      </c>
      <c r="S4255">
        <v>16</v>
      </c>
    </row>
    <row r="4256" spans="1:19" x14ac:dyDescent="0.35">
      <c r="A4256">
        <v>2224</v>
      </c>
      <c r="B4256" t="s">
        <v>19945</v>
      </c>
      <c r="C4256" t="s">
        <v>42</v>
      </c>
      <c r="D4256" t="s">
        <v>19946</v>
      </c>
      <c r="E4256" t="e" cm="1">
        <f t="array" ref="E4256">- PIROXICAM</f>
        <v>#NAME?</v>
      </c>
      <c r="F4256" t="s">
        <v>19947</v>
      </c>
      <c r="G4256" t="s">
        <v>19948</v>
      </c>
      <c r="H4256" t="s">
        <v>19949</v>
      </c>
    </row>
    <row r="4257" spans="1:19" x14ac:dyDescent="0.35">
      <c r="A4257">
        <v>8268</v>
      </c>
      <c r="B4257" t="s">
        <v>551</v>
      </c>
      <c r="C4257" t="s">
        <v>42</v>
      </c>
      <c r="D4257" t="s">
        <v>19950</v>
      </c>
      <c r="E4257" t="e" cm="1">
        <f t="array" ref="E4257">- POVIDONE-IODINE</f>
        <v>#NAME?</v>
      </c>
      <c r="F4257" t="s">
        <v>19951</v>
      </c>
      <c r="G4257" t="s">
        <v>19952</v>
      </c>
      <c r="H4257" t="s">
        <v>1322</v>
      </c>
      <c r="I4257" t="s">
        <v>19953</v>
      </c>
      <c r="J4257" t="s">
        <v>19954</v>
      </c>
      <c r="M4257" t="s">
        <v>554</v>
      </c>
      <c r="N4257" t="s">
        <v>555</v>
      </c>
      <c r="O4257" t="s">
        <v>19955</v>
      </c>
      <c r="P4257" t="s">
        <v>19956</v>
      </c>
      <c r="Q4257" t="s">
        <v>19957</v>
      </c>
      <c r="R4257">
        <v>13</v>
      </c>
      <c r="S4257">
        <v>16</v>
      </c>
    </row>
    <row r="4258" spans="1:19" x14ac:dyDescent="0.35">
      <c r="A4258">
        <v>8269</v>
      </c>
      <c r="B4258" t="s">
        <v>551</v>
      </c>
      <c r="C4258" t="s">
        <v>42</v>
      </c>
      <c r="D4258" t="s">
        <v>19950</v>
      </c>
      <c r="E4258" t="e" cm="1">
        <f t="array" ref="E4258">- POVIDONE-IODINE</f>
        <v>#NAME?</v>
      </c>
      <c r="F4258" t="s">
        <v>19951</v>
      </c>
      <c r="G4258" t="s">
        <v>19952</v>
      </c>
      <c r="H4258" t="s">
        <v>1322</v>
      </c>
      <c r="I4258" t="s">
        <v>19953</v>
      </c>
      <c r="J4258" t="s">
        <v>19954</v>
      </c>
      <c r="M4258" t="s">
        <v>554</v>
      </c>
      <c r="N4258" t="s">
        <v>555</v>
      </c>
      <c r="O4258" t="s">
        <v>19955</v>
      </c>
      <c r="P4258" t="s">
        <v>19956</v>
      </c>
      <c r="Q4258" t="s">
        <v>19957</v>
      </c>
      <c r="R4258">
        <v>13</v>
      </c>
      <c r="S4258">
        <v>16</v>
      </c>
    </row>
    <row r="4259" spans="1:19" x14ac:dyDescent="0.35">
      <c r="A4259">
        <v>2225</v>
      </c>
      <c r="B4259" t="s">
        <v>19945</v>
      </c>
      <c r="C4259" t="s">
        <v>42</v>
      </c>
      <c r="D4259" t="s">
        <v>19946</v>
      </c>
      <c r="E4259" t="e" cm="1">
        <f t="array" ref="E4259">- PIROXICAM</f>
        <v>#NAME?</v>
      </c>
      <c r="F4259" t="s">
        <v>19947</v>
      </c>
      <c r="G4259" t="s">
        <v>19948</v>
      </c>
      <c r="H4259" t="s">
        <v>19949</v>
      </c>
    </row>
    <row r="4260" spans="1:19" x14ac:dyDescent="0.35">
      <c r="A4260">
        <v>2431</v>
      </c>
      <c r="B4260" t="s">
        <v>19958</v>
      </c>
      <c r="C4260" t="s">
        <v>42</v>
      </c>
      <c r="D4260" t="s">
        <v>19959</v>
      </c>
      <c r="E4260" t="e" cm="1">
        <f t="array" ref="E4260">- HYOSCINE BUTYLBROMIDE</f>
        <v>#NAME?</v>
      </c>
      <c r="F4260" t="s">
        <v>19960</v>
      </c>
      <c r="G4260" t="s">
        <v>19961</v>
      </c>
      <c r="H4260" t="s">
        <v>19962</v>
      </c>
      <c r="I4260" t="s">
        <v>19963</v>
      </c>
      <c r="J4260" t="s">
        <v>19964</v>
      </c>
      <c r="K4260" t="s">
        <v>19965</v>
      </c>
      <c r="L4260" t="s">
        <v>19966</v>
      </c>
    </row>
    <row r="4261" spans="1:19" x14ac:dyDescent="0.35">
      <c r="A4261">
        <v>2428</v>
      </c>
      <c r="B4261" t="s">
        <v>5217</v>
      </c>
      <c r="C4261" t="s">
        <v>42</v>
      </c>
      <c r="D4261" t="s">
        <v>5218</v>
      </c>
      <c r="E4261" t="e" cm="1">
        <f t="array" ref="E4261">- METAMIZOLE SODIUM. THIAMINE MONONITRATE. PYRIDOXINE HYDROCHLORIDE. CYANOCOBALAMIN</f>
        <v>#NAME?</v>
      </c>
      <c r="F4261" s="1">
        <v>18300</v>
      </c>
      <c r="G4261" t="s">
        <v>5033</v>
      </c>
      <c r="H4261" t="s">
        <v>5219</v>
      </c>
      <c r="I4261" t="s">
        <v>5220</v>
      </c>
      <c r="J4261" t="s">
        <v>5221</v>
      </c>
      <c r="K4261" t="s">
        <v>5222</v>
      </c>
      <c r="L4261" t="s">
        <v>5223</v>
      </c>
      <c r="M4261" t="s">
        <v>291</v>
      </c>
      <c r="N4261" t="s">
        <v>19967</v>
      </c>
      <c r="O4261" t="s">
        <v>5224</v>
      </c>
      <c r="P4261" t="s">
        <v>5225</v>
      </c>
      <c r="Q4261" t="s">
        <v>19968</v>
      </c>
      <c r="R4261">
        <v>13</v>
      </c>
      <c r="S4261">
        <v>16</v>
      </c>
    </row>
    <row r="4262" spans="1:19" x14ac:dyDescent="0.35">
      <c r="A4262">
        <v>1595</v>
      </c>
      <c r="B4262" t="s">
        <v>19969</v>
      </c>
      <c r="C4262" t="s">
        <v>42</v>
      </c>
      <c r="D4262" t="s">
        <v>19970</v>
      </c>
      <c r="E4262" t="e" cm="1">
        <f t="array" ref="E4262">- AMMONIUM CHLORIDE</f>
        <v>#NAME?</v>
      </c>
      <c r="F4262" t="s">
        <v>19971</v>
      </c>
      <c r="G4262" t="s">
        <v>4545</v>
      </c>
      <c r="H4262" t="s">
        <v>19972</v>
      </c>
      <c r="I4262" t="s">
        <v>19973</v>
      </c>
      <c r="J4262" t="s">
        <v>374</v>
      </c>
      <c r="M4262" t="s">
        <v>271</v>
      </c>
      <c r="N4262" t="s">
        <v>1672</v>
      </c>
      <c r="O4262" t="s">
        <v>19974</v>
      </c>
      <c r="P4262" t="s">
        <v>19975</v>
      </c>
      <c r="Q4262" t="s">
        <v>19976</v>
      </c>
      <c r="R4262">
        <v>13</v>
      </c>
      <c r="S4262">
        <v>16</v>
      </c>
    </row>
    <row r="4263" spans="1:19" x14ac:dyDescent="0.35">
      <c r="A4263">
        <v>1596</v>
      </c>
      <c r="B4263" t="s">
        <v>19969</v>
      </c>
      <c r="C4263" t="s">
        <v>42</v>
      </c>
      <c r="D4263" t="s">
        <v>19977</v>
      </c>
      <c r="E4263" t="e" cm="1">
        <f t="array" ref="E4263">- AMMONIUM CHLORIDE</f>
        <v>#NAME?</v>
      </c>
      <c r="F4263" t="s">
        <v>19978</v>
      </c>
      <c r="G4263" t="s">
        <v>4545</v>
      </c>
      <c r="H4263" t="s">
        <v>19972</v>
      </c>
      <c r="I4263" t="s">
        <v>19973</v>
      </c>
      <c r="J4263" t="s">
        <v>334</v>
      </c>
      <c r="M4263" t="s">
        <v>271</v>
      </c>
      <c r="N4263" t="s">
        <v>1672</v>
      </c>
      <c r="O4263" t="s">
        <v>19974</v>
      </c>
      <c r="P4263" t="s">
        <v>19975</v>
      </c>
      <c r="Q4263" t="s">
        <v>19976</v>
      </c>
      <c r="R4263">
        <v>13</v>
      </c>
      <c r="S4263">
        <v>16</v>
      </c>
    </row>
    <row r="4264" spans="1:19" x14ac:dyDescent="0.35">
      <c r="A4264">
        <v>1609</v>
      </c>
      <c r="B4264" t="s">
        <v>19979</v>
      </c>
      <c r="C4264" t="s">
        <v>42</v>
      </c>
      <c r="D4264" t="s">
        <v>19980</v>
      </c>
      <c r="E4264" t="e" cm="1">
        <f t="array" ref="E4264">- PSEUDOEPHEDRINE HYDROCHLORIDE</f>
        <v>#NAME?</v>
      </c>
      <c r="G4264" t="s">
        <v>6310</v>
      </c>
      <c r="H4264" t="s">
        <v>19981</v>
      </c>
      <c r="I4264" t="s">
        <v>19982</v>
      </c>
      <c r="J4264" t="s">
        <v>381</v>
      </c>
      <c r="K4264" t="s">
        <v>19983</v>
      </c>
      <c r="L4264" t="s">
        <v>19984</v>
      </c>
      <c r="M4264" t="s">
        <v>291</v>
      </c>
      <c r="N4264" t="s">
        <v>8326</v>
      </c>
      <c r="O4264" t="s">
        <v>19985</v>
      </c>
      <c r="P4264" t="s">
        <v>19986</v>
      </c>
      <c r="Q4264" t="s">
        <v>19987</v>
      </c>
      <c r="R4264">
        <v>13</v>
      </c>
      <c r="S4264">
        <v>16</v>
      </c>
    </row>
    <row r="4265" spans="1:19" x14ac:dyDescent="0.35">
      <c r="A4265">
        <v>3501</v>
      </c>
      <c r="B4265" t="s">
        <v>19988</v>
      </c>
      <c r="C4265" t="s">
        <v>42</v>
      </c>
      <c r="D4265" t="s">
        <v>19989</v>
      </c>
      <c r="E4265" t="e" cm="1">
        <f t="array" ref="E4265">- ONDANSETRON HYDROCHLORIDE</f>
        <v>#NAME?</v>
      </c>
      <c r="F4265" t="s">
        <v>19990</v>
      </c>
      <c r="G4265" t="s">
        <v>14378</v>
      </c>
      <c r="H4265" t="s">
        <v>19991</v>
      </c>
      <c r="I4265" t="s">
        <v>18209</v>
      </c>
      <c r="J4265" t="s">
        <v>19992</v>
      </c>
      <c r="K4265" t="s">
        <v>14086</v>
      </c>
      <c r="L4265" t="s">
        <v>14382</v>
      </c>
      <c r="M4265" t="s">
        <v>46</v>
      </c>
      <c r="N4265" t="s">
        <v>14328</v>
      </c>
      <c r="O4265" t="s">
        <v>14383</v>
      </c>
      <c r="P4265" t="s">
        <v>18211</v>
      </c>
      <c r="Q4265" t="s">
        <v>19993</v>
      </c>
      <c r="R4265">
        <v>13</v>
      </c>
      <c r="S4265">
        <v>16</v>
      </c>
    </row>
    <row r="4266" spans="1:19" x14ac:dyDescent="0.35">
      <c r="A4266">
        <v>1611</v>
      </c>
      <c r="B4266" t="s">
        <v>19994</v>
      </c>
      <c r="C4266" t="s">
        <v>42</v>
      </c>
      <c r="D4266" t="s">
        <v>19995</v>
      </c>
      <c r="E4266" t="e" cm="1">
        <f t="array" ref="E4266">- PSEUDOEPHEDRINE HYDROCHLORIDE</f>
        <v>#NAME?</v>
      </c>
      <c r="F4266" t="s">
        <v>19996</v>
      </c>
      <c r="G4266" t="s">
        <v>6310</v>
      </c>
      <c r="H4266" t="s">
        <v>19997</v>
      </c>
      <c r="I4266" t="s">
        <v>19982</v>
      </c>
      <c r="J4266" t="s">
        <v>334</v>
      </c>
      <c r="K4266" t="s">
        <v>19983</v>
      </c>
      <c r="L4266" t="s">
        <v>19998</v>
      </c>
      <c r="M4266" t="s">
        <v>271</v>
      </c>
      <c r="N4266" t="s">
        <v>8326</v>
      </c>
      <c r="O4266" t="s">
        <v>19985</v>
      </c>
      <c r="P4266" t="s">
        <v>19986</v>
      </c>
      <c r="Q4266" t="s">
        <v>19999</v>
      </c>
      <c r="R4266">
        <v>13</v>
      </c>
      <c r="S4266">
        <v>16</v>
      </c>
    </row>
    <row r="4267" spans="1:19" x14ac:dyDescent="0.35">
      <c r="A4267">
        <v>9294</v>
      </c>
      <c r="B4267" t="s">
        <v>20000</v>
      </c>
      <c r="C4267" t="s">
        <v>42</v>
      </c>
      <c r="D4267" t="s">
        <v>20001</v>
      </c>
      <c r="E4267" t="e" cm="1">
        <f t="array" ref="E4267">- LISINOPRIL DIHYDRATE</f>
        <v>#NAME?</v>
      </c>
      <c r="F4267" t="s">
        <v>20002</v>
      </c>
      <c r="G4267" t="s">
        <v>60</v>
      </c>
      <c r="H4267" t="s">
        <v>20003</v>
      </c>
      <c r="I4267" t="s">
        <v>20004</v>
      </c>
      <c r="J4267" t="s">
        <v>20005</v>
      </c>
      <c r="K4267" t="s">
        <v>20006</v>
      </c>
      <c r="L4267" t="s">
        <v>20007</v>
      </c>
      <c r="M4267" t="s">
        <v>46</v>
      </c>
      <c r="N4267" t="s">
        <v>20008</v>
      </c>
      <c r="O4267" t="s">
        <v>20009</v>
      </c>
      <c r="P4267" t="s">
        <v>20010</v>
      </c>
      <c r="Q4267" t="s">
        <v>20011</v>
      </c>
      <c r="R4267">
        <v>13</v>
      </c>
      <c r="S4267">
        <v>16</v>
      </c>
    </row>
    <row r="4268" spans="1:19" x14ac:dyDescent="0.35">
      <c r="A4268">
        <v>8311</v>
      </c>
      <c r="B4268" t="s">
        <v>551</v>
      </c>
      <c r="C4268" t="s">
        <v>42</v>
      </c>
      <c r="D4268" t="s">
        <v>20012</v>
      </c>
      <c r="E4268" t="e" cm="1">
        <f t="array" ref="E4268">- POVIDONE-IODINE</f>
        <v>#NAME?</v>
      </c>
      <c r="F4268" t="s">
        <v>20013</v>
      </c>
      <c r="G4268" t="s">
        <v>20014</v>
      </c>
      <c r="H4268" t="s">
        <v>1322</v>
      </c>
      <c r="I4268" t="s">
        <v>16193</v>
      </c>
      <c r="J4268" t="s">
        <v>11644</v>
      </c>
      <c r="L4268" t="s">
        <v>16195</v>
      </c>
      <c r="M4268" t="s">
        <v>554</v>
      </c>
      <c r="N4268" t="s">
        <v>555</v>
      </c>
      <c r="O4268" t="s">
        <v>16196</v>
      </c>
      <c r="P4268" t="s">
        <v>20015</v>
      </c>
      <c r="Q4268" t="s">
        <v>20016</v>
      </c>
      <c r="R4268">
        <v>13</v>
      </c>
      <c r="S4268">
        <v>16</v>
      </c>
    </row>
    <row r="4269" spans="1:19" x14ac:dyDescent="0.35">
      <c r="A4269">
        <v>8310</v>
      </c>
      <c r="B4269" t="s">
        <v>551</v>
      </c>
      <c r="C4269" t="s">
        <v>42</v>
      </c>
      <c r="D4269" t="s">
        <v>20012</v>
      </c>
      <c r="E4269" t="e" cm="1">
        <f t="array" ref="E4269">- POVIDONE-IODINE</f>
        <v>#NAME?</v>
      </c>
      <c r="F4269" t="s">
        <v>20013</v>
      </c>
      <c r="G4269" t="s">
        <v>20014</v>
      </c>
      <c r="H4269" t="s">
        <v>1322</v>
      </c>
      <c r="I4269" t="s">
        <v>16193</v>
      </c>
      <c r="J4269" t="s">
        <v>11644</v>
      </c>
      <c r="L4269" t="s">
        <v>16195</v>
      </c>
      <c r="M4269" t="s">
        <v>554</v>
      </c>
      <c r="N4269" t="s">
        <v>555</v>
      </c>
      <c r="O4269" t="s">
        <v>16196</v>
      </c>
      <c r="P4269" t="s">
        <v>20015</v>
      </c>
      <c r="Q4269" t="s">
        <v>20016</v>
      </c>
      <c r="R4269">
        <v>13</v>
      </c>
      <c r="S4269">
        <v>16</v>
      </c>
    </row>
    <row r="4270" spans="1:19" x14ac:dyDescent="0.35">
      <c r="A4270">
        <v>9295</v>
      </c>
      <c r="B4270" t="s">
        <v>20017</v>
      </c>
      <c r="C4270" t="s">
        <v>42</v>
      </c>
      <c r="D4270" t="s">
        <v>20018</v>
      </c>
      <c r="E4270" t="e" cm="1">
        <f t="array" ref="E4270">- LISINOPRIL DIHYDRATE</f>
        <v>#NAME?</v>
      </c>
      <c r="F4270" t="s">
        <v>20019</v>
      </c>
      <c r="G4270" t="s">
        <v>60</v>
      </c>
      <c r="H4270" t="s">
        <v>20020</v>
      </c>
      <c r="I4270" t="s">
        <v>20004</v>
      </c>
      <c r="J4270" t="s">
        <v>2207</v>
      </c>
      <c r="K4270" t="s">
        <v>20006</v>
      </c>
      <c r="L4270" t="s">
        <v>20007</v>
      </c>
      <c r="M4270" t="s">
        <v>46</v>
      </c>
      <c r="N4270" t="s">
        <v>20008</v>
      </c>
      <c r="O4270" t="s">
        <v>20009</v>
      </c>
      <c r="P4270" t="s">
        <v>20010</v>
      </c>
      <c r="Q4270" t="s">
        <v>20011</v>
      </c>
      <c r="R4270">
        <v>13</v>
      </c>
      <c r="S4270">
        <v>16</v>
      </c>
    </row>
    <row r="4271" spans="1:19" x14ac:dyDescent="0.35">
      <c r="A4271">
        <v>2301</v>
      </c>
      <c r="B4271" t="s">
        <v>20021</v>
      </c>
      <c r="C4271" t="s">
        <v>42</v>
      </c>
      <c r="D4271" t="s">
        <v>20022</v>
      </c>
      <c r="E4271" t="e" cm="1">
        <f t="array" ref="E4271">- PARACETAMOL</f>
        <v>#NAME?</v>
      </c>
      <c r="F4271" t="s">
        <v>20023</v>
      </c>
      <c r="G4271" t="s">
        <v>2241</v>
      </c>
      <c r="H4271" t="s">
        <v>9708</v>
      </c>
      <c r="I4271" t="s">
        <v>16923</v>
      </c>
      <c r="J4271" t="s">
        <v>5221</v>
      </c>
      <c r="K4271" t="s">
        <v>20024</v>
      </c>
      <c r="L4271" t="s">
        <v>17111</v>
      </c>
      <c r="M4271" t="s">
        <v>291</v>
      </c>
      <c r="N4271" t="s">
        <v>584</v>
      </c>
      <c r="O4271" t="s">
        <v>16926</v>
      </c>
      <c r="P4271" t="s">
        <v>20025</v>
      </c>
      <c r="Q4271" t="s">
        <v>20026</v>
      </c>
      <c r="R4271">
        <v>13</v>
      </c>
      <c r="S4271">
        <v>16</v>
      </c>
    </row>
    <row r="4272" spans="1:19" x14ac:dyDescent="0.35">
      <c r="A4272">
        <v>2145</v>
      </c>
      <c r="B4272" t="s">
        <v>19942</v>
      </c>
      <c r="C4272" t="s">
        <v>42</v>
      </c>
      <c r="D4272" t="s">
        <v>19943</v>
      </c>
      <c r="E4272" t="e" cm="1">
        <f t="array" ref="E4272">- ETORICOXIB</f>
        <v>#NAME?</v>
      </c>
      <c r="F4272" t="s">
        <v>19944</v>
      </c>
      <c r="G4272" t="s">
        <v>60</v>
      </c>
      <c r="H4272" t="s">
        <v>19892</v>
      </c>
      <c r="I4272" t="s">
        <v>19893</v>
      </c>
      <c r="J4272" t="s">
        <v>956</v>
      </c>
      <c r="K4272" t="s">
        <v>19894</v>
      </c>
      <c r="L4272" t="s">
        <v>19895</v>
      </c>
      <c r="M4272" t="s">
        <v>46</v>
      </c>
      <c r="N4272" t="s">
        <v>47</v>
      </c>
      <c r="O4272" t="s">
        <v>19896</v>
      </c>
      <c r="P4272" t="s">
        <v>19897</v>
      </c>
      <c r="Q4272" t="s">
        <v>19898</v>
      </c>
      <c r="R4272">
        <v>13</v>
      </c>
      <c r="S4272">
        <v>16</v>
      </c>
    </row>
    <row r="4273" spans="1:19" x14ac:dyDescent="0.35">
      <c r="A4273">
        <v>2300</v>
      </c>
      <c r="B4273" t="s">
        <v>20021</v>
      </c>
      <c r="C4273" t="s">
        <v>42</v>
      </c>
      <c r="D4273" t="s">
        <v>20022</v>
      </c>
      <c r="E4273" t="e" cm="1">
        <f t="array" ref="E4273">- PARACETAMOL</f>
        <v>#NAME?</v>
      </c>
      <c r="F4273" t="s">
        <v>20023</v>
      </c>
      <c r="G4273" t="s">
        <v>2241</v>
      </c>
      <c r="H4273" t="s">
        <v>9708</v>
      </c>
      <c r="I4273" t="s">
        <v>16923</v>
      </c>
      <c r="J4273" t="s">
        <v>5221</v>
      </c>
      <c r="K4273" t="s">
        <v>20024</v>
      </c>
      <c r="L4273" t="s">
        <v>17111</v>
      </c>
      <c r="M4273" t="s">
        <v>291</v>
      </c>
      <c r="N4273" t="s">
        <v>584</v>
      </c>
      <c r="O4273" t="s">
        <v>16926</v>
      </c>
      <c r="P4273" t="s">
        <v>20025</v>
      </c>
      <c r="Q4273" t="s">
        <v>20026</v>
      </c>
      <c r="R4273">
        <v>13</v>
      </c>
      <c r="S4273">
        <v>16</v>
      </c>
    </row>
    <row r="4274" spans="1:19" x14ac:dyDescent="0.35">
      <c r="A4274">
        <v>9342</v>
      </c>
      <c r="B4274" t="s">
        <v>6301</v>
      </c>
      <c r="C4274" t="s">
        <v>42</v>
      </c>
      <c r="D4274" t="s">
        <v>20027</v>
      </c>
      <c r="E4274" t="s">
        <v>6303</v>
      </c>
      <c r="F4274" t="s">
        <v>20028</v>
      </c>
      <c r="G4274" t="s">
        <v>20029</v>
      </c>
      <c r="H4274" t="s">
        <v>1322</v>
      </c>
      <c r="I4274" t="s">
        <v>20030</v>
      </c>
      <c r="J4274" t="s">
        <v>20031</v>
      </c>
      <c r="L4274" t="s">
        <v>20032</v>
      </c>
      <c r="M4274" t="s">
        <v>46</v>
      </c>
      <c r="N4274" t="s">
        <v>6304</v>
      </c>
      <c r="O4274" t="s">
        <v>20033</v>
      </c>
      <c r="P4274" t="s">
        <v>20034</v>
      </c>
      <c r="Q4274" t="s">
        <v>20035</v>
      </c>
      <c r="R4274">
        <v>13</v>
      </c>
      <c r="S4274">
        <v>16</v>
      </c>
    </row>
    <row r="4275" spans="1:19" x14ac:dyDescent="0.35">
      <c r="A4275">
        <v>1631</v>
      </c>
      <c r="B4275" t="s">
        <v>3034</v>
      </c>
      <c r="C4275" t="s">
        <v>42</v>
      </c>
      <c r="D4275" t="s">
        <v>20036</v>
      </c>
      <c r="E4275" t="e" cm="1">
        <f t="array" ref="E4275">- DEXTROMETHORPHAN HYDROBROMIDE</f>
        <v>#NAME?</v>
      </c>
      <c r="F4275" t="s">
        <v>20037</v>
      </c>
      <c r="G4275" t="s">
        <v>2241</v>
      </c>
      <c r="H4275" t="s">
        <v>20038</v>
      </c>
      <c r="I4275" t="s">
        <v>20039</v>
      </c>
      <c r="J4275" t="s">
        <v>374</v>
      </c>
      <c r="K4275" t="s">
        <v>15926</v>
      </c>
      <c r="L4275" t="s">
        <v>15927</v>
      </c>
      <c r="M4275" t="s">
        <v>271</v>
      </c>
      <c r="N4275" t="s">
        <v>1376</v>
      </c>
      <c r="O4275" t="s">
        <v>18930</v>
      </c>
      <c r="P4275" t="s">
        <v>3038</v>
      </c>
      <c r="Q4275" t="s">
        <v>20040</v>
      </c>
      <c r="R4275">
        <v>13</v>
      </c>
      <c r="S4275">
        <v>16</v>
      </c>
    </row>
    <row r="4276" spans="1:19" x14ac:dyDescent="0.35">
      <c r="A4276">
        <v>1632</v>
      </c>
      <c r="B4276" t="s">
        <v>3034</v>
      </c>
      <c r="C4276" t="s">
        <v>42</v>
      </c>
      <c r="D4276" t="s">
        <v>20036</v>
      </c>
      <c r="E4276" t="e" cm="1">
        <f t="array" ref="E4276">- DEXTROMETHORPHAN HYDROBROMIDE</f>
        <v>#NAME?</v>
      </c>
      <c r="F4276" t="s">
        <v>20037</v>
      </c>
      <c r="G4276" t="s">
        <v>2241</v>
      </c>
      <c r="H4276" t="s">
        <v>20038</v>
      </c>
      <c r="I4276" t="s">
        <v>20039</v>
      </c>
      <c r="J4276" t="s">
        <v>374</v>
      </c>
      <c r="K4276" t="s">
        <v>15926</v>
      </c>
      <c r="L4276" t="s">
        <v>15927</v>
      </c>
      <c r="M4276" t="s">
        <v>271</v>
      </c>
      <c r="N4276" t="s">
        <v>1376</v>
      </c>
      <c r="O4276" t="s">
        <v>18930</v>
      </c>
      <c r="P4276" t="s">
        <v>3038</v>
      </c>
      <c r="Q4276" t="s">
        <v>20040</v>
      </c>
      <c r="R4276">
        <v>13</v>
      </c>
      <c r="S4276">
        <v>16</v>
      </c>
    </row>
    <row r="4277" spans="1:19" x14ac:dyDescent="0.35">
      <c r="A4277">
        <v>9347</v>
      </c>
      <c r="B4277" t="s">
        <v>6301</v>
      </c>
      <c r="C4277" t="s">
        <v>42</v>
      </c>
      <c r="D4277" t="s">
        <v>20041</v>
      </c>
      <c r="E4277" t="s">
        <v>6303</v>
      </c>
      <c r="F4277" t="s">
        <v>20042</v>
      </c>
      <c r="G4277" t="s">
        <v>20043</v>
      </c>
      <c r="H4277" t="s">
        <v>18223</v>
      </c>
      <c r="I4277" t="s">
        <v>20044</v>
      </c>
      <c r="J4277" t="s">
        <v>20045</v>
      </c>
      <c r="L4277" t="s">
        <v>18226</v>
      </c>
      <c r="M4277" t="s">
        <v>46</v>
      </c>
      <c r="N4277" t="s">
        <v>6304</v>
      </c>
      <c r="O4277" t="s">
        <v>20046</v>
      </c>
      <c r="P4277" t="s">
        <v>20047</v>
      </c>
      <c r="Q4277" t="s">
        <v>20048</v>
      </c>
      <c r="R4277">
        <v>13</v>
      </c>
      <c r="S4277">
        <v>16</v>
      </c>
    </row>
    <row r="4278" spans="1:19" x14ac:dyDescent="0.35">
      <c r="A4278">
        <v>8281</v>
      </c>
      <c r="B4278" t="s">
        <v>551</v>
      </c>
      <c r="C4278" t="s">
        <v>42</v>
      </c>
      <c r="D4278" t="s">
        <v>20049</v>
      </c>
      <c r="E4278" t="e" cm="1">
        <f t="array" ref="E4278">- POVIDONE-IODINE</f>
        <v>#NAME?</v>
      </c>
      <c r="F4278" s="1">
        <v>11500</v>
      </c>
      <c r="G4278" t="s">
        <v>20050</v>
      </c>
      <c r="H4278" t="s">
        <v>1322</v>
      </c>
      <c r="I4278" t="s">
        <v>20051</v>
      </c>
      <c r="J4278" t="s">
        <v>20052</v>
      </c>
      <c r="L4278" t="s">
        <v>20053</v>
      </c>
      <c r="M4278" t="s">
        <v>554</v>
      </c>
      <c r="N4278" t="s">
        <v>555</v>
      </c>
      <c r="O4278" t="s">
        <v>20054</v>
      </c>
      <c r="P4278" t="s">
        <v>2602</v>
      </c>
      <c r="Q4278" t="s">
        <v>20055</v>
      </c>
      <c r="R4278">
        <v>13</v>
      </c>
      <c r="S4278">
        <v>16</v>
      </c>
    </row>
    <row r="4279" spans="1:19" x14ac:dyDescent="0.35">
      <c r="A4279">
        <v>8280</v>
      </c>
      <c r="B4279" t="s">
        <v>551</v>
      </c>
      <c r="C4279" t="s">
        <v>42</v>
      </c>
      <c r="D4279" t="s">
        <v>20049</v>
      </c>
      <c r="E4279" t="e" cm="1">
        <f t="array" ref="E4279">- POVIDONE-IODINE</f>
        <v>#NAME?</v>
      </c>
      <c r="F4279" s="1">
        <v>11500</v>
      </c>
      <c r="G4279" t="s">
        <v>20050</v>
      </c>
      <c r="H4279" t="s">
        <v>1322</v>
      </c>
      <c r="I4279" t="s">
        <v>20051</v>
      </c>
      <c r="J4279" t="s">
        <v>20052</v>
      </c>
      <c r="L4279" t="s">
        <v>20053</v>
      </c>
      <c r="M4279" t="s">
        <v>554</v>
      </c>
      <c r="N4279" t="s">
        <v>555</v>
      </c>
      <c r="O4279" t="s">
        <v>20054</v>
      </c>
      <c r="P4279" t="s">
        <v>2602</v>
      </c>
      <c r="Q4279" t="s">
        <v>20055</v>
      </c>
      <c r="R4279">
        <v>13</v>
      </c>
      <c r="S4279">
        <v>16</v>
      </c>
    </row>
    <row r="4280" spans="1:19" x14ac:dyDescent="0.35">
      <c r="A4280">
        <v>8279</v>
      </c>
      <c r="B4280" t="s">
        <v>551</v>
      </c>
      <c r="C4280" t="s">
        <v>42</v>
      </c>
      <c r="D4280" t="s">
        <v>20056</v>
      </c>
      <c r="E4280" t="e" cm="1">
        <f t="array" ref="E4280">- POVIDONE-IODINE</f>
        <v>#NAME?</v>
      </c>
      <c r="F4280" t="s">
        <v>20057</v>
      </c>
      <c r="G4280" t="s">
        <v>20050</v>
      </c>
      <c r="H4280" t="s">
        <v>1322</v>
      </c>
      <c r="I4280" t="s">
        <v>20051</v>
      </c>
      <c r="J4280" t="s">
        <v>20052</v>
      </c>
      <c r="L4280" t="s">
        <v>20053</v>
      </c>
      <c r="M4280" t="s">
        <v>554</v>
      </c>
      <c r="N4280" t="s">
        <v>555</v>
      </c>
      <c r="O4280" t="s">
        <v>20054</v>
      </c>
      <c r="P4280" t="s">
        <v>2602</v>
      </c>
      <c r="Q4280" t="s">
        <v>20055</v>
      </c>
      <c r="R4280">
        <v>13</v>
      </c>
      <c r="S4280">
        <v>16</v>
      </c>
    </row>
    <row r="4281" spans="1:19" x14ac:dyDescent="0.35">
      <c r="A4281">
        <v>8278</v>
      </c>
      <c r="B4281" t="s">
        <v>551</v>
      </c>
      <c r="C4281" t="s">
        <v>42</v>
      </c>
      <c r="D4281" t="s">
        <v>20056</v>
      </c>
      <c r="E4281" t="e" cm="1">
        <f t="array" ref="E4281">- POVIDONE-IODINE</f>
        <v>#NAME?</v>
      </c>
      <c r="F4281" t="s">
        <v>20057</v>
      </c>
      <c r="G4281" t="s">
        <v>20050</v>
      </c>
      <c r="H4281" t="s">
        <v>1322</v>
      </c>
      <c r="I4281" t="s">
        <v>20051</v>
      </c>
      <c r="J4281" t="s">
        <v>20052</v>
      </c>
      <c r="L4281" t="s">
        <v>20053</v>
      </c>
      <c r="M4281" t="s">
        <v>554</v>
      </c>
      <c r="N4281" t="s">
        <v>555</v>
      </c>
      <c r="O4281" t="s">
        <v>20054</v>
      </c>
      <c r="P4281" t="s">
        <v>2602</v>
      </c>
      <c r="Q4281" t="s">
        <v>20055</v>
      </c>
      <c r="R4281">
        <v>13</v>
      </c>
      <c r="S4281">
        <v>16</v>
      </c>
    </row>
    <row r="4282" spans="1:19" x14ac:dyDescent="0.35">
      <c r="A4282">
        <v>2238</v>
      </c>
      <c r="B4282" t="s">
        <v>20058</v>
      </c>
      <c r="C4282" t="s">
        <v>42</v>
      </c>
      <c r="D4282" t="s">
        <v>20059</v>
      </c>
      <c r="E4282" t="e" cm="1">
        <f t="array" ref="E4282">- BETAHISTINE HYDROCHLORIDE</f>
        <v>#NAME?</v>
      </c>
      <c r="F4282" t="s">
        <v>20060</v>
      </c>
      <c r="G4282" t="s">
        <v>2241</v>
      </c>
      <c r="H4282" t="s">
        <v>20061</v>
      </c>
      <c r="I4282" t="s">
        <v>20062</v>
      </c>
      <c r="J4282" t="s">
        <v>20063</v>
      </c>
      <c r="K4282" t="s">
        <v>19861</v>
      </c>
      <c r="L4282" t="s">
        <v>20064</v>
      </c>
      <c r="M4282" t="s">
        <v>46</v>
      </c>
      <c r="N4282" t="s">
        <v>13934</v>
      </c>
      <c r="O4282" t="s">
        <v>19863</v>
      </c>
      <c r="P4282" t="s">
        <v>20065</v>
      </c>
      <c r="Q4282" t="s">
        <v>20066</v>
      </c>
      <c r="R4282">
        <v>13</v>
      </c>
      <c r="S4282">
        <v>16</v>
      </c>
    </row>
    <row r="4283" spans="1:19" x14ac:dyDescent="0.35">
      <c r="A4283">
        <v>1643</v>
      </c>
      <c r="B4283" t="s">
        <v>20067</v>
      </c>
      <c r="C4283" t="s">
        <v>42</v>
      </c>
      <c r="D4283" t="s">
        <v>20068</v>
      </c>
      <c r="E4283" t="e" cm="1">
        <f t="array" ref="E4283">- PSEUDOEPHEDRINE HYDROCHLORIDE. TRIPROLIDINE HYDROCHLORIDE. GUAIFENESIN</f>
        <v>#NAME?</v>
      </c>
      <c r="F4283" t="s">
        <v>20069</v>
      </c>
      <c r="G4283" t="s">
        <v>2241</v>
      </c>
      <c r="H4283" t="s">
        <v>20070</v>
      </c>
      <c r="I4283" t="s">
        <v>20071</v>
      </c>
      <c r="J4283" t="s">
        <v>17245</v>
      </c>
      <c r="K4283" t="s">
        <v>4677</v>
      </c>
      <c r="L4283" t="s">
        <v>20072</v>
      </c>
      <c r="M4283" t="s">
        <v>271</v>
      </c>
      <c r="N4283" t="s">
        <v>20073</v>
      </c>
      <c r="O4283" t="s">
        <v>20074</v>
      </c>
      <c r="P4283" t="s">
        <v>20075</v>
      </c>
      <c r="Q4283" t="s">
        <v>20076</v>
      </c>
      <c r="R4283">
        <v>13</v>
      </c>
      <c r="S4283">
        <v>16</v>
      </c>
    </row>
    <row r="4284" spans="1:19" x14ac:dyDescent="0.35">
      <c r="A4284">
        <v>8271</v>
      </c>
      <c r="B4284" t="s">
        <v>551</v>
      </c>
      <c r="C4284" t="s">
        <v>42</v>
      </c>
      <c r="D4284" t="s">
        <v>20077</v>
      </c>
      <c r="E4284" t="e" cm="1">
        <f t="array" ref="E4284">- POVIDONE-IODINE</f>
        <v>#NAME?</v>
      </c>
      <c r="F4284" t="s">
        <v>20078</v>
      </c>
      <c r="G4284" t="s">
        <v>19952</v>
      </c>
      <c r="H4284" t="s">
        <v>1322</v>
      </c>
      <c r="I4284" t="s">
        <v>19953</v>
      </c>
      <c r="J4284" t="s">
        <v>19954</v>
      </c>
      <c r="M4284" t="s">
        <v>554</v>
      </c>
      <c r="N4284" t="s">
        <v>555</v>
      </c>
      <c r="O4284" t="s">
        <v>19955</v>
      </c>
      <c r="P4284" t="s">
        <v>19956</v>
      </c>
      <c r="Q4284" t="s">
        <v>19957</v>
      </c>
      <c r="R4284">
        <v>13</v>
      </c>
      <c r="S4284">
        <v>16</v>
      </c>
    </row>
    <row r="4285" spans="1:19" x14ac:dyDescent="0.35">
      <c r="A4285">
        <v>8270</v>
      </c>
      <c r="B4285" t="s">
        <v>551</v>
      </c>
      <c r="C4285" t="s">
        <v>42</v>
      </c>
      <c r="D4285" t="s">
        <v>20077</v>
      </c>
      <c r="E4285" t="e" cm="1">
        <f t="array" ref="E4285">- POVIDONE-IODINE</f>
        <v>#NAME?</v>
      </c>
      <c r="F4285" t="s">
        <v>20078</v>
      </c>
      <c r="G4285" t="s">
        <v>19952</v>
      </c>
      <c r="H4285" t="s">
        <v>1322</v>
      </c>
      <c r="I4285" t="s">
        <v>19953</v>
      </c>
      <c r="J4285" t="s">
        <v>19954</v>
      </c>
      <c r="M4285" t="s">
        <v>554</v>
      </c>
      <c r="N4285" t="s">
        <v>555</v>
      </c>
      <c r="O4285" t="s">
        <v>19955</v>
      </c>
      <c r="P4285" t="s">
        <v>19956</v>
      </c>
      <c r="Q4285" t="s">
        <v>19957</v>
      </c>
      <c r="R4285">
        <v>13</v>
      </c>
      <c r="S4285">
        <v>16</v>
      </c>
    </row>
    <row r="4286" spans="1:19" x14ac:dyDescent="0.35">
      <c r="A4286">
        <v>1630</v>
      </c>
      <c r="B4286" t="s">
        <v>3034</v>
      </c>
      <c r="C4286" t="s">
        <v>42</v>
      </c>
      <c r="D4286" t="s">
        <v>20036</v>
      </c>
      <c r="E4286" t="e" cm="1">
        <f t="array" ref="E4286">- DEXTROMETHORPHAN HYDROBROMIDE</f>
        <v>#NAME?</v>
      </c>
      <c r="F4286" t="s">
        <v>20037</v>
      </c>
      <c r="G4286" t="s">
        <v>2241</v>
      </c>
      <c r="H4286" t="s">
        <v>20038</v>
      </c>
      <c r="I4286" t="s">
        <v>20039</v>
      </c>
      <c r="J4286" t="s">
        <v>374</v>
      </c>
      <c r="K4286" t="s">
        <v>15926</v>
      </c>
      <c r="L4286" t="s">
        <v>15927</v>
      </c>
      <c r="M4286" t="s">
        <v>271</v>
      </c>
      <c r="N4286" t="s">
        <v>1376</v>
      </c>
      <c r="O4286" t="s">
        <v>18930</v>
      </c>
      <c r="P4286" t="s">
        <v>3038</v>
      </c>
      <c r="Q4286" t="s">
        <v>20040</v>
      </c>
      <c r="R4286">
        <v>13</v>
      </c>
      <c r="S4286">
        <v>16</v>
      </c>
    </row>
    <row r="4287" spans="1:19" x14ac:dyDescent="0.35">
      <c r="A4287">
        <v>3489</v>
      </c>
      <c r="B4287" t="s">
        <v>20079</v>
      </c>
      <c r="C4287" t="s">
        <v>42</v>
      </c>
      <c r="D4287" t="s">
        <v>20080</v>
      </c>
      <c r="E4287" t="e" cm="1">
        <f t="array" ref="E4287">- ONDANSETRON HYDROCHLORIDE</f>
        <v>#NAME?</v>
      </c>
      <c r="F4287" t="s">
        <v>20081</v>
      </c>
      <c r="G4287" t="s">
        <v>14378</v>
      </c>
      <c r="H4287" t="s">
        <v>14379</v>
      </c>
      <c r="I4287" t="s">
        <v>14380</v>
      </c>
      <c r="J4287" t="s">
        <v>20082</v>
      </c>
      <c r="K4287" t="s">
        <v>14086</v>
      </c>
      <c r="L4287" t="s">
        <v>14382</v>
      </c>
      <c r="M4287" t="s">
        <v>46</v>
      </c>
      <c r="N4287" t="s">
        <v>14328</v>
      </c>
      <c r="O4287" t="s">
        <v>14383</v>
      </c>
      <c r="P4287" t="s">
        <v>1869</v>
      </c>
      <c r="Q4287" t="s">
        <v>20083</v>
      </c>
      <c r="R4287">
        <v>13</v>
      </c>
      <c r="S4287">
        <v>16</v>
      </c>
    </row>
    <row r="4288" spans="1:19" x14ac:dyDescent="0.35">
      <c r="A4288">
        <v>2144</v>
      </c>
      <c r="B4288" t="s">
        <v>19942</v>
      </c>
      <c r="C4288" t="s">
        <v>42</v>
      </c>
      <c r="D4288" t="s">
        <v>19943</v>
      </c>
      <c r="E4288" t="e" cm="1">
        <f t="array" ref="E4288">- ETORICOXIB</f>
        <v>#NAME?</v>
      </c>
      <c r="F4288" t="s">
        <v>19944</v>
      </c>
      <c r="G4288" t="s">
        <v>60</v>
      </c>
      <c r="H4288" t="s">
        <v>19892</v>
      </c>
      <c r="I4288" t="s">
        <v>19893</v>
      </c>
      <c r="J4288" t="s">
        <v>956</v>
      </c>
      <c r="K4288" t="s">
        <v>19894</v>
      </c>
      <c r="L4288" t="s">
        <v>19895</v>
      </c>
      <c r="M4288" t="s">
        <v>46</v>
      </c>
      <c r="N4288" t="s">
        <v>47</v>
      </c>
      <c r="O4288" t="s">
        <v>19896</v>
      </c>
      <c r="P4288" t="s">
        <v>19897</v>
      </c>
      <c r="Q4288" t="s">
        <v>19898</v>
      </c>
      <c r="R4288">
        <v>13</v>
      </c>
      <c r="S4288">
        <v>16</v>
      </c>
    </row>
    <row r="4289" spans="1:19" x14ac:dyDescent="0.35">
      <c r="A4289">
        <v>2142</v>
      </c>
      <c r="B4289" t="s">
        <v>19942</v>
      </c>
      <c r="C4289" t="s">
        <v>42</v>
      </c>
      <c r="D4289" t="s">
        <v>19943</v>
      </c>
      <c r="E4289" t="e" cm="1">
        <f t="array" ref="E4289">- ETORICOXIB</f>
        <v>#NAME?</v>
      </c>
      <c r="F4289" t="s">
        <v>19944</v>
      </c>
      <c r="G4289" t="s">
        <v>60</v>
      </c>
      <c r="H4289" t="s">
        <v>19892</v>
      </c>
      <c r="I4289" t="s">
        <v>19893</v>
      </c>
      <c r="J4289" t="s">
        <v>956</v>
      </c>
      <c r="K4289" t="s">
        <v>19894</v>
      </c>
      <c r="L4289" t="s">
        <v>19895</v>
      </c>
      <c r="M4289" t="s">
        <v>46</v>
      </c>
      <c r="N4289" t="s">
        <v>47</v>
      </c>
      <c r="O4289" t="s">
        <v>19896</v>
      </c>
      <c r="P4289" t="s">
        <v>19897</v>
      </c>
      <c r="Q4289" t="s">
        <v>19898</v>
      </c>
      <c r="R4289">
        <v>13</v>
      </c>
      <c r="S4289">
        <v>16</v>
      </c>
    </row>
    <row r="4290" spans="1:19" x14ac:dyDescent="0.35">
      <c r="A4290">
        <v>3778</v>
      </c>
      <c r="B4290" t="s">
        <v>20084</v>
      </c>
      <c r="C4290" t="s">
        <v>42</v>
      </c>
      <c r="D4290" t="s">
        <v>20085</v>
      </c>
      <c r="E4290" t="e" cm="1">
        <f t="array" ref="E4290">- ZINC SULFATE MONOHYDRATE</f>
        <v>#NAME?</v>
      </c>
      <c r="F4290" t="s">
        <v>20086</v>
      </c>
      <c r="G4290" t="s">
        <v>2241</v>
      </c>
      <c r="H4290" t="s">
        <v>20087</v>
      </c>
      <c r="I4290" t="s">
        <v>20088</v>
      </c>
      <c r="J4290" t="s">
        <v>4201</v>
      </c>
      <c r="M4290" t="s">
        <v>824</v>
      </c>
      <c r="N4290" t="s">
        <v>2750</v>
      </c>
      <c r="O4290" t="s">
        <v>20089</v>
      </c>
      <c r="P4290" t="s">
        <v>2900</v>
      </c>
      <c r="Q4290" t="s">
        <v>20090</v>
      </c>
      <c r="R4290">
        <v>13</v>
      </c>
      <c r="S4290">
        <v>16</v>
      </c>
    </row>
    <row r="4291" spans="1:19" x14ac:dyDescent="0.35">
      <c r="A4291">
        <v>1663</v>
      </c>
      <c r="B4291" t="s">
        <v>20091</v>
      </c>
      <c r="C4291" t="s">
        <v>42</v>
      </c>
      <c r="D4291" t="s">
        <v>20092</v>
      </c>
      <c r="E4291" t="e" cm="1">
        <f t="array" ref="E4291">- PSEUDOEPHEDRINE HYDROCHLORIDE</f>
        <v>#NAME?</v>
      </c>
      <c r="G4291" t="s">
        <v>2241</v>
      </c>
      <c r="H4291" t="s">
        <v>20093</v>
      </c>
      <c r="I4291" t="s">
        <v>20094</v>
      </c>
      <c r="J4291" t="s">
        <v>532</v>
      </c>
      <c r="K4291" t="s">
        <v>20095</v>
      </c>
      <c r="L4291" t="s">
        <v>20096</v>
      </c>
      <c r="M4291" t="s">
        <v>46</v>
      </c>
      <c r="N4291" t="s">
        <v>8326</v>
      </c>
      <c r="O4291" t="s">
        <v>20097</v>
      </c>
      <c r="P4291" t="s">
        <v>16712</v>
      </c>
      <c r="Q4291" t="s">
        <v>20098</v>
      </c>
      <c r="R4291">
        <v>13</v>
      </c>
      <c r="S4291">
        <v>16</v>
      </c>
    </row>
    <row r="4292" spans="1:19" x14ac:dyDescent="0.35">
      <c r="A4292">
        <v>1664</v>
      </c>
      <c r="B4292" t="s">
        <v>14217</v>
      </c>
      <c r="C4292" t="s">
        <v>42</v>
      </c>
      <c r="D4292" t="s">
        <v>14218</v>
      </c>
      <c r="E4292" t="e" cm="1">
        <f t="array" ref="E4292">- TRIPROLIDINE HYDROCHLORIDE. PSEUDOEPHEDRINE HYDROCHLORIDE</f>
        <v>#NAME?</v>
      </c>
      <c r="F4292" t="s">
        <v>14219</v>
      </c>
      <c r="G4292" t="s">
        <v>60</v>
      </c>
      <c r="H4292" t="s">
        <v>14220</v>
      </c>
      <c r="I4292" t="s">
        <v>14221</v>
      </c>
      <c r="J4292" t="s">
        <v>334</v>
      </c>
      <c r="K4292" t="s">
        <v>14222</v>
      </c>
      <c r="L4292" t="s">
        <v>14223</v>
      </c>
      <c r="M4292" t="s">
        <v>271</v>
      </c>
      <c r="N4292" t="s">
        <v>16710</v>
      </c>
      <c r="O4292" t="s">
        <v>14224</v>
      </c>
      <c r="P4292" t="s">
        <v>14225</v>
      </c>
      <c r="Q4292" t="s">
        <v>20099</v>
      </c>
      <c r="R4292">
        <v>13</v>
      </c>
      <c r="S4292">
        <v>16</v>
      </c>
    </row>
    <row r="4293" spans="1:19" x14ac:dyDescent="0.35">
      <c r="A4293">
        <v>3808</v>
      </c>
      <c r="B4293" t="s">
        <v>20100</v>
      </c>
      <c r="C4293" t="s">
        <v>42</v>
      </c>
      <c r="D4293" t="s">
        <v>20101</v>
      </c>
      <c r="E4293" t="e" cm="1">
        <f t="array" ref="E4293">- ZINC SULFATE MONOHYDRATE</f>
        <v>#NAME?</v>
      </c>
      <c r="F4293" s="1">
        <v>18300</v>
      </c>
      <c r="G4293" t="s">
        <v>20102</v>
      </c>
      <c r="H4293" t="s">
        <v>20103</v>
      </c>
      <c r="I4293" t="s">
        <v>20104</v>
      </c>
      <c r="J4293" t="s">
        <v>334</v>
      </c>
      <c r="K4293" t="s">
        <v>2726</v>
      </c>
      <c r="L4293" t="s">
        <v>20105</v>
      </c>
      <c r="M4293" t="s">
        <v>271</v>
      </c>
      <c r="N4293" t="s">
        <v>2750</v>
      </c>
      <c r="O4293" t="s">
        <v>20106</v>
      </c>
      <c r="P4293" t="s">
        <v>20107</v>
      </c>
      <c r="Q4293" t="s">
        <v>20108</v>
      </c>
      <c r="R4293">
        <v>13</v>
      </c>
      <c r="S4293">
        <v>16</v>
      </c>
    </row>
    <row r="4294" spans="1:19" x14ac:dyDescent="0.35">
      <c r="A4294">
        <v>3809</v>
      </c>
      <c r="B4294" t="s">
        <v>20100</v>
      </c>
      <c r="C4294" t="s">
        <v>42</v>
      </c>
      <c r="D4294" t="s">
        <v>20101</v>
      </c>
      <c r="E4294" t="e" cm="1">
        <f t="array" ref="E4294">- ZINC SULFATE MONOHYDRATE</f>
        <v>#NAME?</v>
      </c>
      <c r="F4294" s="1">
        <v>18300</v>
      </c>
      <c r="G4294" t="s">
        <v>20102</v>
      </c>
      <c r="H4294" t="s">
        <v>20103</v>
      </c>
      <c r="I4294" t="s">
        <v>20104</v>
      </c>
      <c r="J4294" t="s">
        <v>334</v>
      </c>
      <c r="K4294" t="s">
        <v>2726</v>
      </c>
      <c r="L4294" t="s">
        <v>20105</v>
      </c>
      <c r="M4294" t="s">
        <v>271</v>
      </c>
      <c r="N4294" t="s">
        <v>2750</v>
      </c>
      <c r="O4294" t="s">
        <v>20106</v>
      </c>
      <c r="P4294" t="s">
        <v>20107</v>
      </c>
      <c r="Q4294" t="s">
        <v>20108</v>
      </c>
      <c r="R4294">
        <v>13</v>
      </c>
      <c r="S4294">
        <v>16</v>
      </c>
    </row>
    <row r="4295" spans="1:19" x14ac:dyDescent="0.35">
      <c r="A4295">
        <v>3810</v>
      </c>
      <c r="B4295" t="s">
        <v>20100</v>
      </c>
      <c r="C4295" t="s">
        <v>42</v>
      </c>
      <c r="D4295" t="s">
        <v>20101</v>
      </c>
      <c r="E4295" t="e" cm="1">
        <f t="array" ref="E4295">- ZINC SULFATE MONOHYDRATE</f>
        <v>#NAME?</v>
      </c>
      <c r="F4295" t="s">
        <v>20109</v>
      </c>
      <c r="G4295" t="s">
        <v>20102</v>
      </c>
      <c r="H4295" t="s">
        <v>20103</v>
      </c>
      <c r="I4295" t="s">
        <v>20104</v>
      </c>
      <c r="J4295" t="s">
        <v>334</v>
      </c>
      <c r="K4295" t="s">
        <v>2726</v>
      </c>
      <c r="L4295" t="s">
        <v>20105</v>
      </c>
      <c r="M4295" t="s">
        <v>271</v>
      </c>
      <c r="N4295" t="s">
        <v>2750</v>
      </c>
      <c r="O4295" t="s">
        <v>20106</v>
      </c>
      <c r="P4295" t="s">
        <v>20107</v>
      </c>
      <c r="Q4295" t="s">
        <v>20108</v>
      </c>
      <c r="R4295">
        <v>13</v>
      </c>
      <c r="S4295">
        <v>16</v>
      </c>
    </row>
    <row r="4296" spans="1:19" x14ac:dyDescent="0.35">
      <c r="A4296">
        <v>3811</v>
      </c>
      <c r="B4296" t="s">
        <v>20100</v>
      </c>
      <c r="C4296" t="s">
        <v>42</v>
      </c>
      <c r="D4296" t="s">
        <v>20101</v>
      </c>
      <c r="E4296" t="e" cm="1">
        <f t="array" ref="E4296">- ZINC SULFATE MONOHYDRATE</f>
        <v>#NAME?</v>
      </c>
      <c r="F4296" t="s">
        <v>20109</v>
      </c>
      <c r="G4296" t="s">
        <v>20102</v>
      </c>
      <c r="H4296" t="s">
        <v>20103</v>
      </c>
      <c r="I4296" t="s">
        <v>20104</v>
      </c>
      <c r="J4296" t="s">
        <v>334</v>
      </c>
      <c r="K4296" t="s">
        <v>2726</v>
      </c>
      <c r="L4296" t="s">
        <v>20105</v>
      </c>
      <c r="M4296" t="s">
        <v>271</v>
      </c>
      <c r="N4296" t="s">
        <v>2750</v>
      </c>
      <c r="O4296" t="s">
        <v>20106</v>
      </c>
      <c r="P4296" t="s">
        <v>20107</v>
      </c>
      <c r="Q4296" t="s">
        <v>20108</v>
      </c>
      <c r="R4296">
        <v>13</v>
      </c>
      <c r="S4296">
        <v>16</v>
      </c>
    </row>
    <row r="4297" spans="1:19" x14ac:dyDescent="0.35">
      <c r="A4297">
        <v>2020</v>
      </c>
      <c r="B4297" t="s">
        <v>20110</v>
      </c>
      <c r="C4297" t="s">
        <v>20</v>
      </c>
      <c r="D4297" t="s">
        <v>20111</v>
      </c>
      <c r="E4297" t="s">
        <v>20112</v>
      </c>
      <c r="F4297" t="s">
        <v>20113</v>
      </c>
      <c r="H4297" t="s">
        <v>20114</v>
      </c>
      <c r="I4297" t="s">
        <v>20115</v>
      </c>
      <c r="J4297" t="s">
        <v>17480</v>
      </c>
      <c r="M4297" t="s">
        <v>271</v>
      </c>
      <c r="N4297" t="s">
        <v>20116</v>
      </c>
      <c r="O4297" t="s">
        <v>20117</v>
      </c>
      <c r="P4297" t="s">
        <v>20116</v>
      </c>
      <c r="Q4297" t="s">
        <v>20118</v>
      </c>
      <c r="R4297">
        <v>13</v>
      </c>
      <c r="S4297">
        <v>16</v>
      </c>
    </row>
    <row r="4298" spans="1:19" x14ac:dyDescent="0.35">
      <c r="A4298">
        <v>2019</v>
      </c>
      <c r="B4298" t="s">
        <v>20110</v>
      </c>
      <c r="C4298" t="s">
        <v>20</v>
      </c>
      <c r="D4298" t="s">
        <v>20111</v>
      </c>
      <c r="E4298" t="s">
        <v>20112</v>
      </c>
      <c r="F4298" t="s">
        <v>20113</v>
      </c>
      <c r="H4298" t="s">
        <v>20114</v>
      </c>
      <c r="I4298" t="s">
        <v>20115</v>
      </c>
      <c r="J4298" t="s">
        <v>17480</v>
      </c>
      <c r="M4298" t="s">
        <v>271</v>
      </c>
      <c r="N4298" t="s">
        <v>20116</v>
      </c>
      <c r="O4298" t="s">
        <v>20117</v>
      </c>
      <c r="P4298" t="s">
        <v>20116</v>
      </c>
      <c r="Q4298" t="s">
        <v>20118</v>
      </c>
      <c r="R4298">
        <v>13</v>
      </c>
      <c r="S4298">
        <v>16</v>
      </c>
    </row>
    <row r="4299" spans="1:19" x14ac:dyDescent="0.35">
      <c r="A4299">
        <v>1275</v>
      </c>
      <c r="B4299" t="s">
        <v>20119</v>
      </c>
      <c r="C4299" t="s">
        <v>42</v>
      </c>
      <c r="D4299" t="s">
        <v>20120</v>
      </c>
      <c r="E4299" t="e" cm="1">
        <f t="array" ref="E4299">- CHLORPHENAMINE MALEATE. PHENYLPROPANOLAMINE HYDROCHLORIDE. DEXTROMETHORPHAN HYDROBROMIDE. AMMONIUM CHLORIDE</f>
        <v>#NAME?</v>
      </c>
      <c r="F4299" t="s">
        <v>20121</v>
      </c>
      <c r="G4299" t="s">
        <v>539</v>
      </c>
      <c r="H4299" t="s">
        <v>20122</v>
      </c>
      <c r="I4299" t="s">
        <v>20123</v>
      </c>
      <c r="J4299" t="s">
        <v>334</v>
      </c>
      <c r="K4299" t="s">
        <v>20124</v>
      </c>
      <c r="L4299" t="s">
        <v>20125</v>
      </c>
      <c r="M4299" t="s">
        <v>271</v>
      </c>
      <c r="N4299" t="s">
        <v>20126</v>
      </c>
      <c r="O4299" t="s">
        <v>20127</v>
      </c>
      <c r="P4299" t="s">
        <v>20128</v>
      </c>
      <c r="Q4299" t="s">
        <v>20129</v>
      </c>
      <c r="R4299">
        <v>13</v>
      </c>
      <c r="S4299">
        <v>16</v>
      </c>
    </row>
    <row r="4300" spans="1:19" x14ac:dyDescent="0.35">
      <c r="A4300">
        <v>1263</v>
      </c>
      <c r="B4300" t="s">
        <v>16124</v>
      </c>
      <c r="C4300" t="s">
        <v>42</v>
      </c>
      <c r="D4300" t="s">
        <v>16125</v>
      </c>
      <c r="E4300" t="e" cm="1">
        <f t="array" ref="E4300">- DEXTROMETHORPHAN HYDROBROMIDE. CHLORPHENAMINE MALEATE</f>
        <v>#NAME?</v>
      </c>
      <c r="F4300" s="1">
        <v>16000</v>
      </c>
      <c r="G4300" t="s">
        <v>3774</v>
      </c>
      <c r="H4300" t="s">
        <v>4571</v>
      </c>
      <c r="I4300" t="s">
        <v>16126</v>
      </c>
      <c r="J4300" t="s">
        <v>12606</v>
      </c>
      <c r="K4300" t="s">
        <v>2726</v>
      </c>
      <c r="L4300" t="s">
        <v>16127</v>
      </c>
      <c r="M4300" t="s">
        <v>46</v>
      </c>
      <c r="N4300" t="s">
        <v>20130</v>
      </c>
      <c r="O4300" t="s">
        <v>16128</v>
      </c>
      <c r="P4300" t="s">
        <v>16129</v>
      </c>
      <c r="Q4300" t="s">
        <v>20131</v>
      </c>
      <c r="R4300">
        <v>13</v>
      </c>
      <c r="S4300">
        <v>16</v>
      </c>
    </row>
    <row r="4301" spans="1:19" x14ac:dyDescent="0.35">
      <c r="A4301">
        <v>8155</v>
      </c>
      <c r="B4301" t="s">
        <v>551</v>
      </c>
      <c r="C4301" t="s">
        <v>42</v>
      </c>
      <c r="D4301" t="s">
        <v>20132</v>
      </c>
      <c r="E4301" t="e" cm="1">
        <f t="array" ref="E4301">- POVIDONE-IODINE</f>
        <v>#NAME?</v>
      </c>
      <c r="F4301" t="s">
        <v>20133</v>
      </c>
      <c r="G4301" t="s">
        <v>20134</v>
      </c>
      <c r="H4301" t="s">
        <v>1322</v>
      </c>
      <c r="I4301" t="s">
        <v>20135</v>
      </c>
      <c r="J4301" t="s">
        <v>20136</v>
      </c>
      <c r="M4301" t="s">
        <v>554</v>
      </c>
      <c r="N4301" t="s">
        <v>555</v>
      </c>
      <c r="O4301" t="s">
        <v>20137</v>
      </c>
      <c r="P4301" t="s">
        <v>20138</v>
      </c>
      <c r="Q4301" t="s">
        <v>20139</v>
      </c>
      <c r="R4301">
        <v>13</v>
      </c>
      <c r="S4301">
        <v>16</v>
      </c>
    </row>
    <row r="4302" spans="1:19" x14ac:dyDescent="0.35">
      <c r="A4302">
        <v>8154</v>
      </c>
      <c r="B4302" t="s">
        <v>551</v>
      </c>
      <c r="C4302" t="s">
        <v>42</v>
      </c>
      <c r="D4302" t="s">
        <v>20132</v>
      </c>
      <c r="E4302" t="e" cm="1">
        <f t="array" ref="E4302">- POVIDONE-IODINE</f>
        <v>#NAME?</v>
      </c>
      <c r="F4302" t="s">
        <v>20133</v>
      </c>
      <c r="G4302" t="s">
        <v>20134</v>
      </c>
      <c r="H4302" t="s">
        <v>1322</v>
      </c>
      <c r="I4302" t="s">
        <v>20135</v>
      </c>
      <c r="J4302" t="s">
        <v>20136</v>
      </c>
      <c r="M4302" t="s">
        <v>554</v>
      </c>
      <c r="N4302" t="s">
        <v>555</v>
      </c>
      <c r="O4302" t="s">
        <v>20137</v>
      </c>
      <c r="P4302" t="s">
        <v>20138</v>
      </c>
      <c r="Q4302" t="s">
        <v>20139</v>
      </c>
      <c r="R4302">
        <v>13</v>
      </c>
      <c r="S4302">
        <v>16</v>
      </c>
    </row>
    <row r="4303" spans="1:19" x14ac:dyDescent="0.35">
      <c r="A4303">
        <v>3851</v>
      </c>
      <c r="B4303" t="s">
        <v>20140</v>
      </c>
      <c r="C4303" t="s">
        <v>42</v>
      </c>
      <c r="D4303" t="s">
        <v>20141</v>
      </c>
      <c r="E4303" t="e" cm="1">
        <f t="array" ref="E4303">- ZINC SULFATE</f>
        <v>#NAME?</v>
      </c>
      <c r="F4303" t="s">
        <v>20142</v>
      </c>
      <c r="G4303" t="s">
        <v>2241</v>
      </c>
      <c r="H4303" t="s">
        <v>20143</v>
      </c>
      <c r="I4303" t="s">
        <v>20144</v>
      </c>
      <c r="J4303" t="s">
        <v>334</v>
      </c>
      <c r="L4303" t="s">
        <v>20145</v>
      </c>
      <c r="M4303" t="s">
        <v>271</v>
      </c>
      <c r="N4303" t="s">
        <v>16391</v>
      </c>
      <c r="O4303" t="s">
        <v>20146</v>
      </c>
      <c r="P4303" t="s">
        <v>20147</v>
      </c>
      <c r="Q4303" t="s">
        <v>20148</v>
      </c>
      <c r="R4303">
        <v>13</v>
      </c>
      <c r="S4303">
        <v>16</v>
      </c>
    </row>
    <row r="4304" spans="1:19" x14ac:dyDescent="0.35">
      <c r="A4304">
        <v>3853</v>
      </c>
      <c r="B4304" t="s">
        <v>20140</v>
      </c>
      <c r="C4304" t="s">
        <v>42</v>
      </c>
      <c r="D4304" t="s">
        <v>20141</v>
      </c>
      <c r="E4304" t="e" cm="1">
        <f t="array" ref="E4304">- ZINC SULFATE</f>
        <v>#NAME?</v>
      </c>
      <c r="F4304" t="s">
        <v>20142</v>
      </c>
      <c r="G4304" t="s">
        <v>2241</v>
      </c>
      <c r="H4304" t="s">
        <v>20143</v>
      </c>
      <c r="I4304" t="s">
        <v>20144</v>
      </c>
      <c r="J4304" t="s">
        <v>334</v>
      </c>
      <c r="L4304" t="s">
        <v>20145</v>
      </c>
      <c r="M4304" t="s">
        <v>271</v>
      </c>
      <c r="N4304" t="s">
        <v>16391</v>
      </c>
      <c r="O4304" t="s">
        <v>20146</v>
      </c>
      <c r="P4304" t="s">
        <v>20147</v>
      </c>
      <c r="Q4304" t="s">
        <v>20148</v>
      </c>
      <c r="R4304">
        <v>13</v>
      </c>
      <c r="S4304">
        <v>16</v>
      </c>
    </row>
    <row r="4305" spans="1:19" x14ac:dyDescent="0.35">
      <c r="A4305">
        <v>3859</v>
      </c>
      <c r="B4305" t="s">
        <v>16383</v>
      </c>
      <c r="C4305" t="s">
        <v>42</v>
      </c>
      <c r="D4305" t="s">
        <v>16384</v>
      </c>
      <c r="E4305" t="e" cm="1">
        <f t="array" ref="E4305">- ZINC SULFATE HEPTAHYDRATE</f>
        <v>#NAME?</v>
      </c>
      <c r="F4305" t="s">
        <v>16385</v>
      </c>
      <c r="G4305" t="s">
        <v>16386</v>
      </c>
      <c r="H4305" t="s">
        <v>16387</v>
      </c>
      <c r="I4305" t="s">
        <v>16388</v>
      </c>
      <c r="J4305" t="s">
        <v>374</v>
      </c>
      <c r="K4305" t="s">
        <v>16389</v>
      </c>
      <c r="L4305" t="s">
        <v>16390</v>
      </c>
      <c r="M4305" t="s">
        <v>271</v>
      </c>
      <c r="N4305" t="s">
        <v>20149</v>
      </c>
      <c r="O4305" t="s">
        <v>16392</v>
      </c>
      <c r="P4305" t="s">
        <v>16393</v>
      </c>
      <c r="Q4305" t="s">
        <v>20150</v>
      </c>
      <c r="R4305">
        <v>13</v>
      </c>
      <c r="S4305">
        <v>16</v>
      </c>
    </row>
    <row r="4306" spans="1:19" x14ac:dyDescent="0.35">
      <c r="A4306">
        <v>3871</v>
      </c>
      <c r="B4306" t="s">
        <v>20151</v>
      </c>
      <c r="C4306" t="s">
        <v>42</v>
      </c>
      <c r="D4306" t="s">
        <v>20152</v>
      </c>
      <c r="E4306" t="e" cm="1">
        <f t="array" ref="E4306">- ZINC SULFATE MONOHYDRATE</f>
        <v>#NAME?</v>
      </c>
      <c r="F4306" t="s">
        <v>20153</v>
      </c>
      <c r="G4306" t="s">
        <v>2241</v>
      </c>
      <c r="H4306" t="s">
        <v>20154</v>
      </c>
      <c r="I4306" t="s">
        <v>16502</v>
      </c>
      <c r="J4306" t="s">
        <v>20155</v>
      </c>
      <c r="M4306" t="s">
        <v>271</v>
      </c>
      <c r="N4306" t="s">
        <v>2750</v>
      </c>
      <c r="O4306" t="s">
        <v>16504</v>
      </c>
      <c r="P4306" t="s">
        <v>20156</v>
      </c>
      <c r="Q4306" t="s">
        <v>20157</v>
      </c>
      <c r="R4306">
        <v>13</v>
      </c>
      <c r="S4306">
        <v>16</v>
      </c>
    </row>
    <row r="4307" spans="1:19" x14ac:dyDescent="0.35">
      <c r="A4307">
        <v>3872</v>
      </c>
      <c r="B4307" t="s">
        <v>20151</v>
      </c>
      <c r="C4307" t="s">
        <v>42</v>
      </c>
      <c r="D4307" t="s">
        <v>20152</v>
      </c>
      <c r="E4307" t="e" cm="1">
        <f t="array" ref="E4307">- ZINC SULFATE MONOHYDRATE</f>
        <v>#NAME?</v>
      </c>
      <c r="F4307" t="s">
        <v>20153</v>
      </c>
      <c r="G4307" t="s">
        <v>2241</v>
      </c>
      <c r="H4307" t="s">
        <v>20154</v>
      </c>
      <c r="I4307" t="s">
        <v>16502</v>
      </c>
      <c r="J4307" t="s">
        <v>20155</v>
      </c>
      <c r="M4307" t="s">
        <v>271</v>
      </c>
      <c r="N4307" t="s">
        <v>2750</v>
      </c>
      <c r="O4307" t="s">
        <v>16504</v>
      </c>
      <c r="P4307" t="s">
        <v>20156</v>
      </c>
      <c r="Q4307" t="s">
        <v>20157</v>
      </c>
      <c r="R4307">
        <v>13</v>
      </c>
      <c r="S4307">
        <v>16</v>
      </c>
    </row>
    <row r="4308" spans="1:19" x14ac:dyDescent="0.35">
      <c r="A4308">
        <v>1951</v>
      </c>
      <c r="B4308" t="s">
        <v>13447</v>
      </c>
      <c r="C4308" t="s">
        <v>20</v>
      </c>
      <c r="D4308" t="s">
        <v>20158</v>
      </c>
      <c r="E4308" t="s">
        <v>13449</v>
      </c>
      <c r="F4308" s="1">
        <v>24600</v>
      </c>
      <c r="G4308" t="s">
        <v>2241</v>
      </c>
      <c r="H4308" t="s">
        <v>13451</v>
      </c>
      <c r="I4308" t="s">
        <v>20159</v>
      </c>
      <c r="J4308" t="s">
        <v>12335</v>
      </c>
      <c r="M4308" t="s">
        <v>2374</v>
      </c>
      <c r="N4308" t="s">
        <v>13453</v>
      </c>
      <c r="O4308" t="s">
        <v>20160</v>
      </c>
      <c r="P4308" t="s">
        <v>13453</v>
      </c>
      <c r="Q4308" t="s">
        <v>20161</v>
      </c>
      <c r="R4308">
        <v>13</v>
      </c>
      <c r="S4308">
        <v>16</v>
      </c>
    </row>
    <row r="4309" spans="1:19" x14ac:dyDescent="0.35">
      <c r="A4309">
        <v>1948</v>
      </c>
      <c r="B4309" t="s">
        <v>13447</v>
      </c>
      <c r="C4309" t="s">
        <v>20</v>
      </c>
      <c r="D4309" t="s">
        <v>20158</v>
      </c>
      <c r="E4309" t="s">
        <v>13449</v>
      </c>
      <c r="F4309" s="1">
        <v>24600</v>
      </c>
      <c r="G4309" t="s">
        <v>2241</v>
      </c>
      <c r="H4309" t="s">
        <v>13451</v>
      </c>
      <c r="I4309" t="s">
        <v>20159</v>
      </c>
      <c r="J4309" t="s">
        <v>12335</v>
      </c>
      <c r="M4309" t="s">
        <v>2374</v>
      </c>
      <c r="N4309" t="s">
        <v>13453</v>
      </c>
      <c r="O4309" t="s">
        <v>20160</v>
      </c>
      <c r="P4309" t="s">
        <v>13453</v>
      </c>
      <c r="Q4309" t="s">
        <v>20161</v>
      </c>
      <c r="R4309">
        <v>13</v>
      </c>
      <c r="S4309">
        <v>16</v>
      </c>
    </row>
    <row r="4310" spans="1:19" x14ac:dyDescent="0.35">
      <c r="A4310">
        <v>3901</v>
      </c>
      <c r="B4310" t="s">
        <v>7520</v>
      </c>
      <c r="C4310" t="s">
        <v>42</v>
      </c>
      <c r="D4310" t="s">
        <v>20162</v>
      </c>
      <c r="E4310" t="e" cm="1">
        <f t="array" ref="E4310">- LACTULOSE</f>
        <v>#NAME?</v>
      </c>
      <c r="F4310" t="s">
        <v>20163</v>
      </c>
      <c r="G4310" t="s">
        <v>6310</v>
      </c>
      <c r="H4310" t="s">
        <v>20164</v>
      </c>
    </row>
    <row r="4311" spans="1:19" x14ac:dyDescent="0.35">
      <c r="A4311">
        <v>3902</v>
      </c>
      <c r="B4311" t="s">
        <v>7520</v>
      </c>
      <c r="C4311" t="s">
        <v>42</v>
      </c>
      <c r="D4311" t="s">
        <v>20162</v>
      </c>
      <c r="E4311" t="e" cm="1">
        <f t="array" ref="E4311">- LACTULOSE</f>
        <v>#NAME?</v>
      </c>
      <c r="F4311" t="s">
        <v>20163</v>
      </c>
      <c r="G4311" t="s">
        <v>6310</v>
      </c>
      <c r="H4311" t="s">
        <v>20164</v>
      </c>
    </row>
    <row r="4312" spans="1:19" x14ac:dyDescent="0.35">
      <c r="A4312">
        <v>3903</v>
      </c>
      <c r="B4312" t="s">
        <v>7520</v>
      </c>
      <c r="C4312" t="s">
        <v>42</v>
      </c>
      <c r="D4312" t="s">
        <v>20162</v>
      </c>
      <c r="E4312" t="e" cm="1">
        <f t="array" ref="E4312">- LACTULOSE</f>
        <v>#NAME?</v>
      </c>
      <c r="F4312" t="s">
        <v>20163</v>
      </c>
      <c r="G4312" t="s">
        <v>6310</v>
      </c>
      <c r="H4312" t="s">
        <v>20164</v>
      </c>
    </row>
    <row r="4313" spans="1:19" x14ac:dyDescent="0.35">
      <c r="A4313">
        <v>3904</v>
      </c>
      <c r="B4313" t="s">
        <v>7520</v>
      </c>
      <c r="C4313" t="s">
        <v>42</v>
      </c>
      <c r="D4313" t="s">
        <v>20162</v>
      </c>
      <c r="E4313" t="e" cm="1">
        <f t="array" ref="E4313">- LACTULOSE</f>
        <v>#NAME?</v>
      </c>
      <c r="F4313" t="s">
        <v>20163</v>
      </c>
      <c r="G4313" t="s">
        <v>6310</v>
      </c>
      <c r="H4313" t="s">
        <v>20164</v>
      </c>
    </row>
    <row r="4314" spans="1:19" x14ac:dyDescent="0.35">
      <c r="A4314">
        <v>1932</v>
      </c>
      <c r="B4314" t="s">
        <v>20165</v>
      </c>
      <c r="C4314" t="s">
        <v>20</v>
      </c>
      <c r="D4314" t="s">
        <v>20166</v>
      </c>
      <c r="E4314" t="s">
        <v>20167</v>
      </c>
      <c r="F4314" t="s">
        <v>20168</v>
      </c>
      <c r="G4314" t="s">
        <v>6707</v>
      </c>
      <c r="H4314" t="s">
        <v>13141</v>
      </c>
      <c r="I4314" t="s">
        <v>6709</v>
      </c>
      <c r="J4314" t="s">
        <v>13142</v>
      </c>
      <c r="L4314" t="s">
        <v>6711</v>
      </c>
      <c r="M4314" t="s">
        <v>271</v>
      </c>
      <c r="N4314" t="s">
        <v>20169</v>
      </c>
      <c r="O4314" t="s">
        <v>5144</v>
      </c>
      <c r="P4314" t="s">
        <v>20170</v>
      </c>
      <c r="Q4314" t="s">
        <v>20171</v>
      </c>
      <c r="R4314">
        <v>13</v>
      </c>
      <c r="S4314">
        <v>16</v>
      </c>
    </row>
    <row r="4315" spans="1:19" x14ac:dyDescent="0.35">
      <c r="A4315">
        <v>3777</v>
      </c>
      <c r="B4315" t="s">
        <v>20084</v>
      </c>
      <c r="C4315" t="s">
        <v>42</v>
      </c>
      <c r="D4315" t="s">
        <v>20085</v>
      </c>
      <c r="E4315" t="e" cm="1">
        <f t="array" ref="E4315">- ZINC SULFATE MONOHYDRATE</f>
        <v>#NAME?</v>
      </c>
      <c r="F4315" t="s">
        <v>20086</v>
      </c>
      <c r="G4315" t="s">
        <v>2241</v>
      </c>
      <c r="H4315" t="s">
        <v>20087</v>
      </c>
      <c r="I4315" t="s">
        <v>20088</v>
      </c>
      <c r="J4315" t="s">
        <v>4201</v>
      </c>
      <c r="M4315" t="s">
        <v>824</v>
      </c>
      <c r="N4315" t="s">
        <v>2750</v>
      </c>
      <c r="O4315" t="s">
        <v>20089</v>
      </c>
      <c r="P4315" t="s">
        <v>2900</v>
      </c>
      <c r="Q4315" t="s">
        <v>20090</v>
      </c>
      <c r="R4315">
        <v>13</v>
      </c>
      <c r="S4315">
        <v>16</v>
      </c>
    </row>
    <row r="4316" spans="1:19" x14ac:dyDescent="0.35">
      <c r="A4316">
        <v>3776</v>
      </c>
      <c r="B4316" t="s">
        <v>20084</v>
      </c>
      <c r="C4316" t="s">
        <v>42</v>
      </c>
      <c r="D4316" t="s">
        <v>20085</v>
      </c>
      <c r="E4316" t="e" cm="1">
        <f t="array" ref="E4316">- ZINC SULFATE MONOHYDRATE</f>
        <v>#NAME?</v>
      </c>
      <c r="F4316" t="s">
        <v>20086</v>
      </c>
      <c r="G4316" t="s">
        <v>2241</v>
      </c>
      <c r="H4316" t="s">
        <v>20087</v>
      </c>
      <c r="I4316" t="s">
        <v>20088</v>
      </c>
      <c r="J4316" t="s">
        <v>4201</v>
      </c>
      <c r="M4316" t="s">
        <v>824</v>
      </c>
      <c r="N4316" t="s">
        <v>2750</v>
      </c>
      <c r="O4316" t="s">
        <v>20089</v>
      </c>
      <c r="P4316" t="s">
        <v>2900</v>
      </c>
      <c r="Q4316" t="s">
        <v>20090</v>
      </c>
      <c r="R4316">
        <v>13</v>
      </c>
      <c r="S4316">
        <v>16</v>
      </c>
    </row>
    <row r="4317" spans="1:19" x14ac:dyDescent="0.35">
      <c r="A4317">
        <v>3775</v>
      </c>
      <c r="B4317" t="s">
        <v>20084</v>
      </c>
      <c r="C4317" t="s">
        <v>42</v>
      </c>
      <c r="D4317" t="s">
        <v>20085</v>
      </c>
      <c r="E4317" t="e" cm="1">
        <f t="array" ref="E4317">- ZINC SULFATE MONOHYDRATE</f>
        <v>#NAME?</v>
      </c>
      <c r="F4317" t="s">
        <v>20086</v>
      </c>
      <c r="G4317" t="s">
        <v>2241</v>
      </c>
      <c r="H4317" t="s">
        <v>20087</v>
      </c>
      <c r="I4317" t="s">
        <v>20088</v>
      </c>
      <c r="J4317" t="s">
        <v>4201</v>
      </c>
      <c r="M4317" t="s">
        <v>824</v>
      </c>
      <c r="N4317" t="s">
        <v>2750</v>
      </c>
      <c r="O4317" t="s">
        <v>20089</v>
      </c>
      <c r="P4317" t="s">
        <v>2900</v>
      </c>
      <c r="Q4317" t="s">
        <v>20090</v>
      </c>
      <c r="R4317">
        <v>13</v>
      </c>
      <c r="S4317">
        <v>16</v>
      </c>
    </row>
    <row r="4318" spans="1:19" x14ac:dyDescent="0.35">
      <c r="A4318">
        <v>3774</v>
      </c>
      <c r="B4318" t="s">
        <v>20172</v>
      </c>
      <c r="C4318" t="s">
        <v>42</v>
      </c>
      <c r="D4318" t="s">
        <v>20173</v>
      </c>
      <c r="E4318" t="e" cm="1">
        <f t="array" ref="E4318">- ZINC</f>
        <v>#NAME?</v>
      </c>
      <c r="F4318" t="s">
        <v>20174</v>
      </c>
      <c r="G4318" t="s">
        <v>20175</v>
      </c>
      <c r="H4318" t="s">
        <v>20176</v>
      </c>
      <c r="I4318" t="s">
        <v>20177</v>
      </c>
      <c r="J4318" t="s">
        <v>374</v>
      </c>
      <c r="K4318" t="s">
        <v>20178</v>
      </c>
      <c r="L4318" t="s">
        <v>20179</v>
      </c>
      <c r="M4318" t="s">
        <v>271</v>
      </c>
      <c r="N4318" t="s">
        <v>20180</v>
      </c>
      <c r="O4318" t="s">
        <v>20181</v>
      </c>
      <c r="P4318" t="s">
        <v>20182</v>
      </c>
      <c r="Q4318" t="s">
        <v>20183</v>
      </c>
      <c r="R4318">
        <v>13</v>
      </c>
      <c r="S4318">
        <v>16</v>
      </c>
    </row>
    <row r="4319" spans="1:19" x14ac:dyDescent="0.35">
      <c r="A4319">
        <v>2137</v>
      </c>
      <c r="B4319" t="s">
        <v>20184</v>
      </c>
      <c r="C4319" t="s">
        <v>42</v>
      </c>
      <c r="D4319" t="s">
        <v>20185</v>
      </c>
      <c r="E4319" t="e" cm="1">
        <f t="array" ref="E4319">- BETAHISTINE MESILATE</f>
        <v>#NAME?</v>
      </c>
      <c r="F4319" t="s">
        <v>20186</v>
      </c>
      <c r="G4319" t="s">
        <v>2241</v>
      </c>
      <c r="H4319" t="s">
        <v>20187</v>
      </c>
      <c r="I4319" t="s">
        <v>19860</v>
      </c>
      <c r="J4319" t="s">
        <v>20188</v>
      </c>
      <c r="K4319" t="s">
        <v>19861</v>
      </c>
      <c r="L4319" t="s">
        <v>19862</v>
      </c>
      <c r="M4319" t="s">
        <v>46</v>
      </c>
      <c r="N4319" t="s">
        <v>2380</v>
      </c>
      <c r="O4319" t="s">
        <v>19863</v>
      </c>
      <c r="P4319" t="s">
        <v>19864</v>
      </c>
      <c r="Q4319" t="s">
        <v>19865</v>
      </c>
      <c r="R4319">
        <v>13</v>
      </c>
      <c r="S4319">
        <v>16</v>
      </c>
    </row>
    <row r="4320" spans="1:19" x14ac:dyDescent="0.35">
      <c r="A4320">
        <v>1312</v>
      </c>
      <c r="B4320" t="s">
        <v>12164</v>
      </c>
      <c r="C4320" t="s">
        <v>42</v>
      </c>
      <c r="D4320" t="s">
        <v>12165</v>
      </c>
      <c r="E4320" t="e" cm="1">
        <f t="array" ref="E4320">- PARACETAMOL. PHENYLPROPANOLAMINE HYDROCHLORIDE. CHLORPHENAMINE MALEATE</f>
        <v>#NAME?</v>
      </c>
      <c r="F4320" t="s">
        <v>12166</v>
      </c>
      <c r="G4320" t="s">
        <v>539</v>
      </c>
      <c r="H4320" t="s">
        <v>12167</v>
      </c>
      <c r="I4320" t="s">
        <v>12168</v>
      </c>
      <c r="M4320" t="s">
        <v>271</v>
      </c>
      <c r="N4320" t="s">
        <v>20189</v>
      </c>
      <c r="O4320" t="s">
        <v>12169</v>
      </c>
      <c r="P4320" t="s">
        <v>12170</v>
      </c>
      <c r="Q4320" t="s">
        <v>20190</v>
      </c>
      <c r="R4320">
        <v>13</v>
      </c>
      <c r="S4320">
        <v>16</v>
      </c>
    </row>
    <row r="4321" spans="1:19" x14ac:dyDescent="0.35">
      <c r="A4321">
        <v>3701</v>
      </c>
      <c r="B4321" t="s">
        <v>20191</v>
      </c>
      <c r="C4321" t="s">
        <v>42</v>
      </c>
      <c r="D4321" t="s">
        <v>20192</v>
      </c>
      <c r="E4321" t="e" cm="1">
        <f t="array" ref="E4321">- ATTAPULGITE</f>
        <v>#NAME?</v>
      </c>
      <c r="F4321" t="s">
        <v>9596</v>
      </c>
      <c r="G4321" t="s">
        <v>60</v>
      </c>
      <c r="H4321" t="s">
        <v>20193</v>
      </c>
      <c r="I4321" t="s">
        <v>20194</v>
      </c>
      <c r="J4321" t="s">
        <v>17816</v>
      </c>
      <c r="K4321" t="s">
        <v>20195</v>
      </c>
      <c r="L4321" t="s">
        <v>20196</v>
      </c>
      <c r="M4321" t="s">
        <v>46</v>
      </c>
      <c r="N4321" t="s">
        <v>1450</v>
      </c>
      <c r="O4321" t="s">
        <v>20197</v>
      </c>
      <c r="P4321" t="s">
        <v>20198</v>
      </c>
      <c r="Q4321" t="s">
        <v>20199</v>
      </c>
      <c r="R4321">
        <v>13</v>
      </c>
      <c r="S4321">
        <v>16</v>
      </c>
    </row>
    <row r="4322" spans="1:19" x14ac:dyDescent="0.35">
      <c r="A4322">
        <v>2107</v>
      </c>
      <c r="B4322" t="s">
        <v>20200</v>
      </c>
      <c r="C4322" t="s">
        <v>42</v>
      </c>
      <c r="D4322" t="s">
        <v>20201</v>
      </c>
      <c r="E4322" t="e" cm="1">
        <f t="array" ref="E4322">- DICLOFENAC POTASSIUM</f>
        <v>#NAME?</v>
      </c>
      <c r="F4322" t="s">
        <v>20202</v>
      </c>
      <c r="G4322" t="s">
        <v>2453</v>
      </c>
      <c r="H4322" t="s">
        <v>2596</v>
      </c>
      <c r="I4322" t="s">
        <v>20203</v>
      </c>
      <c r="J4322" t="s">
        <v>532</v>
      </c>
      <c r="K4322" t="s">
        <v>20204</v>
      </c>
      <c r="L4322" t="s">
        <v>20205</v>
      </c>
      <c r="M4322" t="s">
        <v>46</v>
      </c>
      <c r="N4322" t="s">
        <v>2637</v>
      </c>
      <c r="O4322" t="s">
        <v>20206</v>
      </c>
      <c r="P4322" t="s">
        <v>20207</v>
      </c>
      <c r="Q4322" t="s">
        <v>20208</v>
      </c>
      <c r="R4322">
        <v>13</v>
      </c>
      <c r="S4322">
        <v>16</v>
      </c>
    </row>
    <row r="4323" spans="1:19" x14ac:dyDescent="0.35">
      <c r="A4323">
        <v>2106</v>
      </c>
      <c r="B4323" t="s">
        <v>20200</v>
      </c>
      <c r="C4323" t="s">
        <v>42</v>
      </c>
      <c r="D4323" t="s">
        <v>20201</v>
      </c>
      <c r="E4323" t="e" cm="1">
        <f t="array" ref="E4323">- DICLOFENAC POTASSIUM</f>
        <v>#NAME?</v>
      </c>
      <c r="F4323" t="s">
        <v>20202</v>
      </c>
      <c r="G4323" t="s">
        <v>2453</v>
      </c>
      <c r="H4323" t="s">
        <v>2596</v>
      </c>
      <c r="I4323" t="s">
        <v>20203</v>
      </c>
      <c r="J4323" t="s">
        <v>532</v>
      </c>
      <c r="K4323" t="s">
        <v>20204</v>
      </c>
      <c r="L4323" t="s">
        <v>20205</v>
      </c>
      <c r="M4323" t="s">
        <v>46</v>
      </c>
      <c r="N4323" t="s">
        <v>2637</v>
      </c>
      <c r="O4323" t="s">
        <v>20206</v>
      </c>
      <c r="P4323" t="s">
        <v>20207</v>
      </c>
      <c r="Q4323" t="s">
        <v>20208</v>
      </c>
      <c r="R4323">
        <v>13</v>
      </c>
      <c r="S4323">
        <v>16</v>
      </c>
    </row>
    <row r="4324" spans="1:19" x14ac:dyDescent="0.35">
      <c r="A4324">
        <v>2105</v>
      </c>
      <c r="B4324" t="s">
        <v>20209</v>
      </c>
      <c r="C4324" t="s">
        <v>42</v>
      </c>
      <c r="D4324" t="s">
        <v>20210</v>
      </c>
      <c r="E4324" t="e" cm="1">
        <f t="array" ref="E4324">- BETAHISTINE MESILATE</f>
        <v>#NAME?</v>
      </c>
      <c r="F4324" t="s">
        <v>20211</v>
      </c>
      <c r="G4324" t="s">
        <v>7400</v>
      </c>
      <c r="H4324" t="s">
        <v>19859</v>
      </c>
      <c r="I4324" t="s">
        <v>19860</v>
      </c>
      <c r="J4324" t="s">
        <v>599</v>
      </c>
      <c r="K4324" t="s">
        <v>19861</v>
      </c>
      <c r="L4324" t="s">
        <v>19862</v>
      </c>
      <c r="M4324" t="s">
        <v>46</v>
      </c>
      <c r="N4324" t="s">
        <v>2380</v>
      </c>
      <c r="O4324" t="s">
        <v>19863</v>
      </c>
      <c r="P4324" t="s">
        <v>20212</v>
      </c>
      <c r="Q4324" t="s">
        <v>20213</v>
      </c>
      <c r="R4324">
        <v>13</v>
      </c>
      <c r="S4324">
        <v>16</v>
      </c>
    </row>
    <row r="4325" spans="1:19" x14ac:dyDescent="0.35">
      <c r="A4325">
        <v>3711</v>
      </c>
      <c r="B4325" t="s">
        <v>20214</v>
      </c>
      <c r="C4325" t="s">
        <v>42</v>
      </c>
      <c r="D4325" t="s">
        <v>20215</v>
      </c>
      <c r="E4325" t="e" cm="1">
        <f t="array" ref="E4325">- ZINC SULFATE</f>
        <v>#NAME?</v>
      </c>
      <c r="F4325" t="s">
        <v>20216</v>
      </c>
      <c r="G4325" t="s">
        <v>20102</v>
      </c>
      <c r="H4325" t="s">
        <v>20217</v>
      </c>
      <c r="I4325" t="s">
        <v>20218</v>
      </c>
      <c r="J4325" t="s">
        <v>334</v>
      </c>
      <c r="K4325" t="s">
        <v>3952</v>
      </c>
      <c r="L4325" t="s">
        <v>20219</v>
      </c>
      <c r="M4325" t="s">
        <v>271</v>
      </c>
      <c r="N4325" t="s">
        <v>16391</v>
      </c>
      <c r="O4325" t="s">
        <v>20220</v>
      </c>
      <c r="P4325" t="s">
        <v>20221</v>
      </c>
      <c r="Q4325" t="s">
        <v>20222</v>
      </c>
      <c r="R4325">
        <v>13</v>
      </c>
      <c r="S4325">
        <v>16</v>
      </c>
    </row>
    <row r="4326" spans="1:19" x14ac:dyDescent="0.35">
      <c r="A4326">
        <v>3713</v>
      </c>
      <c r="B4326" t="s">
        <v>20214</v>
      </c>
      <c r="C4326" t="s">
        <v>42</v>
      </c>
      <c r="D4326" t="s">
        <v>20215</v>
      </c>
      <c r="E4326" t="e" cm="1">
        <f t="array" ref="E4326">- ZINC SULFATE</f>
        <v>#NAME?</v>
      </c>
      <c r="F4326" t="s">
        <v>20223</v>
      </c>
      <c r="G4326" t="s">
        <v>20102</v>
      </c>
      <c r="H4326" t="s">
        <v>20217</v>
      </c>
      <c r="I4326" t="s">
        <v>20218</v>
      </c>
      <c r="J4326" t="s">
        <v>334</v>
      </c>
      <c r="K4326" t="s">
        <v>3952</v>
      </c>
      <c r="L4326" t="s">
        <v>20219</v>
      </c>
      <c r="M4326" t="s">
        <v>271</v>
      </c>
      <c r="N4326" t="s">
        <v>16391</v>
      </c>
      <c r="O4326" t="s">
        <v>20220</v>
      </c>
      <c r="P4326" t="s">
        <v>20221</v>
      </c>
      <c r="Q4326" t="s">
        <v>20222</v>
      </c>
      <c r="R4326">
        <v>13</v>
      </c>
      <c r="S4326">
        <v>16</v>
      </c>
    </row>
    <row r="4327" spans="1:19" x14ac:dyDescent="0.35">
      <c r="A4327">
        <v>3715</v>
      </c>
      <c r="B4327" t="s">
        <v>20224</v>
      </c>
      <c r="C4327" t="s">
        <v>42</v>
      </c>
      <c r="D4327" t="s">
        <v>20225</v>
      </c>
      <c r="E4327" t="e" cm="1">
        <f t="array" ref="E4327">- DEXTROSE MONOHYDRATE</f>
        <v>#NAME?</v>
      </c>
      <c r="F4327" t="s">
        <v>20226</v>
      </c>
      <c r="G4327" t="s">
        <v>6310</v>
      </c>
      <c r="H4327" t="s">
        <v>20227</v>
      </c>
      <c r="I4327" t="s">
        <v>20228</v>
      </c>
      <c r="J4327" t="s">
        <v>20229</v>
      </c>
      <c r="K4327" t="s">
        <v>20230</v>
      </c>
      <c r="L4327" t="s">
        <v>20231</v>
      </c>
      <c r="M4327" t="s">
        <v>554</v>
      </c>
      <c r="N4327" t="s">
        <v>20232</v>
      </c>
      <c r="O4327" t="s">
        <v>20233</v>
      </c>
      <c r="P4327" t="s">
        <v>20234</v>
      </c>
      <c r="Q4327" t="s">
        <v>20235</v>
      </c>
      <c r="R4327">
        <v>13</v>
      </c>
      <c r="S4327">
        <v>16</v>
      </c>
    </row>
    <row r="4328" spans="1:19" x14ac:dyDescent="0.35">
      <c r="A4328">
        <v>8199</v>
      </c>
      <c r="B4328" t="s">
        <v>551</v>
      </c>
      <c r="C4328" t="s">
        <v>42</v>
      </c>
      <c r="D4328" t="s">
        <v>20236</v>
      </c>
      <c r="E4328" t="e" cm="1">
        <f t="array" ref="E4328">- POVIDONE-IODINE</f>
        <v>#NAME?</v>
      </c>
      <c r="F4328" t="s">
        <v>20237</v>
      </c>
      <c r="I4328" t="s">
        <v>20238</v>
      </c>
      <c r="M4328" t="s">
        <v>554</v>
      </c>
      <c r="N4328" t="s">
        <v>555</v>
      </c>
      <c r="O4328" t="s">
        <v>20239</v>
      </c>
      <c r="P4328" t="s">
        <v>20240</v>
      </c>
      <c r="Q4328" t="s">
        <v>20241</v>
      </c>
      <c r="R4328">
        <v>13</v>
      </c>
      <c r="S4328">
        <v>16</v>
      </c>
    </row>
    <row r="4329" spans="1:19" x14ac:dyDescent="0.35">
      <c r="A4329">
        <v>8198</v>
      </c>
      <c r="B4329" t="s">
        <v>551</v>
      </c>
      <c r="C4329" t="s">
        <v>42</v>
      </c>
      <c r="D4329" t="s">
        <v>20236</v>
      </c>
      <c r="E4329" t="e" cm="1">
        <f t="array" ref="E4329">- POVIDONE-IODINE</f>
        <v>#NAME?</v>
      </c>
      <c r="F4329" t="s">
        <v>20237</v>
      </c>
      <c r="I4329" t="s">
        <v>20238</v>
      </c>
      <c r="M4329" t="s">
        <v>554</v>
      </c>
      <c r="N4329" t="s">
        <v>555</v>
      </c>
      <c r="O4329" t="s">
        <v>20239</v>
      </c>
      <c r="P4329" t="s">
        <v>20240</v>
      </c>
      <c r="Q4329" t="s">
        <v>20241</v>
      </c>
      <c r="R4329">
        <v>13</v>
      </c>
      <c r="S4329">
        <v>16</v>
      </c>
    </row>
    <row r="4330" spans="1:19" x14ac:dyDescent="0.35">
      <c r="A4330">
        <v>3743</v>
      </c>
      <c r="B4330" t="s">
        <v>20242</v>
      </c>
      <c r="C4330" t="s">
        <v>42</v>
      </c>
      <c r="D4330" t="s">
        <v>20243</v>
      </c>
      <c r="E4330" t="e" cm="1">
        <f t="array" ref="E4330">- ZINC SULFATE MONOHYDRATE</f>
        <v>#NAME?</v>
      </c>
      <c r="F4330" t="s">
        <v>20244</v>
      </c>
      <c r="G4330" t="s">
        <v>20245</v>
      </c>
      <c r="H4330" t="s">
        <v>20246</v>
      </c>
      <c r="I4330" t="s">
        <v>20247</v>
      </c>
      <c r="J4330" t="s">
        <v>334</v>
      </c>
      <c r="K4330" t="s">
        <v>20248</v>
      </c>
      <c r="L4330" t="s">
        <v>20249</v>
      </c>
      <c r="M4330" t="s">
        <v>271</v>
      </c>
      <c r="N4330" t="s">
        <v>2750</v>
      </c>
      <c r="O4330" t="s">
        <v>20250</v>
      </c>
      <c r="P4330" t="s">
        <v>20251</v>
      </c>
      <c r="Q4330" t="s">
        <v>20252</v>
      </c>
      <c r="R4330">
        <v>13</v>
      </c>
      <c r="S4330">
        <v>16</v>
      </c>
    </row>
    <row r="4331" spans="1:19" x14ac:dyDescent="0.35">
      <c r="A4331">
        <v>2143</v>
      </c>
      <c r="B4331" t="s">
        <v>19942</v>
      </c>
      <c r="C4331" t="s">
        <v>42</v>
      </c>
      <c r="D4331" t="s">
        <v>19943</v>
      </c>
      <c r="E4331" t="e" cm="1">
        <f t="array" ref="E4331">- ETORICOXIB</f>
        <v>#NAME?</v>
      </c>
      <c r="F4331" t="s">
        <v>19944</v>
      </c>
      <c r="G4331" t="s">
        <v>60</v>
      </c>
      <c r="H4331" t="s">
        <v>19892</v>
      </c>
      <c r="I4331" t="s">
        <v>19893</v>
      </c>
      <c r="J4331" t="s">
        <v>956</v>
      </c>
      <c r="K4331" t="s">
        <v>19894</v>
      </c>
      <c r="L4331" t="s">
        <v>19895</v>
      </c>
      <c r="M4331" t="s">
        <v>46</v>
      </c>
      <c r="N4331" t="s">
        <v>47</v>
      </c>
      <c r="O4331" t="s">
        <v>19896</v>
      </c>
      <c r="P4331" t="s">
        <v>19897</v>
      </c>
      <c r="Q4331" t="s">
        <v>19898</v>
      </c>
      <c r="R4331">
        <v>13</v>
      </c>
      <c r="S4331">
        <v>16</v>
      </c>
    </row>
    <row r="4332" spans="1:19" x14ac:dyDescent="0.35">
      <c r="A4332">
        <v>3744</v>
      </c>
      <c r="B4332" t="s">
        <v>20242</v>
      </c>
      <c r="C4332" t="s">
        <v>42</v>
      </c>
      <c r="D4332" t="s">
        <v>20243</v>
      </c>
      <c r="E4332" t="e" cm="1">
        <f t="array" ref="E4332">- ZINC SULFATE MONOHYDRATE</f>
        <v>#NAME?</v>
      </c>
      <c r="F4332" t="s">
        <v>20244</v>
      </c>
      <c r="G4332" t="s">
        <v>20245</v>
      </c>
      <c r="H4332" t="s">
        <v>20246</v>
      </c>
      <c r="I4332" t="s">
        <v>20247</v>
      </c>
      <c r="J4332" t="s">
        <v>334</v>
      </c>
      <c r="K4332" t="s">
        <v>20248</v>
      </c>
      <c r="L4332" t="s">
        <v>20249</v>
      </c>
      <c r="M4332" t="s">
        <v>271</v>
      </c>
      <c r="N4332" t="s">
        <v>2750</v>
      </c>
      <c r="O4332" t="s">
        <v>20250</v>
      </c>
      <c r="P4332" t="s">
        <v>20251</v>
      </c>
      <c r="Q4332" t="s">
        <v>20252</v>
      </c>
      <c r="R4332">
        <v>13</v>
      </c>
      <c r="S4332">
        <v>16</v>
      </c>
    </row>
    <row r="4333" spans="1:19" x14ac:dyDescent="0.35">
      <c r="A4333">
        <v>3748</v>
      </c>
      <c r="B4333" t="s">
        <v>20253</v>
      </c>
      <c r="C4333" t="s">
        <v>20</v>
      </c>
      <c r="D4333" t="s">
        <v>20254</v>
      </c>
      <c r="E4333" t="s">
        <v>20255</v>
      </c>
      <c r="F4333" t="s">
        <v>20256</v>
      </c>
      <c r="G4333" t="s">
        <v>20257</v>
      </c>
      <c r="H4333" t="s">
        <v>20258</v>
      </c>
      <c r="I4333" t="s">
        <v>20259</v>
      </c>
      <c r="J4333" t="s">
        <v>6710</v>
      </c>
      <c r="K4333" t="s">
        <v>20260</v>
      </c>
      <c r="L4333" t="s">
        <v>20261</v>
      </c>
      <c r="M4333" t="s">
        <v>271</v>
      </c>
      <c r="N4333" t="s">
        <v>20262</v>
      </c>
      <c r="O4333" t="s">
        <v>20263</v>
      </c>
      <c r="P4333" t="s">
        <v>20262</v>
      </c>
      <c r="Q4333" t="s">
        <v>20264</v>
      </c>
      <c r="R4333">
        <v>13</v>
      </c>
      <c r="S4333">
        <v>16</v>
      </c>
    </row>
    <row r="4334" spans="1:19" x14ac:dyDescent="0.35">
      <c r="A4334">
        <v>2072</v>
      </c>
      <c r="B4334" t="s">
        <v>20265</v>
      </c>
      <c r="C4334" t="s">
        <v>42</v>
      </c>
      <c r="D4334" t="s">
        <v>20266</v>
      </c>
      <c r="E4334" t="e" cm="1">
        <f t="array" ref="E4334">- PARACETAMOL</f>
        <v>#NAME?</v>
      </c>
      <c r="F4334" t="s">
        <v>20267</v>
      </c>
      <c r="G4334" t="s">
        <v>6869</v>
      </c>
      <c r="H4334" t="s">
        <v>20268</v>
      </c>
      <c r="I4334" t="s">
        <v>16923</v>
      </c>
      <c r="J4334" t="s">
        <v>17824</v>
      </c>
      <c r="K4334" t="s">
        <v>20269</v>
      </c>
      <c r="L4334" t="s">
        <v>16925</v>
      </c>
      <c r="M4334" t="s">
        <v>46</v>
      </c>
      <c r="N4334" t="s">
        <v>584</v>
      </c>
      <c r="O4334" t="s">
        <v>16926</v>
      </c>
      <c r="P4334" t="s">
        <v>20270</v>
      </c>
      <c r="Q4334" t="s">
        <v>20271</v>
      </c>
      <c r="R4334">
        <v>13</v>
      </c>
      <c r="S4334">
        <v>16</v>
      </c>
    </row>
    <row r="4335" spans="1:19" x14ac:dyDescent="0.35">
      <c r="A4335">
        <v>8173</v>
      </c>
      <c r="B4335" t="s">
        <v>551</v>
      </c>
      <c r="C4335" t="s">
        <v>42</v>
      </c>
      <c r="D4335" t="s">
        <v>20272</v>
      </c>
      <c r="E4335" t="e" cm="1">
        <f t="array" ref="E4335">- POVIDONE-IODINE</f>
        <v>#NAME?</v>
      </c>
      <c r="F4335" s="1">
        <v>13800</v>
      </c>
      <c r="H4335" t="s">
        <v>20273</v>
      </c>
      <c r="I4335" t="s">
        <v>20274</v>
      </c>
      <c r="J4335" t="s">
        <v>20275</v>
      </c>
      <c r="K4335" t="s">
        <v>3952</v>
      </c>
      <c r="L4335" t="s">
        <v>20276</v>
      </c>
      <c r="M4335" t="s">
        <v>554</v>
      </c>
      <c r="N4335" t="s">
        <v>555</v>
      </c>
      <c r="O4335" t="s">
        <v>20277</v>
      </c>
      <c r="P4335" t="s">
        <v>20278</v>
      </c>
      <c r="Q4335" t="s">
        <v>20279</v>
      </c>
      <c r="R4335">
        <v>13</v>
      </c>
      <c r="S4335">
        <v>16</v>
      </c>
    </row>
    <row r="4336" spans="1:19" x14ac:dyDescent="0.35">
      <c r="A4336">
        <v>8172</v>
      </c>
      <c r="B4336" t="s">
        <v>551</v>
      </c>
      <c r="C4336" t="s">
        <v>42</v>
      </c>
      <c r="D4336" t="s">
        <v>20272</v>
      </c>
      <c r="E4336" t="e" cm="1">
        <f t="array" ref="E4336">- POVIDONE-IODINE</f>
        <v>#NAME?</v>
      </c>
      <c r="F4336" s="1">
        <v>13800</v>
      </c>
      <c r="H4336" t="s">
        <v>20273</v>
      </c>
      <c r="I4336" t="s">
        <v>20274</v>
      </c>
      <c r="J4336" t="s">
        <v>20275</v>
      </c>
      <c r="K4336" t="s">
        <v>3952</v>
      </c>
      <c r="L4336" t="s">
        <v>20276</v>
      </c>
      <c r="M4336" t="s">
        <v>554</v>
      </c>
      <c r="N4336" t="s">
        <v>555</v>
      </c>
      <c r="O4336" t="s">
        <v>20277</v>
      </c>
      <c r="P4336" t="s">
        <v>20278</v>
      </c>
      <c r="Q4336" t="s">
        <v>20279</v>
      </c>
      <c r="R4336">
        <v>13</v>
      </c>
      <c r="S4336">
        <v>16</v>
      </c>
    </row>
    <row r="4337" spans="1:19" x14ac:dyDescent="0.35">
      <c r="A4337">
        <v>2057</v>
      </c>
      <c r="B4337" t="s">
        <v>20280</v>
      </c>
      <c r="C4337" t="s">
        <v>42</v>
      </c>
      <c r="D4337" t="s">
        <v>20281</v>
      </c>
      <c r="E4337" t="e" cm="1">
        <f t="array" ref="E4337">- ETORICOXIB</f>
        <v>#NAME?</v>
      </c>
      <c r="F4337" t="s">
        <v>20282</v>
      </c>
      <c r="G4337" t="s">
        <v>60</v>
      </c>
      <c r="H4337" t="s">
        <v>19892</v>
      </c>
      <c r="I4337" t="s">
        <v>19893</v>
      </c>
      <c r="J4337" t="s">
        <v>956</v>
      </c>
      <c r="K4337" t="s">
        <v>19894</v>
      </c>
      <c r="L4337" t="s">
        <v>19895</v>
      </c>
      <c r="M4337" t="s">
        <v>46</v>
      </c>
      <c r="N4337" t="s">
        <v>47</v>
      </c>
      <c r="O4337" t="s">
        <v>19896</v>
      </c>
      <c r="P4337" t="s">
        <v>19897</v>
      </c>
      <c r="Q4337" t="s">
        <v>19898</v>
      </c>
      <c r="R4337">
        <v>13</v>
      </c>
      <c r="S4337">
        <v>16</v>
      </c>
    </row>
    <row r="4338" spans="1:19" x14ac:dyDescent="0.35">
      <c r="A4338">
        <v>2056</v>
      </c>
      <c r="B4338" t="s">
        <v>20280</v>
      </c>
      <c r="C4338" t="s">
        <v>42</v>
      </c>
      <c r="D4338" t="s">
        <v>20281</v>
      </c>
      <c r="E4338" t="e" cm="1">
        <f t="array" ref="E4338">- ETORICOXIB</f>
        <v>#NAME?</v>
      </c>
      <c r="F4338" t="s">
        <v>20282</v>
      </c>
      <c r="G4338" t="s">
        <v>60</v>
      </c>
      <c r="H4338" t="s">
        <v>19892</v>
      </c>
      <c r="I4338" t="s">
        <v>19893</v>
      </c>
      <c r="J4338" t="s">
        <v>956</v>
      </c>
      <c r="K4338" t="s">
        <v>19894</v>
      </c>
      <c r="L4338" t="s">
        <v>19895</v>
      </c>
      <c r="M4338" t="s">
        <v>46</v>
      </c>
      <c r="N4338" t="s">
        <v>47</v>
      </c>
      <c r="O4338" t="s">
        <v>19896</v>
      </c>
      <c r="P4338" t="s">
        <v>19897</v>
      </c>
      <c r="Q4338" t="s">
        <v>19898</v>
      </c>
      <c r="R4338">
        <v>13</v>
      </c>
      <c r="S4338">
        <v>16</v>
      </c>
    </row>
    <row r="4339" spans="1:19" x14ac:dyDescent="0.35">
      <c r="A4339">
        <v>2055</v>
      </c>
      <c r="B4339" t="s">
        <v>20280</v>
      </c>
      <c r="C4339" t="s">
        <v>42</v>
      </c>
      <c r="D4339" t="s">
        <v>20281</v>
      </c>
      <c r="E4339" t="e" cm="1">
        <f t="array" ref="E4339">- ETORICOXIB</f>
        <v>#NAME?</v>
      </c>
      <c r="F4339" t="s">
        <v>20282</v>
      </c>
      <c r="G4339" t="s">
        <v>60</v>
      </c>
      <c r="H4339" t="s">
        <v>19892</v>
      </c>
      <c r="I4339" t="s">
        <v>19893</v>
      </c>
      <c r="J4339" t="s">
        <v>956</v>
      </c>
      <c r="K4339" t="s">
        <v>19894</v>
      </c>
      <c r="L4339" t="s">
        <v>19895</v>
      </c>
      <c r="M4339" t="s">
        <v>46</v>
      </c>
      <c r="N4339" t="s">
        <v>47</v>
      </c>
      <c r="O4339" t="s">
        <v>19896</v>
      </c>
      <c r="P4339" t="s">
        <v>19897</v>
      </c>
      <c r="Q4339" t="s">
        <v>19898</v>
      </c>
      <c r="R4339">
        <v>13</v>
      </c>
      <c r="S4339">
        <v>16</v>
      </c>
    </row>
    <row r="4340" spans="1:19" x14ac:dyDescent="0.35">
      <c r="A4340">
        <v>2054</v>
      </c>
      <c r="B4340" t="s">
        <v>20280</v>
      </c>
      <c r="C4340" t="s">
        <v>42</v>
      </c>
      <c r="D4340" t="s">
        <v>20281</v>
      </c>
      <c r="E4340" t="e" cm="1">
        <f t="array" ref="E4340">- ETORICOXIB</f>
        <v>#NAME?</v>
      </c>
      <c r="F4340" t="s">
        <v>20282</v>
      </c>
      <c r="G4340" t="s">
        <v>60</v>
      </c>
      <c r="H4340" t="s">
        <v>19892</v>
      </c>
      <c r="I4340" t="s">
        <v>19893</v>
      </c>
      <c r="J4340" t="s">
        <v>956</v>
      </c>
      <c r="K4340" t="s">
        <v>19894</v>
      </c>
      <c r="L4340" t="s">
        <v>19895</v>
      </c>
      <c r="M4340" t="s">
        <v>46</v>
      </c>
      <c r="N4340" t="s">
        <v>47</v>
      </c>
      <c r="O4340" t="s">
        <v>19896</v>
      </c>
      <c r="P4340" t="s">
        <v>19897</v>
      </c>
      <c r="Q4340" t="s">
        <v>19898</v>
      </c>
      <c r="R4340">
        <v>13</v>
      </c>
      <c r="S4340">
        <v>16</v>
      </c>
    </row>
    <row r="4341" spans="1:19" x14ac:dyDescent="0.35">
      <c r="A4341">
        <v>2053</v>
      </c>
      <c r="B4341" t="s">
        <v>20280</v>
      </c>
      <c r="C4341" t="s">
        <v>42</v>
      </c>
      <c r="D4341" t="s">
        <v>20281</v>
      </c>
      <c r="E4341" t="e" cm="1">
        <f t="array" ref="E4341">- ETORICOXIB</f>
        <v>#NAME?</v>
      </c>
      <c r="F4341" t="s">
        <v>20282</v>
      </c>
      <c r="G4341" t="s">
        <v>60</v>
      </c>
      <c r="H4341" t="s">
        <v>19892</v>
      </c>
      <c r="I4341" t="s">
        <v>19893</v>
      </c>
      <c r="J4341" t="s">
        <v>956</v>
      </c>
      <c r="K4341" t="s">
        <v>19894</v>
      </c>
      <c r="L4341" t="s">
        <v>19895</v>
      </c>
      <c r="M4341" t="s">
        <v>46</v>
      </c>
      <c r="N4341" t="s">
        <v>47</v>
      </c>
      <c r="O4341" t="s">
        <v>19896</v>
      </c>
      <c r="P4341" t="s">
        <v>19897</v>
      </c>
      <c r="Q4341" t="s">
        <v>19898</v>
      </c>
      <c r="R4341">
        <v>13</v>
      </c>
      <c r="S4341">
        <v>16</v>
      </c>
    </row>
    <row r="4342" spans="1:19" x14ac:dyDescent="0.35">
      <c r="A4342">
        <v>3772</v>
      </c>
      <c r="B4342" t="s">
        <v>20172</v>
      </c>
      <c r="C4342" t="s">
        <v>42</v>
      </c>
      <c r="D4342" t="s">
        <v>20173</v>
      </c>
      <c r="E4342" t="e" cm="1">
        <f t="array" ref="E4342">- ZINC</f>
        <v>#NAME?</v>
      </c>
      <c r="F4342" t="s">
        <v>20283</v>
      </c>
      <c r="G4342" t="s">
        <v>20175</v>
      </c>
      <c r="H4342" t="s">
        <v>20176</v>
      </c>
      <c r="I4342" t="s">
        <v>20177</v>
      </c>
      <c r="J4342" t="s">
        <v>374</v>
      </c>
      <c r="K4342" t="s">
        <v>20178</v>
      </c>
      <c r="L4342" t="s">
        <v>20179</v>
      </c>
      <c r="M4342" t="s">
        <v>271</v>
      </c>
      <c r="N4342" t="s">
        <v>20180</v>
      </c>
      <c r="O4342" t="s">
        <v>20181</v>
      </c>
      <c r="P4342" t="s">
        <v>20182</v>
      </c>
      <c r="Q4342" t="s">
        <v>20183</v>
      </c>
      <c r="R4342">
        <v>13</v>
      </c>
      <c r="S4342">
        <v>16</v>
      </c>
    </row>
    <row r="4343" spans="1:19" x14ac:dyDescent="0.35">
      <c r="A4343">
        <v>2052</v>
      </c>
      <c r="B4343" t="s">
        <v>20280</v>
      </c>
      <c r="C4343" t="s">
        <v>42</v>
      </c>
      <c r="D4343" t="s">
        <v>20281</v>
      </c>
      <c r="E4343" t="e" cm="1">
        <f t="array" ref="E4343">- ETORICOXIB</f>
        <v>#NAME?</v>
      </c>
      <c r="F4343" t="s">
        <v>20282</v>
      </c>
      <c r="G4343" t="s">
        <v>60</v>
      </c>
      <c r="H4343" t="s">
        <v>19892</v>
      </c>
      <c r="I4343" t="s">
        <v>19893</v>
      </c>
      <c r="J4343" t="s">
        <v>956</v>
      </c>
      <c r="K4343" t="s">
        <v>19894</v>
      </c>
      <c r="L4343" t="s">
        <v>19895</v>
      </c>
      <c r="M4343" t="s">
        <v>46</v>
      </c>
      <c r="N4343" t="s">
        <v>47</v>
      </c>
      <c r="O4343" t="s">
        <v>19896</v>
      </c>
      <c r="P4343" t="s">
        <v>19897</v>
      </c>
      <c r="Q4343" t="s">
        <v>19898</v>
      </c>
      <c r="R4343">
        <v>13</v>
      </c>
      <c r="S4343">
        <v>16</v>
      </c>
    </row>
    <row r="4344" spans="1:19" x14ac:dyDescent="0.35">
      <c r="A4344">
        <v>2051</v>
      </c>
      <c r="B4344" t="s">
        <v>20280</v>
      </c>
      <c r="C4344" t="s">
        <v>42</v>
      </c>
      <c r="D4344" t="s">
        <v>20281</v>
      </c>
      <c r="E4344" t="e" cm="1">
        <f t="array" ref="E4344">- ETORICOXIB</f>
        <v>#NAME?</v>
      </c>
      <c r="F4344" t="s">
        <v>20282</v>
      </c>
      <c r="G4344" t="s">
        <v>60</v>
      </c>
      <c r="H4344" t="s">
        <v>19892</v>
      </c>
      <c r="I4344" t="s">
        <v>19893</v>
      </c>
      <c r="J4344" t="s">
        <v>956</v>
      </c>
      <c r="K4344" t="s">
        <v>19894</v>
      </c>
      <c r="L4344" t="s">
        <v>19895</v>
      </c>
      <c r="M4344" t="s">
        <v>46</v>
      </c>
      <c r="N4344" t="s">
        <v>47</v>
      </c>
      <c r="O4344" t="s">
        <v>19896</v>
      </c>
      <c r="P4344" t="s">
        <v>19897</v>
      </c>
      <c r="Q4344" t="s">
        <v>19898</v>
      </c>
      <c r="R4344">
        <v>13</v>
      </c>
      <c r="S4344">
        <v>16</v>
      </c>
    </row>
    <row r="4345" spans="1:19" x14ac:dyDescent="0.35">
      <c r="A4345">
        <v>3745</v>
      </c>
      <c r="B4345" t="s">
        <v>20242</v>
      </c>
      <c r="C4345" t="s">
        <v>42</v>
      </c>
      <c r="D4345" t="s">
        <v>20243</v>
      </c>
      <c r="E4345" t="e" cm="1">
        <f t="array" ref="E4345">- ZINC SULFATE MONOHYDRATE</f>
        <v>#NAME?</v>
      </c>
      <c r="F4345" t="s">
        <v>20244</v>
      </c>
      <c r="G4345" t="s">
        <v>20245</v>
      </c>
      <c r="H4345" t="s">
        <v>20246</v>
      </c>
      <c r="I4345" t="s">
        <v>20247</v>
      </c>
      <c r="J4345" t="s">
        <v>334</v>
      </c>
      <c r="K4345" t="s">
        <v>20248</v>
      </c>
      <c r="L4345" t="s">
        <v>20249</v>
      </c>
      <c r="M4345" t="s">
        <v>271</v>
      </c>
      <c r="N4345" t="s">
        <v>2750</v>
      </c>
      <c r="O4345" t="s">
        <v>20250</v>
      </c>
      <c r="P4345" t="s">
        <v>20251</v>
      </c>
      <c r="Q4345" t="s">
        <v>20252</v>
      </c>
      <c r="R4345">
        <v>13</v>
      </c>
      <c r="S4345">
        <v>16</v>
      </c>
    </row>
    <row r="4346" spans="1:19" x14ac:dyDescent="0.35">
      <c r="A4346">
        <v>1931</v>
      </c>
      <c r="B4346" t="s">
        <v>20165</v>
      </c>
      <c r="C4346" t="s">
        <v>20</v>
      </c>
      <c r="D4346" t="s">
        <v>20166</v>
      </c>
      <c r="E4346" t="s">
        <v>20167</v>
      </c>
      <c r="F4346" t="s">
        <v>20168</v>
      </c>
      <c r="G4346" t="s">
        <v>6707</v>
      </c>
      <c r="H4346" t="s">
        <v>13141</v>
      </c>
      <c r="I4346" t="s">
        <v>6709</v>
      </c>
      <c r="J4346" t="s">
        <v>13142</v>
      </c>
      <c r="L4346" t="s">
        <v>6711</v>
      </c>
      <c r="M4346" t="s">
        <v>271</v>
      </c>
      <c r="N4346" t="s">
        <v>20169</v>
      </c>
      <c r="O4346" t="s">
        <v>5144</v>
      </c>
      <c r="P4346" t="s">
        <v>20170</v>
      </c>
      <c r="Q4346" t="s">
        <v>20171</v>
      </c>
      <c r="R4346">
        <v>13</v>
      </c>
      <c r="S4346">
        <v>16</v>
      </c>
    </row>
    <row r="4347" spans="1:19" x14ac:dyDescent="0.35">
      <c r="A4347">
        <v>2438</v>
      </c>
      <c r="B4347" t="s">
        <v>20284</v>
      </c>
      <c r="C4347" t="s">
        <v>42</v>
      </c>
      <c r="D4347" t="s">
        <v>20285</v>
      </c>
      <c r="E4347" t="e" cm="1">
        <f t="array" ref="E4347">- PARACETAMOL</f>
        <v>#NAME?</v>
      </c>
      <c r="F4347" t="s">
        <v>6165</v>
      </c>
      <c r="G4347" t="s">
        <v>5301</v>
      </c>
      <c r="H4347" t="s">
        <v>20286</v>
      </c>
      <c r="I4347" t="s">
        <v>20287</v>
      </c>
      <c r="J4347" t="s">
        <v>20288</v>
      </c>
      <c r="M4347" t="s">
        <v>291</v>
      </c>
      <c r="N4347" t="s">
        <v>584</v>
      </c>
      <c r="O4347" t="s">
        <v>20289</v>
      </c>
      <c r="P4347" t="s">
        <v>13993</v>
      </c>
      <c r="Q4347" t="s">
        <v>20290</v>
      </c>
      <c r="R4347">
        <v>13</v>
      </c>
      <c r="S4347">
        <v>16</v>
      </c>
    </row>
    <row r="4348" spans="1:19" x14ac:dyDescent="0.35">
      <c r="A4348">
        <v>3485</v>
      </c>
      <c r="B4348" t="s">
        <v>20291</v>
      </c>
      <c r="C4348" t="s">
        <v>42</v>
      </c>
      <c r="D4348" t="s">
        <v>20292</v>
      </c>
      <c r="E4348" t="e" cm="1">
        <f t="array" ref="E4348">- ONDANSETRON HYDROCHLORIDE</f>
        <v>#NAME?</v>
      </c>
      <c r="F4348" t="s">
        <v>20293</v>
      </c>
      <c r="G4348" t="s">
        <v>14378</v>
      </c>
      <c r="H4348" t="s">
        <v>14379</v>
      </c>
      <c r="I4348" t="s">
        <v>14380</v>
      </c>
      <c r="J4348" t="s">
        <v>20294</v>
      </c>
      <c r="K4348" t="s">
        <v>14086</v>
      </c>
      <c r="L4348" t="s">
        <v>14382</v>
      </c>
      <c r="M4348" t="s">
        <v>46</v>
      </c>
      <c r="N4348" t="s">
        <v>14328</v>
      </c>
      <c r="O4348" t="s">
        <v>14383</v>
      </c>
      <c r="P4348" t="s">
        <v>1869</v>
      </c>
      <c r="Q4348" t="s">
        <v>20083</v>
      </c>
      <c r="R4348">
        <v>13</v>
      </c>
      <c r="S4348">
        <v>16</v>
      </c>
    </row>
    <row r="4349" spans="1:19" x14ac:dyDescent="0.35">
      <c r="A4349">
        <v>8769</v>
      </c>
      <c r="B4349" t="s">
        <v>2388</v>
      </c>
      <c r="C4349" t="s">
        <v>42</v>
      </c>
      <c r="D4349" t="s">
        <v>20295</v>
      </c>
      <c r="E4349" t="e" cm="1">
        <f t="array" ref="E4349">- PIOGLITAZONE HYDROCHLORIDE</f>
        <v>#NAME?</v>
      </c>
      <c r="F4349" t="s">
        <v>20296</v>
      </c>
      <c r="G4349" t="s">
        <v>20297</v>
      </c>
      <c r="H4349" t="s">
        <v>1322</v>
      </c>
      <c r="I4349" t="s">
        <v>20298</v>
      </c>
      <c r="J4349" t="s">
        <v>20052</v>
      </c>
      <c r="L4349" t="s">
        <v>20299</v>
      </c>
      <c r="M4349" t="s">
        <v>46</v>
      </c>
      <c r="N4349" t="s">
        <v>2389</v>
      </c>
      <c r="O4349" t="s">
        <v>20300</v>
      </c>
      <c r="P4349" t="s">
        <v>20301</v>
      </c>
      <c r="Q4349" t="s">
        <v>20302</v>
      </c>
      <c r="R4349">
        <v>13</v>
      </c>
      <c r="S4349">
        <v>16</v>
      </c>
    </row>
    <row r="4350" spans="1:19" x14ac:dyDescent="0.35">
      <c r="A4350">
        <v>8765</v>
      </c>
      <c r="B4350" t="s">
        <v>2388</v>
      </c>
      <c r="C4350" t="s">
        <v>42</v>
      </c>
      <c r="D4350" t="s">
        <v>20303</v>
      </c>
      <c r="E4350" t="e" cm="1">
        <f t="array" ref="E4350">- PIOGLITAZONE HYDROCHLORIDE</f>
        <v>#NAME?</v>
      </c>
      <c r="F4350" t="s">
        <v>20304</v>
      </c>
      <c r="G4350" t="s">
        <v>20297</v>
      </c>
      <c r="H4350" t="s">
        <v>1322</v>
      </c>
      <c r="I4350" t="s">
        <v>20298</v>
      </c>
      <c r="J4350" t="s">
        <v>20305</v>
      </c>
      <c r="L4350" t="s">
        <v>20299</v>
      </c>
      <c r="M4350" t="s">
        <v>46</v>
      </c>
      <c r="N4350" t="s">
        <v>2389</v>
      </c>
      <c r="O4350" t="s">
        <v>20300</v>
      </c>
      <c r="P4350" t="s">
        <v>20306</v>
      </c>
      <c r="Q4350" t="s">
        <v>20307</v>
      </c>
      <c r="R4350">
        <v>13</v>
      </c>
      <c r="S4350">
        <v>16</v>
      </c>
    </row>
    <row r="4351" spans="1:19" x14ac:dyDescent="0.35">
      <c r="A4351">
        <v>8732</v>
      </c>
      <c r="B4351" t="s">
        <v>20308</v>
      </c>
      <c r="C4351" t="s">
        <v>42</v>
      </c>
      <c r="D4351" t="s">
        <v>20309</v>
      </c>
      <c r="E4351" t="e" cm="1">
        <f t="array" ref="E4351">- EMPAGLIFLOZIN. LINAGLIPTIN</f>
        <v>#NAME?</v>
      </c>
      <c r="F4351" t="s">
        <v>20310</v>
      </c>
      <c r="G4351" t="s">
        <v>20311</v>
      </c>
      <c r="H4351" t="s">
        <v>20312</v>
      </c>
      <c r="I4351" t="s">
        <v>20313</v>
      </c>
      <c r="J4351" t="s">
        <v>20314</v>
      </c>
      <c r="K4351" t="s">
        <v>20315</v>
      </c>
      <c r="L4351" t="s">
        <v>20316</v>
      </c>
      <c r="M4351" t="s">
        <v>46</v>
      </c>
      <c r="N4351" t="s">
        <v>20317</v>
      </c>
      <c r="O4351" t="s">
        <v>20318</v>
      </c>
      <c r="P4351" t="s">
        <v>20319</v>
      </c>
      <c r="Q4351" t="s">
        <v>20320</v>
      </c>
      <c r="R4351">
        <v>13</v>
      </c>
      <c r="S4351">
        <v>16</v>
      </c>
    </row>
    <row r="4352" spans="1:19" x14ac:dyDescent="0.35">
      <c r="A4352">
        <v>8688</v>
      </c>
      <c r="B4352" t="s">
        <v>20321</v>
      </c>
      <c r="C4352" t="s">
        <v>42</v>
      </c>
      <c r="D4352" t="s">
        <v>20322</v>
      </c>
      <c r="E4352" t="e" cm="1">
        <f t="array" ref="E4352">- ACARBOSE</f>
        <v>#NAME?</v>
      </c>
      <c r="F4352" t="s">
        <v>20323</v>
      </c>
      <c r="G4352" t="s">
        <v>20324</v>
      </c>
      <c r="H4352" t="s">
        <v>20325</v>
      </c>
      <c r="I4352" t="s">
        <v>18278</v>
      </c>
      <c r="J4352" t="s">
        <v>532</v>
      </c>
      <c r="K4352" t="s">
        <v>20326</v>
      </c>
      <c r="L4352" t="s">
        <v>20327</v>
      </c>
      <c r="M4352" t="s">
        <v>46</v>
      </c>
      <c r="N4352" t="s">
        <v>970</v>
      </c>
      <c r="O4352" t="s">
        <v>18281</v>
      </c>
      <c r="P4352" t="s">
        <v>20328</v>
      </c>
      <c r="Q4352" t="s">
        <v>20329</v>
      </c>
      <c r="R4352">
        <v>13</v>
      </c>
      <c r="S4352">
        <v>16</v>
      </c>
    </row>
    <row r="4353" spans="1:19" x14ac:dyDescent="0.35">
      <c r="A4353">
        <v>8687</v>
      </c>
      <c r="B4353" t="s">
        <v>20321</v>
      </c>
      <c r="C4353" t="s">
        <v>42</v>
      </c>
      <c r="D4353" t="s">
        <v>20322</v>
      </c>
      <c r="E4353" t="e" cm="1">
        <f t="array" ref="E4353">- ACARBOSE</f>
        <v>#NAME?</v>
      </c>
      <c r="F4353" t="s">
        <v>20323</v>
      </c>
      <c r="G4353" t="s">
        <v>20324</v>
      </c>
      <c r="H4353" t="s">
        <v>20325</v>
      </c>
      <c r="I4353" t="s">
        <v>18278</v>
      </c>
      <c r="J4353" t="s">
        <v>532</v>
      </c>
      <c r="K4353" t="s">
        <v>20326</v>
      </c>
      <c r="L4353" t="s">
        <v>20327</v>
      </c>
      <c r="M4353" t="s">
        <v>46</v>
      </c>
      <c r="N4353" t="s">
        <v>970</v>
      </c>
      <c r="O4353" t="s">
        <v>18281</v>
      </c>
      <c r="P4353" t="s">
        <v>20328</v>
      </c>
      <c r="Q4353" t="s">
        <v>20329</v>
      </c>
      <c r="R4353">
        <v>13</v>
      </c>
      <c r="S4353">
        <v>16</v>
      </c>
    </row>
    <row r="4354" spans="1:19" x14ac:dyDescent="0.35">
      <c r="A4354">
        <v>8686</v>
      </c>
      <c r="B4354" t="s">
        <v>20330</v>
      </c>
      <c r="C4354" t="s">
        <v>42</v>
      </c>
      <c r="D4354" t="s">
        <v>20331</v>
      </c>
      <c r="E4354" t="e" cm="1">
        <f t="array" ref="E4354">- ACARBOSE</f>
        <v>#NAME?</v>
      </c>
      <c r="F4354" t="s">
        <v>20332</v>
      </c>
      <c r="G4354" t="s">
        <v>20324</v>
      </c>
      <c r="H4354" t="s">
        <v>20333</v>
      </c>
      <c r="I4354" t="s">
        <v>18278</v>
      </c>
      <c r="J4354" t="s">
        <v>532</v>
      </c>
      <c r="K4354" t="s">
        <v>20326</v>
      </c>
      <c r="L4354" t="s">
        <v>20327</v>
      </c>
      <c r="M4354" t="s">
        <v>46</v>
      </c>
      <c r="N4354" t="s">
        <v>970</v>
      </c>
      <c r="O4354" t="s">
        <v>18281</v>
      </c>
      <c r="P4354" t="s">
        <v>20328</v>
      </c>
      <c r="Q4354" t="s">
        <v>20329</v>
      </c>
      <c r="R4354">
        <v>13</v>
      </c>
      <c r="S4354">
        <v>16</v>
      </c>
    </row>
    <row r="4355" spans="1:19" x14ac:dyDescent="0.35">
      <c r="A4355">
        <v>8685</v>
      </c>
      <c r="B4355" t="s">
        <v>20330</v>
      </c>
      <c r="C4355" t="s">
        <v>42</v>
      </c>
      <c r="D4355" t="s">
        <v>20331</v>
      </c>
      <c r="E4355" t="e" cm="1">
        <f t="array" ref="E4355">- ACARBOSE</f>
        <v>#NAME?</v>
      </c>
      <c r="F4355" t="s">
        <v>20332</v>
      </c>
      <c r="G4355" t="s">
        <v>20324</v>
      </c>
      <c r="H4355" t="s">
        <v>20333</v>
      </c>
      <c r="I4355" t="s">
        <v>18278</v>
      </c>
      <c r="J4355" t="s">
        <v>532</v>
      </c>
      <c r="K4355" t="s">
        <v>20326</v>
      </c>
      <c r="L4355" t="s">
        <v>20327</v>
      </c>
      <c r="M4355" t="s">
        <v>46</v>
      </c>
      <c r="N4355" t="s">
        <v>970</v>
      </c>
      <c r="O4355" t="s">
        <v>18281</v>
      </c>
      <c r="P4355" t="s">
        <v>20328</v>
      </c>
      <c r="Q4355" t="s">
        <v>20329</v>
      </c>
      <c r="R4355">
        <v>13</v>
      </c>
      <c r="S4355">
        <v>16</v>
      </c>
    </row>
    <row r="4356" spans="1:19" x14ac:dyDescent="0.35">
      <c r="A4356">
        <v>3143</v>
      </c>
      <c r="B4356" t="s">
        <v>20334</v>
      </c>
      <c r="C4356" t="s">
        <v>20</v>
      </c>
      <c r="D4356" t="s">
        <v>20335</v>
      </c>
      <c r="E4356" t="s">
        <v>20336</v>
      </c>
      <c r="F4356" t="s">
        <v>20337</v>
      </c>
      <c r="G4356" t="s">
        <v>60</v>
      </c>
      <c r="H4356" t="s">
        <v>20338</v>
      </c>
      <c r="I4356" t="s">
        <v>20339</v>
      </c>
      <c r="J4356" t="s">
        <v>20340</v>
      </c>
      <c r="M4356" t="s">
        <v>63</v>
      </c>
      <c r="N4356" t="s">
        <v>20341</v>
      </c>
      <c r="O4356" t="s">
        <v>20342</v>
      </c>
      <c r="P4356" t="s">
        <v>20341</v>
      </c>
      <c r="Q4356" t="s">
        <v>20343</v>
      </c>
      <c r="R4356">
        <v>13</v>
      </c>
      <c r="S4356">
        <v>16</v>
      </c>
    </row>
    <row r="4357" spans="1:19" x14ac:dyDescent="0.35">
      <c r="A4357">
        <v>3146</v>
      </c>
      <c r="B4357" t="s">
        <v>20344</v>
      </c>
      <c r="C4357" t="s">
        <v>42</v>
      </c>
      <c r="D4357" t="s">
        <v>20345</v>
      </c>
      <c r="E4357" t="e" cm="1">
        <f t="array" ref="E4357">- FAMOTIDINE</f>
        <v>#NAME?</v>
      </c>
      <c r="F4357" t="s">
        <v>20346</v>
      </c>
      <c r="G4357" t="s">
        <v>20347</v>
      </c>
      <c r="H4357" t="s">
        <v>20348</v>
      </c>
      <c r="I4357" t="s">
        <v>20349</v>
      </c>
      <c r="J4357" t="s">
        <v>20350</v>
      </c>
      <c r="K4357" t="s">
        <v>20351</v>
      </c>
      <c r="L4357" t="s">
        <v>20352</v>
      </c>
      <c r="M4357" t="s">
        <v>46</v>
      </c>
      <c r="N4357" t="s">
        <v>10675</v>
      </c>
      <c r="O4357" t="s">
        <v>20353</v>
      </c>
      <c r="P4357" t="s">
        <v>20354</v>
      </c>
      <c r="Q4357" t="s">
        <v>20355</v>
      </c>
      <c r="R4357">
        <v>13</v>
      </c>
      <c r="S4357">
        <v>16</v>
      </c>
    </row>
    <row r="4358" spans="1:19" x14ac:dyDescent="0.35">
      <c r="A4358">
        <v>3147</v>
      </c>
      <c r="B4358" t="s">
        <v>20344</v>
      </c>
      <c r="C4358" t="s">
        <v>42</v>
      </c>
      <c r="D4358" t="s">
        <v>20345</v>
      </c>
      <c r="E4358" t="e" cm="1">
        <f t="array" ref="E4358">- FAMOTIDINE</f>
        <v>#NAME?</v>
      </c>
      <c r="F4358" t="s">
        <v>20346</v>
      </c>
      <c r="G4358" t="s">
        <v>20347</v>
      </c>
      <c r="H4358" t="s">
        <v>20348</v>
      </c>
      <c r="I4358" t="s">
        <v>20349</v>
      </c>
      <c r="J4358" t="s">
        <v>20350</v>
      </c>
      <c r="K4358" t="s">
        <v>20351</v>
      </c>
      <c r="L4358" t="s">
        <v>20352</v>
      </c>
      <c r="M4358" t="s">
        <v>46</v>
      </c>
      <c r="N4358" t="s">
        <v>10675</v>
      </c>
      <c r="O4358" t="s">
        <v>20353</v>
      </c>
      <c r="P4358" t="s">
        <v>20354</v>
      </c>
      <c r="Q4358" t="s">
        <v>20355</v>
      </c>
      <c r="R4358">
        <v>13</v>
      </c>
      <c r="S4358">
        <v>16</v>
      </c>
    </row>
    <row r="4359" spans="1:19" x14ac:dyDescent="0.35">
      <c r="A4359">
        <v>3148</v>
      </c>
      <c r="B4359" t="s">
        <v>20344</v>
      </c>
      <c r="C4359" t="s">
        <v>42</v>
      </c>
      <c r="D4359" t="s">
        <v>20345</v>
      </c>
      <c r="E4359" t="e" cm="1">
        <f t="array" ref="E4359">- FAMOTIDINE</f>
        <v>#NAME?</v>
      </c>
      <c r="F4359" t="s">
        <v>20346</v>
      </c>
      <c r="G4359" t="s">
        <v>20347</v>
      </c>
      <c r="H4359" t="s">
        <v>20348</v>
      </c>
      <c r="I4359" t="s">
        <v>20349</v>
      </c>
      <c r="J4359" t="s">
        <v>20350</v>
      </c>
      <c r="K4359" t="s">
        <v>20351</v>
      </c>
      <c r="L4359" t="s">
        <v>20352</v>
      </c>
      <c r="M4359" t="s">
        <v>46</v>
      </c>
      <c r="N4359" t="s">
        <v>10675</v>
      </c>
      <c r="O4359" t="s">
        <v>20353</v>
      </c>
      <c r="P4359" t="s">
        <v>20354</v>
      </c>
      <c r="Q4359" t="s">
        <v>20355</v>
      </c>
      <c r="R4359">
        <v>13</v>
      </c>
      <c r="S4359">
        <v>16</v>
      </c>
    </row>
    <row r="4360" spans="1:19" x14ac:dyDescent="0.35">
      <c r="A4360">
        <v>8633</v>
      </c>
      <c r="B4360" t="s">
        <v>20356</v>
      </c>
      <c r="C4360" t="s">
        <v>42</v>
      </c>
      <c r="D4360" t="s">
        <v>20357</v>
      </c>
      <c r="E4360" t="e" cm="1">
        <f t="array" ref="E4360">- ACARBOSE</f>
        <v>#NAME?</v>
      </c>
      <c r="F4360" t="s">
        <v>20358</v>
      </c>
      <c r="G4360" t="s">
        <v>20324</v>
      </c>
      <c r="H4360" t="s">
        <v>20325</v>
      </c>
      <c r="I4360" t="s">
        <v>18278</v>
      </c>
      <c r="J4360" t="s">
        <v>532</v>
      </c>
      <c r="K4360" t="s">
        <v>18279</v>
      </c>
      <c r="L4360" t="s">
        <v>20327</v>
      </c>
      <c r="M4360" t="s">
        <v>46</v>
      </c>
      <c r="N4360" t="s">
        <v>970</v>
      </c>
      <c r="O4360" t="s">
        <v>18281</v>
      </c>
      <c r="P4360" t="s">
        <v>12043</v>
      </c>
      <c r="Q4360" t="s">
        <v>20359</v>
      </c>
      <c r="R4360">
        <v>13</v>
      </c>
      <c r="S4360">
        <v>16</v>
      </c>
    </row>
    <row r="4361" spans="1:19" x14ac:dyDescent="0.35">
      <c r="A4361">
        <v>143</v>
      </c>
      <c r="B4361" t="s">
        <v>2902</v>
      </c>
      <c r="C4361" t="s">
        <v>42</v>
      </c>
      <c r="D4361" t="s">
        <v>20360</v>
      </c>
      <c r="E4361" t="e" cm="1">
        <f t="array" ref="E4361">- SILDENAFIL CITRATE</f>
        <v>#NAME?</v>
      </c>
      <c r="F4361" t="s">
        <v>20361</v>
      </c>
      <c r="G4361" t="s">
        <v>20362</v>
      </c>
      <c r="H4361" t="s">
        <v>20363</v>
      </c>
      <c r="I4361" t="s">
        <v>20364</v>
      </c>
      <c r="J4361" t="s">
        <v>20365</v>
      </c>
      <c r="M4361" t="s">
        <v>46</v>
      </c>
      <c r="N4361" t="s">
        <v>2519</v>
      </c>
      <c r="O4361" t="s">
        <v>20366</v>
      </c>
      <c r="P4361" t="s">
        <v>20367</v>
      </c>
      <c r="Q4361" t="s">
        <v>20368</v>
      </c>
      <c r="R4361">
        <v>13</v>
      </c>
      <c r="S4361">
        <v>16</v>
      </c>
    </row>
    <row r="4362" spans="1:19" x14ac:dyDescent="0.35">
      <c r="A4362">
        <v>3161</v>
      </c>
      <c r="B4362" t="s">
        <v>20369</v>
      </c>
      <c r="C4362" t="s">
        <v>42</v>
      </c>
      <c r="D4362" t="s">
        <v>20370</v>
      </c>
      <c r="E4362" t="s">
        <v>20371</v>
      </c>
      <c r="F4362" t="s">
        <v>20372</v>
      </c>
      <c r="G4362" t="s">
        <v>11823</v>
      </c>
      <c r="H4362" t="s">
        <v>4222</v>
      </c>
      <c r="I4362" t="s">
        <v>20373</v>
      </c>
      <c r="J4362" t="s">
        <v>20374</v>
      </c>
      <c r="K4362" t="s">
        <v>2726</v>
      </c>
      <c r="L4362" t="s">
        <v>20375</v>
      </c>
      <c r="M4362" t="s">
        <v>38</v>
      </c>
      <c r="N4362" t="s">
        <v>20376</v>
      </c>
      <c r="O4362" t="s">
        <v>11828</v>
      </c>
      <c r="P4362" t="s">
        <v>20377</v>
      </c>
      <c r="Q4362" t="s">
        <v>20378</v>
      </c>
      <c r="R4362">
        <v>13</v>
      </c>
      <c r="S4362">
        <v>16</v>
      </c>
    </row>
    <row r="4363" spans="1:19" x14ac:dyDescent="0.35">
      <c r="A4363">
        <v>9070</v>
      </c>
      <c r="B4363" t="s">
        <v>20379</v>
      </c>
      <c r="C4363" t="s">
        <v>42</v>
      </c>
      <c r="D4363" t="s">
        <v>20380</v>
      </c>
      <c r="E4363" t="e" cm="1">
        <f t="array" ref="E4363">- HYDROCHLOROTHIAZIDE</f>
        <v>#NAME?</v>
      </c>
      <c r="F4363" t="s">
        <v>20381</v>
      </c>
      <c r="G4363" t="s">
        <v>20382</v>
      </c>
      <c r="H4363" t="s">
        <v>20383</v>
      </c>
      <c r="I4363" t="s">
        <v>20384</v>
      </c>
      <c r="J4363" t="s">
        <v>20385</v>
      </c>
      <c r="K4363" t="s">
        <v>20386</v>
      </c>
      <c r="L4363" t="s">
        <v>20387</v>
      </c>
      <c r="M4363" t="s">
        <v>46</v>
      </c>
      <c r="N4363" t="s">
        <v>2647</v>
      </c>
      <c r="O4363" t="s">
        <v>20388</v>
      </c>
      <c r="P4363" t="s">
        <v>20389</v>
      </c>
      <c r="Q4363" t="s">
        <v>20390</v>
      </c>
      <c r="R4363">
        <v>13</v>
      </c>
      <c r="S4363">
        <v>16</v>
      </c>
    </row>
    <row r="4364" spans="1:19" x14ac:dyDescent="0.35">
      <c r="A4364">
        <v>9071</v>
      </c>
      <c r="B4364" t="s">
        <v>20391</v>
      </c>
      <c r="C4364" t="s">
        <v>42</v>
      </c>
      <c r="D4364" t="s">
        <v>20392</v>
      </c>
      <c r="E4364" t="e" cm="1">
        <f t="array" ref="E4364">- IRBESARTAN. HYDROCHLOROTHIAZIDE</f>
        <v>#NAME?</v>
      </c>
      <c r="F4364" t="s">
        <v>20393</v>
      </c>
      <c r="G4364" t="s">
        <v>6310</v>
      </c>
      <c r="H4364" t="s">
        <v>20394</v>
      </c>
      <c r="I4364" t="s">
        <v>20395</v>
      </c>
      <c r="J4364" t="s">
        <v>20396</v>
      </c>
      <c r="K4364" t="s">
        <v>20397</v>
      </c>
      <c r="L4364" t="s">
        <v>20398</v>
      </c>
      <c r="M4364" t="s">
        <v>46</v>
      </c>
      <c r="N4364" t="s">
        <v>20399</v>
      </c>
      <c r="O4364" t="s">
        <v>20400</v>
      </c>
      <c r="P4364" t="s">
        <v>20401</v>
      </c>
      <c r="Q4364" t="s">
        <v>20402</v>
      </c>
      <c r="R4364">
        <v>13</v>
      </c>
      <c r="S4364">
        <v>16</v>
      </c>
    </row>
    <row r="4365" spans="1:19" x14ac:dyDescent="0.35">
      <c r="A4365">
        <v>9072</v>
      </c>
      <c r="B4365" t="s">
        <v>20391</v>
      </c>
      <c r="C4365" t="s">
        <v>42</v>
      </c>
      <c r="D4365" t="s">
        <v>20392</v>
      </c>
      <c r="E4365" t="e" cm="1">
        <f t="array" ref="E4365">- IRBESARTAN. HYDROCHLOROTHIAZIDE</f>
        <v>#NAME?</v>
      </c>
      <c r="F4365" t="s">
        <v>20393</v>
      </c>
      <c r="G4365" t="s">
        <v>6310</v>
      </c>
      <c r="H4365" t="s">
        <v>20394</v>
      </c>
      <c r="I4365" t="s">
        <v>20395</v>
      </c>
      <c r="J4365" t="s">
        <v>20396</v>
      </c>
      <c r="K4365" t="s">
        <v>20397</v>
      </c>
      <c r="L4365" t="s">
        <v>20398</v>
      </c>
      <c r="M4365" t="s">
        <v>46</v>
      </c>
      <c r="N4365" t="s">
        <v>20399</v>
      </c>
      <c r="O4365" t="s">
        <v>20400</v>
      </c>
      <c r="P4365" t="s">
        <v>20401</v>
      </c>
      <c r="Q4365" t="s">
        <v>20402</v>
      </c>
      <c r="R4365">
        <v>13</v>
      </c>
      <c r="S4365">
        <v>16</v>
      </c>
    </row>
    <row r="4366" spans="1:19" x14ac:dyDescent="0.35">
      <c r="A4366">
        <v>9073</v>
      </c>
      <c r="B4366" t="s">
        <v>20403</v>
      </c>
      <c r="C4366" t="s">
        <v>42</v>
      </c>
      <c r="D4366" t="s">
        <v>20404</v>
      </c>
      <c r="E4366" t="e" cm="1">
        <f t="array" ref="E4366">- IRBESARTAN. HYDROCHLOROTHIAZIDE</f>
        <v>#NAME?</v>
      </c>
      <c r="F4366" t="s">
        <v>20405</v>
      </c>
      <c r="G4366" t="s">
        <v>6310</v>
      </c>
      <c r="H4366" t="s">
        <v>20394</v>
      </c>
      <c r="I4366" t="s">
        <v>20395</v>
      </c>
      <c r="J4366" t="s">
        <v>20406</v>
      </c>
      <c r="K4366" t="s">
        <v>20397</v>
      </c>
      <c r="L4366" t="s">
        <v>20398</v>
      </c>
      <c r="M4366" t="s">
        <v>46</v>
      </c>
      <c r="N4366" t="s">
        <v>20399</v>
      </c>
      <c r="O4366" t="s">
        <v>20400</v>
      </c>
      <c r="P4366" t="s">
        <v>20401</v>
      </c>
      <c r="Q4366" t="s">
        <v>20402</v>
      </c>
      <c r="R4366">
        <v>13</v>
      </c>
      <c r="S4366">
        <v>16</v>
      </c>
    </row>
    <row r="4367" spans="1:19" x14ac:dyDescent="0.35">
      <c r="A4367">
        <v>9074</v>
      </c>
      <c r="B4367" t="s">
        <v>20403</v>
      </c>
      <c r="C4367" t="s">
        <v>42</v>
      </c>
      <c r="D4367" t="s">
        <v>20404</v>
      </c>
      <c r="E4367" t="e" cm="1">
        <f t="array" ref="E4367">- IRBESARTAN. HYDROCHLOROTHIAZIDE</f>
        <v>#NAME?</v>
      </c>
      <c r="F4367" t="s">
        <v>20405</v>
      </c>
      <c r="G4367" t="s">
        <v>6310</v>
      </c>
      <c r="H4367" t="s">
        <v>20394</v>
      </c>
      <c r="I4367" t="s">
        <v>20395</v>
      </c>
      <c r="J4367" t="s">
        <v>20406</v>
      </c>
      <c r="K4367" t="s">
        <v>20397</v>
      </c>
      <c r="L4367" t="s">
        <v>20398</v>
      </c>
      <c r="M4367" t="s">
        <v>46</v>
      </c>
      <c r="N4367" t="s">
        <v>20399</v>
      </c>
      <c r="O4367" t="s">
        <v>20400</v>
      </c>
      <c r="P4367" t="s">
        <v>20401</v>
      </c>
      <c r="Q4367" t="s">
        <v>20402</v>
      </c>
      <c r="R4367">
        <v>13</v>
      </c>
      <c r="S4367">
        <v>16</v>
      </c>
    </row>
    <row r="4368" spans="1:19" x14ac:dyDescent="0.35">
      <c r="A4368">
        <v>2767</v>
      </c>
      <c r="B4368" t="s">
        <v>20407</v>
      </c>
      <c r="C4368" t="s">
        <v>42</v>
      </c>
      <c r="D4368" t="s">
        <v>20408</v>
      </c>
      <c r="E4368" t="e" cm="1">
        <f t="array" ref="E4368">- CINNARIZINE</f>
        <v>#NAME?</v>
      </c>
      <c r="F4368" t="s">
        <v>16920</v>
      </c>
      <c r="G4368" t="s">
        <v>5970</v>
      </c>
      <c r="H4368" t="s">
        <v>20409</v>
      </c>
      <c r="I4368" t="s">
        <v>20410</v>
      </c>
      <c r="J4368" t="s">
        <v>381</v>
      </c>
      <c r="K4368" t="s">
        <v>20411</v>
      </c>
      <c r="L4368" t="s">
        <v>20412</v>
      </c>
      <c r="M4368" t="s">
        <v>46</v>
      </c>
      <c r="N4368" t="s">
        <v>16982</v>
      </c>
      <c r="O4368" t="s">
        <v>20413</v>
      </c>
      <c r="P4368" t="s">
        <v>20414</v>
      </c>
      <c r="Q4368" t="s">
        <v>20415</v>
      </c>
      <c r="R4368">
        <v>13</v>
      </c>
      <c r="S4368">
        <v>16</v>
      </c>
    </row>
    <row r="4369" spans="1:19" x14ac:dyDescent="0.35">
      <c r="A4369">
        <v>3179</v>
      </c>
      <c r="B4369" t="s">
        <v>15698</v>
      </c>
      <c r="C4369" t="s">
        <v>42</v>
      </c>
      <c r="D4369" t="s">
        <v>15699</v>
      </c>
      <c r="E4369" t="e" cm="1">
        <f t="array" ref="E4369">- PANTOPRAZOLE SODIUM SESQUIHYDRATE</f>
        <v>#NAME?</v>
      </c>
      <c r="F4369" t="s">
        <v>15700</v>
      </c>
      <c r="G4369" t="s">
        <v>15701</v>
      </c>
      <c r="H4369" t="s">
        <v>15702</v>
      </c>
      <c r="I4369" t="s">
        <v>15703</v>
      </c>
      <c r="J4369" t="s">
        <v>2446</v>
      </c>
      <c r="K4369" t="s">
        <v>3473</v>
      </c>
      <c r="L4369" t="s">
        <v>15704</v>
      </c>
      <c r="M4369" t="s">
        <v>46</v>
      </c>
      <c r="N4369" t="s">
        <v>14942</v>
      </c>
      <c r="O4369" t="s">
        <v>15706</v>
      </c>
      <c r="P4369" t="s">
        <v>15707</v>
      </c>
      <c r="Q4369" t="s">
        <v>20416</v>
      </c>
      <c r="R4369">
        <v>13</v>
      </c>
      <c r="S4369">
        <v>16</v>
      </c>
    </row>
    <row r="4370" spans="1:19" x14ac:dyDescent="0.35">
      <c r="A4370">
        <v>3182</v>
      </c>
      <c r="B4370" t="s">
        <v>20417</v>
      </c>
      <c r="C4370" t="s">
        <v>42</v>
      </c>
      <c r="D4370" t="s">
        <v>20418</v>
      </c>
      <c r="E4370" t="e" cm="1">
        <f t="array" ref="E4370">- DRIED ALUMINIUM HYDROXIDE GEL</f>
        <v>#NAME?</v>
      </c>
      <c r="F4370" t="s">
        <v>20419</v>
      </c>
      <c r="G4370" t="s">
        <v>20420</v>
      </c>
      <c r="H4370" t="s">
        <v>20421</v>
      </c>
      <c r="I4370" t="s">
        <v>20422</v>
      </c>
      <c r="J4370" t="s">
        <v>374</v>
      </c>
      <c r="K4370" t="s">
        <v>3473</v>
      </c>
      <c r="L4370" t="s">
        <v>9086</v>
      </c>
      <c r="M4370" t="s">
        <v>340</v>
      </c>
      <c r="N4370" t="s">
        <v>4172</v>
      </c>
      <c r="O4370" t="s">
        <v>20423</v>
      </c>
      <c r="P4370" t="s">
        <v>20424</v>
      </c>
      <c r="Q4370" t="s">
        <v>20425</v>
      </c>
      <c r="R4370">
        <v>13</v>
      </c>
      <c r="S4370">
        <v>16</v>
      </c>
    </row>
    <row r="4371" spans="1:19" x14ac:dyDescent="0.35">
      <c r="A4371">
        <v>8523</v>
      </c>
      <c r="B4371" t="s">
        <v>20426</v>
      </c>
      <c r="C4371" t="s">
        <v>42</v>
      </c>
      <c r="D4371" t="s">
        <v>20427</v>
      </c>
      <c r="E4371" t="e" cm="1">
        <f t="array" ref="E4371">- FRAMYCETIN SULFATE</f>
        <v>#NAME?</v>
      </c>
      <c r="F4371" t="s">
        <v>20428</v>
      </c>
      <c r="G4371" t="s">
        <v>20429</v>
      </c>
      <c r="H4371" t="s">
        <v>20430</v>
      </c>
      <c r="I4371" t="s">
        <v>20431</v>
      </c>
      <c r="J4371" t="s">
        <v>20432</v>
      </c>
      <c r="K4371" t="s">
        <v>4677</v>
      </c>
      <c r="L4371" t="s">
        <v>20433</v>
      </c>
      <c r="M4371" t="s">
        <v>2229</v>
      </c>
      <c r="N4371" t="s">
        <v>20434</v>
      </c>
      <c r="O4371" t="s">
        <v>20435</v>
      </c>
      <c r="P4371" t="s">
        <v>20436</v>
      </c>
      <c r="Q4371" t="s">
        <v>20437</v>
      </c>
      <c r="R4371">
        <v>13</v>
      </c>
      <c r="S4371">
        <v>16</v>
      </c>
    </row>
    <row r="4372" spans="1:19" x14ac:dyDescent="0.35">
      <c r="A4372">
        <v>8522</v>
      </c>
      <c r="B4372" t="s">
        <v>20426</v>
      </c>
      <c r="C4372" t="s">
        <v>42</v>
      </c>
      <c r="D4372" t="s">
        <v>20427</v>
      </c>
      <c r="E4372" t="e" cm="1">
        <f t="array" ref="E4372">- FRAMYCETIN SULFATE</f>
        <v>#NAME?</v>
      </c>
      <c r="F4372" t="s">
        <v>20428</v>
      </c>
      <c r="G4372" t="s">
        <v>20429</v>
      </c>
      <c r="H4372" t="s">
        <v>20430</v>
      </c>
      <c r="I4372" t="s">
        <v>20431</v>
      </c>
      <c r="J4372" t="s">
        <v>20432</v>
      </c>
      <c r="K4372" t="s">
        <v>4677</v>
      </c>
      <c r="L4372" t="s">
        <v>20433</v>
      </c>
      <c r="M4372" t="s">
        <v>2229</v>
      </c>
      <c r="N4372" t="s">
        <v>20434</v>
      </c>
      <c r="O4372" t="s">
        <v>20435</v>
      </c>
      <c r="P4372" t="s">
        <v>20436</v>
      </c>
      <c r="Q4372" t="s">
        <v>20437</v>
      </c>
      <c r="R4372">
        <v>13</v>
      </c>
      <c r="S4372">
        <v>16</v>
      </c>
    </row>
    <row r="4373" spans="1:19" x14ac:dyDescent="0.35">
      <c r="A4373">
        <v>2733</v>
      </c>
      <c r="B4373" t="s">
        <v>20438</v>
      </c>
      <c r="C4373" t="s">
        <v>42</v>
      </c>
      <c r="D4373" t="s">
        <v>20439</v>
      </c>
      <c r="E4373" t="e" cm="1">
        <f t="array" ref="E4373">- ETORICOXIB</f>
        <v>#NAME?</v>
      </c>
      <c r="F4373" t="s">
        <v>20440</v>
      </c>
      <c r="G4373" t="s">
        <v>2241</v>
      </c>
      <c r="H4373" t="s">
        <v>20441</v>
      </c>
      <c r="I4373" t="s">
        <v>19893</v>
      </c>
      <c r="J4373" t="s">
        <v>20442</v>
      </c>
      <c r="M4373" t="s">
        <v>46</v>
      </c>
      <c r="N4373" t="s">
        <v>47</v>
      </c>
      <c r="O4373" t="s">
        <v>19896</v>
      </c>
      <c r="P4373" t="s">
        <v>20443</v>
      </c>
      <c r="Q4373" t="s">
        <v>20444</v>
      </c>
      <c r="R4373">
        <v>13</v>
      </c>
      <c r="S4373">
        <v>16</v>
      </c>
    </row>
    <row r="4374" spans="1:19" x14ac:dyDescent="0.35">
      <c r="A4374">
        <v>8774</v>
      </c>
      <c r="B4374" t="s">
        <v>2388</v>
      </c>
      <c r="C4374" t="s">
        <v>42</v>
      </c>
      <c r="D4374" t="s">
        <v>20445</v>
      </c>
      <c r="E4374" t="e" cm="1">
        <f t="array" ref="E4374">- PIOGLITAZONE HYDROCHLORIDE</f>
        <v>#NAME?</v>
      </c>
      <c r="F4374" s="1">
        <v>315700</v>
      </c>
      <c r="I4374" t="s">
        <v>20446</v>
      </c>
      <c r="J4374" t="s">
        <v>20447</v>
      </c>
      <c r="M4374" t="s">
        <v>46</v>
      </c>
      <c r="N4374" t="s">
        <v>2389</v>
      </c>
      <c r="O4374" t="s">
        <v>20448</v>
      </c>
      <c r="P4374" t="s">
        <v>6803</v>
      </c>
      <c r="Q4374" t="s">
        <v>20449</v>
      </c>
      <c r="R4374">
        <v>13</v>
      </c>
      <c r="S4374">
        <v>16</v>
      </c>
    </row>
    <row r="4375" spans="1:19" x14ac:dyDescent="0.35">
      <c r="A4375">
        <v>203</v>
      </c>
      <c r="B4375" t="s">
        <v>2902</v>
      </c>
      <c r="C4375" t="s">
        <v>42</v>
      </c>
      <c r="D4375" t="s">
        <v>19777</v>
      </c>
      <c r="E4375" t="e" cm="1">
        <f t="array" ref="E4375">- SILDENAFIL CITRATE</f>
        <v>#NAME?</v>
      </c>
      <c r="F4375" t="s">
        <v>19778</v>
      </c>
      <c r="G4375" t="s">
        <v>12009</v>
      </c>
      <c r="I4375" t="s">
        <v>16959</v>
      </c>
      <c r="J4375" t="s">
        <v>19779</v>
      </c>
      <c r="M4375" t="s">
        <v>46</v>
      </c>
      <c r="N4375" t="s">
        <v>2519</v>
      </c>
      <c r="O4375" t="s">
        <v>16960</v>
      </c>
      <c r="P4375" t="s">
        <v>11353</v>
      </c>
      <c r="Q4375" t="s">
        <v>20450</v>
      </c>
      <c r="R4375">
        <v>13</v>
      </c>
      <c r="S4375">
        <v>16</v>
      </c>
    </row>
    <row r="4376" spans="1:19" x14ac:dyDescent="0.35">
      <c r="A4376">
        <v>2871</v>
      </c>
      <c r="B4376" t="s">
        <v>20451</v>
      </c>
      <c r="C4376" t="s">
        <v>42</v>
      </c>
      <c r="D4376" t="s">
        <v>20452</v>
      </c>
      <c r="E4376" t="e" cm="1">
        <f t="array" ref="E4376">- PARACETAMOL</f>
        <v>#NAME?</v>
      </c>
      <c r="F4376" t="s">
        <v>20453</v>
      </c>
      <c r="G4376" t="s">
        <v>20454</v>
      </c>
      <c r="H4376" t="s">
        <v>20455</v>
      </c>
      <c r="I4376" t="s">
        <v>20456</v>
      </c>
      <c r="J4376" t="s">
        <v>10124</v>
      </c>
      <c r="K4376" t="s">
        <v>15724</v>
      </c>
      <c r="L4376" t="s">
        <v>15542</v>
      </c>
      <c r="M4376" t="s">
        <v>340</v>
      </c>
      <c r="N4376" t="s">
        <v>584</v>
      </c>
      <c r="O4376" t="s">
        <v>20457</v>
      </c>
      <c r="P4376" t="s">
        <v>20458</v>
      </c>
      <c r="Q4376" t="s">
        <v>20459</v>
      </c>
      <c r="R4376">
        <v>13</v>
      </c>
      <c r="S4376">
        <v>16</v>
      </c>
    </row>
    <row r="4377" spans="1:19" x14ac:dyDescent="0.35">
      <c r="A4377">
        <v>2874</v>
      </c>
      <c r="B4377" t="s">
        <v>20460</v>
      </c>
      <c r="C4377" t="s">
        <v>42</v>
      </c>
      <c r="D4377" t="s">
        <v>20461</v>
      </c>
      <c r="E4377" t="e" cm="1">
        <f t="array" ref="E4377">- ACETYLSALICYLIC ACID</f>
        <v>#NAME?</v>
      </c>
      <c r="F4377" t="s">
        <v>20462</v>
      </c>
      <c r="G4377" t="s">
        <v>4045</v>
      </c>
      <c r="H4377" t="s">
        <v>20463</v>
      </c>
      <c r="I4377" t="s">
        <v>20464</v>
      </c>
      <c r="J4377" t="s">
        <v>20465</v>
      </c>
      <c r="L4377" t="s">
        <v>20466</v>
      </c>
      <c r="M4377" t="s">
        <v>46</v>
      </c>
      <c r="N4377" t="s">
        <v>2579</v>
      </c>
      <c r="O4377" t="s">
        <v>20467</v>
      </c>
      <c r="P4377" t="s">
        <v>20468</v>
      </c>
      <c r="Q4377" t="s">
        <v>20469</v>
      </c>
      <c r="R4377">
        <v>13</v>
      </c>
      <c r="S4377">
        <v>16</v>
      </c>
    </row>
    <row r="4378" spans="1:19" x14ac:dyDescent="0.35">
      <c r="A4378">
        <v>1430</v>
      </c>
      <c r="B4378" t="s">
        <v>12244</v>
      </c>
      <c r="C4378" t="s">
        <v>42</v>
      </c>
      <c r="D4378" t="s">
        <v>12245</v>
      </c>
      <c r="E4378" t="e" cm="1">
        <f t="array" ref="E4378">- DEXTROMETHORPHAN HYDROBROMIDE. CHLORPHENAMINE MALEATE. GUAIFENESIN</f>
        <v>#NAME?</v>
      </c>
      <c r="F4378" t="s">
        <v>12246</v>
      </c>
      <c r="G4378" t="s">
        <v>4482</v>
      </c>
      <c r="H4378" t="s">
        <v>12247</v>
      </c>
      <c r="I4378" t="s">
        <v>12248</v>
      </c>
      <c r="J4378" t="s">
        <v>10205</v>
      </c>
      <c r="L4378" t="s">
        <v>12249</v>
      </c>
      <c r="M4378" t="s">
        <v>271</v>
      </c>
      <c r="N4378" t="s">
        <v>13582</v>
      </c>
      <c r="O4378" t="s">
        <v>12250</v>
      </c>
      <c r="P4378" t="s">
        <v>12251</v>
      </c>
      <c r="Q4378" t="s">
        <v>20470</v>
      </c>
      <c r="R4378">
        <v>13</v>
      </c>
      <c r="S4378">
        <v>16</v>
      </c>
    </row>
    <row r="4379" spans="1:19" x14ac:dyDescent="0.35">
      <c r="A4379">
        <v>1434</v>
      </c>
      <c r="B4379" t="s">
        <v>20471</v>
      </c>
      <c r="C4379" t="s">
        <v>42</v>
      </c>
      <c r="D4379" t="s">
        <v>20472</v>
      </c>
      <c r="E4379" t="e" cm="1">
        <f t="array" ref="E4379">- CHLORPHENAMINE MALEATE</f>
        <v>#NAME?</v>
      </c>
      <c r="F4379" t="s">
        <v>20473</v>
      </c>
      <c r="G4379" t="s">
        <v>4545</v>
      </c>
      <c r="H4379" t="s">
        <v>20474</v>
      </c>
      <c r="I4379" t="s">
        <v>20475</v>
      </c>
      <c r="J4379" t="s">
        <v>19210</v>
      </c>
      <c r="K4379" t="s">
        <v>20476</v>
      </c>
      <c r="L4379" t="s">
        <v>20477</v>
      </c>
      <c r="M4379" t="s">
        <v>271</v>
      </c>
      <c r="N4379" t="s">
        <v>1354</v>
      </c>
      <c r="O4379" t="s">
        <v>20478</v>
      </c>
      <c r="P4379" t="s">
        <v>20479</v>
      </c>
      <c r="Q4379" t="s">
        <v>20480</v>
      </c>
      <c r="R4379">
        <v>13</v>
      </c>
      <c r="S4379">
        <v>16</v>
      </c>
    </row>
    <row r="4380" spans="1:19" x14ac:dyDescent="0.35">
      <c r="A4380">
        <v>2989</v>
      </c>
      <c r="B4380" t="s">
        <v>20481</v>
      </c>
      <c r="C4380" t="s">
        <v>42</v>
      </c>
      <c r="D4380" t="s">
        <v>20482</v>
      </c>
      <c r="E4380" t="e" cm="1">
        <f t="array" ref="E4380">- PARACETAMOL</f>
        <v>#NAME?</v>
      </c>
      <c r="F4380" s="1">
        <v>25100</v>
      </c>
      <c r="I4380" t="s">
        <v>20483</v>
      </c>
      <c r="J4380" t="s">
        <v>18410</v>
      </c>
      <c r="M4380" t="s">
        <v>824</v>
      </c>
      <c r="N4380" t="s">
        <v>584</v>
      </c>
      <c r="O4380" t="s">
        <v>15183</v>
      </c>
      <c r="P4380" t="s">
        <v>20484</v>
      </c>
      <c r="Q4380" t="s">
        <v>20485</v>
      </c>
      <c r="R4380">
        <v>13</v>
      </c>
      <c r="S4380">
        <v>16</v>
      </c>
    </row>
    <row r="4381" spans="1:19" x14ac:dyDescent="0.35">
      <c r="A4381">
        <v>2990</v>
      </c>
      <c r="B4381" t="s">
        <v>20481</v>
      </c>
      <c r="C4381" t="s">
        <v>42</v>
      </c>
      <c r="D4381" t="s">
        <v>20482</v>
      </c>
      <c r="E4381" t="e" cm="1">
        <f t="array" ref="E4381">- PARACETAMOL</f>
        <v>#NAME?</v>
      </c>
      <c r="F4381" s="1">
        <v>25100</v>
      </c>
      <c r="I4381" t="s">
        <v>20483</v>
      </c>
      <c r="J4381" t="s">
        <v>18410</v>
      </c>
      <c r="M4381" t="s">
        <v>824</v>
      </c>
      <c r="N4381" t="s">
        <v>584</v>
      </c>
      <c r="O4381" t="s">
        <v>15183</v>
      </c>
      <c r="P4381" t="s">
        <v>20484</v>
      </c>
      <c r="Q4381" t="s">
        <v>20485</v>
      </c>
      <c r="R4381">
        <v>13</v>
      </c>
      <c r="S4381">
        <v>16</v>
      </c>
    </row>
    <row r="4382" spans="1:19" x14ac:dyDescent="0.35">
      <c r="A4382">
        <v>1421</v>
      </c>
      <c r="B4382" t="s">
        <v>18575</v>
      </c>
      <c r="C4382" t="s">
        <v>42</v>
      </c>
      <c r="D4382" t="s">
        <v>20486</v>
      </c>
      <c r="E4382" t="e" cm="1">
        <f t="array" ref="E4382">- AMMONIUM CHLORIDE</f>
        <v>#NAME?</v>
      </c>
      <c r="F4382" t="s">
        <v>20487</v>
      </c>
      <c r="G4382" t="s">
        <v>60</v>
      </c>
      <c r="H4382" t="s">
        <v>20488</v>
      </c>
    </row>
    <row r="4383" spans="1:19" x14ac:dyDescent="0.35">
      <c r="A4383">
        <v>1420</v>
      </c>
      <c r="B4383" t="s">
        <v>18575</v>
      </c>
      <c r="C4383" t="s">
        <v>42</v>
      </c>
      <c r="D4383" t="s">
        <v>20486</v>
      </c>
      <c r="E4383" t="e" cm="1">
        <f t="array" ref="E4383">- AMMONIUM CHLORIDE</f>
        <v>#NAME?</v>
      </c>
      <c r="F4383" t="s">
        <v>20487</v>
      </c>
      <c r="G4383" t="s">
        <v>60</v>
      </c>
      <c r="H4383" t="s">
        <v>20488</v>
      </c>
    </row>
    <row r="4384" spans="1:19" x14ac:dyDescent="0.35">
      <c r="A4384">
        <v>4221</v>
      </c>
      <c r="B4384" t="s">
        <v>20489</v>
      </c>
      <c r="C4384" t="s">
        <v>42</v>
      </c>
      <c r="D4384" t="s">
        <v>20490</v>
      </c>
      <c r="E4384" t="e" cm="1">
        <f t="array" ref="E4384">- LORATADINE</f>
        <v>#NAME?</v>
      </c>
      <c r="F4384" t="s">
        <v>20491</v>
      </c>
      <c r="G4384" t="s">
        <v>20492</v>
      </c>
      <c r="H4384" t="s">
        <v>20493</v>
      </c>
      <c r="I4384" t="s">
        <v>20494</v>
      </c>
      <c r="J4384" t="s">
        <v>334</v>
      </c>
      <c r="K4384" t="s">
        <v>2858</v>
      </c>
      <c r="L4384" t="s">
        <v>8847</v>
      </c>
      <c r="M4384" t="s">
        <v>271</v>
      </c>
      <c r="N4384" t="s">
        <v>9225</v>
      </c>
      <c r="O4384" t="s">
        <v>20495</v>
      </c>
      <c r="P4384" t="s">
        <v>20496</v>
      </c>
      <c r="Q4384" t="s">
        <v>20497</v>
      </c>
      <c r="R4384">
        <v>13</v>
      </c>
      <c r="S4384">
        <v>16</v>
      </c>
    </row>
    <row r="4385" spans="1:19" x14ac:dyDescent="0.35">
      <c r="A4385">
        <v>2949</v>
      </c>
      <c r="B4385" t="s">
        <v>19849</v>
      </c>
      <c r="C4385" t="s">
        <v>42</v>
      </c>
      <c r="D4385" t="s">
        <v>19850</v>
      </c>
      <c r="E4385" t="e" cm="1">
        <f t="array" ref="E4385">- PARACETAMOL</f>
        <v>#NAME?</v>
      </c>
      <c r="F4385" t="s">
        <v>19851</v>
      </c>
      <c r="G4385" t="s">
        <v>2241</v>
      </c>
      <c r="H4385" t="s">
        <v>19852</v>
      </c>
      <c r="I4385" t="s">
        <v>16874</v>
      </c>
      <c r="J4385" t="s">
        <v>3926</v>
      </c>
      <c r="K4385" t="s">
        <v>6767</v>
      </c>
      <c r="L4385" t="s">
        <v>19853</v>
      </c>
      <c r="M4385" t="s">
        <v>271</v>
      </c>
      <c r="N4385" t="s">
        <v>584</v>
      </c>
      <c r="O4385" t="s">
        <v>16878</v>
      </c>
      <c r="P4385" t="s">
        <v>19854</v>
      </c>
      <c r="Q4385" t="s">
        <v>19855</v>
      </c>
      <c r="R4385">
        <v>13</v>
      </c>
      <c r="S4385">
        <v>16</v>
      </c>
    </row>
    <row r="4386" spans="1:19" x14ac:dyDescent="0.35">
      <c r="A4386">
        <v>1435</v>
      </c>
      <c r="B4386" t="s">
        <v>20471</v>
      </c>
      <c r="C4386" t="s">
        <v>42</v>
      </c>
      <c r="D4386" t="s">
        <v>20472</v>
      </c>
      <c r="E4386" t="e" cm="1">
        <f t="array" ref="E4386">- CHLORPHENAMINE MALEATE</f>
        <v>#NAME?</v>
      </c>
      <c r="F4386" t="s">
        <v>20473</v>
      </c>
      <c r="G4386" t="s">
        <v>4545</v>
      </c>
      <c r="H4386" t="s">
        <v>20474</v>
      </c>
      <c r="I4386" t="s">
        <v>20475</v>
      </c>
      <c r="J4386" t="s">
        <v>19210</v>
      </c>
      <c r="K4386" t="s">
        <v>20476</v>
      </c>
      <c r="L4386" t="s">
        <v>20477</v>
      </c>
      <c r="M4386" t="s">
        <v>271</v>
      </c>
      <c r="N4386" t="s">
        <v>1354</v>
      </c>
      <c r="O4386" t="s">
        <v>20478</v>
      </c>
      <c r="P4386" t="s">
        <v>20479</v>
      </c>
      <c r="Q4386" t="s">
        <v>20480</v>
      </c>
      <c r="R4386">
        <v>13</v>
      </c>
      <c r="S4386">
        <v>16</v>
      </c>
    </row>
    <row r="4387" spans="1:19" x14ac:dyDescent="0.35">
      <c r="A4387">
        <v>1437</v>
      </c>
      <c r="B4387" t="s">
        <v>20471</v>
      </c>
      <c r="C4387" t="s">
        <v>42</v>
      </c>
      <c r="D4387" t="s">
        <v>20498</v>
      </c>
      <c r="E4387" t="e" cm="1">
        <f t="array" ref="E4387">- CHLORPHENAMINE MALEATE</f>
        <v>#NAME?</v>
      </c>
      <c r="F4387" s="1">
        <v>16900</v>
      </c>
      <c r="H4387" t="s">
        <v>20499</v>
      </c>
      <c r="I4387" t="s">
        <v>20475</v>
      </c>
      <c r="J4387" t="s">
        <v>20500</v>
      </c>
      <c r="K4387" t="s">
        <v>20501</v>
      </c>
      <c r="L4387" t="s">
        <v>20502</v>
      </c>
      <c r="M4387" t="s">
        <v>271</v>
      </c>
      <c r="N4387" t="s">
        <v>1354</v>
      </c>
      <c r="O4387" t="s">
        <v>20478</v>
      </c>
      <c r="P4387" t="s">
        <v>20479</v>
      </c>
      <c r="Q4387" t="s">
        <v>20480</v>
      </c>
      <c r="R4387">
        <v>13</v>
      </c>
      <c r="S4387">
        <v>16</v>
      </c>
    </row>
    <row r="4388" spans="1:19" x14ac:dyDescent="0.35">
      <c r="A4388">
        <v>2942</v>
      </c>
      <c r="B4388" t="s">
        <v>20503</v>
      </c>
      <c r="C4388" t="s">
        <v>42</v>
      </c>
      <c r="D4388" t="s">
        <v>20504</v>
      </c>
      <c r="E4388" t="e" cm="1">
        <f t="array" ref="E4388">- PARACETAMOL</f>
        <v>#NAME?</v>
      </c>
      <c r="F4388" t="s">
        <v>20505</v>
      </c>
      <c r="G4388" t="s">
        <v>1258</v>
      </c>
      <c r="H4388" t="s">
        <v>12278</v>
      </c>
      <c r="I4388" t="s">
        <v>20506</v>
      </c>
      <c r="J4388" t="s">
        <v>3926</v>
      </c>
      <c r="K4388" t="s">
        <v>20024</v>
      </c>
      <c r="L4388" t="s">
        <v>17111</v>
      </c>
      <c r="M4388" t="s">
        <v>271</v>
      </c>
      <c r="N4388" t="s">
        <v>584</v>
      </c>
      <c r="O4388" t="s">
        <v>20507</v>
      </c>
      <c r="P4388" t="s">
        <v>20508</v>
      </c>
      <c r="Q4388" t="s">
        <v>20509</v>
      </c>
      <c r="R4388">
        <v>13</v>
      </c>
      <c r="S4388">
        <v>16</v>
      </c>
    </row>
    <row r="4389" spans="1:19" x14ac:dyDescent="0.35">
      <c r="A4389">
        <v>1438</v>
      </c>
      <c r="B4389" t="s">
        <v>20471</v>
      </c>
      <c r="C4389" t="s">
        <v>42</v>
      </c>
      <c r="D4389" t="s">
        <v>20498</v>
      </c>
      <c r="E4389" t="e" cm="1">
        <f t="array" ref="E4389">- CHLORPHENAMINE MALEATE</f>
        <v>#NAME?</v>
      </c>
      <c r="F4389" s="1">
        <v>16900</v>
      </c>
      <c r="H4389" t="s">
        <v>20499</v>
      </c>
      <c r="I4389" t="s">
        <v>20475</v>
      </c>
      <c r="J4389" t="s">
        <v>20500</v>
      </c>
      <c r="K4389" t="s">
        <v>20501</v>
      </c>
      <c r="L4389" t="s">
        <v>20502</v>
      </c>
      <c r="M4389" t="s">
        <v>271</v>
      </c>
      <c r="N4389" t="s">
        <v>1354</v>
      </c>
      <c r="O4389" t="s">
        <v>20478</v>
      </c>
      <c r="P4389" t="s">
        <v>20479</v>
      </c>
      <c r="Q4389" t="s">
        <v>20480</v>
      </c>
      <c r="R4389">
        <v>13</v>
      </c>
      <c r="S4389">
        <v>16</v>
      </c>
    </row>
    <row r="4390" spans="1:19" x14ac:dyDescent="0.35">
      <c r="A4390">
        <v>2732</v>
      </c>
      <c r="B4390" t="s">
        <v>20438</v>
      </c>
      <c r="C4390" t="s">
        <v>42</v>
      </c>
      <c r="D4390" t="s">
        <v>20439</v>
      </c>
      <c r="E4390" t="e" cm="1">
        <f t="array" ref="E4390">- ETORICOXIB</f>
        <v>#NAME?</v>
      </c>
      <c r="F4390" t="s">
        <v>20440</v>
      </c>
      <c r="G4390" t="s">
        <v>2241</v>
      </c>
      <c r="H4390" t="s">
        <v>20441</v>
      </c>
      <c r="I4390" t="s">
        <v>19893</v>
      </c>
      <c r="J4390" t="s">
        <v>20442</v>
      </c>
      <c r="M4390" t="s">
        <v>46</v>
      </c>
      <c r="N4390" t="s">
        <v>47</v>
      </c>
      <c r="O4390" t="s">
        <v>19896</v>
      </c>
      <c r="P4390" t="s">
        <v>20443</v>
      </c>
      <c r="Q4390" t="s">
        <v>20444</v>
      </c>
      <c r="R4390">
        <v>13</v>
      </c>
      <c r="S4390">
        <v>16</v>
      </c>
    </row>
    <row r="4391" spans="1:19" x14ac:dyDescent="0.35">
      <c r="A4391">
        <v>2927</v>
      </c>
      <c r="B4391" t="s">
        <v>20510</v>
      </c>
      <c r="C4391" t="s">
        <v>42</v>
      </c>
      <c r="D4391" t="s">
        <v>20511</v>
      </c>
      <c r="E4391" t="e" cm="1">
        <f t="array" ref="E4391">- PARACETAMOL</f>
        <v>#NAME?</v>
      </c>
      <c r="F4391" t="s">
        <v>20512</v>
      </c>
      <c r="G4391" t="s">
        <v>3083</v>
      </c>
      <c r="H4391" t="s">
        <v>20513</v>
      </c>
      <c r="I4391" t="s">
        <v>20514</v>
      </c>
      <c r="J4391" t="s">
        <v>334</v>
      </c>
      <c r="K4391" t="s">
        <v>15139</v>
      </c>
      <c r="M4391" t="s">
        <v>271</v>
      </c>
      <c r="N4391" t="s">
        <v>584</v>
      </c>
      <c r="O4391" t="s">
        <v>15011</v>
      </c>
      <c r="P4391" t="s">
        <v>20515</v>
      </c>
      <c r="Q4391" t="s">
        <v>20516</v>
      </c>
      <c r="R4391">
        <v>13</v>
      </c>
      <c r="S4391">
        <v>16</v>
      </c>
    </row>
    <row r="4392" spans="1:19" x14ac:dyDescent="0.35">
      <c r="A4392">
        <v>1446</v>
      </c>
      <c r="B4392" t="s">
        <v>15760</v>
      </c>
      <c r="C4392" t="s">
        <v>42</v>
      </c>
      <c r="D4392" t="s">
        <v>15761</v>
      </c>
      <c r="E4392" t="e" cm="1">
        <f t="array" ref="E4392">- PSEUDOEPHEDRINE HYDROCHLORIDE. TRIPROLIDINE HYDROCHLORIDE</f>
        <v>#NAME?</v>
      </c>
      <c r="F4392" s="1">
        <v>40200</v>
      </c>
      <c r="G4392" t="s">
        <v>2241</v>
      </c>
      <c r="H4392" t="s">
        <v>11254</v>
      </c>
      <c r="I4392" t="s">
        <v>14549</v>
      </c>
      <c r="J4392" t="s">
        <v>334</v>
      </c>
      <c r="L4392" t="s">
        <v>11257</v>
      </c>
      <c r="M4392" t="s">
        <v>271</v>
      </c>
      <c r="N4392" t="s">
        <v>3820</v>
      </c>
      <c r="O4392" t="s">
        <v>14552</v>
      </c>
      <c r="P4392" t="s">
        <v>15762</v>
      </c>
      <c r="Q4392" t="s">
        <v>20517</v>
      </c>
      <c r="R4392">
        <v>13</v>
      </c>
      <c r="S4392">
        <v>16</v>
      </c>
    </row>
    <row r="4393" spans="1:19" x14ac:dyDescent="0.35">
      <c r="A4393">
        <v>3013</v>
      </c>
      <c r="B4393" t="s">
        <v>8787</v>
      </c>
      <c r="C4393" t="s">
        <v>42</v>
      </c>
      <c r="D4393" t="s">
        <v>18013</v>
      </c>
      <c r="E4393" t="e" cm="1">
        <f t="array" ref="E4393">- SUCRALFATE SUSPENSION</f>
        <v>#NAME?</v>
      </c>
      <c r="F4393" t="s">
        <v>18014</v>
      </c>
      <c r="G4393" t="s">
        <v>8790</v>
      </c>
      <c r="H4393" t="s">
        <v>18015</v>
      </c>
      <c r="I4393" t="s">
        <v>18016</v>
      </c>
      <c r="J4393" t="s">
        <v>2083</v>
      </c>
      <c r="K4393" t="s">
        <v>8793</v>
      </c>
      <c r="L4393" t="s">
        <v>18017</v>
      </c>
      <c r="M4393" t="s">
        <v>340</v>
      </c>
      <c r="N4393" t="s">
        <v>2084</v>
      </c>
      <c r="O4393" t="s">
        <v>18018</v>
      </c>
      <c r="P4393" t="s">
        <v>8796</v>
      </c>
      <c r="Q4393" t="s">
        <v>20518</v>
      </c>
      <c r="R4393">
        <v>13</v>
      </c>
      <c r="S4393">
        <v>16</v>
      </c>
    </row>
    <row r="4394" spans="1:19" x14ac:dyDescent="0.35">
      <c r="A4394">
        <v>8951</v>
      </c>
      <c r="B4394" t="s">
        <v>18518</v>
      </c>
      <c r="C4394" t="s">
        <v>42</v>
      </c>
      <c r="D4394" t="s">
        <v>18519</v>
      </c>
      <c r="E4394" t="e" cm="1">
        <f t="array" ref="E4394">- METHYLDOPA SESQUIHYDRATE</f>
        <v>#NAME?</v>
      </c>
      <c r="F4394" t="s">
        <v>18520</v>
      </c>
      <c r="G4394" t="s">
        <v>60</v>
      </c>
      <c r="H4394" t="s">
        <v>18521</v>
      </c>
      <c r="I4394" t="s">
        <v>18522</v>
      </c>
      <c r="J4394" t="s">
        <v>18523</v>
      </c>
      <c r="K4394" t="s">
        <v>18524</v>
      </c>
      <c r="L4394" t="s">
        <v>18525</v>
      </c>
      <c r="M4394" t="s">
        <v>46</v>
      </c>
      <c r="N4394" t="s">
        <v>20519</v>
      </c>
      <c r="O4394" t="s">
        <v>18527</v>
      </c>
      <c r="P4394" t="s">
        <v>18528</v>
      </c>
      <c r="Q4394" t="s">
        <v>20520</v>
      </c>
      <c r="R4394">
        <v>13</v>
      </c>
      <c r="S4394">
        <v>16</v>
      </c>
    </row>
    <row r="4395" spans="1:19" x14ac:dyDescent="0.35">
      <c r="A4395">
        <v>3014</v>
      </c>
      <c r="B4395" t="s">
        <v>8787</v>
      </c>
      <c r="C4395" t="s">
        <v>42</v>
      </c>
      <c r="D4395" t="s">
        <v>18013</v>
      </c>
      <c r="E4395" t="e" cm="1">
        <f t="array" ref="E4395">- SUCRALFATE SUSPENSION</f>
        <v>#NAME?</v>
      </c>
      <c r="F4395" t="s">
        <v>18014</v>
      </c>
      <c r="G4395" t="s">
        <v>8790</v>
      </c>
      <c r="H4395" t="s">
        <v>18015</v>
      </c>
      <c r="I4395" t="s">
        <v>18016</v>
      </c>
      <c r="J4395" t="s">
        <v>2083</v>
      </c>
      <c r="K4395" t="s">
        <v>8793</v>
      </c>
      <c r="L4395" t="s">
        <v>18017</v>
      </c>
      <c r="M4395" t="s">
        <v>340</v>
      </c>
      <c r="N4395" t="s">
        <v>2084</v>
      </c>
      <c r="O4395" t="s">
        <v>18018</v>
      </c>
      <c r="P4395" t="s">
        <v>8796</v>
      </c>
      <c r="Q4395" t="s">
        <v>20518</v>
      </c>
      <c r="R4395">
        <v>13</v>
      </c>
      <c r="S4395">
        <v>16</v>
      </c>
    </row>
    <row r="4396" spans="1:19" x14ac:dyDescent="0.35">
      <c r="A4396">
        <v>2907</v>
      </c>
      <c r="B4396" t="s">
        <v>20521</v>
      </c>
      <c r="C4396" t="s">
        <v>42</v>
      </c>
      <c r="D4396" t="s">
        <v>20522</v>
      </c>
      <c r="E4396" t="e" cm="1">
        <f t="array" ref="E4396">- PARACETAMOL</f>
        <v>#NAME?</v>
      </c>
      <c r="F4396" t="s">
        <v>20523</v>
      </c>
      <c r="G4396" t="s">
        <v>6310</v>
      </c>
      <c r="H4396" t="s">
        <v>20524</v>
      </c>
      <c r="I4396" t="s">
        <v>20525</v>
      </c>
      <c r="J4396" t="s">
        <v>20526</v>
      </c>
      <c r="K4396" t="s">
        <v>20527</v>
      </c>
      <c r="L4396" t="s">
        <v>20528</v>
      </c>
      <c r="M4396" t="s">
        <v>824</v>
      </c>
      <c r="N4396" t="s">
        <v>584</v>
      </c>
      <c r="O4396" t="s">
        <v>20529</v>
      </c>
      <c r="P4396" t="s">
        <v>20530</v>
      </c>
      <c r="Q4396" t="s">
        <v>20531</v>
      </c>
      <c r="R4396">
        <v>13</v>
      </c>
      <c r="S4396">
        <v>16</v>
      </c>
    </row>
    <row r="4397" spans="1:19" x14ac:dyDescent="0.35">
      <c r="A4397">
        <v>8860</v>
      </c>
      <c r="B4397" t="s">
        <v>20532</v>
      </c>
      <c r="C4397" t="s">
        <v>20</v>
      </c>
      <c r="D4397" t="s">
        <v>20533</v>
      </c>
      <c r="E4397" t="s">
        <v>20534</v>
      </c>
      <c r="F4397" t="s">
        <v>20535</v>
      </c>
      <c r="H4397" t="s">
        <v>4524</v>
      </c>
      <c r="I4397" t="s">
        <v>8633</v>
      </c>
      <c r="J4397" t="s">
        <v>107</v>
      </c>
      <c r="M4397" t="s">
        <v>38</v>
      </c>
      <c r="N4397" t="s">
        <v>20536</v>
      </c>
      <c r="O4397" t="s">
        <v>5535</v>
      </c>
      <c r="P4397" t="s">
        <v>20537</v>
      </c>
      <c r="Q4397" t="s">
        <v>20538</v>
      </c>
      <c r="R4397">
        <v>13</v>
      </c>
      <c r="S4397">
        <v>16</v>
      </c>
    </row>
    <row r="4398" spans="1:19" x14ac:dyDescent="0.35">
      <c r="A4398">
        <v>188</v>
      </c>
      <c r="B4398" t="s">
        <v>2902</v>
      </c>
      <c r="C4398" t="s">
        <v>42</v>
      </c>
      <c r="D4398" t="s">
        <v>19820</v>
      </c>
      <c r="E4398" t="e" cm="1">
        <f t="array" ref="E4398">- SILDENAFIL CITRATE</f>
        <v>#NAME?</v>
      </c>
      <c r="F4398" t="s">
        <v>19821</v>
      </c>
      <c r="G4398" t="s">
        <v>17038</v>
      </c>
      <c r="H4398" t="s">
        <v>1322</v>
      </c>
      <c r="I4398" t="s">
        <v>11846</v>
      </c>
      <c r="J4398" t="s">
        <v>12011</v>
      </c>
      <c r="M4398" t="s">
        <v>46</v>
      </c>
      <c r="N4398" t="s">
        <v>2519</v>
      </c>
      <c r="O4398" t="s">
        <v>11352</v>
      </c>
      <c r="P4398" t="s">
        <v>19822</v>
      </c>
      <c r="Q4398" t="s">
        <v>20539</v>
      </c>
      <c r="R4398">
        <v>13</v>
      </c>
      <c r="S4398">
        <v>16</v>
      </c>
    </row>
    <row r="4399" spans="1:19" x14ac:dyDescent="0.35">
      <c r="A4399">
        <v>2890</v>
      </c>
      <c r="B4399" t="s">
        <v>1538</v>
      </c>
      <c r="C4399" t="s">
        <v>42</v>
      </c>
      <c r="D4399" t="s">
        <v>20540</v>
      </c>
      <c r="E4399" t="e" cm="1">
        <f t="array" ref="E4399">- PARACETAMOL</f>
        <v>#NAME?</v>
      </c>
      <c r="F4399" t="s">
        <v>20541</v>
      </c>
      <c r="G4399" t="s">
        <v>20542</v>
      </c>
      <c r="H4399" t="s">
        <v>20543</v>
      </c>
      <c r="I4399" t="s">
        <v>18477</v>
      </c>
      <c r="J4399" t="s">
        <v>334</v>
      </c>
      <c r="M4399" t="s">
        <v>340</v>
      </c>
      <c r="N4399" t="s">
        <v>584</v>
      </c>
      <c r="O4399" t="s">
        <v>18480</v>
      </c>
      <c r="P4399" t="s">
        <v>1541</v>
      </c>
      <c r="Q4399" t="s">
        <v>20544</v>
      </c>
      <c r="R4399">
        <v>13</v>
      </c>
      <c r="S4399">
        <v>16</v>
      </c>
    </row>
    <row r="4400" spans="1:19" x14ac:dyDescent="0.35">
      <c r="A4400">
        <v>2889</v>
      </c>
      <c r="B4400" t="s">
        <v>1538</v>
      </c>
      <c r="C4400" t="s">
        <v>42</v>
      </c>
      <c r="D4400" t="s">
        <v>20540</v>
      </c>
      <c r="E4400" t="e" cm="1">
        <f t="array" ref="E4400">- PARACETAMOL</f>
        <v>#NAME?</v>
      </c>
      <c r="F4400" t="s">
        <v>20541</v>
      </c>
      <c r="G4400" t="s">
        <v>20542</v>
      </c>
      <c r="H4400" t="s">
        <v>20543</v>
      </c>
      <c r="I4400" t="s">
        <v>18477</v>
      </c>
      <c r="J4400" t="s">
        <v>334</v>
      </c>
      <c r="M4400" t="s">
        <v>340</v>
      </c>
      <c r="N4400" t="s">
        <v>584</v>
      </c>
      <c r="O4400" t="s">
        <v>18480</v>
      </c>
      <c r="P4400" t="s">
        <v>1541</v>
      </c>
      <c r="Q4400" t="s">
        <v>20544</v>
      </c>
      <c r="R4400">
        <v>13</v>
      </c>
      <c r="S4400">
        <v>16</v>
      </c>
    </row>
    <row r="4401" spans="1:19" x14ac:dyDescent="0.35">
      <c r="A4401">
        <v>2877</v>
      </c>
      <c r="B4401" t="s">
        <v>20460</v>
      </c>
      <c r="C4401" t="s">
        <v>42</v>
      </c>
      <c r="D4401" t="s">
        <v>20461</v>
      </c>
      <c r="E4401" t="e" cm="1">
        <f t="array" ref="E4401">- ACETYLSALICYLIC ACID</f>
        <v>#NAME?</v>
      </c>
      <c r="F4401" t="s">
        <v>20462</v>
      </c>
      <c r="G4401" t="s">
        <v>4045</v>
      </c>
      <c r="H4401" t="s">
        <v>20463</v>
      </c>
      <c r="I4401" t="s">
        <v>20464</v>
      </c>
      <c r="J4401" t="s">
        <v>20465</v>
      </c>
      <c r="L4401" t="s">
        <v>20466</v>
      </c>
      <c r="M4401" t="s">
        <v>46</v>
      </c>
      <c r="N4401" t="s">
        <v>2579</v>
      </c>
      <c r="O4401" t="s">
        <v>20467</v>
      </c>
      <c r="P4401" t="s">
        <v>20468</v>
      </c>
      <c r="Q4401" t="s">
        <v>20469</v>
      </c>
      <c r="R4401">
        <v>13</v>
      </c>
      <c r="S4401">
        <v>16</v>
      </c>
    </row>
    <row r="4402" spans="1:19" x14ac:dyDescent="0.35">
      <c r="A4402">
        <v>2876</v>
      </c>
      <c r="B4402" t="s">
        <v>20460</v>
      </c>
      <c r="C4402" t="s">
        <v>42</v>
      </c>
      <c r="D4402" t="s">
        <v>20461</v>
      </c>
      <c r="E4402" t="e" cm="1">
        <f t="array" ref="E4402">- ACETYLSALICYLIC ACID</f>
        <v>#NAME?</v>
      </c>
      <c r="F4402" t="s">
        <v>20462</v>
      </c>
      <c r="G4402" t="s">
        <v>4045</v>
      </c>
      <c r="H4402" t="s">
        <v>20463</v>
      </c>
      <c r="I4402" t="s">
        <v>20464</v>
      </c>
      <c r="J4402" t="s">
        <v>20465</v>
      </c>
      <c r="L4402" t="s">
        <v>20466</v>
      </c>
      <c r="M4402" t="s">
        <v>46</v>
      </c>
      <c r="N4402" t="s">
        <v>2579</v>
      </c>
      <c r="O4402" t="s">
        <v>20467</v>
      </c>
      <c r="P4402" t="s">
        <v>20468</v>
      </c>
      <c r="Q4402" t="s">
        <v>20469</v>
      </c>
      <c r="R4402">
        <v>13</v>
      </c>
      <c r="S4402">
        <v>16</v>
      </c>
    </row>
    <row r="4403" spans="1:19" x14ac:dyDescent="0.35">
      <c r="A4403">
        <v>2875</v>
      </c>
      <c r="B4403" t="s">
        <v>20460</v>
      </c>
      <c r="C4403" t="s">
        <v>42</v>
      </c>
      <c r="D4403" t="s">
        <v>20461</v>
      </c>
      <c r="E4403" t="e" cm="1">
        <f t="array" ref="E4403">- ACETYLSALICYLIC ACID</f>
        <v>#NAME?</v>
      </c>
      <c r="F4403" t="s">
        <v>20462</v>
      </c>
      <c r="G4403" t="s">
        <v>4045</v>
      </c>
      <c r="H4403" t="s">
        <v>20463</v>
      </c>
      <c r="I4403" t="s">
        <v>20464</v>
      </c>
      <c r="J4403" t="s">
        <v>20465</v>
      </c>
      <c r="L4403" t="s">
        <v>20466</v>
      </c>
      <c r="M4403" t="s">
        <v>46</v>
      </c>
      <c r="N4403" t="s">
        <v>2579</v>
      </c>
      <c r="O4403" t="s">
        <v>20467</v>
      </c>
      <c r="P4403" t="s">
        <v>20468</v>
      </c>
      <c r="Q4403" t="s">
        <v>20469</v>
      </c>
      <c r="R4403">
        <v>13</v>
      </c>
      <c r="S4403">
        <v>16</v>
      </c>
    </row>
    <row r="4404" spans="1:19" x14ac:dyDescent="0.35">
      <c r="A4404">
        <v>1445</v>
      </c>
      <c r="B4404" t="s">
        <v>20545</v>
      </c>
      <c r="C4404" t="s">
        <v>42</v>
      </c>
      <c r="D4404" t="s">
        <v>20546</v>
      </c>
      <c r="E4404" t="e" cm="1">
        <f t="array" ref="E4404">- PSEUDOEPHEDRINE HYDROCHLORIDE</f>
        <v>#NAME?</v>
      </c>
      <c r="G4404" t="s">
        <v>2241</v>
      </c>
      <c r="H4404" t="s">
        <v>20547</v>
      </c>
      <c r="I4404" t="s">
        <v>20548</v>
      </c>
      <c r="J4404" t="s">
        <v>381</v>
      </c>
      <c r="K4404" t="s">
        <v>19456</v>
      </c>
      <c r="L4404" t="s">
        <v>20096</v>
      </c>
      <c r="M4404" t="s">
        <v>46</v>
      </c>
      <c r="N4404" t="s">
        <v>8326</v>
      </c>
      <c r="O4404" t="s">
        <v>20097</v>
      </c>
      <c r="P4404" t="s">
        <v>15762</v>
      </c>
      <c r="Q4404" t="s">
        <v>20549</v>
      </c>
      <c r="R4404">
        <v>13</v>
      </c>
      <c r="S4404">
        <v>16</v>
      </c>
    </row>
    <row r="4405" spans="1:19" x14ac:dyDescent="0.35">
      <c r="A4405">
        <v>9239</v>
      </c>
      <c r="B4405" t="s">
        <v>20550</v>
      </c>
      <c r="C4405" t="s">
        <v>42</v>
      </c>
      <c r="D4405" t="s">
        <v>20551</v>
      </c>
      <c r="E4405" t="e" cm="1">
        <f t="array" ref="E4405">- AMLODIPINE BESILATE</f>
        <v>#NAME?</v>
      </c>
      <c r="F4405" t="s">
        <v>20552</v>
      </c>
      <c r="G4405" t="s">
        <v>20553</v>
      </c>
      <c r="H4405" t="s">
        <v>20554</v>
      </c>
      <c r="I4405" t="s">
        <v>20555</v>
      </c>
      <c r="J4405" t="s">
        <v>20556</v>
      </c>
      <c r="K4405" t="s">
        <v>20557</v>
      </c>
      <c r="L4405" t="s">
        <v>20558</v>
      </c>
      <c r="M4405" t="s">
        <v>46</v>
      </c>
      <c r="N4405" t="s">
        <v>2484</v>
      </c>
      <c r="O4405" t="s">
        <v>20559</v>
      </c>
      <c r="P4405" t="s">
        <v>20560</v>
      </c>
      <c r="Q4405" t="s">
        <v>20561</v>
      </c>
      <c r="R4405">
        <v>13</v>
      </c>
      <c r="S4405">
        <v>16</v>
      </c>
    </row>
    <row r="4406" spans="1:19" x14ac:dyDescent="0.35">
      <c r="A4406">
        <v>2731</v>
      </c>
      <c r="B4406" t="s">
        <v>20562</v>
      </c>
      <c r="C4406" t="s">
        <v>42</v>
      </c>
      <c r="D4406" t="s">
        <v>20563</v>
      </c>
      <c r="E4406" t="e" cm="1">
        <f t="array" ref="E4406">- ETORICOXIB</f>
        <v>#NAME?</v>
      </c>
      <c r="F4406" t="s">
        <v>20564</v>
      </c>
      <c r="H4406" t="s">
        <v>20441</v>
      </c>
      <c r="I4406" t="s">
        <v>19893</v>
      </c>
      <c r="J4406" t="s">
        <v>20565</v>
      </c>
      <c r="K4406" t="s">
        <v>3952</v>
      </c>
      <c r="M4406" t="s">
        <v>46</v>
      </c>
      <c r="N4406" t="s">
        <v>47</v>
      </c>
      <c r="O4406" t="s">
        <v>19896</v>
      </c>
      <c r="P4406" t="s">
        <v>20443</v>
      </c>
      <c r="Q4406" t="s">
        <v>20444</v>
      </c>
      <c r="R4406">
        <v>13</v>
      </c>
      <c r="S4406">
        <v>16</v>
      </c>
    </row>
    <row r="4407" spans="1:19" x14ac:dyDescent="0.35">
      <c r="A4407">
        <v>2729</v>
      </c>
      <c r="B4407" t="s">
        <v>20566</v>
      </c>
      <c r="C4407" t="s">
        <v>42</v>
      </c>
      <c r="D4407" t="s">
        <v>20567</v>
      </c>
      <c r="E4407" t="e" cm="1">
        <f t="array" ref="E4407">- ETORICOXIB</f>
        <v>#NAME?</v>
      </c>
      <c r="F4407" t="s">
        <v>20568</v>
      </c>
      <c r="G4407" t="s">
        <v>2241</v>
      </c>
      <c r="H4407" t="s">
        <v>20441</v>
      </c>
      <c r="I4407" t="s">
        <v>19893</v>
      </c>
      <c r="J4407" t="s">
        <v>20569</v>
      </c>
      <c r="M4407" t="s">
        <v>46</v>
      </c>
      <c r="N4407" t="s">
        <v>47</v>
      </c>
      <c r="O4407" t="s">
        <v>19896</v>
      </c>
      <c r="P4407" t="s">
        <v>20443</v>
      </c>
      <c r="Q4407" t="s">
        <v>20444</v>
      </c>
      <c r="R4407">
        <v>13</v>
      </c>
      <c r="S4407">
        <v>16</v>
      </c>
    </row>
    <row r="4408" spans="1:19" x14ac:dyDescent="0.35">
      <c r="A4408">
        <v>8375</v>
      </c>
      <c r="B4408" t="s">
        <v>551</v>
      </c>
      <c r="C4408" t="s">
        <v>42</v>
      </c>
      <c r="D4408" t="s">
        <v>20570</v>
      </c>
      <c r="E4408" t="e" cm="1">
        <f t="array" ref="E4408">- POVIDONE-IODINE</f>
        <v>#NAME?</v>
      </c>
      <c r="F4408" t="s">
        <v>20571</v>
      </c>
      <c r="I4408" t="s">
        <v>20572</v>
      </c>
      <c r="J4408" t="s">
        <v>13954</v>
      </c>
      <c r="M4408" t="s">
        <v>554</v>
      </c>
      <c r="N4408" t="s">
        <v>555</v>
      </c>
      <c r="O4408" t="s">
        <v>20573</v>
      </c>
      <c r="P4408" t="s">
        <v>20574</v>
      </c>
      <c r="Q4408" t="s">
        <v>20575</v>
      </c>
      <c r="R4408">
        <v>13</v>
      </c>
      <c r="S4408">
        <v>16</v>
      </c>
    </row>
    <row r="4409" spans="1:19" x14ac:dyDescent="0.35">
      <c r="A4409">
        <v>2491</v>
      </c>
      <c r="B4409" t="s">
        <v>16799</v>
      </c>
      <c r="C4409" t="s">
        <v>42</v>
      </c>
      <c r="D4409" t="s">
        <v>16800</v>
      </c>
      <c r="E4409" t="e" cm="1">
        <f t="array" ref="E4409">- FLUNARIZINE HYDROCHLORIDE</f>
        <v>#NAME?</v>
      </c>
      <c r="F4409" t="s">
        <v>16801</v>
      </c>
      <c r="G4409" t="s">
        <v>60</v>
      </c>
      <c r="H4409" t="s">
        <v>16802</v>
      </c>
      <c r="I4409" t="s">
        <v>16803</v>
      </c>
      <c r="J4409" t="s">
        <v>16804</v>
      </c>
      <c r="K4409" t="s">
        <v>16805</v>
      </c>
      <c r="L4409" t="s">
        <v>16806</v>
      </c>
      <c r="M4409" t="s">
        <v>46</v>
      </c>
      <c r="N4409" t="s">
        <v>4516</v>
      </c>
      <c r="O4409" t="s">
        <v>16807</v>
      </c>
      <c r="P4409" t="s">
        <v>16808</v>
      </c>
      <c r="Q4409" t="s">
        <v>20576</v>
      </c>
      <c r="R4409">
        <v>13</v>
      </c>
      <c r="S4409">
        <v>16</v>
      </c>
    </row>
    <row r="4410" spans="1:19" x14ac:dyDescent="0.35">
      <c r="A4410">
        <v>8374</v>
      </c>
      <c r="B4410" t="s">
        <v>551</v>
      </c>
      <c r="C4410" t="s">
        <v>42</v>
      </c>
      <c r="D4410" t="s">
        <v>20570</v>
      </c>
      <c r="E4410" t="e" cm="1">
        <f t="array" ref="E4410">- POVIDONE-IODINE</f>
        <v>#NAME?</v>
      </c>
      <c r="F4410" t="s">
        <v>20571</v>
      </c>
      <c r="I4410" t="s">
        <v>20572</v>
      </c>
      <c r="J4410" t="s">
        <v>13954</v>
      </c>
      <c r="M4410" t="s">
        <v>554</v>
      </c>
      <c r="N4410" t="s">
        <v>555</v>
      </c>
      <c r="O4410" t="s">
        <v>20573</v>
      </c>
      <c r="P4410" t="s">
        <v>20574</v>
      </c>
      <c r="Q4410" t="s">
        <v>20575</v>
      </c>
      <c r="R4410">
        <v>13</v>
      </c>
      <c r="S4410">
        <v>16</v>
      </c>
    </row>
    <row r="4411" spans="1:19" x14ac:dyDescent="0.35">
      <c r="A4411">
        <v>8373</v>
      </c>
      <c r="B4411" t="s">
        <v>551</v>
      </c>
      <c r="C4411" t="s">
        <v>42</v>
      </c>
      <c r="D4411" t="s">
        <v>20577</v>
      </c>
      <c r="E4411" t="e" cm="1">
        <f t="array" ref="E4411">- POVIDONE-IODINE</f>
        <v>#NAME?</v>
      </c>
      <c r="F4411" t="s">
        <v>20578</v>
      </c>
      <c r="I4411" t="s">
        <v>20572</v>
      </c>
      <c r="J4411" t="s">
        <v>5484</v>
      </c>
      <c r="M4411" t="s">
        <v>554</v>
      </c>
      <c r="N4411" t="s">
        <v>555</v>
      </c>
      <c r="O4411" t="s">
        <v>20573</v>
      </c>
      <c r="P4411" t="s">
        <v>20579</v>
      </c>
      <c r="Q4411" t="s">
        <v>20580</v>
      </c>
      <c r="R4411">
        <v>13</v>
      </c>
      <c r="S4411">
        <v>16</v>
      </c>
    </row>
    <row r="4412" spans="1:19" x14ac:dyDescent="0.35">
      <c r="A4412">
        <v>2483</v>
      </c>
      <c r="B4412" t="s">
        <v>20581</v>
      </c>
      <c r="C4412" t="s">
        <v>42</v>
      </c>
      <c r="D4412" t="s">
        <v>20582</v>
      </c>
      <c r="E4412" t="e" cm="1">
        <f t="array" ref="E4412">- METAMIZOLE SODIUM</f>
        <v>#NAME?</v>
      </c>
      <c r="F4412" t="s">
        <v>20583</v>
      </c>
      <c r="G4412" t="s">
        <v>2241</v>
      </c>
      <c r="H4412" t="s">
        <v>20584</v>
      </c>
      <c r="I4412" t="s">
        <v>20585</v>
      </c>
      <c r="J4412" t="s">
        <v>727</v>
      </c>
      <c r="L4412" t="s">
        <v>1875</v>
      </c>
      <c r="M4412" t="s">
        <v>291</v>
      </c>
      <c r="N4412" t="s">
        <v>2294</v>
      </c>
      <c r="O4412" t="s">
        <v>20586</v>
      </c>
      <c r="P4412" t="s">
        <v>20587</v>
      </c>
      <c r="Q4412" t="s">
        <v>20588</v>
      </c>
      <c r="R4412">
        <v>13</v>
      </c>
      <c r="S4412">
        <v>16</v>
      </c>
    </row>
    <row r="4413" spans="1:19" x14ac:dyDescent="0.35">
      <c r="A4413">
        <v>1569</v>
      </c>
      <c r="B4413" t="s">
        <v>20589</v>
      </c>
      <c r="C4413" t="s">
        <v>42</v>
      </c>
      <c r="D4413" t="s">
        <v>20590</v>
      </c>
      <c r="E4413" t="e" cm="1">
        <f t="array" ref="E4413">- AMMONIUM CHLORIDE</f>
        <v>#NAME?</v>
      </c>
      <c r="F4413" s="1">
        <v>21300</v>
      </c>
      <c r="G4413" t="s">
        <v>2241</v>
      </c>
      <c r="H4413" t="s">
        <v>20591</v>
      </c>
      <c r="I4413" t="s">
        <v>16406</v>
      </c>
      <c r="J4413" t="s">
        <v>16407</v>
      </c>
      <c r="M4413" t="s">
        <v>271</v>
      </c>
      <c r="N4413" t="s">
        <v>1672</v>
      </c>
      <c r="O4413" t="s">
        <v>8506</v>
      </c>
      <c r="P4413" t="s">
        <v>20592</v>
      </c>
      <c r="Q4413" t="s">
        <v>20593</v>
      </c>
      <c r="R4413">
        <v>13</v>
      </c>
      <c r="S4413">
        <v>16</v>
      </c>
    </row>
    <row r="4414" spans="1:19" x14ac:dyDescent="0.35">
      <c r="A4414">
        <v>1570</v>
      </c>
      <c r="B4414" t="s">
        <v>20594</v>
      </c>
      <c r="C4414" t="s">
        <v>42</v>
      </c>
      <c r="D4414" t="s">
        <v>20595</v>
      </c>
      <c r="E4414" t="e" cm="1">
        <f t="array" ref="E4414">- CHLORPHENAMINE MALEATE</f>
        <v>#NAME?</v>
      </c>
      <c r="F4414" t="s">
        <v>20596</v>
      </c>
      <c r="G4414" t="s">
        <v>3970</v>
      </c>
      <c r="H4414" t="s">
        <v>20597</v>
      </c>
      <c r="I4414" t="s">
        <v>20598</v>
      </c>
      <c r="J4414" t="s">
        <v>3167</v>
      </c>
      <c r="L4414" t="s">
        <v>20599</v>
      </c>
      <c r="M4414" t="s">
        <v>271</v>
      </c>
      <c r="N4414" t="s">
        <v>1354</v>
      </c>
      <c r="O4414" t="s">
        <v>20600</v>
      </c>
      <c r="P4414" t="s">
        <v>20601</v>
      </c>
      <c r="Q4414" t="s">
        <v>20602</v>
      </c>
      <c r="R4414">
        <v>13</v>
      </c>
      <c r="S4414">
        <v>16</v>
      </c>
    </row>
    <row r="4415" spans="1:19" x14ac:dyDescent="0.35">
      <c r="A4415">
        <v>3422</v>
      </c>
      <c r="B4415" t="s">
        <v>14731</v>
      </c>
      <c r="C4415" t="s">
        <v>42</v>
      </c>
      <c r="D4415" t="s">
        <v>14732</v>
      </c>
      <c r="E4415" t="s">
        <v>20603</v>
      </c>
      <c r="F4415" s="1">
        <v>20400</v>
      </c>
      <c r="G4415" t="s">
        <v>14733</v>
      </c>
      <c r="H4415" t="s">
        <v>2724</v>
      </c>
      <c r="I4415" t="s">
        <v>14734</v>
      </c>
      <c r="J4415" t="s">
        <v>14735</v>
      </c>
      <c r="K4415" t="s">
        <v>14736</v>
      </c>
      <c r="L4415" t="s">
        <v>14737</v>
      </c>
      <c r="M4415" t="s">
        <v>38</v>
      </c>
      <c r="N4415" t="s">
        <v>20604</v>
      </c>
      <c r="O4415" t="s">
        <v>14739</v>
      </c>
      <c r="P4415" t="s">
        <v>14740</v>
      </c>
      <c r="Q4415" t="s">
        <v>20605</v>
      </c>
      <c r="R4415">
        <v>13</v>
      </c>
      <c r="S4415">
        <v>16</v>
      </c>
    </row>
    <row r="4416" spans="1:19" x14ac:dyDescent="0.35">
      <c r="A4416">
        <v>9215</v>
      </c>
      <c r="B4416" t="s">
        <v>20606</v>
      </c>
      <c r="C4416" t="s">
        <v>42</v>
      </c>
      <c r="D4416" t="s">
        <v>20607</v>
      </c>
      <c r="E4416" t="e" cm="1">
        <f t="array" ref="E4416">- METOPROLOL TARTRATE</f>
        <v>#NAME?</v>
      </c>
      <c r="F4416" t="s">
        <v>20608</v>
      </c>
      <c r="G4416" t="s">
        <v>60</v>
      </c>
      <c r="H4416" t="s">
        <v>20609</v>
      </c>
    </row>
    <row r="4417" spans="1:19" x14ac:dyDescent="0.35">
      <c r="A4417">
        <v>9216</v>
      </c>
      <c r="B4417" t="s">
        <v>20606</v>
      </c>
      <c r="C4417" t="s">
        <v>42</v>
      </c>
      <c r="D4417" t="s">
        <v>20607</v>
      </c>
      <c r="E4417" t="e" cm="1">
        <f t="array" ref="E4417">- METOPROLOL TARTRATE</f>
        <v>#NAME?</v>
      </c>
      <c r="F4417" t="s">
        <v>20608</v>
      </c>
      <c r="G4417" t="s">
        <v>60</v>
      </c>
      <c r="H4417" t="s">
        <v>20609</v>
      </c>
    </row>
    <row r="4418" spans="1:19" x14ac:dyDescent="0.35">
      <c r="A4418">
        <v>8372</v>
      </c>
      <c r="B4418" t="s">
        <v>551</v>
      </c>
      <c r="C4418" t="s">
        <v>42</v>
      </c>
      <c r="D4418" t="s">
        <v>20577</v>
      </c>
      <c r="E4418" t="e" cm="1">
        <f t="array" ref="E4418">- POVIDONE-IODINE</f>
        <v>#NAME?</v>
      </c>
      <c r="F4418" t="s">
        <v>20578</v>
      </c>
      <c r="I4418" t="s">
        <v>20572</v>
      </c>
      <c r="J4418" t="s">
        <v>5484</v>
      </c>
      <c r="M4418" t="s">
        <v>554</v>
      </c>
      <c r="N4418" t="s">
        <v>555</v>
      </c>
      <c r="O4418" t="s">
        <v>20573</v>
      </c>
      <c r="P4418" t="s">
        <v>20579</v>
      </c>
      <c r="Q4418" t="s">
        <v>20580</v>
      </c>
      <c r="R4418">
        <v>13</v>
      </c>
      <c r="S4418">
        <v>16</v>
      </c>
    </row>
    <row r="4419" spans="1:19" x14ac:dyDescent="0.35">
      <c r="A4419">
        <v>9226</v>
      </c>
      <c r="B4419" t="s">
        <v>20610</v>
      </c>
      <c r="C4419" t="s">
        <v>42</v>
      </c>
      <c r="D4419" t="s">
        <v>20611</v>
      </c>
      <c r="E4419" t="e" cm="1">
        <f t="array" ref="E4419">- HYDROCHLOROTHIAZIDE</f>
        <v>#NAME?</v>
      </c>
      <c r="F4419" t="s">
        <v>20612</v>
      </c>
      <c r="G4419" t="s">
        <v>60</v>
      </c>
      <c r="H4419" t="s">
        <v>20613</v>
      </c>
      <c r="I4419" t="s">
        <v>20614</v>
      </c>
      <c r="J4419" t="s">
        <v>20615</v>
      </c>
      <c r="K4419" t="s">
        <v>20616</v>
      </c>
      <c r="L4419" t="s">
        <v>2479</v>
      </c>
      <c r="M4419" t="s">
        <v>46</v>
      </c>
      <c r="N4419" t="s">
        <v>2647</v>
      </c>
      <c r="O4419" t="s">
        <v>20617</v>
      </c>
      <c r="P4419" t="s">
        <v>20618</v>
      </c>
      <c r="Q4419" t="s">
        <v>20619</v>
      </c>
      <c r="R4419">
        <v>13</v>
      </c>
      <c r="S4419">
        <v>16</v>
      </c>
    </row>
    <row r="4420" spans="1:19" x14ac:dyDescent="0.35">
      <c r="A4420">
        <v>9227</v>
      </c>
      <c r="B4420" t="s">
        <v>20620</v>
      </c>
      <c r="C4420" t="s">
        <v>42</v>
      </c>
      <c r="D4420" t="s">
        <v>20621</v>
      </c>
      <c r="E4420" t="e" cm="1">
        <f t="array" ref="E4420">- HYDROCHLOROTHIAZIDE</f>
        <v>#NAME?</v>
      </c>
      <c r="F4420" t="s">
        <v>20622</v>
      </c>
      <c r="G4420" t="s">
        <v>60</v>
      </c>
      <c r="H4420" t="s">
        <v>20613</v>
      </c>
      <c r="I4420" t="s">
        <v>20614</v>
      </c>
      <c r="J4420" t="s">
        <v>411</v>
      </c>
      <c r="K4420" t="s">
        <v>20616</v>
      </c>
      <c r="L4420" t="s">
        <v>20623</v>
      </c>
      <c r="M4420" t="s">
        <v>46</v>
      </c>
      <c r="N4420" t="s">
        <v>2647</v>
      </c>
      <c r="O4420" t="s">
        <v>20617</v>
      </c>
      <c r="P4420" t="s">
        <v>20618</v>
      </c>
      <c r="Q4420" t="s">
        <v>20619</v>
      </c>
      <c r="R4420">
        <v>13</v>
      </c>
      <c r="S4420">
        <v>16</v>
      </c>
    </row>
    <row r="4421" spans="1:19" x14ac:dyDescent="0.35">
      <c r="A4421">
        <v>2462</v>
      </c>
      <c r="B4421" t="s">
        <v>2564</v>
      </c>
      <c r="C4421" t="s">
        <v>42</v>
      </c>
      <c r="D4421" t="s">
        <v>20624</v>
      </c>
      <c r="E4421" t="e" cm="1">
        <f t="array" ref="E4421">- PIROXICAM</f>
        <v>#NAME?</v>
      </c>
      <c r="F4421" t="s">
        <v>20625</v>
      </c>
      <c r="G4421" t="s">
        <v>20626</v>
      </c>
      <c r="H4421" t="s">
        <v>20627</v>
      </c>
      <c r="I4421" t="s">
        <v>20628</v>
      </c>
      <c r="J4421" t="s">
        <v>20629</v>
      </c>
      <c r="K4421" t="s">
        <v>20630</v>
      </c>
      <c r="L4421" t="s">
        <v>20631</v>
      </c>
      <c r="M4421" t="s">
        <v>46</v>
      </c>
      <c r="N4421" t="s">
        <v>605</v>
      </c>
      <c r="O4421" t="s">
        <v>20632</v>
      </c>
      <c r="P4421" t="s">
        <v>2568</v>
      </c>
      <c r="Q4421" t="s">
        <v>20633</v>
      </c>
      <c r="R4421">
        <v>13</v>
      </c>
      <c r="S4421">
        <v>16</v>
      </c>
    </row>
    <row r="4422" spans="1:19" x14ac:dyDescent="0.35">
      <c r="A4422">
        <v>2460</v>
      </c>
      <c r="B4422" t="s">
        <v>20634</v>
      </c>
      <c r="C4422" t="s">
        <v>42</v>
      </c>
      <c r="D4422" t="s">
        <v>20635</v>
      </c>
      <c r="E4422" t="e" cm="1">
        <f t="array" ref="E4422">- PIROXICAM</f>
        <v>#NAME?</v>
      </c>
      <c r="F4422" t="s">
        <v>20636</v>
      </c>
      <c r="G4422" t="s">
        <v>6135</v>
      </c>
      <c r="H4422" t="s">
        <v>20637</v>
      </c>
      <c r="I4422" t="s">
        <v>20638</v>
      </c>
      <c r="J4422" t="s">
        <v>20639</v>
      </c>
      <c r="K4422" t="s">
        <v>20640</v>
      </c>
      <c r="L4422" t="s">
        <v>20641</v>
      </c>
      <c r="M4422" t="s">
        <v>38</v>
      </c>
      <c r="N4422" t="s">
        <v>605</v>
      </c>
      <c r="O4422" t="s">
        <v>20642</v>
      </c>
      <c r="P4422" t="s">
        <v>20643</v>
      </c>
      <c r="Q4422" t="s">
        <v>20644</v>
      </c>
      <c r="R4422">
        <v>13</v>
      </c>
      <c r="S4422">
        <v>16</v>
      </c>
    </row>
    <row r="4423" spans="1:19" x14ac:dyDescent="0.35">
      <c r="A4423">
        <v>2459</v>
      </c>
      <c r="B4423" t="s">
        <v>20634</v>
      </c>
      <c r="C4423" t="s">
        <v>42</v>
      </c>
      <c r="D4423" t="s">
        <v>20635</v>
      </c>
      <c r="E4423" t="e" cm="1">
        <f t="array" ref="E4423">- PIROXICAM</f>
        <v>#NAME?</v>
      </c>
      <c r="F4423" t="s">
        <v>20636</v>
      </c>
      <c r="G4423" t="s">
        <v>6135</v>
      </c>
      <c r="H4423" t="s">
        <v>20637</v>
      </c>
      <c r="I4423" t="s">
        <v>20638</v>
      </c>
      <c r="J4423" t="s">
        <v>20639</v>
      </c>
      <c r="K4423" t="s">
        <v>20640</v>
      </c>
      <c r="L4423" t="s">
        <v>20641</v>
      </c>
      <c r="M4423" t="s">
        <v>38</v>
      </c>
      <c r="N4423" t="s">
        <v>605</v>
      </c>
      <c r="O4423" t="s">
        <v>20642</v>
      </c>
      <c r="P4423" t="s">
        <v>20643</v>
      </c>
      <c r="Q4423" t="s">
        <v>20644</v>
      </c>
      <c r="R4423">
        <v>13</v>
      </c>
      <c r="S4423">
        <v>16</v>
      </c>
    </row>
    <row r="4424" spans="1:19" x14ac:dyDescent="0.35">
      <c r="A4424">
        <v>3472</v>
      </c>
      <c r="B4424" t="s">
        <v>20645</v>
      </c>
      <c r="C4424" t="s">
        <v>42</v>
      </c>
      <c r="D4424" t="s">
        <v>20646</v>
      </c>
      <c r="E4424" t="e" cm="1">
        <f t="array" ref="E4424">- HYDROTALCITE</f>
        <v>#NAME?</v>
      </c>
      <c r="F4424" t="s">
        <v>20647</v>
      </c>
      <c r="G4424" t="s">
        <v>20648</v>
      </c>
      <c r="H4424" t="s">
        <v>20649</v>
      </c>
    </row>
    <row r="4425" spans="1:19" x14ac:dyDescent="0.35">
      <c r="A4425">
        <v>9232</v>
      </c>
      <c r="B4425" t="s">
        <v>20650</v>
      </c>
      <c r="C4425" t="s">
        <v>42</v>
      </c>
      <c r="D4425" t="s">
        <v>20651</v>
      </c>
      <c r="E4425" t="e" cm="1">
        <f t="array" ref="E4425">- LISINOPRIL DIHYDRATE</f>
        <v>#NAME?</v>
      </c>
      <c r="F4425" t="s">
        <v>20652</v>
      </c>
      <c r="G4425" t="s">
        <v>60</v>
      </c>
      <c r="H4425" t="s">
        <v>20653</v>
      </c>
      <c r="I4425" t="s">
        <v>20004</v>
      </c>
      <c r="J4425" t="s">
        <v>1136</v>
      </c>
      <c r="K4425" t="s">
        <v>20654</v>
      </c>
      <c r="L4425" t="s">
        <v>20655</v>
      </c>
      <c r="M4425" t="s">
        <v>46</v>
      </c>
      <c r="N4425" t="s">
        <v>20008</v>
      </c>
      <c r="O4425" t="s">
        <v>20009</v>
      </c>
      <c r="P4425" t="s">
        <v>20656</v>
      </c>
      <c r="Q4425" t="s">
        <v>20657</v>
      </c>
      <c r="R4425">
        <v>13</v>
      </c>
      <c r="S4425">
        <v>16</v>
      </c>
    </row>
    <row r="4426" spans="1:19" x14ac:dyDescent="0.35">
      <c r="A4426">
        <v>9233</v>
      </c>
      <c r="B4426" t="s">
        <v>20650</v>
      </c>
      <c r="C4426" t="s">
        <v>42</v>
      </c>
      <c r="D4426" t="s">
        <v>20651</v>
      </c>
      <c r="E4426" t="e" cm="1">
        <f t="array" ref="E4426">- LISINOPRIL DIHYDRATE</f>
        <v>#NAME?</v>
      </c>
      <c r="F4426" t="s">
        <v>20652</v>
      </c>
      <c r="G4426" t="s">
        <v>60</v>
      </c>
      <c r="H4426" t="s">
        <v>20653</v>
      </c>
      <c r="I4426" t="s">
        <v>20004</v>
      </c>
      <c r="J4426" t="s">
        <v>1136</v>
      </c>
      <c r="K4426" t="s">
        <v>20654</v>
      </c>
      <c r="L4426" t="s">
        <v>20655</v>
      </c>
      <c r="M4426" t="s">
        <v>46</v>
      </c>
      <c r="N4426" t="s">
        <v>20008</v>
      </c>
      <c r="O4426" t="s">
        <v>20009</v>
      </c>
      <c r="P4426" t="s">
        <v>20656</v>
      </c>
      <c r="Q4426" t="s">
        <v>20657</v>
      </c>
      <c r="R4426">
        <v>13</v>
      </c>
      <c r="S4426">
        <v>16</v>
      </c>
    </row>
    <row r="4427" spans="1:19" x14ac:dyDescent="0.35">
      <c r="A4427">
        <v>3474</v>
      </c>
      <c r="B4427" t="s">
        <v>20658</v>
      </c>
      <c r="C4427" t="s">
        <v>20</v>
      </c>
      <c r="D4427" t="s">
        <v>20659</v>
      </c>
      <c r="E4427" t="s">
        <v>20660</v>
      </c>
      <c r="F4427" t="s">
        <v>20661</v>
      </c>
      <c r="G4427" t="s">
        <v>5746</v>
      </c>
      <c r="H4427" t="s">
        <v>20662</v>
      </c>
      <c r="I4427" t="s">
        <v>20663</v>
      </c>
      <c r="J4427" t="s">
        <v>20664</v>
      </c>
      <c r="M4427" t="s">
        <v>63</v>
      </c>
      <c r="N4427" t="s">
        <v>20665</v>
      </c>
      <c r="O4427" t="s">
        <v>9981</v>
      </c>
      <c r="P4427" t="s">
        <v>20666</v>
      </c>
      <c r="Q4427" t="s">
        <v>20667</v>
      </c>
      <c r="R4427">
        <v>13</v>
      </c>
      <c r="S4427">
        <v>16</v>
      </c>
    </row>
    <row r="4428" spans="1:19" x14ac:dyDescent="0.35">
      <c r="A4428">
        <v>9234</v>
      </c>
      <c r="B4428" t="s">
        <v>20650</v>
      </c>
      <c r="C4428" t="s">
        <v>42</v>
      </c>
      <c r="D4428" t="s">
        <v>20651</v>
      </c>
      <c r="E4428" t="e" cm="1">
        <f t="array" ref="E4428">- LISINOPRIL DIHYDRATE</f>
        <v>#NAME?</v>
      </c>
      <c r="F4428" t="s">
        <v>20652</v>
      </c>
      <c r="G4428" t="s">
        <v>60</v>
      </c>
      <c r="H4428" t="s">
        <v>20653</v>
      </c>
      <c r="I4428" t="s">
        <v>20004</v>
      </c>
      <c r="J4428" t="s">
        <v>1136</v>
      </c>
      <c r="K4428" t="s">
        <v>20654</v>
      </c>
      <c r="L4428" t="s">
        <v>20655</v>
      </c>
      <c r="M4428" t="s">
        <v>46</v>
      </c>
      <c r="N4428" t="s">
        <v>20008</v>
      </c>
      <c r="O4428" t="s">
        <v>20009</v>
      </c>
      <c r="P4428" t="s">
        <v>20656</v>
      </c>
      <c r="Q4428" t="s">
        <v>20657</v>
      </c>
      <c r="R4428">
        <v>13</v>
      </c>
      <c r="S4428">
        <v>16</v>
      </c>
    </row>
    <row r="4429" spans="1:19" x14ac:dyDescent="0.35">
      <c r="A4429">
        <v>3475</v>
      </c>
      <c r="B4429" t="s">
        <v>20658</v>
      </c>
      <c r="C4429" t="s">
        <v>20</v>
      </c>
      <c r="D4429" t="s">
        <v>20659</v>
      </c>
      <c r="E4429" t="s">
        <v>20660</v>
      </c>
      <c r="F4429" t="s">
        <v>20661</v>
      </c>
      <c r="G4429" t="s">
        <v>5746</v>
      </c>
      <c r="H4429" t="s">
        <v>20662</v>
      </c>
      <c r="I4429" t="s">
        <v>20663</v>
      </c>
      <c r="J4429" t="s">
        <v>20664</v>
      </c>
      <c r="M4429" t="s">
        <v>63</v>
      </c>
      <c r="N4429" t="s">
        <v>20665</v>
      </c>
      <c r="O4429" t="s">
        <v>9981</v>
      </c>
      <c r="P4429" t="s">
        <v>20666</v>
      </c>
      <c r="Q4429" t="s">
        <v>20667</v>
      </c>
      <c r="R4429">
        <v>13</v>
      </c>
      <c r="S4429">
        <v>16</v>
      </c>
    </row>
    <row r="4430" spans="1:19" x14ac:dyDescent="0.35">
      <c r="A4430">
        <v>9235</v>
      </c>
      <c r="B4430" t="s">
        <v>20668</v>
      </c>
      <c r="C4430" t="s">
        <v>42</v>
      </c>
      <c r="D4430" t="s">
        <v>20669</v>
      </c>
      <c r="E4430" t="e" cm="1">
        <f t="array" ref="E4430">- LISINOPRIL DIHYDRATE</f>
        <v>#NAME?</v>
      </c>
      <c r="F4430" t="s">
        <v>20670</v>
      </c>
      <c r="G4430" t="s">
        <v>60</v>
      </c>
      <c r="H4430" t="s">
        <v>20671</v>
      </c>
      <c r="I4430" t="s">
        <v>20004</v>
      </c>
      <c r="J4430" t="s">
        <v>1136</v>
      </c>
      <c r="K4430" t="s">
        <v>20672</v>
      </c>
      <c r="L4430" t="s">
        <v>20673</v>
      </c>
      <c r="M4430" t="s">
        <v>46</v>
      </c>
      <c r="N4430" t="s">
        <v>20008</v>
      </c>
      <c r="O4430" t="s">
        <v>20009</v>
      </c>
      <c r="P4430" t="s">
        <v>20656</v>
      </c>
      <c r="Q4430" t="s">
        <v>20657</v>
      </c>
      <c r="R4430">
        <v>13</v>
      </c>
      <c r="S4430">
        <v>16</v>
      </c>
    </row>
    <row r="4431" spans="1:19" x14ac:dyDescent="0.35">
      <c r="A4431">
        <v>9238</v>
      </c>
      <c r="B4431" t="s">
        <v>20674</v>
      </c>
      <c r="C4431" t="s">
        <v>42</v>
      </c>
      <c r="D4431" t="s">
        <v>20675</v>
      </c>
      <c r="E4431" t="e" cm="1">
        <f t="array" ref="E4431">- AMLODIPINE BESILATE</f>
        <v>#NAME?</v>
      </c>
      <c r="F4431" t="s">
        <v>20676</v>
      </c>
      <c r="G4431" t="s">
        <v>20553</v>
      </c>
      <c r="H4431" t="s">
        <v>20554</v>
      </c>
      <c r="I4431" t="s">
        <v>20555</v>
      </c>
      <c r="J4431" t="s">
        <v>599</v>
      </c>
      <c r="K4431" t="s">
        <v>20557</v>
      </c>
      <c r="L4431" t="s">
        <v>20558</v>
      </c>
      <c r="M4431" t="s">
        <v>46</v>
      </c>
      <c r="N4431" t="s">
        <v>2484</v>
      </c>
      <c r="O4431" t="s">
        <v>20559</v>
      </c>
      <c r="P4431" t="s">
        <v>20560</v>
      </c>
      <c r="Q4431" t="s">
        <v>20561</v>
      </c>
      <c r="R4431">
        <v>13</v>
      </c>
      <c r="S4431">
        <v>16</v>
      </c>
    </row>
    <row r="4432" spans="1:19" x14ac:dyDescent="0.35">
      <c r="A4432">
        <v>3484</v>
      </c>
      <c r="B4432" t="s">
        <v>20291</v>
      </c>
      <c r="C4432" t="s">
        <v>42</v>
      </c>
      <c r="D4432" t="s">
        <v>20292</v>
      </c>
      <c r="E4432" t="e" cm="1">
        <f t="array" ref="E4432">- ONDANSETRON HYDROCHLORIDE</f>
        <v>#NAME?</v>
      </c>
      <c r="F4432" t="s">
        <v>20293</v>
      </c>
      <c r="G4432" t="s">
        <v>14378</v>
      </c>
      <c r="H4432" t="s">
        <v>14379</v>
      </c>
      <c r="I4432" t="s">
        <v>14380</v>
      </c>
      <c r="J4432" t="s">
        <v>20294</v>
      </c>
      <c r="K4432" t="s">
        <v>14086</v>
      </c>
      <c r="L4432" t="s">
        <v>14382</v>
      </c>
      <c r="M4432" t="s">
        <v>46</v>
      </c>
      <c r="N4432" t="s">
        <v>14328</v>
      </c>
      <c r="O4432" t="s">
        <v>14383</v>
      </c>
      <c r="P4432" t="s">
        <v>1869</v>
      </c>
      <c r="Q4432" t="s">
        <v>20083</v>
      </c>
      <c r="R4432">
        <v>13</v>
      </c>
      <c r="S4432">
        <v>16</v>
      </c>
    </row>
    <row r="4433" spans="1:19" x14ac:dyDescent="0.35">
      <c r="A4433">
        <v>2493</v>
      </c>
      <c r="B4433" t="s">
        <v>16799</v>
      </c>
      <c r="C4433" t="s">
        <v>42</v>
      </c>
      <c r="D4433" t="s">
        <v>16810</v>
      </c>
      <c r="E4433" t="e" cm="1">
        <f t="array" ref="E4433">- FLUNARIZINE HYDROCHLORIDE</f>
        <v>#NAME?</v>
      </c>
      <c r="F4433" t="s">
        <v>16811</v>
      </c>
      <c r="G4433" t="s">
        <v>60</v>
      </c>
      <c r="H4433" t="s">
        <v>16812</v>
      </c>
      <c r="I4433" t="s">
        <v>16803</v>
      </c>
      <c r="J4433" t="s">
        <v>381</v>
      </c>
      <c r="K4433" t="s">
        <v>16805</v>
      </c>
      <c r="L4433" t="s">
        <v>16806</v>
      </c>
      <c r="M4433" t="s">
        <v>46</v>
      </c>
      <c r="N4433" t="s">
        <v>4516</v>
      </c>
      <c r="O4433" t="s">
        <v>16807</v>
      </c>
      <c r="P4433" t="s">
        <v>16808</v>
      </c>
      <c r="Q4433" t="s">
        <v>20576</v>
      </c>
      <c r="R4433">
        <v>13</v>
      </c>
      <c r="S4433">
        <v>16</v>
      </c>
    </row>
    <row r="4434" spans="1:19" x14ac:dyDescent="0.35">
      <c r="A4434">
        <v>1561</v>
      </c>
      <c r="B4434" t="s">
        <v>16813</v>
      </c>
      <c r="C4434" t="s">
        <v>42</v>
      </c>
      <c r="D4434" t="s">
        <v>16814</v>
      </c>
      <c r="E4434" t="e" cm="1">
        <f t="array" ref="E4434">- OXOMEMAZINE. GUAIFENESIN</f>
        <v>#NAME?</v>
      </c>
      <c r="F4434" t="s">
        <v>16815</v>
      </c>
      <c r="G4434" t="s">
        <v>2241</v>
      </c>
      <c r="H4434" t="s">
        <v>16816</v>
      </c>
      <c r="I4434" t="s">
        <v>16817</v>
      </c>
      <c r="J4434" t="s">
        <v>334</v>
      </c>
      <c r="K4434" t="s">
        <v>2726</v>
      </c>
      <c r="L4434" t="s">
        <v>16818</v>
      </c>
      <c r="M4434" t="s">
        <v>271</v>
      </c>
      <c r="N4434" t="s">
        <v>10568</v>
      </c>
      <c r="O4434" t="s">
        <v>16819</v>
      </c>
      <c r="P4434" t="s">
        <v>16820</v>
      </c>
      <c r="Q4434" t="s">
        <v>20677</v>
      </c>
      <c r="R4434">
        <v>13</v>
      </c>
      <c r="S4434">
        <v>16</v>
      </c>
    </row>
    <row r="4435" spans="1:19" x14ac:dyDescent="0.35">
      <c r="A4435">
        <v>2512</v>
      </c>
      <c r="B4435" t="s">
        <v>20678</v>
      </c>
      <c r="C4435" t="s">
        <v>42</v>
      </c>
      <c r="D4435" t="s">
        <v>20679</v>
      </c>
      <c r="E4435" t="e" cm="1">
        <f t="array" ref="E4435">- PIROXICAM</f>
        <v>#NAME?</v>
      </c>
      <c r="F4435" t="s">
        <v>20680</v>
      </c>
      <c r="H4435" t="s">
        <v>20681</v>
      </c>
    </row>
    <row r="4436" spans="1:19" x14ac:dyDescent="0.35">
      <c r="A4436">
        <v>3375</v>
      </c>
      <c r="B4436" t="s">
        <v>13922</v>
      </c>
      <c r="C4436" t="s">
        <v>42</v>
      </c>
      <c r="D4436" t="s">
        <v>13923</v>
      </c>
      <c r="E4436" t="s">
        <v>20682</v>
      </c>
      <c r="F4436" t="s">
        <v>13924</v>
      </c>
      <c r="G4436" t="s">
        <v>11823</v>
      </c>
      <c r="H4436" t="s">
        <v>4222</v>
      </c>
      <c r="I4436" t="s">
        <v>11824</v>
      </c>
      <c r="J4436" t="s">
        <v>1181</v>
      </c>
      <c r="K4436" t="s">
        <v>13925</v>
      </c>
      <c r="L4436" t="s">
        <v>11827</v>
      </c>
      <c r="M4436" t="s">
        <v>38</v>
      </c>
      <c r="N4436" t="s">
        <v>20683</v>
      </c>
      <c r="O4436" t="s">
        <v>11828</v>
      </c>
      <c r="P4436" t="s">
        <v>13927</v>
      </c>
      <c r="Q4436" t="s">
        <v>20684</v>
      </c>
      <c r="R4436">
        <v>13</v>
      </c>
      <c r="S4436">
        <v>16</v>
      </c>
    </row>
    <row r="4437" spans="1:19" x14ac:dyDescent="0.35">
      <c r="A4437">
        <v>9133</v>
      </c>
      <c r="B4437" t="s">
        <v>20685</v>
      </c>
      <c r="C4437" t="s">
        <v>42</v>
      </c>
      <c r="D4437" t="s">
        <v>20686</v>
      </c>
      <c r="E4437" t="e" cm="1">
        <f t="array" ref="E4437">- DILTIAZEM HYDROCHLORIDE</f>
        <v>#NAME?</v>
      </c>
      <c r="F4437" t="s">
        <v>20687</v>
      </c>
      <c r="G4437" t="s">
        <v>20688</v>
      </c>
      <c r="H4437" t="s">
        <v>20689</v>
      </c>
      <c r="I4437" t="s">
        <v>17259</v>
      </c>
      <c r="J4437" t="s">
        <v>20690</v>
      </c>
      <c r="K4437" t="s">
        <v>20691</v>
      </c>
      <c r="L4437" t="s">
        <v>20692</v>
      </c>
      <c r="M4437" t="s">
        <v>38</v>
      </c>
      <c r="N4437" t="s">
        <v>2457</v>
      </c>
      <c r="O4437" t="s">
        <v>17262</v>
      </c>
      <c r="P4437" t="s">
        <v>20693</v>
      </c>
      <c r="Q4437" t="s">
        <v>20694</v>
      </c>
      <c r="R4437">
        <v>13</v>
      </c>
      <c r="S4437">
        <v>16</v>
      </c>
    </row>
    <row r="4438" spans="1:19" x14ac:dyDescent="0.35">
      <c r="A4438">
        <v>9134</v>
      </c>
      <c r="B4438" t="s">
        <v>20685</v>
      </c>
      <c r="C4438" t="s">
        <v>42</v>
      </c>
      <c r="D4438" t="s">
        <v>20686</v>
      </c>
      <c r="E4438" t="e" cm="1">
        <f t="array" ref="E4438">- DILTIAZEM HYDROCHLORIDE</f>
        <v>#NAME?</v>
      </c>
      <c r="F4438" t="s">
        <v>20687</v>
      </c>
      <c r="G4438" t="s">
        <v>20688</v>
      </c>
      <c r="H4438" t="s">
        <v>20689</v>
      </c>
      <c r="I4438" t="s">
        <v>17259</v>
      </c>
      <c r="J4438" t="s">
        <v>20690</v>
      </c>
      <c r="K4438" t="s">
        <v>20691</v>
      </c>
      <c r="L4438" t="s">
        <v>20692</v>
      </c>
      <c r="M4438" t="s">
        <v>38</v>
      </c>
      <c r="N4438" t="s">
        <v>2457</v>
      </c>
      <c r="O4438" t="s">
        <v>17262</v>
      </c>
      <c r="P4438" t="s">
        <v>20693</v>
      </c>
      <c r="Q4438" t="s">
        <v>20694</v>
      </c>
      <c r="R4438">
        <v>13</v>
      </c>
      <c r="S4438">
        <v>16</v>
      </c>
    </row>
    <row r="4439" spans="1:19" x14ac:dyDescent="0.35">
      <c r="A4439">
        <v>9135</v>
      </c>
      <c r="B4439" t="s">
        <v>20685</v>
      </c>
      <c r="C4439" t="s">
        <v>42</v>
      </c>
      <c r="D4439" t="s">
        <v>20686</v>
      </c>
      <c r="E4439" t="e" cm="1">
        <f t="array" ref="E4439">- DILTIAZEM HYDROCHLORIDE</f>
        <v>#NAME?</v>
      </c>
      <c r="F4439" t="s">
        <v>20687</v>
      </c>
      <c r="G4439" t="s">
        <v>20688</v>
      </c>
      <c r="H4439" t="s">
        <v>20689</v>
      </c>
      <c r="I4439" t="s">
        <v>17259</v>
      </c>
      <c r="J4439" t="s">
        <v>20690</v>
      </c>
      <c r="K4439" t="s">
        <v>20691</v>
      </c>
      <c r="L4439" t="s">
        <v>20692</v>
      </c>
      <c r="M4439" t="s">
        <v>38</v>
      </c>
      <c r="N4439" t="s">
        <v>2457</v>
      </c>
      <c r="O4439" t="s">
        <v>17262</v>
      </c>
      <c r="P4439" t="s">
        <v>20693</v>
      </c>
      <c r="Q4439" t="s">
        <v>20694</v>
      </c>
      <c r="R4439">
        <v>13</v>
      </c>
      <c r="S4439">
        <v>16</v>
      </c>
    </row>
    <row r="4440" spans="1:19" x14ac:dyDescent="0.35">
      <c r="A4440">
        <v>2681</v>
      </c>
      <c r="B4440" t="s">
        <v>17318</v>
      </c>
      <c r="C4440" t="s">
        <v>42</v>
      </c>
      <c r="D4440" t="s">
        <v>17319</v>
      </c>
      <c r="E4440" t="e" cm="1">
        <f t="array" ref="E4440">- PARACETAMOL. IBUPROFEN</f>
        <v>#NAME?</v>
      </c>
      <c r="F4440" t="s">
        <v>17320</v>
      </c>
      <c r="G4440" t="s">
        <v>2453</v>
      </c>
      <c r="H4440" t="s">
        <v>17321</v>
      </c>
      <c r="I4440" t="s">
        <v>17322</v>
      </c>
      <c r="J4440" t="s">
        <v>17323</v>
      </c>
      <c r="L4440" t="s">
        <v>17324</v>
      </c>
      <c r="M4440" t="s">
        <v>340</v>
      </c>
      <c r="N4440" t="s">
        <v>20695</v>
      </c>
      <c r="O4440" t="s">
        <v>17325</v>
      </c>
      <c r="P4440" t="s">
        <v>17326</v>
      </c>
      <c r="Q4440" t="s">
        <v>20696</v>
      </c>
      <c r="R4440">
        <v>13</v>
      </c>
      <c r="S4440">
        <v>16</v>
      </c>
    </row>
    <row r="4441" spans="1:19" x14ac:dyDescent="0.35">
      <c r="A4441">
        <v>2680</v>
      </c>
      <c r="B4441" t="s">
        <v>17318</v>
      </c>
      <c r="C4441" t="s">
        <v>42</v>
      </c>
      <c r="D4441" t="s">
        <v>17319</v>
      </c>
      <c r="E4441" t="e" cm="1">
        <f t="array" ref="E4441">- PARACETAMOL. IBUPROFEN</f>
        <v>#NAME?</v>
      </c>
      <c r="F4441" t="s">
        <v>17320</v>
      </c>
      <c r="G4441" t="s">
        <v>2453</v>
      </c>
      <c r="H4441" t="s">
        <v>17321</v>
      </c>
      <c r="I4441" t="s">
        <v>17322</v>
      </c>
      <c r="J4441" t="s">
        <v>17323</v>
      </c>
      <c r="L4441" t="s">
        <v>17324</v>
      </c>
      <c r="M4441" t="s">
        <v>340</v>
      </c>
      <c r="N4441" t="s">
        <v>20695</v>
      </c>
      <c r="O4441" t="s">
        <v>17325</v>
      </c>
      <c r="P4441" t="s">
        <v>17326</v>
      </c>
      <c r="Q4441" t="s">
        <v>20696</v>
      </c>
      <c r="R4441">
        <v>13</v>
      </c>
      <c r="S4441">
        <v>16</v>
      </c>
    </row>
    <row r="4442" spans="1:19" x14ac:dyDescent="0.35">
      <c r="A4442">
        <v>2656</v>
      </c>
      <c r="B4442" t="s">
        <v>20697</v>
      </c>
      <c r="C4442" t="s">
        <v>42</v>
      </c>
      <c r="D4442" t="s">
        <v>20698</v>
      </c>
      <c r="E4442" t="e" cm="1">
        <f t="array" ref="E4442">- IBUPROFEN</f>
        <v>#NAME?</v>
      </c>
      <c r="F4442" t="s">
        <v>20699</v>
      </c>
      <c r="G4442" t="s">
        <v>20700</v>
      </c>
      <c r="H4442" t="s">
        <v>20701</v>
      </c>
      <c r="I4442" t="s">
        <v>20702</v>
      </c>
      <c r="J4442" t="s">
        <v>5221</v>
      </c>
      <c r="L4442" t="s">
        <v>20703</v>
      </c>
      <c r="M4442" t="s">
        <v>291</v>
      </c>
      <c r="N4442" t="s">
        <v>383</v>
      </c>
      <c r="O4442" t="s">
        <v>20704</v>
      </c>
      <c r="P4442" t="s">
        <v>20705</v>
      </c>
      <c r="Q4442" t="s">
        <v>20706</v>
      </c>
      <c r="R4442">
        <v>13</v>
      </c>
      <c r="S4442">
        <v>16</v>
      </c>
    </row>
    <row r="4443" spans="1:19" x14ac:dyDescent="0.35">
      <c r="A4443">
        <v>228</v>
      </c>
      <c r="B4443" t="s">
        <v>2902</v>
      </c>
      <c r="C4443" t="s">
        <v>42</v>
      </c>
      <c r="D4443" t="s">
        <v>20707</v>
      </c>
      <c r="E4443" t="e" cm="1">
        <f t="array" ref="E4443">- SILDENAFIL CITRATE</f>
        <v>#NAME?</v>
      </c>
      <c r="F4443" t="s">
        <v>20708</v>
      </c>
      <c r="G4443" t="s">
        <v>20709</v>
      </c>
      <c r="H4443" t="s">
        <v>1322</v>
      </c>
      <c r="I4443" t="s">
        <v>20710</v>
      </c>
      <c r="J4443" t="s">
        <v>4132</v>
      </c>
      <c r="L4443" t="s">
        <v>8486</v>
      </c>
      <c r="M4443" t="s">
        <v>46</v>
      </c>
      <c r="N4443" t="s">
        <v>2519</v>
      </c>
      <c r="O4443" t="s">
        <v>20711</v>
      </c>
      <c r="P4443" t="s">
        <v>20712</v>
      </c>
      <c r="Q4443" t="s">
        <v>20713</v>
      </c>
      <c r="R4443">
        <v>13</v>
      </c>
      <c r="S4443">
        <v>16</v>
      </c>
    </row>
    <row r="4444" spans="1:19" x14ac:dyDescent="0.35">
      <c r="A4444">
        <v>3257</v>
      </c>
      <c r="B4444" t="s">
        <v>20714</v>
      </c>
      <c r="C4444" t="s">
        <v>42</v>
      </c>
      <c r="D4444" t="s">
        <v>20715</v>
      </c>
      <c r="E4444" t="e" cm="1">
        <f t="array" ref="E4444">- FAMOTIDINE</f>
        <v>#NAME?</v>
      </c>
      <c r="F4444" t="s">
        <v>20716</v>
      </c>
      <c r="G4444" t="s">
        <v>20347</v>
      </c>
      <c r="H4444" t="s">
        <v>20348</v>
      </c>
      <c r="I4444" t="s">
        <v>20349</v>
      </c>
      <c r="J4444" t="s">
        <v>20350</v>
      </c>
      <c r="K4444" t="s">
        <v>20351</v>
      </c>
      <c r="L4444" t="s">
        <v>20717</v>
      </c>
      <c r="M4444" t="s">
        <v>46</v>
      </c>
      <c r="N4444" t="s">
        <v>10675</v>
      </c>
      <c r="O4444" t="s">
        <v>20353</v>
      </c>
      <c r="P4444" t="s">
        <v>20354</v>
      </c>
      <c r="Q4444" t="s">
        <v>20355</v>
      </c>
      <c r="R4444">
        <v>13</v>
      </c>
      <c r="S4444">
        <v>16</v>
      </c>
    </row>
    <row r="4445" spans="1:19" x14ac:dyDescent="0.35">
      <c r="A4445">
        <v>3258</v>
      </c>
      <c r="B4445" t="s">
        <v>20714</v>
      </c>
      <c r="C4445" t="s">
        <v>42</v>
      </c>
      <c r="D4445" t="s">
        <v>20715</v>
      </c>
      <c r="E4445" t="e" cm="1">
        <f t="array" ref="E4445">- FAMOTIDINE</f>
        <v>#NAME?</v>
      </c>
      <c r="F4445" t="s">
        <v>20716</v>
      </c>
      <c r="G4445" t="s">
        <v>20347</v>
      </c>
      <c r="H4445" t="s">
        <v>20348</v>
      </c>
      <c r="I4445" t="s">
        <v>20349</v>
      </c>
      <c r="J4445" t="s">
        <v>20350</v>
      </c>
      <c r="K4445" t="s">
        <v>20351</v>
      </c>
      <c r="L4445" t="s">
        <v>20717</v>
      </c>
      <c r="M4445" t="s">
        <v>46</v>
      </c>
      <c r="N4445" t="s">
        <v>10675</v>
      </c>
      <c r="O4445" t="s">
        <v>20353</v>
      </c>
      <c r="P4445" t="s">
        <v>20354</v>
      </c>
      <c r="Q4445" t="s">
        <v>20355</v>
      </c>
      <c r="R4445">
        <v>13</v>
      </c>
      <c r="S4445">
        <v>16</v>
      </c>
    </row>
    <row r="4446" spans="1:19" x14ac:dyDescent="0.35">
      <c r="A4446">
        <v>3259</v>
      </c>
      <c r="B4446" t="s">
        <v>20714</v>
      </c>
      <c r="C4446" t="s">
        <v>42</v>
      </c>
      <c r="D4446" t="s">
        <v>20715</v>
      </c>
      <c r="E4446" t="e" cm="1">
        <f t="array" ref="E4446">- FAMOTIDINE</f>
        <v>#NAME?</v>
      </c>
      <c r="F4446" t="s">
        <v>20716</v>
      </c>
      <c r="G4446" t="s">
        <v>20347</v>
      </c>
      <c r="H4446" t="s">
        <v>20348</v>
      </c>
      <c r="I4446" t="s">
        <v>20349</v>
      </c>
      <c r="J4446" t="s">
        <v>20350</v>
      </c>
      <c r="K4446" t="s">
        <v>20351</v>
      </c>
      <c r="L4446" t="s">
        <v>20717</v>
      </c>
      <c r="M4446" t="s">
        <v>46</v>
      </c>
      <c r="N4446" t="s">
        <v>10675</v>
      </c>
      <c r="O4446" t="s">
        <v>20353</v>
      </c>
      <c r="P4446" t="s">
        <v>20354</v>
      </c>
      <c r="Q4446" t="s">
        <v>20355</v>
      </c>
      <c r="R4446">
        <v>13</v>
      </c>
      <c r="S4446">
        <v>16</v>
      </c>
    </row>
    <row r="4447" spans="1:19" x14ac:dyDescent="0.35">
      <c r="A4447">
        <v>1394</v>
      </c>
      <c r="B4447" t="s">
        <v>20718</v>
      </c>
      <c r="C4447" t="s">
        <v>42</v>
      </c>
      <c r="D4447" t="s">
        <v>20719</v>
      </c>
      <c r="E4447" t="e" cm="1">
        <f t="array" ref="E4447">- BROMHEXINE HYDROCHLORIDE</f>
        <v>#NAME?</v>
      </c>
      <c r="F4447" t="s">
        <v>20720</v>
      </c>
      <c r="G4447" t="s">
        <v>2241</v>
      </c>
      <c r="H4447" t="s">
        <v>20721</v>
      </c>
      <c r="I4447" t="s">
        <v>20722</v>
      </c>
      <c r="J4447" t="s">
        <v>3167</v>
      </c>
      <c r="M4447" t="s">
        <v>271</v>
      </c>
      <c r="N4447" t="s">
        <v>1342</v>
      </c>
      <c r="O4447" t="s">
        <v>20723</v>
      </c>
      <c r="P4447" t="s">
        <v>20724</v>
      </c>
      <c r="Q4447" t="s">
        <v>20725</v>
      </c>
      <c r="R4447">
        <v>13</v>
      </c>
      <c r="S4447">
        <v>16</v>
      </c>
    </row>
    <row r="4448" spans="1:19" x14ac:dyDescent="0.35">
      <c r="A4448">
        <v>1393</v>
      </c>
      <c r="B4448" t="s">
        <v>20726</v>
      </c>
      <c r="C4448" t="s">
        <v>42</v>
      </c>
      <c r="D4448" t="s">
        <v>20727</v>
      </c>
      <c r="E4448" t="e" cm="1">
        <f t="array" ref="E4448">- BROMHEXINE HYDROCHLORIDE</f>
        <v>#NAME?</v>
      </c>
      <c r="F4448" t="s">
        <v>20728</v>
      </c>
      <c r="G4448" t="s">
        <v>2241</v>
      </c>
      <c r="H4448" t="s">
        <v>20729</v>
      </c>
      <c r="I4448" t="s">
        <v>20722</v>
      </c>
      <c r="J4448" t="s">
        <v>2978</v>
      </c>
      <c r="K4448" t="s">
        <v>8578</v>
      </c>
      <c r="L4448" t="s">
        <v>20730</v>
      </c>
      <c r="M4448" t="s">
        <v>46</v>
      </c>
      <c r="N4448" t="s">
        <v>1342</v>
      </c>
      <c r="O4448" t="s">
        <v>20723</v>
      </c>
      <c r="P4448" t="s">
        <v>20724</v>
      </c>
      <c r="Q4448" t="s">
        <v>20731</v>
      </c>
      <c r="R4448">
        <v>13</v>
      </c>
      <c r="S4448">
        <v>16</v>
      </c>
    </row>
    <row r="4449" spans="1:19" x14ac:dyDescent="0.35">
      <c r="A4449">
        <v>2730</v>
      </c>
      <c r="B4449" t="s">
        <v>20566</v>
      </c>
      <c r="C4449" t="s">
        <v>42</v>
      </c>
      <c r="D4449" t="s">
        <v>20567</v>
      </c>
      <c r="E4449" t="e" cm="1">
        <f t="array" ref="E4449">- ETORICOXIB</f>
        <v>#NAME?</v>
      </c>
      <c r="F4449" t="s">
        <v>20568</v>
      </c>
      <c r="G4449" t="s">
        <v>2241</v>
      </c>
      <c r="H4449" t="s">
        <v>20441</v>
      </c>
      <c r="I4449" t="s">
        <v>19893</v>
      </c>
      <c r="J4449" t="s">
        <v>20569</v>
      </c>
      <c r="M4449" t="s">
        <v>46</v>
      </c>
      <c r="N4449" t="s">
        <v>47</v>
      </c>
      <c r="O4449" t="s">
        <v>19896</v>
      </c>
      <c r="P4449" t="s">
        <v>20443</v>
      </c>
      <c r="Q4449" t="s">
        <v>20444</v>
      </c>
      <c r="R4449">
        <v>13</v>
      </c>
      <c r="S4449">
        <v>16</v>
      </c>
    </row>
    <row r="4450" spans="1:19" x14ac:dyDescent="0.35">
      <c r="A4450">
        <v>1392</v>
      </c>
      <c r="B4450" t="s">
        <v>20726</v>
      </c>
      <c r="C4450" t="s">
        <v>42</v>
      </c>
      <c r="D4450" t="s">
        <v>20727</v>
      </c>
      <c r="E4450" t="e" cm="1">
        <f t="array" ref="E4450">- BROMHEXINE HYDROCHLORIDE</f>
        <v>#NAME?</v>
      </c>
      <c r="F4450" t="s">
        <v>20728</v>
      </c>
      <c r="G4450" t="s">
        <v>2241</v>
      </c>
      <c r="H4450" t="s">
        <v>20729</v>
      </c>
      <c r="I4450" t="s">
        <v>20722</v>
      </c>
      <c r="J4450" t="s">
        <v>2978</v>
      </c>
      <c r="K4450" t="s">
        <v>8578</v>
      </c>
      <c r="L4450" t="s">
        <v>20730</v>
      </c>
      <c r="M4450" t="s">
        <v>46</v>
      </c>
      <c r="N4450" t="s">
        <v>1342</v>
      </c>
      <c r="O4450" t="s">
        <v>20723</v>
      </c>
      <c r="P4450" t="s">
        <v>20724</v>
      </c>
      <c r="Q4450" t="s">
        <v>20731</v>
      </c>
      <c r="R4450">
        <v>13</v>
      </c>
      <c r="S4450">
        <v>16</v>
      </c>
    </row>
    <row r="4451" spans="1:19" x14ac:dyDescent="0.35">
      <c r="A4451">
        <v>1391</v>
      </c>
      <c r="B4451" t="s">
        <v>20726</v>
      </c>
      <c r="C4451" t="s">
        <v>42</v>
      </c>
      <c r="D4451" t="s">
        <v>20727</v>
      </c>
      <c r="E4451" t="e" cm="1">
        <f t="array" ref="E4451">- BROMHEXINE HYDROCHLORIDE</f>
        <v>#NAME?</v>
      </c>
      <c r="F4451" t="s">
        <v>20728</v>
      </c>
      <c r="G4451" t="s">
        <v>2241</v>
      </c>
      <c r="H4451" t="s">
        <v>20729</v>
      </c>
      <c r="I4451" t="s">
        <v>20722</v>
      </c>
      <c r="J4451" t="s">
        <v>2978</v>
      </c>
      <c r="K4451" t="s">
        <v>8578</v>
      </c>
      <c r="L4451" t="s">
        <v>20730</v>
      </c>
      <c r="M4451" t="s">
        <v>46</v>
      </c>
      <c r="N4451" t="s">
        <v>1342</v>
      </c>
      <c r="O4451" t="s">
        <v>20723</v>
      </c>
      <c r="P4451" t="s">
        <v>20724</v>
      </c>
      <c r="Q4451" t="s">
        <v>20731</v>
      </c>
      <c r="R4451">
        <v>13</v>
      </c>
      <c r="S4451">
        <v>16</v>
      </c>
    </row>
    <row r="4452" spans="1:19" x14ac:dyDescent="0.35">
      <c r="A4452">
        <v>3290</v>
      </c>
      <c r="B4452" t="s">
        <v>20732</v>
      </c>
      <c r="C4452" t="s">
        <v>42</v>
      </c>
      <c r="D4452" t="s">
        <v>20733</v>
      </c>
      <c r="E4452" t="s">
        <v>20734</v>
      </c>
      <c r="F4452" t="s">
        <v>20735</v>
      </c>
      <c r="G4452" t="s">
        <v>5301</v>
      </c>
      <c r="H4452" t="s">
        <v>4222</v>
      </c>
      <c r="I4452" t="s">
        <v>20736</v>
      </c>
      <c r="J4452" t="s">
        <v>20737</v>
      </c>
      <c r="K4452" t="s">
        <v>2726</v>
      </c>
      <c r="L4452" t="s">
        <v>20738</v>
      </c>
      <c r="M4452" t="s">
        <v>38</v>
      </c>
      <c r="N4452" t="s">
        <v>20739</v>
      </c>
      <c r="O4452" t="s">
        <v>20740</v>
      </c>
      <c r="P4452" t="s">
        <v>20741</v>
      </c>
      <c r="Q4452" t="s">
        <v>20742</v>
      </c>
      <c r="R4452">
        <v>13</v>
      </c>
      <c r="S4452">
        <v>16</v>
      </c>
    </row>
    <row r="4453" spans="1:19" x14ac:dyDescent="0.35">
      <c r="A4453">
        <v>3291</v>
      </c>
      <c r="B4453" t="s">
        <v>20732</v>
      </c>
      <c r="C4453" t="s">
        <v>42</v>
      </c>
      <c r="D4453" t="s">
        <v>20733</v>
      </c>
      <c r="E4453" t="s">
        <v>20734</v>
      </c>
      <c r="F4453" t="s">
        <v>20735</v>
      </c>
      <c r="G4453" t="s">
        <v>5301</v>
      </c>
      <c r="H4453" t="s">
        <v>4222</v>
      </c>
      <c r="I4453" t="s">
        <v>20736</v>
      </c>
      <c r="J4453" t="s">
        <v>20737</v>
      </c>
      <c r="K4453" t="s">
        <v>2726</v>
      </c>
      <c r="L4453" t="s">
        <v>20738</v>
      </c>
      <c r="M4453" t="s">
        <v>38</v>
      </c>
      <c r="N4453" t="s">
        <v>20739</v>
      </c>
      <c r="O4453" t="s">
        <v>20740</v>
      </c>
      <c r="P4453" t="s">
        <v>20741</v>
      </c>
      <c r="Q4453" t="s">
        <v>20742</v>
      </c>
      <c r="R4453">
        <v>13</v>
      </c>
      <c r="S4453">
        <v>16</v>
      </c>
    </row>
    <row r="4454" spans="1:19" x14ac:dyDescent="0.35">
      <c r="A4454">
        <v>3293</v>
      </c>
      <c r="B4454" t="s">
        <v>14052</v>
      </c>
      <c r="C4454" t="s">
        <v>42</v>
      </c>
      <c r="D4454" t="s">
        <v>14053</v>
      </c>
      <c r="E4454" t="s">
        <v>20682</v>
      </c>
      <c r="F4454" t="s">
        <v>14054</v>
      </c>
      <c r="G4454" t="s">
        <v>11794</v>
      </c>
      <c r="H4454" t="s">
        <v>4222</v>
      </c>
      <c r="I4454" t="s">
        <v>11796</v>
      </c>
      <c r="J4454" t="s">
        <v>11797</v>
      </c>
      <c r="K4454" t="s">
        <v>14055</v>
      </c>
      <c r="L4454" t="s">
        <v>14056</v>
      </c>
      <c r="M4454" t="s">
        <v>38</v>
      </c>
      <c r="N4454" t="s">
        <v>20683</v>
      </c>
      <c r="O4454" t="s">
        <v>11798</v>
      </c>
      <c r="P4454" t="s">
        <v>14057</v>
      </c>
      <c r="Q4454" t="s">
        <v>20743</v>
      </c>
      <c r="R4454">
        <v>13</v>
      </c>
      <c r="S4454">
        <v>16</v>
      </c>
    </row>
    <row r="4455" spans="1:19" x14ac:dyDescent="0.35">
      <c r="A4455">
        <v>8448</v>
      </c>
      <c r="B4455" t="s">
        <v>551</v>
      </c>
      <c r="C4455" t="s">
        <v>42</v>
      </c>
      <c r="D4455" t="s">
        <v>20744</v>
      </c>
      <c r="E4455" t="e" cm="1">
        <f t="array" ref="E4455">- POVIDONE-IODINE</f>
        <v>#NAME?</v>
      </c>
      <c r="F4455" s="1">
        <v>25100</v>
      </c>
      <c r="I4455" t="s">
        <v>20745</v>
      </c>
      <c r="J4455" t="s">
        <v>8147</v>
      </c>
      <c r="M4455" t="s">
        <v>554</v>
      </c>
      <c r="N4455" t="s">
        <v>555</v>
      </c>
      <c r="O4455" t="s">
        <v>20746</v>
      </c>
      <c r="P4455" t="s">
        <v>20747</v>
      </c>
      <c r="Q4455" t="s">
        <v>20748</v>
      </c>
      <c r="R4455">
        <v>13</v>
      </c>
      <c r="S4455">
        <v>16</v>
      </c>
    </row>
    <row r="4456" spans="1:19" x14ac:dyDescent="0.35">
      <c r="A4456">
        <v>9172</v>
      </c>
      <c r="B4456" t="s">
        <v>20749</v>
      </c>
      <c r="C4456" t="s">
        <v>42</v>
      </c>
      <c r="D4456" t="s">
        <v>20750</v>
      </c>
      <c r="E4456" t="e" cm="1">
        <f t="array" ref="E4456">- LISINOPRIL</f>
        <v>#NAME?</v>
      </c>
      <c r="F4456" t="s">
        <v>20751</v>
      </c>
      <c r="G4456" t="s">
        <v>60</v>
      </c>
      <c r="H4456" t="s">
        <v>20752</v>
      </c>
      <c r="I4456" t="s">
        <v>20753</v>
      </c>
      <c r="J4456" t="s">
        <v>20754</v>
      </c>
      <c r="K4456" t="s">
        <v>20672</v>
      </c>
      <c r="L4456" t="s">
        <v>20755</v>
      </c>
      <c r="M4456" t="s">
        <v>46</v>
      </c>
      <c r="N4456" t="s">
        <v>20756</v>
      </c>
      <c r="O4456" t="s">
        <v>20757</v>
      </c>
      <c r="P4456" t="s">
        <v>20758</v>
      </c>
      <c r="Q4456" t="s">
        <v>20759</v>
      </c>
      <c r="R4456">
        <v>13</v>
      </c>
      <c r="S4456">
        <v>16</v>
      </c>
    </row>
    <row r="4457" spans="1:19" x14ac:dyDescent="0.35">
      <c r="A4457">
        <v>3313</v>
      </c>
      <c r="B4457" t="s">
        <v>20760</v>
      </c>
      <c r="C4457" t="s">
        <v>42</v>
      </c>
      <c r="D4457" t="s">
        <v>20761</v>
      </c>
      <c r="E4457" t="e" cm="1">
        <f t="array" ref="E4457">- LANSOPRAZOLE PELLET</f>
        <v>#NAME?</v>
      </c>
      <c r="F4457" t="s">
        <v>20762</v>
      </c>
      <c r="G4457" t="s">
        <v>20763</v>
      </c>
      <c r="H4457" t="s">
        <v>4222</v>
      </c>
      <c r="I4457" t="s">
        <v>20764</v>
      </c>
      <c r="J4457" t="s">
        <v>20765</v>
      </c>
      <c r="K4457" t="s">
        <v>20766</v>
      </c>
      <c r="L4457" t="s">
        <v>20767</v>
      </c>
      <c r="M4457" t="s">
        <v>38</v>
      </c>
      <c r="N4457" t="s">
        <v>13926</v>
      </c>
      <c r="O4457" t="s">
        <v>20768</v>
      </c>
      <c r="P4457" t="s">
        <v>20769</v>
      </c>
      <c r="Q4457" t="s">
        <v>20770</v>
      </c>
      <c r="R4457">
        <v>13</v>
      </c>
      <c r="S4457">
        <v>16</v>
      </c>
    </row>
    <row r="4458" spans="1:19" x14ac:dyDescent="0.35">
      <c r="A4458">
        <v>2567</v>
      </c>
      <c r="B4458" t="s">
        <v>20771</v>
      </c>
      <c r="C4458" t="s">
        <v>42</v>
      </c>
      <c r="D4458" t="s">
        <v>20772</v>
      </c>
      <c r="E4458" t="e" cm="1">
        <f t="array" ref="E4458">- MELOXICAM</f>
        <v>#NAME?</v>
      </c>
      <c r="F4458" t="s">
        <v>20773</v>
      </c>
      <c r="G4458" t="s">
        <v>20774</v>
      </c>
      <c r="H4458" t="s">
        <v>20775</v>
      </c>
      <c r="I4458" t="s">
        <v>20776</v>
      </c>
      <c r="J4458" t="s">
        <v>411</v>
      </c>
      <c r="K4458" t="s">
        <v>20777</v>
      </c>
      <c r="L4458" t="s">
        <v>20778</v>
      </c>
      <c r="M4458" t="s">
        <v>46</v>
      </c>
      <c r="N4458" t="s">
        <v>412</v>
      </c>
      <c r="O4458" t="s">
        <v>20779</v>
      </c>
      <c r="P4458" t="s">
        <v>20780</v>
      </c>
      <c r="Q4458" t="s">
        <v>20781</v>
      </c>
      <c r="R4458">
        <v>13</v>
      </c>
      <c r="S4458">
        <v>16</v>
      </c>
    </row>
    <row r="4459" spans="1:19" x14ac:dyDescent="0.35">
      <c r="A4459">
        <v>8411</v>
      </c>
      <c r="B4459" t="s">
        <v>551</v>
      </c>
      <c r="C4459" t="s">
        <v>42</v>
      </c>
      <c r="D4459" t="s">
        <v>20782</v>
      </c>
      <c r="E4459" t="e" cm="1">
        <f t="array" ref="E4459">- POVIDONE-IODINE</f>
        <v>#NAME?</v>
      </c>
      <c r="F4459" t="s">
        <v>20783</v>
      </c>
      <c r="I4459" t="s">
        <v>20572</v>
      </c>
      <c r="J4459" t="s">
        <v>5484</v>
      </c>
      <c r="M4459" t="s">
        <v>554</v>
      </c>
      <c r="N4459" t="s">
        <v>555</v>
      </c>
      <c r="O4459" t="s">
        <v>20573</v>
      </c>
      <c r="P4459" t="s">
        <v>20784</v>
      </c>
      <c r="Q4459" t="s">
        <v>20785</v>
      </c>
      <c r="R4459">
        <v>13</v>
      </c>
      <c r="S4459">
        <v>16</v>
      </c>
    </row>
    <row r="4460" spans="1:19" x14ac:dyDescent="0.35">
      <c r="A4460">
        <v>8410</v>
      </c>
      <c r="B4460" t="s">
        <v>551</v>
      </c>
      <c r="C4460" t="s">
        <v>42</v>
      </c>
      <c r="D4460" t="s">
        <v>20782</v>
      </c>
      <c r="E4460" t="e" cm="1">
        <f t="array" ref="E4460">- POVIDONE-IODINE</f>
        <v>#NAME?</v>
      </c>
      <c r="F4460" t="s">
        <v>20783</v>
      </c>
      <c r="I4460" t="s">
        <v>20572</v>
      </c>
      <c r="J4460" t="s">
        <v>5484</v>
      </c>
      <c r="M4460" t="s">
        <v>554</v>
      </c>
      <c r="N4460" t="s">
        <v>555</v>
      </c>
      <c r="O4460" t="s">
        <v>20573</v>
      </c>
      <c r="P4460" t="s">
        <v>20784</v>
      </c>
      <c r="Q4460" t="s">
        <v>20785</v>
      </c>
      <c r="R4460">
        <v>13</v>
      </c>
      <c r="S4460">
        <v>16</v>
      </c>
    </row>
    <row r="4461" spans="1:19" x14ac:dyDescent="0.35">
      <c r="A4461">
        <v>9199</v>
      </c>
      <c r="B4461" t="s">
        <v>20786</v>
      </c>
      <c r="C4461" t="s">
        <v>42</v>
      </c>
      <c r="D4461" t="s">
        <v>20787</v>
      </c>
      <c r="E4461" t="e" cm="1">
        <f t="array" ref="E4461">- LISINOPRIL DIHYDRATE</f>
        <v>#NAME?</v>
      </c>
      <c r="F4461" t="s">
        <v>20788</v>
      </c>
      <c r="G4461" t="s">
        <v>2241</v>
      </c>
      <c r="H4461" t="s">
        <v>3084</v>
      </c>
      <c r="I4461" t="s">
        <v>20789</v>
      </c>
      <c r="J4461" t="s">
        <v>1578</v>
      </c>
      <c r="K4461" t="s">
        <v>20790</v>
      </c>
      <c r="L4461" t="s">
        <v>20791</v>
      </c>
      <c r="M4461" t="s">
        <v>46</v>
      </c>
      <c r="N4461" t="s">
        <v>20008</v>
      </c>
      <c r="O4461" t="s">
        <v>20792</v>
      </c>
      <c r="P4461" t="s">
        <v>20756</v>
      </c>
      <c r="Q4461" t="s">
        <v>20793</v>
      </c>
      <c r="R4461">
        <v>13</v>
      </c>
      <c r="S4461">
        <v>16</v>
      </c>
    </row>
    <row r="4462" spans="1:19" x14ac:dyDescent="0.35">
      <c r="A4462">
        <v>2524</v>
      </c>
      <c r="B4462" t="s">
        <v>20794</v>
      </c>
      <c r="C4462" t="s">
        <v>42</v>
      </c>
      <c r="D4462" t="s">
        <v>20795</v>
      </c>
      <c r="E4462" t="e" cm="1">
        <f t="array" ref="E4462">- KETOPROFEN</f>
        <v>#NAME?</v>
      </c>
      <c r="F4462" t="s">
        <v>20796</v>
      </c>
      <c r="G4462" t="s">
        <v>15546</v>
      </c>
      <c r="H4462" t="s">
        <v>20797</v>
      </c>
      <c r="I4462" t="s">
        <v>20798</v>
      </c>
      <c r="J4462" t="s">
        <v>20799</v>
      </c>
      <c r="K4462" t="s">
        <v>15550</v>
      </c>
      <c r="L4462" t="s">
        <v>15551</v>
      </c>
    </row>
    <row r="4463" spans="1:19" x14ac:dyDescent="0.35">
      <c r="A4463">
        <v>8449</v>
      </c>
      <c r="B4463" t="s">
        <v>551</v>
      </c>
      <c r="C4463" t="s">
        <v>42</v>
      </c>
      <c r="D4463" t="s">
        <v>20744</v>
      </c>
      <c r="E4463" t="e" cm="1">
        <f t="array" ref="E4463">- POVIDONE-IODINE</f>
        <v>#NAME?</v>
      </c>
      <c r="F4463" s="1">
        <v>25100</v>
      </c>
      <c r="I4463" t="s">
        <v>20745</v>
      </c>
      <c r="J4463" t="s">
        <v>8147</v>
      </c>
      <c r="M4463" t="s">
        <v>554</v>
      </c>
      <c r="N4463" t="s">
        <v>555</v>
      </c>
      <c r="O4463" t="s">
        <v>20746</v>
      </c>
      <c r="P4463" t="s">
        <v>20747</v>
      </c>
      <c r="Q4463" t="s">
        <v>20748</v>
      </c>
      <c r="R4463">
        <v>13</v>
      </c>
      <c r="S4463">
        <v>16</v>
      </c>
    </row>
    <row r="4464" spans="1:19" x14ac:dyDescent="0.35">
      <c r="A4464">
        <v>1222</v>
      </c>
      <c r="B4464" t="s">
        <v>20800</v>
      </c>
      <c r="C4464" t="s">
        <v>42</v>
      </c>
      <c r="D4464" t="s">
        <v>20801</v>
      </c>
      <c r="E4464" t="e" cm="1">
        <f t="array" ref="E4464">- PSEUDOEPHEDRINE HYDROCHLORIDE</f>
        <v>#NAME?</v>
      </c>
      <c r="F4464" s="1">
        <v>17800</v>
      </c>
      <c r="G4464" t="s">
        <v>60</v>
      </c>
      <c r="H4464" t="s">
        <v>20802</v>
      </c>
    </row>
    <row r="4465" spans="1:19" x14ac:dyDescent="0.35">
      <c r="A4465">
        <v>2208</v>
      </c>
      <c r="B4465" t="s">
        <v>8948</v>
      </c>
      <c r="C4465" t="s">
        <v>20</v>
      </c>
      <c r="D4465" t="s">
        <v>8949</v>
      </c>
      <c r="E4465" t="s">
        <v>20803</v>
      </c>
      <c r="F4465" s="1">
        <v>5100</v>
      </c>
      <c r="G4465" t="s">
        <v>5866</v>
      </c>
      <c r="H4465" t="s">
        <v>8951</v>
      </c>
      <c r="I4465" t="s">
        <v>8952</v>
      </c>
      <c r="J4465" t="s">
        <v>8953</v>
      </c>
      <c r="M4465" t="s">
        <v>46</v>
      </c>
      <c r="N4465" t="s">
        <v>20804</v>
      </c>
      <c r="O4465" t="s">
        <v>8955</v>
      </c>
      <c r="P4465" t="s">
        <v>8954</v>
      </c>
      <c r="Q4465" t="s">
        <v>20805</v>
      </c>
      <c r="R4465">
        <v>13</v>
      </c>
      <c r="S4465">
        <v>16</v>
      </c>
    </row>
    <row r="4466" spans="1:19" x14ac:dyDescent="0.35">
      <c r="A4466">
        <v>1727</v>
      </c>
      <c r="B4466" t="s">
        <v>20806</v>
      </c>
      <c r="C4466" t="s">
        <v>42</v>
      </c>
      <c r="D4466" t="s">
        <v>20807</v>
      </c>
      <c r="E4466" t="e" cm="1">
        <f t="array" ref="E4466">- TRIAMCINOLONE ACETONIDE</f>
        <v>#NAME?</v>
      </c>
      <c r="F4466" s="1">
        <v>337100</v>
      </c>
      <c r="G4466" t="s">
        <v>20808</v>
      </c>
      <c r="H4466" t="s">
        <v>20809</v>
      </c>
      <c r="I4466" t="s">
        <v>20810</v>
      </c>
      <c r="J4466" t="s">
        <v>20811</v>
      </c>
      <c r="K4466" t="s">
        <v>2858</v>
      </c>
      <c r="L4466" t="s">
        <v>20812</v>
      </c>
      <c r="M4466" t="s">
        <v>3453</v>
      </c>
      <c r="N4466" t="s">
        <v>11859</v>
      </c>
      <c r="O4466" t="s">
        <v>20813</v>
      </c>
      <c r="P4466" t="s">
        <v>20814</v>
      </c>
      <c r="Q4466" t="s">
        <v>20815</v>
      </c>
      <c r="R4466">
        <v>13</v>
      </c>
      <c r="S4466">
        <v>16</v>
      </c>
    </row>
    <row r="4467" spans="1:19" x14ac:dyDescent="0.35">
      <c r="A4467">
        <v>4034</v>
      </c>
      <c r="B4467" t="s">
        <v>20816</v>
      </c>
      <c r="C4467" t="s">
        <v>42</v>
      </c>
      <c r="D4467" t="s">
        <v>20817</v>
      </c>
      <c r="E4467" t="e" cm="1">
        <f t="array" ref="E4467">- BISACODYL</f>
        <v>#NAME?</v>
      </c>
      <c r="F4467" t="s">
        <v>20818</v>
      </c>
      <c r="G4467" t="s">
        <v>20819</v>
      </c>
      <c r="H4467" t="s">
        <v>20820</v>
      </c>
      <c r="I4467" t="s">
        <v>20821</v>
      </c>
      <c r="J4467" t="s">
        <v>20822</v>
      </c>
      <c r="K4467" t="s">
        <v>3473</v>
      </c>
      <c r="L4467" t="s">
        <v>20823</v>
      </c>
      <c r="M4467" t="s">
        <v>720</v>
      </c>
      <c r="N4467" t="s">
        <v>20824</v>
      </c>
      <c r="O4467" t="s">
        <v>20825</v>
      </c>
      <c r="P4467" t="s">
        <v>20826</v>
      </c>
      <c r="Q4467" t="s">
        <v>20827</v>
      </c>
      <c r="R4467">
        <v>13</v>
      </c>
      <c r="S4467">
        <v>16</v>
      </c>
    </row>
    <row r="4468" spans="1:19" x14ac:dyDescent="0.35">
      <c r="A4468">
        <v>9956</v>
      </c>
      <c r="B4468" t="s">
        <v>20828</v>
      </c>
      <c r="C4468" t="s">
        <v>42</v>
      </c>
      <c r="D4468" t="s">
        <v>20829</v>
      </c>
      <c r="E4468" t="e" cm="1">
        <f t="array" ref="E4468">- DILTIAZEM HYDROCHLORIDE</f>
        <v>#NAME?</v>
      </c>
      <c r="F4468" t="s">
        <v>20830</v>
      </c>
      <c r="G4468" t="s">
        <v>20831</v>
      </c>
      <c r="H4468" t="s">
        <v>20832</v>
      </c>
      <c r="I4468" t="s">
        <v>20833</v>
      </c>
      <c r="J4468" t="s">
        <v>381</v>
      </c>
      <c r="K4468" t="s">
        <v>20834</v>
      </c>
      <c r="L4468" t="s">
        <v>20835</v>
      </c>
      <c r="M4468" t="s">
        <v>46</v>
      </c>
      <c r="N4468" t="s">
        <v>2457</v>
      </c>
      <c r="O4468" t="s">
        <v>20836</v>
      </c>
      <c r="P4468" t="s">
        <v>20837</v>
      </c>
      <c r="Q4468" t="s">
        <v>20838</v>
      </c>
      <c r="R4468">
        <v>13</v>
      </c>
      <c r="S4468">
        <v>16</v>
      </c>
    </row>
    <row r="4469" spans="1:19" x14ac:dyDescent="0.35">
      <c r="A4469">
        <v>1846</v>
      </c>
      <c r="B4469" t="s">
        <v>20839</v>
      </c>
      <c r="C4469" t="s">
        <v>42</v>
      </c>
      <c r="D4469" t="s">
        <v>20840</v>
      </c>
      <c r="E4469" t="e" cm="1">
        <f t="array" ref="E4469">- ACETYLCYSTEINE</f>
        <v>#NAME?</v>
      </c>
      <c r="F4469" t="s">
        <v>20841</v>
      </c>
      <c r="G4469" t="s">
        <v>17662</v>
      </c>
      <c r="H4469" t="s">
        <v>20842</v>
      </c>
      <c r="I4469" t="s">
        <v>20843</v>
      </c>
      <c r="J4469" t="s">
        <v>17665</v>
      </c>
      <c r="K4469" t="s">
        <v>17458</v>
      </c>
      <c r="L4469" t="s">
        <v>17666</v>
      </c>
      <c r="M4469" t="s">
        <v>17667</v>
      </c>
      <c r="N4469" t="s">
        <v>9045</v>
      </c>
      <c r="O4469" t="s">
        <v>20844</v>
      </c>
      <c r="P4469" t="s">
        <v>20845</v>
      </c>
      <c r="Q4469" t="s">
        <v>20846</v>
      </c>
      <c r="R4469">
        <v>13</v>
      </c>
      <c r="S4469">
        <v>16</v>
      </c>
    </row>
    <row r="4470" spans="1:19" x14ac:dyDescent="0.35">
      <c r="A4470">
        <v>4022</v>
      </c>
      <c r="B4470" t="s">
        <v>20847</v>
      </c>
      <c r="C4470" t="s">
        <v>42</v>
      </c>
      <c r="D4470" t="s">
        <v>20848</v>
      </c>
      <c r="E4470" t="e" cm="1">
        <f t="array" ref="E4470">- DOCUSATE SODIUM</f>
        <v>#NAME?</v>
      </c>
      <c r="F4470" t="s">
        <v>20849</v>
      </c>
      <c r="G4470" t="s">
        <v>4649</v>
      </c>
      <c r="H4470" t="s">
        <v>20850</v>
      </c>
      <c r="I4470" t="s">
        <v>20851</v>
      </c>
      <c r="J4470" t="s">
        <v>20852</v>
      </c>
      <c r="K4470" t="s">
        <v>20853</v>
      </c>
      <c r="L4470" t="s">
        <v>20854</v>
      </c>
      <c r="M4470" t="s">
        <v>46</v>
      </c>
      <c r="N4470" t="s">
        <v>9331</v>
      </c>
      <c r="O4470" t="s">
        <v>20855</v>
      </c>
      <c r="P4470" t="s">
        <v>20856</v>
      </c>
      <c r="Q4470" t="s">
        <v>20857</v>
      </c>
      <c r="R4470">
        <v>13</v>
      </c>
      <c r="S4470">
        <v>16</v>
      </c>
    </row>
    <row r="4471" spans="1:19" x14ac:dyDescent="0.35">
      <c r="A4471">
        <v>4021</v>
      </c>
      <c r="B4471" t="s">
        <v>20847</v>
      </c>
      <c r="C4471" t="s">
        <v>42</v>
      </c>
      <c r="D4471" t="s">
        <v>20848</v>
      </c>
      <c r="E4471" t="e" cm="1">
        <f t="array" ref="E4471">- DOCUSATE SODIUM</f>
        <v>#NAME?</v>
      </c>
      <c r="F4471" t="s">
        <v>20849</v>
      </c>
      <c r="G4471" t="s">
        <v>4649</v>
      </c>
      <c r="H4471" t="s">
        <v>20850</v>
      </c>
      <c r="I4471" t="s">
        <v>20851</v>
      </c>
      <c r="J4471" t="s">
        <v>20852</v>
      </c>
      <c r="K4471" t="s">
        <v>20853</v>
      </c>
      <c r="L4471" t="s">
        <v>20854</v>
      </c>
      <c r="M4471" t="s">
        <v>46</v>
      </c>
      <c r="N4471" t="s">
        <v>9331</v>
      </c>
      <c r="O4471" t="s">
        <v>20855</v>
      </c>
      <c r="P4471" t="s">
        <v>20856</v>
      </c>
      <c r="Q4471" t="s">
        <v>20857</v>
      </c>
      <c r="R4471">
        <v>13</v>
      </c>
      <c r="S4471">
        <v>16</v>
      </c>
    </row>
    <row r="4472" spans="1:19" x14ac:dyDescent="0.35">
      <c r="A4472">
        <v>8080</v>
      </c>
      <c r="B4472" t="s">
        <v>551</v>
      </c>
      <c r="C4472" t="s">
        <v>42</v>
      </c>
      <c r="D4472" t="s">
        <v>20858</v>
      </c>
      <c r="E4472" t="e" cm="1">
        <f t="array" ref="E4472">- POVIDONE-IODINE</f>
        <v>#NAME?</v>
      </c>
      <c r="F4472" t="s">
        <v>20859</v>
      </c>
      <c r="G4472" t="s">
        <v>9438</v>
      </c>
      <c r="I4472" t="s">
        <v>20860</v>
      </c>
      <c r="J4472" t="s">
        <v>20861</v>
      </c>
      <c r="M4472" t="s">
        <v>554</v>
      </c>
      <c r="N4472" t="s">
        <v>555</v>
      </c>
      <c r="O4472" t="s">
        <v>20862</v>
      </c>
      <c r="P4472" t="s">
        <v>20863</v>
      </c>
      <c r="Q4472" t="s">
        <v>20864</v>
      </c>
      <c r="R4472">
        <v>13</v>
      </c>
      <c r="S4472">
        <v>16</v>
      </c>
    </row>
    <row r="4473" spans="1:19" x14ac:dyDescent="0.35">
      <c r="A4473">
        <v>8081</v>
      </c>
      <c r="B4473" t="s">
        <v>551</v>
      </c>
      <c r="C4473" t="s">
        <v>42</v>
      </c>
      <c r="D4473" t="s">
        <v>20858</v>
      </c>
      <c r="E4473" t="e" cm="1">
        <f t="array" ref="E4473">- POVIDONE-IODINE</f>
        <v>#NAME?</v>
      </c>
      <c r="F4473" t="s">
        <v>20859</v>
      </c>
      <c r="G4473" t="s">
        <v>9438</v>
      </c>
      <c r="I4473" t="s">
        <v>20860</v>
      </c>
      <c r="J4473" t="s">
        <v>20861</v>
      </c>
      <c r="M4473" t="s">
        <v>554</v>
      </c>
      <c r="N4473" t="s">
        <v>555</v>
      </c>
      <c r="O4473" t="s">
        <v>20862</v>
      </c>
      <c r="P4473" t="s">
        <v>20863</v>
      </c>
      <c r="Q4473" t="s">
        <v>20864</v>
      </c>
      <c r="R4473">
        <v>13</v>
      </c>
      <c r="S4473">
        <v>16</v>
      </c>
    </row>
    <row r="4474" spans="1:19" x14ac:dyDescent="0.35">
      <c r="A4474">
        <v>4006</v>
      </c>
      <c r="B4474" t="s">
        <v>20865</v>
      </c>
      <c r="C4474" t="s">
        <v>42</v>
      </c>
      <c r="D4474" t="s">
        <v>20866</v>
      </c>
      <c r="E4474" t="e" cm="1">
        <f t="array" ref="E4474">- DISODIUM PHOSPHATE DODECAHYDRATE</f>
        <v>#NAME?</v>
      </c>
      <c r="F4474" s="1">
        <v>103400</v>
      </c>
      <c r="G4474" t="s">
        <v>20867</v>
      </c>
      <c r="H4474" t="s">
        <v>20868</v>
      </c>
      <c r="I4474" t="s">
        <v>20869</v>
      </c>
      <c r="J4474" t="s">
        <v>20870</v>
      </c>
      <c r="K4474" t="s">
        <v>20871</v>
      </c>
    </row>
    <row r="4475" spans="1:19" x14ac:dyDescent="0.35">
      <c r="A4475">
        <v>4001</v>
      </c>
      <c r="B4475" t="s">
        <v>16199</v>
      </c>
      <c r="C4475" t="s">
        <v>42</v>
      </c>
      <c r="D4475" t="s">
        <v>16200</v>
      </c>
      <c r="E4475" t="e" cm="1">
        <f t="array" ref="E4475">- LACTULOSE SOLUTION</f>
        <v>#NAME?</v>
      </c>
      <c r="F4475" s="1">
        <v>117600</v>
      </c>
      <c r="G4475" t="s">
        <v>16201</v>
      </c>
      <c r="H4475" t="s">
        <v>16202</v>
      </c>
      <c r="I4475" t="s">
        <v>16203</v>
      </c>
      <c r="J4475" t="s">
        <v>16204</v>
      </c>
      <c r="K4475" t="s">
        <v>16205</v>
      </c>
      <c r="L4475" t="s">
        <v>16206</v>
      </c>
      <c r="M4475" t="s">
        <v>271</v>
      </c>
      <c r="N4475" t="s">
        <v>3707</v>
      </c>
      <c r="O4475" t="s">
        <v>16207</v>
      </c>
      <c r="P4475" t="s">
        <v>16208</v>
      </c>
      <c r="Q4475" t="s">
        <v>20872</v>
      </c>
      <c r="R4475">
        <v>13</v>
      </c>
      <c r="S4475">
        <v>16</v>
      </c>
    </row>
    <row r="4476" spans="1:19" x14ac:dyDescent="0.35">
      <c r="A4476">
        <v>4035</v>
      </c>
      <c r="B4476" t="s">
        <v>20816</v>
      </c>
      <c r="C4476" t="s">
        <v>42</v>
      </c>
      <c r="D4476" t="s">
        <v>20817</v>
      </c>
      <c r="E4476" t="e" cm="1">
        <f t="array" ref="E4476">- BISACODYL</f>
        <v>#NAME?</v>
      </c>
      <c r="F4476" t="s">
        <v>20818</v>
      </c>
      <c r="G4476" t="s">
        <v>20819</v>
      </c>
      <c r="H4476" t="s">
        <v>20820</v>
      </c>
      <c r="I4476" t="s">
        <v>20821</v>
      </c>
      <c r="J4476" t="s">
        <v>20822</v>
      </c>
      <c r="K4476" t="s">
        <v>3473</v>
      </c>
      <c r="L4476" t="s">
        <v>20823</v>
      </c>
      <c r="M4476" t="s">
        <v>720</v>
      </c>
      <c r="N4476" t="s">
        <v>20824</v>
      </c>
      <c r="O4476" t="s">
        <v>20825</v>
      </c>
      <c r="P4476" t="s">
        <v>20826</v>
      </c>
      <c r="Q4476" t="s">
        <v>20827</v>
      </c>
      <c r="R4476">
        <v>13</v>
      </c>
      <c r="S4476">
        <v>16</v>
      </c>
    </row>
    <row r="4477" spans="1:19" x14ac:dyDescent="0.35">
      <c r="A4477">
        <v>3999</v>
      </c>
      <c r="B4477" t="s">
        <v>16199</v>
      </c>
      <c r="C4477" t="s">
        <v>42</v>
      </c>
      <c r="D4477" t="s">
        <v>16200</v>
      </c>
      <c r="E4477" t="e" cm="1">
        <f t="array" ref="E4477">- LACTULOSE SOLUTION</f>
        <v>#NAME?</v>
      </c>
      <c r="F4477" s="1">
        <v>117600</v>
      </c>
      <c r="G4477" t="s">
        <v>16201</v>
      </c>
      <c r="H4477" t="s">
        <v>16202</v>
      </c>
      <c r="I4477" t="s">
        <v>16203</v>
      </c>
      <c r="J4477" t="s">
        <v>16204</v>
      </c>
      <c r="K4477" t="s">
        <v>16205</v>
      </c>
      <c r="L4477" t="s">
        <v>16206</v>
      </c>
      <c r="M4477" t="s">
        <v>271</v>
      </c>
      <c r="N4477" t="s">
        <v>3707</v>
      </c>
      <c r="O4477" t="s">
        <v>16207</v>
      </c>
      <c r="P4477" t="s">
        <v>16208</v>
      </c>
      <c r="Q4477" t="s">
        <v>20872</v>
      </c>
      <c r="R4477">
        <v>13</v>
      </c>
      <c r="S4477">
        <v>16</v>
      </c>
    </row>
    <row r="4478" spans="1:19" x14ac:dyDescent="0.35">
      <c r="A4478">
        <v>3997</v>
      </c>
      <c r="B4478" t="s">
        <v>16199</v>
      </c>
      <c r="C4478" t="s">
        <v>42</v>
      </c>
      <c r="D4478" t="s">
        <v>16200</v>
      </c>
      <c r="E4478" t="e" cm="1">
        <f t="array" ref="E4478">- LACTULOSE SOLUTION</f>
        <v>#NAME?</v>
      </c>
      <c r="F4478" s="1">
        <v>117600</v>
      </c>
      <c r="G4478" t="s">
        <v>16201</v>
      </c>
      <c r="H4478" t="s">
        <v>16202</v>
      </c>
      <c r="I4478" t="s">
        <v>16203</v>
      </c>
      <c r="J4478" t="s">
        <v>16204</v>
      </c>
      <c r="K4478" t="s">
        <v>16205</v>
      </c>
      <c r="L4478" t="s">
        <v>16206</v>
      </c>
      <c r="M4478" t="s">
        <v>271</v>
      </c>
      <c r="N4478" t="s">
        <v>3707</v>
      </c>
      <c r="O4478" t="s">
        <v>16207</v>
      </c>
      <c r="P4478" t="s">
        <v>16208</v>
      </c>
      <c r="Q4478" t="s">
        <v>20872</v>
      </c>
      <c r="R4478">
        <v>13</v>
      </c>
      <c r="S4478">
        <v>16</v>
      </c>
    </row>
    <row r="4479" spans="1:19" x14ac:dyDescent="0.35">
      <c r="A4479">
        <v>3992</v>
      </c>
      <c r="B4479" t="s">
        <v>20873</v>
      </c>
      <c r="C4479" t="s">
        <v>20</v>
      </c>
      <c r="D4479" t="s">
        <v>20874</v>
      </c>
      <c r="E4479" t="s">
        <v>20875</v>
      </c>
      <c r="F4479" s="1">
        <v>82400</v>
      </c>
      <c r="G4479" t="s">
        <v>20876</v>
      </c>
      <c r="H4479" t="s">
        <v>20877</v>
      </c>
      <c r="I4479" t="s">
        <v>20878</v>
      </c>
      <c r="J4479" t="s">
        <v>20879</v>
      </c>
      <c r="K4479" t="s">
        <v>3952</v>
      </c>
      <c r="M4479" t="s">
        <v>291</v>
      </c>
      <c r="N4479" t="s">
        <v>20880</v>
      </c>
      <c r="O4479" t="s">
        <v>20881</v>
      </c>
      <c r="P4479" t="s">
        <v>20880</v>
      </c>
      <c r="Q4479" t="s">
        <v>20882</v>
      </c>
      <c r="R4479">
        <v>13</v>
      </c>
      <c r="S4479">
        <v>16</v>
      </c>
    </row>
    <row r="4480" spans="1:19" x14ac:dyDescent="0.35">
      <c r="A4480">
        <v>1207</v>
      </c>
      <c r="B4480" t="s">
        <v>5286</v>
      </c>
      <c r="C4480" t="s">
        <v>42</v>
      </c>
      <c r="D4480" t="s">
        <v>5287</v>
      </c>
      <c r="E4480" t="e" cm="1">
        <f t="array" ref="E4480">- PARACETAMOL. DEXTROMETHORPHAN HYDROBROMIDE. GUAIFENESIN. CHLORPHENAMINE MALEATE. PHENYLPROPANOLAMINE HYDROCHLORIDE</f>
        <v>#NAME?</v>
      </c>
      <c r="F4480" t="s">
        <v>5288</v>
      </c>
      <c r="I4480" t="s">
        <v>4974</v>
      </c>
      <c r="J4480" t="s">
        <v>727</v>
      </c>
      <c r="M4480" t="s">
        <v>291</v>
      </c>
      <c r="N4480" t="s">
        <v>20883</v>
      </c>
      <c r="O4480" t="s">
        <v>4977</v>
      </c>
      <c r="P4480" t="s">
        <v>5289</v>
      </c>
      <c r="Q4480" t="s">
        <v>20884</v>
      </c>
      <c r="R4480">
        <v>13</v>
      </c>
      <c r="S4480">
        <v>16</v>
      </c>
    </row>
    <row r="4481" spans="1:19" x14ac:dyDescent="0.35">
      <c r="A4481">
        <v>9930</v>
      </c>
      <c r="B4481" t="s">
        <v>20885</v>
      </c>
      <c r="C4481" t="s">
        <v>42</v>
      </c>
      <c r="D4481" t="s">
        <v>20886</v>
      </c>
      <c r="E4481" t="e" cm="1">
        <f t="array" ref="E4481">- ISOSORBIDE DINITRATE</f>
        <v>#NAME?</v>
      </c>
      <c r="F4481" t="s">
        <v>20887</v>
      </c>
      <c r="G4481" t="s">
        <v>20888</v>
      </c>
      <c r="H4481" t="s">
        <v>20889</v>
      </c>
      <c r="I4481" t="s">
        <v>20890</v>
      </c>
      <c r="J4481" t="s">
        <v>5934</v>
      </c>
      <c r="K4481" t="s">
        <v>20891</v>
      </c>
      <c r="L4481" t="s">
        <v>20892</v>
      </c>
      <c r="M4481" t="s">
        <v>46</v>
      </c>
      <c r="N4481" t="s">
        <v>6733</v>
      </c>
      <c r="O4481" t="s">
        <v>20893</v>
      </c>
      <c r="P4481" t="s">
        <v>20894</v>
      </c>
      <c r="Q4481" t="s">
        <v>20895</v>
      </c>
      <c r="R4481">
        <v>13</v>
      </c>
      <c r="S4481">
        <v>16</v>
      </c>
    </row>
    <row r="4482" spans="1:19" x14ac:dyDescent="0.35">
      <c r="A4482">
        <v>9917</v>
      </c>
      <c r="B4482" t="s">
        <v>20896</v>
      </c>
      <c r="C4482" t="s">
        <v>42</v>
      </c>
      <c r="D4482" t="s">
        <v>20897</v>
      </c>
      <c r="E4482" t="e" cm="1">
        <f t="array" ref="E4482">- CILOSTAZOL</f>
        <v>#NAME?</v>
      </c>
      <c r="F4482" t="s">
        <v>20898</v>
      </c>
      <c r="G4482" t="s">
        <v>20899</v>
      </c>
      <c r="H4482" t="s">
        <v>20900</v>
      </c>
      <c r="I4482" t="s">
        <v>20901</v>
      </c>
      <c r="J4482" t="s">
        <v>599</v>
      </c>
      <c r="K4482" t="s">
        <v>20902</v>
      </c>
      <c r="L4482" t="s">
        <v>20903</v>
      </c>
      <c r="M4482" t="s">
        <v>46</v>
      </c>
      <c r="N4482" t="s">
        <v>20904</v>
      </c>
      <c r="O4482" t="s">
        <v>20905</v>
      </c>
      <c r="P4482" t="s">
        <v>20906</v>
      </c>
      <c r="Q4482" t="s">
        <v>20907</v>
      </c>
      <c r="R4482">
        <v>13</v>
      </c>
      <c r="S4482">
        <v>16</v>
      </c>
    </row>
    <row r="4483" spans="1:19" x14ac:dyDescent="0.35">
      <c r="A4483">
        <v>9916</v>
      </c>
      <c r="B4483" t="s">
        <v>20896</v>
      </c>
      <c r="C4483" t="s">
        <v>42</v>
      </c>
      <c r="D4483" t="s">
        <v>20897</v>
      </c>
      <c r="E4483" t="e" cm="1">
        <f t="array" ref="E4483">- CILOSTAZOL</f>
        <v>#NAME?</v>
      </c>
      <c r="F4483" t="s">
        <v>20898</v>
      </c>
      <c r="G4483" t="s">
        <v>20899</v>
      </c>
      <c r="H4483" t="s">
        <v>20900</v>
      </c>
      <c r="I4483" t="s">
        <v>20901</v>
      </c>
      <c r="J4483" t="s">
        <v>599</v>
      </c>
      <c r="K4483" t="s">
        <v>20902</v>
      </c>
      <c r="L4483" t="s">
        <v>20903</v>
      </c>
      <c r="M4483" t="s">
        <v>46</v>
      </c>
      <c r="N4483" t="s">
        <v>20904</v>
      </c>
      <c r="O4483" t="s">
        <v>20905</v>
      </c>
      <c r="P4483" t="s">
        <v>20906</v>
      </c>
      <c r="Q4483" t="s">
        <v>20907</v>
      </c>
      <c r="R4483">
        <v>13</v>
      </c>
      <c r="S4483">
        <v>16</v>
      </c>
    </row>
    <row r="4484" spans="1:19" x14ac:dyDescent="0.35">
      <c r="A4484">
        <v>4207</v>
      </c>
      <c r="B4484" t="s">
        <v>20908</v>
      </c>
      <c r="C4484" t="s">
        <v>42</v>
      </c>
      <c r="D4484" t="s">
        <v>20909</v>
      </c>
      <c r="E4484" t="e" cm="1">
        <f t="array" ref="E4484">- CETIRIZINE HYDROCHLORIDE</f>
        <v>#NAME?</v>
      </c>
      <c r="F4484" s="1">
        <v>51200</v>
      </c>
      <c r="G4484" t="s">
        <v>60</v>
      </c>
      <c r="H4484" t="s">
        <v>1498</v>
      </c>
      <c r="I4484" t="s">
        <v>20910</v>
      </c>
      <c r="J4484" t="s">
        <v>5934</v>
      </c>
      <c r="K4484" t="s">
        <v>2858</v>
      </c>
      <c r="L4484" t="s">
        <v>20911</v>
      </c>
      <c r="M4484" t="s">
        <v>46</v>
      </c>
      <c r="N4484" t="s">
        <v>1390</v>
      </c>
      <c r="O4484" t="s">
        <v>18666</v>
      </c>
      <c r="P4484" t="s">
        <v>20912</v>
      </c>
      <c r="Q4484" t="s">
        <v>20913</v>
      </c>
      <c r="R4484">
        <v>13</v>
      </c>
      <c r="S4484">
        <v>16</v>
      </c>
    </row>
    <row r="4485" spans="1:19" x14ac:dyDescent="0.35">
      <c r="A4485">
        <v>4208</v>
      </c>
      <c r="B4485" t="s">
        <v>20908</v>
      </c>
      <c r="C4485" t="s">
        <v>42</v>
      </c>
      <c r="D4485" t="s">
        <v>20909</v>
      </c>
      <c r="E4485" t="e" cm="1">
        <f t="array" ref="E4485">- CETIRIZINE HYDROCHLORIDE</f>
        <v>#NAME?</v>
      </c>
      <c r="F4485" s="1">
        <v>51200</v>
      </c>
      <c r="G4485" t="s">
        <v>60</v>
      </c>
      <c r="H4485" t="s">
        <v>1498</v>
      </c>
      <c r="I4485" t="s">
        <v>20910</v>
      </c>
      <c r="J4485" t="s">
        <v>5934</v>
      </c>
      <c r="K4485" t="s">
        <v>2858</v>
      </c>
      <c r="L4485" t="s">
        <v>20911</v>
      </c>
      <c r="M4485" t="s">
        <v>46</v>
      </c>
      <c r="N4485" t="s">
        <v>1390</v>
      </c>
      <c r="O4485" t="s">
        <v>18666</v>
      </c>
      <c r="P4485" t="s">
        <v>20912</v>
      </c>
      <c r="Q4485" t="s">
        <v>20913</v>
      </c>
      <c r="R4485">
        <v>13</v>
      </c>
      <c r="S4485">
        <v>16</v>
      </c>
    </row>
    <row r="4486" spans="1:19" x14ac:dyDescent="0.35">
      <c r="A4486">
        <v>3968</v>
      </c>
      <c r="B4486" t="s">
        <v>20914</v>
      </c>
      <c r="C4486" t="s">
        <v>42</v>
      </c>
      <c r="D4486" t="s">
        <v>20915</v>
      </c>
      <c r="E4486" t="e" cm="1">
        <f t="array" ref="E4486">- BISACODYL</f>
        <v>#NAME?</v>
      </c>
      <c r="F4486" s="1">
        <v>8600</v>
      </c>
      <c r="G4486" t="s">
        <v>20916</v>
      </c>
      <c r="H4486" t="s">
        <v>20917</v>
      </c>
      <c r="I4486" t="s">
        <v>20918</v>
      </c>
      <c r="J4486" t="s">
        <v>20919</v>
      </c>
      <c r="K4486" t="s">
        <v>20920</v>
      </c>
      <c r="L4486" t="s">
        <v>20921</v>
      </c>
      <c r="M4486" t="s">
        <v>46</v>
      </c>
      <c r="N4486" t="s">
        <v>20824</v>
      </c>
      <c r="O4486" t="s">
        <v>20922</v>
      </c>
      <c r="P4486" t="s">
        <v>20923</v>
      </c>
      <c r="Q4486" t="s">
        <v>20924</v>
      </c>
      <c r="R4486">
        <v>13</v>
      </c>
      <c r="S4486">
        <v>16</v>
      </c>
    </row>
    <row r="4487" spans="1:19" x14ac:dyDescent="0.35">
      <c r="A4487">
        <v>3998</v>
      </c>
      <c r="B4487" t="s">
        <v>16199</v>
      </c>
      <c r="C4487" t="s">
        <v>42</v>
      </c>
      <c r="D4487" t="s">
        <v>16200</v>
      </c>
      <c r="E4487" t="e" cm="1">
        <f t="array" ref="E4487">- LACTULOSE SOLUTION</f>
        <v>#NAME?</v>
      </c>
      <c r="F4487" s="1">
        <v>117600</v>
      </c>
      <c r="G4487" t="s">
        <v>16201</v>
      </c>
      <c r="H4487" t="s">
        <v>16202</v>
      </c>
      <c r="I4487" t="s">
        <v>16203</v>
      </c>
      <c r="J4487" t="s">
        <v>16204</v>
      </c>
      <c r="K4487" t="s">
        <v>16205</v>
      </c>
      <c r="L4487" t="s">
        <v>16206</v>
      </c>
      <c r="M4487" t="s">
        <v>271</v>
      </c>
      <c r="N4487" t="s">
        <v>3707</v>
      </c>
      <c r="O4487" t="s">
        <v>16207</v>
      </c>
      <c r="P4487" t="s">
        <v>16208</v>
      </c>
      <c r="Q4487" t="s">
        <v>20872</v>
      </c>
      <c r="R4487">
        <v>13</v>
      </c>
      <c r="S4487">
        <v>16</v>
      </c>
    </row>
    <row r="4488" spans="1:19" x14ac:dyDescent="0.35">
      <c r="A4488">
        <v>4129</v>
      </c>
      <c r="B4488" t="s">
        <v>20925</v>
      </c>
      <c r="C4488" t="s">
        <v>42</v>
      </c>
      <c r="D4488" t="s">
        <v>20926</v>
      </c>
      <c r="E4488" t="e" cm="1">
        <f t="array" ref="E4488">- CYPROHEPTADINE HYDROCHLORIDE</f>
        <v>#NAME?</v>
      </c>
      <c r="F4488" t="s">
        <v>20927</v>
      </c>
      <c r="G4488" t="s">
        <v>20928</v>
      </c>
      <c r="H4488" t="s">
        <v>20929</v>
      </c>
      <c r="I4488" t="s">
        <v>20930</v>
      </c>
      <c r="J4488" t="s">
        <v>1093</v>
      </c>
      <c r="K4488" t="s">
        <v>20931</v>
      </c>
      <c r="L4488" t="s">
        <v>20932</v>
      </c>
      <c r="M4488" t="s">
        <v>46</v>
      </c>
      <c r="N4488" t="s">
        <v>1634</v>
      </c>
      <c r="O4488" t="s">
        <v>20933</v>
      </c>
      <c r="P4488" t="s">
        <v>20934</v>
      </c>
      <c r="Q4488" t="s">
        <v>20935</v>
      </c>
      <c r="R4488">
        <v>13</v>
      </c>
      <c r="S4488">
        <v>16</v>
      </c>
    </row>
    <row r="4489" spans="1:19" x14ac:dyDescent="0.35">
      <c r="A4489">
        <v>1728</v>
      </c>
      <c r="B4489" t="s">
        <v>20806</v>
      </c>
      <c r="C4489" t="s">
        <v>42</v>
      </c>
      <c r="D4489" t="s">
        <v>20807</v>
      </c>
      <c r="E4489" t="e" cm="1">
        <f t="array" ref="E4489">- TRIAMCINOLONE ACETONIDE</f>
        <v>#NAME?</v>
      </c>
      <c r="F4489" s="1">
        <v>337100</v>
      </c>
      <c r="G4489" t="s">
        <v>20808</v>
      </c>
      <c r="H4489" t="s">
        <v>20809</v>
      </c>
      <c r="I4489" t="s">
        <v>20810</v>
      </c>
      <c r="J4489" t="s">
        <v>20811</v>
      </c>
      <c r="K4489" t="s">
        <v>2858</v>
      </c>
      <c r="L4489" t="s">
        <v>20812</v>
      </c>
      <c r="M4489" t="s">
        <v>3453</v>
      </c>
      <c r="N4489" t="s">
        <v>11859</v>
      </c>
      <c r="O4489" t="s">
        <v>20813</v>
      </c>
      <c r="P4489" t="s">
        <v>20814</v>
      </c>
      <c r="Q4489" t="s">
        <v>20815</v>
      </c>
      <c r="R4489">
        <v>13</v>
      </c>
      <c r="S4489">
        <v>16</v>
      </c>
    </row>
    <row r="4490" spans="1:19" x14ac:dyDescent="0.35">
      <c r="A4490">
        <v>1729</v>
      </c>
      <c r="B4490" t="s">
        <v>20806</v>
      </c>
      <c r="C4490" t="s">
        <v>42</v>
      </c>
      <c r="D4490" t="s">
        <v>20807</v>
      </c>
      <c r="E4490" t="e" cm="1">
        <f t="array" ref="E4490">- TRIAMCINOLONE ACETONIDE</f>
        <v>#NAME?</v>
      </c>
      <c r="F4490" t="s">
        <v>20936</v>
      </c>
      <c r="G4490" t="s">
        <v>20808</v>
      </c>
      <c r="H4490" t="s">
        <v>20809</v>
      </c>
      <c r="I4490" t="s">
        <v>20810</v>
      </c>
      <c r="J4490" t="s">
        <v>20811</v>
      </c>
      <c r="K4490" t="s">
        <v>2858</v>
      </c>
      <c r="L4490" t="s">
        <v>20812</v>
      </c>
      <c r="M4490" t="s">
        <v>3453</v>
      </c>
      <c r="N4490" t="s">
        <v>11859</v>
      </c>
      <c r="O4490" t="s">
        <v>20813</v>
      </c>
      <c r="P4490" t="s">
        <v>20814</v>
      </c>
      <c r="Q4490" t="s">
        <v>20815</v>
      </c>
      <c r="R4490">
        <v>13</v>
      </c>
      <c r="S4490">
        <v>16</v>
      </c>
    </row>
    <row r="4491" spans="1:19" x14ac:dyDescent="0.35">
      <c r="A4491">
        <v>4131</v>
      </c>
      <c r="B4491" t="s">
        <v>20925</v>
      </c>
      <c r="C4491" t="s">
        <v>42</v>
      </c>
      <c r="D4491" t="s">
        <v>20926</v>
      </c>
      <c r="E4491" t="e" cm="1">
        <f t="array" ref="E4491">- CYPROHEPTADINE HYDROCHLORIDE</f>
        <v>#NAME?</v>
      </c>
      <c r="F4491" t="s">
        <v>20927</v>
      </c>
      <c r="G4491" t="s">
        <v>20928</v>
      </c>
      <c r="H4491" t="s">
        <v>20929</v>
      </c>
      <c r="I4491" t="s">
        <v>20930</v>
      </c>
      <c r="J4491" t="s">
        <v>1093</v>
      </c>
      <c r="K4491" t="s">
        <v>20931</v>
      </c>
      <c r="L4491" t="s">
        <v>20932</v>
      </c>
      <c r="M4491" t="s">
        <v>46</v>
      </c>
      <c r="N4491" t="s">
        <v>1634</v>
      </c>
      <c r="O4491" t="s">
        <v>20933</v>
      </c>
      <c r="P4491" t="s">
        <v>20934</v>
      </c>
      <c r="Q4491" t="s">
        <v>20935</v>
      </c>
      <c r="R4491">
        <v>13</v>
      </c>
      <c r="S4491">
        <v>16</v>
      </c>
    </row>
    <row r="4492" spans="1:19" x14ac:dyDescent="0.35">
      <c r="A4492">
        <v>10019</v>
      </c>
      <c r="B4492" t="s">
        <v>20937</v>
      </c>
      <c r="C4492" t="s">
        <v>42</v>
      </c>
      <c r="D4492" t="s">
        <v>20938</v>
      </c>
      <c r="E4492" t="e" cm="1">
        <f t="array" ref="E4492">- ACETYLSALICYLIC ACID</f>
        <v>#NAME?</v>
      </c>
      <c r="F4492" t="s">
        <v>20939</v>
      </c>
      <c r="G4492" t="s">
        <v>20940</v>
      </c>
      <c r="H4492" t="s">
        <v>20941</v>
      </c>
      <c r="I4492" t="s">
        <v>20942</v>
      </c>
      <c r="J4492" t="s">
        <v>20943</v>
      </c>
      <c r="K4492" t="s">
        <v>20944</v>
      </c>
      <c r="L4492" t="s">
        <v>20945</v>
      </c>
      <c r="M4492" t="s">
        <v>46</v>
      </c>
      <c r="N4492" t="s">
        <v>2579</v>
      </c>
      <c r="O4492" t="s">
        <v>20946</v>
      </c>
      <c r="P4492" t="s">
        <v>20947</v>
      </c>
      <c r="Q4492" t="s">
        <v>20948</v>
      </c>
      <c r="R4492">
        <v>13</v>
      </c>
      <c r="S4492">
        <v>16</v>
      </c>
    </row>
    <row r="4493" spans="1:19" x14ac:dyDescent="0.35">
      <c r="A4493">
        <v>4127</v>
      </c>
      <c r="B4493" t="s">
        <v>11174</v>
      </c>
      <c r="C4493" t="s">
        <v>42</v>
      </c>
      <c r="D4493" t="s">
        <v>11175</v>
      </c>
      <c r="E4493" t="e" cm="1">
        <f t="array" ref="E4493">- DEXAMETHASONE SODIUM PHOSPHATE. DEXCHLORPHENIRAMINE MALEATE</f>
        <v>#NAME?</v>
      </c>
      <c r="F4493" t="s">
        <v>11176</v>
      </c>
      <c r="G4493" t="s">
        <v>11177</v>
      </c>
      <c r="H4493" t="s">
        <v>11178</v>
      </c>
      <c r="I4493" t="s">
        <v>11179</v>
      </c>
      <c r="J4493" t="s">
        <v>334</v>
      </c>
      <c r="K4493" t="s">
        <v>11180</v>
      </c>
      <c r="L4493" t="s">
        <v>11181</v>
      </c>
      <c r="M4493" t="s">
        <v>271</v>
      </c>
      <c r="N4493" t="s">
        <v>20949</v>
      </c>
      <c r="O4493" t="s">
        <v>11182</v>
      </c>
      <c r="P4493" t="s">
        <v>11183</v>
      </c>
      <c r="Q4493" t="s">
        <v>20950</v>
      </c>
      <c r="R4493">
        <v>13</v>
      </c>
      <c r="S4493">
        <v>16</v>
      </c>
    </row>
    <row r="4494" spans="1:19" x14ac:dyDescent="0.35">
      <c r="A4494">
        <v>4121</v>
      </c>
      <c r="B4494" t="s">
        <v>20951</v>
      </c>
      <c r="C4494" t="s">
        <v>42</v>
      </c>
      <c r="D4494" t="s">
        <v>20952</v>
      </c>
      <c r="E4494" t="e" cm="1">
        <f t="array" ref="E4494">- CETIRIZINE HYDROCHLORIDE</f>
        <v>#NAME?</v>
      </c>
      <c r="F4494" t="s">
        <v>20953</v>
      </c>
      <c r="G4494" t="s">
        <v>7219</v>
      </c>
      <c r="H4494" t="s">
        <v>1498</v>
      </c>
      <c r="I4494" t="s">
        <v>18665</v>
      </c>
      <c r="J4494" t="s">
        <v>20954</v>
      </c>
      <c r="K4494" t="s">
        <v>20955</v>
      </c>
      <c r="L4494" t="s">
        <v>20956</v>
      </c>
      <c r="M4494" t="s">
        <v>46</v>
      </c>
      <c r="N4494" t="s">
        <v>1390</v>
      </c>
      <c r="O4494" t="s">
        <v>18666</v>
      </c>
      <c r="P4494" t="s">
        <v>20957</v>
      </c>
      <c r="Q4494" t="s">
        <v>20958</v>
      </c>
      <c r="R4494">
        <v>13</v>
      </c>
      <c r="S4494">
        <v>16</v>
      </c>
    </row>
    <row r="4495" spans="1:19" x14ac:dyDescent="0.35">
      <c r="A4495">
        <v>4102</v>
      </c>
      <c r="B4495" t="s">
        <v>20959</v>
      </c>
      <c r="C4495" t="s">
        <v>42</v>
      </c>
      <c r="D4495" t="s">
        <v>20960</v>
      </c>
      <c r="E4495" t="e" cm="1">
        <f t="array" ref="E4495">- CETIRIZINE HYDROCHLORIDE</f>
        <v>#NAME?</v>
      </c>
      <c r="F4495" t="s">
        <v>20961</v>
      </c>
      <c r="G4495" t="s">
        <v>60</v>
      </c>
      <c r="H4495" t="s">
        <v>1498</v>
      </c>
      <c r="I4495" t="s">
        <v>18665</v>
      </c>
      <c r="J4495" t="s">
        <v>2100</v>
      </c>
      <c r="K4495" t="s">
        <v>20962</v>
      </c>
      <c r="L4495" t="s">
        <v>20963</v>
      </c>
      <c r="M4495" t="s">
        <v>46</v>
      </c>
      <c r="N4495" t="s">
        <v>1390</v>
      </c>
      <c r="O4495" t="s">
        <v>18666</v>
      </c>
      <c r="P4495" t="s">
        <v>20964</v>
      </c>
      <c r="Q4495" t="s">
        <v>20965</v>
      </c>
      <c r="R4495">
        <v>13</v>
      </c>
      <c r="S4495">
        <v>16</v>
      </c>
    </row>
    <row r="4496" spans="1:19" x14ac:dyDescent="0.35">
      <c r="A4496">
        <v>4099</v>
      </c>
      <c r="B4496" t="s">
        <v>20966</v>
      </c>
      <c r="C4496" t="s">
        <v>42</v>
      </c>
      <c r="D4496" t="s">
        <v>20967</v>
      </c>
      <c r="E4496" t="e" cm="1">
        <f t="array" ref="E4496">- CETIRIZINE HYDROCHLORIDE</f>
        <v>#NAME?</v>
      </c>
      <c r="F4496" s="1">
        <v>98700</v>
      </c>
      <c r="G4496" t="s">
        <v>5033</v>
      </c>
      <c r="H4496" t="s">
        <v>20968</v>
      </c>
      <c r="I4496" t="s">
        <v>20969</v>
      </c>
      <c r="J4496" t="s">
        <v>334</v>
      </c>
      <c r="K4496" t="s">
        <v>20970</v>
      </c>
      <c r="L4496" t="s">
        <v>20971</v>
      </c>
      <c r="M4496" t="s">
        <v>271</v>
      </c>
      <c r="N4496" t="s">
        <v>1390</v>
      </c>
      <c r="O4496" t="s">
        <v>20972</v>
      </c>
      <c r="P4496" t="s">
        <v>16472</v>
      </c>
      <c r="Q4496" t="s">
        <v>20973</v>
      </c>
      <c r="R4496">
        <v>13</v>
      </c>
      <c r="S4496">
        <v>16</v>
      </c>
    </row>
    <row r="4497" spans="1:19" x14ac:dyDescent="0.35">
      <c r="A4497">
        <v>4135</v>
      </c>
      <c r="B4497" t="s">
        <v>20974</v>
      </c>
      <c r="C4497" t="s">
        <v>42</v>
      </c>
      <c r="D4497" t="s">
        <v>20975</v>
      </c>
      <c r="E4497" t="e" cm="1">
        <f t="array" ref="E4497">- CETIRIZINE HYDROCHLORIDE</f>
        <v>#NAME?</v>
      </c>
      <c r="F4497" t="s">
        <v>20976</v>
      </c>
      <c r="G4497" t="s">
        <v>60</v>
      </c>
      <c r="H4497" t="s">
        <v>1498</v>
      </c>
      <c r="I4497" t="s">
        <v>18665</v>
      </c>
      <c r="J4497" t="s">
        <v>45</v>
      </c>
      <c r="K4497" t="s">
        <v>20977</v>
      </c>
      <c r="L4497" t="s">
        <v>20978</v>
      </c>
      <c r="M4497" t="s">
        <v>46</v>
      </c>
      <c r="N4497" t="s">
        <v>1390</v>
      </c>
      <c r="O4497" t="s">
        <v>18666</v>
      </c>
      <c r="P4497" t="s">
        <v>20979</v>
      </c>
      <c r="Q4497" t="s">
        <v>20980</v>
      </c>
      <c r="R4497">
        <v>13</v>
      </c>
      <c r="S4497">
        <v>16</v>
      </c>
    </row>
    <row r="4498" spans="1:19" x14ac:dyDescent="0.35">
      <c r="A4498">
        <v>4140</v>
      </c>
      <c r="B4498" t="s">
        <v>20981</v>
      </c>
      <c r="C4498" t="s">
        <v>42</v>
      </c>
      <c r="D4498" t="s">
        <v>20982</v>
      </c>
      <c r="E4498" t="e" cm="1">
        <f t="array" ref="E4498">- CETIRIZINE HYDROCHLORIDE</f>
        <v>#NAME?</v>
      </c>
      <c r="F4498" s="1">
        <v>104900</v>
      </c>
      <c r="G4498" t="s">
        <v>60</v>
      </c>
      <c r="H4498" t="s">
        <v>1498</v>
      </c>
      <c r="I4498" t="s">
        <v>18665</v>
      </c>
      <c r="J4498" t="s">
        <v>20983</v>
      </c>
      <c r="K4498" t="s">
        <v>2858</v>
      </c>
      <c r="L4498" t="s">
        <v>20963</v>
      </c>
      <c r="M4498" t="s">
        <v>46</v>
      </c>
      <c r="N4498" t="s">
        <v>1390</v>
      </c>
      <c r="O4498" t="s">
        <v>18666</v>
      </c>
      <c r="P4498" t="s">
        <v>16472</v>
      </c>
      <c r="Q4498" t="s">
        <v>20984</v>
      </c>
      <c r="R4498">
        <v>13</v>
      </c>
      <c r="S4498">
        <v>16</v>
      </c>
    </row>
    <row r="4499" spans="1:19" x14ac:dyDescent="0.35">
      <c r="A4499">
        <v>4158</v>
      </c>
      <c r="B4499" t="s">
        <v>20985</v>
      </c>
      <c r="C4499" t="s">
        <v>42</v>
      </c>
      <c r="D4499" t="s">
        <v>20986</v>
      </c>
      <c r="E4499" t="e" cm="1">
        <f t="array" ref="E4499">- CETIRIZINE HYDROCHLORIDE</f>
        <v>#NAME?</v>
      </c>
      <c r="F4499" t="s">
        <v>20987</v>
      </c>
      <c r="G4499" t="s">
        <v>60</v>
      </c>
      <c r="H4499" t="s">
        <v>1498</v>
      </c>
      <c r="I4499" t="s">
        <v>18665</v>
      </c>
      <c r="J4499" t="s">
        <v>20988</v>
      </c>
      <c r="K4499" t="s">
        <v>20989</v>
      </c>
      <c r="L4499" t="s">
        <v>20963</v>
      </c>
      <c r="M4499" t="s">
        <v>291</v>
      </c>
      <c r="N4499" t="s">
        <v>1390</v>
      </c>
      <c r="O4499" t="s">
        <v>18666</v>
      </c>
      <c r="P4499" t="s">
        <v>20990</v>
      </c>
      <c r="Q4499" t="s">
        <v>20991</v>
      </c>
      <c r="R4499">
        <v>13</v>
      </c>
      <c r="S4499">
        <v>16</v>
      </c>
    </row>
    <row r="4500" spans="1:19" x14ac:dyDescent="0.35">
      <c r="A4500">
        <v>4091</v>
      </c>
      <c r="B4500" t="s">
        <v>20992</v>
      </c>
      <c r="C4500" t="s">
        <v>42</v>
      </c>
      <c r="D4500" t="s">
        <v>20993</v>
      </c>
      <c r="E4500" t="e" cm="1">
        <f t="array" ref="E4500">- CYPROHEPTADINE HYDROCHLORIDE</f>
        <v>#NAME?</v>
      </c>
      <c r="F4500" t="s">
        <v>18724</v>
      </c>
      <c r="G4500" t="s">
        <v>16754</v>
      </c>
      <c r="H4500" t="s">
        <v>16755</v>
      </c>
      <c r="I4500" t="s">
        <v>16756</v>
      </c>
      <c r="J4500" t="s">
        <v>20994</v>
      </c>
      <c r="K4500" t="s">
        <v>16757</v>
      </c>
      <c r="L4500" t="s">
        <v>16758</v>
      </c>
      <c r="M4500" t="s">
        <v>291</v>
      </c>
      <c r="N4500" t="s">
        <v>1634</v>
      </c>
      <c r="O4500" t="s">
        <v>16760</v>
      </c>
      <c r="P4500" t="s">
        <v>20995</v>
      </c>
      <c r="Q4500" t="s">
        <v>20996</v>
      </c>
      <c r="R4500">
        <v>13</v>
      </c>
      <c r="S4500">
        <v>16</v>
      </c>
    </row>
    <row r="4501" spans="1:19" x14ac:dyDescent="0.35">
      <c r="A4501">
        <v>4090</v>
      </c>
      <c r="B4501" t="s">
        <v>20992</v>
      </c>
      <c r="C4501" t="s">
        <v>42</v>
      </c>
      <c r="D4501" t="s">
        <v>20993</v>
      </c>
      <c r="E4501" t="e" cm="1">
        <f t="array" ref="E4501">- CYPROHEPTADINE HYDROCHLORIDE</f>
        <v>#NAME?</v>
      </c>
      <c r="F4501" t="s">
        <v>18724</v>
      </c>
      <c r="G4501" t="s">
        <v>16754</v>
      </c>
      <c r="H4501" t="s">
        <v>16755</v>
      </c>
      <c r="I4501" t="s">
        <v>16756</v>
      </c>
      <c r="J4501" t="s">
        <v>20994</v>
      </c>
      <c r="K4501" t="s">
        <v>16757</v>
      </c>
      <c r="L4501" t="s">
        <v>16758</v>
      </c>
      <c r="M4501" t="s">
        <v>291</v>
      </c>
      <c r="N4501" t="s">
        <v>1634</v>
      </c>
      <c r="O4501" t="s">
        <v>16760</v>
      </c>
      <c r="P4501" t="s">
        <v>20995</v>
      </c>
      <c r="Q4501" t="s">
        <v>20996</v>
      </c>
      <c r="R4501">
        <v>13</v>
      </c>
      <c r="S4501">
        <v>16</v>
      </c>
    </row>
    <row r="4502" spans="1:19" x14ac:dyDescent="0.35">
      <c r="A4502">
        <v>4164</v>
      </c>
      <c r="B4502" t="s">
        <v>20997</v>
      </c>
      <c r="C4502" t="s">
        <v>42</v>
      </c>
      <c r="D4502" t="s">
        <v>20998</v>
      </c>
      <c r="E4502" t="e" cm="1">
        <f t="array" ref="E4502">- CETIRIZINE HYDROCHLORIDE</f>
        <v>#NAME?</v>
      </c>
      <c r="F4502" t="s">
        <v>20999</v>
      </c>
      <c r="I4502" t="s">
        <v>18665</v>
      </c>
      <c r="J4502" t="s">
        <v>21000</v>
      </c>
      <c r="M4502" t="s">
        <v>271</v>
      </c>
      <c r="N4502" t="s">
        <v>1390</v>
      </c>
      <c r="O4502" t="s">
        <v>18666</v>
      </c>
      <c r="P4502" t="s">
        <v>21001</v>
      </c>
      <c r="Q4502" t="s">
        <v>21002</v>
      </c>
      <c r="R4502">
        <v>13</v>
      </c>
      <c r="S4502">
        <v>16</v>
      </c>
    </row>
    <row r="4503" spans="1:19" x14ac:dyDescent="0.35">
      <c r="A4503">
        <v>4089</v>
      </c>
      <c r="B4503" t="s">
        <v>20992</v>
      </c>
      <c r="C4503" t="s">
        <v>42</v>
      </c>
      <c r="D4503" t="s">
        <v>20993</v>
      </c>
      <c r="E4503" t="e" cm="1">
        <f t="array" ref="E4503">- CYPROHEPTADINE HYDROCHLORIDE</f>
        <v>#NAME?</v>
      </c>
      <c r="F4503" t="s">
        <v>18724</v>
      </c>
      <c r="G4503" t="s">
        <v>16754</v>
      </c>
      <c r="H4503" t="s">
        <v>16755</v>
      </c>
      <c r="I4503" t="s">
        <v>16756</v>
      </c>
      <c r="J4503" t="s">
        <v>20994</v>
      </c>
      <c r="K4503" t="s">
        <v>16757</v>
      </c>
      <c r="L4503" t="s">
        <v>16758</v>
      </c>
      <c r="M4503" t="s">
        <v>291</v>
      </c>
      <c r="N4503" t="s">
        <v>1634</v>
      </c>
      <c r="O4503" t="s">
        <v>16760</v>
      </c>
      <c r="P4503" t="s">
        <v>20995</v>
      </c>
      <c r="Q4503" t="s">
        <v>20996</v>
      </c>
      <c r="R4503">
        <v>13</v>
      </c>
      <c r="S4503">
        <v>16</v>
      </c>
    </row>
    <row r="4504" spans="1:19" x14ac:dyDescent="0.35">
      <c r="A4504">
        <v>1185</v>
      </c>
      <c r="B4504" t="s">
        <v>21003</v>
      </c>
      <c r="C4504" t="s">
        <v>42</v>
      </c>
      <c r="D4504" t="s">
        <v>21004</v>
      </c>
      <c r="E4504" t="e" cm="1">
        <f t="array" ref="E4504">- TRIPROLIDINE HYDROCHLORIDE. PSEUDOEPHEDRINE HYDROCHLORIDE</f>
        <v>#NAME?</v>
      </c>
      <c r="F4504" t="s">
        <v>21005</v>
      </c>
      <c r="G4504" t="s">
        <v>2266</v>
      </c>
      <c r="H4504" t="s">
        <v>21006</v>
      </c>
      <c r="I4504" t="s">
        <v>14549</v>
      </c>
      <c r="J4504" t="s">
        <v>21007</v>
      </c>
      <c r="K4504" t="s">
        <v>21008</v>
      </c>
      <c r="L4504" t="s">
        <v>21009</v>
      </c>
      <c r="M4504" t="s">
        <v>46</v>
      </c>
      <c r="N4504" t="s">
        <v>16710</v>
      </c>
      <c r="O4504" t="s">
        <v>14552</v>
      </c>
      <c r="P4504" t="s">
        <v>14225</v>
      </c>
      <c r="Q4504" t="s">
        <v>21010</v>
      </c>
      <c r="R4504">
        <v>13</v>
      </c>
      <c r="S4504">
        <v>16</v>
      </c>
    </row>
    <row r="4505" spans="1:19" x14ac:dyDescent="0.35">
      <c r="A4505">
        <v>10031</v>
      </c>
      <c r="B4505" t="s">
        <v>21011</v>
      </c>
      <c r="C4505" t="s">
        <v>42</v>
      </c>
      <c r="D4505" t="s">
        <v>21012</v>
      </c>
      <c r="E4505" t="e" cm="1">
        <f t="array" ref="E4505">- TRIMETAZIDINE DIHYDROCHLORIDE</f>
        <v>#NAME?</v>
      </c>
      <c r="F4505" t="s">
        <v>21013</v>
      </c>
      <c r="G4505" t="s">
        <v>21014</v>
      </c>
      <c r="H4505" t="s">
        <v>21015</v>
      </c>
      <c r="I4505" t="s">
        <v>21016</v>
      </c>
      <c r="J4505" t="s">
        <v>21017</v>
      </c>
      <c r="K4505" t="s">
        <v>16162</v>
      </c>
      <c r="L4505" t="s">
        <v>21018</v>
      </c>
      <c r="M4505" t="s">
        <v>46</v>
      </c>
      <c r="N4505" t="s">
        <v>6655</v>
      </c>
      <c r="O4505" t="s">
        <v>21019</v>
      </c>
      <c r="P4505" t="s">
        <v>21020</v>
      </c>
      <c r="Q4505" t="s">
        <v>21021</v>
      </c>
      <c r="R4505">
        <v>13</v>
      </c>
      <c r="S4505">
        <v>16</v>
      </c>
    </row>
    <row r="4506" spans="1:19" x14ac:dyDescent="0.35">
      <c r="A4506">
        <v>830</v>
      </c>
      <c r="B4506" t="s">
        <v>18693</v>
      </c>
      <c r="C4506" t="s">
        <v>42</v>
      </c>
      <c r="D4506" t="s">
        <v>19845</v>
      </c>
      <c r="E4506" t="e" cm="1">
        <f t="array" ref="E4506">- DEXTROMETHORPHAN HYDROBROMIDE</f>
        <v>#NAME?</v>
      </c>
      <c r="F4506" t="s">
        <v>19846</v>
      </c>
      <c r="G4506" t="s">
        <v>2241</v>
      </c>
      <c r="H4506" t="s">
        <v>19847</v>
      </c>
      <c r="I4506" t="s">
        <v>18697</v>
      </c>
      <c r="J4506" t="s">
        <v>10259</v>
      </c>
      <c r="K4506" t="s">
        <v>19848</v>
      </c>
      <c r="L4506" t="s">
        <v>18698</v>
      </c>
      <c r="M4506" t="s">
        <v>271</v>
      </c>
      <c r="N4506" t="s">
        <v>1376</v>
      </c>
      <c r="O4506" t="s">
        <v>18699</v>
      </c>
      <c r="P4506" t="s">
        <v>18700</v>
      </c>
      <c r="Q4506" t="s">
        <v>18701</v>
      </c>
      <c r="R4506">
        <v>13</v>
      </c>
      <c r="S4506">
        <v>16</v>
      </c>
    </row>
    <row r="4507" spans="1:19" x14ac:dyDescent="0.35">
      <c r="A4507">
        <v>10032</v>
      </c>
      <c r="B4507" t="s">
        <v>21011</v>
      </c>
      <c r="C4507" t="s">
        <v>42</v>
      </c>
      <c r="D4507" t="s">
        <v>21012</v>
      </c>
      <c r="E4507" t="e" cm="1">
        <f t="array" ref="E4507">- TRIMETAZIDINE HYDROCHLORIDE</f>
        <v>#NAME?</v>
      </c>
      <c r="F4507" t="s">
        <v>21013</v>
      </c>
      <c r="G4507" t="s">
        <v>21014</v>
      </c>
      <c r="H4507" t="s">
        <v>21015</v>
      </c>
      <c r="I4507" t="s">
        <v>21016</v>
      </c>
      <c r="J4507" t="s">
        <v>21017</v>
      </c>
      <c r="K4507" t="s">
        <v>16162</v>
      </c>
      <c r="L4507" t="s">
        <v>21018</v>
      </c>
      <c r="M4507" t="s">
        <v>46</v>
      </c>
      <c r="N4507" t="s">
        <v>6684</v>
      </c>
      <c r="O4507" t="s">
        <v>21019</v>
      </c>
      <c r="P4507" t="s">
        <v>21020</v>
      </c>
      <c r="Q4507" t="s">
        <v>21022</v>
      </c>
      <c r="R4507">
        <v>13</v>
      </c>
      <c r="S4507">
        <v>16</v>
      </c>
    </row>
    <row r="4508" spans="1:19" x14ac:dyDescent="0.35">
      <c r="A4508">
        <v>4041</v>
      </c>
      <c r="B4508" t="s">
        <v>21023</v>
      </c>
      <c r="C4508" t="s">
        <v>20</v>
      </c>
      <c r="D4508" t="s">
        <v>21024</v>
      </c>
      <c r="E4508" t="s">
        <v>21025</v>
      </c>
      <c r="F4508" t="s">
        <v>21026</v>
      </c>
      <c r="G4508" t="s">
        <v>6135</v>
      </c>
      <c r="H4508" t="s">
        <v>21027</v>
      </c>
      <c r="I4508" t="s">
        <v>21028</v>
      </c>
      <c r="J4508" t="s">
        <v>21029</v>
      </c>
      <c r="L4508" t="s">
        <v>16162</v>
      </c>
      <c r="M4508" t="s">
        <v>46</v>
      </c>
      <c r="N4508" t="s">
        <v>21030</v>
      </c>
      <c r="O4508" t="s">
        <v>21031</v>
      </c>
      <c r="P4508" t="s">
        <v>21030</v>
      </c>
      <c r="Q4508" t="s">
        <v>21032</v>
      </c>
      <c r="R4508">
        <v>13</v>
      </c>
      <c r="S4508">
        <v>16</v>
      </c>
    </row>
    <row r="4509" spans="1:19" x14ac:dyDescent="0.35">
      <c r="A4509">
        <v>1732</v>
      </c>
      <c r="B4509" t="s">
        <v>20806</v>
      </c>
      <c r="C4509" t="s">
        <v>42</v>
      </c>
      <c r="D4509" t="s">
        <v>20807</v>
      </c>
      <c r="E4509" t="e" cm="1">
        <f t="array" ref="E4509">- TRIAMCINOLONE ACETONIDE</f>
        <v>#NAME?</v>
      </c>
      <c r="F4509" t="s">
        <v>20936</v>
      </c>
      <c r="G4509" t="s">
        <v>20808</v>
      </c>
      <c r="H4509" t="s">
        <v>20809</v>
      </c>
      <c r="I4509" t="s">
        <v>20810</v>
      </c>
      <c r="J4509" t="s">
        <v>20811</v>
      </c>
      <c r="K4509" t="s">
        <v>2858</v>
      </c>
      <c r="L4509" t="s">
        <v>20812</v>
      </c>
      <c r="M4509" t="s">
        <v>3453</v>
      </c>
      <c r="N4509" t="s">
        <v>11859</v>
      </c>
      <c r="O4509" t="s">
        <v>20813</v>
      </c>
      <c r="P4509" t="s">
        <v>20814</v>
      </c>
      <c r="Q4509" t="s">
        <v>20815</v>
      </c>
      <c r="R4509">
        <v>13</v>
      </c>
      <c r="S4509">
        <v>16</v>
      </c>
    </row>
    <row r="4510" spans="1:19" x14ac:dyDescent="0.35">
      <c r="A4510">
        <v>1731</v>
      </c>
      <c r="B4510" t="s">
        <v>20806</v>
      </c>
      <c r="C4510" t="s">
        <v>42</v>
      </c>
      <c r="D4510" t="s">
        <v>20807</v>
      </c>
      <c r="E4510" t="e" cm="1">
        <f t="array" ref="E4510">- TRIAMCINOLONE ACETONIDE</f>
        <v>#NAME?</v>
      </c>
      <c r="F4510" t="s">
        <v>20936</v>
      </c>
      <c r="G4510" t="s">
        <v>20808</v>
      </c>
      <c r="H4510" t="s">
        <v>20809</v>
      </c>
      <c r="I4510" t="s">
        <v>20810</v>
      </c>
      <c r="J4510" t="s">
        <v>20811</v>
      </c>
      <c r="K4510" t="s">
        <v>2858</v>
      </c>
      <c r="L4510" t="s">
        <v>20812</v>
      </c>
      <c r="M4510" t="s">
        <v>3453</v>
      </c>
      <c r="N4510" t="s">
        <v>11859</v>
      </c>
      <c r="O4510" t="s">
        <v>20813</v>
      </c>
      <c r="P4510" t="s">
        <v>20814</v>
      </c>
      <c r="Q4510" t="s">
        <v>20815</v>
      </c>
      <c r="R4510">
        <v>13</v>
      </c>
      <c r="S4510">
        <v>16</v>
      </c>
    </row>
    <row r="4511" spans="1:19" x14ac:dyDescent="0.35">
      <c r="A4511">
        <v>1730</v>
      </c>
      <c r="B4511" t="s">
        <v>20806</v>
      </c>
      <c r="C4511" t="s">
        <v>42</v>
      </c>
      <c r="D4511" t="s">
        <v>20807</v>
      </c>
      <c r="E4511" t="e" cm="1">
        <f t="array" ref="E4511">- TRIAMCINOLONE ACETONIDE</f>
        <v>#NAME?</v>
      </c>
      <c r="F4511" t="s">
        <v>20936</v>
      </c>
      <c r="G4511" t="s">
        <v>20808</v>
      </c>
      <c r="H4511" t="s">
        <v>20809</v>
      </c>
      <c r="I4511" t="s">
        <v>20810</v>
      </c>
      <c r="J4511" t="s">
        <v>20811</v>
      </c>
      <c r="K4511" t="s">
        <v>2858</v>
      </c>
      <c r="L4511" t="s">
        <v>20812</v>
      </c>
      <c r="M4511" t="s">
        <v>3453</v>
      </c>
      <c r="N4511" t="s">
        <v>11859</v>
      </c>
      <c r="O4511" t="s">
        <v>20813</v>
      </c>
      <c r="P4511" t="s">
        <v>20814</v>
      </c>
      <c r="Q4511" t="s">
        <v>20815</v>
      </c>
      <c r="R4511">
        <v>13</v>
      </c>
      <c r="S4511">
        <v>16</v>
      </c>
    </row>
    <row r="4512" spans="1:19" x14ac:dyDescent="0.35">
      <c r="A4512">
        <v>3967</v>
      </c>
      <c r="B4512" t="s">
        <v>20914</v>
      </c>
      <c r="C4512" t="s">
        <v>42</v>
      </c>
      <c r="D4512" t="s">
        <v>20915</v>
      </c>
      <c r="E4512" t="e" cm="1">
        <f t="array" ref="E4512">- BISACODYL</f>
        <v>#NAME?</v>
      </c>
      <c r="F4512" s="1">
        <v>8600</v>
      </c>
      <c r="G4512" t="s">
        <v>20916</v>
      </c>
      <c r="H4512" t="s">
        <v>20917</v>
      </c>
      <c r="I4512" t="s">
        <v>20918</v>
      </c>
      <c r="J4512" t="s">
        <v>20919</v>
      </c>
      <c r="K4512" t="s">
        <v>20920</v>
      </c>
      <c r="L4512" t="s">
        <v>20921</v>
      </c>
      <c r="M4512" t="s">
        <v>46</v>
      </c>
      <c r="N4512" t="s">
        <v>20824</v>
      </c>
      <c r="O4512" t="s">
        <v>20922</v>
      </c>
      <c r="P4512" t="s">
        <v>20923</v>
      </c>
      <c r="Q4512" t="s">
        <v>20924</v>
      </c>
      <c r="R4512">
        <v>13</v>
      </c>
      <c r="S4512">
        <v>16</v>
      </c>
    </row>
    <row r="4513" spans="1:19" x14ac:dyDescent="0.35">
      <c r="A4513">
        <v>3966</v>
      </c>
      <c r="B4513" t="s">
        <v>20914</v>
      </c>
      <c r="C4513" t="s">
        <v>42</v>
      </c>
      <c r="D4513" t="s">
        <v>20915</v>
      </c>
      <c r="E4513" t="e" cm="1">
        <f t="array" ref="E4513">- BISACODYL</f>
        <v>#NAME?</v>
      </c>
      <c r="F4513" s="1">
        <v>8600</v>
      </c>
      <c r="G4513" t="s">
        <v>20916</v>
      </c>
      <c r="H4513" t="s">
        <v>20917</v>
      </c>
      <c r="I4513" t="s">
        <v>20918</v>
      </c>
      <c r="J4513" t="s">
        <v>20919</v>
      </c>
      <c r="K4513" t="s">
        <v>20920</v>
      </c>
      <c r="L4513" t="s">
        <v>20921</v>
      </c>
      <c r="M4513" t="s">
        <v>46</v>
      </c>
      <c r="N4513" t="s">
        <v>20824</v>
      </c>
      <c r="O4513" t="s">
        <v>20922</v>
      </c>
      <c r="P4513" t="s">
        <v>20923</v>
      </c>
      <c r="Q4513" t="s">
        <v>20924</v>
      </c>
      <c r="R4513">
        <v>13</v>
      </c>
      <c r="S4513">
        <v>16</v>
      </c>
    </row>
    <row r="4514" spans="1:19" x14ac:dyDescent="0.35">
      <c r="A4514">
        <v>4130</v>
      </c>
      <c r="B4514" t="s">
        <v>20925</v>
      </c>
      <c r="C4514" t="s">
        <v>42</v>
      </c>
      <c r="D4514" t="s">
        <v>20926</v>
      </c>
      <c r="E4514" t="e" cm="1">
        <f t="array" ref="E4514">- CYPROHEPTADINE HYDROCHLORIDE</f>
        <v>#NAME?</v>
      </c>
      <c r="F4514" t="s">
        <v>20927</v>
      </c>
      <c r="G4514" t="s">
        <v>20928</v>
      </c>
      <c r="H4514" t="s">
        <v>20929</v>
      </c>
      <c r="I4514" t="s">
        <v>20930</v>
      </c>
      <c r="J4514" t="s">
        <v>1093</v>
      </c>
      <c r="K4514" t="s">
        <v>20931</v>
      </c>
      <c r="L4514" t="s">
        <v>20932</v>
      </c>
      <c r="M4514" t="s">
        <v>46</v>
      </c>
      <c r="N4514" t="s">
        <v>1634</v>
      </c>
      <c r="O4514" t="s">
        <v>20933</v>
      </c>
      <c r="P4514" t="s">
        <v>20934</v>
      </c>
      <c r="Q4514" t="s">
        <v>20935</v>
      </c>
      <c r="R4514">
        <v>13</v>
      </c>
      <c r="S4514">
        <v>16</v>
      </c>
    </row>
    <row r="4515" spans="1:19" x14ac:dyDescent="0.35">
      <c r="A4515">
        <v>3965</v>
      </c>
      <c r="B4515" t="s">
        <v>20914</v>
      </c>
      <c r="C4515" t="s">
        <v>42</v>
      </c>
      <c r="D4515" t="s">
        <v>20915</v>
      </c>
      <c r="E4515" t="e" cm="1">
        <f t="array" ref="E4515">- BISACODYL</f>
        <v>#NAME?</v>
      </c>
      <c r="F4515" s="1">
        <v>8600</v>
      </c>
      <c r="G4515" t="s">
        <v>20916</v>
      </c>
      <c r="H4515" t="s">
        <v>20917</v>
      </c>
      <c r="I4515" t="s">
        <v>20918</v>
      </c>
      <c r="J4515" t="s">
        <v>20919</v>
      </c>
      <c r="K4515" t="s">
        <v>20920</v>
      </c>
      <c r="L4515" t="s">
        <v>20921</v>
      </c>
      <c r="M4515" t="s">
        <v>46</v>
      </c>
      <c r="N4515" t="s">
        <v>20824</v>
      </c>
      <c r="O4515" t="s">
        <v>20922</v>
      </c>
      <c r="P4515" t="s">
        <v>20923</v>
      </c>
      <c r="Q4515" t="s">
        <v>20924</v>
      </c>
      <c r="R4515">
        <v>13</v>
      </c>
      <c r="S4515">
        <v>16</v>
      </c>
    </row>
    <row r="4516" spans="1:19" x14ac:dyDescent="0.35">
      <c r="A4516">
        <v>4042</v>
      </c>
      <c r="B4516" t="s">
        <v>21033</v>
      </c>
      <c r="C4516" t="s">
        <v>42</v>
      </c>
      <c r="D4516" t="s">
        <v>21034</v>
      </c>
      <c r="E4516" t="e" cm="1">
        <f t="array" ref="E4516">- CETIRIZINE HYDROCHLORIDE</f>
        <v>#NAME?</v>
      </c>
      <c r="F4516" t="s">
        <v>21035</v>
      </c>
      <c r="G4516" t="s">
        <v>60</v>
      </c>
      <c r="H4516" t="s">
        <v>1498</v>
      </c>
      <c r="I4516" t="s">
        <v>21036</v>
      </c>
      <c r="J4516" t="s">
        <v>21037</v>
      </c>
      <c r="K4516" t="s">
        <v>16653</v>
      </c>
      <c r="L4516" t="s">
        <v>16654</v>
      </c>
      <c r="M4516" t="s">
        <v>38</v>
      </c>
      <c r="N4516" t="s">
        <v>1390</v>
      </c>
      <c r="O4516" t="s">
        <v>21038</v>
      </c>
      <c r="P4516" t="s">
        <v>21039</v>
      </c>
      <c r="Q4516" t="s">
        <v>21040</v>
      </c>
      <c r="R4516">
        <v>14</v>
      </c>
      <c r="S4516">
        <v>16</v>
      </c>
    </row>
    <row r="4517" spans="1:19" x14ac:dyDescent="0.35">
      <c r="A4517">
        <v>4168</v>
      </c>
      <c r="B4517" t="s">
        <v>21041</v>
      </c>
      <c r="C4517" t="s">
        <v>42</v>
      </c>
      <c r="D4517" t="s">
        <v>21042</v>
      </c>
      <c r="E4517" t="e" cm="1">
        <f t="array" ref="E4517">- CETIRIZINE HYDROCHLORIDE</f>
        <v>#NAME?</v>
      </c>
      <c r="F4517" t="s">
        <v>20728</v>
      </c>
      <c r="G4517" t="s">
        <v>60</v>
      </c>
      <c r="H4517" t="s">
        <v>21043</v>
      </c>
      <c r="I4517" t="s">
        <v>21036</v>
      </c>
      <c r="J4517" t="s">
        <v>381</v>
      </c>
      <c r="L4517" t="s">
        <v>382</v>
      </c>
      <c r="M4517" t="s">
        <v>46</v>
      </c>
      <c r="N4517" t="s">
        <v>1390</v>
      </c>
      <c r="O4517" t="s">
        <v>21038</v>
      </c>
      <c r="P4517" t="s">
        <v>21044</v>
      </c>
      <c r="Q4517" t="s">
        <v>21045</v>
      </c>
      <c r="R4517">
        <v>14</v>
      </c>
      <c r="S4517">
        <v>16</v>
      </c>
    </row>
    <row r="4518" spans="1:19" x14ac:dyDescent="0.35">
      <c r="A4518">
        <v>3506</v>
      </c>
      <c r="B4518" t="s">
        <v>21046</v>
      </c>
      <c r="C4518" t="s">
        <v>42</v>
      </c>
      <c r="D4518" t="s">
        <v>21047</v>
      </c>
      <c r="E4518" t="e" cm="1">
        <f t="array" ref="E4518">- PYRATHIAZINE-8-CHLOROTHEOPHYLLINATE</f>
        <v>#NAME?</v>
      </c>
      <c r="F4518" t="s">
        <v>21048</v>
      </c>
      <c r="G4518" t="s">
        <v>21049</v>
      </c>
      <c r="H4518" t="s">
        <v>21050</v>
      </c>
      <c r="I4518" t="s">
        <v>21051</v>
      </c>
      <c r="J4518" t="s">
        <v>10764</v>
      </c>
      <c r="K4518" t="s">
        <v>21052</v>
      </c>
      <c r="L4518" t="s">
        <v>14652</v>
      </c>
      <c r="M4518" t="s">
        <v>46</v>
      </c>
      <c r="N4518" t="s">
        <v>10456</v>
      </c>
      <c r="O4518" t="s">
        <v>21053</v>
      </c>
      <c r="P4518" t="s">
        <v>21054</v>
      </c>
      <c r="Q4518" t="s">
        <v>21055</v>
      </c>
      <c r="R4518">
        <v>14</v>
      </c>
      <c r="S4518">
        <v>16</v>
      </c>
    </row>
    <row r="4519" spans="1:19" x14ac:dyDescent="0.35">
      <c r="A4519">
        <v>8524</v>
      </c>
      <c r="B4519" t="s">
        <v>21056</v>
      </c>
      <c r="C4519" t="s">
        <v>42</v>
      </c>
      <c r="D4519" t="s">
        <v>21057</v>
      </c>
      <c r="E4519" t="e" cm="1">
        <f t="array" ref="E4519">- FRAMYCETIN SULFATE</f>
        <v>#NAME?</v>
      </c>
      <c r="F4519" t="s">
        <v>21058</v>
      </c>
      <c r="G4519" t="s">
        <v>21059</v>
      </c>
      <c r="H4519" t="s">
        <v>21060</v>
      </c>
      <c r="I4519" t="s">
        <v>21061</v>
      </c>
      <c r="J4519" t="s">
        <v>21062</v>
      </c>
      <c r="K4519" t="s">
        <v>21063</v>
      </c>
      <c r="L4519" t="s">
        <v>21064</v>
      </c>
      <c r="M4519" t="s">
        <v>2229</v>
      </c>
      <c r="N4519" t="s">
        <v>20434</v>
      </c>
      <c r="O4519" t="s">
        <v>21065</v>
      </c>
      <c r="P4519" t="s">
        <v>21066</v>
      </c>
      <c r="Q4519" t="s">
        <v>21067</v>
      </c>
      <c r="R4519">
        <v>14</v>
      </c>
      <c r="S4519">
        <v>16</v>
      </c>
    </row>
    <row r="4520" spans="1:19" x14ac:dyDescent="0.35">
      <c r="A4520">
        <v>8003</v>
      </c>
      <c r="B4520" t="s">
        <v>16608</v>
      </c>
      <c r="C4520" t="s">
        <v>20</v>
      </c>
      <c r="D4520" t="s">
        <v>21068</v>
      </c>
      <c r="E4520" t="s">
        <v>16610</v>
      </c>
      <c r="F4520" t="s">
        <v>21069</v>
      </c>
      <c r="G4520" t="s">
        <v>5610</v>
      </c>
      <c r="H4520" t="s">
        <v>21070</v>
      </c>
      <c r="I4520" t="s">
        <v>5700</v>
      </c>
      <c r="J4520" t="s">
        <v>7953</v>
      </c>
      <c r="L4520" t="s">
        <v>21071</v>
      </c>
      <c r="M4520" t="s">
        <v>46</v>
      </c>
      <c r="N4520" t="s">
        <v>16614</v>
      </c>
      <c r="O4520" t="s">
        <v>5703</v>
      </c>
      <c r="P4520" t="s">
        <v>16615</v>
      </c>
      <c r="Q4520" t="s">
        <v>21072</v>
      </c>
      <c r="R4520">
        <v>14</v>
      </c>
      <c r="S4520">
        <v>16</v>
      </c>
    </row>
    <row r="4521" spans="1:19" x14ac:dyDescent="0.35">
      <c r="A4521">
        <v>2974</v>
      </c>
      <c r="B4521" t="s">
        <v>12253</v>
      </c>
      <c r="C4521" t="s">
        <v>42</v>
      </c>
      <c r="D4521" t="s">
        <v>21073</v>
      </c>
      <c r="E4521" t="e" cm="1">
        <f t="array" ref="E4521">- PARACETAMOL</f>
        <v>#NAME?</v>
      </c>
      <c r="F4521" t="s">
        <v>21074</v>
      </c>
      <c r="G4521" t="s">
        <v>21075</v>
      </c>
      <c r="H4521" t="s">
        <v>1322</v>
      </c>
      <c r="I4521" t="s">
        <v>21076</v>
      </c>
      <c r="J4521" t="s">
        <v>21077</v>
      </c>
      <c r="L4521" t="s">
        <v>21078</v>
      </c>
      <c r="M4521" t="s">
        <v>12262</v>
      </c>
      <c r="N4521" t="s">
        <v>584</v>
      </c>
      <c r="O4521" t="s">
        <v>21079</v>
      </c>
      <c r="P4521" t="s">
        <v>21080</v>
      </c>
      <c r="Q4521" t="s">
        <v>21081</v>
      </c>
      <c r="R4521">
        <v>14</v>
      </c>
      <c r="S4521">
        <v>16</v>
      </c>
    </row>
    <row r="4522" spans="1:19" x14ac:dyDescent="0.35">
      <c r="A4522">
        <v>3514</v>
      </c>
      <c r="B4522" t="s">
        <v>21082</v>
      </c>
      <c r="C4522" t="s">
        <v>42</v>
      </c>
      <c r="D4522" t="s">
        <v>21083</v>
      </c>
      <c r="E4522" t="e" cm="1">
        <f t="array" ref="E4522">- DOMPERIDONE</f>
        <v>#NAME?</v>
      </c>
      <c r="F4522" t="s">
        <v>21084</v>
      </c>
      <c r="H4522" t="s">
        <v>1589</v>
      </c>
      <c r="I4522" t="s">
        <v>21085</v>
      </c>
      <c r="J4522" t="s">
        <v>727</v>
      </c>
      <c r="M4522" t="s">
        <v>291</v>
      </c>
      <c r="N4522" t="s">
        <v>341</v>
      </c>
      <c r="O4522" t="s">
        <v>21086</v>
      </c>
      <c r="P4522" t="s">
        <v>21087</v>
      </c>
      <c r="Q4522" t="s">
        <v>21088</v>
      </c>
      <c r="R4522">
        <v>14</v>
      </c>
      <c r="S4522">
        <v>16</v>
      </c>
    </row>
    <row r="4523" spans="1:19" x14ac:dyDescent="0.35">
      <c r="A4523">
        <v>3515</v>
      </c>
      <c r="B4523" t="s">
        <v>21082</v>
      </c>
      <c r="C4523" t="s">
        <v>42</v>
      </c>
      <c r="D4523" t="s">
        <v>21083</v>
      </c>
      <c r="E4523" t="e" cm="1">
        <f t="array" ref="E4523">- DOMPERIDONE</f>
        <v>#NAME?</v>
      </c>
      <c r="F4523" t="s">
        <v>21084</v>
      </c>
      <c r="H4523" t="s">
        <v>1589</v>
      </c>
      <c r="I4523" t="s">
        <v>21085</v>
      </c>
      <c r="J4523" t="s">
        <v>727</v>
      </c>
      <c r="M4523" t="s">
        <v>291</v>
      </c>
      <c r="N4523" t="s">
        <v>341</v>
      </c>
      <c r="O4523" t="s">
        <v>21086</v>
      </c>
      <c r="P4523" t="s">
        <v>21087</v>
      </c>
      <c r="Q4523" t="s">
        <v>21088</v>
      </c>
      <c r="R4523">
        <v>14</v>
      </c>
      <c r="S4523">
        <v>16</v>
      </c>
    </row>
    <row r="4524" spans="1:19" x14ac:dyDescent="0.35">
      <c r="A4524">
        <v>5812</v>
      </c>
      <c r="B4524" t="s">
        <v>21089</v>
      </c>
      <c r="C4524" t="s">
        <v>42</v>
      </c>
      <c r="D4524" t="s">
        <v>21090</v>
      </c>
      <c r="E4524" t="e" cm="1">
        <f t="array" ref="E4524">- METRONIDAZOLE</f>
        <v>#NAME?</v>
      </c>
      <c r="F4524" t="s">
        <v>21091</v>
      </c>
      <c r="G4524" t="s">
        <v>60</v>
      </c>
      <c r="H4524" t="s">
        <v>21092</v>
      </c>
      <c r="I4524" t="s">
        <v>21093</v>
      </c>
      <c r="J4524" t="s">
        <v>334</v>
      </c>
      <c r="K4524" t="s">
        <v>4677</v>
      </c>
      <c r="L4524" t="s">
        <v>21094</v>
      </c>
      <c r="M4524" t="s">
        <v>340</v>
      </c>
      <c r="N4524" t="s">
        <v>1049</v>
      </c>
      <c r="O4524" t="s">
        <v>21095</v>
      </c>
      <c r="P4524" t="s">
        <v>21096</v>
      </c>
      <c r="Q4524" t="s">
        <v>21097</v>
      </c>
      <c r="R4524">
        <v>14</v>
      </c>
      <c r="S4524">
        <v>16</v>
      </c>
    </row>
    <row r="4525" spans="1:19" x14ac:dyDescent="0.35">
      <c r="A4525">
        <v>3518</v>
      </c>
      <c r="B4525" t="s">
        <v>18206</v>
      </c>
      <c r="C4525" t="s">
        <v>42</v>
      </c>
      <c r="D4525" t="s">
        <v>18207</v>
      </c>
      <c r="E4525" t="e" cm="1">
        <f t="array" ref="E4525">- ONDANSETRON HYDROCHLORIDE DIHYDRATE</f>
        <v>#NAME?</v>
      </c>
      <c r="F4525" t="s">
        <v>18208</v>
      </c>
      <c r="G4525" t="s">
        <v>14378</v>
      </c>
      <c r="H4525" t="s">
        <v>14379</v>
      </c>
      <c r="I4525" t="s">
        <v>18209</v>
      </c>
      <c r="J4525" t="s">
        <v>18210</v>
      </c>
      <c r="K4525" t="s">
        <v>14086</v>
      </c>
      <c r="L4525" t="s">
        <v>14382</v>
      </c>
      <c r="M4525" t="s">
        <v>46</v>
      </c>
      <c r="N4525" t="s">
        <v>14087</v>
      </c>
      <c r="O4525" t="s">
        <v>14383</v>
      </c>
      <c r="P4525" t="s">
        <v>18211</v>
      </c>
      <c r="Q4525" t="s">
        <v>21098</v>
      </c>
      <c r="R4525">
        <v>14</v>
      </c>
      <c r="S4525">
        <v>16</v>
      </c>
    </row>
    <row r="4526" spans="1:19" x14ac:dyDescent="0.35">
      <c r="A4526">
        <v>3519</v>
      </c>
      <c r="B4526" t="s">
        <v>18206</v>
      </c>
      <c r="C4526" t="s">
        <v>42</v>
      </c>
      <c r="D4526" t="s">
        <v>18207</v>
      </c>
      <c r="E4526" t="e" cm="1">
        <f t="array" ref="E4526">- ONDANSETRON HYDROCHLORIDE DIHYDRATE</f>
        <v>#NAME?</v>
      </c>
      <c r="F4526" t="s">
        <v>18208</v>
      </c>
      <c r="G4526" t="s">
        <v>14378</v>
      </c>
      <c r="H4526" t="s">
        <v>14379</v>
      </c>
      <c r="I4526" t="s">
        <v>18209</v>
      </c>
      <c r="J4526" t="s">
        <v>18210</v>
      </c>
      <c r="K4526" t="s">
        <v>14086</v>
      </c>
      <c r="L4526" t="s">
        <v>14382</v>
      </c>
      <c r="M4526" t="s">
        <v>46</v>
      </c>
      <c r="N4526" t="s">
        <v>14087</v>
      </c>
      <c r="O4526" t="s">
        <v>14383</v>
      </c>
      <c r="P4526" t="s">
        <v>18211</v>
      </c>
      <c r="Q4526" t="s">
        <v>21098</v>
      </c>
      <c r="R4526">
        <v>14</v>
      </c>
      <c r="S4526">
        <v>16</v>
      </c>
    </row>
    <row r="4527" spans="1:19" x14ac:dyDescent="0.35">
      <c r="A4527">
        <v>10023</v>
      </c>
      <c r="B4527" t="s">
        <v>21099</v>
      </c>
      <c r="C4527" t="s">
        <v>42</v>
      </c>
      <c r="D4527" t="s">
        <v>21100</v>
      </c>
      <c r="E4527" t="e" cm="1">
        <f t="array" ref="E4527">- PROPAFENONE  HYDROCHLORIDE</f>
        <v>#NAME?</v>
      </c>
      <c r="F4527" t="s">
        <v>21101</v>
      </c>
      <c r="G4527" t="s">
        <v>21102</v>
      </c>
      <c r="H4527" t="s">
        <v>21103</v>
      </c>
      <c r="I4527" t="s">
        <v>21104</v>
      </c>
      <c r="J4527" t="s">
        <v>21105</v>
      </c>
      <c r="K4527" t="s">
        <v>21106</v>
      </c>
      <c r="L4527" t="s">
        <v>21107</v>
      </c>
      <c r="M4527" t="s">
        <v>46</v>
      </c>
      <c r="N4527" t="s">
        <v>21108</v>
      </c>
      <c r="O4527" t="s">
        <v>21109</v>
      </c>
      <c r="P4527" t="s">
        <v>21110</v>
      </c>
      <c r="Q4527" t="s">
        <v>21111</v>
      </c>
      <c r="R4527">
        <v>14</v>
      </c>
      <c r="S4527">
        <v>16</v>
      </c>
    </row>
    <row r="4528" spans="1:19" x14ac:dyDescent="0.35">
      <c r="A4528">
        <v>1121</v>
      </c>
      <c r="B4528" t="s">
        <v>21112</v>
      </c>
      <c r="C4528" t="s">
        <v>42</v>
      </c>
      <c r="D4528" t="s">
        <v>21113</v>
      </c>
      <c r="E4528" t="e" cm="1">
        <f t="array" ref="E4528">- PARACETAMOL</f>
        <v>#NAME?</v>
      </c>
      <c r="F4528" s="1">
        <v>4100</v>
      </c>
      <c r="G4528" t="s">
        <v>2241</v>
      </c>
      <c r="H4528" t="s">
        <v>21114</v>
      </c>
      <c r="I4528" t="s">
        <v>21115</v>
      </c>
      <c r="J4528" t="s">
        <v>17404</v>
      </c>
      <c r="K4528" t="s">
        <v>21116</v>
      </c>
      <c r="L4528" t="s">
        <v>21117</v>
      </c>
      <c r="M4528" t="s">
        <v>291</v>
      </c>
      <c r="N4528" t="s">
        <v>584</v>
      </c>
      <c r="O4528" t="s">
        <v>21118</v>
      </c>
      <c r="P4528" t="s">
        <v>21119</v>
      </c>
      <c r="Q4528" t="s">
        <v>21120</v>
      </c>
      <c r="R4528">
        <v>14</v>
      </c>
      <c r="S4528">
        <v>16</v>
      </c>
    </row>
    <row r="4529" spans="1:19" x14ac:dyDescent="0.35">
      <c r="A4529">
        <v>1798</v>
      </c>
      <c r="B4529" t="s">
        <v>13250</v>
      </c>
      <c r="C4529" t="s">
        <v>850</v>
      </c>
      <c r="D4529" t="s">
        <v>21121</v>
      </c>
      <c r="E4529" t="e" cm="1">
        <f t="array" ref="E4529">- Lemon Oil</f>
        <v>#NAME?</v>
      </c>
      <c r="F4529" s="1">
        <v>227000</v>
      </c>
      <c r="G4529" t="s">
        <v>21122</v>
      </c>
      <c r="H4529" t="s">
        <v>21123</v>
      </c>
      <c r="I4529" t="s">
        <v>21124</v>
      </c>
      <c r="J4529" t="s">
        <v>21125</v>
      </c>
      <c r="N4529" t="s">
        <v>13251</v>
      </c>
      <c r="O4529" t="s">
        <v>21126</v>
      </c>
      <c r="P4529" t="s">
        <v>21127</v>
      </c>
      <c r="Q4529" t="s">
        <v>21128</v>
      </c>
      <c r="R4529">
        <v>14</v>
      </c>
      <c r="S4529">
        <v>16</v>
      </c>
    </row>
    <row r="4530" spans="1:19" x14ac:dyDescent="0.35">
      <c r="A4530">
        <v>6423</v>
      </c>
      <c r="B4530" t="s">
        <v>21129</v>
      </c>
      <c r="C4530" t="s">
        <v>42</v>
      </c>
      <c r="D4530" t="s">
        <v>21130</v>
      </c>
      <c r="E4530" t="e" cm="1">
        <f t="array" ref="E4530">- AMOXICILLIN TRIHYDRATE</f>
        <v>#NAME?</v>
      </c>
      <c r="F4530" t="s">
        <v>21131</v>
      </c>
      <c r="G4530" t="s">
        <v>1691</v>
      </c>
      <c r="H4530" t="s">
        <v>14286</v>
      </c>
      <c r="I4530" t="s">
        <v>21132</v>
      </c>
      <c r="J4530" t="s">
        <v>21133</v>
      </c>
      <c r="K4530" t="s">
        <v>14288</v>
      </c>
      <c r="L4530" t="s">
        <v>14289</v>
      </c>
      <c r="M4530" t="s">
        <v>824</v>
      </c>
      <c r="N4530" t="s">
        <v>1523</v>
      </c>
      <c r="O4530" t="s">
        <v>21134</v>
      </c>
      <c r="P4530" t="s">
        <v>21135</v>
      </c>
      <c r="Q4530" t="s">
        <v>21136</v>
      </c>
      <c r="R4530">
        <v>14</v>
      </c>
      <c r="S4530">
        <v>16</v>
      </c>
    </row>
    <row r="4531" spans="1:19" x14ac:dyDescent="0.35">
      <c r="A4531">
        <v>2323</v>
      </c>
      <c r="B4531" t="s">
        <v>8869</v>
      </c>
      <c r="C4531" t="s">
        <v>42</v>
      </c>
      <c r="D4531" t="s">
        <v>8870</v>
      </c>
      <c r="E4531" t="e" cm="1">
        <f t="array" ref="E4531">- PARACETAMOL. THIAMINE MONONITRATE. PYRIDOXINE HYDROCHLORIDE. CYANOCOBALAMIN</f>
        <v>#NAME?</v>
      </c>
      <c r="F4531" t="s">
        <v>8871</v>
      </c>
      <c r="G4531" t="s">
        <v>2241</v>
      </c>
      <c r="H4531" t="s">
        <v>8872</v>
      </c>
      <c r="I4531" t="s">
        <v>8873</v>
      </c>
      <c r="J4531" t="s">
        <v>8874</v>
      </c>
      <c r="K4531" t="s">
        <v>8875</v>
      </c>
      <c r="L4531" t="s">
        <v>8876</v>
      </c>
      <c r="M4531" t="s">
        <v>291</v>
      </c>
      <c r="N4531" t="s">
        <v>21137</v>
      </c>
      <c r="O4531" t="s">
        <v>8877</v>
      </c>
      <c r="P4531" t="s">
        <v>8878</v>
      </c>
      <c r="Q4531" t="s">
        <v>21138</v>
      </c>
      <c r="R4531">
        <v>14</v>
      </c>
      <c r="S4531">
        <v>16</v>
      </c>
    </row>
    <row r="4532" spans="1:19" x14ac:dyDescent="0.35">
      <c r="A4532">
        <v>5820</v>
      </c>
      <c r="B4532" t="s">
        <v>21139</v>
      </c>
      <c r="C4532" t="s">
        <v>42</v>
      </c>
      <c r="D4532" t="s">
        <v>21140</v>
      </c>
      <c r="E4532" t="e" cm="1">
        <f t="array" ref="E4532">- AZITHROMYCIN DIHYDRATE</f>
        <v>#NAME?</v>
      </c>
      <c r="F4532" t="s">
        <v>21141</v>
      </c>
      <c r="G4532" t="s">
        <v>21142</v>
      </c>
      <c r="H4532" t="s">
        <v>2643</v>
      </c>
      <c r="I4532" t="s">
        <v>21143</v>
      </c>
      <c r="J4532" t="s">
        <v>4376</v>
      </c>
      <c r="K4532" t="s">
        <v>21144</v>
      </c>
      <c r="L4532" t="s">
        <v>21145</v>
      </c>
      <c r="M4532" t="s">
        <v>291</v>
      </c>
      <c r="N4532" t="s">
        <v>13005</v>
      </c>
      <c r="O4532" t="s">
        <v>21146</v>
      </c>
      <c r="P4532" t="s">
        <v>21147</v>
      </c>
      <c r="Q4532" t="s">
        <v>21148</v>
      </c>
      <c r="R4532">
        <v>14</v>
      </c>
      <c r="S4532">
        <v>16</v>
      </c>
    </row>
    <row r="4533" spans="1:19" x14ac:dyDescent="0.35">
      <c r="A4533">
        <v>943</v>
      </c>
      <c r="B4533" t="s">
        <v>19239</v>
      </c>
      <c r="C4533" t="s">
        <v>42</v>
      </c>
      <c r="D4533" t="s">
        <v>19240</v>
      </c>
      <c r="E4533" t="e" cm="1">
        <f t="array" ref="E4533">- BROMHEXINE HYDROCHLORIDE. GUAIFENESIN</f>
        <v>#NAME?</v>
      </c>
      <c r="F4533" t="s">
        <v>19241</v>
      </c>
      <c r="G4533" t="s">
        <v>2241</v>
      </c>
      <c r="H4533" t="s">
        <v>19242</v>
      </c>
      <c r="I4533" t="s">
        <v>19243</v>
      </c>
      <c r="J4533" t="s">
        <v>334</v>
      </c>
      <c r="K4533" t="s">
        <v>2726</v>
      </c>
      <c r="L4533" t="s">
        <v>19244</v>
      </c>
      <c r="M4533" t="s">
        <v>271</v>
      </c>
      <c r="N4533" t="s">
        <v>3917</v>
      </c>
      <c r="O4533" t="s">
        <v>19245</v>
      </c>
      <c r="P4533" t="s">
        <v>19246</v>
      </c>
      <c r="Q4533" t="s">
        <v>21149</v>
      </c>
      <c r="R4533">
        <v>14</v>
      </c>
      <c r="S4533">
        <v>16</v>
      </c>
    </row>
    <row r="4534" spans="1:19" x14ac:dyDescent="0.35">
      <c r="A4534">
        <v>8784</v>
      </c>
      <c r="B4534" t="s">
        <v>2388</v>
      </c>
      <c r="C4534" t="s">
        <v>42</v>
      </c>
      <c r="D4534" t="s">
        <v>21150</v>
      </c>
      <c r="E4534" t="e" cm="1">
        <f t="array" ref="E4534">- PIOGLITAZONE HYDROCHLORIDE</f>
        <v>#NAME?</v>
      </c>
      <c r="F4534" s="1">
        <v>962500</v>
      </c>
      <c r="I4534" t="s">
        <v>21151</v>
      </c>
      <c r="J4534" t="s">
        <v>13954</v>
      </c>
      <c r="M4534" t="s">
        <v>46</v>
      </c>
      <c r="N4534" t="s">
        <v>2389</v>
      </c>
      <c r="O4534" t="s">
        <v>20300</v>
      </c>
      <c r="P4534" t="s">
        <v>21152</v>
      </c>
      <c r="Q4534" t="s">
        <v>21153</v>
      </c>
      <c r="R4534">
        <v>14</v>
      </c>
      <c r="S4534">
        <v>16</v>
      </c>
    </row>
    <row r="4535" spans="1:19" x14ac:dyDescent="0.35">
      <c r="A4535">
        <v>4045</v>
      </c>
      <c r="B4535" t="s">
        <v>21154</v>
      </c>
      <c r="C4535" t="s">
        <v>42</v>
      </c>
      <c r="D4535" t="s">
        <v>21155</v>
      </c>
      <c r="E4535" t="e" cm="1">
        <f t="array" ref="E4535">- CETIRIZINE HYDROCHLORIDE</f>
        <v>#NAME?</v>
      </c>
      <c r="F4535" t="s">
        <v>21156</v>
      </c>
      <c r="G4535" t="s">
        <v>60</v>
      </c>
      <c r="H4535" t="s">
        <v>1498</v>
      </c>
      <c r="I4535" t="s">
        <v>21036</v>
      </c>
      <c r="J4535" t="s">
        <v>5085</v>
      </c>
      <c r="K4535" t="s">
        <v>16653</v>
      </c>
      <c r="L4535" t="s">
        <v>21157</v>
      </c>
      <c r="M4535" t="s">
        <v>46</v>
      </c>
      <c r="N4535" t="s">
        <v>1390</v>
      </c>
      <c r="O4535" t="s">
        <v>21038</v>
      </c>
      <c r="P4535" t="s">
        <v>21158</v>
      </c>
      <c r="Q4535" t="s">
        <v>21159</v>
      </c>
      <c r="R4535">
        <v>14</v>
      </c>
      <c r="S4535">
        <v>16</v>
      </c>
    </row>
    <row r="4536" spans="1:19" x14ac:dyDescent="0.35">
      <c r="A4536">
        <v>472</v>
      </c>
      <c r="B4536" t="s">
        <v>19268</v>
      </c>
      <c r="C4536" t="s">
        <v>42</v>
      </c>
      <c r="D4536" t="s">
        <v>19269</v>
      </c>
      <c r="E4536" t="e" cm="1">
        <f t="array" ref="E4536">- PROCATEROL HYDROCHLORIDE HEMIHYDRATE</f>
        <v>#NAME?</v>
      </c>
      <c r="F4536" t="s">
        <v>19270</v>
      </c>
      <c r="G4536" t="s">
        <v>60</v>
      </c>
      <c r="H4536" t="s">
        <v>19271</v>
      </c>
      <c r="I4536" t="s">
        <v>19272</v>
      </c>
      <c r="J4536" t="s">
        <v>754</v>
      </c>
      <c r="K4536" t="s">
        <v>4677</v>
      </c>
      <c r="L4536" t="s">
        <v>19273</v>
      </c>
      <c r="M4536" t="s">
        <v>46</v>
      </c>
      <c r="N4536" t="s">
        <v>3478</v>
      </c>
      <c r="O4536" t="s">
        <v>19274</v>
      </c>
      <c r="P4536" t="s">
        <v>19275</v>
      </c>
      <c r="Q4536" t="s">
        <v>21160</v>
      </c>
      <c r="R4536">
        <v>14</v>
      </c>
      <c r="S4536">
        <v>16</v>
      </c>
    </row>
    <row r="4537" spans="1:19" x14ac:dyDescent="0.35">
      <c r="A4537">
        <v>167</v>
      </c>
      <c r="B4537" t="s">
        <v>2902</v>
      </c>
      <c r="C4537" t="s">
        <v>42</v>
      </c>
      <c r="D4537" t="s">
        <v>21161</v>
      </c>
      <c r="E4537" t="e" cm="1">
        <f t="array" ref="E4537">- SILDENAFIL CITRATE</f>
        <v>#NAME?</v>
      </c>
      <c r="F4537" t="s">
        <v>21162</v>
      </c>
      <c r="G4537" t="s">
        <v>12009</v>
      </c>
      <c r="I4537" t="s">
        <v>16959</v>
      </c>
      <c r="J4537" t="s">
        <v>21163</v>
      </c>
      <c r="M4537" t="s">
        <v>46</v>
      </c>
      <c r="N4537" t="s">
        <v>2519</v>
      </c>
      <c r="O4537" t="s">
        <v>16960</v>
      </c>
      <c r="P4537" t="s">
        <v>9012</v>
      </c>
      <c r="Q4537" t="s">
        <v>21164</v>
      </c>
      <c r="R4537">
        <v>14</v>
      </c>
      <c r="S4537">
        <v>16</v>
      </c>
    </row>
    <row r="4538" spans="1:19" x14ac:dyDescent="0.35">
      <c r="A4538">
        <v>5069</v>
      </c>
      <c r="B4538" t="s">
        <v>21165</v>
      </c>
      <c r="C4538" t="s">
        <v>42</v>
      </c>
      <c r="D4538" t="s">
        <v>21166</v>
      </c>
      <c r="E4538" t="e" cm="1">
        <f t="array" ref="E4538">- BETAMETHASONE DIPROPIONATE</f>
        <v>#NAME?</v>
      </c>
      <c r="F4538" t="s">
        <v>21167</v>
      </c>
      <c r="G4538" t="s">
        <v>19513</v>
      </c>
      <c r="H4538" t="s">
        <v>19514</v>
      </c>
      <c r="I4538" t="s">
        <v>21168</v>
      </c>
      <c r="J4538" t="s">
        <v>7123</v>
      </c>
      <c r="K4538" t="s">
        <v>19516</v>
      </c>
      <c r="L4538" t="s">
        <v>21169</v>
      </c>
      <c r="M4538" t="s">
        <v>1289</v>
      </c>
      <c r="N4538" t="s">
        <v>2685</v>
      </c>
      <c r="O4538" t="s">
        <v>19518</v>
      </c>
      <c r="P4538" t="s">
        <v>21170</v>
      </c>
      <c r="Q4538" t="s">
        <v>21171</v>
      </c>
      <c r="R4538">
        <v>14</v>
      </c>
      <c r="S4538">
        <v>16</v>
      </c>
    </row>
    <row r="4539" spans="1:19" x14ac:dyDescent="0.35">
      <c r="A4539">
        <v>2297</v>
      </c>
      <c r="B4539" t="s">
        <v>21172</v>
      </c>
      <c r="C4539" t="s">
        <v>42</v>
      </c>
      <c r="D4539" t="s">
        <v>21173</v>
      </c>
      <c r="E4539" t="e" cm="1">
        <f t="array" ref="E4539">- BETAHISTINE MESILATE</f>
        <v>#NAME?</v>
      </c>
      <c r="F4539" t="s">
        <v>21174</v>
      </c>
      <c r="G4539" t="s">
        <v>2241</v>
      </c>
      <c r="H4539" t="s">
        <v>20187</v>
      </c>
      <c r="I4539" t="s">
        <v>19860</v>
      </c>
      <c r="J4539" t="s">
        <v>21175</v>
      </c>
      <c r="K4539" t="s">
        <v>19861</v>
      </c>
      <c r="L4539" t="s">
        <v>19862</v>
      </c>
      <c r="M4539" t="s">
        <v>46</v>
      </c>
      <c r="N4539" t="s">
        <v>2380</v>
      </c>
      <c r="O4539" t="s">
        <v>19863</v>
      </c>
      <c r="P4539" t="s">
        <v>21176</v>
      </c>
      <c r="Q4539" t="s">
        <v>21177</v>
      </c>
      <c r="R4539">
        <v>14</v>
      </c>
      <c r="S4539">
        <v>16</v>
      </c>
    </row>
    <row r="4540" spans="1:19" x14ac:dyDescent="0.35">
      <c r="A4540">
        <v>8788</v>
      </c>
      <c r="B4540" t="s">
        <v>2388</v>
      </c>
      <c r="C4540" t="s">
        <v>42</v>
      </c>
      <c r="D4540" t="s">
        <v>21178</v>
      </c>
      <c r="E4540" t="e" cm="1">
        <f t="array" ref="E4540">- PIOGLITAZONE HYDROCHLORIDE</f>
        <v>#NAME?</v>
      </c>
      <c r="F4540" s="1">
        <v>119400</v>
      </c>
      <c r="I4540" t="s">
        <v>21151</v>
      </c>
      <c r="J4540" t="s">
        <v>12837</v>
      </c>
      <c r="M4540" t="s">
        <v>46</v>
      </c>
      <c r="N4540" t="s">
        <v>2389</v>
      </c>
      <c r="O4540" t="s">
        <v>20300</v>
      </c>
      <c r="P4540" t="s">
        <v>21179</v>
      </c>
      <c r="Q4540" t="s">
        <v>21180</v>
      </c>
      <c r="R4540">
        <v>14</v>
      </c>
      <c r="S4540">
        <v>16</v>
      </c>
    </row>
    <row r="4541" spans="1:19" x14ac:dyDescent="0.35">
      <c r="A4541">
        <v>1472</v>
      </c>
      <c r="B4541" t="s">
        <v>21181</v>
      </c>
      <c r="C4541" t="s">
        <v>42</v>
      </c>
      <c r="D4541" t="s">
        <v>21182</v>
      </c>
      <c r="E4541" t="e" cm="1">
        <f t="array" ref="E4541">- DEXTROMETHORPHAN HYDROBROMIDE. EPHEDRINE HYDROCHLORIDE. GUAIFENESIN. CHLORPHENAMINE MALEATE</f>
        <v>#NAME?</v>
      </c>
      <c r="F4541" t="s">
        <v>21183</v>
      </c>
      <c r="G4541" t="s">
        <v>60</v>
      </c>
      <c r="H4541" t="s">
        <v>21184</v>
      </c>
      <c r="I4541" t="s">
        <v>21185</v>
      </c>
      <c r="J4541" t="s">
        <v>21186</v>
      </c>
      <c r="K4541" t="s">
        <v>21187</v>
      </c>
      <c r="L4541" t="s">
        <v>21188</v>
      </c>
      <c r="M4541" t="s">
        <v>46</v>
      </c>
      <c r="N4541" t="s">
        <v>21189</v>
      </c>
      <c r="O4541" t="s">
        <v>21190</v>
      </c>
      <c r="P4541" t="s">
        <v>21191</v>
      </c>
      <c r="Q4541" t="s">
        <v>21192</v>
      </c>
      <c r="R4541">
        <v>14</v>
      </c>
      <c r="S4541">
        <v>16</v>
      </c>
    </row>
    <row r="4542" spans="1:19" x14ac:dyDescent="0.35">
      <c r="A4542">
        <v>1799</v>
      </c>
      <c r="B4542" t="s">
        <v>21193</v>
      </c>
      <c r="C4542" t="s">
        <v>850</v>
      </c>
      <c r="D4542" t="s">
        <v>21194</v>
      </c>
      <c r="E4542" t="e" cm="1">
        <f t="array" ref="E4542">- Camphora</f>
        <v>#NAME?</v>
      </c>
      <c r="F4542" t="s">
        <v>21195</v>
      </c>
      <c r="H4542" t="s">
        <v>21196</v>
      </c>
      <c r="I4542" t="s">
        <v>21197</v>
      </c>
      <c r="J4542" t="s">
        <v>1647</v>
      </c>
      <c r="M4542" t="s">
        <v>3338</v>
      </c>
      <c r="N4542" t="s">
        <v>3633</v>
      </c>
      <c r="O4542" t="s">
        <v>21198</v>
      </c>
      <c r="P4542" t="s">
        <v>21199</v>
      </c>
      <c r="Q4542" t="s">
        <v>21200</v>
      </c>
      <c r="R4542">
        <v>14</v>
      </c>
      <c r="S4542">
        <v>16</v>
      </c>
    </row>
    <row r="4543" spans="1:19" x14ac:dyDescent="0.35">
      <c r="A4543">
        <v>1618</v>
      </c>
      <c r="B4543" t="s">
        <v>17400</v>
      </c>
      <c r="C4543" t="s">
        <v>42</v>
      </c>
      <c r="D4543" t="s">
        <v>17401</v>
      </c>
      <c r="E4543" t="e" cm="1">
        <f t="array" ref="E4543">- PARACETAMOL. PHENYLEPHRINE HYDROCHLORIDE</f>
        <v>#NAME?</v>
      </c>
      <c r="F4543" t="s">
        <v>17402</v>
      </c>
      <c r="G4543" t="s">
        <v>1691</v>
      </c>
      <c r="H4543" t="s">
        <v>17403</v>
      </c>
      <c r="I4543" t="s">
        <v>14672</v>
      </c>
      <c r="J4543" t="s">
        <v>17404</v>
      </c>
      <c r="K4543" t="s">
        <v>17405</v>
      </c>
      <c r="L4543" t="s">
        <v>17406</v>
      </c>
      <c r="M4543" t="s">
        <v>291</v>
      </c>
      <c r="N4543" t="s">
        <v>21201</v>
      </c>
      <c r="O4543" t="s">
        <v>14676</v>
      </c>
      <c r="P4543" t="s">
        <v>17407</v>
      </c>
      <c r="Q4543" t="s">
        <v>21202</v>
      </c>
      <c r="R4543">
        <v>14</v>
      </c>
      <c r="S4543">
        <v>16</v>
      </c>
    </row>
    <row r="4544" spans="1:19" x14ac:dyDescent="0.35">
      <c r="A4544">
        <v>77</v>
      </c>
      <c r="B4544" t="s">
        <v>2902</v>
      </c>
      <c r="C4544" t="s">
        <v>42</v>
      </c>
      <c r="D4544" t="s">
        <v>21203</v>
      </c>
      <c r="E4544" t="e" cm="1">
        <f t="array" ref="E4544">- SILDENAFIL CITRATE</f>
        <v>#NAME?</v>
      </c>
      <c r="F4544" s="1">
        <v>14900</v>
      </c>
      <c r="G4544" t="s">
        <v>21204</v>
      </c>
      <c r="I4544" t="s">
        <v>21205</v>
      </c>
      <c r="J4544" t="s">
        <v>9684</v>
      </c>
      <c r="L4544" t="s">
        <v>10925</v>
      </c>
      <c r="M4544" t="s">
        <v>46</v>
      </c>
      <c r="N4544" t="s">
        <v>2519</v>
      </c>
      <c r="O4544" t="s">
        <v>21206</v>
      </c>
      <c r="P4544" t="s">
        <v>21207</v>
      </c>
      <c r="Q4544" t="s">
        <v>21208</v>
      </c>
      <c r="R4544">
        <v>14</v>
      </c>
      <c r="S4544">
        <v>16</v>
      </c>
    </row>
    <row r="4545" spans="1:19" x14ac:dyDescent="0.35">
      <c r="A4545">
        <v>79</v>
      </c>
      <c r="B4545" t="s">
        <v>2902</v>
      </c>
      <c r="C4545" t="s">
        <v>42</v>
      </c>
      <c r="D4545" t="s">
        <v>21209</v>
      </c>
      <c r="E4545" t="e" cm="1">
        <f t="array" ref="E4545">- SILDENAFIL CITRATE</f>
        <v>#NAME?</v>
      </c>
      <c r="F4545" t="s">
        <v>21210</v>
      </c>
      <c r="G4545" t="s">
        <v>21211</v>
      </c>
      <c r="I4545" t="s">
        <v>21212</v>
      </c>
      <c r="J4545" t="s">
        <v>21213</v>
      </c>
      <c r="L4545" t="s">
        <v>21214</v>
      </c>
      <c r="M4545" t="s">
        <v>46</v>
      </c>
      <c r="N4545" t="s">
        <v>2519</v>
      </c>
      <c r="O4545" t="s">
        <v>21215</v>
      </c>
      <c r="P4545" t="s">
        <v>21216</v>
      </c>
      <c r="Q4545" t="s">
        <v>21217</v>
      </c>
      <c r="R4545">
        <v>14</v>
      </c>
      <c r="S4545">
        <v>16</v>
      </c>
    </row>
    <row r="4546" spans="1:19" x14ac:dyDescent="0.35">
      <c r="A4546">
        <v>4056</v>
      </c>
      <c r="B4546" t="s">
        <v>21218</v>
      </c>
      <c r="C4546" t="s">
        <v>42</v>
      </c>
      <c r="D4546" t="s">
        <v>21219</v>
      </c>
      <c r="E4546" t="e" cm="1">
        <f t="array" ref="E4546">- CETIRIZINE HYDROCHLORIDE</f>
        <v>#NAME?</v>
      </c>
      <c r="F4546" t="s">
        <v>21220</v>
      </c>
      <c r="G4546" t="s">
        <v>60</v>
      </c>
      <c r="H4546" t="s">
        <v>1498</v>
      </c>
      <c r="I4546" t="s">
        <v>21036</v>
      </c>
      <c r="J4546" t="s">
        <v>1087</v>
      </c>
      <c r="K4546" t="s">
        <v>16653</v>
      </c>
      <c r="L4546" t="s">
        <v>21157</v>
      </c>
      <c r="M4546" t="s">
        <v>291</v>
      </c>
      <c r="N4546" t="s">
        <v>1390</v>
      </c>
      <c r="O4546" t="s">
        <v>21038</v>
      </c>
      <c r="P4546" t="s">
        <v>21221</v>
      </c>
      <c r="Q4546" t="s">
        <v>21222</v>
      </c>
      <c r="R4546">
        <v>14</v>
      </c>
      <c r="S4546">
        <v>16</v>
      </c>
    </row>
    <row r="4547" spans="1:19" x14ac:dyDescent="0.35">
      <c r="A4547">
        <v>5566</v>
      </c>
      <c r="B4547" t="s">
        <v>21223</v>
      </c>
      <c r="C4547" t="s">
        <v>42</v>
      </c>
      <c r="D4547" t="s">
        <v>21224</v>
      </c>
      <c r="E4547" t="e" cm="1">
        <f t="array" ref="E4547">- HEPARIN SODIUM</f>
        <v>#NAME?</v>
      </c>
      <c r="F4547" t="s">
        <v>21225</v>
      </c>
      <c r="G4547" t="s">
        <v>21226</v>
      </c>
      <c r="H4547" t="s">
        <v>21227</v>
      </c>
      <c r="I4547" t="s">
        <v>21228</v>
      </c>
      <c r="J4547" t="s">
        <v>7159</v>
      </c>
      <c r="K4547" t="s">
        <v>2858</v>
      </c>
      <c r="L4547" t="s">
        <v>21229</v>
      </c>
      <c r="M4547" t="s">
        <v>87</v>
      </c>
      <c r="N4547" t="s">
        <v>2168</v>
      </c>
      <c r="O4547" t="s">
        <v>21230</v>
      </c>
      <c r="P4547" t="s">
        <v>21231</v>
      </c>
      <c r="Q4547" t="s">
        <v>21232</v>
      </c>
      <c r="R4547">
        <v>14</v>
      </c>
      <c r="S4547">
        <v>16</v>
      </c>
    </row>
    <row r="4548" spans="1:19" x14ac:dyDescent="0.35">
      <c r="A4548">
        <v>9244</v>
      </c>
      <c r="B4548" t="s">
        <v>21233</v>
      </c>
      <c r="C4548" t="s">
        <v>42</v>
      </c>
      <c r="D4548" t="s">
        <v>21234</v>
      </c>
      <c r="E4548" t="e" cm="1">
        <f t="array" ref="E4548">- HYDROCHLOROTHIAZIDE</f>
        <v>#NAME?</v>
      </c>
      <c r="F4548" t="s">
        <v>21235</v>
      </c>
      <c r="G4548" t="s">
        <v>60</v>
      </c>
      <c r="H4548" t="s">
        <v>2643</v>
      </c>
      <c r="I4548" t="s">
        <v>21236</v>
      </c>
      <c r="J4548" t="s">
        <v>21237</v>
      </c>
      <c r="K4548" t="s">
        <v>21238</v>
      </c>
      <c r="L4548" t="s">
        <v>21239</v>
      </c>
      <c r="M4548" t="s">
        <v>46</v>
      </c>
      <c r="N4548" t="s">
        <v>2647</v>
      </c>
      <c r="O4548" t="s">
        <v>21240</v>
      </c>
      <c r="P4548" t="s">
        <v>21241</v>
      </c>
      <c r="Q4548" t="s">
        <v>21242</v>
      </c>
      <c r="R4548">
        <v>14</v>
      </c>
      <c r="S4548">
        <v>16</v>
      </c>
    </row>
    <row r="4549" spans="1:19" x14ac:dyDescent="0.35">
      <c r="A4549">
        <v>1014</v>
      </c>
      <c r="B4549" t="s">
        <v>21243</v>
      </c>
      <c r="C4549" t="s">
        <v>42</v>
      </c>
      <c r="D4549" t="s">
        <v>21244</v>
      </c>
      <c r="E4549" t="e" cm="1">
        <f t="array" ref="E4549">- SUCCUS LIQUIRITIAE. AMMONIUM CHLORIDE</f>
        <v>#NAME?</v>
      </c>
      <c r="F4549" t="s">
        <v>21245</v>
      </c>
      <c r="G4549" t="s">
        <v>4482</v>
      </c>
      <c r="H4549" t="s">
        <v>21246</v>
      </c>
      <c r="I4549" t="s">
        <v>8504</v>
      </c>
      <c r="J4549" t="s">
        <v>21247</v>
      </c>
      <c r="K4549" t="s">
        <v>21248</v>
      </c>
      <c r="L4549" t="s">
        <v>21249</v>
      </c>
      <c r="M4549" t="s">
        <v>271</v>
      </c>
      <c r="N4549" t="s">
        <v>5134</v>
      </c>
      <c r="O4549" t="s">
        <v>8506</v>
      </c>
      <c r="P4549" t="s">
        <v>21250</v>
      </c>
      <c r="Q4549" t="s">
        <v>21251</v>
      </c>
      <c r="R4549">
        <v>14</v>
      </c>
      <c r="S4549">
        <v>16</v>
      </c>
    </row>
    <row r="4550" spans="1:19" x14ac:dyDescent="0.35">
      <c r="A4550">
        <v>2420</v>
      </c>
      <c r="B4550" t="s">
        <v>21252</v>
      </c>
      <c r="C4550" t="s">
        <v>42</v>
      </c>
      <c r="D4550" t="s">
        <v>21253</v>
      </c>
      <c r="E4550" t="e" cm="1">
        <f t="array" ref="E4550">- DICLOFENAC SODIUM</f>
        <v>#NAME?</v>
      </c>
      <c r="F4550" t="s">
        <v>21254</v>
      </c>
      <c r="G4550" t="s">
        <v>2241</v>
      </c>
      <c r="H4550" t="s">
        <v>2596</v>
      </c>
      <c r="I4550" t="s">
        <v>21255</v>
      </c>
      <c r="J4550" t="s">
        <v>21256</v>
      </c>
      <c r="K4550" t="s">
        <v>21257</v>
      </c>
      <c r="L4550" t="s">
        <v>21258</v>
      </c>
      <c r="M4550" t="s">
        <v>46</v>
      </c>
      <c r="N4550" t="s">
        <v>2597</v>
      </c>
      <c r="O4550" t="s">
        <v>21259</v>
      </c>
      <c r="P4550" t="s">
        <v>21260</v>
      </c>
      <c r="Q4550" t="s">
        <v>21261</v>
      </c>
      <c r="R4550">
        <v>14</v>
      </c>
      <c r="S4550">
        <v>16</v>
      </c>
    </row>
    <row r="4551" spans="1:19" x14ac:dyDescent="0.35">
      <c r="A4551">
        <v>4055</v>
      </c>
      <c r="B4551" t="s">
        <v>21262</v>
      </c>
      <c r="C4551" t="s">
        <v>42</v>
      </c>
      <c r="D4551" t="s">
        <v>21263</v>
      </c>
      <c r="E4551" t="e" cm="1">
        <f t="array" ref="E4551">- CETIRIZINE HYDROCHLORIDE</f>
        <v>#NAME?</v>
      </c>
      <c r="F4551" t="s">
        <v>21264</v>
      </c>
      <c r="G4551" t="s">
        <v>60</v>
      </c>
      <c r="H4551" t="s">
        <v>1498</v>
      </c>
      <c r="I4551" t="s">
        <v>21036</v>
      </c>
      <c r="J4551" t="s">
        <v>4038</v>
      </c>
      <c r="K4551" t="s">
        <v>16653</v>
      </c>
      <c r="L4551" t="s">
        <v>16654</v>
      </c>
      <c r="M4551" t="s">
        <v>824</v>
      </c>
      <c r="N4551" t="s">
        <v>1390</v>
      </c>
      <c r="O4551" t="s">
        <v>21038</v>
      </c>
      <c r="P4551" t="s">
        <v>20964</v>
      </c>
      <c r="Q4551" t="s">
        <v>21265</v>
      </c>
      <c r="R4551">
        <v>14</v>
      </c>
      <c r="S4551">
        <v>16</v>
      </c>
    </row>
    <row r="4552" spans="1:19" x14ac:dyDescent="0.35">
      <c r="A4552">
        <v>4300</v>
      </c>
      <c r="B4552" t="s">
        <v>21266</v>
      </c>
      <c r="C4552" t="s">
        <v>42</v>
      </c>
      <c r="D4552" t="s">
        <v>21267</v>
      </c>
      <c r="E4552" t="e" cm="1">
        <f t="array" ref="E4552">- CETIRIZINE HYDROCHLORIDE</f>
        <v>#NAME?</v>
      </c>
      <c r="F4552" t="s">
        <v>10991</v>
      </c>
      <c r="G4552" t="s">
        <v>2241</v>
      </c>
      <c r="H4552" t="s">
        <v>1498</v>
      </c>
      <c r="I4552" t="s">
        <v>21036</v>
      </c>
      <c r="J4552" t="s">
        <v>846</v>
      </c>
      <c r="M4552" t="s">
        <v>271</v>
      </c>
      <c r="N4552" t="s">
        <v>1390</v>
      </c>
      <c r="O4552" t="s">
        <v>21038</v>
      </c>
      <c r="P4552" t="s">
        <v>21268</v>
      </c>
      <c r="Q4552" t="s">
        <v>21269</v>
      </c>
      <c r="R4552">
        <v>14</v>
      </c>
      <c r="S4552">
        <v>16</v>
      </c>
    </row>
    <row r="4553" spans="1:19" x14ac:dyDescent="0.35">
      <c r="A4553">
        <v>1767</v>
      </c>
      <c r="B4553" t="s">
        <v>5012</v>
      </c>
      <c r="C4553" t="s">
        <v>850</v>
      </c>
      <c r="D4553" t="s">
        <v>21270</v>
      </c>
      <c r="E4553" t="e" cm="1">
        <f t="array" ref="E4553">- Mentholum</f>
        <v>#NAME?</v>
      </c>
      <c r="F4553" t="s">
        <v>21271</v>
      </c>
      <c r="G4553" t="s">
        <v>21272</v>
      </c>
      <c r="I4553" t="s">
        <v>21273</v>
      </c>
      <c r="J4553" t="s">
        <v>21274</v>
      </c>
      <c r="M4553" t="s">
        <v>3632</v>
      </c>
      <c r="N4553" t="s">
        <v>5016</v>
      </c>
      <c r="O4553" t="s">
        <v>21275</v>
      </c>
      <c r="P4553" t="s">
        <v>21276</v>
      </c>
      <c r="Q4553" t="s">
        <v>21277</v>
      </c>
      <c r="R4553">
        <v>14</v>
      </c>
      <c r="S4553">
        <v>16</v>
      </c>
    </row>
    <row r="4554" spans="1:19" x14ac:dyDescent="0.35">
      <c r="A4554">
        <v>4851</v>
      </c>
      <c r="B4554" t="s">
        <v>21278</v>
      </c>
      <c r="C4554" t="s">
        <v>42</v>
      </c>
      <c r="D4554" t="s">
        <v>21279</v>
      </c>
      <c r="E4554" t="e" cm="1">
        <f t="array" ref="E4554">- NATAMYCIN</f>
        <v>#NAME?</v>
      </c>
      <c r="F4554" t="s">
        <v>21280</v>
      </c>
      <c r="H4554" t="s">
        <v>21281</v>
      </c>
      <c r="I4554" t="s">
        <v>21282</v>
      </c>
      <c r="J4554" t="s">
        <v>9310</v>
      </c>
      <c r="L4554" t="s">
        <v>21283</v>
      </c>
    </row>
    <row r="4555" spans="1:19" x14ac:dyDescent="0.35">
      <c r="A4555">
        <v>4850</v>
      </c>
      <c r="B4555" t="s">
        <v>21278</v>
      </c>
      <c r="C4555" t="s">
        <v>42</v>
      </c>
      <c r="D4555" t="s">
        <v>21279</v>
      </c>
      <c r="E4555" t="e" cm="1">
        <f t="array" ref="E4555">- NATAMYCIN</f>
        <v>#NAME?</v>
      </c>
      <c r="F4555" t="s">
        <v>21280</v>
      </c>
      <c r="H4555" t="s">
        <v>21281</v>
      </c>
      <c r="I4555" t="s">
        <v>21282</v>
      </c>
      <c r="J4555" t="s">
        <v>9310</v>
      </c>
      <c r="L4555" t="s">
        <v>21283</v>
      </c>
    </row>
    <row r="4556" spans="1:19" x14ac:dyDescent="0.35">
      <c r="A4556">
        <v>4849</v>
      </c>
      <c r="B4556" t="s">
        <v>21278</v>
      </c>
      <c r="C4556" t="s">
        <v>42</v>
      </c>
      <c r="D4556" t="s">
        <v>21279</v>
      </c>
      <c r="E4556" t="e" cm="1">
        <f t="array" ref="E4556">- NATAMYCIN</f>
        <v>#NAME?</v>
      </c>
      <c r="F4556" t="s">
        <v>21280</v>
      </c>
      <c r="H4556" t="s">
        <v>21281</v>
      </c>
      <c r="I4556" t="s">
        <v>21282</v>
      </c>
      <c r="J4556" t="s">
        <v>9310</v>
      </c>
      <c r="L4556" t="s">
        <v>21283</v>
      </c>
    </row>
    <row r="4557" spans="1:19" x14ac:dyDescent="0.35">
      <c r="A4557">
        <v>5565</v>
      </c>
      <c r="B4557" t="s">
        <v>21223</v>
      </c>
      <c r="C4557" t="s">
        <v>42</v>
      </c>
      <c r="D4557" t="s">
        <v>21224</v>
      </c>
      <c r="E4557" t="e" cm="1">
        <f t="array" ref="E4557">- HEPARIN SODIUM</f>
        <v>#NAME?</v>
      </c>
      <c r="F4557" t="s">
        <v>21225</v>
      </c>
      <c r="G4557" t="s">
        <v>21226</v>
      </c>
      <c r="H4557" t="s">
        <v>21227</v>
      </c>
      <c r="I4557" t="s">
        <v>21228</v>
      </c>
      <c r="J4557" t="s">
        <v>7159</v>
      </c>
      <c r="K4557" t="s">
        <v>2858</v>
      </c>
      <c r="L4557" t="s">
        <v>21229</v>
      </c>
      <c r="M4557" t="s">
        <v>87</v>
      </c>
      <c r="N4557" t="s">
        <v>2168</v>
      </c>
      <c r="O4557" t="s">
        <v>21230</v>
      </c>
      <c r="P4557" t="s">
        <v>21231</v>
      </c>
      <c r="Q4557" t="s">
        <v>21232</v>
      </c>
      <c r="R4557">
        <v>14</v>
      </c>
      <c r="S4557">
        <v>16</v>
      </c>
    </row>
    <row r="4558" spans="1:19" x14ac:dyDescent="0.35">
      <c r="A4558">
        <v>8042</v>
      </c>
      <c r="B4558" t="s">
        <v>21284</v>
      </c>
      <c r="C4558" t="s">
        <v>20</v>
      </c>
      <c r="D4558" t="s">
        <v>21285</v>
      </c>
      <c r="E4558" t="s">
        <v>21286</v>
      </c>
      <c r="F4558" t="s">
        <v>19445</v>
      </c>
      <c r="G4558" t="s">
        <v>21287</v>
      </c>
      <c r="H4558" t="s">
        <v>7616</v>
      </c>
      <c r="I4558" t="s">
        <v>21288</v>
      </c>
      <c r="J4558" t="s">
        <v>1101</v>
      </c>
      <c r="M4558" t="s">
        <v>38</v>
      </c>
      <c r="N4558" t="s">
        <v>21289</v>
      </c>
      <c r="O4558" t="s">
        <v>21290</v>
      </c>
      <c r="P4558" t="s">
        <v>21289</v>
      </c>
      <c r="Q4558" t="s">
        <v>21291</v>
      </c>
      <c r="R4558">
        <v>14</v>
      </c>
      <c r="S4558">
        <v>16</v>
      </c>
    </row>
    <row r="4559" spans="1:19" x14ac:dyDescent="0.35">
      <c r="A4559">
        <v>8329</v>
      </c>
      <c r="B4559" t="s">
        <v>551</v>
      </c>
      <c r="C4559" t="s">
        <v>42</v>
      </c>
      <c r="D4559" t="s">
        <v>21292</v>
      </c>
      <c r="E4559" t="e" cm="1">
        <f t="array" ref="E4559">- POVIDONE-IODINE</f>
        <v>#NAME?</v>
      </c>
      <c r="F4559" t="s">
        <v>21293</v>
      </c>
      <c r="H4559" t="s">
        <v>1322</v>
      </c>
      <c r="I4559" t="s">
        <v>21294</v>
      </c>
      <c r="J4559" t="s">
        <v>21295</v>
      </c>
      <c r="M4559" t="s">
        <v>554</v>
      </c>
      <c r="N4559" t="s">
        <v>555</v>
      </c>
      <c r="O4559" t="s">
        <v>21296</v>
      </c>
      <c r="P4559" t="s">
        <v>6691</v>
      </c>
      <c r="Q4559" t="s">
        <v>21297</v>
      </c>
      <c r="R4559">
        <v>14</v>
      </c>
      <c r="S4559">
        <v>16</v>
      </c>
    </row>
    <row r="4560" spans="1:19" x14ac:dyDescent="0.35">
      <c r="A4560">
        <v>3494</v>
      </c>
      <c r="B4560" t="s">
        <v>21298</v>
      </c>
      <c r="C4560" t="s">
        <v>42</v>
      </c>
      <c r="D4560" t="s">
        <v>21299</v>
      </c>
      <c r="E4560" t="e" cm="1">
        <f t="array" ref="E4560">- ONDANSETRON HYDROCHLORIDE DIHYDRATE</f>
        <v>#NAME?</v>
      </c>
      <c r="F4560" t="s">
        <v>21300</v>
      </c>
      <c r="G4560" t="s">
        <v>14378</v>
      </c>
      <c r="H4560" t="s">
        <v>14379</v>
      </c>
      <c r="I4560" t="s">
        <v>14380</v>
      </c>
      <c r="J4560" t="s">
        <v>334</v>
      </c>
      <c r="K4560" t="s">
        <v>14086</v>
      </c>
      <c r="L4560" t="s">
        <v>14382</v>
      </c>
      <c r="M4560" t="s">
        <v>271</v>
      </c>
      <c r="N4560" t="s">
        <v>14087</v>
      </c>
      <c r="O4560" t="s">
        <v>14383</v>
      </c>
      <c r="P4560" t="s">
        <v>18211</v>
      </c>
      <c r="Q4560" t="s">
        <v>21301</v>
      </c>
      <c r="R4560">
        <v>14</v>
      </c>
      <c r="S4560">
        <v>16</v>
      </c>
    </row>
    <row r="4561" spans="1:19" x14ac:dyDescent="0.35">
      <c r="A4561">
        <v>7005</v>
      </c>
      <c r="B4561" t="s">
        <v>1803</v>
      </c>
      <c r="C4561" t="s">
        <v>42</v>
      </c>
      <c r="D4561" t="s">
        <v>21161</v>
      </c>
      <c r="E4561" t="e" cm="1">
        <f t="array" ref="E4561">- TIZANIDINE HYDROCHLORIDE</f>
        <v>#NAME?</v>
      </c>
      <c r="F4561" t="s">
        <v>21162</v>
      </c>
      <c r="G4561" t="s">
        <v>12009</v>
      </c>
      <c r="I4561" t="s">
        <v>16959</v>
      </c>
      <c r="J4561" t="s">
        <v>21163</v>
      </c>
      <c r="M4561" t="s">
        <v>46</v>
      </c>
      <c r="N4561" t="s">
        <v>1806</v>
      </c>
      <c r="O4561" t="s">
        <v>16960</v>
      </c>
      <c r="P4561" t="s">
        <v>9012</v>
      </c>
      <c r="Q4561" t="s">
        <v>21302</v>
      </c>
      <c r="R4561">
        <v>14</v>
      </c>
      <c r="S4561">
        <v>16</v>
      </c>
    </row>
    <row r="4562" spans="1:19" x14ac:dyDescent="0.35">
      <c r="A4562">
        <v>4101</v>
      </c>
      <c r="B4562" t="s">
        <v>21303</v>
      </c>
      <c r="C4562" t="s">
        <v>42</v>
      </c>
      <c r="D4562" t="s">
        <v>21304</v>
      </c>
      <c r="E4562" t="e" cm="1">
        <f t="array" ref="E4562">- CETIRIZINE HYDROCHLORIDE</f>
        <v>#NAME?</v>
      </c>
      <c r="F4562" t="s">
        <v>21305</v>
      </c>
      <c r="G4562" t="s">
        <v>21306</v>
      </c>
      <c r="H4562" t="s">
        <v>1498</v>
      </c>
      <c r="I4562" t="s">
        <v>21036</v>
      </c>
      <c r="J4562" t="s">
        <v>21307</v>
      </c>
      <c r="K4562" t="s">
        <v>16653</v>
      </c>
      <c r="L4562" t="s">
        <v>16654</v>
      </c>
      <c r="M4562" t="s">
        <v>271</v>
      </c>
      <c r="N4562" t="s">
        <v>1390</v>
      </c>
      <c r="O4562" t="s">
        <v>21038</v>
      </c>
      <c r="P4562" t="s">
        <v>21308</v>
      </c>
      <c r="Q4562" t="s">
        <v>21309</v>
      </c>
      <c r="R4562">
        <v>14</v>
      </c>
      <c r="S4562">
        <v>16</v>
      </c>
    </row>
    <row r="4563" spans="1:19" x14ac:dyDescent="0.35">
      <c r="A4563">
        <v>2853</v>
      </c>
      <c r="B4563" t="s">
        <v>21310</v>
      </c>
      <c r="C4563" t="s">
        <v>42</v>
      </c>
      <c r="D4563" t="s">
        <v>21311</v>
      </c>
      <c r="E4563" t="e" cm="1">
        <f t="array" ref="E4563">- IBUPROFEN</f>
        <v>#NAME?</v>
      </c>
      <c r="F4563" t="s">
        <v>21312</v>
      </c>
      <c r="G4563" t="s">
        <v>2241</v>
      </c>
      <c r="H4563" t="s">
        <v>21313</v>
      </c>
      <c r="I4563" t="s">
        <v>21314</v>
      </c>
      <c r="J4563" t="s">
        <v>334</v>
      </c>
      <c r="K4563" t="s">
        <v>21315</v>
      </c>
      <c r="L4563" t="s">
        <v>21316</v>
      </c>
      <c r="M4563" t="s">
        <v>340</v>
      </c>
      <c r="N4563" t="s">
        <v>383</v>
      </c>
      <c r="O4563" t="s">
        <v>21317</v>
      </c>
      <c r="P4563" t="s">
        <v>21318</v>
      </c>
      <c r="Q4563" t="s">
        <v>21319</v>
      </c>
      <c r="R4563">
        <v>14</v>
      </c>
      <c r="S4563">
        <v>16</v>
      </c>
    </row>
    <row r="4564" spans="1:19" x14ac:dyDescent="0.35">
      <c r="A4564">
        <v>3495</v>
      </c>
      <c r="B4564" t="s">
        <v>21298</v>
      </c>
      <c r="C4564" t="s">
        <v>42</v>
      </c>
      <c r="D4564" t="s">
        <v>21299</v>
      </c>
      <c r="E4564" t="e" cm="1">
        <f t="array" ref="E4564">- ONDANSETRON HYDROCHLORIDE DIHYDRATE</f>
        <v>#NAME?</v>
      </c>
      <c r="F4564" t="s">
        <v>21300</v>
      </c>
      <c r="G4564" t="s">
        <v>14378</v>
      </c>
      <c r="H4564" t="s">
        <v>14379</v>
      </c>
      <c r="I4564" t="s">
        <v>14380</v>
      </c>
      <c r="J4564" t="s">
        <v>334</v>
      </c>
      <c r="K4564" t="s">
        <v>14086</v>
      </c>
      <c r="L4564" t="s">
        <v>14382</v>
      </c>
      <c r="M4564" t="s">
        <v>271</v>
      </c>
      <c r="N4564" t="s">
        <v>14087</v>
      </c>
      <c r="O4564" t="s">
        <v>14383</v>
      </c>
      <c r="P4564" t="s">
        <v>18211</v>
      </c>
      <c r="Q4564" t="s">
        <v>21301</v>
      </c>
      <c r="R4564">
        <v>14</v>
      </c>
      <c r="S4564">
        <v>16</v>
      </c>
    </row>
    <row r="4565" spans="1:19" x14ac:dyDescent="0.35">
      <c r="A4565">
        <v>8328</v>
      </c>
      <c r="B4565" t="s">
        <v>551</v>
      </c>
      <c r="C4565" t="s">
        <v>42</v>
      </c>
      <c r="D4565" t="s">
        <v>21292</v>
      </c>
      <c r="E4565" t="e" cm="1">
        <f t="array" ref="E4565">- POVIDONE-IODINE</f>
        <v>#NAME?</v>
      </c>
      <c r="F4565" t="s">
        <v>21293</v>
      </c>
      <c r="H4565" t="s">
        <v>1322</v>
      </c>
      <c r="I4565" t="s">
        <v>21294</v>
      </c>
      <c r="J4565" t="s">
        <v>21295</v>
      </c>
      <c r="M4565" t="s">
        <v>554</v>
      </c>
      <c r="N4565" t="s">
        <v>555</v>
      </c>
      <c r="O4565" t="s">
        <v>21296</v>
      </c>
      <c r="P4565" t="s">
        <v>6691</v>
      </c>
      <c r="Q4565" t="s">
        <v>21297</v>
      </c>
      <c r="R4565">
        <v>14</v>
      </c>
      <c r="S4565">
        <v>16</v>
      </c>
    </row>
    <row r="4566" spans="1:19" x14ac:dyDescent="0.35">
      <c r="A4566">
        <v>6260</v>
      </c>
      <c r="B4566" t="s">
        <v>21320</v>
      </c>
      <c r="C4566" t="s">
        <v>42</v>
      </c>
      <c r="D4566" t="s">
        <v>21321</v>
      </c>
      <c r="E4566" t="e" cm="1">
        <f t="array" ref="E4566">- AMOXICILLIN TRIHYDRATE</f>
        <v>#NAME?</v>
      </c>
      <c r="F4566" t="s">
        <v>21322</v>
      </c>
      <c r="G4566" t="s">
        <v>21323</v>
      </c>
      <c r="H4566" t="s">
        <v>21324</v>
      </c>
      <c r="I4566" t="s">
        <v>21325</v>
      </c>
    </row>
    <row r="4567" spans="1:19" x14ac:dyDescent="0.35">
      <c r="A4567">
        <v>3502</v>
      </c>
      <c r="B4567" t="s">
        <v>19988</v>
      </c>
      <c r="C4567" t="s">
        <v>42</v>
      </c>
      <c r="D4567" t="s">
        <v>19989</v>
      </c>
      <c r="E4567" t="e" cm="1">
        <f t="array" ref="E4567">- ONDANSETRON HYDROCHLORIDE DIHYDRATE</f>
        <v>#NAME?</v>
      </c>
      <c r="F4567" t="s">
        <v>19990</v>
      </c>
      <c r="G4567" t="s">
        <v>14378</v>
      </c>
      <c r="H4567" t="s">
        <v>19991</v>
      </c>
      <c r="I4567" t="s">
        <v>18209</v>
      </c>
      <c r="J4567" t="s">
        <v>19992</v>
      </c>
      <c r="K4567" t="s">
        <v>14086</v>
      </c>
      <c r="L4567" t="s">
        <v>14382</v>
      </c>
      <c r="M4567" t="s">
        <v>46</v>
      </c>
      <c r="N4567" t="s">
        <v>14087</v>
      </c>
      <c r="O4567" t="s">
        <v>14383</v>
      </c>
      <c r="P4567" t="s">
        <v>18211</v>
      </c>
      <c r="Q4567" t="s">
        <v>21098</v>
      </c>
      <c r="R4567">
        <v>14</v>
      </c>
      <c r="S4567">
        <v>16</v>
      </c>
    </row>
    <row r="4568" spans="1:19" x14ac:dyDescent="0.35">
      <c r="A4568">
        <v>6259</v>
      </c>
      <c r="B4568" t="s">
        <v>21320</v>
      </c>
      <c r="C4568" t="s">
        <v>42</v>
      </c>
      <c r="D4568" t="s">
        <v>21321</v>
      </c>
      <c r="E4568" t="e" cm="1">
        <f t="array" ref="E4568">- AMOXICILLIN TRIHYDRATE</f>
        <v>#NAME?</v>
      </c>
      <c r="F4568" t="s">
        <v>21322</v>
      </c>
      <c r="G4568" t="s">
        <v>21323</v>
      </c>
      <c r="H4568" t="s">
        <v>21324</v>
      </c>
      <c r="I4568" t="s">
        <v>21325</v>
      </c>
    </row>
    <row r="4569" spans="1:19" x14ac:dyDescent="0.35">
      <c r="A4569">
        <v>2854</v>
      </c>
      <c r="B4569" t="s">
        <v>21310</v>
      </c>
      <c r="C4569" t="s">
        <v>42</v>
      </c>
      <c r="D4569" t="s">
        <v>21311</v>
      </c>
      <c r="E4569" t="e" cm="1">
        <f t="array" ref="E4569">- IBUPROFEN</f>
        <v>#NAME?</v>
      </c>
      <c r="F4569" t="s">
        <v>21312</v>
      </c>
      <c r="G4569" t="s">
        <v>2241</v>
      </c>
      <c r="H4569" t="s">
        <v>21313</v>
      </c>
      <c r="I4569" t="s">
        <v>21314</v>
      </c>
      <c r="J4569" t="s">
        <v>334</v>
      </c>
      <c r="K4569" t="s">
        <v>21315</v>
      </c>
      <c r="L4569" t="s">
        <v>21316</v>
      </c>
      <c r="M4569" t="s">
        <v>340</v>
      </c>
      <c r="N4569" t="s">
        <v>383</v>
      </c>
      <c r="O4569" t="s">
        <v>21317</v>
      </c>
      <c r="P4569" t="s">
        <v>21318</v>
      </c>
      <c r="Q4569" t="s">
        <v>21319</v>
      </c>
      <c r="R4569">
        <v>14</v>
      </c>
      <c r="S4569">
        <v>16</v>
      </c>
    </row>
    <row r="4570" spans="1:19" x14ac:dyDescent="0.35">
      <c r="A4570">
        <v>2618</v>
      </c>
      <c r="B4570" t="s">
        <v>21326</v>
      </c>
      <c r="C4570" t="s">
        <v>42</v>
      </c>
      <c r="D4570" t="s">
        <v>21327</v>
      </c>
      <c r="E4570" t="e" cm="1">
        <f t="array" ref="E4570">- IBUPROFEN</f>
        <v>#NAME?</v>
      </c>
      <c r="F4570" t="s">
        <v>21328</v>
      </c>
      <c r="G4570" t="s">
        <v>9583</v>
      </c>
      <c r="H4570" t="s">
        <v>21329</v>
      </c>
      <c r="I4570" t="s">
        <v>21330</v>
      </c>
      <c r="J4570" t="s">
        <v>945</v>
      </c>
      <c r="K4570" t="s">
        <v>9586</v>
      </c>
    </row>
    <row r="4571" spans="1:19" x14ac:dyDescent="0.35">
      <c r="A4571">
        <v>8001</v>
      </c>
      <c r="B4571" t="s">
        <v>21331</v>
      </c>
      <c r="C4571" t="s">
        <v>20</v>
      </c>
      <c r="D4571" t="s">
        <v>21332</v>
      </c>
      <c r="E4571" t="s">
        <v>21333</v>
      </c>
      <c r="F4571" t="s">
        <v>21334</v>
      </c>
      <c r="G4571" t="s">
        <v>21335</v>
      </c>
      <c r="H4571" t="s">
        <v>1322</v>
      </c>
      <c r="I4571" t="s">
        <v>21336</v>
      </c>
      <c r="J4571" t="s">
        <v>3964</v>
      </c>
      <c r="M4571" t="s">
        <v>2374</v>
      </c>
      <c r="N4571" t="s">
        <v>21337</v>
      </c>
      <c r="O4571" t="s">
        <v>21338</v>
      </c>
      <c r="P4571" t="s">
        <v>21339</v>
      </c>
      <c r="Q4571" t="s">
        <v>21340</v>
      </c>
      <c r="R4571">
        <v>14</v>
      </c>
      <c r="S4571">
        <v>16</v>
      </c>
    </row>
    <row r="4572" spans="1:19" x14ac:dyDescent="0.35">
      <c r="A4572">
        <v>1348</v>
      </c>
      <c r="B4572" t="s">
        <v>21341</v>
      </c>
      <c r="C4572" t="s">
        <v>42</v>
      </c>
      <c r="D4572" t="s">
        <v>21342</v>
      </c>
      <c r="E4572" t="e" cm="1">
        <f t="array" ref="E4572">- CHLORPHENAMINE MALEATE</f>
        <v>#NAME?</v>
      </c>
      <c r="F4572" t="s">
        <v>21343</v>
      </c>
      <c r="G4572" t="s">
        <v>539</v>
      </c>
      <c r="H4572" t="s">
        <v>21344</v>
      </c>
      <c r="I4572" t="s">
        <v>21345</v>
      </c>
      <c r="L4572" t="s">
        <v>21346</v>
      </c>
      <c r="M4572" t="s">
        <v>271</v>
      </c>
      <c r="N4572" t="s">
        <v>1354</v>
      </c>
      <c r="O4572" t="s">
        <v>19881</v>
      </c>
      <c r="P4572" t="s">
        <v>21347</v>
      </c>
      <c r="Q4572" t="s">
        <v>21348</v>
      </c>
      <c r="R4572">
        <v>14</v>
      </c>
      <c r="S4572">
        <v>16</v>
      </c>
    </row>
    <row r="4573" spans="1:19" x14ac:dyDescent="0.35">
      <c r="A4573">
        <v>5842</v>
      </c>
      <c r="B4573" t="s">
        <v>21349</v>
      </c>
      <c r="C4573" t="s">
        <v>42</v>
      </c>
      <c r="D4573" t="s">
        <v>21350</v>
      </c>
      <c r="E4573" t="e" cm="1">
        <f t="array" ref="E4573">- CEFADROXIL</f>
        <v>#NAME?</v>
      </c>
      <c r="F4573" t="s">
        <v>21351</v>
      </c>
      <c r="G4573" t="s">
        <v>2241</v>
      </c>
      <c r="H4573" t="s">
        <v>21352</v>
      </c>
      <c r="I4573" t="s">
        <v>21353</v>
      </c>
      <c r="J4573" t="s">
        <v>21354</v>
      </c>
      <c r="K4573" t="s">
        <v>21355</v>
      </c>
      <c r="L4573" t="s">
        <v>21356</v>
      </c>
      <c r="M4573" t="s">
        <v>38</v>
      </c>
      <c r="N4573" t="s">
        <v>21357</v>
      </c>
      <c r="O4573" t="s">
        <v>21358</v>
      </c>
      <c r="P4573" t="s">
        <v>21359</v>
      </c>
      <c r="Q4573" t="s">
        <v>21360</v>
      </c>
      <c r="R4573">
        <v>14</v>
      </c>
      <c r="S4573">
        <v>16</v>
      </c>
    </row>
    <row r="4574" spans="1:19" x14ac:dyDescent="0.35">
      <c r="A4574">
        <v>8305</v>
      </c>
      <c r="B4574" t="s">
        <v>551</v>
      </c>
      <c r="C4574" t="s">
        <v>42</v>
      </c>
      <c r="D4574" t="s">
        <v>21361</v>
      </c>
      <c r="E4574" t="e" cm="1">
        <f t="array" ref="E4574">- POVIDONE-IODINE</f>
        <v>#NAME?</v>
      </c>
      <c r="F4574" t="s">
        <v>21362</v>
      </c>
      <c r="G4574" t="s">
        <v>21363</v>
      </c>
      <c r="I4574" t="s">
        <v>21364</v>
      </c>
      <c r="J4574" t="s">
        <v>21365</v>
      </c>
      <c r="M4574" t="s">
        <v>554</v>
      </c>
      <c r="N4574" t="s">
        <v>555</v>
      </c>
      <c r="O4574" t="s">
        <v>21366</v>
      </c>
      <c r="P4574" t="s">
        <v>21367</v>
      </c>
      <c r="Q4574" t="s">
        <v>21368</v>
      </c>
      <c r="R4574">
        <v>14</v>
      </c>
      <c r="S4574">
        <v>16</v>
      </c>
    </row>
    <row r="4575" spans="1:19" x14ac:dyDescent="0.35">
      <c r="A4575">
        <v>1642</v>
      </c>
      <c r="B4575" t="s">
        <v>21369</v>
      </c>
      <c r="C4575" t="s">
        <v>42</v>
      </c>
      <c r="D4575" t="s">
        <v>21370</v>
      </c>
      <c r="E4575" t="e" cm="1">
        <f t="array" ref="E4575">- PSEUDOEPHEDRINE HYDROCHLORIDE. TRIPROLIDINE HYDROCHLORIDE. DEXTROMETHORPHAN HYDROBROMIDE</f>
        <v>#NAME?</v>
      </c>
      <c r="F4575" t="s">
        <v>21371</v>
      </c>
      <c r="G4575" t="s">
        <v>2241</v>
      </c>
      <c r="H4575" t="s">
        <v>20070</v>
      </c>
      <c r="I4575" t="s">
        <v>21372</v>
      </c>
      <c r="J4575" t="s">
        <v>17245</v>
      </c>
      <c r="K4575" t="s">
        <v>4677</v>
      </c>
      <c r="L4575" t="s">
        <v>20072</v>
      </c>
      <c r="M4575" t="s">
        <v>271</v>
      </c>
      <c r="N4575" t="s">
        <v>21373</v>
      </c>
      <c r="O4575" t="s">
        <v>21374</v>
      </c>
      <c r="P4575" t="s">
        <v>21375</v>
      </c>
      <c r="Q4575" t="s">
        <v>21376</v>
      </c>
      <c r="R4575">
        <v>14</v>
      </c>
      <c r="S4575">
        <v>16</v>
      </c>
    </row>
    <row r="4576" spans="1:19" x14ac:dyDescent="0.35">
      <c r="A4576">
        <v>2243</v>
      </c>
      <c r="B4576" t="s">
        <v>21377</v>
      </c>
      <c r="C4576" t="s">
        <v>42</v>
      </c>
      <c r="D4576" t="s">
        <v>21378</v>
      </c>
      <c r="E4576" t="e" cm="1">
        <f t="array" ref="E4576">- PARACETAMOL</f>
        <v>#NAME?</v>
      </c>
      <c r="F4576" t="s">
        <v>16220</v>
      </c>
      <c r="G4576" t="s">
        <v>4420</v>
      </c>
      <c r="H4576" t="s">
        <v>21379</v>
      </c>
      <c r="I4576" t="s">
        <v>21380</v>
      </c>
      <c r="J4576" t="s">
        <v>21381</v>
      </c>
      <c r="K4576" t="s">
        <v>21382</v>
      </c>
      <c r="M4576" t="s">
        <v>291</v>
      </c>
      <c r="N4576" t="s">
        <v>584</v>
      </c>
      <c r="O4576" t="s">
        <v>21383</v>
      </c>
      <c r="P4576" t="s">
        <v>21384</v>
      </c>
      <c r="Q4576" t="s">
        <v>21385</v>
      </c>
      <c r="R4576">
        <v>14</v>
      </c>
      <c r="S4576">
        <v>16</v>
      </c>
    </row>
    <row r="4577" spans="1:19" x14ac:dyDescent="0.35">
      <c r="A4577">
        <v>2242</v>
      </c>
      <c r="B4577" t="s">
        <v>21377</v>
      </c>
      <c r="C4577" t="s">
        <v>42</v>
      </c>
      <c r="D4577" t="s">
        <v>21378</v>
      </c>
      <c r="E4577" t="e" cm="1">
        <f t="array" ref="E4577">- PARACETAMOL</f>
        <v>#NAME?</v>
      </c>
      <c r="F4577" t="s">
        <v>16220</v>
      </c>
      <c r="G4577" t="s">
        <v>4420</v>
      </c>
      <c r="H4577" t="s">
        <v>21379</v>
      </c>
      <c r="I4577" t="s">
        <v>21380</v>
      </c>
      <c r="J4577" t="s">
        <v>21381</v>
      </c>
      <c r="K4577" t="s">
        <v>21382</v>
      </c>
      <c r="M4577" t="s">
        <v>291</v>
      </c>
      <c r="N4577" t="s">
        <v>584</v>
      </c>
      <c r="O4577" t="s">
        <v>21383</v>
      </c>
      <c r="P4577" t="s">
        <v>21384</v>
      </c>
      <c r="Q4577" t="s">
        <v>21385</v>
      </c>
      <c r="R4577">
        <v>14</v>
      </c>
      <c r="S4577">
        <v>16</v>
      </c>
    </row>
    <row r="4578" spans="1:19" x14ac:dyDescent="0.35">
      <c r="A4578">
        <v>5351</v>
      </c>
      <c r="B4578" t="s">
        <v>21386</v>
      </c>
      <c r="C4578" t="s">
        <v>42</v>
      </c>
      <c r="D4578" t="s">
        <v>21387</v>
      </c>
      <c r="E4578" t="e" cm="1">
        <f t="array" ref="E4578">- ACICLOVIR</f>
        <v>#NAME?</v>
      </c>
      <c r="F4578" t="s">
        <v>21388</v>
      </c>
      <c r="G4578" t="s">
        <v>21389</v>
      </c>
      <c r="H4578" t="s">
        <v>21390</v>
      </c>
      <c r="I4578" t="s">
        <v>21391</v>
      </c>
      <c r="J4578" t="s">
        <v>7123</v>
      </c>
      <c r="K4578" t="s">
        <v>21392</v>
      </c>
      <c r="L4578" t="s">
        <v>21393</v>
      </c>
      <c r="M4578" t="s">
        <v>1289</v>
      </c>
      <c r="N4578" t="s">
        <v>1685</v>
      </c>
      <c r="O4578" t="s">
        <v>21394</v>
      </c>
      <c r="P4578" t="s">
        <v>21395</v>
      </c>
      <c r="Q4578" t="s">
        <v>21396</v>
      </c>
      <c r="R4578">
        <v>14</v>
      </c>
      <c r="S4578">
        <v>16</v>
      </c>
    </row>
    <row r="4579" spans="1:19" x14ac:dyDescent="0.35">
      <c r="A4579">
        <v>5472</v>
      </c>
      <c r="B4579" t="s">
        <v>17124</v>
      </c>
      <c r="C4579" t="s">
        <v>42</v>
      </c>
      <c r="D4579" t="s">
        <v>17125</v>
      </c>
      <c r="E4579" t="e" cm="1">
        <f t="array" ref="E4579">- NEOMYCIN SULFATE. FLUOCINOLONE ACETONIDE</f>
        <v>#NAME?</v>
      </c>
      <c r="F4579" t="s">
        <v>17126</v>
      </c>
      <c r="G4579" t="s">
        <v>17127</v>
      </c>
      <c r="H4579" t="s">
        <v>9718</v>
      </c>
      <c r="I4579" t="s">
        <v>17128</v>
      </c>
      <c r="J4579" t="s">
        <v>17129</v>
      </c>
      <c r="K4579" t="s">
        <v>17130</v>
      </c>
      <c r="L4579" t="s">
        <v>17131</v>
      </c>
      <c r="M4579" t="s">
        <v>1289</v>
      </c>
      <c r="N4579" t="s">
        <v>19321</v>
      </c>
      <c r="O4579" t="s">
        <v>17132</v>
      </c>
      <c r="P4579" t="s">
        <v>17133</v>
      </c>
      <c r="Q4579" t="s">
        <v>21397</v>
      </c>
      <c r="R4579">
        <v>14</v>
      </c>
      <c r="S4579">
        <v>16</v>
      </c>
    </row>
    <row r="4580" spans="1:19" x14ac:dyDescent="0.35">
      <c r="A4580">
        <v>7432</v>
      </c>
      <c r="B4580" t="s">
        <v>21398</v>
      </c>
      <c r="C4580" t="s">
        <v>42</v>
      </c>
      <c r="D4580" t="s">
        <v>21399</v>
      </c>
      <c r="E4580" t="e" cm="1">
        <f t="array" ref="E4580">- CHOLECALCIFEROL</f>
        <v>#NAME?</v>
      </c>
      <c r="F4580" t="s">
        <v>21400</v>
      </c>
      <c r="G4580" t="s">
        <v>2241</v>
      </c>
      <c r="H4580" t="s">
        <v>18622</v>
      </c>
      <c r="I4580" t="s">
        <v>18623</v>
      </c>
      <c r="J4580" t="s">
        <v>21401</v>
      </c>
      <c r="K4580" t="s">
        <v>21402</v>
      </c>
      <c r="L4580" t="s">
        <v>21403</v>
      </c>
      <c r="M4580" t="s">
        <v>46</v>
      </c>
      <c r="N4580" t="s">
        <v>18627</v>
      </c>
      <c r="O4580" t="s">
        <v>18628</v>
      </c>
      <c r="P4580" t="s">
        <v>21404</v>
      </c>
      <c r="Q4580" t="s">
        <v>21405</v>
      </c>
      <c r="R4580">
        <v>14</v>
      </c>
      <c r="S4580">
        <v>16</v>
      </c>
    </row>
    <row r="4581" spans="1:19" x14ac:dyDescent="0.35">
      <c r="A4581">
        <v>7433</v>
      </c>
      <c r="B4581" t="s">
        <v>21406</v>
      </c>
      <c r="C4581" t="s">
        <v>42</v>
      </c>
      <c r="D4581" t="s">
        <v>21407</v>
      </c>
      <c r="E4581" t="e" cm="1">
        <f t="array" ref="E4581">- CHOLECALCIFEROL</f>
        <v>#NAME?</v>
      </c>
      <c r="F4581" t="s">
        <v>21408</v>
      </c>
      <c r="G4581" t="s">
        <v>21409</v>
      </c>
      <c r="H4581" t="s">
        <v>18622</v>
      </c>
      <c r="I4581" t="s">
        <v>18623</v>
      </c>
      <c r="J4581" t="s">
        <v>21410</v>
      </c>
      <c r="K4581" t="s">
        <v>21411</v>
      </c>
      <c r="L4581" t="s">
        <v>21412</v>
      </c>
      <c r="M4581" t="s">
        <v>46</v>
      </c>
      <c r="N4581" t="s">
        <v>18627</v>
      </c>
      <c r="O4581" t="s">
        <v>18628</v>
      </c>
      <c r="P4581" t="s">
        <v>21413</v>
      </c>
      <c r="Q4581" t="s">
        <v>21414</v>
      </c>
      <c r="R4581">
        <v>14</v>
      </c>
      <c r="S4581">
        <v>16</v>
      </c>
    </row>
    <row r="4582" spans="1:19" x14ac:dyDescent="0.35">
      <c r="A4582">
        <v>2241</v>
      </c>
      <c r="B4582" t="s">
        <v>21377</v>
      </c>
      <c r="C4582" t="s">
        <v>42</v>
      </c>
      <c r="D4582" t="s">
        <v>21378</v>
      </c>
      <c r="E4582" t="e" cm="1">
        <f t="array" ref="E4582">- PARACETAMOL</f>
        <v>#NAME?</v>
      </c>
      <c r="F4582" t="s">
        <v>16220</v>
      </c>
      <c r="G4582" t="s">
        <v>4420</v>
      </c>
      <c r="H4582" t="s">
        <v>21379</v>
      </c>
      <c r="I4582" t="s">
        <v>21380</v>
      </c>
      <c r="J4582" t="s">
        <v>21381</v>
      </c>
      <c r="K4582" t="s">
        <v>21382</v>
      </c>
      <c r="M4582" t="s">
        <v>291</v>
      </c>
      <c r="N4582" t="s">
        <v>584</v>
      </c>
      <c r="O4582" t="s">
        <v>21383</v>
      </c>
      <c r="P4582" t="s">
        <v>21384</v>
      </c>
      <c r="Q4582" t="s">
        <v>21385</v>
      </c>
      <c r="R4582">
        <v>14</v>
      </c>
      <c r="S4582">
        <v>16</v>
      </c>
    </row>
    <row r="4583" spans="1:19" x14ac:dyDescent="0.35">
      <c r="A4583">
        <v>6128</v>
      </c>
      <c r="B4583" t="s">
        <v>21415</v>
      </c>
      <c r="C4583" t="s">
        <v>42</v>
      </c>
      <c r="D4583" t="s">
        <v>21416</v>
      </c>
      <c r="E4583" t="e" cm="1">
        <f t="array" ref="E4583">- THIAMPHENICOL</f>
        <v>#NAME?</v>
      </c>
      <c r="F4583" t="s">
        <v>21417</v>
      </c>
      <c r="G4583" t="s">
        <v>5568</v>
      </c>
      <c r="H4583" t="s">
        <v>21418</v>
      </c>
      <c r="I4583" t="s">
        <v>21419</v>
      </c>
      <c r="J4583" t="s">
        <v>18894</v>
      </c>
      <c r="K4583" t="s">
        <v>21420</v>
      </c>
      <c r="L4583" t="s">
        <v>21421</v>
      </c>
      <c r="M4583" t="s">
        <v>271</v>
      </c>
      <c r="N4583" t="s">
        <v>272</v>
      </c>
      <c r="O4583" t="s">
        <v>21422</v>
      </c>
      <c r="P4583" t="s">
        <v>21423</v>
      </c>
      <c r="Q4583" t="s">
        <v>21424</v>
      </c>
      <c r="R4583">
        <v>14</v>
      </c>
      <c r="S4583">
        <v>16</v>
      </c>
    </row>
    <row r="4584" spans="1:19" x14ac:dyDescent="0.35">
      <c r="A4584">
        <v>2240</v>
      </c>
      <c r="B4584" t="s">
        <v>21377</v>
      </c>
      <c r="C4584" t="s">
        <v>42</v>
      </c>
      <c r="D4584" t="s">
        <v>21378</v>
      </c>
      <c r="E4584" t="e" cm="1">
        <f t="array" ref="E4584">- PARACETAMOL</f>
        <v>#NAME?</v>
      </c>
      <c r="F4584" t="s">
        <v>16220</v>
      </c>
      <c r="G4584" t="s">
        <v>4420</v>
      </c>
      <c r="H4584" t="s">
        <v>21379</v>
      </c>
      <c r="I4584" t="s">
        <v>21380</v>
      </c>
      <c r="J4584" t="s">
        <v>21381</v>
      </c>
      <c r="K4584" t="s">
        <v>21382</v>
      </c>
      <c r="M4584" t="s">
        <v>291</v>
      </c>
      <c r="N4584" t="s">
        <v>584</v>
      </c>
      <c r="O4584" t="s">
        <v>21383</v>
      </c>
      <c r="P4584" t="s">
        <v>21384</v>
      </c>
      <c r="Q4584" t="s">
        <v>21385</v>
      </c>
      <c r="R4584">
        <v>14</v>
      </c>
      <c r="S4584">
        <v>16</v>
      </c>
    </row>
    <row r="4585" spans="1:19" x14ac:dyDescent="0.35">
      <c r="A4585">
        <v>2239</v>
      </c>
      <c r="B4585" t="s">
        <v>21377</v>
      </c>
      <c r="C4585" t="s">
        <v>42</v>
      </c>
      <c r="D4585" t="s">
        <v>21378</v>
      </c>
      <c r="E4585" t="e" cm="1">
        <f t="array" ref="E4585">- PARACETAMOL</f>
        <v>#NAME?</v>
      </c>
      <c r="F4585" t="s">
        <v>16220</v>
      </c>
      <c r="G4585" t="s">
        <v>4420</v>
      </c>
      <c r="H4585" t="s">
        <v>21379</v>
      </c>
      <c r="I4585" t="s">
        <v>21380</v>
      </c>
      <c r="J4585" t="s">
        <v>21381</v>
      </c>
      <c r="K4585" t="s">
        <v>21382</v>
      </c>
      <c r="M4585" t="s">
        <v>291</v>
      </c>
      <c r="N4585" t="s">
        <v>584</v>
      </c>
      <c r="O4585" t="s">
        <v>21383</v>
      </c>
      <c r="P4585" t="s">
        <v>21384</v>
      </c>
      <c r="Q4585" t="s">
        <v>21385</v>
      </c>
      <c r="R4585">
        <v>14</v>
      </c>
      <c r="S4585">
        <v>16</v>
      </c>
    </row>
    <row r="4586" spans="1:19" x14ac:dyDescent="0.35">
      <c r="A4586">
        <v>5474</v>
      </c>
      <c r="B4586" t="s">
        <v>21425</v>
      </c>
      <c r="C4586" t="s">
        <v>42</v>
      </c>
      <c r="D4586" t="s">
        <v>21426</v>
      </c>
      <c r="E4586" t="e" cm="1">
        <f t="array" ref="E4586">- HYDROCORTISONE ACETATE</f>
        <v>#NAME?</v>
      </c>
      <c r="F4586" t="s">
        <v>21427</v>
      </c>
      <c r="G4586" t="s">
        <v>17097</v>
      </c>
      <c r="H4586" t="s">
        <v>11913</v>
      </c>
      <c r="I4586" t="s">
        <v>21428</v>
      </c>
      <c r="J4586" t="s">
        <v>2040</v>
      </c>
      <c r="K4586" t="s">
        <v>21429</v>
      </c>
      <c r="L4586" t="s">
        <v>21430</v>
      </c>
      <c r="M4586" t="s">
        <v>1289</v>
      </c>
      <c r="N4586" t="s">
        <v>7168</v>
      </c>
      <c r="O4586" t="s">
        <v>21431</v>
      </c>
      <c r="P4586" t="s">
        <v>21432</v>
      </c>
      <c r="Q4586" t="s">
        <v>21433</v>
      </c>
      <c r="R4586">
        <v>14</v>
      </c>
      <c r="S4586">
        <v>16</v>
      </c>
    </row>
    <row r="4587" spans="1:19" x14ac:dyDescent="0.35">
      <c r="A4587">
        <v>6529</v>
      </c>
      <c r="B4587" t="s">
        <v>21434</v>
      </c>
      <c r="C4587" t="s">
        <v>42</v>
      </c>
      <c r="D4587" t="s">
        <v>21435</v>
      </c>
      <c r="E4587" t="e" cm="1">
        <f t="array" ref="E4587">- KOMBINASI-ITRACONAZOLE PELLET</f>
        <v>#NAME?</v>
      </c>
      <c r="F4587" t="s">
        <v>21436</v>
      </c>
      <c r="G4587" t="s">
        <v>21437</v>
      </c>
      <c r="H4587" t="s">
        <v>18882</v>
      </c>
      <c r="I4587" t="s">
        <v>18883</v>
      </c>
      <c r="J4587" t="s">
        <v>14600</v>
      </c>
      <c r="K4587" t="s">
        <v>21438</v>
      </c>
      <c r="L4587" t="s">
        <v>21439</v>
      </c>
      <c r="M4587" t="s">
        <v>38</v>
      </c>
      <c r="N4587" t="s">
        <v>21440</v>
      </c>
      <c r="O4587" t="s">
        <v>18886</v>
      </c>
      <c r="P4587" t="s">
        <v>5512</v>
      </c>
      <c r="Q4587" t="s">
        <v>21441</v>
      </c>
      <c r="R4587">
        <v>14</v>
      </c>
      <c r="S4587">
        <v>16</v>
      </c>
    </row>
    <row r="4588" spans="1:19" x14ac:dyDescent="0.35">
      <c r="A4588">
        <v>9608</v>
      </c>
      <c r="B4588" t="s">
        <v>6301</v>
      </c>
      <c r="C4588" t="s">
        <v>42</v>
      </c>
      <c r="D4588" t="s">
        <v>21442</v>
      </c>
      <c r="E4588" t="s">
        <v>6303</v>
      </c>
      <c r="F4588" t="s">
        <v>21443</v>
      </c>
      <c r="G4588" t="s">
        <v>21444</v>
      </c>
      <c r="H4588" t="s">
        <v>1322</v>
      </c>
      <c r="I4588" t="s">
        <v>15355</v>
      </c>
      <c r="J4588" t="s">
        <v>21445</v>
      </c>
      <c r="L4588" t="s">
        <v>21446</v>
      </c>
      <c r="M4588" t="s">
        <v>46</v>
      </c>
      <c r="N4588" t="s">
        <v>6304</v>
      </c>
      <c r="O4588" t="s">
        <v>15358</v>
      </c>
      <c r="P4588" t="s">
        <v>21447</v>
      </c>
      <c r="Q4588" t="s">
        <v>21448</v>
      </c>
      <c r="R4588">
        <v>14</v>
      </c>
      <c r="S4588">
        <v>16</v>
      </c>
    </row>
    <row r="4589" spans="1:19" x14ac:dyDescent="0.35">
      <c r="A4589">
        <v>1809</v>
      </c>
      <c r="B4589" t="s">
        <v>17650</v>
      </c>
      <c r="C4589" t="s">
        <v>850</v>
      </c>
      <c r="D4589" t="s">
        <v>21449</v>
      </c>
      <c r="E4589" t="e" cm="1">
        <f t="array" ref="E4589">- Methyl Salicylate</f>
        <v>#NAME?</v>
      </c>
      <c r="F4589" t="s">
        <v>21450</v>
      </c>
      <c r="G4589" t="s">
        <v>21451</v>
      </c>
      <c r="H4589" t="s">
        <v>1322</v>
      </c>
      <c r="I4589" t="s">
        <v>21452</v>
      </c>
      <c r="J4589" t="s">
        <v>11903</v>
      </c>
      <c r="L4589" t="s">
        <v>21453</v>
      </c>
      <c r="M4589" t="s">
        <v>2115</v>
      </c>
      <c r="N4589" t="s">
        <v>3276</v>
      </c>
      <c r="O4589" t="s">
        <v>21454</v>
      </c>
      <c r="P4589" t="s">
        <v>17657</v>
      </c>
      <c r="Q4589" t="s">
        <v>21455</v>
      </c>
      <c r="R4589">
        <v>14</v>
      </c>
      <c r="S4589">
        <v>16</v>
      </c>
    </row>
    <row r="4590" spans="1:19" x14ac:dyDescent="0.35">
      <c r="A4590">
        <v>6530</v>
      </c>
      <c r="B4590" t="s">
        <v>21434</v>
      </c>
      <c r="C4590" t="s">
        <v>42</v>
      </c>
      <c r="D4590" t="s">
        <v>21435</v>
      </c>
      <c r="E4590" t="e" cm="1">
        <f t="array" ref="E4590">- KOMBINASI-ITRACONAZOLE PELLET</f>
        <v>#NAME?</v>
      </c>
      <c r="F4590" t="s">
        <v>21436</v>
      </c>
      <c r="G4590" t="s">
        <v>21437</v>
      </c>
      <c r="H4590" t="s">
        <v>18882</v>
      </c>
      <c r="I4590" t="s">
        <v>18883</v>
      </c>
      <c r="J4590" t="s">
        <v>14600</v>
      </c>
      <c r="K4590" t="s">
        <v>21438</v>
      </c>
      <c r="L4590" t="s">
        <v>21439</v>
      </c>
      <c r="M4590" t="s">
        <v>38</v>
      </c>
      <c r="N4590" t="s">
        <v>21440</v>
      </c>
      <c r="O4590" t="s">
        <v>18886</v>
      </c>
      <c r="P4590" t="s">
        <v>5512</v>
      </c>
      <c r="Q4590" t="s">
        <v>21441</v>
      </c>
      <c r="R4590">
        <v>14</v>
      </c>
      <c r="S4590">
        <v>16</v>
      </c>
    </row>
    <row r="4591" spans="1:19" x14ac:dyDescent="0.35">
      <c r="A4591">
        <v>4372</v>
      </c>
      <c r="B4591" t="s">
        <v>1637</v>
      </c>
      <c r="C4591" t="s">
        <v>42</v>
      </c>
      <c r="D4591" t="s">
        <v>21456</v>
      </c>
      <c r="E4591" t="e" cm="1">
        <f t="array" ref="E4591">- OFLOXACIN</f>
        <v>#NAME?</v>
      </c>
      <c r="F4591" t="s">
        <v>21457</v>
      </c>
      <c r="H4591" t="s">
        <v>21458</v>
      </c>
      <c r="I4591" t="s">
        <v>21459</v>
      </c>
      <c r="J4591" t="s">
        <v>743</v>
      </c>
      <c r="M4591" t="s">
        <v>824</v>
      </c>
      <c r="N4591" t="s">
        <v>1640</v>
      </c>
      <c r="O4591" t="s">
        <v>21460</v>
      </c>
      <c r="P4591" t="s">
        <v>21461</v>
      </c>
      <c r="Q4591" t="s">
        <v>21462</v>
      </c>
      <c r="R4591">
        <v>14</v>
      </c>
      <c r="S4591">
        <v>16</v>
      </c>
    </row>
    <row r="4592" spans="1:19" x14ac:dyDescent="0.35">
      <c r="A4592">
        <v>1726</v>
      </c>
      <c r="B4592" t="s">
        <v>21463</v>
      </c>
      <c r="C4592" t="s">
        <v>42</v>
      </c>
      <c r="D4592" t="s">
        <v>21464</v>
      </c>
      <c r="E4592" t="e" cm="1">
        <f t="array" ref="E4592">- ACETYL CYSTEINE</f>
        <v>#NAME?</v>
      </c>
      <c r="F4592" s="1">
        <v>92600</v>
      </c>
      <c r="H4592" t="s">
        <v>21465</v>
      </c>
      <c r="I4592" t="s">
        <v>21466</v>
      </c>
      <c r="J4592" t="s">
        <v>21467</v>
      </c>
      <c r="K4592" t="s">
        <v>2726</v>
      </c>
      <c r="L4592" t="s">
        <v>21468</v>
      </c>
      <c r="M4592" t="s">
        <v>3423</v>
      </c>
      <c r="N4592" t="s">
        <v>1309</v>
      </c>
      <c r="O4592" t="s">
        <v>21469</v>
      </c>
      <c r="P4592" t="s">
        <v>21470</v>
      </c>
      <c r="Q4592" t="s">
        <v>21471</v>
      </c>
      <c r="R4592">
        <v>14</v>
      </c>
      <c r="S4592">
        <v>16</v>
      </c>
    </row>
    <row r="4593" spans="1:19" x14ac:dyDescent="0.35">
      <c r="A4593">
        <v>1725</v>
      </c>
      <c r="B4593" t="s">
        <v>21463</v>
      </c>
      <c r="C4593" t="s">
        <v>42</v>
      </c>
      <c r="D4593" t="s">
        <v>21464</v>
      </c>
      <c r="E4593" t="e" cm="1">
        <f t="array" ref="E4593">- ACETYL CYSTEINE</f>
        <v>#NAME?</v>
      </c>
      <c r="F4593" s="1">
        <v>92600</v>
      </c>
      <c r="H4593" t="s">
        <v>21465</v>
      </c>
      <c r="I4593" t="s">
        <v>21466</v>
      </c>
      <c r="J4593" t="s">
        <v>21467</v>
      </c>
      <c r="K4593" t="s">
        <v>2726</v>
      </c>
      <c r="L4593" t="s">
        <v>21468</v>
      </c>
      <c r="M4593" t="s">
        <v>3423</v>
      </c>
      <c r="N4593" t="s">
        <v>1309</v>
      </c>
      <c r="O4593" t="s">
        <v>21469</v>
      </c>
      <c r="P4593" t="s">
        <v>21470</v>
      </c>
      <c r="Q4593" t="s">
        <v>21471</v>
      </c>
      <c r="R4593">
        <v>14</v>
      </c>
      <c r="S4593">
        <v>16</v>
      </c>
    </row>
    <row r="4594" spans="1:19" x14ac:dyDescent="0.35">
      <c r="A4594">
        <v>4375</v>
      </c>
      <c r="B4594" t="s">
        <v>1637</v>
      </c>
      <c r="C4594" t="s">
        <v>42</v>
      </c>
      <c r="D4594" t="s">
        <v>21472</v>
      </c>
      <c r="E4594" t="e" cm="1">
        <f t="array" ref="E4594">- OFLOXACIN</f>
        <v>#NAME?</v>
      </c>
      <c r="F4594" t="s">
        <v>21473</v>
      </c>
      <c r="G4594" t="s">
        <v>21474</v>
      </c>
      <c r="H4594" t="s">
        <v>1322</v>
      </c>
      <c r="I4594" t="s">
        <v>21475</v>
      </c>
      <c r="J4594" t="s">
        <v>4010</v>
      </c>
      <c r="L4594" t="s">
        <v>21476</v>
      </c>
      <c r="M4594" t="s">
        <v>824</v>
      </c>
      <c r="N4594" t="s">
        <v>1640</v>
      </c>
      <c r="O4594" t="s">
        <v>21477</v>
      </c>
      <c r="P4594" t="s">
        <v>21478</v>
      </c>
      <c r="Q4594" t="s">
        <v>21479</v>
      </c>
      <c r="R4594">
        <v>14</v>
      </c>
      <c r="S4594">
        <v>16</v>
      </c>
    </row>
    <row r="4595" spans="1:19" x14ac:dyDescent="0.35">
      <c r="A4595">
        <v>8265</v>
      </c>
      <c r="B4595" t="s">
        <v>551</v>
      </c>
      <c r="C4595" t="s">
        <v>42</v>
      </c>
      <c r="D4595" t="s">
        <v>21480</v>
      </c>
      <c r="E4595" t="e" cm="1">
        <f t="array" ref="E4595">- POVIDONE-IODINE</f>
        <v>#NAME?</v>
      </c>
      <c r="F4595" s="1">
        <v>36300</v>
      </c>
      <c r="G4595" t="s">
        <v>21481</v>
      </c>
      <c r="I4595" t="s">
        <v>21482</v>
      </c>
      <c r="J4595" t="s">
        <v>2628</v>
      </c>
      <c r="M4595" t="s">
        <v>554</v>
      </c>
      <c r="N4595" t="s">
        <v>555</v>
      </c>
      <c r="O4595" t="s">
        <v>21483</v>
      </c>
      <c r="P4595" t="s">
        <v>21484</v>
      </c>
      <c r="Q4595" t="s">
        <v>21485</v>
      </c>
      <c r="R4595">
        <v>14</v>
      </c>
      <c r="S4595">
        <v>16</v>
      </c>
    </row>
    <row r="4596" spans="1:19" x14ac:dyDescent="0.35">
      <c r="A4596">
        <v>3934</v>
      </c>
      <c r="B4596" t="s">
        <v>21486</v>
      </c>
      <c r="C4596" t="s">
        <v>42</v>
      </c>
      <c r="D4596" t="s">
        <v>21487</v>
      </c>
      <c r="E4596" t="e" cm="1">
        <f t="array" ref="E4596">- CINCHOCAINE HYDROCHLORIDE</f>
        <v>#NAME?</v>
      </c>
      <c r="F4596" t="s">
        <v>21488</v>
      </c>
      <c r="G4596" t="s">
        <v>21489</v>
      </c>
      <c r="H4596" t="s">
        <v>21490</v>
      </c>
      <c r="I4596" t="s">
        <v>21491</v>
      </c>
      <c r="J4596" t="s">
        <v>979</v>
      </c>
      <c r="K4596" t="s">
        <v>3473</v>
      </c>
      <c r="L4596" t="s">
        <v>21492</v>
      </c>
      <c r="M4596" t="s">
        <v>1029</v>
      </c>
      <c r="N4596" t="s">
        <v>21493</v>
      </c>
      <c r="O4596" t="s">
        <v>21494</v>
      </c>
      <c r="P4596" t="s">
        <v>16419</v>
      </c>
      <c r="Q4596" t="s">
        <v>21495</v>
      </c>
      <c r="R4596">
        <v>14</v>
      </c>
      <c r="S4596">
        <v>16</v>
      </c>
    </row>
    <row r="4597" spans="1:19" x14ac:dyDescent="0.35">
      <c r="A4597">
        <v>8894</v>
      </c>
      <c r="B4597" t="s">
        <v>21496</v>
      </c>
      <c r="C4597" t="s">
        <v>42</v>
      </c>
      <c r="D4597" t="s">
        <v>21497</v>
      </c>
      <c r="E4597" t="e" cm="1">
        <f t="array" ref="E4597">- INSULIN</f>
        <v>#NAME?</v>
      </c>
      <c r="F4597" t="s">
        <v>21498</v>
      </c>
      <c r="G4597" t="s">
        <v>21499</v>
      </c>
      <c r="H4597" t="s">
        <v>21500</v>
      </c>
      <c r="I4597" t="s">
        <v>21501</v>
      </c>
      <c r="J4597" t="s">
        <v>21502</v>
      </c>
      <c r="K4597" t="s">
        <v>21503</v>
      </c>
      <c r="L4597" t="s">
        <v>21504</v>
      </c>
      <c r="M4597" t="s">
        <v>2403</v>
      </c>
      <c r="N4597" t="s">
        <v>3051</v>
      </c>
      <c r="O4597" t="s">
        <v>21505</v>
      </c>
      <c r="P4597" t="s">
        <v>21506</v>
      </c>
      <c r="Q4597" t="s">
        <v>21507</v>
      </c>
      <c r="R4597">
        <v>14</v>
      </c>
      <c r="S4597">
        <v>16</v>
      </c>
    </row>
    <row r="4598" spans="1:19" x14ac:dyDescent="0.35">
      <c r="A4598">
        <v>8264</v>
      </c>
      <c r="B4598" t="s">
        <v>551</v>
      </c>
      <c r="C4598" t="s">
        <v>42</v>
      </c>
      <c r="D4598" t="s">
        <v>21480</v>
      </c>
      <c r="E4598" t="e" cm="1">
        <f t="array" ref="E4598">- POVIDONE-IODINE</f>
        <v>#NAME?</v>
      </c>
      <c r="F4598" s="1">
        <v>36300</v>
      </c>
      <c r="G4598" t="s">
        <v>21481</v>
      </c>
      <c r="I4598" t="s">
        <v>21482</v>
      </c>
      <c r="J4598" t="s">
        <v>2628</v>
      </c>
      <c r="M4598" t="s">
        <v>554</v>
      </c>
      <c r="N4598" t="s">
        <v>555</v>
      </c>
      <c r="O4598" t="s">
        <v>21483</v>
      </c>
      <c r="P4598" t="s">
        <v>21484</v>
      </c>
      <c r="Q4598" t="s">
        <v>21485</v>
      </c>
      <c r="R4598">
        <v>14</v>
      </c>
      <c r="S4598">
        <v>16</v>
      </c>
    </row>
    <row r="4599" spans="1:19" x14ac:dyDescent="0.35">
      <c r="A4599">
        <v>1724</v>
      </c>
      <c r="B4599" t="s">
        <v>21463</v>
      </c>
      <c r="C4599" t="s">
        <v>42</v>
      </c>
      <c r="D4599" t="s">
        <v>21464</v>
      </c>
      <c r="E4599" t="e" cm="1">
        <f t="array" ref="E4599">- ACETYL CYSTEINE</f>
        <v>#NAME?</v>
      </c>
      <c r="F4599" s="1">
        <v>92600</v>
      </c>
      <c r="H4599" t="s">
        <v>21465</v>
      </c>
      <c r="I4599" t="s">
        <v>21466</v>
      </c>
      <c r="J4599" t="s">
        <v>21467</v>
      </c>
      <c r="K4599" t="s">
        <v>2726</v>
      </c>
      <c r="L4599" t="s">
        <v>21468</v>
      </c>
      <c r="M4599" t="s">
        <v>3423</v>
      </c>
      <c r="N4599" t="s">
        <v>1309</v>
      </c>
      <c r="O4599" t="s">
        <v>21469</v>
      </c>
      <c r="P4599" t="s">
        <v>21470</v>
      </c>
      <c r="Q4599" t="s">
        <v>21471</v>
      </c>
      <c r="R4599">
        <v>14</v>
      </c>
      <c r="S4599">
        <v>16</v>
      </c>
    </row>
    <row r="4600" spans="1:19" x14ac:dyDescent="0.35">
      <c r="A4600">
        <v>5172</v>
      </c>
      <c r="B4600" t="s">
        <v>21508</v>
      </c>
      <c r="C4600" t="s">
        <v>42</v>
      </c>
      <c r="D4600" t="s">
        <v>21509</v>
      </c>
      <c r="E4600" t="e" cm="1">
        <f t="array" ref="E4600">- BETAMETHASONE</f>
        <v>#NAME?</v>
      </c>
      <c r="F4600" t="s">
        <v>21510</v>
      </c>
      <c r="G4600" t="s">
        <v>11776</v>
      </c>
      <c r="H4600" t="s">
        <v>21511</v>
      </c>
      <c r="I4600" t="s">
        <v>21512</v>
      </c>
      <c r="J4600" t="s">
        <v>2040</v>
      </c>
      <c r="K4600" t="s">
        <v>11779</v>
      </c>
      <c r="L4600" t="s">
        <v>21513</v>
      </c>
      <c r="M4600" t="s">
        <v>1289</v>
      </c>
      <c r="N4600" t="s">
        <v>1118</v>
      </c>
      <c r="O4600" t="s">
        <v>21514</v>
      </c>
      <c r="P4600" t="s">
        <v>21515</v>
      </c>
      <c r="Q4600" t="s">
        <v>21516</v>
      </c>
      <c r="R4600">
        <v>14</v>
      </c>
      <c r="S4600">
        <v>16</v>
      </c>
    </row>
    <row r="4601" spans="1:19" x14ac:dyDescent="0.35">
      <c r="A4601">
        <v>4057</v>
      </c>
      <c r="B4601" t="s">
        <v>21517</v>
      </c>
      <c r="C4601" t="s">
        <v>42</v>
      </c>
      <c r="D4601" t="s">
        <v>21518</v>
      </c>
      <c r="E4601" t="e" cm="1">
        <f t="array" ref="E4601">- CETIRIZINE DIHYDROCHLORIDE</f>
        <v>#NAME?</v>
      </c>
      <c r="F4601" t="s">
        <v>21519</v>
      </c>
      <c r="G4601" t="s">
        <v>21520</v>
      </c>
      <c r="H4601" t="s">
        <v>1498</v>
      </c>
      <c r="I4601" t="s">
        <v>21036</v>
      </c>
      <c r="J4601" t="s">
        <v>945</v>
      </c>
      <c r="K4601" t="s">
        <v>16653</v>
      </c>
      <c r="L4601" t="s">
        <v>16654</v>
      </c>
      <c r="M4601" t="s">
        <v>271</v>
      </c>
      <c r="N4601" t="s">
        <v>1667</v>
      </c>
      <c r="O4601" t="s">
        <v>21038</v>
      </c>
      <c r="P4601" t="s">
        <v>21221</v>
      </c>
      <c r="Q4601" t="s">
        <v>21521</v>
      </c>
      <c r="R4601">
        <v>14</v>
      </c>
      <c r="S4601">
        <v>16</v>
      </c>
    </row>
    <row r="4602" spans="1:19" x14ac:dyDescent="0.35">
      <c r="A4602">
        <v>5352</v>
      </c>
      <c r="B4602" t="s">
        <v>21386</v>
      </c>
      <c r="C4602" t="s">
        <v>42</v>
      </c>
      <c r="D4602" t="s">
        <v>21387</v>
      </c>
      <c r="E4602" t="e" cm="1">
        <f t="array" ref="E4602">- ACICLOVIR</f>
        <v>#NAME?</v>
      </c>
      <c r="F4602" t="s">
        <v>21388</v>
      </c>
      <c r="G4602" t="s">
        <v>21389</v>
      </c>
      <c r="H4602" t="s">
        <v>21390</v>
      </c>
      <c r="I4602" t="s">
        <v>21391</v>
      </c>
      <c r="J4602" t="s">
        <v>7123</v>
      </c>
      <c r="K4602" t="s">
        <v>21392</v>
      </c>
      <c r="L4602" t="s">
        <v>21393</v>
      </c>
      <c r="M4602" t="s">
        <v>1289</v>
      </c>
      <c r="N4602" t="s">
        <v>1685</v>
      </c>
      <c r="O4602" t="s">
        <v>21394</v>
      </c>
      <c r="P4602" t="s">
        <v>21395</v>
      </c>
      <c r="Q4602" t="s">
        <v>21396</v>
      </c>
      <c r="R4602">
        <v>14</v>
      </c>
      <c r="S4602">
        <v>16</v>
      </c>
    </row>
    <row r="4603" spans="1:19" x14ac:dyDescent="0.35">
      <c r="A4603">
        <v>4110</v>
      </c>
      <c r="B4603" t="s">
        <v>21522</v>
      </c>
      <c r="C4603" t="s">
        <v>42</v>
      </c>
      <c r="D4603" t="s">
        <v>21523</v>
      </c>
      <c r="E4603" t="e" cm="1">
        <f t="array" ref="E4603">- CETIRIZINE HYDROCHLORIDE</f>
        <v>#NAME?</v>
      </c>
      <c r="F4603" s="1">
        <v>9300</v>
      </c>
      <c r="G4603" t="s">
        <v>16021</v>
      </c>
      <c r="H4603" t="s">
        <v>21524</v>
      </c>
      <c r="I4603" t="s">
        <v>21036</v>
      </c>
      <c r="J4603" t="s">
        <v>334</v>
      </c>
      <c r="K4603" t="s">
        <v>16653</v>
      </c>
      <c r="L4603" t="s">
        <v>21525</v>
      </c>
      <c r="M4603" t="s">
        <v>271</v>
      </c>
      <c r="N4603" t="s">
        <v>1390</v>
      </c>
      <c r="O4603" t="s">
        <v>21038</v>
      </c>
      <c r="P4603" t="s">
        <v>21526</v>
      </c>
      <c r="Q4603" t="s">
        <v>21527</v>
      </c>
      <c r="R4603">
        <v>14</v>
      </c>
      <c r="S4603">
        <v>16</v>
      </c>
    </row>
    <row r="4604" spans="1:19" x14ac:dyDescent="0.35">
      <c r="A4604">
        <v>545</v>
      </c>
      <c r="B4604" t="s">
        <v>21528</v>
      </c>
      <c r="C4604" t="s">
        <v>42</v>
      </c>
      <c r="D4604" t="s">
        <v>21529</v>
      </c>
      <c r="E4604" t="e" cm="1">
        <f t="array" ref="E4604">- INDACATEROL MALEATE</f>
        <v>#NAME?</v>
      </c>
      <c r="F4604" t="s">
        <v>21530</v>
      </c>
      <c r="G4604" t="s">
        <v>539</v>
      </c>
      <c r="H4604" t="s">
        <v>21531</v>
      </c>
      <c r="I4604" t="s">
        <v>21532</v>
      </c>
      <c r="J4604" t="s">
        <v>21533</v>
      </c>
      <c r="K4604" t="s">
        <v>21534</v>
      </c>
      <c r="L4604" t="s">
        <v>21535</v>
      </c>
    </row>
    <row r="4605" spans="1:19" x14ac:dyDescent="0.35">
      <c r="A4605">
        <v>2296</v>
      </c>
      <c r="B4605" t="s">
        <v>21172</v>
      </c>
      <c r="C4605" t="s">
        <v>42</v>
      </c>
      <c r="D4605" t="s">
        <v>21173</v>
      </c>
      <c r="E4605" t="e" cm="1">
        <f t="array" ref="E4605">- BETAHISTINE MESILATE</f>
        <v>#NAME?</v>
      </c>
      <c r="F4605" t="s">
        <v>21174</v>
      </c>
      <c r="G4605" t="s">
        <v>2241</v>
      </c>
      <c r="H4605" t="s">
        <v>20187</v>
      </c>
      <c r="I4605" t="s">
        <v>19860</v>
      </c>
      <c r="J4605" t="s">
        <v>21175</v>
      </c>
      <c r="K4605" t="s">
        <v>19861</v>
      </c>
      <c r="L4605" t="s">
        <v>19862</v>
      </c>
      <c r="M4605" t="s">
        <v>46</v>
      </c>
      <c r="N4605" t="s">
        <v>2380</v>
      </c>
      <c r="O4605" t="s">
        <v>19863</v>
      </c>
      <c r="P4605" t="s">
        <v>21176</v>
      </c>
      <c r="Q4605" t="s">
        <v>21177</v>
      </c>
      <c r="R4605">
        <v>14</v>
      </c>
      <c r="S4605">
        <v>16</v>
      </c>
    </row>
    <row r="4606" spans="1:19" x14ac:dyDescent="0.35">
      <c r="A4606">
        <v>8304</v>
      </c>
      <c r="B4606" t="s">
        <v>551</v>
      </c>
      <c r="C4606" t="s">
        <v>42</v>
      </c>
      <c r="D4606" t="s">
        <v>21361</v>
      </c>
      <c r="E4606" t="e" cm="1">
        <f t="array" ref="E4606">- POVIDONE-IODINE</f>
        <v>#NAME?</v>
      </c>
      <c r="F4606" t="s">
        <v>21362</v>
      </c>
      <c r="G4606" t="s">
        <v>21363</v>
      </c>
      <c r="I4606" t="s">
        <v>21364</v>
      </c>
      <c r="J4606" t="s">
        <v>21365</v>
      </c>
      <c r="M4606" t="s">
        <v>554</v>
      </c>
      <c r="N4606" t="s">
        <v>555</v>
      </c>
      <c r="O4606" t="s">
        <v>21366</v>
      </c>
      <c r="P4606" t="s">
        <v>21367</v>
      </c>
      <c r="Q4606" t="s">
        <v>21368</v>
      </c>
      <c r="R4606">
        <v>14</v>
      </c>
      <c r="S4606">
        <v>16</v>
      </c>
    </row>
    <row r="4607" spans="1:19" x14ac:dyDescent="0.35">
      <c r="A4607">
        <v>69</v>
      </c>
      <c r="B4607" t="s">
        <v>2902</v>
      </c>
      <c r="C4607" t="s">
        <v>42</v>
      </c>
      <c r="D4607" t="s">
        <v>21209</v>
      </c>
      <c r="E4607" t="e" cm="1">
        <f t="array" ref="E4607">- SILDENAFIL CITRATE</f>
        <v>#NAME?</v>
      </c>
      <c r="F4607" t="s">
        <v>21210</v>
      </c>
      <c r="G4607" t="s">
        <v>21211</v>
      </c>
      <c r="I4607" t="s">
        <v>21212</v>
      </c>
      <c r="J4607" t="s">
        <v>21213</v>
      </c>
      <c r="L4607" t="s">
        <v>21214</v>
      </c>
      <c r="M4607" t="s">
        <v>46</v>
      </c>
      <c r="N4607" t="s">
        <v>2519</v>
      </c>
      <c r="O4607" t="s">
        <v>21215</v>
      </c>
      <c r="P4607" t="s">
        <v>21216</v>
      </c>
      <c r="Q4607" t="s">
        <v>21217</v>
      </c>
      <c r="R4607">
        <v>14</v>
      </c>
      <c r="S4607">
        <v>16</v>
      </c>
    </row>
    <row r="4608" spans="1:19" x14ac:dyDescent="0.35">
      <c r="A4608">
        <v>7698</v>
      </c>
      <c r="B4608" t="s">
        <v>21536</v>
      </c>
      <c r="C4608" t="s">
        <v>20</v>
      </c>
      <c r="D4608" t="s">
        <v>21537</v>
      </c>
      <c r="E4608" t="s">
        <v>21538</v>
      </c>
      <c r="F4608" s="1">
        <v>12100</v>
      </c>
      <c r="G4608" t="s">
        <v>4649</v>
      </c>
      <c r="H4608" t="s">
        <v>21539</v>
      </c>
      <c r="I4608" t="s">
        <v>21540</v>
      </c>
      <c r="J4608" t="s">
        <v>21541</v>
      </c>
      <c r="M4608" t="s">
        <v>46</v>
      </c>
      <c r="N4608" t="s">
        <v>21542</v>
      </c>
      <c r="O4608" t="s">
        <v>21543</v>
      </c>
      <c r="P4608" t="s">
        <v>21542</v>
      </c>
      <c r="Q4608" t="s">
        <v>21544</v>
      </c>
      <c r="R4608">
        <v>14</v>
      </c>
      <c r="S4608">
        <v>16</v>
      </c>
    </row>
    <row r="4609" spans="1:19" x14ac:dyDescent="0.35">
      <c r="A4609">
        <v>5068</v>
      </c>
      <c r="B4609" t="s">
        <v>21165</v>
      </c>
      <c r="C4609" t="s">
        <v>42</v>
      </c>
      <c r="D4609" t="s">
        <v>21166</v>
      </c>
      <c r="E4609" t="e" cm="1">
        <f t="array" ref="E4609">- BETAMETHASONE DIPROPIONATE</f>
        <v>#NAME?</v>
      </c>
      <c r="F4609" t="s">
        <v>21167</v>
      </c>
      <c r="G4609" t="s">
        <v>19513</v>
      </c>
      <c r="H4609" t="s">
        <v>19514</v>
      </c>
      <c r="I4609" t="s">
        <v>21168</v>
      </c>
      <c r="J4609" t="s">
        <v>7123</v>
      </c>
      <c r="K4609" t="s">
        <v>19516</v>
      </c>
      <c r="L4609" t="s">
        <v>21169</v>
      </c>
      <c r="M4609" t="s">
        <v>1289</v>
      </c>
      <c r="N4609" t="s">
        <v>2685</v>
      </c>
      <c r="O4609" t="s">
        <v>19518</v>
      </c>
      <c r="P4609" t="s">
        <v>21170</v>
      </c>
      <c r="Q4609" t="s">
        <v>21171</v>
      </c>
      <c r="R4609">
        <v>14</v>
      </c>
      <c r="S4609">
        <v>16</v>
      </c>
    </row>
    <row r="4610" spans="1:19" x14ac:dyDescent="0.35">
      <c r="A4610">
        <v>67</v>
      </c>
      <c r="B4610" t="s">
        <v>2902</v>
      </c>
      <c r="C4610" t="s">
        <v>42</v>
      </c>
      <c r="D4610" t="s">
        <v>21203</v>
      </c>
      <c r="E4610" t="e" cm="1">
        <f t="array" ref="E4610">- SILDENAFIL CITRATE</f>
        <v>#NAME?</v>
      </c>
      <c r="F4610" s="1">
        <v>14900</v>
      </c>
      <c r="G4610" t="s">
        <v>21204</v>
      </c>
      <c r="I4610" t="s">
        <v>21205</v>
      </c>
      <c r="J4610" t="s">
        <v>9684</v>
      </c>
      <c r="L4610" t="s">
        <v>10925</v>
      </c>
      <c r="M4610" t="s">
        <v>46</v>
      </c>
      <c r="N4610" t="s">
        <v>2519</v>
      </c>
      <c r="O4610" t="s">
        <v>21206</v>
      </c>
      <c r="P4610" t="s">
        <v>21207</v>
      </c>
      <c r="Q4610" t="s">
        <v>21208</v>
      </c>
      <c r="R4610">
        <v>14</v>
      </c>
      <c r="S4610">
        <v>16</v>
      </c>
    </row>
    <row r="4611" spans="1:19" x14ac:dyDescent="0.35">
      <c r="A4611">
        <v>7964</v>
      </c>
      <c r="B4611" t="s">
        <v>14927</v>
      </c>
      <c r="C4611" t="s">
        <v>20</v>
      </c>
      <c r="D4611" t="s">
        <v>21545</v>
      </c>
      <c r="E4611" t="s">
        <v>14929</v>
      </c>
      <c r="F4611" t="s">
        <v>21546</v>
      </c>
      <c r="I4611" t="s">
        <v>4422</v>
      </c>
      <c r="J4611" t="s">
        <v>70</v>
      </c>
      <c r="M4611" t="s">
        <v>38</v>
      </c>
      <c r="N4611" t="s">
        <v>14931</v>
      </c>
      <c r="O4611" t="s">
        <v>3396</v>
      </c>
      <c r="P4611" t="s">
        <v>14932</v>
      </c>
      <c r="Q4611" t="s">
        <v>21547</v>
      </c>
      <c r="R4611">
        <v>14</v>
      </c>
      <c r="S4611">
        <v>16</v>
      </c>
    </row>
    <row r="4612" spans="1:19" x14ac:dyDescent="0.35">
      <c r="A4612">
        <v>2635</v>
      </c>
      <c r="B4612" t="s">
        <v>21548</v>
      </c>
      <c r="C4612" t="s">
        <v>42</v>
      </c>
      <c r="D4612" t="s">
        <v>21549</v>
      </c>
      <c r="E4612" t="e" cm="1">
        <f t="array" ref="E4612">- PIROXICAM</f>
        <v>#NAME?</v>
      </c>
      <c r="F4612" t="s">
        <v>1473</v>
      </c>
      <c r="G4612" t="s">
        <v>2241</v>
      </c>
      <c r="H4612" t="s">
        <v>3084</v>
      </c>
      <c r="I4612" t="s">
        <v>21550</v>
      </c>
      <c r="J4612" t="s">
        <v>14775</v>
      </c>
      <c r="K4612" t="s">
        <v>21551</v>
      </c>
      <c r="L4612" t="s">
        <v>21552</v>
      </c>
      <c r="M4612" t="s">
        <v>38</v>
      </c>
      <c r="N4612" t="s">
        <v>605</v>
      </c>
      <c r="O4612" t="s">
        <v>21553</v>
      </c>
      <c r="P4612" t="s">
        <v>21554</v>
      </c>
      <c r="Q4612" t="s">
        <v>21555</v>
      </c>
      <c r="R4612">
        <v>14</v>
      </c>
      <c r="S4612">
        <v>16</v>
      </c>
    </row>
    <row r="4613" spans="1:19" x14ac:dyDescent="0.35">
      <c r="A4613">
        <v>2636</v>
      </c>
      <c r="B4613" t="s">
        <v>21548</v>
      </c>
      <c r="C4613" t="s">
        <v>42</v>
      </c>
      <c r="D4613" t="s">
        <v>21549</v>
      </c>
      <c r="E4613" t="e" cm="1">
        <f t="array" ref="E4613">- PIROXICAM</f>
        <v>#NAME?</v>
      </c>
      <c r="F4613" t="s">
        <v>1473</v>
      </c>
      <c r="G4613" t="s">
        <v>2241</v>
      </c>
      <c r="H4613" t="s">
        <v>3084</v>
      </c>
      <c r="I4613" t="s">
        <v>21550</v>
      </c>
      <c r="J4613" t="s">
        <v>14775</v>
      </c>
      <c r="K4613" t="s">
        <v>21551</v>
      </c>
      <c r="L4613" t="s">
        <v>21552</v>
      </c>
      <c r="M4613" t="s">
        <v>38</v>
      </c>
      <c r="N4613" t="s">
        <v>605</v>
      </c>
      <c r="O4613" t="s">
        <v>21553</v>
      </c>
      <c r="P4613" t="s">
        <v>21554</v>
      </c>
      <c r="Q4613" t="s">
        <v>21555</v>
      </c>
      <c r="R4613">
        <v>14</v>
      </c>
      <c r="S4613">
        <v>16</v>
      </c>
    </row>
    <row r="4614" spans="1:19" x14ac:dyDescent="0.35">
      <c r="A4614">
        <v>2637</v>
      </c>
      <c r="B4614" t="s">
        <v>21548</v>
      </c>
      <c r="C4614" t="s">
        <v>42</v>
      </c>
      <c r="D4614" t="s">
        <v>21549</v>
      </c>
      <c r="E4614" t="e" cm="1">
        <f t="array" ref="E4614">- PIROXICAM</f>
        <v>#NAME?</v>
      </c>
      <c r="F4614" t="s">
        <v>1473</v>
      </c>
      <c r="G4614" t="s">
        <v>2241</v>
      </c>
      <c r="H4614" t="s">
        <v>3084</v>
      </c>
      <c r="I4614" t="s">
        <v>21550</v>
      </c>
      <c r="J4614" t="s">
        <v>14775</v>
      </c>
      <c r="K4614" t="s">
        <v>21551</v>
      </c>
      <c r="L4614" t="s">
        <v>21552</v>
      </c>
      <c r="M4614" t="s">
        <v>38</v>
      </c>
      <c r="N4614" t="s">
        <v>605</v>
      </c>
      <c r="O4614" t="s">
        <v>21553</v>
      </c>
      <c r="P4614" t="s">
        <v>21554</v>
      </c>
      <c r="Q4614" t="s">
        <v>21555</v>
      </c>
      <c r="R4614">
        <v>14</v>
      </c>
      <c r="S4614">
        <v>16</v>
      </c>
    </row>
    <row r="4615" spans="1:19" x14ac:dyDescent="0.35">
      <c r="A4615">
        <v>950</v>
      </c>
      <c r="B4615" t="s">
        <v>17249</v>
      </c>
      <c r="C4615" t="s">
        <v>42</v>
      </c>
      <c r="D4615" t="s">
        <v>17250</v>
      </c>
      <c r="E4615" t="e" cm="1">
        <f t="array" ref="E4615">- TRIPROLIDINE HYDROCHLORIDE. PSEUDOEPHEDRINE HYDROCHLORIDE</f>
        <v>#NAME?</v>
      </c>
      <c r="F4615" s="1">
        <v>19200</v>
      </c>
      <c r="G4615" t="s">
        <v>60</v>
      </c>
      <c r="H4615" t="s">
        <v>17251</v>
      </c>
      <c r="I4615" t="s">
        <v>17252</v>
      </c>
      <c r="J4615" t="s">
        <v>17253</v>
      </c>
      <c r="K4615" t="s">
        <v>17254</v>
      </c>
    </row>
    <row r="4616" spans="1:19" x14ac:dyDescent="0.35">
      <c r="A4616">
        <v>5067</v>
      </c>
      <c r="B4616" t="s">
        <v>21165</v>
      </c>
      <c r="C4616" t="s">
        <v>42</v>
      </c>
      <c r="D4616" t="s">
        <v>21166</v>
      </c>
      <c r="E4616" t="e" cm="1">
        <f t="array" ref="E4616">- BETAMETHASONE DIPROPIONATE</f>
        <v>#NAME?</v>
      </c>
      <c r="F4616" t="s">
        <v>21167</v>
      </c>
      <c r="G4616" t="s">
        <v>19513</v>
      </c>
      <c r="H4616" t="s">
        <v>19514</v>
      </c>
      <c r="I4616" t="s">
        <v>21168</v>
      </c>
      <c r="J4616" t="s">
        <v>7123</v>
      </c>
      <c r="K4616" t="s">
        <v>19516</v>
      </c>
      <c r="L4616" t="s">
        <v>21169</v>
      </c>
      <c r="M4616" t="s">
        <v>1289</v>
      </c>
      <c r="N4616" t="s">
        <v>2685</v>
      </c>
      <c r="O4616" t="s">
        <v>19518</v>
      </c>
      <c r="P4616" t="s">
        <v>21170</v>
      </c>
      <c r="Q4616" t="s">
        <v>21171</v>
      </c>
      <c r="R4616">
        <v>14</v>
      </c>
      <c r="S4616">
        <v>16</v>
      </c>
    </row>
    <row r="4617" spans="1:19" x14ac:dyDescent="0.35">
      <c r="A4617">
        <v>8299</v>
      </c>
      <c r="B4617" t="s">
        <v>551</v>
      </c>
      <c r="C4617" t="s">
        <v>42</v>
      </c>
      <c r="D4617" t="s">
        <v>21556</v>
      </c>
      <c r="E4617" t="e" cm="1">
        <f t="array" ref="E4617">- POVIDONE-IODINE</f>
        <v>#NAME?</v>
      </c>
      <c r="F4617" t="s">
        <v>21557</v>
      </c>
      <c r="G4617" t="s">
        <v>21363</v>
      </c>
      <c r="I4617" t="s">
        <v>21364</v>
      </c>
      <c r="J4617" t="s">
        <v>21558</v>
      </c>
      <c r="M4617" t="s">
        <v>554</v>
      </c>
      <c r="N4617" t="s">
        <v>555</v>
      </c>
      <c r="O4617" t="s">
        <v>21366</v>
      </c>
      <c r="P4617" t="s">
        <v>21559</v>
      </c>
      <c r="Q4617" t="s">
        <v>21560</v>
      </c>
      <c r="R4617">
        <v>14</v>
      </c>
      <c r="S4617">
        <v>16</v>
      </c>
    </row>
    <row r="4618" spans="1:19" x14ac:dyDescent="0.35">
      <c r="A4618">
        <v>8298</v>
      </c>
      <c r="B4618" t="s">
        <v>551</v>
      </c>
      <c r="C4618" t="s">
        <v>42</v>
      </c>
      <c r="D4618" t="s">
        <v>21556</v>
      </c>
      <c r="E4618" t="e" cm="1">
        <f t="array" ref="E4618">- POVIDONE-IODINE</f>
        <v>#NAME?</v>
      </c>
      <c r="F4618" t="s">
        <v>21557</v>
      </c>
      <c r="G4618" t="s">
        <v>21363</v>
      </c>
      <c r="I4618" t="s">
        <v>21364</v>
      </c>
      <c r="J4618" t="s">
        <v>21558</v>
      </c>
      <c r="M4618" t="s">
        <v>554</v>
      </c>
      <c r="N4618" t="s">
        <v>555</v>
      </c>
      <c r="O4618" t="s">
        <v>21366</v>
      </c>
      <c r="P4618" t="s">
        <v>21559</v>
      </c>
      <c r="Q4618" t="s">
        <v>21560</v>
      </c>
      <c r="R4618">
        <v>14</v>
      </c>
      <c r="S4618">
        <v>16</v>
      </c>
    </row>
    <row r="4619" spans="1:19" x14ac:dyDescent="0.35">
      <c r="A4619">
        <v>4043</v>
      </c>
      <c r="B4619" t="s">
        <v>21033</v>
      </c>
      <c r="C4619" t="s">
        <v>42</v>
      </c>
      <c r="D4619" t="s">
        <v>21034</v>
      </c>
      <c r="E4619" t="e" cm="1">
        <f t="array" ref="E4619">- CETIRIZINE HYDROCHLORIDE</f>
        <v>#NAME?</v>
      </c>
      <c r="F4619" t="s">
        <v>21035</v>
      </c>
      <c r="G4619" t="s">
        <v>60</v>
      </c>
      <c r="H4619" t="s">
        <v>1498</v>
      </c>
      <c r="I4619" t="s">
        <v>21036</v>
      </c>
      <c r="J4619" t="s">
        <v>21037</v>
      </c>
      <c r="K4619" t="s">
        <v>16653</v>
      </c>
      <c r="L4619" t="s">
        <v>16654</v>
      </c>
      <c r="M4619" t="s">
        <v>38</v>
      </c>
      <c r="N4619" t="s">
        <v>1390</v>
      </c>
      <c r="O4619" t="s">
        <v>21038</v>
      </c>
      <c r="P4619" t="s">
        <v>21039</v>
      </c>
      <c r="Q4619" t="s">
        <v>21040</v>
      </c>
      <c r="R4619">
        <v>14</v>
      </c>
      <c r="S4619">
        <v>16</v>
      </c>
    </row>
    <row r="4620" spans="1:19" x14ac:dyDescent="0.35">
      <c r="A4620">
        <v>8289</v>
      </c>
      <c r="B4620" t="s">
        <v>551</v>
      </c>
      <c r="C4620" t="s">
        <v>42</v>
      </c>
      <c r="D4620" t="s">
        <v>21561</v>
      </c>
      <c r="E4620" t="e" cm="1">
        <f t="array" ref="E4620">- POVIDONE-IODINE</f>
        <v>#NAME?</v>
      </c>
      <c r="F4620" t="s">
        <v>21562</v>
      </c>
      <c r="G4620" t="s">
        <v>21563</v>
      </c>
      <c r="I4620" t="s">
        <v>21564</v>
      </c>
      <c r="J4620" t="s">
        <v>2812</v>
      </c>
      <c r="M4620" t="s">
        <v>554</v>
      </c>
      <c r="N4620" t="s">
        <v>555</v>
      </c>
      <c r="O4620" t="s">
        <v>21565</v>
      </c>
      <c r="P4620" t="s">
        <v>2772</v>
      </c>
      <c r="Q4620" t="s">
        <v>21566</v>
      </c>
      <c r="R4620">
        <v>14</v>
      </c>
      <c r="S4620">
        <v>16</v>
      </c>
    </row>
    <row r="4621" spans="1:19" x14ac:dyDescent="0.35">
      <c r="A4621">
        <v>8288</v>
      </c>
      <c r="B4621" t="s">
        <v>551</v>
      </c>
      <c r="C4621" t="s">
        <v>42</v>
      </c>
      <c r="D4621" t="s">
        <v>21561</v>
      </c>
      <c r="E4621" t="e" cm="1">
        <f t="array" ref="E4621">- POVIDONE-IODINE</f>
        <v>#NAME?</v>
      </c>
      <c r="F4621" t="s">
        <v>21562</v>
      </c>
      <c r="G4621" t="s">
        <v>21563</v>
      </c>
      <c r="I4621" t="s">
        <v>21564</v>
      </c>
      <c r="J4621" t="s">
        <v>2812</v>
      </c>
      <c r="M4621" t="s">
        <v>554</v>
      </c>
      <c r="N4621" t="s">
        <v>555</v>
      </c>
      <c r="O4621" t="s">
        <v>21565</v>
      </c>
      <c r="P4621" t="s">
        <v>2772</v>
      </c>
      <c r="Q4621" t="s">
        <v>21566</v>
      </c>
      <c r="R4621">
        <v>14</v>
      </c>
      <c r="S4621">
        <v>16</v>
      </c>
    </row>
    <row r="4622" spans="1:19" x14ac:dyDescent="0.35">
      <c r="A4622">
        <v>6311</v>
      </c>
      <c r="B4622" t="s">
        <v>21567</v>
      </c>
      <c r="C4622" t="s">
        <v>42</v>
      </c>
      <c r="D4622" t="s">
        <v>21568</v>
      </c>
      <c r="E4622" t="e" cm="1">
        <f t="array" ref="E4622">- AMOXICILLIN</f>
        <v>#NAME?</v>
      </c>
      <c r="F4622" t="s">
        <v>21569</v>
      </c>
      <c r="G4622" t="s">
        <v>6135</v>
      </c>
      <c r="H4622" t="s">
        <v>21570</v>
      </c>
      <c r="I4622" t="s">
        <v>21571</v>
      </c>
      <c r="J4622" t="s">
        <v>21572</v>
      </c>
      <c r="K4622" t="s">
        <v>21573</v>
      </c>
      <c r="L4622" t="s">
        <v>21574</v>
      </c>
      <c r="M4622" t="s">
        <v>271</v>
      </c>
      <c r="N4622" t="s">
        <v>505</v>
      </c>
      <c r="O4622" t="s">
        <v>21575</v>
      </c>
      <c r="P4622" t="s">
        <v>21576</v>
      </c>
      <c r="Q4622" t="s">
        <v>21577</v>
      </c>
      <c r="R4622">
        <v>14</v>
      </c>
      <c r="S4622">
        <v>16</v>
      </c>
    </row>
    <row r="4623" spans="1:19" x14ac:dyDescent="0.35">
      <c r="A4623">
        <v>1937</v>
      </c>
      <c r="B4623" t="s">
        <v>21578</v>
      </c>
      <c r="C4623" t="s">
        <v>20</v>
      </c>
      <c r="D4623" t="s">
        <v>21579</v>
      </c>
      <c r="E4623" t="s">
        <v>17477</v>
      </c>
      <c r="F4623" t="s">
        <v>21580</v>
      </c>
      <c r="G4623" t="s">
        <v>2241</v>
      </c>
      <c r="H4623" t="s">
        <v>21581</v>
      </c>
      <c r="I4623" t="s">
        <v>21582</v>
      </c>
      <c r="J4623" t="s">
        <v>829</v>
      </c>
      <c r="N4623" t="s">
        <v>17482</v>
      </c>
      <c r="O4623" t="s">
        <v>21583</v>
      </c>
      <c r="P4623" t="s">
        <v>17482</v>
      </c>
      <c r="Q4623" t="s">
        <v>21584</v>
      </c>
      <c r="R4623">
        <v>14</v>
      </c>
      <c r="S4623">
        <v>16</v>
      </c>
    </row>
    <row r="4624" spans="1:19" x14ac:dyDescent="0.35">
      <c r="A4624">
        <v>1347</v>
      </c>
      <c r="B4624" t="s">
        <v>21585</v>
      </c>
      <c r="C4624" t="s">
        <v>42</v>
      </c>
      <c r="D4624" t="s">
        <v>21586</v>
      </c>
      <c r="E4624" t="e" cm="1">
        <f t="array" ref="E4624">- CHLORPHENAMINE MALEATE</f>
        <v>#NAME?</v>
      </c>
      <c r="F4624" t="s">
        <v>21587</v>
      </c>
      <c r="G4624" t="s">
        <v>539</v>
      </c>
      <c r="H4624" t="s">
        <v>21588</v>
      </c>
      <c r="I4624" t="s">
        <v>21589</v>
      </c>
      <c r="J4624" t="s">
        <v>4891</v>
      </c>
      <c r="K4624" t="s">
        <v>21590</v>
      </c>
      <c r="L4624" t="s">
        <v>21591</v>
      </c>
      <c r="M4624" t="s">
        <v>291</v>
      </c>
      <c r="N4624" t="s">
        <v>1354</v>
      </c>
      <c r="O4624" t="s">
        <v>19881</v>
      </c>
      <c r="P4624" t="s">
        <v>21347</v>
      </c>
      <c r="Q4624" t="s">
        <v>21592</v>
      </c>
      <c r="R4624">
        <v>14</v>
      </c>
      <c r="S4624">
        <v>16</v>
      </c>
    </row>
    <row r="4625" spans="1:19" x14ac:dyDescent="0.35">
      <c r="A4625">
        <v>10046</v>
      </c>
      <c r="B4625" t="s">
        <v>13216</v>
      </c>
      <c r="C4625" t="s">
        <v>20</v>
      </c>
      <c r="D4625" t="s">
        <v>21593</v>
      </c>
      <c r="E4625" t="s">
        <v>13218</v>
      </c>
      <c r="F4625" t="s">
        <v>21594</v>
      </c>
      <c r="G4625" t="s">
        <v>60</v>
      </c>
      <c r="H4625" t="s">
        <v>21595</v>
      </c>
      <c r="I4625" t="s">
        <v>21596</v>
      </c>
      <c r="J4625" t="s">
        <v>70</v>
      </c>
      <c r="L4625" t="s">
        <v>21597</v>
      </c>
      <c r="M4625" t="s">
        <v>38</v>
      </c>
      <c r="N4625" t="s">
        <v>13223</v>
      </c>
      <c r="O4625" t="s">
        <v>21598</v>
      </c>
      <c r="P4625" t="s">
        <v>21599</v>
      </c>
      <c r="Q4625" t="s">
        <v>21600</v>
      </c>
      <c r="R4625">
        <v>14</v>
      </c>
      <c r="S4625">
        <v>16</v>
      </c>
    </row>
    <row r="4626" spans="1:19" x14ac:dyDescent="0.35">
      <c r="A4626">
        <v>5065</v>
      </c>
      <c r="B4626" t="s">
        <v>21601</v>
      </c>
      <c r="C4626" t="s">
        <v>42</v>
      </c>
      <c r="D4626" t="s">
        <v>21602</v>
      </c>
      <c r="E4626" t="e" cm="1">
        <f t="array" ref="E4626">- DESONIDE</f>
        <v>#NAME?</v>
      </c>
      <c r="F4626" t="s">
        <v>9016</v>
      </c>
      <c r="G4626" t="s">
        <v>21603</v>
      </c>
      <c r="H4626" t="s">
        <v>11084</v>
      </c>
      <c r="I4626" t="s">
        <v>21604</v>
      </c>
      <c r="J4626" t="s">
        <v>7213</v>
      </c>
      <c r="K4626" t="s">
        <v>21605</v>
      </c>
      <c r="L4626" t="s">
        <v>21606</v>
      </c>
      <c r="M4626" t="s">
        <v>1029</v>
      </c>
      <c r="N4626" t="s">
        <v>1297</v>
      </c>
      <c r="O4626" t="s">
        <v>21607</v>
      </c>
      <c r="P4626" t="s">
        <v>21608</v>
      </c>
      <c r="Q4626" t="s">
        <v>21609</v>
      </c>
      <c r="R4626">
        <v>14</v>
      </c>
      <c r="S4626">
        <v>16</v>
      </c>
    </row>
    <row r="4627" spans="1:19" x14ac:dyDescent="0.35">
      <c r="A4627">
        <v>4778</v>
      </c>
      <c r="B4627" t="s">
        <v>21610</v>
      </c>
      <c r="C4627" t="s">
        <v>42</v>
      </c>
      <c r="D4627" t="s">
        <v>21611</v>
      </c>
      <c r="E4627" t="e" cm="1">
        <f t="array" ref="E4627">- GENTAMICIN SULFATE</f>
        <v>#NAME?</v>
      </c>
      <c r="F4627" t="s">
        <v>21612</v>
      </c>
      <c r="G4627" t="s">
        <v>7569</v>
      </c>
      <c r="H4627" t="s">
        <v>21613</v>
      </c>
      <c r="I4627" t="s">
        <v>21614</v>
      </c>
      <c r="J4627" t="s">
        <v>21615</v>
      </c>
      <c r="K4627" t="s">
        <v>21616</v>
      </c>
      <c r="L4627" t="s">
        <v>21617</v>
      </c>
      <c r="M4627" t="s">
        <v>824</v>
      </c>
      <c r="N4627" t="s">
        <v>6119</v>
      </c>
      <c r="O4627" t="s">
        <v>21618</v>
      </c>
      <c r="P4627" t="s">
        <v>21619</v>
      </c>
      <c r="Q4627" t="s">
        <v>21620</v>
      </c>
      <c r="R4627">
        <v>14</v>
      </c>
      <c r="S4627">
        <v>16</v>
      </c>
    </row>
    <row r="4628" spans="1:19" x14ac:dyDescent="0.35">
      <c r="A4628">
        <v>1800</v>
      </c>
      <c r="B4628" t="s">
        <v>21193</v>
      </c>
      <c r="C4628" t="s">
        <v>850</v>
      </c>
      <c r="D4628" t="s">
        <v>21194</v>
      </c>
      <c r="E4628" t="e" cm="1">
        <f t="array" ref="E4628">- Camphora</f>
        <v>#NAME?</v>
      </c>
      <c r="F4628" t="s">
        <v>21195</v>
      </c>
      <c r="H4628" t="s">
        <v>21196</v>
      </c>
      <c r="I4628" t="s">
        <v>21197</v>
      </c>
      <c r="J4628" t="s">
        <v>1647</v>
      </c>
      <c r="M4628" t="s">
        <v>3338</v>
      </c>
      <c r="N4628" t="s">
        <v>3633</v>
      </c>
      <c r="O4628" t="s">
        <v>21198</v>
      </c>
      <c r="P4628" t="s">
        <v>21199</v>
      </c>
      <c r="Q4628" t="s">
        <v>21200</v>
      </c>
      <c r="R4628">
        <v>14</v>
      </c>
      <c r="S4628">
        <v>16</v>
      </c>
    </row>
    <row r="4629" spans="1:19" x14ac:dyDescent="0.35">
      <c r="A4629">
        <v>5353</v>
      </c>
      <c r="B4629" t="s">
        <v>21386</v>
      </c>
      <c r="C4629" t="s">
        <v>42</v>
      </c>
      <c r="D4629" t="s">
        <v>21387</v>
      </c>
      <c r="E4629" t="e" cm="1">
        <f t="array" ref="E4629">- ACICLOVIR</f>
        <v>#NAME?</v>
      </c>
      <c r="F4629" t="s">
        <v>21388</v>
      </c>
      <c r="G4629" t="s">
        <v>21389</v>
      </c>
      <c r="H4629" t="s">
        <v>21390</v>
      </c>
      <c r="I4629" t="s">
        <v>21391</v>
      </c>
      <c r="J4629" t="s">
        <v>7123</v>
      </c>
      <c r="K4629" t="s">
        <v>21392</v>
      </c>
      <c r="L4629" t="s">
        <v>21393</v>
      </c>
      <c r="M4629" t="s">
        <v>1289</v>
      </c>
      <c r="N4629" t="s">
        <v>1685</v>
      </c>
      <c r="O4629" t="s">
        <v>21394</v>
      </c>
      <c r="P4629" t="s">
        <v>21395</v>
      </c>
      <c r="Q4629" t="s">
        <v>21396</v>
      </c>
      <c r="R4629">
        <v>14</v>
      </c>
      <c r="S4629">
        <v>16</v>
      </c>
    </row>
    <row r="4630" spans="1:19" x14ac:dyDescent="0.35">
      <c r="A4630">
        <v>4060</v>
      </c>
      <c r="B4630" t="s">
        <v>21621</v>
      </c>
      <c r="C4630" t="s">
        <v>42</v>
      </c>
      <c r="D4630" t="s">
        <v>21622</v>
      </c>
      <c r="E4630" t="e" cm="1">
        <f t="array" ref="E4630">- CETIRIZINE HYDROCHLORIDE</f>
        <v>#NAME?</v>
      </c>
      <c r="F4630" t="s">
        <v>21623</v>
      </c>
      <c r="G4630" t="s">
        <v>4469</v>
      </c>
      <c r="H4630" t="s">
        <v>1498</v>
      </c>
      <c r="I4630" t="s">
        <v>21036</v>
      </c>
      <c r="J4630" t="s">
        <v>945</v>
      </c>
      <c r="K4630" t="s">
        <v>16653</v>
      </c>
      <c r="L4630" t="s">
        <v>16654</v>
      </c>
      <c r="M4630" t="s">
        <v>271</v>
      </c>
      <c r="N4630" t="s">
        <v>1390</v>
      </c>
      <c r="O4630" t="s">
        <v>21038</v>
      </c>
      <c r="P4630" t="s">
        <v>20964</v>
      </c>
      <c r="Q4630" t="s">
        <v>21624</v>
      </c>
      <c r="R4630">
        <v>14</v>
      </c>
      <c r="S4630">
        <v>16</v>
      </c>
    </row>
    <row r="4631" spans="1:19" x14ac:dyDescent="0.35">
      <c r="A4631">
        <v>206</v>
      </c>
      <c r="B4631" t="s">
        <v>2902</v>
      </c>
      <c r="C4631" t="s">
        <v>42</v>
      </c>
      <c r="D4631" t="s">
        <v>21625</v>
      </c>
      <c r="E4631" t="e" cm="1">
        <f t="array" ref="E4631">- SILDENAFIL CITRATE</f>
        <v>#NAME?</v>
      </c>
      <c r="F4631" t="s">
        <v>21626</v>
      </c>
      <c r="G4631" t="s">
        <v>17056</v>
      </c>
      <c r="H4631" t="s">
        <v>1322</v>
      </c>
      <c r="I4631" t="s">
        <v>17057</v>
      </c>
      <c r="J4631" t="s">
        <v>21163</v>
      </c>
      <c r="M4631" t="s">
        <v>46</v>
      </c>
      <c r="N4631" t="s">
        <v>2519</v>
      </c>
      <c r="O4631" t="s">
        <v>17058</v>
      </c>
      <c r="P4631" t="s">
        <v>9012</v>
      </c>
      <c r="Q4631" t="s">
        <v>21627</v>
      </c>
      <c r="R4631">
        <v>14</v>
      </c>
      <c r="S4631">
        <v>16</v>
      </c>
    </row>
    <row r="4632" spans="1:19" x14ac:dyDescent="0.35">
      <c r="A4632">
        <v>4064</v>
      </c>
      <c r="B4632" t="s">
        <v>21628</v>
      </c>
      <c r="C4632" t="s">
        <v>42</v>
      </c>
      <c r="D4632" t="s">
        <v>21629</v>
      </c>
      <c r="E4632" t="e" cm="1">
        <f t="array" ref="E4632">- CETIRIZINE HYDROCHLORIDE</f>
        <v>#NAME?</v>
      </c>
      <c r="F4632" t="s">
        <v>21630</v>
      </c>
      <c r="G4632" t="s">
        <v>60</v>
      </c>
      <c r="H4632" t="s">
        <v>21631</v>
      </c>
      <c r="I4632" t="s">
        <v>21632</v>
      </c>
      <c r="J4632" t="s">
        <v>21633</v>
      </c>
      <c r="K4632" t="s">
        <v>21634</v>
      </c>
      <c r="L4632" t="s">
        <v>21635</v>
      </c>
      <c r="M4632" t="s">
        <v>38</v>
      </c>
      <c r="N4632" t="s">
        <v>1390</v>
      </c>
      <c r="O4632" t="s">
        <v>21038</v>
      </c>
      <c r="P4632" t="s">
        <v>21636</v>
      </c>
      <c r="Q4632" t="s">
        <v>21637</v>
      </c>
      <c r="R4632">
        <v>14</v>
      </c>
      <c r="S4632">
        <v>16</v>
      </c>
    </row>
    <row r="4633" spans="1:19" x14ac:dyDescent="0.35">
      <c r="A4633">
        <v>7583</v>
      </c>
      <c r="B4633" t="s">
        <v>21638</v>
      </c>
      <c r="C4633" t="s">
        <v>20</v>
      </c>
      <c r="D4633" t="s">
        <v>21639</v>
      </c>
      <c r="E4633" t="s">
        <v>21640</v>
      </c>
      <c r="F4633" t="s">
        <v>21641</v>
      </c>
      <c r="H4633" t="s">
        <v>21642</v>
      </c>
      <c r="I4633" t="s">
        <v>21643</v>
      </c>
      <c r="J4633" t="s">
        <v>21644</v>
      </c>
      <c r="M4633" t="s">
        <v>271</v>
      </c>
      <c r="N4633" t="s">
        <v>21645</v>
      </c>
      <c r="O4633" t="s">
        <v>21646</v>
      </c>
      <c r="P4633" t="s">
        <v>21647</v>
      </c>
      <c r="Q4633" t="s">
        <v>21648</v>
      </c>
      <c r="R4633">
        <v>14</v>
      </c>
      <c r="S4633">
        <v>16</v>
      </c>
    </row>
    <row r="4634" spans="1:19" x14ac:dyDescent="0.35">
      <c r="A4634">
        <v>7127</v>
      </c>
      <c r="B4634" t="s">
        <v>21649</v>
      </c>
      <c r="C4634" t="s">
        <v>850</v>
      </c>
      <c r="D4634" t="s">
        <v>21650</v>
      </c>
      <c r="E4634" t="e" cm="1">
        <f t="array" ref="E4634">- Capsaicin</f>
        <v>#NAME?</v>
      </c>
      <c r="F4634" t="s">
        <v>21651</v>
      </c>
      <c r="G4634" t="s">
        <v>19584</v>
      </c>
      <c r="H4634" t="s">
        <v>19585</v>
      </c>
      <c r="I4634" t="s">
        <v>19586</v>
      </c>
      <c r="J4634" t="s">
        <v>3197</v>
      </c>
      <c r="K4634" t="s">
        <v>3952</v>
      </c>
      <c r="L4634" t="s">
        <v>21652</v>
      </c>
      <c r="M4634" t="s">
        <v>1289</v>
      </c>
      <c r="N4634" t="s">
        <v>16147</v>
      </c>
      <c r="O4634" t="s">
        <v>19590</v>
      </c>
      <c r="P4634" t="s">
        <v>21653</v>
      </c>
      <c r="Q4634" t="s">
        <v>21654</v>
      </c>
      <c r="R4634">
        <v>14</v>
      </c>
      <c r="S4634">
        <v>16</v>
      </c>
    </row>
    <row r="4635" spans="1:19" x14ac:dyDescent="0.35">
      <c r="A4635">
        <v>7318</v>
      </c>
      <c r="B4635" t="s">
        <v>21655</v>
      </c>
      <c r="C4635" t="s">
        <v>42</v>
      </c>
      <c r="D4635" t="s">
        <v>21656</v>
      </c>
      <c r="E4635" t="e" cm="1">
        <f t="array" ref="E4635">- LEVONORGESTREL</f>
        <v>#NAME?</v>
      </c>
      <c r="G4635" t="s">
        <v>21657</v>
      </c>
      <c r="H4635" t="s">
        <v>21658</v>
      </c>
      <c r="I4635" t="s">
        <v>21659</v>
      </c>
      <c r="J4635" t="s">
        <v>21660</v>
      </c>
      <c r="K4635" t="s">
        <v>21661</v>
      </c>
      <c r="L4635" t="s">
        <v>21662</v>
      </c>
      <c r="M4635" t="s">
        <v>46</v>
      </c>
      <c r="N4635" t="s">
        <v>21663</v>
      </c>
      <c r="O4635" t="s">
        <v>21664</v>
      </c>
      <c r="P4635" t="s">
        <v>21665</v>
      </c>
      <c r="Q4635" t="s">
        <v>21666</v>
      </c>
      <c r="R4635">
        <v>14</v>
      </c>
      <c r="S4635">
        <v>16</v>
      </c>
    </row>
    <row r="4636" spans="1:19" x14ac:dyDescent="0.35">
      <c r="A4636">
        <v>7103</v>
      </c>
      <c r="B4636" t="s">
        <v>21667</v>
      </c>
      <c r="C4636" t="s">
        <v>20</v>
      </c>
      <c r="D4636" t="s">
        <v>21668</v>
      </c>
      <c r="E4636" t="s">
        <v>21669</v>
      </c>
      <c r="F4636" t="s">
        <v>21670</v>
      </c>
      <c r="H4636" t="s">
        <v>12828</v>
      </c>
      <c r="I4636" t="s">
        <v>21671</v>
      </c>
      <c r="J4636" t="s">
        <v>12625</v>
      </c>
      <c r="M4636" t="s">
        <v>38</v>
      </c>
      <c r="N4636" t="s">
        <v>21672</v>
      </c>
      <c r="O4636" t="s">
        <v>21673</v>
      </c>
      <c r="P4636" t="s">
        <v>21674</v>
      </c>
      <c r="Q4636" t="s">
        <v>21675</v>
      </c>
      <c r="R4636">
        <v>14</v>
      </c>
      <c r="S4636">
        <v>16</v>
      </c>
    </row>
    <row r="4637" spans="1:19" x14ac:dyDescent="0.35">
      <c r="A4637">
        <v>1381</v>
      </c>
      <c r="B4637" t="s">
        <v>2074</v>
      </c>
      <c r="C4637" t="s">
        <v>42</v>
      </c>
      <c r="D4637" t="s">
        <v>21121</v>
      </c>
      <c r="E4637" t="e" cm="1">
        <f t="array" ref="E4637">- GUAIFENESIN</f>
        <v>#NAME?</v>
      </c>
      <c r="F4637" s="1">
        <v>227000</v>
      </c>
      <c r="G4637" t="s">
        <v>21122</v>
      </c>
      <c r="H4637" t="s">
        <v>21123</v>
      </c>
      <c r="I4637" t="s">
        <v>21124</v>
      </c>
      <c r="J4637" t="s">
        <v>21125</v>
      </c>
      <c r="M4637" t="s">
        <v>46</v>
      </c>
      <c r="N4637" t="s">
        <v>361</v>
      </c>
      <c r="O4637" t="s">
        <v>21126</v>
      </c>
      <c r="P4637" t="s">
        <v>21127</v>
      </c>
      <c r="Q4637" t="s">
        <v>21676</v>
      </c>
      <c r="R4637">
        <v>14</v>
      </c>
      <c r="S4637">
        <v>16</v>
      </c>
    </row>
    <row r="4638" spans="1:19" x14ac:dyDescent="0.35">
      <c r="A4638">
        <v>7102</v>
      </c>
      <c r="B4638" t="s">
        <v>21667</v>
      </c>
      <c r="C4638" t="s">
        <v>20</v>
      </c>
      <c r="D4638" t="s">
        <v>21668</v>
      </c>
      <c r="E4638" t="s">
        <v>21669</v>
      </c>
      <c r="F4638" t="s">
        <v>21670</v>
      </c>
      <c r="H4638" t="s">
        <v>12828</v>
      </c>
      <c r="I4638" t="s">
        <v>21671</v>
      </c>
      <c r="J4638" t="s">
        <v>12625</v>
      </c>
      <c r="M4638" t="s">
        <v>38</v>
      </c>
      <c r="N4638" t="s">
        <v>21672</v>
      </c>
      <c r="O4638" t="s">
        <v>21673</v>
      </c>
      <c r="P4638" t="s">
        <v>21674</v>
      </c>
      <c r="Q4638" t="s">
        <v>21675</v>
      </c>
      <c r="R4638">
        <v>14</v>
      </c>
      <c r="S4638">
        <v>16</v>
      </c>
    </row>
    <row r="4639" spans="1:19" x14ac:dyDescent="0.35">
      <c r="A4639">
        <v>5641</v>
      </c>
      <c r="B4639" t="s">
        <v>21677</v>
      </c>
      <c r="C4639" t="s">
        <v>42</v>
      </c>
      <c r="D4639" t="s">
        <v>21678</v>
      </c>
      <c r="E4639" t="e" cm="1">
        <f t="array" ref="E4639">- AMOXICILLIN TRIHYDRATE</f>
        <v>#NAME?</v>
      </c>
      <c r="F4639" t="s">
        <v>21679</v>
      </c>
      <c r="G4639" t="s">
        <v>2241</v>
      </c>
      <c r="H4639" t="s">
        <v>19761</v>
      </c>
      <c r="I4639" t="s">
        <v>19723</v>
      </c>
      <c r="J4639" t="s">
        <v>284</v>
      </c>
      <c r="K4639" t="s">
        <v>19724</v>
      </c>
      <c r="L4639" t="s">
        <v>19725</v>
      </c>
      <c r="M4639" t="s">
        <v>46</v>
      </c>
      <c r="N4639" t="s">
        <v>1523</v>
      </c>
      <c r="O4639" t="s">
        <v>19726</v>
      </c>
      <c r="P4639" t="s">
        <v>21680</v>
      </c>
      <c r="Q4639" t="s">
        <v>21681</v>
      </c>
      <c r="R4639">
        <v>14</v>
      </c>
      <c r="S4639">
        <v>16</v>
      </c>
    </row>
    <row r="4640" spans="1:19" x14ac:dyDescent="0.35">
      <c r="A4640">
        <v>1530</v>
      </c>
      <c r="B4640" t="s">
        <v>8356</v>
      </c>
      <c r="C4640" t="s">
        <v>42</v>
      </c>
      <c r="D4640" t="s">
        <v>8357</v>
      </c>
      <c r="E4640" t="e" cm="1">
        <f t="array" ref="E4640">- SUCCUS LIQUIRITIAE. CHLORPHENAMINE MALEATE. AMMONIUM CHLORIDE. EPHEDRINE HYDROCHLORIDE</f>
        <v>#NAME?</v>
      </c>
      <c r="F4640" t="s">
        <v>8358</v>
      </c>
      <c r="J4640" t="s">
        <v>334</v>
      </c>
      <c r="M4640" t="s">
        <v>271</v>
      </c>
      <c r="N4640" t="s">
        <v>21682</v>
      </c>
      <c r="P4640" t="s">
        <v>8359</v>
      </c>
      <c r="Q4640" t="s">
        <v>21683</v>
      </c>
      <c r="R4640">
        <v>14</v>
      </c>
      <c r="S4640">
        <v>16</v>
      </c>
    </row>
    <row r="4641" spans="1:19" x14ac:dyDescent="0.35">
      <c r="A4641">
        <v>4269</v>
      </c>
      <c r="B4641" t="s">
        <v>21684</v>
      </c>
      <c r="C4641" t="s">
        <v>42</v>
      </c>
      <c r="D4641" t="s">
        <v>21685</v>
      </c>
      <c r="E4641" t="e" cm="1">
        <f t="array" ref="E4641">- CETIRIZINE HYDROCHLORIDE</f>
        <v>#NAME?</v>
      </c>
      <c r="F4641" s="1">
        <v>43100</v>
      </c>
      <c r="G4641" t="s">
        <v>2241</v>
      </c>
      <c r="H4641" t="s">
        <v>1498</v>
      </c>
      <c r="I4641" t="s">
        <v>21036</v>
      </c>
      <c r="J4641" t="s">
        <v>846</v>
      </c>
      <c r="M4641" t="s">
        <v>271</v>
      </c>
      <c r="N4641" t="s">
        <v>1390</v>
      </c>
      <c r="O4641" t="s">
        <v>21038</v>
      </c>
      <c r="P4641" t="s">
        <v>21686</v>
      </c>
      <c r="Q4641" t="s">
        <v>21687</v>
      </c>
      <c r="R4641">
        <v>14</v>
      </c>
      <c r="S4641">
        <v>16</v>
      </c>
    </row>
    <row r="4642" spans="1:19" x14ac:dyDescent="0.35">
      <c r="A4642">
        <v>2784</v>
      </c>
      <c r="B4642" t="s">
        <v>21688</v>
      </c>
      <c r="C4642" t="s">
        <v>42</v>
      </c>
      <c r="D4642" t="s">
        <v>21689</v>
      </c>
      <c r="E4642" t="e" cm="1">
        <f t="array" ref="E4642">- DICLOFENAC SODIUM</f>
        <v>#NAME?</v>
      </c>
      <c r="F4642" t="s">
        <v>21690</v>
      </c>
      <c r="G4642" t="s">
        <v>17569</v>
      </c>
      <c r="H4642" t="s">
        <v>21691</v>
      </c>
      <c r="I4642" t="s">
        <v>21692</v>
      </c>
      <c r="J4642" t="s">
        <v>21693</v>
      </c>
      <c r="K4642" t="s">
        <v>21694</v>
      </c>
      <c r="L4642" t="s">
        <v>21695</v>
      </c>
      <c r="M4642" t="s">
        <v>46</v>
      </c>
      <c r="N4642" t="s">
        <v>2597</v>
      </c>
      <c r="O4642" t="s">
        <v>21696</v>
      </c>
      <c r="P4642" t="s">
        <v>21697</v>
      </c>
      <c r="Q4642" t="s">
        <v>21698</v>
      </c>
      <c r="R4642">
        <v>14</v>
      </c>
      <c r="S4642">
        <v>16</v>
      </c>
    </row>
    <row r="4643" spans="1:19" x14ac:dyDescent="0.35">
      <c r="A4643">
        <v>2785</v>
      </c>
      <c r="B4643" t="s">
        <v>21688</v>
      </c>
      <c r="C4643" t="s">
        <v>42</v>
      </c>
      <c r="D4643" t="s">
        <v>21689</v>
      </c>
      <c r="E4643" t="e" cm="1">
        <f t="array" ref="E4643">- DICLOFENAC SODIUM</f>
        <v>#NAME?</v>
      </c>
      <c r="F4643" t="s">
        <v>21690</v>
      </c>
      <c r="G4643" t="s">
        <v>17569</v>
      </c>
      <c r="H4643" t="s">
        <v>21691</v>
      </c>
      <c r="I4643" t="s">
        <v>21692</v>
      </c>
      <c r="J4643" t="s">
        <v>21693</v>
      </c>
      <c r="K4643" t="s">
        <v>21694</v>
      </c>
      <c r="L4643" t="s">
        <v>21695</v>
      </c>
      <c r="M4643" t="s">
        <v>46</v>
      </c>
      <c r="N4643" t="s">
        <v>2597</v>
      </c>
      <c r="O4643" t="s">
        <v>21696</v>
      </c>
      <c r="P4643" t="s">
        <v>21697</v>
      </c>
      <c r="Q4643" t="s">
        <v>21698</v>
      </c>
      <c r="R4643">
        <v>14</v>
      </c>
      <c r="S4643">
        <v>16</v>
      </c>
    </row>
    <row r="4644" spans="1:19" x14ac:dyDescent="0.35">
      <c r="A4644">
        <v>5656</v>
      </c>
      <c r="B4644" t="s">
        <v>21699</v>
      </c>
      <c r="C4644" t="s">
        <v>42</v>
      </c>
      <c r="D4644" t="s">
        <v>21700</v>
      </c>
      <c r="E4644" t="e" cm="1">
        <f t="array" ref="E4644">- AMOXICILLIN TRIHYDRATE</f>
        <v>#NAME?</v>
      </c>
      <c r="F4644" t="s">
        <v>21701</v>
      </c>
      <c r="G4644" t="s">
        <v>60</v>
      </c>
      <c r="H4644" t="s">
        <v>21702</v>
      </c>
      <c r="I4644" t="s">
        <v>19723</v>
      </c>
      <c r="J4644" t="s">
        <v>334</v>
      </c>
      <c r="K4644" t="s">
        <v>19724</v>
      </c>
      <c r="L4644" t="s">
        <v>21703</v>
      </c>
      <c r="M4644" t="s">
        <v>271</v>
      </c>
      <c r="N4644" t="s">
        <v>1523</v>
      </c>
      <c r="O4644" t="s">
        <v>19726</v>
      </c>
      <c r="P4644" t="s">
        <v>21704</v>
      </c>
      <c r="Q4644" t="s">
        <v>21705</v>
      </c>
      <c r="R4644">
        <v>14</v>
      </c>
      <c r="S4644">
        <v>16</v>
      </c>
    </row>
    <row r="4645" spans="1:19" x14ac:dyDescent="0.35">
      <c r="A4645">
        <v>1529</v>
      </c>
      <c r="B4645" t="s">
        <v>8356</v>
      </c>
      <c r="C4645" t="s">
        <v>42</v>
      </c>
      <c r="D4645" t="s">
        <v>8357</v>
      </c>
      <c r="E4645" t="e" cm="1">
        <f t="array" ref="E4645">- SUCCUS LIQUIRITIAE. CHLORPHENAMINE MALEATE. AMMONIUM CHLORIDE. EPHEDRINE HYDROCHLORIDE</f>
        <v>#NAME?</v>
      </c>
      <c r="F4645" t="s">
        <v>8358</v>
      </c>
      <c r="J4645" t="s">
        <v>334</v>
      </c>
      <c r="M4645" t="s">
        <v>271</v>
      </c>
      <c r="N4645" t="s">
        <v>21682</v>
      </c>
      <c r="P4645" t="s">
        <v>8359</v>
      </c>
      <c r="Q4645" t="s">
        <v>21683</v>
      </c>
      <c r="R4645">
        <v>14</v>
      </c>
      <c r="S4645">
        <v>16</v>
      </c>
    </row>
    <row r="4646" spans="1:19" x14ac:dyDescent="0.35">
      <c r="A4646">
        <v>4268</v>
      </c>
      <c r="B4646" t="s">
        <v>21684</v>
      </c>
      <c r="C4646" t="s">
        <v>42</v>
      </c>
      <c r="D4646" t="s">
        <v>21685</v>
      </c>
      <c r="E4646" t="e" cm="1">
        <f t="array" ref="E4646">- CETIRIZINE HYDROCHLORIDE</f>
        <v>#NAME?</v>
      </c>
      <c r="F4646" s="1">
        <v>43100</v>
      </c>
      <c r="G4646" t="s">
        <v>2241</v>
      </c>
      <c r="H4646" t="s">
        <v>1498</v>
      </c>
      <c r="I4646" t="s">
        <v>21036</v>
      </c>
      <c r="J4646" t="s">
        <v>846</v>
      </c>
      <c r="M4646" t="s">
        <v>271</v>
      </c>
      <c r="N4646" t="s">
        <v>1390</v>
      </c>
      <c r="O4646" t="s">
        <v>21038</v>
      </c>
      <c r="P4646" t="s">
        <v>21686</v>
      </c>
      <c r="Q4646" t="s">
        <v>21687</v>
      </c>
      <c r="R4646">
        <v>14</v>
      </c>
      <c r="S4646">
        <v>16</v>
      </c>
    </row>
    <row r="4647" spans="1:19" x14ac:dyDescent="0.35">
      <c r="A4647">
        <v>4159</v>
      </c>
      <c r="B4647" t="s">
        <v>21706</v>
      </c>
      <c r="C4647" t="s">
        <v>42</v>
      </c>
      <c r="D4647" t="s">
        <v>21707</v>
      </c>
      <c r="E4647" t="e" cm="1">
        <f t="array" ref="E4647">- CETIRIZINE</f>
        <v>#NAME?</v>
      </c>
      <c r="F4647" t="s">
        <v>21708</v>
      </c>
      <c r="G4647" t="s">
        <v>2266</v>
      </c>
      <c r="H4647" t="s">
        <v>21709</v>
      </c>
      <c r="I4647" t="s">
        <v>21710</v>
      </c>
      <c r="J4647" t="s">
        <v>743</v>
      </c>
      <c r="K4647" t="s">
        <v>21711</v>
      </c>
      <c r="L4647" t="s">
        <v>12310</v>
      </c>
      <c r="M4647" t="s">
        <v>824</v>
      </c>
      <c r="N4647" t="s">
        <v>21158</v>
      </c>
      <c r="O4647" t="s">
        <v>21712</v>
      </c>
      <c r="P4647" t="s">
        <v>20990</v>
      </c>
      <c r="Q4647" t="s">
        <v>21713</v>
      </c>
      <c r="R4647">
        <v>14</v>
      </c>
      <c r="S4647">
        <v>16</v>
      </c>
    </row>
    <row r="4648" spans="1:19" x14ac:dyDescent="0.35">
      <c r="A4648">
        <v>5432</v>
      </c>
      <c r="B4648" t="s">
        <v>19291</v>
      </c>
      <c r="C4648" t="s">
        <v>42</v>
      </c>
      <c r="D4648" t="s">
        <v>21714</v>
      </c>
      <c r="E4648" t="e" cm="1">
        <f t="array" ref="E4648">- GENTAMICIN SULFATE</f>
        <v>#NAME?</v>
      </c>
      <c r="F4648" t="s">
        <v>21715</v>
      </c>
      <c r="G4648" t="s">
        <v>21716</v>
      </c>
      <c r="H4648" t="s">
        <v>21717</v>
      </c>
      <c r="I4648" t="s">
        <v>21718</v>
      </c>
      <c r="J4648" t="s">
        <v>21719</v>
      </c>
      <c r="K4648" t="s">
        <v>21720</v>
      </c>
      <c r="L4648" t="s">
        <v>21721</v>
      </c>
      <c r="M4648" t="s">
        <v>1289</v>
      </c>
      <c r="N4648" t="s">
        <v>6119</v>
      </c>
      <c r="O4648" t="s">
        <v>21722</v>
      </c>
      <c r="P4648" t="s">
        <v>19300</v>
      </c>
      <c r="Q4648" t="s">
        <v>21723</v>
      </c>
      <c r="R4648">
        <v>14</v>
      </c>
      <c r="S4648">
        <v>16</v>
      </c>
    </row>
    <row r="4649" spans="1:19" x14ac:dyDescent="0.35">
      <c r="A4649">
        <v>8525</v>
      </c>
      <c r="B4649" t="s">
        <v>21056</v>
      </c>
      <c r="C4649" t="s">
        <v>42</v>
      </c>
      <c r="D4649" t="s">
        <v>21057</v>
      </c>
      <c r="E4649" t="e" cm="1">
        <f t="array" ref="E4649">- FRAMYCETIN SULFATE</f>
        <v>#NAME?</v>
      </c>
      <c r="F4649" t="s">
        <v>21058</v>
      </c>
      <c r="G4649" t="s">
        <v>21059</v>
      </c>
      <c r="H4649" t="s">
        <v>21060</v>
      </c>
      <c r="I4649" t="s">
        <v>21061</v>
      </c>
      <c r="J4649" t="s">
        <v>21062</v>
      </c>
      <c r="K4649" t="s">
        <v>21063</v>
      </c>
      <c r="L4649" t="s">
        <v>21064</v>
      </c>
      <c r="M4649" t="s">
        <v>2229</v>
      </c>
      <c r="N4649" t="s">
        <v>20434</v>
      </c>
      <c r="O4649" t="s">
        <v>21065</v>
      </c>
      <c r="P4649" t="s">
        <v>21066</v>
      </c>
      <c r="Q4649" t="s">
        <v>21067</v>
      </c>
      <c r="R4649">
        <v>14</v>
      </c>
      <c r="S4649">
        <v>16</v>
      </c>
    </row>
    <row r="4650" spans="1:19" x14ac:dyDescent="0.35">
      <c r="A4650">
        <v>1527</v>
      </c>
      <c r="B4650" t="s">
        <v>8356</v>
      </c>
      <c r="C4650" t="s">
        <v>42</v>
      </c>
      <c r="D4650" t="s">
        <v>8372</v>
      </c>
      <c r="E4650" t="e" cm="1">
        <f t="array" ref="E4650">- SUCCUS LIQUIRITIAE. CHLORPHENAMINE MALEATE. AMMONIUM CHLORIDE. EPHEDRINE HYDROCHLORIDE</f>
        <v>#NAME?</v>
      </c>
      <c r="F4650" t="s">
        <v>8373</v>
      </c>
      <c r="J4650" t="s">
        <v>374</v>
      </c>
      <c r="M4650" t="s">
        <v>271</v>
      </c>
      <c r="N4650" t="s">
        <v>21682</v>
      </c>
      <c r="P4650" t="s">
        <v>8359</v>
      </c>
      <c r="Q4650" t="s">
        <v>21683</v>
      </c>
      <c r="R4650">
        <v>14</v>
      </c>
      <c r="S4650">
        <v>16</v>
      </c>
    </row>
    <row r="4651" spans="1:19" x14ac:dyDescent="0.35">
      <c r="A4651">
        <v>8096</v>
      </c>
      <c r="B4651" t="s">
        <v>551</v>
      </c>
      <c r="C4651" t="s">
        <v>42</v>
      </c>
      <c r="D4651" t="s">
        <v>21724</v>
      </c>
      <c r="E4651" t="e" cm="1">
        <f t="array" ref="E4651">- POVIDONE-IODINE</f>
        <v>#NAME?</v>
      </c>
      <c r="F4651" s="1">
        <v>5500</v>
      </c>
      <c r="G4651" t="s">
        <v>21725</v>
      </c>
      <c r="H4651" t="s">
        <v>1322</v>
      </c>
      <c r="I4651" t="s">
        <v>21726</v>
      </c>
      <c r="J4651" t="s">
        <v>2628</v>
      </c>
      <c r="M4651" t="s">
        <v>554</v>
      </c>
      <c r="N4651" t="s">
        <v>555</v>
      </c>
      <c r="O4651" t="s">
        <v>16343</v>
      </c>
      <c r="P4651" t="s">
        <v>21727</v>
      </c>
      <c r="Q4651" t="s">
        <v>21728</v>
      </c>
      <c r="R4651">
        <v>14</v>
      </c>
      <c r="S4651">
        <v>16</v>
      </c>
    </row>
    <row r="4652" spans="1:19" x14ac:dyDescent="0.35">
      <c r="A4652">
        <v>1526</v>
      </c>
      <c r="B4652" t="s">
        <v>8356</v>
      </c>
      <c r="C4652" t="s">
        <v>42</v>
      </c>
      <c r="D4652" t="s">
        <v>8372</v>
      </c>
      <c r="E4652" t="e" cm="1">
        <f t="array" ref="E4652">- SUCCUS LIQUIRITIAE. CHLORPHENAMINE MALEATE. AMMONIUM CHLORIDE. EPHEDRINE HYDROCHLORIDE</f>
        <v>#NAME?</v>
      </c>
      <c r="F4652" t="s">
        <v>8373</v>
      </c>
      <c r="J4652" t="s">
        <v>374</v>
      </c>
      <c r="M4652" t="s">
        <v>271</v>
      </c>
      <c r="N4652" t="s">
        <v>21682</v>
      </c>
      <c r="P4652" t="s">
        <v>8359</v>
      </c>
      <c r="Q4652" t="s">
        <v>21683</v>
      </c>
      <c r="R4652">
        <v>14</v>
      </c>
      <c r="S4652">
        <v>16</v>
      </c>
    </row>
    <row r="4653" spans="1:19" x14ac:dyDescent="0.35">
      <c r="A4653">
        <v>8097</v>
      </c>
      <c r="B4653" t="s">
        <v>551</v>
      </c>
      <c r="C4653" t="s">
        <v>42</v>
      </c>
      <c r="D4653" t="s">
        <v>21724</v>
      </c>
      <c r="E4653" t="e" cm="1">
        <f t="array" ref="E4653">- POVIDONE-IODINE</f>
        <v>#NAME?</v>
      </c>
      <c r="F4653" s="1">
        <v>5500</v>
      </c>
      <c r="G4653" t="s">
        <v>21725</v>
      </c>
      <c r="H4653" t="s">
        <v>1322</v>
      </c>
      <c r="I4653" t="s">
        <v>21726</v>
      </c>
      <c r="J4653" t="s">
        <v>2628</v>
      </c>
      <c r="M4653" t="s">
        <v>554</v>
      </c>
      <c r="N4653" t="s">
        <v>555</v>
      </c>
      <c r="O4653" t="s">
        <v>16343</v>
      </c>
      <c r="P4653" t="s">
        <v>21727</v>
      </c>
      <c r="Q4653" t="s">
        <v>21728</v>
      </c>
      <c r="R4653">
        <v>14</v>
      </c>
      <c r="S4653">
        <v>16</v>
      </c>
    </row>
    <row r="4654" spans="1:19" x14ac:dyDescent="0.35">
      <c r="A4654">
        <v>6142</v>
      </c>
      <c r="B4654" t="s">
        <v>21729</v>
      </c>
      <c r="C4654" t="s">
        <v>42</v>
      </c>
      <c r="D4654" t="s">
        <v>21730</v>
      </c>
      <c r="E4654" t="e" cm="1">
        <f t="array" ref="E4654">- CEFADROXIL</f>
        <v>#NAME?</v>
      </c>
      <c r="F4654" t="s">
        <v>21731</v>
      </c>
      <c r="G4654" t="s">
        <v>2241</v>
      </c>
      <c r="H4654" t="s">
        <v>21352</v>
      </c>
      <c r="I4654" t="s">
        <v>21353</v>
      </c>
      <c r="J4654" t="s">
        <v>743</v>
      </c>
      <c r="K4654" t="s">
        <v>21355</v>
      </c>
      <c r="L4654" t="s">
        <v>21356</v>
      </c>
      <c r="M4654" t="s">
        <v>824</v>
      </c>
      <c r="N4654" t="s">
        <v>21357</v>
      </c>
      <c r="O4654" t="s">
        <v>21358</v>
      </c>
      <c r="P4654" t="s">
        <v>21732</v>
      </c>
      <c r="Q4654" t="s">
        <v>21733</v>
      </c>
      <c r="R4654">
        <v>14</v>
      </c>
      <c r="S4654">
        <v>16</v>
      </c>
    </row>
    <row r="4655" spans="1:19" x14ac:dyDescent="0.35">
      <c r="A4655">
        <v>1377</v>
      </c>
      <c r="B4655" t="s">
        <v>2074</v>
      </c>
      <c r="C4655" t="s">
        <v>42</v>
      </c>
      <c r="D4655" t="s">
        <v>21472</v>
      </c>
      <c r="E4655" t="e" cm="1">
        <f t="array" ref="E4655">- GUAIFENESIN</f>
        <v>#NAME?</v>
      </c>
      <c r="F4655" t="s">
        <v>21473</v>
      </c>
      <c r="G4655" t="s">
        <v>21474</v>
      </c>
      <c r="H4655" t="s">
        <v>1322</v>
      </c>
      <c r="I4655" t="s">
        <v>21475</v>
      </c>
      <c r="J4655" t="s">
        <v>4010</v>
      </c>
      <c r="L4655" t="s">
        <v>21476</v>
      </c>
      <c r="M4655" t="s">
        <v>46</v>
      </c>
      <c r="N4655" t="s">
        <v>361</v>
      </c>
      <c r="O4655" t="s">
        <v>21477</v>
      </c>
      <c r="P4655" t="s">
        <v>21478</v>
      </c>
      <c r="Q4655" t="s">
        <v>21734</v>
      </c>
      <c r="R4655">
        <v>14</v>
      </c>
      <c r="S4655">
        <v>16</v>
      </c>
    </row>
    <row r="4656" spans="1:19" x14ac:dyDescent="0.35">
      <c r="A4656">
        <v>5431</v>
      </c>
      <c r="B4656" t="s">
        <v>19291</v>
      </c>
      <c r="C4656" t="s">
        <v>42</v>
      </c>
      <c r="D4656" t="s">
        <v>21714</v>
      </c>
      <c r="E4656" t="e" cm="1">
        <f t="array" ref="E4656">- GENTAMICIN SULFATE</f>
        <v>#NAME?</v>
      </c>
      <c r="F4656" t="s">
        <v>21715</v>
      </c>
      <c r="G4656" t="s">
        <v>21716</v>
      </c>
      <c r="H4656" t="s">
        <v>21717</v>
      </c>
      <c r="I4656" t="s">
        <v>21718</v>
      </c>
      <c r="J4656" t="s">
        <v>21719</v>
      </c>
      <c r="K4656" t="s">
        <v>21720</v>
      </c>
      <c r="L4656" t="s">
        <v>21721</v>
      </c>
      <c r="M4656" t="s">
        <v>1289</v>
      </c>
      <c r="N4656" t="s">
        <v>6119</v>
      </c>
      <c r="O4656" t="s">
        <v>21722</v>
      </c>
      <c r="P4656" t="s">
        <v>19300</v>
      </c>
      <c r="Q4656" t="s">
        <v>21723</v>
      </c>
      <c r="R4656">
        <v>14</v>
      </c>
      <c r="S4656">
        <v>16</v>
      </c>
    </row>
    <row r="4657" spans="1:19" x14ac:dyDescent="0.35">
      <c r="A4657">
        <v>1374</v>
      </c>
      <c r="B4657" t="s">
        <v>2074</v>
      </c>
      <c r="C4657" t="s">
        <v>42</v>
      </c>
      <c r="D4657" t="s">
        <v>21456</v>
      </c>
      <c r="E4657" t="e" cm="1">
        <f t="array" ref="E4657">- GUAIFENESIN</f>
        <v>#NAME?</v>
      </c>
      <c r="F4657" t="s">
        <v>21457</v>
      </c>
      <c r="H4657" t="s">
        <v>21458</v>
      </c>
      <c r="I4657" t="s">
        <v>21459</v>
      </c>
      <c r="J4657" t="s">
        <v>743</v>
      </c>
      <c r="M4657" t="s">
        <v>46</v>
      </c>
      <c r="N4657" t="s">
        <v>361</v>
      </c>
      <c r="O4657" t="s">
        <v>21460</v>
      </c>
      <c r="P4657" t="s">
        <v>21461</v>
      </c>
      <c r="Q4657" t="s">
        <v>21735</v>
      </c>
      <c r="R4657">
        <v>14</v>
      </c>
      <c r="S4657">
        <v>16</v>
      </c>
    </row>
    <row r="4658" spans="1:19" x14ac:dyDescent="0.35">
      <c r="A4658">
        <v>3945</v>
      </c>
      <c r="B4658" t="s">
        <v>21736</v>
      </c>
      <c r="C4658" t="s">
        <v>42</v>
      </c>
      <c r="D4658" t="s">
        <v>21737</v>
      </c>
      <c r="E4658" t="e" cm="1">
        <f t="array" ref="E4658">- PARAFFIN.  LIQUID. GLYCEROL. PHENOLPHTHALEIN</f>
        <v>#NAME?</v>
      </c>
      <c r="F4658" t="s">
        <v>21738</v>
      </c>
      <c r="G4658" t="s">
        <v>21739</v>
      </c>
      <c r="H4658" t="s">
        <v>21740</v>
      </c>
      <c r="I4658" t="s">
        <v>21741</v>
      </c>
      <c r="J4658" t="s">
        <v>829</v>
      </c>
      <c r="K4658" t="s">
        <v>21742</v>
      </c>
      <c r="L4658" t="s">
        <v>21743</v>
      </c>
      <c r="M4658" t="s">
        <v>271</v>
      </c>
      <c r="N4658" t="s">
        <v>21744</v>
      </c>
      <c r="O4658" t="s">
        <v>21745</v>
      </c>
      <c r="P4658" t="s">
        <v>21746</v>
      </c>
      <c r="Q4658" t="s">
        <v>21747</v>
      </c>
      <c r="R4658">
        <v>14</v>
      </c>
      <c r="S4658">
        <v>16</v>
      </c>
    </row>
    <row r="4659" spans="1:19" x14ac:dyDescent="0.35">
      <c r="A4659">
        <v>5430</v>
      </c>
      <c r="B4659" t="s">
        <v>19291</v>
      </c>
      <c r="C4659" t="s">
        <v>42</v>
      </c>
      <c r="D4659" t="s">
        <v>21714</v>
      </c>
      <c r="E4659" t="e" cm="1">
        <f t="array" ref="E4659">- GENTAMICIN SULFATE</f>
        <v>#NAME?</v>
      </c>
      <c r="F4659" t="s">
        <v>21715</v>
      </c>
      <c r="G4659" t="s">
        <v>21716</v>
      </c>
      <c r="H4659" t="s">
        <v>21717</v>
      </c>
      <c r="I4659" t="s">
        <v>21718</v>
      </c>
      <c r="J4659" t="s">
        <v>21719</v>
      </c>
      <c r="K4659" t="s">
        <v>21720</v>
      </c>
      <c r="L4659" t="s">
        <v>21721</v>
      </c>
      <c r="M4659" t="s">
        <v>1289</v>
      </c>
      <c r="N4659" t="s">
        <v>6119</v>
      </c>
      <c r="O4659" t="s">
        <v>21722</v>
      </c>
      <c r="P4659" t="s">
        <v>19300</v>
      </c>
      <c r="Q4659" t="s">
        <v>21723</v>
      </c>
      <c r="R4659">
        <v>14</v>
      </c>
      <c r="S4659">
        <v>16</v>
      </c>
    </row>
    <row r="4660" spans="1:19" x14ac:dyDescent="0.35">
      <c r="A4660">
        <v>7934</v>
      </c>
      <c r="B4660" t="s">
        <v>21748</v>
      </c>
      <c r="C4660" t="s">
        <v>20</v>
      </c>
      <c r="D4660" t="s">
        <v>21749</v>
      </c>
      <c r="E4660" t="s">
        <v>21750</v>
      </c>
      <c r="F4660" t="s">
        <v>21751</v>
      </c>
      <c r="I4660" t="s">
        <v>21752</v>
      </c>
      <c r="J4660" t="s">
        <v>5284</v>
      </c>
      <c r="L4660" t="s">
        <v>21753</v>
      </c>
      <c r="N4660" t="s">
        <v>21754</v>
      </c>
      <c r="O4660" t="s">
        <v>21755</v>
      </c>
      <c r="P4660" t="s">
        <v>21756</v>
      </c>
      <c r="Q4660" t="s">
        <v>21757</v>
      </c>
      <c r="R4660">
        <v>14</v>
      </c>
      <c r="S4660">
        <v>16</v>
      </c>
    </row>
    <row r="4661" spans="1:19" x14ac:dyDescent="0.35">
      <c r="A4661">
        <v>4308</v>
      </c>
      <c r="B4661" t="s">
        <v>21758</v>
      </c>
      <c r="C4661" t="s">
        <v>850</v>
      </c>
      <c r="D4661" t="s">
        <v>21759</v>
      </c>
      <c r="E4661" t="e" cm="1">
        <f t="array" ref="E4661">- Balsamum Peruvianum natural</f>
        <v>#NAME?</v>
      </c>
      <c r="F4661" t="s">
        <v>21760</v>
      </c>
      <c r="G4661" t="s">
        <v>21761</v>
      </c>
      <c r="H4661" t="s">
        <v>21762</v>
      </c>
      <c r="I4661" t="s">
        <v>21763</v>
      </c>
      <c r="J4661" t="s">
        <v>21764</v>
      </c>
      <c r="K4661" t="s">
        <v>3473</v>
      </c>
      <c r="L4661" t="s">
        <v>21765</v>
      </c>
      <c r="N4661" t="s">
        <v>21766</v>
      </c>
      <c r="O4661" t="s">
        <v>21767</v>
      </c>
      <c r="P4661" t="s">
        <v>21768</v>
      </c>
      <c r="Q4661" t="s">
        <v>21769</v>
      </c>
      <c r="R4661">
        <v>14</v>
      </c>
      <c r="S4661">
        <v>16</v>
      </c>
    </row>
    <row r="4662" spans="1:19" x14ac:dyDescent="0.35">
      <c r="A4662">
        <v>4139</v>
      </c>
      <c r="B4662" t="s">
        <v>21770</v>
      </c>
      <c r="C4662" t="s">
        <v>42</v>
      </c>
      <c r="D4662" t="s">
        <v>21771</v>
      </c>
      <c r="E4662" t="e" cm="1">
        <f t="array" ref="E4662">- CETIRIZINE HYDROCHLORIDE</f>
        <v>#NAME?</v>
      </c>
      <c r="F4662" t="s">
        <v>21772</v>
      </c>
      <c r="G4662" t="s">
        <v>60</v>
      </c>
      <c r="H4662" t="s">
        <v>21773</v>
      </c>
      <c r="I4662" t="s">
        <v>21774</v>
      </c>
      <c r="J4662" t="s">
        <v>21775</v>
      </c>
      <c r="K4662" t="s">
        <v>21776</v>
      </c>
      <c r="L4662" t="s">
        <v>21777</v>
      </c>
      <c r="M4662" t="s">
        <v>46</v>
      </c>
      <c r="N4662" t="s">
        <v>1390</v>
      </c>
      <c r="O4662" t="s">
        <v>21778</v>
      </c>
      <c r="P4662" t="s">
        <v>21779</v>
      </c>
      <c r="Q4662" t="s">
        <v>21780</v>
      </c>
      <c r="R4662">
        <v>14</v>
      </c>
      <c r="S4662">
        <v>16</v>
      </c>
    </row>
    <row r="4663" spans="1:19" x14ac:dyDescent="0.35">
      <c r="A4663">
        <v>978</v>
      </c>
      <c r="B4663" t="s">
        <v>11564</v>
      </c>
      <c r="C4663" t="s">
        <v>42</v>
      </c>
      <c r="D4663" t="s">
        <v>17178</v>
      </c>
      <c r="E4663" t="e" cm="1">
        <f t="array" ref="E4663">- AMMONIUM CHLORIDE. SUCCUS LIQUIRITIAE</f>
        <v>#NAME?</v>
      </c>
      <c r="F4663" t="s">
        <v>17179</v>
      </c>
      <c r="G4663" t="s">
        <v>2241</v>
      </c>
      <c r="H4663" t="s">
        <v>17180</v>
      </c>
      <c r="I4663" t="s">
        <v>13540</v>
      </c>
      <c r="J4663" t="s">
        <v>17181</v>
      </c>
      <c r="M4663" t="s">
        <v>271</v>
      </c>
      <c r="N4663" t="s">
        <v>13691</v>
      </c>
      <c r="O4663" t="s">
        <v>13542</v>
      </c>
      <c r="P4663" t="s">
        <v>17182</v>
      </c>
      <c r="Q4663" t="s">
        <v>21781</v>
      </c>
      <c r="R4663">
        <v>14</v>
      </c>
      <c r="S4663">
        <v>16</v>
      </c>
    </row>
    <row r="4664" spans="1:19" x14ac:dyDescent="0.35">
      <c r="A4664">
        <v>2764</v>
      </c>
      <c r="B4664" t="s">
        <v>21782</v>
      </c>
      <c r="C4664" t="s">
        <v>42</v>
      </c>
      <c r="D4664" t="s">
        <v>21783</v>
      </c>
      <c r="E4664" t="e" cm="1">
        <f t="array" ref="E4664">- BETAHISTINE MESILATE</f>
        <v>#NAME?</v>
      </c>
      <c r="F4664" t="s">
        <v>21784</v>
      </c>
      <c r="G4664" t="s">
        <v>2241</v>
      </c>
      <c r="H4664" t="s">
        <v>21785</v>
      </c>
      <c r="I4664" t="s">
        <v>21786</v>
      </c>
      <c r="J4664" t="s">
        <v>19098</v>
      </c>
      <c r="K4664" t="s">
        <v>17790</v>
      </c>
      <c r="L4664" t="s">
        <v>21787</v>
      </c>
      <c r="M4664" t="s">
        <v>46</v>
      </c>
      <c r="N4664" t="s">
        <v>2380</v>
      </c>
      <c r="O4664" t="s">
        <v>21788</v>
      </c>
      <c r="P4664" t="s">
        <v>21789</v>
      </c>
      <c r="Q4664" t="s">
        <v>21790</v>
      </c>
      <c r="R4664">
        <v>14</v>
      </c>
      <c r="S4664">
        <v>16</v>
      </c>
    </row>
    <row r="4665" spans="1:19" x14ac:dyDescent="0.35">
      <c r="A4665">
        <v>3946</v>
      </c>
      <c r="B4665" t="s">
        <v>21736</v>
      </c>
      <c r="C4665" t="s">
        <v>42</v>
      </c>
      <c r="D4665" t="s">
        <v>21737</v>
      </c>
      <c r="E4665" t="e" cm="1">
        <f t="array" ref="E4665">- PARAFFIN.  LIQUID. GLYCEROL. PHENOLPHTHALEIN</f>
        <v>#NAME?</v>
      </c>
      <c r="F4665" t="s">
        <v>21738</v>
      </c>
      <c r="G4665" t="s">
        <v>21739</v>
      </c>
      <c r="H4665" t="s">
        <v>21740</v>
      </c>
      <c r="I4665" t="s">
        <v>21741</v>
      </c>
      <c r="J4665" t="s">
        <v>829</v>
      </c>
      <c r="K4665" t="s">
        <v>21742</v>
      </c>
      <c r="L4665" t="s">
        <v>21743</v>
      </c>
      <c r="M4665" t="s">
        <v>271</v>
      </c>
      <c r="N4665" t="s">
        <v>21744</v>
      </c>
      <c r="O4665" t="s">
        <v>21745</v>
      </c>
      <c r="P4665" t="s">
        <v>21746</v>
      </c>
      <c r="Q4665" t="s">
        <v>21747</v>
      </c>
      <c r="R4665">
        <v>14</v>
      </c>
      <c r="S4665">
        <v>16</v>
      </c>
    </row>
    <row r="4666" spans="1:19" x14ac:dyDescent="0.35">
      <c r="A4666">
        <v>8526</v>
      </c>
      <c r="B4666" t="s">
        <v>21056</v>
      </c>
      <c r="C4666" t="s">
        <v>42</v>
      </c>
      <c r="D4666" t="s">
        <v>21057</v>
      </c>
      <c r="E4666" t="e" cm="1">
        <f t="array" ref="E4666">- FRAMYCETIN SULFATE</f>
        <v>#NAME?</v>
      </c>
      <c r="F4666" t="s">
        <v>21058</v>
      </c>
      <c r="G4666" t="s">
        <v>21059</v>
      </c>
      <c r="H4666" t="s">
        <v>21060</v>
      </c>
      <c r="I4666" t="s">
        <v>21061</v>
      </c>
      <c r="J4666" t="s">
        <v>21062</v>
      </c>
      <c r="K4666" t="s">
        <v>21063</v>
      </c>
      <c r="L4666" t="s">
        <v>21064</v>
      </c>
      <c r="M4666" t="s">
        <v>2229</v>
      </c>
      <c r="N4666" t="s">
        <v>20434</v>
      </c>
      <c r="O4666" t="s">
        <v>21065</v>
      </c>
      <c r="P4666" t="s">
        <v>21066</v>
      </c>
      <c r="Q4666" t="s">
        <v>21067</v>
      </c>
      <c r="R4666">
        <v>14</v>
      </c>
      <c r="S4666">
        <v>16</v>
      </c>
    </row>
    <row r="4667" spans="1:19" x14ac:dyDescent="0.35">
      <c r="A4667">
        <v>8527</v>
      </c>
      <c r="B4667" t="s">
        <v>21056</v>
      </c>
      <c r="C4667" t="s">
        <v>42</v>
      </c>
      <c r="D4667" t="s">
        <v>21057</v>
      </c>
      <c r="E4667" t="e" cm="1">
        <f t="array" ref="E4667">- FRAMYCETIN SULFATE</f>
        <v>#NAME?</v>
      </c>
      <c r="F4667" t="s">
        <v>21058</v>
      </c>
      <c r="G4667" t="s">
        <v>21059</v>
      </c>
      <c r="H4667" t="s">
        <v>21060</v>
      </c>
      <c r="I4667" t="s">
        <v>21061</v>
      </c>
      <c r="J4667" t="s">
        <v>21062</v>
      </c>
      <c r="K4667" t="s">
        <v>21063</v>
      </c>
      <c r="L4667" t="s">
        <v>21064</v>
      </c>
      <c r="M4667" t="s">
        <v>2229</v>
      </c>
      <c r="N4667" t="s">
        <v>20434</v>
      </c>
      <c r="O4667" t="s">
        <v>21065</v>
      </c>
      <c r="P4667" t="s">
        <v>21066</v>
      </c>
      <c r="Q4667" t="s">
        <v>21067</v>
      </c>
      <c r="R4667">
        <v>14</v>
      </c>
      <c r="S4667">
        <v>16</v>
      </c>
    </row>
    <row r="4668" spans="1:19" x14ac:dyDescent="0.35">
      <c r="A4668">
        <v>2774</v>
      </c>
      <c r="B4668" t="s">
        <v>21791</v>
      </c>
      <c r="C4668" t="s">
        <v>42</v>
      </c>
      <c r="D4668" t="s">
        <v>21792</v>
      </c>
      <c r="E4668" t="e" cm="1">
        <f t="array" ref="E4668">- PIROXICAM</f>
        <v>#NAME?</v>
      </c>
      <c r="F4668" t="s">
        <v>21793</v>
      </c>
      <c r="G4668" t="s">
        <v>2241</v>
      </c>
      <c r="H4668" t="s">
        <v>21794</v>
      </c>
      <c r="I4668" t="s">
        <v>21550</v>
      </c>
      <c r="J4668" t="s">
        <v>21795</v>
      </c>
      <c r="K4668" t="s">
        <v>21796</v>
      </c>
      <c r="L4668" t="s">
        <v>21797</v>
      </c>
      <c r="M4668" t="s">
        <v>38</v>
      </c>
      <c r="N4668" t="s">
        <v>605</v>
      </c>
      <c r="O4668" t="s">
        <v>21553</v>
      </c>
      <c r="P4668" t="s">
        <v>21798</v>
      </c>
      <c r="Q4668" t="s">
        <v>21799</v>
      </c>
      <c r="R4668">
        <v>14</v>
      </c>
      <c r="S4668">
        <v>16</v>
      </c>
    </row>
    <row r="4669" spans="1:19" x14ac:dyDescent="0.35">
      <c r="A4669">
        <v>2590</v>
      </c>
      <c r="B4669" t="s">
        <v>21800</v>
      </c>
      <c r="C4669" t="s">
        <v>42</v>
      </c>
      <c r="D4669" t="s">
        <v>21801</v>
      </c>
      <c r="E4669" t="e" cm="1">
        <f t="array" ref="E4669">- KETOPROFEN</f>
        <v>#NAME?</v>
      </c>
      <c r="F4669" t="s">
        <v>21802</v>
      </c>
      <c r="G4669" t="s">
        <v>21803</v>
      </c>
      <c r="H4669" t="s">
        <v>21804</v>
      </c>
      <c r="I4669" t="s">
        <v>21805</v>
      </c>
    </row>
    <row r="4670" spans="1:19" x14ac:dyDescent="0.35">
      <c r="A4670">
        <v>4307</v>
      </c>
      <c r="B4670" t="s">
        <v>21758</v>
      </c>
      <c r="C4670" t="s">
        <v>850</v>
      </c>
      <c r="D4670" t="s">
        <v>21806</v>
      </c>
      <c r="E4670" t="e" cm="1">
        <f t="array" ref="E4670">- Balsamum Peruvianum natural</f>
        <v>#NAME?</v>
      </c>
      <c r="F4670" t="s">
        <v>21807</v>
      </c>
      <c r="G4670" t="s">
        <v>21761</v>
      </c>
      <c r="H4670" t="s">
        <v>21808</v>
      </c>
      <c r="I4670" t="s">
        <v>21809</v>
      </c>
      <c r="J4670" t="s">
        <v>21810</v>
      </c>
      <c r="K4670" t="s">
        <v>3473</v>
      </c>
      <c r="L4670" t="s">
        <v>21811</v>
      </c>
      <c r="N4670" t="s">
        <v>21766</v>
      </c>
      <c r="O4670" t="s">
        <v>21812</v>
      </c>
      <c r="P4670" t="s">
        <v>21768</v>
      </c>
      <c r="Q4670" t="s">
        <v>21813</v>
      </c>
      <c r="R4670">
        <v>14</v>
      </c>
      <c r="S4670">
        <v>16</v>
      </c>
    </row>
    <row r="4671" spans="1:19" x14ac:dyDescent="0.35">
      <c r="A4671">
        <v>7190</v>
      </c>
      <c r="B4671" t="s">
        <v>849</v>
      </c>
      <c r="C4671" t="s">
        <v>850</v>
      </c>
      <c r="D4671" t="s">
        <v>21814</v>
      </c>
      <c r="E4671" t="e" cm="1">
        <f t="array" ref="E4671">- Camphor</f>
        <v>#NAME?</v>
      </c>
      <c r="F4671" s="1">
        <v>24400</v>
      </c>
      <c r="G4671" t="s">
        <v>21815</v>
      </c>
      <c r="H4671" t="s">
        <v>16968</v>
      </c>
      <c r="I4671" t="s">
        <v>21816</v>
      </c>
      <c r="J4671" t="s">
        <v>17160</v>
      </c>
      <c r="L4671" t="s">
        <v>21817</v>
      </c>
      <c r="N4671" t="s">
        <v>853</v>
      </c>
      <c r="O4671" t="s">
        <v>21818</v>
      </c>
      <c r="P4671" t="s">
        <v>854</v>
      </c>
      <c r="Q4671" t="s">
        <v>21819</v>
      </c>
      <c r="R4671">
        <v>14</v>
      </c>
      <c r="S4671">
        <v>16</v>
      </c>
    </row>
    <row r="4672" spans="1:19" x14ac:dyDescent="0.35">
      <c r="A4672">
        <v>4967</v>
      </c>
      <c r="B4672" t="s">
        <v>21820</v>
      </c>
      <c r="C4672" t="s">
        <v>42</v>
      </c>
      <c r="D4672" t="s">
        <v>21821</v>
      </c>
      <c r="E4672" t="e" cm="1">
        <f t="array" ref="E4672">- DESOXIMETASONE</f>
        <v>#NAME?</v>
      </c>
      <c r="F4672" t="s">
        <v>21822</v>
      </c>
      <c r="G4672" t="s">
        <v>21823</v>
      </c>
      <c r="H4672" t="s">
        <v>21824</v>
      </c>
      <c r="I4672" t="s">
        <v>21825</v>
      </c>
      <c r="J4672" t="s">
        <v>13944</v>
      </c>
      <c r="K4672" t="s">
        <v>21826</v>
      </c>
      <c r="L4672" t="s">
        <v>21827</v>
      </c>
      <c r="M4672" t="s">
        <v>1029</v>
      </c>
      <c r="N4672" t="s">
        <v>8965</v>
      </c>
      <c r="O4672" t="s">
        <v>21828</v>
      </c>
      <c r="P4672" t="s">
        <v>21829</v>
      </c>
      <c r="Q4672" t="s">
        <v>21830</v>
      </c>
      <c r="R4672">
        <v>14</v>
      </c>
      <c r="S4672">
        <v>16</v>
      </c>
    </row>
    <row r="4673" spans="1:19" x14ac:dyDescent="0.35">
      <c r="A4673">
        <v>4966</v>
      </c>
      <c r="B4673" t="s">
        <v>21831</v>
      </c>
      <c r="C4673" t="s">
        <v>42</v>
      </c>
      <c r="D4673" t="s">
        <v>21832</v>
      </c>
      <c r="E4673" t="e" cm="1">
        <f t="array" ref="E4673">- DESONIDE</f>
        <v>#NAME?</v>
      </c>
      <c r="F4673" t="s">
        <v>21833</v>
      </c>
      <c r="G4673" t="s">
        <v>21834</v>
      </c>
      <c r="H4673" t="s">
        <v>21835</v>
      </c>
      <c r="I4673" t="s">
        <v>21836</v>
      </c>
      <c r="J4673" t="s">
        <v>2167</v>
      </c>
      <c r="K4673" t="s">
        <v>21837</v>
      </c>
      <c r="L4673" t="s">
        <v>21838</v>
      </c>
      <c r="M4673" t="s">
        <v>1289</v>
      </c>
      <c r="N4673" t="s">
        <v>1297</v>
      </c>
      <c r="O4673" t="s">
        <v>21839</v>
      </c>
      <c r="P4673" t="s">
        <v>21840</v>
      </c>
      <c r="Q4673" t="s">
        <v>21841</v>
      </c>
      <c r="R4673">
        <v>14</v>
      </c>
      <c r="S4673">
        <v>16</v>
      </c>
    </row>
    <row r="4674" spans="1:19" x14ac:dyDescent="0.35">
      <c r="A4674">
        <v>4965</v>
      </c>
      <c r="B4674" t="s">
        <v>21831</v>
      </c>
      <c r="C4674" t="s">
        <v>42</v>
      </c>
      <c r="D4674" t="s">
        <v>21832</v>
      </c>
      <c r="E4674" t="e" cm="1">
        <f t="array" ref="E4674">- DESONIDE</f>
        <v>#NAME?</v>
      </c>
      <c r="F4674" t="s">
        <v>21833</v>
      </c>
      <c r="G4674" t="s">
        <v>21834</v>
      </c>
      <c r="H4674" t="s">
        <v>21835</v>
      </c>
      <c r="I4674" t="s">
        <v>21836</v>
      </c>
      <c r="J4674" t="s">
        <v>2167</v>
      </c>
      <c r="K4674" t="s">
        <v>21837</v>
      </c>
      <c r="L4674" t="s">
        <v>21838</v>
      </c>
      <c r="M4674" t="s">
        <v>1289</v>
      </c>
      <c r="N4674" t="s">
        <v>1297</v>
      </c>
      <c r="O4674" t="s">
        <v>21839</v>
      </c>
      <c r="P4674" t="s">
        <v>21840</v>
      </c>
      <c r="Q4674" t="s">
        <v>21841</v>
      </c>
      <c r="R4674">
        <v>14</v>
      </c>
      <c r="S4674">
        <v>16</v>
      </c>
    </row>
    <row r="4675" spans="1:19" x14ac:dyDescent="0.35">
      <c r="A4675">
        <v>9173</v>
      </c>
      <c r="B4675" t="s">
        <v>21842</v>
      </c>
      <c r="C4675" t="s">
        <v>42</v>
      </c>
      <c r="D4675" t="s">
        <v>21843</v>
      </c>
      <c r="E4675" t="e" cm="1">
        <f t="array" ref="E4675">- LISINOPRIL</f>
        <v>#NAME?</v>
      </c>
      <c r="F4675" t="s">
        <v>21844</v>
      </c>
      <c r="G4675" t="s">
        <v>2734</v>
      </c>
      <c r="H4675" t="s">
        <v>21845</v>
      </c>
      <c r="I4675" t="s">
        <v>21846</v>
      </c>
      <c r="J4675" t="s">
        <v>599</v>
      </c>
      <c r="K4675" t="s">
        <v>20672</v>
      </c>
      <c r="L4675" t="s">
        <v>21847</v>
      </c>
      <c r="M4675" t="s">
        <v>46</v>
      </c>
      <c r="N4675" t="s">
        <v>20756</v>
      </c>
      <c r="O4675" t="s">
        <v>21848</v>
      </c>
      <c r="P4675" t="s">
        <v>20758</v>
      </c>
      <c r="Q4675" t="s">
        <v>21849</v>
      </c>
      <c r="R4675">
        <v>14</v>
      </c>
      <c r="S4675">
        <v>16</v>
      </c>
    </row>
    <row r="4676" spans="1:19" x14ac:dyDescent="0.35">
      <c r="A4676">
        <v>5448</v>
      </c>
      <c r="B4676" t="s">
        <v>21850</v>
      </c>
      <c r="C4676" t="s">
        <v>42</v>
      </c>
      <c r="D4676" t="s">
        <v>21851</v>
      </c>
      <c r="E4676" t="e" cm="1">
        <f t="array" ref="E4676">- CHLORAMPHENICOL</f>
        <v>#NAME?</v>
      </c>
      <c r="F4676" t="s">
        <v>6134</v>
      </c>
      <c r="G4676" t="s">
        <v>19294</v>
      </c>
      <c r="H4676" t="s">
        <v>11913</v>
      </c>
      <c r="I4676" t="s">
        <v>21852</v>
      </c>
      <c r="J4676" t="s">
        <v>21853</v>
      </c>
      <c r="L4676" t="s">
        <v>21854</v>
      </c>
      <c r="M4676" t="s">
        <v>1029</v>
      </c>
      <c r="N4676" t="s">
        <v>1188</v>
      </c>
      <c r="O4676" t="s">
        <v>21855</v>
      </c>
      <c r="P4676" t="s">
        <v>21856</v>
      </c>
      <c r="Q4676" t="s">
        <v>21857</v>
      </c>
      <c r="R4676">
        <v>14</v>
      </c>
      <c r="S4676">
        <v>16</v>
      </c>
    </row>
    <row r="4677" spans="1:19" x14ac:dyDescent="0.35">
      <c r="A4677">
        <v>8547</v>
      </c>
      <c r="B4677" t="s">
        <v>18283</v>
      </c>
      <c r="C4677" t="s">
        <v>42</v>
      </c>
      <c r="D4677" t="s">
        <v>18284</v>
      </c>
      <c r="E4677" t="e" cm="1">
        <f t="array" ref="E4677">- DAPAGLIFLOZIN PROPANEDIOL. METFORMIN HYDROCHLORIDE</f>
        <v>#NAME?</v>
      </c>
      <c r="F4677" t="s">
        <v>18285</v>
      </c>
      <c r="G4677" t="s">
        <v>18286</v>
      </c>
      <c r="H4677" t="s">
        <v>18287</v>
      </c>
      <c r="I4677" t="s">
        <v>18288</v>
      </c>
      <c r="J4677" t="s">
        <v>18289</v>
      </c>
      <c r="K4677" t="s">
        <v>18290</v>
      </c>
      <c r="L4677" t="s">
        <v>18291</v>
      </c>
      <c r="M4677" t="s">
        <v>46</v>
      </c>
      <c r="N4677" t="s">
        <v>5501</v>
      </c>
      <c r="O4677" t="s">
        <v>18292</v>
      </c>
      <c r="P4677" t="s">
        <v>3147</v>
      </c>
      <c r="Q4677" t="s">
        <v>21858</v>
      </c>
      <c r="R4677">
        <v>14</v>
      </c>
      <c r="S4677">
        <v>16</v>
      </c>
    </row>
    <row r="4678" spans="1:19" x14ac:dyDescent="0.35">
      <c r="A4678">
        <v>5447</v>
      </c>
      <c r="B4678" t="s">
        <v>21850</v>
      </c>
      <c r="C4678" t="s">
        <v>42</v>
      </c>
      <c r="D4678" t="s">
        <v>21851</v>
      </c>
      <c r="E4678" t="e" cm="1">
        <f t="array" ref="E4678">- CHLORAMPHENICOL</f>
        <v>#NAME?</v>
      </c>
      <c r="F4678" t="s">
        <v>6134</v>
      </c>
      <c r="G4678" t="s">
        <v>19294</v>
      </c>
      <c r="H4678" t="s">
        <v>11913</v>
      </c>
      <c r="I4678" t="s">
        <v>21852</v>
      </c>
      <c r="J4678" t="s">
        <v>21853</v>
      </c>
      <c r="L4678" t="s">
        <v>21854</v>
      </c>
      <c r="M4678" t="s">
        <v>1029</v>
      </c>
      <c r="N4678" t="s">
        <v>1188</v>
      </c>
      <c r="O4678" t="s">
        <v>21855</v>
      </c>
      <c r="P4678" t="s">
        <v>21856</v>
      </c>
      <c r="Q4678" t="s">
        <v>21857</v>
      </c>
      <c r="R4678">
        <v>14</v>
      </c>
      <c r="S4678">
        <v>16</v>
      </c>
    </row>
    <row r="4679" spans="1:19" x14ac:dyDescent="0.35">
      <c r="A4679">
        <v>4276</v>
      </c>
      <c r="B4679" t="s">
        <v>21859</v>
      </c>
      <c r="C4679" t="s">
        <v>42</v>
      </c>
      <c r="D4679" t="s">
        <v>21860</v>
      </c>
      <c r="E4679" t="e" cm="1">
        <f t="array" ref="E4679">- CETIRIZINE HYDROCHLORIDE</f>
        <v>#NAME?</v>
      </c>
      <c r="G4679" t="s">
        <v>60</v>
      </c>
      <c r="H4679" t="s">
        <v>21861</v>
      </c>
      <c r="I4679" t="s">
        <v>18665</v>
      </c>
      <c r="J4679" t="s">
        <v>21862</v>
      </c>
      <c r="K4679" t="s">
        <v>21863</v>
      </c>
      <c r="L4679" t="s">
        <v>21864</v>
      </c>
      <c r="M4679" t="s">
        <v>46</v>
      </c>
      <c r="N4679" t="s">
        <v>1390</v>
      </c>
      <c r="O4679" t="s">
        <v>18666</v>
      </c>
      <c r="P4679" t="s">
        <v>21865</v>
      </c>
      <c r="Q4679" t="s">
        <v>21866</v>
      </c>
      <c r="R4679">
        <v>14</v>
      </c>
      <c r="S4679">
        <v>16</v>
      </c>
    </row>
    <row r="4680" spans="1:19" x14ac:dyDescent="0.35">
      <c r="A4680">
        <v>6314</v>
      </c>
      <c r="B4680" t="s">
        <v>21867</v>
      </c>
      <c r="C4680" t="s">
        <v>42</v>
      </c>
      <c r="D4680" t="s">
        <v>21868</v>
      </c>
      <c r="E4680" t="e" cm="1">
        <f t="array" ref="E4680">- ISONIAZID</f>
        <v>#NAME?</v>
      </c>
      <c r="F4680" s="1">
        <v>175800</v>
      </c>
      <c r="G4680" t="s">
        <v>7277</v>
      </c>
      <c r="H4680" t="s">
        <v>21869</v>
      </c>
      <c r="I4680" t="s">
        <v>21870</v>
      </c>
      <c r="J4680" t="s">
        <v>21871</v>
      </c>
      <c r="K4680" t="s">
        <v>21872</v>
      </c>
      <c r="L4680" t="s">
        <v>1616</v>
      </c>
      <c r="M4680" t="s">
        <v>46</v>
      </c>
      <c r="N4680" t="s">
        <v>1699</v>
      </c>
      <c r="O4680" t="s">
        <v>21873</v>
      </c>
      <c r="P4680" t="s">
        <v>2999</v>
      </c>
      <c r="Q4680" t="s">
        <v>21874</v>
      </c>
      <c r="R4680">
        <v>14</v>
      </c>
      <c r="S4680">
        <v>16</v>
      </c>
    </row>
    <row r="4681" spans="1:19" x14ac:dyDescent="0.35">
      <c r="A4681">
        <v>979</v>
      </c>
      <c r="B4681" t="s">
        <v>11564</v>
      </c>
      <c r="C4681" t="s">
        <v>42</v>
      </c>
      <c r="D4681" t="s">
        <v>17178</v>
      </c>
      <c r="E4681" t="e" cm="1">
        <f t="array" ref="E4681">- AMMONIUM CHLORIDE. SUCCUS LIQUIRITIAE</f>
        <v>#NAME?</v>
      </c>
      <c r="F4681" t="s">
        <v>17179</v>
      </c>
      <c r="G4681" t="s">
        <v>2241</v>
      </c>
      <c r="H4681" t="s">
        <v>17180</v>
      </c>
      <c r="I4681" t="s">
        <v>13540</v>
      </c>
      <c r="J4681" t="s">
        <v>17181</v>
      </c>
      <c r="M4681" t="s">
        <v>271</v>
      </c>
      <c r="N4681" t="s">
        <v>13691</v>
      </c>
      <c r="O4681" t="s">
        <v>13542</v>
      </c>
      <c r="P4681" t="s">
        <v>17182</v>
      </c>
      <c r="Q4681" t="s">
        <v>21781</v>
      </c>
      <c r="R4681">
        <v>14</v>
      </c>
      <c r="S4681">
        <v>16</v>
      </c>
    </row>
    <row r="4682" spans="1:19" x14ac:dyDescent="0.35">
      <c r="A4682">
        <v>3947</v>
      </c>
      <c r="B4682" t="s">
        <v>21736</v>
      </c>
      <c r="C4682" t="s">
        <v>42</v>
      </c>
      <c r="D4682" t="s">
        <v>21737</v>
      </c>
      <c r="E4682" t="e" cm="1">
        <f t="array" ref="E4682">- PARAFFIN.  LIQUID. GLYCEROL. PHENOLPHTHALEIN</f>
        <v>#NAME?</v>
      </c>
      <c r="F4682" t="s">
        <v>21738</v>
      </c>
      <c r="G4682" t="s">
        <v>21739</v>
      </c>
      <c r="H4682" t="s">
        <v>21740</v>
      </c>
      <c r="I4682" t="s">
        <v>21741</v>
      </c>
      <c r="J4682" t="s">
        <v>829</v>
      </c>
      <c r="K4682" t="s">
        <v>21742</v>
      </c>
      <c r="L4682" t="s">
        <v>21743</v>
      </c>
      <c r="M4682" t="s">
        <v>271</v>
      </c>
      <c r="N4682" t="s">
        <v>21744</v>
      </c>
      <c r="O4682" t="s">
        <v>21745</v>
      </c>
      <c r="P4682" t="s">
        <v>21746</v>
      </c>
      <c r="Q4682" t="s">
        <v>21747</v>
      </c>
      <c r="R4682">
        <v>14</v>
      </c>
      <c r="S4682">
        <v>16</v>
      </c>
    </row>
    <row r="4683" spans="1:19" x14ac:dyDescent="0.35">
      <c r="A4683">
        <v>4273</v>
      </c>
      <c r="B4683" t="s">
        <v>21875</v>
      </c>
      <c r="C4683" t="s">
        <v>42</v>
      </c>
      <c r="D4683" t="s">
        <v>21876</v>
      </c>
      <c r="E4683" t="e" cm="1">
        <f t="array" ref="E4683">- CETIRIZINE HYDROCHLORIDE</f>
        <v>#NAME?</v>
      </c>
      <c r="F4683" t="s">
        <v>21877</v>
      </c>
      <c r="G4683" t="s">
        <v>7219</v>
      </c>
      <c r="H4683" t="s">
        <v>1498</v>
      </c>
      <c r="I4683" t="s">
        <v>18665</v>
      </c>
      <c r="J4683" t="s">
        <v>21878</v>
      </c>
      <c r="K4683" t="s">
        <v>18844</v>
      </c>
      <c r="L4683" t="s">
        <v>21879</v>
      </c>
      <c r="M4683" t="s">
        <v>46</v>
      </c>
      <c r="N4683" t="s">
        <v>1390</v>
      </c>
      <c r="O4683" t="s">
        <v>18666</v>
      </c>
      <c r="P4683" t="s">
        <v>21880</v>
      </c>
      <c r="Q4683" t="s">
        <v>21881</v>
      </c>
      <c r="R4683">
        <v>14</v>
      </c>
      <c r="S4683">
        <v>16</v>
      </c>
    </row>
    <row r="4684" spans="1:19" x14ac:dyDescent="0.35">
      <c r="A4684">
        <v>4152</v>
      </c>
      <c r="B4684" t="s">
        <v>21882</v>
      </c>
      <c r="C4684" t="s">
        <v>42</v>
      </c>
      <c r="D4684" t="s">
        <v>21883</v>
      </c>
      <c r="E4684" t="e" cm="1">
        <f t="array" ref="E4684">- CETIRIZINE HYDROCHLORIDE</f>
        <v>#NAME?</v>
      </c>
      <c r="F4684" t="s">
        <v>21884</v>
      </c>
      <c r="G4684" t="s">
        <v>16021</v>
      </c>
      <c r="H4684" t="s">
        <v>1498</v>
      </c>
      <c r="I4684" t="s">
        <v>21036</v>
      </c>
      <c r="J4684" t="s">
        <v>1824</v>
      </c>
      <c r="K4684" t="s">
        <v>16653</v>
      </c>
      <c r="L4684" t="s">
        <v>16654</v>
      </c>
      <c r="M4684" t="s">
        <v>824</v>
      </c>
      <c r="N4684" t="s">
        <v>1390</v>
      </c>
      <c r="O4684" t="s">
        <v>21038</v>
      </c>
      <c r="P4684" t="s">
        <v>21308</v>
      </c>
      <c r="Q4684" t="s">
        <v>21885</v>
      </c>
      <c r="R4684">
        <v>14</v>
      </c>
      <c r="S4684">
        <v>16</v>
      </c>
    </row>
    <row r="4685" spans="1:19" x14ac:dyDescent="0.35">
      <c r="A4685">
        <v>3156</v>
      </c>
      <c r="B4685" t="s">
        <v>9080</v>
      </c>
      <c r="C4685" t="s">
        <v>42</v>
      </c>
      <c r="D4685" t="s">
        <v>9081</v>
      </c>
      <c r="E4685" t="e" cm="1">
        <f t="array" ref="E4685">- MAGNESIUM HYDROXIDE. SIMETHICONE. DRIED ALUMINIUM HYDROXIDE GEL</f>
        <v>#NAME?</v>
      </c>
      <c r="F4685" t="s">
        <v>9082</v>
      </c>
      <c r="G4685" t="s">
        <v>9083</v>
      </c>
      <c r="H4685" t="s">
        <v>9084</v>
      </c>
      <c r="I4685" t="s">
        <v>9085</v>
      </c>
      <c r="J4685" t="s">
        <v>5221</v>
      </c>
      <c r="L4685" t="s">
        <v>9086</v>
      </c>
      <c r="M4685" t="s">
        <v>46</v>
      </c>
      <c r="N4685" t="s">
        <v>10430</v>
      </c>
      <c r="O4685" t="s">
        <v>9087</v>
      </c>
      <c r="P4685" t="s">
        <v>3551</v>
      </c>
      <c r="Q4685" t="s">
        <v>21886</v>
      </c>
      <c r="R4685">
        <v>14</v>
      </c>
      <c r="S4685">
        <v>16</v>
      </c>
    </row>
    <row r="4686" spans="1:19" x14ac:dyDescent="0.35">
      <c r="A4686">
        <v>4153</v>
      </c>
      <c r="B4686" t="s">
        <v>21882</v>
      </c>
      <c r="C4686" t="s">
        <v>42</v>
      </c>
      <c r="D4686" t="s">
        <v>21883</v>
      </c>
      <c r="E4686" t="e" cm="1">
        <f t="array" ref="E4686">- CETIRIZINE HYDROCHLORIDE</f>
        <v>#NAME?</v>
      </c>
      <c r="F4686" t="s">
        <v>21884</v>
      </c>
      <c r="G4686" t="s">
        <v>16021</v>
      </c>
      <c r="H4686" t="s">
        <v>1498</v>
      </c>
      <c r="I4686" t="s">
        <v>21036</v>
      </c>
      <c r="J4686" t="s">
        <v>1824</v>
      </c>
      <c r="K4686" t="s">
        <v>16653</v>
      </c>
      <c r="L4686" t="s">
        <v>16654</v>
      </c>
      <c r="M4686" t="s">
        <v>824</v>
      </c>
      <c r="N4686" t="s">
        <v>1390</v>
      </c>
      <c r="O4686" t="s">
        <v>21038</v>
      </c>
      <c r="P4686" t="s">
        <v>21308</v>
      </c>
      <c r="Q4686" t="s">
        <v>21885</v>
      </c>
      <c r="R4686">
        <v>14</v>
      </c>
      <c r="S4686">
        <v>16</v>
      </c>
    </row>
    <row r="4687" spans="1:19" x14ac:dyDescent="0.35">
      <c r="A4687">
        <v>1383</v>
      </c>
      <c r="B4687" t="s">
        <v>2074</v>
      </c>
      <c r="C4687" t="s">
        <v>42</v>
      </c>
      <c r="D4687" t="s">
        <v>21887</v>
      </c>
      <c r="E4687" t="e" cm="1">
        <f t="array" ref="E4687">- GUAIFENESIN</f>
        <v>#NAME?</v>
      </c>
      <c r="F4687" t="s">
        <v>21888</v>
      </c>
      <c r="G4687" t="s">
        <v>21889</v>
      </c>
      <c r="H4687" t="s">
        <v>1322</v>
      </c>
      <c r="I4687" t="s">
        <v>21890</v>
      </c>
      <c r="J4687" t="s">
        <v>21891</v>
      </c>
      <c r="M4687" t="s">
        <v>46</v>
      </c>
      <c r="N4687" t="s">
        <v>361</v>
      </c>
      <c r="O4687" t="s">
        <v>21892</v>
      </c>
      <c r="P4687" t="s">
        <v>21893</v>
      </c>
      <c r="Q4687" t="s">
        <v>21894</v>
      </c>
      <c r="R4687">
        <v>14</v>
      </c>
      <c r="S4687">
        <v>16</v>
      </c>
    </row>
    <row r="4688" spans="1:19" x14ac:dyDescent="0.35">
      <c r="A4688">
        <v>2217</v>
      </c>
      <c r="B4688" t="s">
        <v>21895</v>
      </c>
      <c r="C4688" t="s">
        <v>42</v>
      </c>
      <c r="D4688" t="s">
        <v>21896</v>
      </c>
      <c r="E4688" t="e" cm="1">
        <f t="array" ref="E4688">- KETOPROFEN</f>
        <v>#NAME?</v>
      </c>
      <c r="F4688" t="s">
        <v>21897</v>
      </c>
      <c r="G4688" t="s">
        <v>21898</v>
      </c>
      <c r="H4688" t="s">
        <v>21899</v>
      </c>
      <c r="I4688" t="s">
        <v>21900</v>
      </c>
      <c r="J4688" t="s">
        <v>21901</v>
      </c>
      <c r="K4688" t="s">
        <v>21902</v>
      </c>
      <c r="L4688" t="s">
        <v>21903</v>
      </c>
      <c r="M4688" t="s">
        <v>720</v>
      </c>
      <c r="N4688" t="s">
        <v>721</v>
      </c>
      <c r="O4688" t="s">
        <v>21904</v>
      </c>
      <c r="P4688" t="s">
        <v>21905</v>
      </c>
      <c r="Q4688" t="s">
        <v>21906</v>
      </c>
      <c r="R4688">
        <v>14</v>
      </c>
      <c r="S4688">
        <v>16</v>
      </c>
    </row>
    <row r="4689" spans="1:19" x14ac:dyDescent="0.35">
      <c r="A4689">
        <v>7859</v>
      </c>
      <c r="B4689" t="s">
        <v>21907</v>
      </c>
      <c r="C4689" t="s">
        <v>20</v>
      </c>
      <c r="D4689" t="s">
        <v>21908</v>
      </c>
      <c r="E4689" t="s">
        <v>21909</v>
      </c>
      <c r="F4689" t="s">
        <v>21910</v>
      </c>
      <c r="H4689" t="s">
        <v>2188</v>
      </c>
      <c r="I4689" t="s">
        <v>5700</v>
      </c>
      <c r="J4689" t="s">
        <v>107</v>
      </c>
      <c r="M4689" t="s">
        <v>38</v>
      </c>
      <c r="N4689" t="s">
        <v>21911</v>
      </c>
      <c r="O4689" t="s">
        <v>5703</v>
      </c>
      <c r="P4689" t="s">
        <v>21912</v>
      </c>
      <c r="Q4689" t="s">
        <v>21913</v>
      </c>
      <c r="R4689">
        <v>14</v>
      </c>
      <c r="S4689">
        <v>16</v>
      </c>
    </row>
    <row r="4690" spans="1:19" x14ac:dyDescent="0.35">
      <c r="A4690">
        <v>9045</v>
      </c>
      <c r="B4690" t="s">
        <v>21914</v>
      </c>
      <c r="C4690" t="s">
        <v>42</v>
      </c>
      <c r="D4690" t="s">
        <v>21915</v>
      </c>
      <c r="E4690" t="e" cm="1">
        <f t="array" ref="E4690">- CANDESARTAN CILEXETIL</f>
        <v>#NAME?</v>
      </c>
      <c r="F4690" t="s">
        <v>21916</v>
      </c>
      <c r="G4690" t="s">
        <v>5698</v>
      </c>
      <c r="H4690" t="s">
        <v>17199</v>
      </c>
      <c r="I4690" t="s">
        <v>21917</v>
      </c>
      <c r="J4690" t="s">
        <v>2478</v>
      </c>
      <c r="K4690" t="s">
        <v>17201</v>
      </c>
      <c r="L4690" t="s">
        <v>21918</v>
      </c>
      <c r="M4690" t="s">
        <v>46</v>
      </c>
      <c r="N4690" t="s">
        <v>2447</v>
      </c>
      <c r="O4690" t="s">
        <v>21919</v>
      </c>
      <c r="P4690" t="s">
        <v>17204</v>
      </c>
      <c r="Q4690" t="s">
        <v>21920</v>
      </c>
      <c r="R4690">
        <v>14</v>
      </c>
      <c r="S4690">
        <v>16</v>
      </c>
    </row>
    <row r="4691" spans="1:19" x14ac:dyDescent="0.35">
      <c r="A4691">
        <v>3434</v>
      </c>
      <c r="B4691" t="s">
        <v>21921</v>
      </c>
      <c r="C4691" t="s">
        <v>42</v>
      </c>
      <c r="D4691" t="s">
        <v>21922</v>
      </c>
      <c r="E4691" t="e" cm="1">
        <f t="array" ref="E4691">- DRIED ALUMINIUM HYDROXIDE GEL</f>
        <v>#NAME?</v>
      </c>
      <c r="F4691" t="s">
        <v>21923</v>
      </c>
      <c r="G4691" t="s">
        <v>21924</v>
      </c>
      <c r="H4691" t="s">
        <v>21925</v>
      </c>
      <c r="I4691" t="s">
        <v>21926</v>
      </c>
      <c r="J4691" t="s">
        <v>21927</v>
      </c>
      <c r="K4691" t="s">
        <v>21928</v>
      </c>
      <c r="L4691" t="s">
        <v>21929</v>
      </c>
      <c r="M4691" t="s">
        <v>291</v>
      </c>
      <c r="N4691" t="s">
        <v>4172</v>
      </c>
      <c r="O4691" t="s">
        <v>21930</v>
      </c>
      <c r="P4691" t="s">
        <v>21931</v>
      </c>
      <c r="Q4691" t="s">
        <v>21932</v>
      </c>
      <c r="R4691">
        <v>14</v>
      </c>
      <c r="S4691">
        <v>16</v>
      </c>
    </row>
    <row r="4692" spans="1:19" x14ac:dyDescent="0.35">
      <c r="A4692">
        <v>4072</v>
      </c>
      <c r="B4692" t="s">
        <v>21933</v>
      </c>
      <c r="C4692" t="s">
        <v>42</v>
      </c>
      <c r="D4692" t="s">
        <v>21934</v>
      </c>
      <c r="E4692" t="e" cm="1">
        <f t="array" ref="E4692">- CETIRIZINE HYDROCHLORIDE</f>
        <v>#NAME?</v>
      </c>
      <c r="F4692" t="s">
        <v>21935</v>
      </c>
      <c r="G4692" t="s">
        <v>16021</v>
      </c>
      <c r="H4692" t="s">
        <v>1498</v>
      </c>
      <c r="I4692" t="s">
        <v>21036</v>
      </c>
      <c r="J4692" t="s">
        <v>743</v>
      </c>
      <c r="K4692" t="s">
        <v>16653</v>
      </c>
      <c r="L4692" t="s">
        <v>16654</v>
      </c>
      <c r="M4692" t="s">
        <v>824</v>
      </c>
      <c r="N4692" t="s">
        <v>1390</v>
      </c>
      <c r="O4692" t="s">
        <v>21038</v>
      </c>
      <c r="P4692" t="s">
        <v>21039</v>
      </c>
      <c r="Q4692" t="s">
        <v>21936</v>
      </c>
      <c r="R4692">
        <v>14</v>
      </c>
      <c r="S4692">
        <v>16</v>
      </c>
    </row>
    <row r="4693" spans="1:19" x14ac:dyDescent="0.35">
      <c r="A4693">
        <v>4331</v>
      </c>
      <c r="B4693" t="s">
        <v>21937</v>
      </c>
      <c r="C4693" t="s">
        <v>20</v>
      </c>
      <c r="D4693" t="s">
        <v>21938</v>
      </c>
      <c r="E4693" t="s">
        <v>21939</v>
      </c>
      <c r="F4693" t="s">
        <v>21940</v>
      </c>
      <c r="G4693" t="s">
        <v>21941</v>
      </c>
      <c r="H4693" t="s">
        <v>21942</v>
      </c>
      <c r="I4693" t="s">
        <v>13605</v>
      </c>
      <c r="J4693" t="s">
        <v>21943</v>
      </c>
      <c r="L4693" t="s">
        <v>13607</v>
      </c>
      <c r="N4693" t="s">
        <v>21944</v>
      </c>
      <c r="O4693" t="s">
        <v>13609</v>
      </c>
      <c r="P4693" t="s">
        <v>21945</v>
      </c>
      <c r="Q4693" t="s">
        <v>21946</v>
      </c>
      <c r="R4693">
        <v>14</v>
      </c>
      <c r="S4693">
        <v>16</v>
      </c>
    </row>
    <row r="4694" spans="1:19" x14ac:dyDescent="0.35">
      <c r="A4694">
        <v>2763</v>
      </c>
      <c r="B4694" t="s">
        <v>21782</v>
      </c>
      <c r="C4694" t="s">
        <v>42</v>
      </c>
      <c r="D4694" t="s">
        <v>21783</v>
      </c>
      <c r="E4694" t="e" cm="1">
        <f t="array" ref="E4694">- BETAHISTINE MESILATE</f>
        <v>#NAME?</v>
      </c>
      <c r="F4694" t="s">
        <v>21784</v>
      </c>
      <c r="G4694" t="s">
        <v>2241</v>
      </c>
      <c r="H4694" t="s">
        <v>21785</v>
      </c>
      <c r="I4694" t="s">
        <v>21786</v>
      </c>
      <c r="J4694" t="s">
        <v>19098</v>
      </c>
      <c r="K4694" t="s">
        <v>17790</v>
      </c>
      <c r="L4694" t="s">
        <v>21787</v>
      </c>
      <c r="M4694" t="s">
        <v>46</v>
      </c>
      <c r="N4694" t="s">
        <v>2380</v>
      </c>
      <c r="O4694" t="s">
        <v>21788</v>
      </c>
      <c r="P4694" t="s">
        <v>21789</v>
      </c>
      <c r="Q4694" t="s">
        <v>21790</v>
      </c>
      <c r="R4694">
        <v>14</v>
      </c>
      <c r="S4694">
        <v>16</v>
      </c>
    </row>
    <row r="4695" spans="1:19" x14ac:dyDescent="0.35">
      <c r="A4695">
        <v>7044</v>
      </c>
      <c r="B4695" t="s">
        <v>1803</v>
      </c>
      <c r="C4695" t="s">
        <v>42</v>
      </c>
      <c r="D4695" t="s">
        <v>21625</v>
      </c>
      <c r="E4695" t="e" cm="1">
        <f t="array" ref="E4695">- TIZANIDINE HYDROCHLORIDE</f>
        <v>#NAME?</v>
      </c>
      <c r="F4695" t="s">
        <v>21626</v>
      </c>
      <c r="G4695" t="s">
        <v>17056</v>
      </c>
      <c r="H4695" t="s">
        <v>1322</v>
      </c>
      <c r="I4695" t="s">
        <v>17057</v>
      </c>
      <c r="J4695" t="s">
        <v>21163</v>
      </c>
      <c r="M4695" t="s">
        <v>46</v>
      </c>
      <c r="N4695" t="s">
        <v>1806</v>
      </c>
      <c r="O4695" t="s">
        <v>17058</v>
      </c>
      <c r="P4695" t="s">
        <v>9012</v>
      </c>
      <c r="Q4695" t="s">
        <v>21947</v>
      </c>
      <c r="R4695">
        <v>14</v>
      </c>
      <c r="S4695">
        <v>16</v>
      </c>
    </row>
    <row r="4696" spans="1:19" x14ac:dyDescent="0.35">
      <c r="A4696">
        <v>4997</v>
      </c>
      <c r="B4696" t="s">
        <v>21948</v>
      </c>
      <c r="C4696" t="s">
        <v>42</v>
      </c>
      <c r="D4696" t="s">
        <v>21949</v>
      </c>
      <c r="E4696" t="e" cm="1">
        <f t="array" ref="E4696">- DESONIDE</f>
        <v>#NAME?</v>
      </c>
      <c r="F4696" t="s">
        <v>21950</v>
      </c>
      <c r="G4696" t="s">
        <v>21834</v>
      </c>
      <c r="H4696" t="s">
        <v>21951</v>
      </c>
      <c r="I4696" t="s">
        <v>21836</v>
      </c>
      <c r="J4696" t="s">
        <v>2167</v>
      </c>
      <c r="K4696" t="s">
        <v>21837</v>
      </c>
      <c r="L4696" t="s">
        <v>21838</v>
      </c>
      <c r="M4696" t="s">
        <v>1289</v>
      </c>
      <c r="N4696" t="s">
        <v>1297</v>
      </c>
      <c r="O4696" t="s">
        <v>21839</v>
      </c>
      <c r="P4696" t="s">
        <v>21952</v>
      </c>
      <c r="Q4696" t="s">
        <v>21953</v>
      </c>
      <c r="R4696">
        <v>14</v>
      </c>
      <c r="S4696">
        <v>16</v>
      </c>
    </row>
    <row r="4697" spans="1:19" x14ac:dyDescent="0.35">
      <c r="A4697">
        <v>282</v>
      </c>
      <c r="B4697" t="s">
        <v>21954</v>
      </c>
      <c r="C4697" t="s">
        <v>42</v>
      </c>
      <c r="D4697" t="s">
        <v>21955</v>
      </c>
      <c r="E4697" t="e" cm="1">
        <f t="array" ref="E4697">- TADALAFIL</f>
        <v>#NAME?</v>
      </c>
      <c r="F4697" t="s">
        <v>21956</v>
      </c>
      <c r="G4697" t="s">
        <v>546</v>
      </c>
      <c r="H4697" t="s">
        <v>21957</v>
      </c>
      <c r="I4697" t="s">
        <v>21958</v>
      </c>
      <c r="J4697" t="s">
        <v>549</v>
      </c>
      <c r="M4697" t="s">
        <v>46</v>
      </c>
      <c r="N4697" t="s">
        <v>10656</v>
      </c>
      <c r="O4697" t="s">
        <v>21959</v>
      </c>
      <c r="P4697" t="s">
        <v>21960</v>
      </c>
      <c r="Q4697" t="s">
        <v>21961</v>
      </c>
      <c r="R4697">
        <v>14</v>
      </c>
      <c r="S4697">
        <v>16</v>
      </c>
    </row>
    <row r="4698" spans="1:19" x14ac:dyDescent="0.35">
      <c r="A4698">
        <v>2457</v>
      </c>
      <c r="B4698" t="s">
        <v>21962</v>
      </c>
      <c r="C4698" t="s">
        <v>42</v>
      </c>
      <c r="D4698" t="s">
        <v>21963</v>
      </c>
      <c r="E4698" t="e" cm="1">
        <f t="array" ref="E4698">- PIROXICAM</f>
        <v>#NAME?</v>
      </c>
      <c r="F4698" t="s">
        <v>21964</v>
      </c>
      <c r="G4698" t="s">
        <v>2241</v>
      </c>
      <c r="H4698" t="s">
        <v>21965</v>
      </c>
      <c r="I4698" t="s">
        <v>21966</v>
      </c>
      <c r="J4698" t="s">
        <v>727</v>
      </c>
      <c r="K4698" t="s">
        <v>21967</v>
      </c>
      <c r="L4698" t="s">
        <v>21968</v>
      </c>
      <c r="M4698" t="s">
        <v>291</v>
      </c>
      <c r="N4698" t="s">
        <v>605</v>
      </c>
      <c r="O4698" t="s">
        <v>21969</v>
      </c>
      <c r="P4698" t="s">
        <v>6838</v>
      </c>
      <c r="Q4698" t="s">
        <v>21970</v>
      </c>
      <c r="R4698">
        <v>14</v>
      </c>
      <c r="S4698">
        <v>16</v>
      </c>
    </row>
    <row r="4699" spans="1:19" x14ac:dyDescent="0.35">
      <c r="A4699">
        <v>986</v>
      </c>
      <c r="B4699" t="s">
        <v>21971</v>
      </c>
      <c r="C4699" t="s">
        <v>42</v>
      </c>
      <c r="D4699" t="s">
        <v>21972</v>
      </c>
      <c r="E4699" t="e" cm="1">
        <f t="array" ref="E4699">- DEXTROMETHORPHAN HYDROBROMIDE</f>
        <v>#NAME?</v>
      </c>
      <c r="F4699" t="s">
        <v>21973</v>
      </c>
      <c r="G4699" t="s">
        <v>2241</v>
      </c>
      <c r="H4699" t="s">
        <v>21974</v>
      </c>
      <c r="I4699" t="s">
        <v>21975</v>
      </c>
      <c r="J4699" t="s">
        <v>334</v>
      </c>
      <c r="K4699" t="s">
        <v>21976</v>
      </c>
      <c r="L4699" t="s">
        <v>21977</v>
      </c>
      <c r="M4699" t="s">
        <v>271</v>
      </c>
      <c r="N4699" t="s">
        <v>1376</v>
      </c>
      <c r="O4699" t="s">
        <v>21978</v>
      </c>
      <c r="P4699" t="s">
        <v>21979</v>
      </c>
      <c r="Q4699" t="s">
        <v>21980</v>
      </c>
      <c r="R4699">
        <v>14</v>
      </c>
      <c r="S4699">
        <v>16</v>
      </c>
    </row>
    <row r="4700" spans="1:19" x14ac:dyDescent="0.35">
      <c r="A4700">
        <v>7633</v>
      </c>
      <c r="B4700" t="s">
        <v>21981</v>
      </c>
      <c r="C4700" t="s">
        <v>20</v>
      </c>
      <c r="D4700" t="s">
        <v>21982</v>
      </c>
      <c r="E4700" t="s">
        <v>21983</v>
      </c>
      <c r="F4700" t="s">
        <v>21984</v>
      </c>
      <c r="H4700" t="s">
        <v>21985</v>
      </c>
      <c r="I4700" t="s">
        <v>21986</v>
      </c>
      <c r="J4700" t="s">
        <v>75</v>
      </c>
      <c r="L4700" t="s">
        <v>21987</v>
      </c>
      <c r="M4700" t="s">
        <v>38</v>
      </c>
      <c r="N4700" t="s">
        <v>21988</v>
      </c>
      <c r="O4700" t="s">
        <v>21989</v>
      </c>
      <c r="P4700" t="s">
        <v>21990</v>
      </c>
      <c r="Q4700" t="s">
        <v>21991</v>
      </c>
      <c r="R4700">
        <v>14</v>
      </c>
      <c r="S4700">
        <v>16</v>
      </c>
    </row>
    <row r="4701" spans="1:19" x14ac:dyDescent="0.35">
      <c r="A4701">
        <v>4998</v>
      </c>
      <c r="B4701" t="s">
        <v>21948</v>
      </c>
      <c r="C4701" t="s">
        <v>42</v>
      </c>
      <c r="D4701" t="s">
        <v>21949</v>
      </c>
      <c r="E4701" t="e" cm="1">
        <f t="array" ref="E4701">- DESONIDE</f>
        <v>#NAME?</v>
      </c>
      <c r="F4701" t="s">
        <v>21950</v>
      </c>
      <c r="G4701" t="s">
        <v>21834</v>
      </c>
      <c r="H4701" t="s">
        <v>21951</v>
      </c>
      <c r="I4701" t="s">
        <v>21836</v>
      </c>
      <c r="J4701" t="s">
        <v>2167</v>
      </c>
      <c r="K4701" t="s">
        <v>21837</v>
      </c>
      <c r="L4701" t="s">
        <v>21838</v>
      </c>
      <c r="M4701" t="s">
        <v>1289</v>
      </c>
      <c r="N4701" t="s">
        <v>1297</v>
      </c>
      <c r="O4701" t="s">
        <v>21839</v>
      </c>
      <c r="P4701" t="s">
        <v>21952</v>
      </c>
      <c r="Q4701" t="s">
        <v>21953</v>
      </c>
      <c r="R4701">
        <v>14</v>
      </c>
      <c r="S4701">
        <v>16</v>
      </c>
    </row>
    <row r="4702" spans="1:19" x14ac:dyDescent="0.35">
      <c r="A4702">
        <v>9231</v>
      </c>
      <c r="B4702" t="s">
        <v>21992</v>
      </c>
      <c r="C4702" t="s">
        <v>42</v>
      </c>
      <c r="D4702" t="s">
        <v>21993</v>
      </c>
      <c r="E4702" t="e" cm="1">
        <f t="array" ref="E4702">- NIFEDIPINE</f>
        <v>#NAME?</v>
      </c>
      <c r="F4702" t="s">
        <v>21994</v>
      </c>
      <c r="G4702" t="s">
        <v>21995</v>
      </c>
      <c r="H4702" t="s">
        <v>21996</v>
      </c>
      <c r="I4702" t="s">
        <v>21997</v>
      </c>
      <c r="J4702" t="s">
        <v>1093</v>
      </c>
      <c r="K4702" t="s">
        <v>21998</v>
      </c>
      <c r="L4702" t="s">
        <v>21999</v>
      </c>
      <c r="M4702" t="s">
        <v>46</v>
      </c>
      <c r="N4702" t="s">
        <v>22000</v>
      </c>
      <c r="O4702" t="s">
        <v>22001</v>
      </c>
      <c r="P4702" t="s">
        <v>22002</v>
      </c>
      <c r="Q4702" t="s">
        <v>22003</v>
      </c>
      <c r="R4702">
        <v>14</v>
      </c>
      <c r="S4702">
        <v>16</v>
      </c>
    </row>
    <row r="4703" spans="1:19" x14ac:dyDescent="0.35">
      <c r="A4703">
        <v>8036</v>
      </c>
      <c r="B4703" t="s">
        <v>22004</v>
      </c>
      <c r="C4703" t="s">
        <v>20</v>
      </c>
      <c r="D4703" t="s">
        <v>22005</v>
      </c>
      <c r="E4703" t="s">
        <v>22006</v>
      </c>
      <c r="F4703" t="s">
        <v>22007</v>
      </c>
      <c r="H4703" t="s">
        <v>22008</v>
      </c>
      <c r="I4703" t="s">
        <v>22009</v>
      </c>
      <c r="J4703" t="s">
        <v>197</v>
      </c>
      <c r="M4703" t="s">
        <v>38</v>
      </c>
      <c r="N4703" t="s">
        <v>22010</v>
      </c>
      <c r="O4703" t="s">
        <v>22011</v>
      </c>
      <c r="P4703" t="s">
        <v>22012</v>
      </c>
      <c r="Q4703" t="s">
        <v>22013</v>
      </c>
      <c r="R4703">
        <v>14</v>
      </c>
      <c r="S4703">
        <v>16</v>
      </c>
    </row>
    <row r="4704" spans="1:19" x14ac:dyDescent="0.35">
      <c r="A4704">
        <v>8037</v>
      </c>
      <c r="B4704" t="s">
        <v>22004</v>
      </c>
      <c r="C4704" t="s">
        <v>20</v>
      </c>
      <c r="D4704" t="s">
        <v>22014</v>
      </c>
      <c r="E4704" t="s">
        <v>22006</v>
      </c>
      <c r="F4704" t="s">
        <v>22015</v>
      </c>
      <c r="H4704" t="s">
        <v>22016</v>
      </c>
      <c r="I4704" t="s">
        <v>22009</v>
      </c>
      <c r="J4704" t="s">
        <v>22017</v>
      </c>
      <c r="M4704" t="s">
        <v>38</v>
      </c>
      <c r="N4704" t="s">
        <v>22010</v>
      </c>
      <c r="O4704" t="s">
        <v>22011</v>
      </c>
      <c r="P4704" t="s">
        <v>22012</v>
      </c>
      <c r="Q4704" t="s">
        <v>22013</v>
      </c>
      <c r="R4704">
        <v>14</v>
      </c>
      <c r="S4704">
        <v>16</v>
      </c>
    </row>
    <row r="4705" spans="1:19" x14ac:dyDescent="0.35">
      <c r="A4705">
        <v>1015</v>
      </c>
      <c r="B4705" t="s">
        <v>21243</v>
      </c>
      <c r="C4705" t="s">
        <v>42</v>
      </c>
      <c r="D4705" t="s">
        <v>21244</v>
      </c>
      <c r="E4705" t="e" cm="1">
        <f t="array" ref="E4705">- SUCCUS LIQUIRITIAE. AMMONIUM CHLORIDE</f>
        <v>#NAME?</v>
      </c>
      <c r="F4705" t="s">
        <v>21245</v>
      </c>
      <c r="G4705" t="s">
        <v>4482</v>
      </c>
      <c r="H4705" t="s">
        <v>21246</v>
      </c>
      <c r="I4705" t="s">
        <v>8504</v>
      </c>
      <c r="J4705" t="s">
        <v>21247</v>
      </c>
      <c r="K4705" t="s">
        <v>21248</v>
      </c>
      <c r="L4705" t="s">
        <v>21249</v>
      </c>
      <c r="M4705" t="s">
        <v>271</v>
      </c>
      <c r="N4705" t="s">
        <v>5134</v>
      </c>
      <c r="O4705" t="s">
        <v>8506</v>
      </c>
      <c r="P4705" t="s">
        <v>21250</v>
      </c>
      <c r="Q4705" t="s">
        <v>21251</v>
      </c>
      <c r="R4705">
        <v>14</v>
      </c>
      <c r="S4705">
        <v>16</v>
      </c>
    </row>
    <row r="4706" spans="1:19" x14ac:dyDescent="0.35">
      <c r="A4706">
        <v>7334</v>
      </c>
      <c r="B4706" t="s">
        <v>22018</v>
      </c>
      <c r="C4706" t="s">
        <v>42</v>
      </c>
      <c r="D4706" t="s">
        <v>22019</v>
      </c>
      <c r="E4706" t="e" cm="1">
        <f t="array" ref="E4706">- ESTROGENS CONJUGATED</f>
        <v>#NAME?</v>
      </c>
      <c r="F4706" t="s">
        <v>22020</v>
      </c>
      <c r="H4706" t="s">
        <v>22021</v>
      </c>
      <c r="I4706" t="s">
        <v>22022</v>
      </c>
      <c r="J4706" t="s">
        <v>22023</v>
      </c>
      <c r="K4706" t="s">
        <v>22024</v>
      </c>
      <c r="L4706" t="s">
        <v>22025</v>
      </c>
      <c r="M4706" t="s">
        <v>291</v>
      </c>
      <c r="N4706" t="s">
        <v>22026</v>
      </c>
      <c r="O4706" t="s">
        <v>22027</v>
      </c>
      <c r="P4706" t="s">
        <v>22028</v>
      </c>
      <c r="Q4706" t="s">
        <v>22029</v>
      </c>
      <c r="R4706">
        <v>14</v>
      </c>
      <c r="S4706">
        <v>16</v>
      </c>
    </row>
    <row r="4707" spans="1:19" x14ac:dyDescent="0.35">
      <c r="A4707">
        <v>988</v>
      </c>
      <c r="B4707" t="s">
        <v>22030</v>
      </c>
      <c r="C4707" t="s">
        <v>42</v>
      </c>
      <c r="D4707" t="s">
        <v>22031</v>
      </c>
      <c r="E4707" t="e" cm="1">
        <f t="array" ref="E4707">- PSEUDOEPHEDRINE HYDROCHLORIDE. BROMPHENIRAMINE MALEATE</f>
        <v>#NAME?</v>
      </c>
      <c r="F4707" t="s">
        <v>22032</v>
      </c>
      <c r="G4707" t="s">
        <v>60</v>
      </c>
      <c r="H4707" t="s">
        <v>22033</v>
      </c>
      <c r="I4707" t="s">
        <v>22034</v>
      </c>
      <c r="J4707" t="s">
        <v>374</v>
      </c>
      <c r="K4707" t="s">
        <v>12645</v>
      </c>
      <c r="L4707" t="s">
        <v>12646</v>
      </c>
      <c r="M4707" t="s">
        <v>271</v>
      </c>
      <c r="N4707" t="s">
        <v>22035</v>
      </c>
      <c r="O4707" t="s">
        <v>22036</v>
      </c>
      <c r="P4707" t="s">
        <v>22037</v>
      </c>
      <c r="Q4707" t="s">
        <v>22038</v>
      </c>
      <c r="R4707">
        <v>14</v>
      </c>
      <c r="S4707">
        <v>16</v>
      </c>
    </row>
    <row r="4708" spans="1:19" x14ac:dyDescent="0.35">
      <c r="A4708">
        <v>4339</v>
      </c>
      <c r="B4708" t="s">
        <v>22039</v>
      </c>
      <c r="C4708" t="s">
        <v>20</v>
      </c>
      <c r="D4708" t="s">
        <v>22040</v>
      </c>
      <c r="E4708" t="s">
        <v>22041</v>
      </c>
      <c r="F4708" t="s">
        <v>22042</v>
      </c>
      <c r="G4708" t="s">
        <v>22043</v>
      </c>
      <c r="H4708" t="s">
        <v>22044</v>
      </c>
      <c r="I4708" t="s">
        <v>22045</v>
      </c>
      <c r="J4708" t="s">
        <v>22046</v>
      </c>
      <c r="K4708" t="s">
        <v>2726</v>
      </c>
      <c r="M4708" t="s">
        <v>3453</v>
      </c>
      <c r="N4708" t="s">
        <v>22047</v>
      </c>
      <c r="O4708" t="s">
        <v>22048</v>
      </c>
      <c r="P4708" t="s">
        <v>22047</v>
      </c>
      <c r="Q4708" t="s">
        <v>22049</v>
      </c>
      <c r="R4708">
        <v>14</v>
      </c>
      <c r="S4708">
        <v>16</v>
      </c>
    </row>
    <row r="4709" spans="1:19" x14ac:dyDescent="0.35">
      <c r="A4709">
        <v>283</v>
      </c>
      <c r="B4709" t="s">
        <v>21954</v>
      </c>
      <c r="C4709" t="s">
        <v>42</v>
      </c>
      <c r="D4709" t="s">
        <v>21955</v>
      </c>
      <c r="E4709" t="e" cm="1">
        <f t="array" ref="E4709">- TADALAFIL</f>
        <v>#NAME?</v>
      </c>
      <c r="F4709" t="s">
        <v>21956</v>
      </c>
      <c r="G4709" t="s">
        <v>546</v>
      </c>
      <c r="H4709" t="s">
        <v>21957</v>
      </c>
      <c r="I4709" t="s">
        <v>21958</v>
      </c>
      <c r="J4709" t="s">
        <v>549</v>
      </c>
      <c r="M4709" t="s">
        <v>46</v>
      </c>
      <c r="N4709" t="s">
        <v>10656</v>
      </c>
      <c r="O4709" t="s">
        <v>21959</v>
      </c>
      <c r="P4709" t="s">
        <v>21960</v>
      </c>
      <c r="Q4709" t="s">
        <v>21961</v>
      </c>
      <c r="R4709">
        <v>14</v>
      </c>
      <c r="S4709">
        <v>16</v>
      </c>
    </row>
    <row r="4710" spans="1:19" x14ac:dyDescent="0.35">
      <c r="A4710">
        <v>4066</v>
      </c>
      <c r="B4710" t="s">
        <v>21628</v>
      </c>
      <c r="C4710" t="s">
        <v>42</v>
      </c>
      <c r="D4710" t="s">
        <v>21629</v>
      </c>
      <c r="E4710" t="e" cm="1">
        <f t="array" ref="E4710">- CETIRIZINE HYDROCHLORIDE</f>
        <v>#NAME?</v>
      </c>
      <c r="F4710" t="s">
        <v>21630</v>
      </c>
      <c r="G4710" t="s">
        <v>60</v>
      </c>
      <c r="H4710" t="s">
        <v>21631</v>
      </c>
      <c r="I4710" t="s">
        <v>21632</v>
      </c>
      <c r="J4710" t="s">
        <v>21633</v>
      </c>
      <c r="K4710" t="s">
        <v>21634</v>
      </c>
      <c r="L4710" t="s">
        <v>21635</v>
      </c>
      <c r="M4710" t="s">
        <v>38</v>
      </c>
      <c r="N4710" t="s">
        <v>1390</v>
      </c>
      <c r="O4710" t="s">
        <v>21038</v>
      </c>
      <c r="P4710" t="s">
        <v>21636</v>
      </c>
      <c r="Q4710" t="s">
        <v>21637</v>
      </c>
      <c r="R4710">
        <v>14</v>
      </c>
      <c r="S4710">
        <v>16</v>
      </c>
    </row>
    <row r="4711" spans="1:19" x14ac:dyDescent="0.35">
      <c r="A4711">
        <v>5137</v>
      </c>
      <c r="B4711" t="s">
        <v>22050</v>
      </c>
      <c r="C4711" t="s">
        <v>42</v>
      </c>
      <c r="D4711" t="s">
        <v>22051</v>
      </c>
      <c r="E4711" t="e" cm="1">
        <f t="array" ref="E4711">- BETAMETHASONE</f>
        <v>#NAME?</v>
      </c>
      <c r="F4711" t="s">
        <v>22052</v>
      </c>
      <c r="G4711" t="s">
        <v>22053</v>
      </c>
      <c r="H4711" t="s">
        <v>8886</v>
      </c>
      <c r="I4711" t="s">
        <v>22054</v>
      </c>
      <c r="J4711" t="s">
        <v>5475</v>
      </c>
      <c r="K4711" t="s">
        <v>22055</v>
      </c>
      <c r="L4711" t="s">
        <v>11858</v>
      </c>
      <c r="M4711" t="s">
        <v>1289</v>
      </c>
      <c r="N4711" t="s">
        <v>1118</v>
      </c>
      <c r="O4711" t="s">
        <v>22056</v>
      </c>
      <c r="P4711" t="s">
        <v>22057</v>
      </c>
      <c r="Q4711" t="s">
        <v>22058</v>
      </c>
      <c r="R4711">
        <v>14</v>
      </c>
      <c r="S4711">
        <v>16</v>
      </c>
    </row>
    <row r="4712" spans="1:19" x14ac:dyDescent="0.35">
      <c r="A4712">
        <v>3481</v>
      </c>
      <c r="B4712" t="s">
        <v>22059</v>
      </c>
      <c r="C4712" t="s">
        <v>42</v>
      </c>
      <c r="D4712" t="s">
        <v>22060</v>
      </c>
      <c r="E4712" t="e" cm="1">
        <f t="array" ref="E4712">- DOMPERIDONE</f>
        <v>#NAME?</v>
      </c>
      <c r="F4712" t="s">
        <v>22061</v>
      </c>
      <c r="G4712" t="s">
        <v>22062</v>
      </c>
      <c r="H4712" t="s">
        <v>1589</v>
      </c>
      <c r="I4712" t="s">
        <v>21085</v>
      </c>
      <c r="J4712" t="s">
        <v>532</v>
      </c>
      <c r="K4712" t="s">
        <v>22063</v>
      </c>
      <c r="L4712" t="s">
        <v>22064</v>
      </c>
      <c r="M4712" t="s">
        <v>46</v>
      </c>
      <c r="N4712" t="s">
        <v>341</v>
      </c>
      <c r="O4712" t="s">
        <v>21086</v>
      </c>
      <c r="P4712" t="s">
        <v>22065</v>
      </c>
      <c r="Q4712" t="s">
        <v>22066</v>
      </c>
      <c r="R4712">
        <v>14</v>
      </c>
      <c r="S4712">
        <v>16</v>
      </c>
    </row>
    <row r="4713" spans="1:19" x14ac:dyDescent="0.35">
      <c r="A4713">
        <v>5138</v>
      </c>
      <c r="B4713" t="s">
        <v>22067</v>
      </c>
      <c r="C4713" t="s">
        <v>42</v>
      </c>
      <c r="D4713" t="s">
        <v>22068</v>
      </c>
      <c r="E4713" t="e" cm="1">
        <f t="array" ref="E4713">- BETAMETHASONE DIPROPIONATE</f>
        <v>#NAME?</v>
      </c>
      <c r="F4713" t="s">
        <v>22069</v>
      </c>
      <c r="H4713" t="s">
        <v>22070</v>
      </c>
      <c r="I4713" t="s">
        <v>22071</v>
      </c>
      <c r="J4713" t="s">
        <v>7114</v>
      </c>
      <c r="L4713" t="s">
        <v>22072</v>
      </c>
      <c r="M4713" t="s">
        <v>1289</v>
      </c>
      <c r="N4713" t="s">
        <v>2685</v>
      </c>
      <c r="O4713" t="s">
        <v>22073</v>
      </c>
      <c r="P4713" t="s">
        <v>22074</v>
      </c>
      <c r="Q4713" t="s">
        <v>22075</v>
      </c>
      <c r="R4713">
        <v>14</v>
      </c>
      <c r="S4713">
        <v>16</v>
      </c>
    </row>
    <row r="4714" spans="1:19" x14ac:dyDescent="0.35">
      <c r="A4714">
        <v>4065</v>
      </c>
      <c r="B4714" t="s">
        <v>21628</v>
      </c>
      <c r="C4714" t="s">
        <v>42</v>
      </c>
      <c r="D4714" t="s">
        <v>21629</v>
      </c>
      <c r="E4714" t="e" cm="1">
        <f t="array" ref="E4714">- CETIRIZINE HYDROCHLORIDE</f>
        <v>#NAME?</v>
      </c>
      <c r="F4714" t="s">
        <v>21630</v>
      </c>
      <c r="G4714" t="s">
        <v>60</v>
      </c>
      <c r="H4714" t="s">
        <v>21631</v>
      </c>
      <c r="I4714" t="s">
        <v>21632</v>
      </c>
      <c r="J4714" t="s">
        <v>21633</v>
      </c>
      <c r="K4714" t="s">
        <v>21634</v>
      </c>
      <c r="L4714" t="s">
        <v>21635</v>
      </c>
      <c r="M4714" t="s">
        <v>38</v>
      </c>
      <c r="N4714" t="s">
        <v>1390</v>
      </c>
      <c r="O4714" t="s">
        <v>21038</v>
      </c>
      <c r="P4714" t="s">
        <v>21636</v>
      </c>
      <c r="Q4714" t="s">
        <v>21637</v>
      </c>
      <c r="R4714">
        <v>14</v>
      </c>
      <c r="S4714">
        <v>16</v>
      </c>
    </row>
    <row r="4715" spans="1:19" x14ac:dyDescent="0.35">
      <c r="A4715">
        <v>1220</v>
      </c>
      <c r="B4715" t="s">
        <v>22076</v>
      </c>
      <c r="C4715" t="s">
        <v>42</v>
      </c>
      <c r="D4715" t="s">
        <v>22077</v>
      </c>
      <c r="E4715" t="e" cm="1">
        <f t="array" ref="E4715">- PARACETAMOL. DEXTROMETHORPHAN HYDROBROMIDE. CHLORPHENAMINE MALEATE. PHENYLPROPANOLAMINE HYDROCHLORIDE</f>
        <v>#NAME?</v>
      </c>
      <c r="F4715" t="s">
        <v>22078</v>
      </c>
      <c r="G4715" t="s">
        <v>4913</v>
      </c>
      <c r="H4715" t="s">
        <v>22079</v>
      </c>
      <c r="I4715" t="s">
        <v>22080</v>
      </c>
      <c r="J4715" t="s">
        <v>16668</v>
      </c>
      <c r="K4715" t="s">
        <v>22081</v>
      </c>
      <c r="L4715" t="s">
        <v>22082</v>
      </c>
      <c r="M4715" t="s">
        <v>271</v>
      </c>
      <c r="N4715" t="s">
        <v>22083</v>
      </c>
      <c r="O4715" t="s">
        <v>22084</v>
      </c>
      <c r="P4715" t="s">
        <v>22085</v>
      </c>
      <c r="Q4715" t="s">
        <v>22086</v>
      </c>
      <c r="R4715">
        <v>14</v>
      </c>
      <c r="S4715">
        <v>16</v>
      </c>
    </row>
    <row r="4716" spans="1:19" x14ac:dyDescent="0.35">
      <c r="A4716">
        <v>7630</v>
      </c>
      <c r="B4716" t="s">
        <v>22087</v>
      </c>
      <c r="C4716" t="s">
        <v>20</v>
      </c>
      <c r="D4716" t="s">
        <v>22088</v>
      </c>
      <c r="E4716" t="s">
        <v>22089</v>
      </c>
      <c r="F4716" t="s">
        <v>22090</v>
      </c>
      <c r="G4716" t="s">
        <v>2241</v>
      </c>
      <c r="H4716" t="s">
        <v>22091</v>
      </c>
      <c r="I4716" t="s">
        <v>22092</v>
      </c>
      <c r="J4716" t="s">
        <v>75</v>
      </c>
      <c r="M4716" t="s">
        <v>46</v>
      </c>
      <c r="N4716" t="s">
        <v>22093</v>
      </c>
      <c r="O4716" t="s">
        <v>22094</v>
      </c>
      <c r="P4716" t="s">
        <v>22095</v>
      </c>
      <c r="Q4716" t="s">
        <v>22096</v>
      </c>
      <c r="R4716">
        <v>14</v>
      </c>
      <c r="S4716">
        <v>16</v>
      </c>
    </row>
    <row r="4717" spans="1:19" x14ac:dyDescent="0.35">
      <c r="A4717">
        <v>9046</v>
      </c>
      <c r="B4717" t="s">
        <v>21914</v>
      </c>
      <c r="C4717" t="s">
        <v>42</v>
      </c>
      <c r="D4717" t="s">
        <v>21915</v>
      </c>
      <c r="E4717" t="e" cm="1">
        <f t="array" ref="E4717">- CANDESARTAN CILEXETIL</f>
        <v>#NAME?</v>
      </c>
      <c r="F4717" t="s">
        <v>21916</v>
      </c>
      <c r="G4717" t="s">
        <v>5698</v>
      </c>
      <c r="H4717" t="s">
        <v>17199</v>
      </c>
      <c r="I4717" t="s">
        <v>21917</v>
      </c>
      <c r="J4717" t="s">
        <v>2478</v>
      </c>
      <c r="K4717" t="s">
        <v>17201</v>
      </c>
      <c r="L4717" t="s">
        <v>21918</v>
      </c>
      <c r="M4717" t="s">
        <v>46</v>
      </c>
      <c r="N4717" t="s">
        <v>2447</v>
      </c>
      <c r="O4717" t="s">
        <v>21919</v>
      </c>
      <c r="P4717" t="s">
        <v>17204</v>
      </c>
      <c r="Q4717" t="s">
        <v>21920</v>
      </c>
      <c r="R4717">
        <v>14</v>
      </c>
      <c r="S4717">
        <v>16</v>
      </c>
    </row>
    <row r="4718" spans="1:19" x14ac:dyDescent="0.35">
      <c r="A4718">
        <v>930</v>
      </c>
      <c r="B4718" t="s">
        <v>22097</v>
      </c>
      <c r="C4718" t="s">
        <v>42</v>
      </c>
      <c r="D4718" t="s">
        <v>22098</v>
      </c>
      <c r="E4718" t="e" cm="1">
        <f t="array" ref="E4718">- CHLORPHENAMINE MALEATE</f>
        <v>#NAME?</v>
      </c>
      <c r="F4718" t="s">
        <v>22099</v>
      </c>
      <c r="G4718" t="s">
        <v>5839</v>
      </c>
      <c r="H4718" t="s">
        <v>22100</v>
      </c>
      <c r="I4718" t="s">
        <v>22101</v>
      </c>
      <c r="J4718" t="s">
        <v>22102</v>
      </c>
      <c r="K4718" t="s">
        <v>22103</v>
      </c>
      <c r="L4718" t="s">
        <v>22104</v>
      </c>
      <c r="M4718" t="s">
        <v>291</v>
      </c>
      <c r="N4718" t="s">
        <v>1354</v>
      </c>
      <c r="O4718" t="s">
        <v>22105</v>
      </c>
      <c r="P4718" t="s">
        <v>22106</v>
      </c>
      <c r="Q4718" t="s">
        <v>22107</v>
      </c>
      <c r="R4718">
        <v>14</v>
      </c>
      <c r="S4718">
        <v>16</v>
      </c>
    </row>
    <row r="4719" spans="1:19" x14ac:dyDescent="0.35">
      <c r="A4719">
        <v>8032</v>
      </c>
      <c r="B4719" t="s">
        <v>22108</v>
      </c>
      <c r="C4719" t="s">
        <v>20</v>
      </c>
      <c r="D4719" t="s">
        <v>22109</v>
      </c>
      <c r="E4719" t="s">
        <v>22110</v>
      </c>
      <c r="F4719" t="s">
        <v>22111</v>
      </c>
      <c r="G4719" t="s">
        <v>22112</v>
      </c>
      <c r="H4719" t="s">
        <v>12055</v>
      </c>
      <c r="I4719" t="s">
        <v>22113</v>
      </c>
      <c r="J4719" t="s">
        <v>7857</v>
      </c>
      <c r="L4719" t="s">
        <v>22114</v>
      </c>
      <c r="M4719" t="s">
        <v>38</v>
      </c>
      <c r="N4719" t="s">
        <v>22115</v>
      </c>
      <c r="O4719" t="s">
        <v>22116</v>
      </c>
      <c r="P4719" t="s">
        <v>22117</v>
      </c>
      <c r="Q4719" t="s">
        <v>22118</v>
      </c>
      <c r="R4719">
        <v>14</v>
      </c>
      <c r="S4719">
        <v>16</v>
      </c>
    </row>
    <row r="4720" spans="1:19" x14ac:dyDescent="0.35">
      <c r="A4720">
        <v>7073</v>
      </c>
      <c r="B4720" t="s">
        <v>22119</v>
      </c>
      <c r="C4720" t="s">
        <v>850</v>
      </c>
      <c r="D4720" t="s">
        <v>22120</v>
      </c>
      <c r="E4720" t="e" cm="1">
        <f t="array" ref="E4720">- Champora</f>
        <v>#NAME?</v>
      </c>
      <c r="F4720" t="s">
        <v>22121</v>
      </c>
      <c r="G4720" t="s">
        <v>22122</v>
      </c>
      <c r="H4720" t="s">
        <v>22123</v>
      </c>
      <c r="I4720" t="s">
        <v>22124</v>
      </c>
      <c r="J4720" t="s">
        <v>22125</v>
      </c>
      <c r="M4720" t="s">
        <v>1289</v>
      </c>
      <c r="N4720" t="s">
        <v>22126</v>
      </c>
      <c r="O4720" t="s">
        <v>22127</v>
      </c>
      <c r="P4720" t="s">
        <v>22128</v>
      </c>
      <c r="Q4720" t="s">
        <v>22129</v>
      </c>
      <c r="R4720">
        <v>14</v>
      </c>
      <c r="S4720">
        <v>16</v>
      </c>
    </row>
    <row r="4721" spans="1:19" x14ac:dyDescent="0.35">
      <c r="A4721">
        <v>4088</v>
      </c>
      <c r="B4721" t="s">
        <v>22130</v>
      </c>
      <c r="C4721" t="s">
        <v>42</v>
      </c>
      <c r="D4721" t="s">
        <v>22131</v>
      </c>
      <c r="E4721" t="e" cm="1">
        <f t="array" ref="E4721">- CETIRIZINE HYDROCHLORIDE</f>
        <v>#NAME?</v>
      </c>
      <c r="F4721" t="s">
        <v>22132</v>
      </c>
      <c r="G4721" t="s">
        <v>60</v>
      </c>
      <c r="H4721" t="s">
        <v>1498</v>
      </c>
      <c r="I4721" t="s">
        <v>21036</v>
      </c>
      <c r="J4721" t="s">
        <v>956</v>
      </c>
      <c r="K4721" t="s">
        <v>16653</v>
      </c>
      <c r="L4721" t="s">
        <v>16654</v>
      </c>
      <c r="M4721" t="s">
        <v>46</v>
      </c>
      <c r="N4721" t="s">
        <v>1390</v>
      </c>
      <c r="O4721" t="s">
        <v>21038</v>
      </c>
      <c r="P4721" t="s">
        <v>21308</v>
      </c>
      <c r="Q4721" t="s">
        <v>22133</v>
      </c>
      <c r="R4721">
        <v>14</v>
      </c>
      <c r="S4721">
        <v>16</v>
      </c>
    </row>
    <row r="4722" spans="1:19" x14ac:dyDescent="0.35">
      <c r="A4722">
        <v>4087</v>
      </c>
      <c r="B4722" t="s">
        <v>22130</v>
      </c>
      <c r="C4722" t="s">
        <v>42</v>
      </c>
      <c r="D4722" t="s">
        <v>22131</v>
      </c>
      <c r="E4722" t="e" cm="1">
        <f t="array" ref="E4722">- CETIRIZINE HYDROCHLORIDE</f>
        <v>#NAME?</v>
      </c>
      <c r="F4722" t="s">
        <v>22132</v>
      </c>
      <c r="G4722" t="s">
        <v>60</v>
      </c>
      <c r="H4722" t="s">
        <v>1498</v>
      </c>
      <c r="I4722" t="s">
        <v>21036</v>
      </c>
      <c r="J4722" t="s">
        <v>956</v>
      </c>
      <c r="K4722" t="s">
        <v>16653</v>
      </c>
      <c r="L4722" t="s">
        <v>16654</v>
      </c>
      <c r="M4722" t="s">
        <v>46</v>
      </c>
      <c r="N4722" t="s">
        <v>1390</v>
      </c>
      <c r="O4722" t="s">
        <v>21038</v>
      </c>
      <c r="P4722" t="s">
        <v>21308</v>
      </c>
      <c r="Q4722" t="s">
        <v>22133</v>
      </c>
      <c r="R4722">
        <v>14</v>
      </c>
      <c r="S4722">
        <v>16</v>
      </c>
    </row>
    <row r="4723" spans="1:19" x14ac:dyDescent="0.35">
      <c r="A4723">
        <v>7616</v>
      </c>
      <c r="B4723" t="s">
        <v>22134</v>
      </c>
      <c r="C4723" t="s">
        <v>20</v>
      </c>
      <c r="D4723" t="s">
        <v>22135</v>
      </c>
      <c r="E4723" t="s">
        <v>22136</v>
      </c>
      <c r="F4723" t="s">
        <v>22137</v>
      </c>
      <c r="G4723" t="s">
        <v>3494</v>
      </c>
      <c r="H4723" t="s">
        <v>9891</v>
      </c>
      <c r="I4723" t="s">
        <v>22138</v>
      </c>
      <c r="J4723" t="s">
        <v>4547</v>
      </c>
      <c r="M4723" t="s">
        <v>38</v>
      </c>
      <c r="N4723" t="s">
        <v>22139</v>
      </c>
      <c r="O4723" t="s">
        <v>22140</v>
      </c>
      <c r="P4723" t="s">
        <v>22139</v>
      </c>
      <c r="Q4723" t="s">
        <v>22141</v>
      </c>
      <c r="R4723">
        <v>14</v>
      </c>
      <c r="S4723">
        <v>16</v>
      </c>
    </row>
    <row r="4724" spans="1:19" x14ac:dyDescent="0.35">
      <c r="A4724">
        <v>4086</v>
      </c>
      <c r="B4724" t="s">
        <v>22130</v>
      </c>
      <c r="C4724" t="s">
        <v>42</v>
      </c>
      <c r="D4724" t="s">
        <v>22131</v>
      </c>
      <c r="E4724" t="e" cm="1">
        <f t="array" ref="E4724">- CETIRIZINE HYDROCHLORIDE</f>
        <v>#NAME?</v>
      </c>
      <c r="F4724" t="s">
        <v>22132</v>
      </c>
      <c r="G4724" t="s">
        <v>60</v>
      </c>
      <c r="H4724" t="s">
        <v>1498</v>
      </c>
      <c r="I4724" t="s">
        <v>21036</v>
      </c>
      <c r="J4724" t="s">
        <v>956</v>
      </c>
      <c r="K4724" t="s">
        <v>16653</v>
      </c>
      <c r="L4724" t="s">
        <v>16654</v>
      </c>
      <c r="M4724" t="s">
        <v>46</v>
      </c>
      <c r="N4724" t="s">
        <v>1390</v>
      </c>
      <c r="O4724" t="s">
        <v>21038</v>
      </c>
      <c r="P4724" t="s">
        <v>21308</v>
      </c>
      <c r="Q4724" t="s">
        <v>22133</v>
      </c>
      <c r="R4724">
        <v>14</v>
      </c>
      <c r="S4724">
        <v>16</v>
      </c>
    </row>
    <row r="4725" spans="1:19" x14ac:dyDescent="0.35">
      <c r="A4725">
        <v>4085</v>
      </c>
      <c r="B4725" t="s">
        <v>22130</v>
      </c>
      <c r="C4725" t="s">
        <v>42</v>
      </c>
      <c r="D4725" t="s">
        <v>22131</v>
      </c>
      <c r="E4725" t="e" cm="1">
        <f t="array" ref="E4725">- CETIRIZINE HYDROCHLORIDE</f>
        <v>#NAME?</v>
      </c>
      <c r="F4725" t="s">
        <v>22132</v>
      </c>
      <c r="G4725" t="s">
        <v>60</v>
      </c>
      <c r="H4725" t="s">
        <v>1498</v>
      </c>
      <c r="I4725" t="s">
        <v>21036</v>
      </c>
      <c r="J4725" t="s">
        <v>956</v>
      </c>
      <c r="K4725" t="s">
        <v>16653</v>
      </c>
      <c r="L4725" t="s">
        <v>16654</v>
      </c>
      <c r="M4725" t="s">
        <v>46</v>
      </c>
      <c r="N4725" t="s">
        <v>1390</v>
      </c>
      <c r="O4725" t="s">
        <v>21038</v>
      </c>
      <c r="P4725" t="s">
        <v>21308</v>
      </c>
      <c r="Q4725" t="s">
        <v>22133</v>
      </c>
      <c r="R4725">
        <v>14</v>
      </c>
      <c r="S4725">
        <v>16</v>
      </c>
    </row>
    <row r="4726" spans="1:19" x14ac:dyDescent="0.35">
      <c r="A4726">
        <v>149</v>
      </c>
      <c r="B4726" t="s">
        <v>2902</v>
      </c>
      <c r="C4726" t="s">
        <v>42</v>
      </c>
      <c r="D4726" t="s">
        <v>22142</v>
      </c>
      <c r="E4726" t="e" cm="1">
        <f t="array" ref="E4726">- SILDENAFIL CITRATE</f>
        <v>#NAME?</v>
      </c>
      <c r="F4726" t="s">
        <v>22143</v>
      </c>
      <c r="G4726" t="s">
        <v>21204</v>
      </c>
      <c r="I4726" t="s">
        <v>21205</v>
      </c>
      <c r="J4726" t="s">
        <v>8479</v>
      </c>
      <c r="M4726" t="s">
        <v>46</v>
      </c>
      <c r="N4726" t="s">
        <v>2519</v>
      </c>
      <c r="O4726" t="s">
        <v>21206</v>
      </c>
      <c r="P4726" t="s">
        <v>22144</v>
      </c>
      <c r="Q4726" t="s">
        <v>22145</v>
      </c>
      <c r="R4726">
        <v>14</v>
      </c>
      <c r="S4726">
        <v>16</v>
      </c>
    </row>
    <row r="4727" spans="1:19" x14ac:dyDescent="0.35">
      <c r="A4727">
        <v>4081</v>
      </c>
      <c r="B4727" t="s">
        <v>22146</v>
      </c>
      <c r="C4727" t="s">
        <v>42</v>
      </c>
      <c r="D4727" t="s">
        <v>22147</v>
      </c>
      <c r="E4727" t="e" cm="1">
        <f t="array" ref="E4727">- HYDROXYZINE HYDROCHLORIDE</f>
        <v>#NAME?</v>
      </c>
      <c r="G4727" t="s">
        <v>4469</v>
      </c>
      <c r="H4727" t="s">
        <v>22148</v>
      </c>
      <c r="I4727" t="s">
        <v>22149</v>
      </c>
      <c r="J4727" t="s">
        <v>381</v>
      </c>
      <c r="K4727" t="s">
        <v>2726</v>
      </c>
      <c r="L4727" t="s">
        <v>22150</v>
      </c>
      <c r="M4727" t="s">
        <v>46</v>
      </c>
      <c r="N4727" t="s">
        <v>22151</v>
      </c>
      <c r="O4727" t="s">
        <v>22152</v>
      </c>
      <c r="P4727" t="s">
        <v>22153</v>
      </c>
      <c r="Q4727" t="s">
        <v>22154</v>
      </c>
      <c r="R4727">
        <v>14</v>
      </c>
      <c r="S4727">
        <v>16</v>
      </c>
    </row>
    <row r="4728" spans="1:19" x14ac:dyDescent="0.35">
      <c r="A4728">
        <v>4080</v>
      </c>
      <c r="B4728" t="s">
        <v>22155</v>
      </c>
      <c r="C4728" t="s">
        <v>42</v>
      </c>
      <c r="D4728" t="s">
        <v>22156</v>
      </c>
      <c r="E4728" t="e" cm="1">
        <f t="array" ref="E4728">- CETIRIZINE HYDROCHLORIDE</f>
        <v>#NAME?</v>
      </c>
      <c r="F4728" t="s">
        <v>22157</v>
      </c>
      <c r="G4728" t="s">
        <v>737</v>
      </c>
      <c r="H4728" t="s">
        <v>1498</v>
      </c>
      <c r="I4728" t="s">
        <v>21036</v>
      </c>
      <c r="J4728" t="s">
        <v>334</v>
      </c>
      <c r="K4728" t="s">
        <v>16653</v>
      </c>
      <c r="L4728" t="s">
        <v>16654</v>
      </c>
      <c r="M4728" t="s">
        <v>271</v>
      </c>
      <c r="N4728" t="s">
        <v>1390</v>
      </c>
      <c r="O4728" t="s">
        <v>21038</v>
      </c>
      <c r="P4728" t="s">
        <v>21039</v>
      </c>
      <c r="Q4728" t="s">
        <v>22158</v>
      </c>
      <c r="R4728">
        <v>14</v>
      </c>
      <c r="S4728">
        <v>16</v>
      </c>
    </row>
    <row r="4729" spans="1:19" x14ac:dyDescent="0.35">
      <c r="A4729">
        <v>8035</v>
      </c>
      <c r="B4729" t="s">
        <v>22004</v>
      </c>
      <c r="C4729" t="s">
        <v>20</v>
      </c>
      <c r="D4729" t="s">
        <v>22159</v>
      </c>
      <c r="E4729" t="s">
        <v>22006</v>
      </c>
      <c r="F4729" t="s">
        <v>22160</v>
      </c>
      <c r="H4729" t="s">
        <v>22008</v>
      </c>
      <c r="I4729" t="s">
        <v>22009</v>
      </c>
      <c r="J4729" t="s">
        <v>22161</v>
      </c>
      <c r="M4729" t="s">
        <v>38</v>
      </c>
      <c r="N4729" t="s">
        <v>22010</v>
      </c>
      <c r="O4729" t="s">
        <v>22011</v>
      </c>
      <c r="P4729" t="s">
        <v>22012</v>
      </c>
      <c r="Q4729" t="s">
        <v>22013</v>
      </c>
      <c r="R4729">
        <v>14</v>
      </c>
      <c r="S4729">
        <v>16</v>
      </c>
    </row>
    <row r="4730" spans="1:19" x14ac:dyDescent="0.35">
      <c r="A4730">
        <v>9027</v>
      </c>
      <c r="B4730" t="s">
        <v>22162</v>
      </c>
      <c r="C4730" t="s">
        <v>42</v>
      </c>
      <c r="D4730" t="s">
        <v>22163</v>
      </c>
      <c r="E4730" t="e" cm="1">
        <f t="array" ref="E4730">- CANDESARTAN</f>
        <v>#NAME?</v>
      </c>
      <c r="F4730" s="1">
        <v>146500</v>
      </c>
      <c r="G4730" t="s">
        <v>6869</v>
      </c>
      <c r="H4730" t="s">
        <v>2643</v>
      </c>
      <c r="I4730" t="s">
        <v>22164</v>
      </c>
      <c r="J4730" t="s">
        <v>22165</v>
      </c>
      <c r="K4730" t="s">
        <v>22166</v>
      </c>
      <c r="L4730" t="s">
        <v>22167</v>
      </c>
      <c r="M4730" t="s">
        <v>46</v>
      </c>
      <c r="N4730" t="s">
        <v>22168</v>
      </c>
      <c r="O4730" t="s">
        <v>22169</v>
      </c>
      <c r="P4730" t="s">
        <v>22170</v>
      </c>
      <c r="Q4730" t="s">
        <v>22171</v>
      </c>
      <c r="R4730">
        <v>14</v>
      </c>
      <c r="S4730">
        <v>16</v>
      </c>
    </row>
    <row r="4731" spans="1:19" x14ac:dyDescent="0.35">
      <c r="A4731">
        <v>4074</v>
      </c>
      <c r="B4731" t="s">
        <v>21933</v>
      </c>
      <c r="C4731" t="s">
        <v>42</v>
      </c>
      <c r="D4731" t="s">
        <v>21934</v>
      </c>
      <c r="E4731" t="e" cm="1">
        <f t="array" ref="E4731">- CETIRIZINE HYDROCHLORIDE</f>
        <v>#NAME?</v>
      </c>
      <c r="F4731" t="s">
        <v>21935</v>
      </c>
      <c r="G4731" t="s">
        <v>16021</v>
      </c>
      <c r="H4731" t="s">
        <v>1498</v>
      </c>
      <c r="I4731" t="s">
        <v>21036</v>
      </c>
      <c r="J4731" t="s">
        <v>743</v>
      </c>
      <c r="K4731" t="s">
        <v>16653</v>
      </c>
      <c r="L4731" t="s">
        <v>16654</v>
      </c>
      <c r="M4731" t="s">
        <v>824</v>
      </c>
      <c r="N4731" t="s">
        <v>1390</v>
      </c>
      <c r="O4731" t="s">
        <v>21038</v>
      </c>
      <c r="P4731" t="s">
        <v>21039</v>
      </c>
      <c r="Q4731" t="s">
        <v>21936</v>
      </c>
      <c r="R4731">
        <v>14</v>
      </c>
      <c r="S4731">
        <v>16</v>
      </c>
    </row>
    <row r="4732" spans="1:19" x14ac:dyDescent="0.35">
      <c r="A4732">
        <v>3421</v>
      </c>
      <c r="B4732" t="s">
        <v>14731</v>
      </c>
      <c r="C4732" t="s">
        <v>42</v>
      </c>
      <c r="D4732" t="s">
        <v>14732</v>
      </c>
      <c r="E4732" t="s">
        <v>22172</v>
      </c>
      <c r="F4732" s="1">
        <v>20400</v>
      </c>
      <c r="G4732" t="s">
        <v>14733</v>
      </c>
      <c r="H4732" t="s">
        <v>2724</v>
      </c>
      <c r="I4732" t="s">
        <v>14734</v>
      </c>
      <c r="J4732" t="s">
        <v>14735</v>
      </c>
      <c r="K4732" t="s">
        <v>14736</v>
      </c>
      <c r="L4732" t="s">
        <v>14737</v>
      </c>
      <c r="M4732" t="s">
        <v>38</v>
      </c>
      <c r="N4732" t="s">
        <v>22173</v>
      </c>
      <c r="O4732" t="s">
        <v>14739</v>
      </c>
      <c r="P4732" t="s">
        <v>14740</v>
      </c>
      <c r="Q4732" t="s">
        <v>22174</v>
      </c>
      <c r="R4732">
        <v>14</v>
      </c>
      <c r="S4732">
        <v>16</v>
      </c>
    </row>
    <row r="4733" spans="1:19" x14ac:dyDescent="0.35">
      <c r="A4733">
        <v>2479</v>
      </c>
      <c r="B4733" t="s">
        <v>22175</v>
      </c>
      <c r="C4733" t="s">
        <v>42</v>
      </c>
      <c r="D4733" t="s">
        <v>22176</v>
      </c>
      <c r="E4733" t="e" cm="1">
        <f t="array" ref="E4733">- FLUNARIZINE</f>
        <v>#NAME?</v>
      </c>
      <c r="F4733" t="s">
        <v>22177</v>
      </c>
      <c r="G4733" t="s">
        <v>2266</v>
      </c>
      <c r="H4733" t="s">
        <v>22178</v>
      </c>
      <c r="I4733" t="s">
        <v>22179</v>
      </c>
      <c r="J4733" t="s">
        <v>22180</v>
      </c>
      <c r="K4733" t="s">
        <v>22181</v>
      </c>
      <c r="L4733" t="s">
        <v>321</v>
      </c>
      <c r="M4733" t="s">
        <v>46</v>
      </c>
      <c r="N4733" t="s">
        <v>2623</v>
      </c>
      <c r="O4733" t="s">
        <v>22182</v>
      </c>
      <c r="P4733" t="s">
        <v>2623</v>
      </c>
      <c r="Q4733" t="s">
        <v>22183</v>
      </c>
      <c r="R4733">
        <v>14</v>
      </c>
      <c r="S4733">
        <v>16</v>
      </c>
    </row>
    <row r="4734" spans="1:19" x14ac:dyDescent="0.35">
      <c r="A4734">
        <v>9026</v>
      </c>
      <c r="B4734" t="s">
        <v>22162</v>
      </c>
      <c r="C4734" t="s">
        <v>42</v>
      </c>
      <c r="D4734" t="s">
        <v>22163</v>
      </c>
      <c r="E4734" t="e" cm="1">
        <f t="array" ref="E4734">- CANDESARTAN</f>
        <v>#NAME?</v>
      </c>
      <c r="F4734" s="1">
        <v>146500</v>
      </c>
      <c r="G4734" t="s">
        <v>6869</v>
      </c>
      <c r="H4734" t="s">
        <v>2643</v>
      </c>
      <c r="I4734" t="s">
        <v>22164</v>
      </c>
      <c r="J4734" t="s">
        <v>22165</v>
      </c>
      <c r="K4734" t="s">
        <v>22166</v>
      </c>
      <c r="L4734" t="s">
        <v>22167</v>
      </c>
      <c r="M4734" t="s">
        <v>46</v>
      </c>
      <c r="N4734" t="s">
        <v>22168</v>
      </c>
      <c r="O4734" t="s">
        <v>22169</v>
      </c>
      <c r="P4734" t="s">
        <v>22170</v>
      </c>
      <c r="Q4734" t="s">
        <v>22171</v>
      </c>
      <c r="R4734">
        <v>14</v>
      </c>
      <c r="S4734">
        <v>16</v>
      </c>
    </row>
    <row r="4735" spans="1:19" x14ac:dyDescent="0.35">
      <c r="A4735">
        <v>153</v>
      </c>
      <c r="B4735" t="s">
        <v>2902</v>
      </c>
      <c r="C4735" t="s">
        <v>42</v>
      </c>
      <c r="D4735" t="s">
        <v>22184</v>
      </c>
      <c r="E4735" t="e" cm="1">
        <f t="array" ref="E4735">- SILDENAFIL CITRATE</f>
        <v>#NAME?</v>
      </c>
      <c r="F4735" t="s">
        <v>2364</v>
      </c>
      <c r="G4735" t="s">
        <v>22185</v>
      </c>
      <c r="H4735" t="s">
        <v>22186</v>
      </c>
      <c r="I4735" t="s">
        <v>22187</v>
      </c>
      <c r="J4735" t="s">
        <v>21213</v>
      </c>
      <c r="L4735" t="s">
        <v>22188</v>
      </c>
      <c r="M4735" t="s">
        <v>46</v>
      </c>
      <c r="N4735" t="s">
        <v>2519</v>
      </c>
      <c r="O4735" t="s">
        <v>22189</v>
      </c>
      <c r="P4735" t="s">
        <v>22190</v>
      </c>
      <c r="Q4735" t="s">
        <v>22191</v>
      </c>
      <c r="R4735">
        <v>14</v>
      </c>
      <c r="S4735">
        <v>16</v>
      </c>
    </row>
    <row r="4736" spans="1:19" x14ac:dyDescent="0.35">
      <c r="A4736">
        <v>7060</v>
      </c>
      <c r="B4736" t="s">
        <v>1803</v>
      </c>
      <c r="C4736" t="s">
        <v>42</v>
      </c>
      <c r="D4736" t="s">
        <v>22192</v>
      </c>
      <c r="E4736" t="e" cm="1">
        <f t="array" ref="E4736">- TIZANIDINE HYDROCHLORIDE</f>
        <v>#NAME?</v>
      </c>
      <c r="F4736" t="s">
        <v>22193</v>
      </c>
      <c r="G4736" t="s">
        <v>22194</v>
      </c>
      <c r="I4736" t="s">
        <v>22195</v>
      </c>
      <c r="J4736" t="s">
        <v>22196</v>
      </c>
      <c r="M4736" t="s">
        <v>46</v>
      </c>
      <c r="N4736" t="s">
        <v>1806</v>
      </c>
      <c r="O4736" t="s">
        <v>22197</v>
      </c>
      <c r="P4736" t="s">
        <v>22198</v>
      </c>
      <c r="Q4736" t="s">
        <v>22199</v>
      </c>
      <c r="R4736">
        <v>14</v>
      </c>
      <c r="S4736">
        <v>16</v>
      </c>
    </row>
    <row r="4737" spans="1:19" x14ac:dyDescent="0.35">
      <c r="A4737">
        <v>940</v>
      </c>
      <c r="B4737" t="s">
        <v>19239</v>
      </c>
      <c r="C4737" t="s">
        <v>42</v>
      </c>
      <c r="D4737" t="s">
        <v>22200</v>
      </c>
      <c r="E4737" t="e" cm="1">
        <f t="array" ref="E4737">- BROMHEXINE HYDROCHLORIDE</f>
        <v>#NAME?</v>
      </c>
      <c r="F4737" t="s">
        <v>22201</v>
      </c>
      <c r="G4737" t="s">
        <v>2241</v>
      </c>
      <c r="H4737" t="s">
        <v>22202</v>
      </c>
      <c r="I4737" t="s">
        <v>22203</v>
      </c>
      <c r="J4737" t="s">
        <v>374</v>
      </c>
      <c r="K4737" t="s">
        <v>8963</v>
      </c>
      <c r="L4737" t="s">
        <v>22204</v>
      </c>
      <c r="M4737" t="s">
        <v>271</v>
      </c>
      <c r="N4737" t="s">
        <v>1342</v>
      </c>
      <c r="O4737" t="s">
        <v>22205</v>
      </c>
      <c r="P4737" t="s">
        <v>19246</v>
      </c>
      <c r="Q4737" t="s">
        <v>22206</v>
      </c>
      <c r="R4737">
        <v>14</v>
      </c>
      <c r="S4737">
        <v>16</v>
      </c>
    </row>
    <row r="4738" spans="1:19" x14ac:dyDescent="0.35">
      <c r="A4738">
        <v>7624</v>
      </c>
      <c r="B4738" t="s">
        <v>5891</v>
      </c>
      <c r="C4738" t="s">
        <v>20</v>
      </c>
      <c r="D4738" t="s">
        <v>22207</v>
      </c>
      <c r="E4738" t="s">
        <v>5893</v>
      </c>
      <c r="F4738" t="s">
        <v>22208</v>
      </c>
      <c r="G4738" t="s">
        <v>3431</v>
      </c>
      <c r="H4738" t="s">
        <v>5895</v>
      </c>
      <c r="I4738" t="s">
        <v>22209</v>
      </c>
      <c r="J4738" t="s">
        <v>75</v>
      </c>
      <c r="L4738" t="s">
        <v>22210</v>
      </c>
      <c r="M4738" t="s">
        <v>38</v>
      </c>
      <c r="N4738" t="s">
        <v>5898</v>
      </c>
      <c r="O4738" t="s">
        <v>22211</v>
      </c>
      <c r="P4738" t="s">
        <v>5898</v>
      </c>
      <c r="Q4738" t="s">
        <v>22212</v>
      </c>
      <c r="R4738">
        <v>14</v>
      </c>
      <c r="S4738">
        <v>16</v>
      </c>
    </row>
    <row r="4739" spans="1:19" x14ac:dyDescent="0.35">
      <c r="A4739">
        <v>941</v>
      </c>
      <c r="B4739" t="s">
        <v>19239</v>
      </c>
      <c r="C4739" t="s">
        <v>42</v>
      </c>
      <c r="D4739" t="s">
        <v>22200</v>
      </c>
      <c r="E4739" t="e" cm="1">
        <f t="array" ref="E4739">- BROMHEXINE HYDROCHLORIDE</f>
        <v>#NAME?</v>
      </c>
      <c r="F4739" t="s">
        <v>22201</v>
      </c>
      <c r="G4739" t="s">
        <v>2241</v>
      </c>
      <c r="H4739" t="s">
        <v>22202</v>
      </c>
      <c r="I4739" t="s">
        <v>22203</v>
      </c>
      <c r="J4739" t="s">
        <v>374</v>
      </c>
      <c r="K4739" t="s">
        <v>8963</v>
      </c>
      <c r="L4739" t="s">
        <v>22204</v>
      </c>
      <c r="M4739" t="s">
        <v>271</v>
      </c>
      <c r="N4739" t="s">
        <v>1342</v>
      </c>
      <c r="O4739" t="s">
        <v>22205</v>
      </c>
      <c r="P4739" t="s">
        <v>19246</v>
      </c>
      <c r="Q4739" t="s">
        <v>22206</v>
      </c>
      <c r="R4739">
        <v>14</v>
      </c>
      <c r="S4739">
        <v>16</v>
      </c>
    </row>
    <row r="4740" spans="1:19" x14ac:dyDescent="0.35">
      <c r="A4740">
        <v>4073</v>
      </c>
      <c r="B4740" t="s">
        <v>21933</v>
      </c>
      <c r="C4740" t="s">
        <v>42</v>
      </c>
      <c r="D4740" t="s">
        <v>21934</v>
      </c>
      <c r="E4740" t="e" cm="1">
        <f t="array" ref="E4740">- CETIRIZINE HYDROCHLORIDE</f>
        <v>#NAME?</v>
      </c>
      <c r="F4740" t="s">
        <v>21935</v>
      </c>
      <c r="G4740" t="s">
        <v>16021</v>
      </c>
      <c r="H4740" t="s">
        <v>1498</v>
      </c>
      <c r="I4740" t="s">
        <v>21036</v>
      </c>
      <c r="J4740" t="s">
        <v>743</v>
      </c>
      <c r="K4740" t="s">
        <v>16653</v>
      </c>
      <c r="L4740" t="s">
        <v>16654</v>
      </c>
      <c r="M4740" t="s">
        <v>824</v>
      </c>
      <c r="N4740" t="s">
        <v>1390</v>
      </c>
      <c r="O4740" t="s">
        <v>21038</v>
      </c>
      <c r="P4740" t="s">
        <v>21039</v>
      </c>
      <c r="Q4740" t="s">
        <v>21936</v>
      </c>
      <c r="R4740">
        <v>14</v>
      </c>
      <c r="S4740">
        <v>16</v>
      </c>
    </row>
    <row r="4741" spans="1:19" x14ac:dyDescent="0.35">
      <c r="A4741">
        <v>3427</v>
      </c>
      <c r="B4741" t="s">
        <v>22213</v>
      </c>
      <c r="C4741" t="s">
        <v>42</v>
      </c>
      <c r="D4741" t="s">
        <v>22214</v>
      </c>
      <c r="E4741" t="e" cm="1">
        <f t="array" ref="E4741">- ALUMINIUM HYDROXIDE</f>
        <v>#NAME?</v>
      </c>
      <c r="F4741" t="s">
        <v>22215</v>
      </c>
      <c r="G4741" t="s">
        <v>60</v>
      </c>
      <c r="H4741" t="s">
        <v>22216</v>
      </c>
      <c r="I4741" t="s">
        <v>22217</v>
      </c>
      <c r="J4741" t="s">
        <v>381</v>
      </c>
      <c r="K4741" t="s">
        <v>22218</v>
      </c>
      <c r="L4741" t="s">
        <v>22219</v>
      </c>
      <c r="M4741" t="s">
        <v>46</v>
      </c>
      <c r="N4741" t="s">
        <v>1771</v>
      </c>
      <c r="O4741" t="s">
        <v>22220</v>
      </c>
      <c r="P4741" t="s">
        <v>22221</v>
      </c>
      <c r="Q4741" t="s">
        <v>22222</v>
      </c>
      <c r="R4741">
        <v>14</v>
      </c>
      <c r="S4741">
        <v>16</v>
      </c>
    </row>
    <row r="4742" spans="1:19" x14ac:dyDescent="0.35">
      <c r="A4742">
        <v>1768</v>
      </c>
      <c r="B4742" t="s">
        <v>5012</v>
      </c>
      <c r="C4742" t="s">
        <v>850</v>
      </c>
      <c r="D4742" t="s">
        <v>22223</v>
      </c>
      <c r="E4742" t="e" cm="1">
        <f t="array" ref="E4742">- Mentholum</f>
        <v>#NAME?</v>
      </c>
      <c r="F4742" t="s">
        <v>22224</v>
      </c>
      <c r="G4742" t="s">
        <v>21272</v>
      </c>
      <c r="H4742" t="s">
        <v>1322</v>
      </c>
      <c r="I4742" t="s">
        <v>21273</v>
      </c>
      <c r="J4742" t="s">
        <v>22225</v>
      </c>
      <c r="M4742" t="s">
        <v>3632</v>
      </c>
      <c r="N4742" t="s">
        <v>5016</v>
      </c>
      <c r="O4742" t="s">
        <v>21275</v>
      </c>
      <c r="P4742" t="s">
        <v>22226</v>
      </c>
      <c r="Q4742" t="s">
        <v>22227</v>
      </c>
      <c r="R4742">
        <v>14</v>
      </c>
      <c r="S4742">
        <v>16</v>
      </c>
    </row>
    <row r="4743" spans="1:19" x14ac:dyDescent="0.35">
      <c r="A4743">
        <v>5718</v>
      </c>
      <c r="B4743" t="s">
        <v>22228</v>
      </c>
      <c r="C4743" t="s">
        <v>42</v>
      </c>
      <c r="D4743" t="s">
        <v>22229</v>
      </c>
      <c r="E4743" t="e" cm="1">
        <f t="array" ref="E4743">- CEFADROXIL</f>
        <v>#NAME?</v>
      </c>
      <c r="F4743" t="s">
        <v>22230</v>
      </c>
      <c r="G4743" t="s">
        <v>2241</v>
      </c>
      <c r="H4743" t="s">
        <v>21352</v>
      </c>
      <c r="I4743" t="s">
        <v>21353</v>
      </c>
      <c r="J4743" t="s">
        <v>6069</v>
      </c>
      <c r="K4743" t="s">
        <v>21355</v>
      </c>
      <c r="L4743" t="s">
        <v>21356</v>
      </c>
      <c r="M4743" t="s">
        <v>38</v>
      </c>
      <c r="N4743" t="s">
        <v>21357</v>
      </c>
      <c r="O4743" t="s">
        <v>21358</v>
      </c>
      <c r="P4743" t="s">
        <v>22231</v>
      </c>
      <c r="Q4743" t="s">
        <v>22232</v>
      </c>
      <c r="R4743">
        <v>14</v>
      </c>
      <c r="S4743">
        <v>16</v>
      </c>
    </row>
    <row r="4744" spans="1:19" x14ac:dyDescent="0.35">
      <c r="A4744">
        <v>942</v>
      </c>
      <c r="B4744" t="s">
        <v>19239</v>
      </c>
      <c r="C4744" t="s">
        <v>42</v>
      </c>
      <c r="D4744" t="s">
        <v>19240</v>
      </c>
      <c r="E4744" t="e" cm="1">
        <f t="array" ref="E4744">- BROMHEXINE HYDROCHLORIDE. GUAIFENESIN</f>
        <v>#NAME?</v>
      </c>
      <c r="F4744" t="s">
        <v>19241</v>
      </c>
      <c r="G4744" t="s">
        <v>2241</v>
      </c>
      <c r="H4744" t="s">
        <v>19242</v>
      </c>
      <c r="I4744" t="s">
        <v>19243</v>
      </c>
      <c r="J4744" t="s">
        <v>334</v>
      </c>
      <c r="K4744" t="s">
        <v>2726</v>
      </c>
      <c r="L4744" t="s">
        <v>19244</v>
      </c>
      <c r="M4744" t="s">
        <v>271</v>
      </c>
      <c r="N4744" t="s">
        <v>3917</v>
      </c>
      <c r="O4744" t="s">
        <v>19245</v>
      </c>
      <c r="P4744" t="s">
        <v>19246</v>
      </c>
      <c r="Q4744" t="s">
        <v>21149</v>
      </c>
      <c r="R4744">
        <v>14</v>
      </c>
      <c r="S4744">
        <v>16</v>
      </c>
    </row>
    <row r="4745" spans="1:19" x14ac:dyDescent="0.35">
      <c r="A4745">
        <v>5129</v>
      </c>
      <c r="B4745" t="s">
        <v>22233</v>
      </c>
      <c r="C4745" t="s">
        <v>42</v>
      </c>
      <c r="D4745" t="s">
        <v>22234</v>
      </c>
      <c r="E4745" t="e" cm="1">
        <f t="array" ref="E4745">- DIFLUCORTOLONE VALERATE</f>
        <v>#NAME?</v>
      </c>
      <c r="F4745" t="s">
        <v>22235</v>
      </c>
      <c r="G4745" t="s">
        <v>7120</v>
      </c>
      <c r="H4745" t="s">
        <v>9718</v>
      </c>
      <c r="I4745" t="s">
        <v>22236</v>
      </c>
      <c r="J4745" t="s">
        <v>2049</v>
      </c>
      <c r="K4745" t="s">
        <v>22237</v>
      </c>
      <c r="L4745" t="s">
        <v>22238</v>
      </c>
      <c r="M4745" t="s">
        <v>1289</v>
      </c>
      <c r="N4745" t="s">
        <v>22239</v>
      </c>
      <c r="O4745" t="s">
        <v>22240</v>
      </c>
      <c r="P4745" t="s">
        <v>22241</v>
      </c>
      <c r="Q4745" t="s">
        <v>22242</v>
      </c>
      <c r="R4745">
        <v>14</v>
      </c>
      <c r="S4745">
        <v>16</v>
      </c>
    </row>
    <row r="4746" spans="1:19" x14ac:dyDescent="0.35">
      <c r="A4746">
        <v>2203</v>
      </c>
      <c r="B4746" t="s">
        <v>22243</v>
      </c>
      <c r="C4746" t="s">
        <v>42</v>
      </c>
      <c r="D4746" t="s">
        <v>22244</v>
      </c>
      <c r="E4746" t="e" cm="1">
        <f t="array" ref="E4746">- PIROXICAM</f>
        <v>#NAME?</v>
      </c>
      <c r="F4746" t="s">
        <v>22245</v>
      </c>
      <c r="G4746" t="s">
        <v>22246</v>
      </c>
      <c r="H4746" t="s">
        <v>1322</v>
      </c>
      <c r="I4746" t="s">
        <v>22247</v>
      </c>
      <c r="J4746" t="s">
        <v>22248</v>
      </c>
      <c r="M4746" t="s">
        <v>46</v>
      </c>
      <c r="N4746" t="s">
        <v>605</v>
      </c>
      <c r="O4746" t="s">
        <v>22249</v>
      </c>
      <c r="P4746" t="s">
        <v>22250</v>
      </c>
      <c r="Q4746" t="s">
        <v>22251</v>
      </c>
      <c r="R4746">
        <v>14</v>
      </c>
      <c r="S4746">
        <v>16</v>
      </c>
    </row>
    <row r="4747" spans="1:19" x14ac:dyDescent="0.35">
      <c r="A4747">
        <v>5176</v>
      </c>
      <c r="B4747" t="s">
        <v>17973</v>
      </c>
      <c r="C4747" t="s">
        <v>42</v>
      </c>
      <c r="D4747" t="s">
        <v>17974</v>
      </c>
      <c r="E4747" t="e" cm="1">
        <f t="array" ref="E4747">- PLACENTA EXTRACT. NEOMYCIN SULFATE</f>
        <v>#NAME?</v>
      </c>
      <c r="F4747" t="s">
        <v>17975</v>
      </c>
      <c r="G4747" t="s">
        <v>17976</v>
      </c>
      <c r="H4747" t="s">
        <v>17977</v>
      </c>
      <c r="I4747" t="s">
        <v>17978</v>
      </c>
      <c r="J4747" t="s">
        <v>13944</v>
      </c>
      <c r="K4747" t="s">
        <v>17979</v>
      </c>
      <c r="L4747" t="s">
        <v>17980</v>
      </c>
      <c r="M4747" t="s">
        <v>87</v>
      </c>
      <c r="N4747" t="s">
        <v>22252</v>
      </c>
      <c r="O4747" t="s">
        <v>17981</v>
      </c>
      <c r="P4747" t="s">
        <v>17982</v>
      </c>
      <c r="Q4747" t="s">
        <v>22253</v>
      </c>
      <c r="R4747">
        <v>14</v>
      </c>
      <c r="S4747">
        <v>16</v>
      </c>
    </row>
    <row r="4748" spans="1:19" x14ac:dyDescent="0.35">
      <c r="A4748">
        <v>5209</v>
      </c>
      <c r="B4748" t="s">
        <v>22254</v>
      </c>
      <c r="C4748" t="s">
        <v>42</v>
      </c>
      <c r="D4748" t="s">
        <v>22255</v>
      </c>
      <c r="E4748" t="e" cm="1">
        <f t="array" ref="E4748">- CLOTRIMAZOLE</f>
        <v>#NAME?</v>
      </c>
      <c r="F4748" t="s">
        <v>22256</v>
      </c>
      <c r="G4748" t="s">
        <v>22257</v>
      </c>
      <c r="H4748" t="s">
        <v>22258</v>
      </c>
      <c r="I4748" t="s">
        <v>22259</v>
      </c>
      <c r="J4748" t="s">
        <v>2040</v>
      </c>
      <c r="K4748" t="s">
        <v>22260</v>
      </c>
      <c r="L4748" t="s">
        <v>22261</v>
      </c>
      <c r="M4748" t="s">
        <v>1289</v>
      </c>
      <c r="N4748" t="s">
        <v>1422</v>
      </c>
      <c r="O4748" t="s">
        <v>22262</v>
      </c>
      <c r="P4748" t="s">
        <v>22263</v>
      </c>
      <c r="Q4748" t="s">
        <v>22264</v>
      </c>
      <c r="R4748">
        <v>14</v>
      </c>
      <c r="S4748">
        <v>16</v>
      </c>
    </row>
    <row r="4749" spans="1:19" x14ac:dyDescent="0.35">
      <c r="A4749">
        <v>9937</v>
      </c>
      <c r="B4749" t="s">
        <v>22265</v>
      </c>
      <c r="C4749" t="s">
        <v>42</v>
      </c>
      <c r="D4749" t="s">
        <v>22266</v>
      </c>
      <c r="E4749" t="e" cm="1">
        <f t="array" ref="E4749">- CILOSTAZOL</f>
        <v>#NAME?</v>
      </c>
      <c r="F4749" t="s">
        <v>22267</v>
      </c>
      <c r="G4749" t="s">
        <v>22268</v>
      </c>
      <c r="H4749" t="s">
        <v>22269</v>
      </c>
      <c r="I4749" t="s">
        <v>22270</v>
      </c>
      <c r="J4749" t="s">
        <v>532</v>
      </c>
      <c r="K4749" t="s">
        <v>22271</v>
      </c>
      <c r="L4749" t="s">
        <v>22272</v>
      </c>
      <c r="M4749" t="s">
        <v>46</v>
      </c>
      <c r="N4749" t="s">
        <v>20904</v>
      </c>
      <c r="O4749" t="s">
        <v>22273</v>
      </c>
      <c r="P4749" t="s">
        <v>22274</v>
      </c>
      <c r="Q4749" t="s">
        <v>22275</v>
      </c>
      <c r="R4749">
        <v>14</v>
      </c>
      <c r="S4749">
        <v>16</v>
      </c>
    </row>
    <row r="4750" spans="1:19" x14ac:dyDescent="0.35">
      <c r="A4750">
        <v>9936</v>
      </c>
      <c r="B4750" t="s">
        <v>22265</v>
      </c>
      <c r="C4750" t="s">
        <v>42</v>
      </c>
      <c r="D4750" t="s">
        <v>22266</v>
      </c>
      <c r="E4750" t="e" cm="1">
        <f t="array" ref="E4750">- CILOSTAZOL</f>
        <v>#NAME?</v>
      </c>
      <c r="F4750" t="s">
        <v>22267</v>
      </c>
      <c r="G4750" t="s">
        <v>22268</v>
      </c>
      <c r="H4750" t="s">
        <v>22269</v>
      </c>
      <c r="I4750" t="s">
        <v>22270</v>
      </c>
      <c r="J4750" t="s">
        <v>532</v>
      </c>
      <c r="K4750" t="s">
        <v>22271</v>
      </c>
      <c r="L4750" t="s">
        <v>22272</v>
      </c>
      <c r="M4750" t="s">
        <v>46</v>
      </c>
      <c r="N4750" t="s">
        <v>20904</v>
      </c>
      <c r="O4750" t="s">
        <v>22273</v>
      </c>
      <c r="P4750" t="s">
        <v>22274</v>
      </c>
      <c r="Q4750" t="s">
        <v>22275</v>
      </c>
      <c r="R4750">
        <v>14</v>
      </c>
      <c r="S4750">
        <v>16</v>
      </c>
    </row>
    <row r="4751" spans="1:19" x14ac:dyDescent="0.35">
      <c r="A4751">
        <v>6468</v>
      </c>
      <c r="B4751" t="s">
        <v>18805</v>
      </c>
      <c r="C4751" t="s">
        <v>42</v>
      </c>
      <c r="D4751" t="s">
        <v>18806</v>
      </c>
      <c r="E4751" t="e" cm="1">
        <f t="array" ref="E4751">- TRIMETHOPRIM. SULFAMETHOXAZOLE</f>
        <v>#NAME?</v>
      </c>
      <c r="F4751" t="s">
        <v>18807</v>
      </c>
      <c r="G4751" t="s">
        <v>4649</v>
      </c>
      <c r="H4751" t="s">
        <v>17413</v>
      </c>
      <c r="I4751" t="s">
        <v>17414</v>
      </c>
      <c r="J4751" t="s">
        <v>18808</v>
      </c>
      <c r="K4751" t="s">
        <v>17415</v>
      </c>
    </row>
    <row r="4752" spans="1:19" x14ac:dyDescent="0.35">
      <c r="A4752">
        <v>597</v>
      </c>
      <c r="B4752" t="s">
        <v>22276</v>
      </c>
      <c r="C4752" t="s">
        <v>42</v>
      </c>
      <c r="D4752" t="s">
        <v>22277</v>
      </c>
      <c r="E4752" t="e" cm="1">
        <f t="array" ref="E4752">- FLUTICASONE PROPIONAT</f>
        <v>#NAME?</v>
      </c>
      <c r="F4752" t="s">
        <v>22278</v>
      </c>
      <c r="G4752" t="s">
        <v>22279</v>
      </c>
      <c r="H4752" t="s">
        <v>22280</v>
      </c>
      <c r="I4752" t="s">
        <v>22281</v>
      </c>
      <c r="J4752" t="s">
        <v>22282</v>
      </c>
      <c r="K4752" t="s">
        <v>19599</v>
      </c>
      <c r="L4752" t="s">
        <v>13784</v>
      </c>
      <c r="M4752" t="s">
        <v>1280</v>
      </c>
      <c r="N4752" t="s">
        <v>3457</v>
      </c>
      <c r="O4752" t="s">
        <v>22283</v>
      </c>
      <c r="P4752" t="s">
        <v>22284</v>
      </c>
      <c r="Q4752" t="s">
        <v>22285</v>
      </c>
      <c r="R4752">
        <v>14</v>
      </c>
      <c r="S4752">
        <v>16</v>
      </c>
    </row>
    <row r="4753" spans="1:19" x14ac:dyDescent="0.35">
      <c r="A4753">
        <v>6180</v>
      </c>
      <c r="B4753" t="s">
        <v>22286</v>
      </c>
      <c r="C4753" t="s">
        <v>42</v>
      </c>
      <c r="D4753" t="s">
        <v>22287</v>
      </c>
      <c r="E4753" t="e" cm="1">
        <f t="array" ref="E4753">- CEFADROXIL</f>
        <v>#NAME?</v>
      </c>
      <c r="F4753" t="s">
        <v>22288</v>
      </c>
      <c r="G4753" t="s">
        <v>2241</v>
      </c>
      <c r="H4753" t="s">
        <v>21352</v>
      </c>
      <c r="I4753" t="s">
        <v>21353</v>
      </c>
      <c r="J4753" t="s">
        <v>21354</v>
      </c>
      <c r="K4753" t="s">
        <v>21355</v>
      </c>
      <c r="L4753" t="s">
        <v>21356</v>
      </c>
      <c r="M4753" t="s">
        <v>38</v>
      </c>
      <c r="N4753" t="s">
        <v>21357</v>
      </c>
      <c r="O4753" t="s">
        <v>21358</v>
      </c>
      <c r="P4753" t="s">
        <v>22289</v>
      </c>
      <c r="Q4753" t="s">
        <v>22290</v>
      </c>
      <c r="R4753">
        <v>14</v>
      </c>
      <c r="S4753">
        <v>16</v>
      </c>
    </row>
    <row r="4754" spans="1:19" x14ac:dyDescent="0.35">
      <c r="A4754">
        <v>8871</v>
      </c>
      <c r="B4754" t="s">
        <v>22291</v>
      </c>
      <c r="C4754" t="s">
        <v>20</v>
      </c>
      <c r="D4754" t="s">
        <v>22292</v>
      </c>
      <c r="E4754" t="s">
        <v>22293</v>
      </c>
      <c r="F4754" t="s">
        <v>22294</v>
      </c>
      <c r="H4754" t="s">
        <v>22295</v>
      </c>
      <c r="I4754" t="s">
        <v>22296</v>
      </c>
      <c r="J4754" t="s">
        <v>8233</v>
      </c>
      <c r="L4754" t="s">
        <v>22297</v>
      </c>
      <c r="M4754" t="s">
        <v>38</v>
      </c>
      <c r="N4754" t="s">
        <v>22298</v>
      </c>
      <c r="O4754" t="s">
        <v>22299</v>
      </c>
      <c r="P4754" t="s">
        <v>22300</v>
      </c>
      <c r="Q4754" t="s">
        <v>22301</v>
      </c>
      <c r="R4754">
        <v>14</v>
      </c>
      <c r="S4754">
        <v>16</v>
      </c>
    </row>
    <row r="4755" spans="1:19" x14ac:dyDescent="0.35">
      <c r="A4755">
        <v>4427</v>
      </c>
      <c r="B4755" t="s">
        <v>22302</v>
      </c>
      <c r="C4755" t="s">
        <v>42</v>
      </c>
      <c r="D4755" t="s">
        <v>22303</v>
      </c>
      <c r="E4755" t="e" cm="1">
        <f t="array" ref="E4755">- DEQUALINIUM CHLORIDE</f>
        <v>#NAME?</v>
      </c>
      <c r="F4755" s="1">
        <v>19000</v>
      </c>
      <c r="G4755" t="s">
        <v>22304</v>
      </c>
      <c r="H4755" t="s">
        <v>22305</v>
      </c>
      <c r="I4755" t="s">
        <v>22306</v>
      </c>
      <c r="J4755" t="s">
        <v>22307</v>
      </c>
      <c r="K4755" t="s">
        <v>22308</v>
      </c>
      <c r="L4755" t="s">
        <v>22309</v>
      </c>
      <c r="M4755" t="s">
        <v>46</v>
      </c>
      <c r="N4755" t="s">
        <v>10495</v>
      </c>
      <c r="O4755" t="s">
        <v>22310</v>
      </c>
      <c r="P4755" t="s">
        <v>22311</v>
      </c>
      <c r="Q4755" t="s">
        <v>22312</v>
      </c>
      <c r="R4755">
        <v>14</v>
      </c>
      <c r="S4755">
        <v>16</v>
      </c>
    </row>
    <row r="4756" spans="1:19" x14ac:dyDescent="0.35">
      <c r="A4756">
        <v>4428</v>
      </c>
      <c r="B4756" t="s">
        <v>22302</v>
      </c>
      <c r="C4756" t="s">
        <v>42</v>
      </c>
      <c r="D4756" t="s">
        <v>22313</v>
      </c>
      <c r="E4756" t="e" cm="1">
        <f t="array" ref="E4756">- DEQUALINIUM CHLORIDE</f>
        <v>#NAME?</v>
      </c>
      <c r="F4756" s="1">
        <v>14200</v>
      </c>
      <c r="G4756" t="s">
        <v>22304</v>
      </c>
      <c r="H4756" t="s">
        <v>22314</v>
      </c>
      <c r="I4756" t="s">
        <v>22306</v>
      </c>
      <c r="J4756" t="s">
        <v>22315</v>
      </c>
      <c r="K4756" t="s">
        <v>22308</v>
      </c>
      <c r="L4756" t="s">
        <v>22316</v>
      </c>
      <c r="M4756" t="s">
        <v>46</v>
      </c>
      <c r="N4756" t="s">
        <v>10495</v>
      </c>
      <c r="O4756" t="s">
        <v>22310</v>
      </c>
      <c r="P4756" t="s">
        <v>22311</v>
      </c>
      <c r="Q4756" t="s">
        <v>22312</v>
      </c>
      <c r="R4756">
        <v>14</v>
      </c>
      <c r="S4756">
        <v>16</v>
      </c>
    </row>
    <row r="4757" spans="1:19" x14ac:dyDescent="0.35">
      <c r="A4757">
        <v>1205</v>
      </c>
      <c r="B4757" t="s">
        <v>10120</v>
      </c>
      <c r="C4757" t="s">
        <v>42</v>
      </c>
      <c r="D4757" t="s">
        <v>10121</v>
      </c>
      <c r="E4757" t="e" cm="1">
        <f t="array" ref="E4757">- PARACETAMOL. DEXTROMETHORPHAN HYDROBROMIDE. CHLORPHENAMINE MALEATE. PHENYLPROPANOLAMINE HYDROCHLORIDE</f>
        <v>#NAME?</v>
      </c>
      <c r="F4757" t="s">
        <v>10122</v>
      </c>
      <c r="G4757" t="s">
        <v>2241</v>
      </c>
      <c r="H4757" t="s">
        <v>10123</v>
      </c>
      <c r="I4757" t="s">
        <v>9753</v>
      </c>
      <c r="J4757" t="s">
        <v>10124</v>
      </c>
      <c r="K4757" t="s">
        <v>9755</v>
      </c>
      <c r="L4757" t="s">
        <v>9756</v>
      </c>
      <c r="M4757" t="s">
        <v>271</v>
      </c>
      <c r="N4757" t="s">
        <v>22083</v>
      </c>
      <c r="O4757" t="s">
        <v>9757</v>
      </c>
      <c r="P4757" t="s">
        <v>9758</v>
      </c>
      <c r="Q4757" t="s">
        <v>22317</v>
      </c>
      <c r="R4757">
        <v>14</v>
      </c>
      <c r="S4757">
        <v>16</v>
      </c>
    </row>
    <row r="4758" spans="1:19" x14ac:dyDescent="0.35">
      <c r="A4758">
        <v>1751</v>
      </c>
      <c r="B4758" t="s">
        <v>22318</v>
      </c>
      <c r="C4758" t="s">
        <v>850</v>
      </c>
      <c r="D4758" t="s">
        <v>22319</v>
      </c>
      <c r="E4758" t="e" cm="1">
        <f t="array" ref="E4758">- Camphor</f>
        <v>#NAME?</v>
      </c>
      <c r="F4758" s="1">
        <v>17800</v>
      </c>
      <c r="G4758" t="s">
        <v>22320</v>
      </c>
      <c r="H4758" t="s">
        <v>22321</v>
      </c>
      <c r="I4758" t="s">
        <v>22322</v>
      </c>
      <c r="J4758" t="s">
        <v>1647</v>
      </c>
      <c r="L4758" t="s">
        <v>22323</v>
      </c>
      <c r="M4758" t="s">
        <v>2115</v>
      </c>
      <c r="N4758" t="s">
        <v>853</v>
      </c>
      <c r="O4758" t="s">
        <v>22324</v>
      </c>
      <c r="P4758" t="s">
        <v>22325</v>
      </c>
      <c r="Q4758" t="s">
        <v>22326</v>
      </c>
      <c r="R4758">
        <v>14</v>
      </c>
      <c r="S4758">
        <v>16</v>
      </c>
    </row>
    <row r="4759" spans="1:19" x14ac:dyDescent="0.35">
      <c r="A4759">
        <v>6339</v>
      </c>
      <c r="B4759" t="s">
        <v>22327</v>
      </c>
      <c r="C4759" t="s">
        <v>42</v>
      </c>
      <c r="D4759" t="s">
        <v>22328</v>
      </c>
      <c r="E4759" t="e" cm="1">
        <f t="array" ref="E4759">- CEFADROXIL</f>
        <v>#NAME?</v>
      </c>
      <c r="F4759" t="s">
        <v>22329</v>
      </c>
      <c r="G4759" t="s">
        <v>2241</v>
      </c>
      <c r="H4759" t="s">
        <v>21352</v>
      </c>
      <c r="I4759" t="s">
        <v>21353</v>
      </c>
      <c r="J4759" t="s">
        <v>22330</v>
      </c>
      <c r="K4759" t="s">
        <v>21355</v>
      </c>
      <c r="L4759" t="s">
        <v>21356</v>
      </c>
      <c r="M4759" t="s">
        <v>38</v>
      </c>
      <c r="N4759" t="s">
        <v>21357</v>
      </c>
      <c r="O4759" t="s">
        <v>21358</v>
      </c>
      <c r="P4759" t="s">
        <v>22331</v>
      </c>
      <c r="Q4759" t="s">
        <v>22332</v>
      </c>
      <c r="R4759">
        <v>14</v>
      </c>
      <c r="S4759">
        <v>16</v>
      </c>
    </row>
    <row r="4760" spans="1:19" x14ac:dyDescent="0.35">
      <c r="A4760">
        <v>2081</v>
      </c>
      <c r="B4760" t="s">
        <v>22333</v>
      </c>
      <c r="C4760" t="s">
        <v>42</v>
      </c>
      <c r="D4760" t="s">
        <v>22334</v>
      </c>
      <c r="E4760" t="e" cm="1">
        <f t="array" ref="E4760">- PARACETAMOL</f>
        <v>#NAME?</v>
      </c>
      <c r="F4760" t="s">
        <v>22335</v>
      </c>
      <c r="G4760" t="s">
        <v>4362</v>
      </c>
      <c r="H4760" t="s">
        <v>22336</v>
      </c>
      <c r="I4760" t="s">
        <v>22337</v>
      </c>
      <c r="J4760" t="s">
        <v>381</v>
      </c>
      <c r="K4760" t="s">
        <v>22338</v>
      </c>
      <c r="L4760" t="s">
        <v>22339</v>
      </c>
      <c r="M4760" t="s">
        <v>291</v>
      </c>
      <c r="N4760" t="s">
        <v>584</v>
      </c>
      <c r="O4760" t="s">
        <v>22340</v>
      </c>
      <c r="P4760" t="s">
        <v>584</v>
      </c>
      <c r="Q4760" t="s">
        <v>22341</v>
      </c>
      <c r="R4760">
        <v>14</v>
      </c>
      <c r="S4760">
        <v>16</v>
      </c>
    </row>
    <row r="4761" spans="1:19" x14ac:dyDescent="0.35">
      <c r="A4761">
        <v>6040</v>
      </c>
      <c r="B4761" t="s">
        <v>18980</v>
      </c>
      <c r="C4761" t="s">
        <v>42</v>
      </c>
      <c r="D4761" t="s">
        <v>18981</v>
      </c>
      <c r="E4761" t="e" cm="1">
        <f t="array" ref="E4761">- TRIMETHOPRIM. SULFAMETHOXAZOLE</f>
        <v>#NAME?</v>
      </c>
      <c r="F4761" t="s">
        <v>18982</v>
      </c>
      <c r="H4761" t="s">
        <v>18975</v>
      </c>
      <c r="I4761" t="s">
        <v>18976</v>
      </c>
      <c r="J4761" t="s">
        <v>5221</v>
      </c>
      <c r="L4761" t="s">
        <v>13087</v>
      </c>
      <c r="M4761" t="s">
        <v>340</v>
      </c>
      <c r="N4761" t="s">
        <v>1469</v>
      </c>
      <c r="O4761" t="s">
        <v>18977</v>
      </c>
      <c r="P4761" t="s">
        <v>18978</v>
      </c>
      <c r="Q4761" t="s">
        <v>22342</v>
      </c>
      <c r="R4761">
        <v>14</v>
      </c>
      <c r="S4761">
        <v>16</v>
      </c>
    </row>
    <row r="4762" spans="1:19" x14ac:dyDescent="0.35">
      <c r="A4762">
        <v>6104</v>
      </c>
      <c r="B4762" t="s">
        <v>22343</v>
      </c>
      <c r="C4762" t="s">
        <v>42</v>
      </c>
      <c r="D4762" t="s">
        <v>22344</v>
      </c>
      <c r="E4762" t="e" cm="1">
        <f t="array" ref="E4762">- CLINDAMYCIN HYDROCHLORIDE</f>
        <v>#NAME?</v>
      </c>
      <c r="F4762" t="s">
        <v>22345</v>
      </c>
      <c r="H4762" t="s">
        <v>22346</v>
      </c>
    </row>
    <row r="4763" spans="1:19" x14ac:dyDescent="0.35">
      <c r="A4763">
        <v>1146</v>
      </c>
      <c r="B4763" t="s">
        <v>22347</v>
      </c>
      <c r="C4763" t="s">
        <v>42</v>
      </c>
      <c r="D4763" t="s">
        <v>22348</v>
      </c>
      <c r="E4763" t="e" cm="1">
        <f t="array" ref="E4763">- AMMONIUM CHLORIDE</f>
        <v>#NAME?</v>
      </c>
      <c r="F4763" t="s">
        <v>22349</v>
      </c>
      <c r="H4763" t="s">
        <v>22350</v>
      </c>
      <c r="I4763" t="s">
        <v>22351</v>
      </c>
      <c r="J4763" t="s">
        <v>334</v>
      </c>
      <c r="K4763" t="s">
        <v>22352</v>
      </c>
      <c r="M4763" t="s">
        <v>271</v>
      </c>
      <c r="N4763" t="s">
        <v>1672</v>
      </c>
      <c r="O4763" t="s">
        <v>22353</v>
      </c>
      <c r="P4763" t="s">
        <v>22354</v>
      </c>
      <c r="Q4763" t="s">
        <v>22355</v>
      </c>
      <c r="R4763">
        <v>14</v>
      </c>
      <c r="S4763">
        <v>16</v>
      </c>
    </row>
    <row r="4764" spans="1:19" x14ac:dyDescent="0.35">
      <c r="A4764">
        <v>1219</v>
      </c>
      <c r="B4764" t="s">
        <v>22356</v>
      </c>
      <c r="C4764" t="s">
        <v>42</v>
      </c>
      <c r="D4764" t="s">
        <v>22357</v>
      </c>
      <c r="E4764" t="e" cm="1">
        <f t="array" ref="E4764">- DEXTROMETHORPHAN HYDROBROMIDE</f>
        <v>#NAME?</v>
      </c>
      <c r="F4764" t="s">
        <v>22358</v>
      </c>
      <c r="G4764" t="s">
        <v>60</v>
      </c>
      <c r="H4764" t="s">
        <v>22359</v>
      </c>
      <c r="I4764" t="s">
        <v>22360</v>
      </c>
      <c r="J4764" t="s">
        <v>334</v>
      </c>
      <c r="K4764" t="s">
        <v>22361</v>
      </c>
      <c r="L4764" t="s">
        <v>22362</v>
      </c>
      <c r="M4764" t="s">
        <v>271</v>
      </c>
      <c r="N4764" t="s">
        <v>1376</v>
      </c>
      <c r="O4764" t="s">
        <v>22363</v>
      </c>
      <c r="P4764" t="s">
        <v>22364</v>
      </c>
      <c r="Q4764" t="s">
        <v>22365</v>
      </c>
      <c r="R4764">
        <v>14</v>
      </c>
      <c r="S4764">
        <v>16</v>
      </c>
    </row>
    <row r="4765" spans="1:19" x14ac:dyDescent="0.35">
      <c r="A4765">
        <v>1212</v>
      </c>
      <c r="B4765" t="s">
        <v>22356</v>
      </c>
      <c r="C4765" t="s">
        <v>42</v>
      </c>
      <c r="D4765" t="s">
        <v>22366</v>
      </c>
      <c r="E4765" t="e" cm="1">
        <f t="array" ref="E4765">- DEXTROMETHORPHAN HYDROBROMIDE</f>
        <v>#NAME?</v>
      </c>
      <c r="F4765" t="s">
        <v>22367</v>
      </c>
      <c r="G4765" t="s">
        <v>60</v>
      </c>
      <c r="H4765" t="s">
        <v>22359</v>
      </c>
      <c r="I4765" t="s">
        <v>22360</v>
      </c>
      <c r="J4765" t="s">
        <v>22368</v>
      </c>
      <c r="K4765" t="s">
        <v>22361</v>
      </c>
      <c r="L4765" t="s">
        <v>22362</v>
      </c>
      <c r="M4765" t="s">
        <v>271</v>
      </c>
      <c r="N4765" t="s">
        <v>1376</v>
      </c>
      <c r="O4765" t="s">
        <v>22363</v>
      </c>
      <c r="P4765" t="s">
        <v>22364</v>
      </c>
      <c r="Q4765" t="s">
        <v>22365</v>
      </c>
      <c r="R4765">
        <v>14</v>
      </c>
      <c r="S4765">
        <v>16</v>
      </c>
    </row>
    <row r="4766" spans="1:19" x14ac:dyDescent="0.35">
      <c r="A4766">
        <v>3953</v>
      </c>
      <c r="B4766" t="s">
        <v>22369</v>
      </c>
      <c r="C4766" t="s">
        <v>42</v>
      </c>
      <c r="D4766" t="s">
        <v>22370</v>
      </c>
      <c r="E4766" t="e" cm="1">
        <f t="array" ref="E4766">- BISACODYL</f>
        <v>#NAME?</v>
      </c>
      <c r="F4766" t="s">
        <v>22371</v>
      </c>
      <c r="G4766" t="s">
        <v>20819</v>
      </c>
      <c r="H4766" t="s">
        <v>22372</v>
      </c>
      <c r="I4766" t="s">
        <v>20918</v>
      </c>
      <c r="J4766" t="s">
        <v>22373</v>
      </c>
      <c r="K4766" t="s">
        <v>20920</v>
      </c>
      <c r="L4766" t="s">
        <v>22374</v>
      </c>
      <c r="M4766" t="s">
        <v>720</v>
      </c>
      <c r="N4766" t="s">
        <v>20824</v>
      </c>
      <c r="O4766" t="s">
        <v>20922</v>
      </c>
      <c r="P4766" t="s">
        <v>22375</v>
      </c>
      <c r="Q4766" t="s">
        <v>22376</v>
      </c>
      <c r="R4766">
        <v>14</v>
      </c>
      <c r="S4766">
        <v>16</v>
      </c>
    </row>
    <row r="4767" spans="1:19" x14ac:dyDescent="0.35">
      <c r="A4767">
        <v>6043</v>
      </c>
      <c r="B4767" t="s">
        <v>22377</v>
      </c>
      <c r="C4767" t="s">
        <v>42</v>
      </c>
      <c r="D4767" t="s">
        <v>22378</v>
      </c>
      <c r="E4767" t="e" cm="1">
        <f t="array" ref="E4767">- SULFAMETHOXAZOLE</f>
        <v>#NAME?</v>
      </c>
      <c r="F4767" t="s">
        <v>22379</v>
      </c>
      <c r="H4767" t="s">
        <v>22380</v>
      </c>
      <c r="I4767" t="s">
        <v>22381</v>
      </c>
      <c r="J4767" t="s">
        <v>22382</v>
      </c>
      <c r="K4767" t="s">
        <v>22383</v>
      </c>
      <c r="L4767" t="s">
        <v>321</v>
      </c>
      <c r="M4767" t="s">
        <v>291</v>
      </c>
      <c r="N4767" t="s">
        <v>478</v>
      </c>
      <c r="O4767" t="s">
        <v>22384</v>
      </c>
      <c r="P4767" t="s">
        <v>22385</v>
      </c>
      <c r="Q4767" t="s">
        <v>22386</v>
      </c>
      <c r="R4767">
        <v>14</v>
      </c>
      <c r="S4767">
        <v>16</v>
      </c>
    </row>
    <row r="4768" spans="1:19" x14ac:dyDescent="0.35">
      <c r="A4768">
        <v>1218</v>
      </c>
      <c r="B4768" t="s">
        <v>22356</v>
      </c>
      <c r="C4768" t="s">
        <v>42</v>
      </c>
      <c r="D4768" t="s">
        <v>22357</v>
      </c>
      <c r="E4768" t="e" cm="1">
        <f t="array" ref="E4768">- DEXTROMETHORPHAN HYDROBROMIDE</f>
        <v>#NAME?</v>
      </c>
      <c r="F4768" t="s">
        <v>22358</v>
      </c>
      <c r="G4768" t="s">
        <v>60</v>
      </c>
      <c r="H4768" t="s">
        <v>22359</v>
      </c>
      <c r="I4768" t="s">
        <v>22360</v>
      </c>
      <c r="J4768" t="s">
        <v>334</v>
      </c>
      <c r="K4768" t="s">
        <v>22361</v>
      </c>
      <c r="L4768" t="s">
        <v>22362</v>
      </c>
      <c r="M4768" t="s">
        <v>271</v>
      </c>
      <c r="N4768" t="s">
        <v>1376</v>
      </c>
      <c r="O4768" t="s">
        <v>22363</v>
      </c>
      <c r="P4768" t="s">
        <v>22364</v>
      </c>
      <c r="Q4768" t="s">
        <v>22365</v>
      </c>
      <c r="R4768">
        <v>14</v>
      </c>
      <c r="S4768">
        <v>16</v>
      </c>
    </row>
    <row r="4769" spans="1:19" x14ac:dyDescent="0.35">
      <c r="A4769">
        <v>3795</v>
      </c>
      <c r="B4769" t="s">
        <v>22387</v>
      </c>
      <c r="C4769" t="s">
        <v>42</v>
      </c>
      <c r="D4769" t="s">
        <v>22388</v>
      </c>
      <c r="E4769" t="e" cm="1">
        <f t="array" ref="E4769">- BUDESONIDE</f>
        <v>#NAME?</v>
      </c>
      <c r="F4769" s="1">
        <v>317800</v>
      </c>
      <c r="G4769" t="s">
        <v>737</v>
      </c>
      <c r="H4769" t="s">
        <v>22389</v>
      </c>
      <c r="I4769" t="s">
        <v>22390</v>
      </c>
      <c r="J4769" t="s">
        <v>22391</v>
      </c>
      <c r="K4769" t="s">
        <v>3473</v>
      </c>
      <c r="L4769" t="s">
        <v>22392</v>
      </c>
      <c r="M4769" t="s">
        <v>38</v>
      </c>
      <c r="N4769" t="s">
        <v>1281</v>
      </c>
      <c r="O4769" t="s">
        <v>22393</v>
      </c>
      <c r="P4769" t="s">
        <v>22394</v>
      </c>
      <c r="Q4769" t="s">
        <v>22395</v>
      </c>
      <c r="R4769">
        <v>14</v>
      </c>
      <c r="S4769">
        <v>16</v>
      </c>
    </row>
    <row r="4770" spans="1:19" x14ac:dyDescent="0.35">
      <c r="A4770">
        <v>3796</v>
      </c>
      <c r="B4770" t="s">
        <v>22387</v>
      </c>
      <c r="C4770" t="s">
        <v>42</v>
      </c>
      <c r="D4770" t="s">
        <v>22388</v>
      </c>
      <c r="E4770" t="e" cm="1">
        <f t="array" ref="E4770">- BUDESONIDE</f>
        <v>#NAME?</v>
      </c>
      <c r="F4770" s="1">
        <v>317800</v>
      </c>
      <c r="G4770" t="s">
        <v>737</v>
      </c>
      <c r="H4770" t="s">
        <v>22389</v>
      </c>
      <c r="I4770" t="s">
        <v>22390</v>
      </c>
      <c r="J4770" t="s">
        <v>22391</v>
      </c>
      <c r="K4770" t="s">
        <v>3473</v>
      </c>
      <c r="L4770" t="s">
        <v>22392</v>
      </c>
      <c r="M4770" t="s">
        <v>38</v>
      </c>
      <c r="N4770" t="s">
        <v>1281</v>
      </c>
      <c r="O4770" t="s">
        <v>22393</v>
      </c>
      <c r="P4770" t="s">
        <v>22394</v>
      </c>
      <c r="Q4770" t="s">
        <v>22395</v>
      </c>
      <c r="R4770">
        <v>14</v>
      </c>
      <c r="S4770">
        <v>16</v>
      </c>
    </row>
    <row r="4771" spans="1:19" x14ac:dyDescent="0.35">
      <c r="A4771">
        <v>1290</v>
      </c>
      <c r="B4771" t="s">
        <v>22396</v>
      </c>
      <c r="C4771" t="s">
        <v>42</v>
      </c>
      <c r="D4771" t="s">
        <v>22397</v>
      </c>
      <c r="E4771" t="e" cm="1">
        <f t="array" ref="E4771">- DIPHENHYDRAMINE HYDROCHLORIDE. DEXTROMETHORPHAN HYDROBROMIDE. PHENYLEPHRINE HYDROCHLORIDE. AMMONIUM CHLORIDE. SODIUM CITRATE DIHYDRATE</f>
        <v>#NAME?</v>
      </c>
      <c r="F4771" t="s">
        <v>22398</v>
      </c>
      <c r="J4771" t="s">
        <v>1222</v>
      </c>
      <c r="M4771" t="s">
        <v>271</v>
      </c>
      <c r="N4771" t="s">
        <v>22399</v>
      </c>
      <c r="P4771" t="s">
        <v>22400</v>
      </c>
      <c r="Q4771" t="s">
        <v>22401</v>
      </c>
      <c r="R4771">
        <v>14</v>
      </c>
      <c r="S4771">
        <v>16</v>
      </c>
    </row>
    <row r="4772" spans="1:19" x14ac:dyDescent="0.35">
      <c r="A4772">
        <v>4576</v>
      </c>
      <c r="B4772" t="s">
        <v>8767</v>
      </c>
      <c r="C4772" t="s">
        <v>42</v>
      </c>
      <c r="D4772" t="s">
        <v>16176</v>
      </c>
      <c r="E4772" t="e" cm="1">
        <f t="array" ref="E4772">- FLUOROMETHOLONE. NEOMYCIN SULFATE</f>
        <v>#NAME?</v>
      </c>
      <c r="F4772" t="s">
        <v>16177</v>
      </c>
      <c r="G4772" t="s">
        <v>10245</v>
      </c>
      <c r="H4772" t="s">
        <v>7570</v>
      </c>
      <c r="I4772" t="s">
        <v>16178</v>
      </c>
      <c r="J4772" t="s">
        <v>16179</v>
      </c>
      <c r="K4772" t="s">
        <v>16180</v>
      </c>
    </row>
    <row r="4773" spans="1:19" x14ac:dyDescent="0.35">
      <c r="A4773">
        <v>7842</v>
      </c>
      <c r="B4773" t="s">
        <v>22402</v>
      </c>
      <c r="C4773" t="s">
        <v>20</v>
      </c>
      <c r="D4773" t="s">
        <v>22403</v>
      </c>
      <c r="E4773" t="s">
        <v>22404</v>
      </c>
      <c r="F4773" t="s">
        <v>22405</v>
      </c>
      <c r="G4773" t="s">
        <v>2241</v>
      </c>
      <c r="H4773" t="s">
        <v>19537</v>
      </c>
      <c r="I4773" t="s">
        <v>5700</v>
      </c>
      <c r="J4773" t="s">
        <v>5284</v>
      </c>
      <c r="L4773" t="s">
        <v>19524</v>
      </c>
      <c r="M4773" t="s">
        <v>38</v>
      </c>
      <c r="N4773" t="s">
        <v>22406</v>
      </c>
      <c r="O4773" t="s">
        <v>5703</v>
      </c>
      <c r="P4773" t="s">
        <v>19525</v>
      </c>
      <c r="Q4773" t="s">
        <v>22407</v>
      </c>
      <c r="R4773">
        <v>14</v>
      </c>
      <c r="S4773">
        <v>16</v>
      </c>
    </row>
    <row r="4774" spans="1:19" x14ac:dyDescent="0.35">
      <c r="A4774">
        <v>4199</v>
      </c>
      <c r="B4774" t="s">
        <v>22408</v>
      </c>
      <c r="C4774" t="s">
        <v>42</v>
      </c>
      <c r="D4774" t="s">
        <v>22409</v>
      </c>
      <c r="E4774" t="e" cm="1">
        <f t="array" ref="E4774">- BETAMETHASONE</f>
        <v>#NAME?</v>
      </c>
      <c r="F4774" s="1">
        <v>35600</v>
      </c>
      <c r="G4774" t="s">
        <v>5301</v>
      </c>
      <c r="H4774" t="s">
        <v>22410</v>
      </c>
      <c r="I4774" t="s">
        <v>22411</v>
      </c>
      <c r="J4774" t="s">
        <v>846</v>
      </c>
      <c r="K4774" t="s">
        <v>22412</v>
      </c>
      <c r="L4774" t="s">
        <v>22413</v>
      </c>
      <c r="M4774" t="s">
        <v>271</v>
      </c>
      <c r="N4774" t="s">
        <v>1118</v>
      </c>
      <c r="O4774" t="s">
        <v>22414</v>
      </c>
      <c r="P4774" t="s">
        <v>22415</v>
      </c>
      <c r="Q4774" t="s">
        <v>22416</v>
      </c>
      <c r="R4774">
        <v>14</v>
      </c>
      <c r="S4774">
        <v>16</v>
      </c>
    </row>
    <row r="4775" spans="1:19" x14ac:dyDescent="0.35">
      <c r="A4775">
        <v>6646</v>
      </c>
      <c r="B4775" t="s">
        <v>22417</v>
      </c>
      <c r="C4775" t="s">
        <v>42</v>
      </c>
      <c r="D4775" t="s">
        <v>22418</v>
      </c>
      <c r="E4775" t="e" cm="1">
        <f t="array" ref="E4775">- VALACICLOVIR HYDROCHLORIDE</f>
        <v>#NAME?</v>
      </c>
      <c r="F4775" t="s">
        <v>22419</v>
      </c>
      <c r="G4775" t="s">
        <v>2241</v>
      </c>
      <c r="H4775" t="s">
        <v>22420</v>
      </c>
      <c r="I4775" t="s">
        <v>22421</v>
      </c>
      <c r="J4775" t="s">
        <v>22422</v>
      </c>
      <c r="K4775" t="s">
        <v>22423</v>
      </c>
      <c r="L4775" t="s">
        <v>22424</v>
      </c>
      <c r="M4775" t="s">
        <v>46</v>
      </c>
      <c r="N4775" t="s">
        <v>1704</v>
      </c>
      <c r="O4775" t="s">
        <v>22425</v>
      </c>
      <c r="P4775" t="s">
        <v>22426</v>
      </c>
      <c r="Q4775" t="s">
        <v>22427</v>
      </c>
      <c r="R4775">
        <v>14</v>
      </c>
      <c r="S4775">
        <v>16</v>
      </c>
    </row>
    <row r="4776" spans="1:19" x14ac:dyDescent="0.35">
      <c r="A4776">
        <v>4604</v>
      </c>
      <c r="B4776" t="s">
        <v>3508</v>
      </c>
      <c r="C4776" t="s">
        <v>42</v>
      </c>
      <c r="D4776" t="s">
        <v>22428</v>
      </c>
      <c r="E4776" t="e" cm="1">
        <f t="array" ref="E4776">- TETRAHYDROZOLINE HYDROCHLORIDE</f>
        <v>#NAME?</v>
      </c>
      <c r="F4776" t="s">
        <v>22429</v>
      </c>
      <c r="G4776" t="s">
        <v>7569</v>
      </c>
      <c r="H4776" t="s">
        <v>22430</v>
      </c>
      <c r="I4776" t="s">
        <v>22431</v>
      </c>
      <c r="J4776" t="s">
        <v>1647</v>
      </c>
      <c r="K4776" t="s">
        <v>3473</v>
      </c>
      <c r="L4776" t="s">
        <v>22432</v>
      </c>
      <c r="M4776" t="s">
        <v>824</v>
      </c>
      <c r="N4776" t="s">
        <v>3512</v>
      </c>
      <c r="O4776" t="s">
        <v>22433</v>
      </c>
      <c r="P4776" t="s">
        <v>22434</v>
      </c>
      <c r="Q4776" t="s">
        <v>22435</v>
      </c>
      <c r="R4776">
        <v>14</v>
      </c>
      <c r="S4776">
        <v>16</v>
      </c>
    </row>
    <row r="4777" spans="1:19" x14ac:dyDescent="0.35">
      <c r="A4777">
        <v>6006</v>
      </c>
      <c r="B4777" t="s">
        <v>22436</v>
      </c>
      <c r="C4777" t="s">
        <v>42</v>
      </c>
      <c r="D4777" t="s">
        <v>22437</v>
      </c>
      <c r="E4777" t="e" cm="1">
        <f t="array" ref="E4777">- CEFADROXIL</f>
        <v>#NAME?</v>
      </c>
      <c r="F4777" t="s">
        <v>22438</v>
      </c>
      <c r="G4777" t="s">
        <v>2241</v>
      </c>
      <c r="H4777" t="s">
        <v>21352</v>
      </c>
      <c r="I4777" t="s">
        <v>21353</v>
      </c>
      <c r="J4777" t="s">
        <v>334</v>
      </c>
      <c r="K4777" t="s">
        <v>21355</v>
      </c>
      <c r="L4777" t="s">
        <v>21356</v>
      </c>
      <c r="M4777" t="s">
        <v>271</v>
      </c>
      <c r="N4777" t="s">
        <v>21357</v>
      </c>
      <c r="O4777" t="s">
        <v>21358</v>
      </c>
      <c r="P4777" t="s">
        <v>22439</v>
      </c>
      <c r="Q4777" t="s">
        <v>22440</v>
      </c>
      <c r="R4777">
        <v>14</v>
      </c>
      <c r="S4777">
        <v>16</v>
      </c>
    </row>
    <row r="4778" spans="1:19" x14ac:dyDescent="0.35">
      <c r="A4778">
        <v>2202</v>
      </c>
      <c r="B4778" t="s">
        <v>22243</v>
      </c>
      <c r="C4778" t="s">
        <v>42</v>
      </c>
      <c r="D4778" t="s">
        <v>22244</v>
      </c>
      <c r="E4778" t="e" cm="1">
        <f t="array" ref="E4778">- PIROXICAM</f>
        <v>#NAME?</v>
      </c>
      <c r="F4778" t="s">
        <v>22245</v>
      </c>
      <c r="G4778" t="s">
        <v>22246</v>
      </c>
      <c r="H4778" t="s">
        <v>1322</v>
      </c>
      <c r="I4778" t="s">
        <v>22247</v>
      </c>
      <c r="J4778" t="s">
        <v>22248</v>
      </c>
      <c r="M4778" t="s">
        <v>46</v>
      </c>
      <c r="N4778" t="s">
        <v>605</v>
      </c>
      <c r="O4778" t="s">
        <v>22249</v>
      </c>
      <c r="P4778" t="s">
        <v>22250</v>
      </c>
      <c r="Q4778" t="s">
        <v>22251</v>
      </c>
      <c r="R4778">
        <v>14</v>
      </c>
      <c r="S4778">
        <v>16</v>
      </c>
    </row>
    <row r="4779" spans="1:19" x14ac:dyDescent="0.35">
      <c r="A4779">
        <v>4413</v>
      </c>
      <c r="B4779" t="s">
        <v>22441</v>
      </c>
      <c r="C4779" t="s">
        <v>42</v>
      </c>
      <c r="D4779" t="s">
        <v>22442</v>
      </c>
      <c r="E4779" t="e" cm="1">
        <f t="array" ref="E4779">- DEQUALINIUM CHLORIDE</f>
        <v>#NAME?</v>
      </c>
      <c r="F4779" t="s">
        <v>22443</v>
      </c>
      <c r="G4779" t="s">
        <v>22304</v>
      </c>
      <c r="H4779" t="s">
        <v>22305</v>
      </c>
      <c r="I4779" t="s">
        <v>22306</v>
      </c>
      <c r="J4779" t="s">
        <v>22307</v>
      </c>
      <c r="K4779" t="s">
        <v>22308</v>
      </c>
      <c r="L4779" t="s">
        <v>22309</v>
      </c>
      <c r="M4779" t="s">
        <v>46</v>
      </c>
      <c r="N4779" t="s">
        <v>10495</v>
      </c>
      <c r="O4779" t="s">
        <v>22310</v>
      </c>
      <c r="P4779" t="s">
        <v>22444</v>
      </c>
      <c r="Q4779" t="s">
        <v>22445</v>
      </c>
      <c r="R4779">
        <v>14</v>
      </c>
      <c r="S4779">
        <v>16</v>
      </c>
    </row>
    <row r="4780" spans="1:19" x14ac:dyDescent="0.35">
      <c r="A4780">
        <v>4414</v>
      </c>
      <c r="B4780" t="s">
        <v>22441</v>
      </c>
      <c r="C4780" t="s">
        <v>42</v>
      </c>
      <c r="D4780" t="s">
        <v>22442</v>
      </c>
      <c r="E4780" t="e" cm="1">
        <f t="array" ref="E4780">- DEQUALINIUM CHLORIDE</f>
        <v>#NAME?</v>
      </c>
      <c r="F4780" t="s">
        <v>22443</v>
      </c>
      <c r="G4780" t="s">
        <v>22304</v>
      </c>
      <c r="H4780" t="s">
        <v>22305</v>
      </c>
      <c r="I4780" t="s">
        <v>22306</v>
      </c>
      <c r="J4780" t="s">
        <v>22307</v>
      </c>
      <c r="K4780" t="s">
        <v>22308</v>
      </c>
      <c r="L4780" t="s">
        <v>22309</v>
      </c>
      <c r="M4780" t="s">
        <v>46</v>
      </c>
      <c r="N4780" t="s">
        <v>10495</v>
      </c>
      <c r="O4780" t="s">
        <v>22310</v>
      </c>
      <c r="P4780" t="s">
        <v>22444</v>
      </c>
      <c r="Q4780" t="s">
        <v>22445</v>
      </c>
      <c r="R4780">
        <v>14</v>
      </c>
      <c r="S4780">
        <v>16</v>
      </c>
    </row>
    <row r="4781" spans="1:19" x14ac:dyDescent="0.35">
      <c r="A4781">
        <v>3716</v>
      </c>
      <c r="B4781" t="s">
        <v>22446</v>
      </c>
      <c r="C4781" t="s">
        <v>20</v>
      </c>
      <c r="D4781" t="s">
        <v>22447</v>
      </c>
      <c r="E4781" t="s">
        <v>22448</v>
      </c>
      <c r="F4781" t="s">
        <v>22449</v>
      </c>
      <c r="G4781" t="s">
        <v>22450</v>
      </c>
      <c r="H4781" t="s">
        <v>22451</v>
      </c>
      <c r="I4781" t="s">
        <v>22452</v>
      </c>
      <c r="J4781" t="s">
        <v>22453</v>
      </c>
      <c r="L4781" t="s">
        <v>22454</v>
      </c>
      <c r="M4781" t="s">
        <v>46</v>
      </c>
      <c r="N4781" t="s">
        <v>22455</v>
      </c>
      <c r="O4781" t="s">
        <v>22456</v>
      </c>
      <c r="P4781" t="s">
        <v>22455</v>
      </c>
      <c r="Q4781" t="s">
        <v>22457</v>
      </c>
      <c r="R4781">
        <v>14</v>
      </c>
      <c r="S4781">
        <v>16</v>
      </c>
    </row>
    <row r="4782" spans="1:19" x14ac:dyDescent="0.35">
      <c r="A4782">
        <v>4415</v>
      </c>
      <c r="B4782" t="s">
        <v>22441</v>
      </c>
      <c r="C4782" t="s">
        <v>42</v>
      </c>
      <c r="D4782" t="s">
        <v>22442</v>
      </c>
      <c r="E4782" t="e" cm="1">
        <f t="array" ref="E4782">- DEQUALINIUM CHLORIDE</f>
        <v>#NAME?</v>
      </c>
      <c r="F4782" t="s">
        <v>22443</v>
      </c>
      <c r="G4782" t="s">
        <v>22304</v>
      </c>
      <c r="H4782" t="s">
        <v>22305</v>
      </c>
      <c r="I4782" t="s">
        <v>22306</v>
      </c>
      <c r="J4782" t="s">
        <v>22307</v>
      </c>
      <c r="K4782" t="s">
        <v>22308</v>
      </c>
      <c r="L4782" t="s">
        <v>22309</v>
      </c>
      <c r="M4782" t="s">
        <v>46</v>
      </c>
      <c r="N4782" t="s">
        <v>10495</v>
      </c>
      <c r="O4782" t="s">
        <v>22310</v>
      </c>
      <c r="P4782" t="s">
        <v>22444</v>
      </c>
      <c r="Q4782" t="s">
        <v>22445</v>
      </c>
      <c r="R4782">
        <v>14</v>
      </c>
      <c r="S4782">
        <v>16</v>
      </c>
    </row>
    <row r="4783" spans="1:19" x14ac:dyDescent="0.35">
      <c r="A4783">
        <v>9940</v>
      </c>
      <c r="B4783" t="s">
        <v>22458</v>
      </c>
      <c r="C4783" t="s">
        <v>42</v>
      </c>
      <c r="D4783" t="s">
        <v>22459</v>
      </c>
      <c r="E4783" t="e" cm="1">
        <f t="array" ref="E4783">- CILOSTAZOL</f>
        <v>#NAME?</v>
      </c>
      <c r="F4783" t="s">
        <v>22460</v>
      </c>
      <c r="G4783" t="s">
        <v>22461</v>
      </c>
      <c r="H4783" t="s">
        <v>20900</v>
      </c>
      <c r="I4783" t="s">
        <v>22270</v>
      </c>
      <c r="J4783" t="s">
        <v>532</v>
      </c>
      <c r="K4783" t="s">
        <v>22271</v>
      </c>
      <c r="L4783" t="s">
        <v>22272</v>
      </c>
      <c r="M4783" t="s">
        <v>46</v>
      </c>
      <c r="N4783" t="s">
        <v>20904</v>
      </c>
      <c r="O4783" t="s">
        <v>22273</v>
      </c>
      <c r="P4783" t="s">
        <v>22274</v>
      </c>
      <c r="Q4783" t="s">
        <v>22275</v>
      </c>
      <c r="R4783">
        <v>14</v>
      </c>
      <c r="S4783">
        <v>16</v>
      </c>
    </row>
    <row r="4784" spans="1:19" x14ac:dyDescent="0.35">
      <c r="A4784">
        <v>3736</v>
      </c>
      <c r="B4784" t="s">
        <v>22462</v>
      </c>
      <c r="C4784" t="s">
        <v>42</v>
      </c>
      <c r="D4784" t="s">
        <v>22463</v>
      </c>
      <c r="E4784" t="e" cm="1">
        <f t="array" ref="E4784">- DEXTROSE MONOHYDRATE</f>
        <v>#NAME?</v>
      </c>
      <c r="F4784" t="s">
        <v>22464</v>
      </c>
      <c r="G4784" t="s">
        <v>6310</v>
      </c>
      <c r="H4784" t="s">
        <v>20227</v>
      </c>
      <c r="I4784" t="s">
        <v>20228</v>
      </c>
      <c r="J4784" t="s">
        <v>20229</v>
      </c>
      <c r="K4784" t="s">
        <v>20230</v>
      </c>
      <c r="L4784" t="s">
        <v>20231</v>
      </c>
      <c r="M4784" t="s">
        <v>554</v>
      </c>
      <c r="N4784" t="s">
        <v>20232</v>
      </c>
      <c r="O4784" t="s">
        <v>20233</v>
      </c>
      <c r="P4784" t="s">
        <v>22465</v>
      </c>
      <c r="Q4784" t="s">
        <v>22466</v>
      </c>
      <c r="R4784">
        <v>14</v>
      </c>
      <c r="S4784">
        <v>16</v>
      </c>
    </row>
    <row r="4785" spans="1:19" x14ac:dyDescent="0.35">
      <c r="A4785">
        <v>5210</v>
      </c>
      <c r="B4785" t="s">
        <v>22254</v>
      </c>
      <c r="C4785" t="s">
        <v>42</v>
      </c>
      <c r="D4785" t="s">
        <v>22255</v>
      </c>
      <c r="E4785" t="e" cm="1">
        <f t="array" ref="E4785">- CLOTRIMAZOLE</f>
        <v>#NAME?</v>
      </c>
      <c r="F4785" t="s">
        <v>22256</v>
      </c>
      <c r="G4785" t="s">
        <v>22257</v>
      </c>
      <c r="H4785" t="s">
        <v>22258</v>
      </c>
      <c r="I4785" t="s">
        <v>22259</v>
      </c>
      <c r="J4785" t="s">
        <v>2040</v>
      </c>
      <c r="K4785" t="s">
        <v>22260</v>
      </c>
      <c r="L4785" t="s">
        <v>22261</v>
      </c>
      <c r="M4785" t="s">
        <v>1289</v>
      </c>
      <c r="N4785" t="s">
        <v>1422</v>
      </c>
      <c r="O4785" t="s">
        <v>22262</v>
      </c>
      <c r="P4785" t="s">
        <v>22263</v>
      </c>
      <c r="Q4785" t="s">
        <v>22264</v>
      </c>
      <c r="R4785">
        <v>14</v>
      </c>
      <c r="S4785">
        <v>16</v>
      </c>
    </row>
    <row r="4786" spans="1:19" x14ac:dyDescent="0.35">
      <c r="A4786">
        <v>43</v>
      </c>
      <c r="B4786" t="s">
        <v>2902</v>
      </c>
      <c r="C4786" t="s">
        <v>42</v>
      </c>
      <c r="D4786" t="s">
        <v>22467</v>
      </c>
      <c r="E4786" t="e" cm="1">
        <f t="array" ref="E4786">- SILDENAFIL CITRATE</f>
        <v>#NAME?</v>
      </c>
      <c r="F4786" t="s">
        <v>22468</v>
      </c>
      <c r="G4786" t="s">
        <v>22469</v>
      </c>
      <c r="H4786" t="s">
        <v>3854</v>
      </c>
      <c r="I4786" t="s">
        <v>22470</v>
      </c>
      <c r="J4786" t="s">
        <v>8289</v>
      </c>
      <c r="L4786" t="s">
        <v>8188</v>
      </c>
      <c r="M4786" t="s">
        <v>46</v>
      </c>
      <c r="N4786" t="s">
        <v>2519</v>
      </c>
      <c r="O4786" t="s">
        <v>22471</v>
      </c>
      <c r="P4786" t="s">
        <v>22472</v>
      </c>
      <c r="Q4786" t="s">
        <v>22473</v>
      </c>
      <c r="R4786">
        <v>14</v>
      </c>
      <c r="S4786">
        <v>16</v>
      </c>
    </row>
    <row r="4787" spans="1:19" x14ac:dyDescent="0.35">
      <c r="A4787">
        <v>9771</v>
      </c>
      <c r="B4787" t="s">
        <v>22474</v>
      </c>
      <c r="C4787" t="s">
        <v>42</v>
      </c>
      <c r="D4787" t="s">
        <v>22475</v>
      </c>
      <c r="E4787" t="e" cm="1">
        <f t="array" ref="E4787">- ROSUVASTATIN</f>
        <v>#NAME?</v>
      </c>
      <c r="F4787" t="s">
        <v>22476</v>
      </c>
      <c r="G4787" t="s">
        <v>3098</v>
      </c>
      <c r="H4787" t="s">
        <v>22477</v>
      </c>
      <c r="I4787" t="s">
        <v>22478</v>
      </c>
      <c r="J4787" t="s">
        <v>13361</v>
      </c>
      <c r="K4787" t="s">
        <v>22479</v>
      </c>
      <c r="L4787" t="s">
        <v>22480</v>
      </c>
      <c r="M4787" t="s">
        <v>46</v>
      </c>
      <c r="N4787" t="s">
        <v>22481</v>
      </c>
      <c r="O4787" t="s">
        <v>22482</v>
      </c>
      <c r="P4787" t="s">
        <v>22483</v>
      </c>
      <c r="Q4787" t="s">
        <v>22484</v>
      </c>
      <c r="R4787">
        <v>14</v>
      </c>
      <c r="S4787">
        <v>16</v>
      </c>
    </row>
    <row r="4788" spans="1:19" x14ac:dyDescent="0.35">
      <c r="A4788">
        <v>5211</v>
      </c>
      <c r="B4788" t="s">
        <v>22254</v>
      </c>
      <c r="C4788" t="s">
        <v>42</v>
      </c>
      <c r="D4788" t="s">
        <v>22255</v>
      </c>
      <c r="E4788" t="e" cm="1">
        <f t="array" ref="E4788">- CLOTRIMAZOLE</f>
        <v>#NAME?</v>
      </c>
      <c r="F4788" t="s">
        <v>22256</v>
      </c>
      <c r="G4788" t="s">
        <v>22257</v>
      </c>
      <c r="H4788" t="s">
        <v>22258</v>
      </c>
      <c r="I4788" t="s">
        <v>22259</v>
      </c>
      <c r="J4788" t="s">
        <v>2040</v>
      </c>
      <c r="K4788" t="s">
        <v>22260</v>
      </c>
      <c r="L4788" t="s">
        <v>22261</v>
      </c>
      <c r="M4788" t="s">
        <v>1289</v>
      </c>
      <c r="N4788" t="s">
        <v>1422</v>
      </c>
      <c r="O4788" t="s">
        <v>22262</v>
      </c>
      <c r="P4788" t="s">
        <v>22263</v>
      </c>
      <c r="Q4788" t="s">
        <v>22264</v>
      </c>
      <c r="R4788">
        <v>14</v>
      </c>
      <c r="S4788">
        <v>16</v>
      </c>
    </row>
    <row r="4789" spans="1:19" x14ac:dyDescent="0.35">
      <c r="A4789">
        <v>1860</v>
      </c>
      <c r="B4789" t="s">
        <v>22485</v>
      </c>
      <c r="C4789" t="s">
        <v>42</v>
      </c>
      <c r="D4789" t="s">
        <v>22486</v>
      </c>
      <c r="E4789" t="e" cm="1">
        <f t="array" ref="E4789">- PSEUDOEPHEDRINE HYDROCHLORIDE</f>
        <v>#NAME?</v>
      </c>
      <c r="F4789" t="s">
        <v>22487</v>
      </c>
      <c r="G4789" t="s">
        <v>5233</v>
      </c>
      <c r="H4789" t="s">
        <v>22488</v>
      </c>
      <c r="I4789" t="s">
        <v>22489</v>
      </c>
      <c r="J4789" t="s">
        <v>743</v>
      </c>
      <c r="K4789" t="s">
        <v>3952</v>
      </c>
      <c r="L4789" t="s">
        <v>22490</v>
      </c>
      <c r="M4789" t="s">
        <v>824</v>
      </c>
      <c r="N4789" t="s">
        <v>8326</v>
      </c>
      <c r="O4789" t="s">
        <v>22491</v>
      </c>
      <c r="P4789" t="s">
        <v>22492</v>
      </c>
      <c r="Q4789" t="s">
        <v>22493</v>
      </c>
      <c r="R4789">
        <v>14</v>
      </c>
      <c r="S4789">
        <v>16</v>
      </c>
    </row>
    <row r="4790" spans="1:19" x14ac:dyDescent="0.35">
      <c r="A4790">
        <v>9939</v>
      </c>
      <c r="B4790" t="s">
        <v>22458</v>
      </c>
      <c r="C4790" t="s">
        <v>42</v>
      </c>
      <c r="D4790" t="s">
        <v>22459</v>
      </c>
      <c r="E4790" t="e" cm="1">
        <f t="array" ref="E4790">- CILOSTAZOL</f>
        <v>#NAME?</v>
      </c>
      <c r="F4790" t="s">
        <v>22460</v>
      </c>
      <c r="G4790" t="s">
        <v>22461</v>
      </c>
      <c r="H4790" t="s">
        <v>20900</v>
      </c>
      <c r="I4790" t="s">
        <v>22270</v>
      </c>
      <c r="J4790" t="s">
        <v>532</v>
      </c>
      <c r="K4790" t="s">
        <v>22271</v>
      </c>
      <c r="L4790" t="s">
        <v>22272</v>
      </c>
      <c r="M4790" t="s">
        <v>46</v>
      </c>
      <c r="N4790" t="s">
        <v>20904</v>
      </c>
      <c r="O4790" t="s">
        <v>22273</v>
      </c>
      <c r="P4790" t="s">
        <v>22274</v>
      </c>
      <c r="Q4790" t="s">
        <v>22275</v>
      </c>
      <c r="R4790">
        <v>14</v>
      </c>
      <c r="S4790">
        <v>16</v>
      </c>
    </row>
    <row r="4791" spans="1:19" x14ac:dyDescent="0.35">
      <c r="A4791">
        <v>9938</v>
      </c>
      <c r="B4791" t="s">
        <v>22265</v>
      </c>
      <c r="C4791" t="s">
        <v>42</v>
      </c>
      <c r="D4791" t="s">
        <v>22266</v>
      </c>
      <c r="E4791" t="e" cm="1">
        <f t="array" ref="E4791">- CILOSTAZOL</f>
        <v>#NAME?</v>
      </c>
      <c r="F4791" t="s">
        <v>22267</v>
      </c>
      <c r="G4791" t="s">
        <v>22268</v>
      </c>
      <c r="H4791" t="s">
        <v>22269</v>
      </c>
      <c r="I4791" t="s">
        <v>22270</v>
      </c>
      <c r="J4791" t="s">
        <v>532</v>
      </c>
      <c r="K4791" t="s">
        <v>22271</v>
      </c>
      <c r="L4791" t="s">
        <v>22272</v>
      </c>
      <c r="M4791" t="s">
        <v>46</v>
      </c>
      <c r="N4791" t="s">
        <v>20904</v>
      </c>
      <c r="O4791" t="s">
        <v>22273</v>
      </c>
      <c r="P4791" t="s">
        <v>22274</v>
      </c>
      <c r="Q4791" t="s">
        <v>22275</v>
      </c>
      <c r="R4791">
        <v>14</v>
      </c>
      <c r="S4791">
        <v>16</v>
      </c>
    </row>
    <row r="4792" spans="1:19" x14ac:dyDescent="0.35">
      <c r="A4792">
        <v>5316</v>
      </c>
      <c r="B4792" t="s">
        <v>22494</v>
      </c>
      <c r="C4792" t="s">
        <v>42</v>
      </c>
      <c r="D4792" t="s">
        <v>22495</v>
      </c>
      <c r="E4792" t="e" cm="1">
        <f t="array" ref="E4792">- ACICLOVIR</f>
        <v>#NAME?</v>
      </c>
      <c r="F4792" s="1">
        <v>41600</v>
      </c>
      <c r="G4792" t="s">
        <v>17383</v>
      </c>
      <c r="H4792" t="s">
        <v>22496</v>
      </c>
      <c r="I4792" t="s">
        <v>22497</v>
      </c>
      <c r="J4792" t="s">
        <v>7213</v>
      </c>
      <c r="K4792" t="s">
        <v>2726</v>
      </c>
      <c r="L4792" t="s">
        <v>22498</v>
      </c>
      <c r="M4792" t="s">
        <v>1289</v>
      </c>
      <c r="N4792" t="s">
        <v>1685</v>
      </c>
      <c r="O4792" t="s">
        <v>22499</v>
      </c>
      <c r="P4792" t="s">
        <v>22500</v>
      </c>
      <c r="Q4792" t="s">
        <v>22501</v>
      </c>
      <c r="R4792">
        <v>14</v>
      </c>
      <c r="S4792">
        <v>16</v>
      </c>
    </row>
    <row r="4793" spans="1:19" x14ac:dyDescent="0.35">
      <c r="A4793">
        <v>10018</v>
      </c>
      <c r="B4793" t="s">
        <v>20937</v>
      </c>
      <c r="C4793" t="s">
        <v>42</v>
      </c>
      <c r="D4793" t="s">
        <v>20938</v>
      </c>
      <c r="E4793" t="e" cm="1">
        <f t="array" ref="E4793">- ACETYLSALICYLIC ACID. GLYCINE</f>
        <v>#NAME?</v>
      </c>
      <c r="F4793" t="s">
        <v>20939</v>
      </c>
      <c r="G4793" t="s">
        <v>20940</v>
      </c>
      <c r="H4793" t="s">
        <v>20941</v>
      </c>
      <c r="I4793" t="s">
        <v>20942</v>
      </c>
      <c r="J4793" t="s">
        <v>20943</v>
      </c>
      <c r="K4793" t="s">
        <v>20944</v>
      </c>
      <c r="L4793" t="s">
        <v>20945</v>
      </c>
      <c r="M4793" t="s">
        <v>46</v>
      </c>
      <c r="N4793" t="s">
        <v>22502</v>
      </c>
      <c r="O4793" t="s">
        <v>20946</v>
      </c>
      <c r="P4793" t="s">
        <v>20947</v>
      </c>
      <c r="Q4793" t="s">
        <v>22503</v>
      </c>
      <c r="R4793">
        <v>14</v>
      </c>
      <c r="S4793">
        <v>16</v>
      </c>
    </row>
    <row r="4794" spans="1:19" x14ac:dyDescent="0.35">
      <c r="A4794">
        <v>1752</v>
      </c>
      <c r="B4794" t="s">
        <v>22318</v>
      </c>
      <c r="C4794" t="s">
        <v>850</v>
      </c>
      <c r="D4794" t="s">
        <v>22504</v>
      </c>
      <c r="E4794" t="e" cm="1">
        <f t="array" ref="E4794">- Camphor</f>
        <v>#NAME?</v>
      </c>
      <c r="F4794" t="s">
        <v>22505</v>
      </c>
      <c r="G4794" t="s">
        <v>22320</v>
      </c>
      <c r="H4794" t="s">
        <v>16824</v>
      </c>
      <c r="I4794" t="s">
        <v>22506</v>
      </c>
      <c r="J4794" t="s">
        <v>22507</v>
      </c>
      <c r="L4794" t="s">
        <v>22508</v>
      </c>
      <c r="M4794" t="s">
        <v>2115</v>
      </c>
      <c r="N4794" t="s">
        <v>853</v>
      </c>
      <c r="O4794" t="s">
        <v>22324</v>
      </c>
      <c r="P4794" t="s">
        <v>22325</v>
      </c>
      <c r="Q4794" t="s">
        <v>22326</v>
      </c>
      <c r="R4794">
        <v>14</v>
      </c>
      <c r="S4794">
        <v>16</v>
      </c>
    </row>
    <row r="4795" spans="1:19" x14ac:dyDescent="0.35">
      <c r="A4795">
        <v>1453</v>
      </c>
      <c r="B4795" t="s">
        <v>22509</v>
      </c>
      <c r="C4795" t="s">
        <v>42</v>
      </c>
      <c r="D4795" t="s">
        <v>22510</v>
      </c>
      <c r="E4795" t="e" cm="1">
        <f t="array" ref="E4795">- PSEUDOEPHEDRINE HYDROCHLORIDE</f>
        <v>#NAME?</v>
      </c>
      <c r="F4795" t="s">
        <v>22511</v>
      </c>
      <c r="G4795" t="s">
        <v>9114</v>
      </c>
      <c r="H4795" t="s">
        <v>22512</v>
      </c>
    </row>
    <row r="4796" spans="1:19" x14ac:dyDescent="0.35">
      <c r="A4796">
        <v>6648</v>
      </c>
      <c r="B4796" t="s">
        <v>22417</v>
      </c>
      <c r="C4796" t="s">
        <v>42</v>
      </c>
      <c r="D4796" t="s">
        <v>22418</v>
      </c>
      <c r="E4796" t="e" cm="1">
        <f t="array" ref="E4796">- VALACICLOVIR HYDROCHLORIDE</f>
        <v>#NAME?</v>
      </c>
      <c r="F4796" t="s">
        <v>22419</v>
      </c>
      <c r="G4796" t="s">
        <v>2241</v>
      </c>
      <c r="H4796" t="s">
        <v>22420</v>
      </c>
      <c r="I4796" t="s">
        <v>22421</v>
      </c>
      <c r="J4796" t="s">
        <v>22422</v>
      </c>
      <c r="K4796" t="s">
        <v>22423</v>
      </c>
      <c r="L4796" t="s">
        <v>22424</v>
      </c>
      <c r="M4796" t="s">
        <v>46</v>
      </c>
      <c r="N4796" t="s">
        <v>1704</v>
      </c>
      <c r="O4796" t="s">
        <v>22425</v>
      </c>
      <c r="P4796" t="s">
        <v>22426</v>
      </c>
      <c r="Q4796" t="s">
        <v>22427</v>
      </c>
      <c r="R4796">
        <v>14</v>
      </c>
      <c r="S4796">
        <v>16</v>
      </c>
    </row>
    <row r="4797" spans="1:19" x14ac:dyDescent="0.35">
      <c r="A4797">
        <v>6647</v>
      </c>
      <c r="B4797" t="s">
        <v>22417</v>
      </c>
      <c r="C4797" t="s">
        <v>42</v>
      </c>
      <c r="D4797" t="s">
        <v>22418</v>
      </c>
      <c r="E4797" t="e" cm="1">
        <f t="array" ref="E4797">- VALACICLOVIR HYDROCHLORIDE</f>
        <v>#NAME?</v>
      </c>
      <c r="F4797" t="s">
        <v>22419</v>
      </c>
      <c r="G4797" t="s">
        <v>2241</v>
      </c>
      <c r="H4797" t="s">
        <v>22420</v>
      </c>
      <c r="I4797" t="s">
        <v>22421</v>
      </c>
      <c r="J4797" t="s">
        <v>22422</v>
      </c>
      <c r="K4797" t="s">
        <v>22423</v>
      </c>
      <c r="L4797" t="s">
        <v>22424</v>
      </c>
      <c r="M4797" t="s">
        <v>46</v>
      </c>
      <c r="N4797" t="s">
        <v>1704</v>
      </c>
      <c r="O4797" t="s">
        <v>22425</v>
      </c>
      <c r="P4797" t="s">
        <v>22426</v>
      </c>
      <c r="Q4797" t="s">
        <v>22427</v>
      </c>
      <c r="R4797">
        <v>14</v>
      </c>
      <c r="S4797">
        <v>16</v>
      </c>
    </row>
    <row r="4798" spans="1:19" x14ac:dyDescent="0.35">
      <c r="A4798">
        <v>6464</v>
      </c>
      <c r="B4798" t="s">
        <v>22513</v>
      </c>
      <c r="C4798" t="s">
        <v>42</v>
      </c>
      <c r="D4798" t="s">
        <v>22514</v>
      </c>
      <c r="E4798" t="e" cm="1">
        <f t="array" ref="E4798">- METRONIDAZOLE</f>
        <v>#NAME?</v>
      </c>
      <c r="F4798" t="s">
        <v>22515</v>
      </c>
      <c r="H4798" t="s">
        <v>269</v>
      </c>
      <c r="I4798" t="s">
        <v>22516</v>
      </c>
      <c r="J4798" t="s">
        <v>22517</v>
      </c>
      <c r="L4798" t="s">
        <v>270</v>
      </c>
      <c r="M4798" t="s">
        <v>720</v>
      </c>
      <c r="N4798" t="s">
        <v>1049</v>
      </c>
      <c r="O4798" t="s">
        <v>22518</v>
      </c>
      <c r="P4798" t="s">
        <v>22519</v>
      </c>
      <c r="Q4798" t="s">
        <v>22520</v>
      </c>
      <c r="R4798">
        <v>14</v>
      </c>
      <c r="S4798">
        <v>16</v>
      </c>
    </row>
    <row r="4799" spans="1:19" x14ac:dyDescent="0.35">
      <c r="A4799">
        <v>1095</v>
      </c>
      <c r="B4799" t="s">
        <v>22521</v>
      </c>
      <c r="C4799" t="s">
        <v>42</v>
      </c>
      <c r="D4799" t="s">
        <v>22522</v>
      </c>
      <c r="E4799" t="e" cm="1">
        <f t="array" ref="E4799">- AMMONIUM CHLORIDE</f>
        <v>#NAME?</v>
      </c>
      <c r="F4799" t="s">
        <v>22523</v>
      </c>
      <c r="G4799" t="s">
        <v>1691</v>
      </c>
      <c r="H4799" t="s">
        <v>22524</v>
      </c>
      <c r="I4799" t="s">
        <v>22525</v>
      </c>
      <c r="J4799" t="s">
        <v>22526</v>
      </c>
      <c r="K4799" t="s">
        <v>22527</v>
      </c>
      <c r="L4799" t="s">
        <v>22528</v>
      </c>
      <c r="M4799" t="s">
        <v>271</v>
      </c>
      <c r="N4799" t="s">
        <v>1672</v>
      </c>
      <c r="O4799" t="s">
        <v>22529</v>
      </c>
      <c r="P4799" t="s">
        <v>22530</v>
      </c>
      <c r="Q4799" t="s">
        <v>22531</v>
      </c>
      <c r="R4799">
        <v>14</v>
      </c>
      <c r="S4799">
        <v>16</v>
      </c>
    </row>
    <row r="4800" spans="1:19" x14ac:dyDescent="0.35">
      <c r="A4800">
        <v>1096</v>
      </c>
      <c r="B4800" t="s">
        <v>22521</v>
      </c>
      <c r="C4800" t="s">
        <v>42</v>
      </c>
      <c r="D4800" t="s">
        <v>22522</v>
      </c>
      <c r="E4800" t="e" cm="1">
        <f t="array" ref="E4800">- AMMONIUM CHLORIDE</f>
        <v>#NAME?</v>
      </c>
      <c r="F4800" t="s">
        <v>22523</v>
      </c>
      <c r="G4800" t="s">
        <v>1691</v>
      </c>
      <c r="H4800" t="s">
        <v>22524</v>
      </c>
      <c r="I4800" t="s">
        <v>22525</v>
      </c>
      <c r="J4800" t="s">
        <v>22526</v>
      </c>
      <c r="K4800" t="s">
        <v>22527</v>
      </c>
      <c r="L4800" t="s">
        <v>22528</v>
      </c>
      <c r="M4800" t="s">
        <v>271</v>
      </c>
      <c r="N4800" t="s">
        <v>1672</v>
      </c>
      <c r="O4800" t="s">
        <v>22529</v>
      </c>
      <c r="P4800" t="s">
        <v>22530</v>
      </c>
      <c r="Q4800" t="s">
        <v>22531</v>
      </c>
      <c r="R4800">
        <v>14</v>
      </c>
      <c r="S4800">
        <v>16</v>
      </c>
    </row>
    <row r="4801" spans="1:19" x14ac:dyDescent="0.35">
      <c r="A4801">
        <v>4605</v>
      </c>
      <c r="B4801" t="s">
        <v>3508</v>
      </c>
      <c r="C4801" t="s">
        <v>42</v>
      </c>
      <c r="D4801" t="s">
        <v>22428</v>
      </c>
      <c r="E4801" t="e" cm="1">
        <f t="array" ref="E4801">- TETRAHYDROZOLINE HYDROCHLORIDE</f>
        <v>#NAME?</v>
      </c>
      <c r="F4801" t="s">
        <v>22429</v>
      </c>
      <c r="G4801" t="s">
        <v>7569</v>
      </c>
      <c r="H4801" t="s">
        <v>22430</v>
      </c>
      <c r="I4801" t="s">
        <v>22431</v>
      </c>
      <c r="J4801" t="s">
        <v>1647</v>
      </c>
      <c r="K4801" t="s">
        <v>3473</v>
      </c>
      <c r="L4801" t="s">
        <v>22432</v>
      </c>
      <c r="M4801" t="s">
        <v>824</v>
      </c>
      <c r="N4801" t="s">
        <v>3512</v>
      </c>
      <c r="O4801" t="s">
        <v>22433</v>
      </c>
      <c r="P4801" t="s">
        <v>22434</v>
      </c>
      <c r="Q4801" t="s">
        <v>22435</v>
      </c>
      <c r="R4801">
        <v>14</v>
      </c>
      <c r="S4801">
        <v>16</v>
      </c>
    </row>
    <row r="4802" spans="1:19" x14ac:dyDescent="0.35">
      <c r="A4802">
        <v>4575</v>
      </c>
      <c r="B4802" t="s">
        <v>8767</v>
      </c>
      <c r="C4802" t="s">
        <v>42</v>
      </c>
      <c r="D4802" t="s">
        <v>16176</v>
      </c>
      <c r="E4802" t="e" cm="1">
        <f t="array" ref="E4802">- NEOMYCIN SULFATE. FLUOROMETHOLONE</f>
        <v>#NAME?</v>
      </c>
      <c r="F4802" t="s">
        <v>16177</v>
      </c>
      <c r="G4802" t="s">
        <v>10245</v>
      </c>
      <c r="H4802" t="s">
        <v>7570</v>
      </c>
      <c r="I4802" t="s">
        <v>16178</v>
      </c>
      <c r="J4802" t="s">
        <v>16179</v>
      </c>
      <c r="K4802" t="s">
        <v>16180</v>
      </c>
    </row>
    <row r="4803" spans="1:19" x14ac:dyDescent="0.35">
      <c r="A4803">
        <v>3712</v>
      </c>
      <c r="B4803" t="s">
        <v>20214</v>
      </c>
      <c r="C4803" t="s">
        <v>42</v>
      </c>
      <c r="D4803" t="s">
        <v>20215</v>
      </c>
      <c r="E4803" t="e" cm="1">
        <f t="array" ref="E4803">- ZINC SULFATE MONOHYDRATE</f>
        <v>#NAME?</v>
      </c>
      <c r="F4803" t="s">
        <v>20223</v>
      </c>
      <c r="G4803" t="s">
        <v>20102</v>
      </c>
      <c r="H4803" t="s">
        <v>20217</v>
      </c>
      <c r="I4803" t="s">
        <v>20218</v>
      </c>
      <c r="J4803" t="s">
        <v>334</v>
      </c>
      <c r="K4803" t="s">
        <v>3952</v>
      </c>
      <c r="L4803" t="s">
        <v>20219</v>
      </c>
      <c r="M4803" t="s">
        <v>271</v>
      </c>
      <c r="N4803" t="s">
        <v>2750</v>
      </c>
      <c r="O4803" t="s">
        <v>20220</v>
      </c>
      <c r="P4803" t="s">
        <v>20221</v>
      </c>
      <c r="Q4803" t="s">
        <v>22532</v>
      </c>
      <c r="R4803">
        <v>14</v>
      </c>
      <c r="S4803">
        <v>16</v>
      </c>
    </row>
    <row r="4804" spans="1:19" x14ac:dyDescent="0.35">
      <c r="A4804">
        <v>1289</v>
      </c>
      <c r="B4804" t="s">
        <v>22396</v>
      </c>
      <c r="C4804" t="s">
        <v>42</v>
      </c>
      <c r="D4804" t="s">
        <v>22397</v>
      </c>
      <c r="E4804" t="e" cm="1">
        <f t="array" ref="E4804">- DIPHENHYDRAMINE HYDROCHLORIDE. DEXTROMETHORPHAN HYDROBROMIDE. PHENYLEPHRINE HYDROCHLORIDE. AMMONIUM CHLORIDE. SODIUM CITRATE DIHYDRATE</f>
        <v>#NAME?</v>
      </c>
      <c r="F4804" t="s">
        <v>22398</v>
      </c>
      <c r="J4804" t="s">
        <v>1222</v>
      </c>
      <c r="M4804" t="s">
        <v>271</v>
      </c>
      <c r="N4804" t="s">
        <v>22399</v>
      </c>
      <c r="P4804" t="s">
        <v>22400</v>
      </c>
      <c r="Q4804" t="s">
        <v>22401</v>
      </c>
      <c r="R4804">
        <v>14</v>
      </c>
      <c r="S4804">
        <v>16</v>
      </c>
    </row>
    <row r="4805" spans="1:19" x14ac:dyDescent="0.35">
      <c r="A4805">
        <v>1213</v>
      </c>
      <c r="B4805" t="s">
        <v>22356</v>
      </c>
      <c r="C4805" t="s">
        <v>42</v>
      </c>
      <c r="D4805" t="s">
        <v>22366</v>
      </c>
      <c r="E4805" t="e" cm="1">
        <f t="array" ref="E4805">- DEXTROMETHORPHAN HYDROBROMIDE</f>
        <v>#NAME?</v>
      </c>
      <c r="F4805" t="s">
        <v>22367</v>
      </c>
      <c r="G4805" t="s">
        <v>60</v>
      </c>
      <c r="H4805" t="s">
        <v>22359</v>
      </c>
      <c r="I4805" t="s">
        <v>22360</v>
      </c>
      <c r="J4805" t="s">
        <v>22368</v>
      </c>
      <c r="K4805" t="s">
        <v>22361</v>
      </c>
      <c r="L4805" t="s">
        <v>22362</v>
      </c>
      <c r="M4805" t="s">
        <v>271</v>
      </c>
      <c r="N4805" t="s">
        <v>1376</v>
      </c>
      <c r="O4805" t="s">
        <v>22363</v>
      </c>
      <c r="P4805" t="s">
        <v>22364</v>
      </c>
      <c r="Q4805" t="s">
        <v>22365</v>
      </c>
      <c r="R4805">
        <v>14</v>
      </c>
      <c r="S4805">
        <v>16</v>
      </c>
    </row>
    <row r="4806" spans="1:19" x14ac:dyDescent="0.35">
      <c r="A4806">
        <v>6575</v>
      </c>
      <c r="B4806" t="s">
        <v>17495</v>
      </c>
      <c r="C4806" t="s">
        <v>42</v>
      </c>
      <c r="D4806" t="s">
        <v>17496</v>
      </c>
      <c r="E4806" t="s">
        <v>22533</v>
      </c>
      <c r="F4806" t="s">
        <v>17497</v>
      </c>
      <c r="H4806" t="s">
        <v>17498</v>
      </c>
    </row>
    <row r="4807" spans="1:19" x14ac:dyDescent="0.35">
      <c r="A4807">
        <v>6574</v>
      </c>
      <c r="B4807" t="s">
        <v>17495</v>
      </c>
      <c r="C4807" t="s">
        <v>42</v>
      </c>
      <c r="D4807" t="s">
        <v>17496</v>
      </c>
      <c r="E4807" t="s">
        <v>22534</v>
      </c>
      <c r="F4807" t="s">
        <v>17497</v>
      </c>
      <c r="H4807" t="s">
        <v>17498</v>
      </c>
    </row>
    <row r="4808" spans="1:19" x14ac:dyDescent="0.35">
      <c r="A4808">
        <v>3843</v>
      </c>
      <c r="B4808" t="s">
        <v>22535</v>
      </c>
      <c r="C4808" t="s">
        <v>42</v>
      </c>
      <c r="D4808" t="s">
        <v>22536</v>
      </c>
      <c r="E4808" t="e" cm="1">
        <f t="array" ref="E4808">- KAOLIN</f>
        <v>#NAME?</v>
      </c>
      <c r="F4808" t="s">
        <v>22537</v>
      </c>
      <c r="G4808" t="s">
        <v>6310</v>
      </c>
      <c r="H4808" t="s">
        <v>22538</v>
      </c>
      <c r="I4808" t="s">
        <v>22539</v>
      </c>
      <c r="J4808" t="s">
        <v>22540</v>
      </c>
      <c r="K4808" t="s">
        <v>22541</v>
      </c>
      <c r="L4808" t="s">
        <v>22542</v>
      </c>
      <c r="M4808" t="s">
        <v>340</v>
      </c>
      <c r="N4808" t="s">
        <v>1194</v>
      </c>
      <c r="O4808" t="s">
        <v>22543</v>
      </c>
      <c r="P4808" t="s">
        <v>22544</v>
      </c>
      <c r="Q4808" t="s">
        <v>22545</v>
      </c>
      <c r="R4808">
        <v>14</v>
      </c>
      <c r="S4808">
        <v>16</v>
      </c>
    </row>
    <row r="4809" spans="1:19" x14ac:dyDescent="0.35">
      <c r="A4809">
        <v>7278</v>
      </c>
      <c r="B4809" t="s">
        <v>22546</v>
      </c>
      <c r="C4809" t="s">
        <v>850</v>
      </c>
      <c r="D4809" t="s">
        <v>22547</v>
      </c>
      <c r="E4809" t="e" cm="1">
        <f t="array" ref="E4809">- Camphora</f>
        <v>#NAME?</v>
      </c>
      <c r="F4809" t="s">
        <v>22548</v>
      </c>
      <c r="G4809" t="s">
        <v>22549</v>
      </c>
      <c r="I4809" t="s">
        <v>22550</v>
      </c>
      <c r="J4809" t="s">
        <v>22551</v>
      </c>
      <c r="L4809" t="s">
        <v>22552</v>
      </c>
      <c r="M4809" t="s">
        <v>63</v>
      </c>
      <c r="N4809" t="s">
        <v>3633</v>
      </c>
      <c r="O4809" t="s">
        <v>22553</v>
      </c>
      <c r="P4809" t="s">
        <v>22554</v>
      </c>
      <c r="Q4809" t="s">
        <v>22555</v>
      </c>
      <c r="R4809">
        <v>14</v>
      </c>
      <c r="S4809">
        <v>16</v>
      </c>
    </row>
    <row r="4810" spans="1:19" x14ac:dyDescent="0.35">
      <c r="A4810">
        <v>1107</v>
      </c>
      <c r="B4810" t="s">
        <v>22556</v>
      </c>
      <c r="C4810" t="s">
        <v>42</v>
      </c>
      <c r="D4810" t="s">
        <v>22557</v>
      </c>
      <c r="E4810" t="e" cm="1">
        <f t="array" ref="E4810">- PSEUDOEPHEDRINE HYDROCHLORIDE. CHLORPHENAMINE MALEATE</f>
        <v>#NAME?</v>
      </c>
      <c r="F4810" s="1">
        <v>54900</v>
      </c>
      <c r="G4810" t="s">
        <v>60</v>
      </c>
      <c r="H4810" t="s">
        <v>22558</v>
      </c>
      <c r="I4810" t="s">
        <v>22559</v>
      </c>
      <c r="J4810" t="s">
        <v>334</v>
      </c>
      <c r="K4810" t="s">
        <v>13068</v>
      </c>
      <c r="L4810" t="s">
        <v>22560</v>
      </c>
      <c r="M4810" t="s">
        <v>271</v>
      </c>
      <c r="N4810" t="s">
        <v>4926</v>
      </c>
      <c r="O4810" t="s">
        <v>22561</v>
      </c>
      <c r="P4810" t="s">
        <v>22562</v>
      </c>
      <c r="Q4810" t="s">
        <v>22563</v>
      </c>
      <c r="R4810">
        <v>14</v>
      </c>
      <c r="S4810">
        <v>16</v>
      </c>
    </row>
    <row r="4811" spans="1:19" x14ac:dyDescent="0.35">
      <c r="A4811">
        <v>3845</v>
      </c>
      <c r="B4811" t="s">
        <v>7137</v>
      </c>
      <c r="C4811" t="s">
        <v>42</v>
      </c>
      <c r="D4811" t="s">
        <v>22564</v>
      </c>
      <c r="E4811" t="e" cm="1">
        <f t="array" ref="E4811">- CETIRIZINE HYDROCHLORIDE</f>
        <v>#NAME?</v>
      </c>
      <c r="F4811" t="s">
        <v>22565</v>
      </c>
      <c r="G4811" t="s">
        <v>5552</v>
      </c>
      <c r="H4811" t="s">
        <v>1498</v>
      </c>
      <c r="I4811" t="s">
        <v>22566</v>
      </c>
      <c r="J4811" t="s">
        <v>4095</v>
      </c>
      <c r="K4811" t="s">
        <v>22567</v>
      </c>
      <c r="L4811" t="s">
        <v>22568</v>
      </c>
      <c r="M4811" t="s">
        <v>46</v>
      </c>
      <c r="N4811" t="s">
        <v>1390</v>
      </c>
      <c r="O4811" t="s">
        <v>22569</v>
      </c>
      <c r="P4811" t="s">
        <v>22570</v>
      </c>
      <c r="Q4811" t="s">
        <v>22571</v>
      </c>
      <c r="R4811">
        <v>14</v>
      </c>
      <c r="S4811">
        <v>16</v>
      </c>
    </row>
    <row r="4812" spans="1:19" x14ac:dyDescent="0.35">
      <c r="A4812">
        <v>2726</v>
      </c>
      <c r="B4812" t="s">
        <v>22572</v>
      </c>
      <c r="C4812" t="s">
        <v>42</v>
      </c>
      <c r="D4812" t="s">
        <v>22573</v>
      </c>
      <c r="E4812" t="e" cm="1">
        <f t="array" ref="E4812">- FLUNARIZINE HYDROCHLORIDE</f>
        <v>#NAME?</v>
      </c>
      <c r="F4812" t="s">
        <v>22574</v>
      </c>
      <c r="G4812" t="s">
        <v>2241</v>
      </c>
      <c r="H4812" t="s">
        <v>22575</v>
      </c>
      <c r="I4812" t="s">
        <v>22576</v>
      </c>
      <c r="J4812" t="s">
        <v>4095</v>
      </c>
      <c r="L4812" t="s">
        <v>22577</v>
      </c>
      <c r="M4812" t="s">
        <v>46</v>
      </c>
      <c r="N4812" t="s">
        <v>4516</v>
      </c>
      <c r="O4812" t="s">
        <v>22578</v>
      </c>
      <c r="P4812" t="s">
        <v>22579</v>
      </c>
      <c r="Q4812" t="s">
        <v>22580</v>
      </c>
      <c r="R4812">
        <v>14</v>
      </c>
      <c r="S4812">
        <v>16</v>
      </c>
    </row>
    <row r="4813" spans="1:19" x14ac:dyDescent="0.35">
      <c r="A4813">
        <v>3850</v>
      </c>
      <c r="B4813" t="s">
        <v>20140</v>
      </c>
      <c r="C4813" t="s">
        <v>42</v>
      </c>
      <c r="D4813" t="s">
        <v>20141</v>
      </c>
      <c r="E4813" t="e" cm="1">
        <f t="array" ref="E4813">- ZINC SULFATE MONOHYDRATE</f>
        <v>#NAME?</v>
      </c>
      <c r="F4813" t="s">
        <v>20142</v>
      </c>
      <c r="G4813" t="s">
        <v>2241</v>
      </c>
      <c r="H4813" t="s">
        <v>20143</v>
      </c>
      <c r="I4813" t="s">
        <v>20144</v>
      </c>
      <c r="J4813" t="s">
        <v>334</v>
      </c>
      <c r="L4813" t="s">
        <v>20145</v>
      </c>
      <c r="M4813" t="s">
        <v>271</v>
      </c>
      <c r="N4813" t="s">
        <v>2750</v>
      </c>
      <c r="O4813" t="s">
        <v>20146</v>
      </c>
      <c r="P4813" t="s">
        <v>20147</v>
      </c>
      <c r="Q4813" t="s">
        <v>22581</v>
      </c>
      <c r="R4813">
        <v>14</v>
      </c>
      <c r="S4813">
        <v>16</v>
      </c>
    </row>
    <row r="4814" spans="1:19" x14ac:dyDescent="0.35">
      <c r="A4814">
        <v>3900</v>
      </c>
      <c r="B4814" t="s">
        <v>22582</v>
      </c>
      <c r="C4814" t="s">
        <v>20</v>
      </c>
      <c r="D4814" t="s">
        <v>22583</v>
      </c>
      <c r="E4814" t="s">
        <v>22584</v>
      </c>
      <c r="F4814" t="s">
        <v>22585</v>
      </c>
      <c r="G4814" t="s">
        <v>22586</v>
      </c>
      <c r="H4814" t="s">
        <v>22587</v>
      </c>
      <c r="I4814" t="s">
        <v>22588</v>
      </c>
      <c r="J4814" t="s">
        <v>22589</v>
      </c>
      <c r="L4814" t="s">
        <v>4508</v>
      </c>
      <c r="M4814" t="s">
        <v>46</v>
      </c>
      <c r="N4814" t="s">
        <v>22590</v>
      </c>
      <c r="O4814" t="s">
        <v>22591</v>
      </c>
      <c r="P4814" t="s">
        <v>22590</v>
      </c>
      <c r="Q4814" t="s">
        <v>22592</v>
      </c>
      <c r="R4814">
        <v>14</v>
      </c>
      <c r="S4814">
        <v>16</v>
      </c>
    </row>
    <row r="4815" spans="1:19" x14ac:dyDescent="0.35">
      <c r="A4815">
        <v>3852</v>
      </c>
      <c r="B4815" t="s">
        <v>20140</v>
      </c>
      <c r="C4815" t="s">
        <v>42</v>
      </c>
      <c r="D4815" t="s">
        <v>20141</v>
      </c>
      <c r="E4815" t="e" cm="1">
        <f t="array" ref="E4815">- ZINC SULFATE MONOHYDRATE</f>
        <v>#NAME?</v>
      </c>
      <c r="F4815" t="s">
        <v>20142</v>
      </c>
      <c r="G4815" t="s">
        <v>2241</v>
      </c>
      <c r="H4815" t="s">
        <v>20143</v>
      </c>
      <c r="I4815" t="s">
        <v>20144</v>
      </c>
      <c r="J4815" t="s">
        <v>334</v>
      </c>
      <c r="L4815" t="s">
        <v>20145</v>
      </c>
      <c r="M4815" t="s">
        <v>271</v>
      </c>
      <c r="N4815" t="s">
        <v>2750</v>
      </c>
      <c r="O4815" t="s">
        <v>20146</v>
      </c>
      <c r="P4815" t="s">
        <v>20147</v>
      </c>
      <c r="Q4815" t="s">
        <v>22581</v>
      </c>
      <c r="R4815">
        <v>14</v>
      </c>
      <c r="S4815">
        <v>16</v>
      </c>
    </row>
    <row r="4816" spans="1:19" x14ac:dyDescent="0.35">
      <c r="A4816">
        <v>4450</v>
      </c>
      <c r="B4816" t="s">
        <v>14059</v>
      </c>
      <c r="C4816" t="s">
        <v>42</v>
      </c>
      <c r="D4816" t="s">
        <v>16094</v>
      </c>
      <c r="E4816" t="e" cm="1">
        <f t="array" ref="E4816">- TOBRAMYCIN. DEXAMETHASONE SODIUM PHOSPHATE</f>
        <v>#NAME?</v>
      </c>
      <c r="F4816" t="s">
        <v>16095</v>
      </c>
      <c r="G4816" t="s">
        <v>10245</v>
      </c>
      <c r="H4816" t="s">
        <v>16096</v>
      </c>
      <c r="I4816" t="s">
        <v>14064</v>
      </c>
      <c r="J4816" t="s">
        <v>16097</v>
      </c>
      <c r="K4816" t="s">
        <v>16098</v>
      </c>
      <c r="L4816" t="s">
        <v>16099</v>
      </c>
      <c r="M4816" t="s">
        <v>824</v>
      </c>
      <c r="N4816" t="s">
        <v>22593</v>
      </c>
      <c r="O4816" t="s">
        <v>14067</v>
      </c>
      <c r="P4816" t="s">
        <v>16100</v>
      </c>
      <c r="Q4816" t="s">
        <v>22594</v>
      </c>
      <c r="R4816">
        <v>14</v>
      </c>
      <c r="S4816">
        <v>16</v>
      </c>
    </row>
    <row r="4817" spans="1:19" x14ac:dyDescent="0.35">
      <c r="A4817">
        <v>2725</v>
      </c>
      <c r="B4817" t="s">
        <v>22572</v>
      </c>
      <c r="C4817" t="s">
        <v>42</v>
      </c>
      <c r="D4817" t="s">
        <v>22573</v>
      </c>
      <c r="E4817" t="e" cm="1">
        <f t="array" ref="E4817">- FLUNARIZINE HYDROCHLORIDE</f>
        <v>#NAME?</v>
      </c>
      <c r="F4817" t="s">
        <v>22574</v>
      </c>
      <c r="G4817" t="s">
        <v>2241</v>
      </c>
      <c r="H4817" t="s">
        <v>22575</v>
      </c>
      <c r="I4817" t="s">
        <v>22576</v>
      </c>
      <c r="J4817" t="s">
        <v>4095</v>
      </c>
      <c r="L4817" t="s">
        <v>22577</v>
      </c>
      <c r="M4817" t="s">
        <v>46</v>
      </c>
      <c r="N4817" t="s">
        <v>4516</v>
      </c>
      <c r="O4817" t="s">
        <v>22578</v>
      </c>
      <c r="P4817" t="s">
        <v>22579</v>
      </c>
      <c r="Q4817" t="s">
        <v>22580</v>
      </c>
      <c r="R4817">
        <v>14</v>
      </c>
      <c r="S4817">
        <v>16</v>
      </c>
    </row>
    <row r="4818" spans="1:19" x14ac:dyDescent="0.35">
      <c r="A4818">
        <v>4451</v>
      </c>
      <c r="B4818" t="s">
        <v>14059</v>
      </c>
      <c r="C4818" t="s">
        <v>42</v>
      </c>
      <c r="D4818" t="s">
        <v>16094</v>
      </c>
      <c r="E4818" t="e" cm="1">
        <f t="array" ref="E4818">- TOBRAMYCIN. DEXAMETHASONE SODIUM PHOSPHATE</f>
        <v>#NAME?</v>
      </c>
      <c r="F4818" t="s">
        <v>16095</v>
      </c>
      <c r="G4818" t="s">
        <v>10245</v>
      </c>
      <c r="H4818" t="s">
        <v>16096</v>
      </c>
      <c r="I4818" t="s">
        <v>14064</v>
      </c>
      <c r="J4818" t="s">
        <v>16097</v>
      </c>
      <c r="K4818" t="s">
        <v>16098</v>
      </c>
      <c r="L4818" t="s">
        <v>16099</v>
      </c>
      <c r="M4818" t="s">
        <v>824</v>
      </c>
      <c r="N4818" t="s">
        <v>22593</v>
      </c>
      <c r="O4818" t="s">
        <v>14067</v>
      </c>
      <c r="P4818" t="s">
        <v>16100</v>
      </c>
      <c r="Q4818" t="s">
        <v>22594</v>
      </c>
      <c r="R4818">
        <v>14</v>
      </c>
      <c r="S4818">
        <v>16</v>
      </c>
    </row>
    <row r="4819" spans="1:19" x14ac:dyDescent="0.35">
      <c r="A4819">
        <v>6103</v>
      </c>
      <c r="B4819" t="s">
        <v>22595</v>
      </c>
      <c r="C4819" t="s">
        <v>42</v>
      </c>
      <c r="D4819" t="s">
        <v>22596</v>
      </c>
      <c r="E4819" t="e" cm="1">
        <f t="array" ref="E4819">- CLINDAMYCIN HYDROCHLORIDE</f>
        <v>#NAME?</v>
      </c>
      <c r="F4819" t="s">
        <v>1034</v>
      </c>
      <c r="G4819" t="s">
        <v>4913</v>
      </c>
      <c r="H4819" t="s">
        <v>22346</v>
      </c>
    </row>
    <row r="4820" spans="1:19" x14ac:dyDescent="0.35">
      <c r="A4820">
        <v>1147</v>
      </c>
      <c r="B4820" t="s">
        <v>22347</v>
      </c>
      <c r="C4820" t="s">
        <v>42</v>
      </c>
      <c r="D4820" t="s">
        <v>22348</v>
      </c>
      <c r="E4820" t="e" cm="1">
        <f t="array" ref="E4820">- AMMONIUM CHLORIDE</f>
        <v>#NAME?</v>
      </c>
      <c r="F4820" t="s">
        <v>22349</v>
      </c>
      <c r="H4820" t="s">
        <v>22350</v>
      </c>
      <c r="I4820" t="s">
        <v>22351</v>
      </c>
      <c r="J4820" t="s">
        <v>334</v>
      </c>
      <c r="K4820" t="s">
        <v>22352</v>
      </c>
      <c r="M4820" t="s">
        <v>271</v>
      </c>
      <c r="N4820" t="s">
        <v>1672</v>
      </c>
      <c r="O4820" t="s">
        <v>22353</v>
      </c>
      <c r="P4820" t="s">
        <v>22354</v>
      </c>
      <c r="Q4820" t="s">
        <v>22355</v>
      </c>
      <c r="R4820">
        <v>14</v>
      </c>
      <c r="S4820">
        <v>16</v>
      </c>
    </row>
    <row r="4821" spans="1:19" x14ac:dyDescent="0.35">
      <c r="A4821">
        <v>1242</v>
      </c>
      <c r="B4821" t="s">
        <v>22597</v>
      </c>
      <c r="C4821" t="s">
        <v>42</v>
      </c>
      <c r="D4821" t="s">
        <v>22598</v>
      </c>
      <c r="E4821" t="e" cm="1">
        <f t="array" ref="E4821">- PARACETAMOL. GUAIFENESIN. PHENYLEPHRINE HYDROCHLORIDE</f>
        <v>#NAME?</v>
      </c>
      <c r="F4821" t="s">
        <v>22599</v>
      </c>
      <c r="G4821" t="s">
        <v>6707</v>
      </c>
      <c r="H4821" t="s">
        <v>22600</v>
      </c>
      <c r="I4821" t="s">
        <v>22601</v>
      </c>
      <c r="J4821" t="s">
        <v>334</v>
      </c>
      <c r="K4821" t="e" cm="1">
        <f t="array" ref="K4821">- penderita yang mengalami Hipersensitivitas atau alergi terhadap komponen obat ini. Tidak dianjurkan untuk digunakan pada Pasien dengan gangguan fungsi hati atau penyakit hati yang aktif.</f>
        <v>#NAME?</v>
      </c>
      <c r="L4821" t="s">
        <v>22602</v>
      </c>
      <c r="M4821" t="s">
        <v>271</v>
      </c>
      <c r="N4821" t="s">
        <v>22603</v>
      </c>
      <c r="O4821" t="s">
        <v>22604</v>
      </c>
      <c r="P4821" t="s">
        <v>11396</v>
      </c>
      <c r="Q4821" t="s">
        <v>22605</v>
      </c>
      <c r="R4821">
        <v>14</v>
      </c>
      <c r="S4821">
        <v>16</v>
      </c>
    </row>
    <row r="4822" spans="1:19" x14ac:dyDescent="0.35">
      <c r="A4822">
        <v>5281</v>
      </c>
      <c r="B4822" t="s">
        <v>18373</v>
      </c>
      <c r="C4822" t="s">
        <v>42</v>
      </c>
      <c r="D4822" t="s">
        <v>18374</v>
      </c>
      <c r="E4822" t="e" cm="1">
        <f t="array" ref="E4822">- NEOMYCIN SULFATE. FLUOCINOLONE ACETONIDE</f>
        <v>#NAME?</v>
      </c>
      <c r="F4822" t="s">
        <v>18375</v>
      </c>
      <c r="G4822" t="s">
        <v>17127</v>
      </c>
      <c r="H4822" t="s">
        <v>18376</v>
      </c>
      <c r="I4822" t="s">
        <v>18377</v>
      </c>
      <c r="J4822" t="s">
        <v>7123</v>
      </c>
      <c r="K4822" t="s">
        <v>18378</v>
      </c>
      <c r="L4822" t="s">
        <v>18379</v>
      </c>
      <c r="M4822" t="s">
        <v>1289</v>
      </c>
      <c r="N4822" t="s">
        <v>19321</v>
      </c>
      <c r="O4822" t="s">
        <v>18380</v>
      </c>
      <c r="P4822" t="s">
        <v>18381</v>
      </c>
      <c r="Q4822" t="s">
        <v>22606</v>
      </c>
      <c r="R4822">
        <v>14</v>
      </c>
      <c r="S4822">
        <v>16</v>
      </c>
    </row>
    <row r="4823" spans="1:19" x14ac:dyDescent="0.35">
      <c r="A4823">
        <v>1994</v>
      </c>
      <c r="B4823" t="s">
        <v>22607</v>
      </c>
      <c r="C4823" t="s">
        <v>20</v>
      </c>
      <c r="D4823" t="s">
        <v>22608</v>
      </c>
      <c r="E4823" t="s">
        <v>22609</v>
      </c>
      <c r="F4823" t="s">
        <v>22610</v>
      </c>
      <c r="G4823" t="s">
        <v>2241</v>
      </c>
      <c r="H4823" t="s">
        <v>22611</v>
      </c>
      <c r="I4823" t="s">
        <v>22612</v>
      </c>
      <c r="J4823" t="s">
        <v>334</v>
      </c>
      <c r="L4823" t="s">
        <v>5236</v>
      </c>
      <c r="M4823" t="s">
        <v>271</v>
      </c>
      <c r="N4823" t="s">
        <v>22613</v>
      </c>
      <c r="O4823" t="s">
        <v>22614</v>
      </c>
      <c r="P4823" t="s">
        <v>22615</v>
      </c>
      <c r="Q4823" t="s">
        <v>22616</v>
      </c>
      <c r="R4823">
        <v>14</v>
      </c>
      <c r="S4823">
        <v>16</v>
      </c>
    </row>
    <row r="4824" spans="1:19" x14ac:dyDescent="0.35">
      <c r="A4824">
        <v>1993</v>
      </c>
      <c r="B4824" t="s">
        <v>22607</v>
      </c>
      <c r="C4824" t="s">
        <v>20</v>
      </c>
      <c r="D4824" t="s">
        <v>22608</v>
      </c>
      <c r="E4824" t="s">
        <v>22609</v>
      </c>
      <c r="F4824" t="s">
        <v>22610</v>
      </c>
      <c r="G4824" t="s">
        <v>2241</v>
      </c>
      <c r="H4824" t="s">
        <v>22611</v>
      </c>
      <c r="I4824" t="s">
        <v>22612</v>
      </c>
      <c r="J4824" t="s">
        <v>334</v>
      </c>
      <c r="L4824" t="s">
        <v>5236</v>
      </c>
      <c r="M4824" t="s">
        <v>271</v>
      </c>
      <c r="N4824" t="s">
        <v>22613</v>
      </c>
      <c r="O4824" t="s">
        <v>22614</v>
      </c>
      <c r="P4824" t="s">
        <v>22615</v>
      </c>
      <c r="Q4824" t="s">
        <v>22616</v>
      </c>
      <c r="R4824">
        <v>14</v>
      </c>
      <c r="S4824">
        <v>16</v>
      </c>
    </row>
    <row r="4825" spans="1:19" x14ac:dyDescent="0.35">
      <c r="A4825">
        <v>1956</v>
      </c>
      <c r="B4825" t="s">
        <v>22617</v>
      </c>
      <c r="C4825" t="s">
        <v>20</v>
      </c>
      <c r="D4825" t="s">
        <v>22618</v>
      </c>
      <c r="E4825" t="s">
        <v>22619</v>
      </c>
      <c r="F4825" t="s">
        <v>22620</v>
      </c>
      <c r="G4825" t="s">
        <v>539</v>
      </c>
      <c r="H4825" t="s">
        <v>22621</v>
      </c>
      <c r="I4825" t="s">
        <v>22622</v>
      </c>
      <c r="J4825" t="s">
        <v>614</v>
      </c>
      <c r="L4825" t="s">
        <v>22623</v>
      </c>
      <c r="M4825" t="s">
        <v>271</v>
      </c>
      <c r="N4825" t="s">
        <v>22624</v>
      </c>
      <c r="O4825" t="s">
        <v>22625</v>
      </c>
      <c r="P4825" t="s">
        <v>22626</v>
      </c>
      <c r="Q4825" t="s">
        <v>22627</v>
      </c>
      <c r="R4825">
        <v>14</v>
      </c>
      <c r="S4825">
        <v>16</v>
      </c>
    </row>
    <row r="4826" spans="1:19" x14ac:dyDescent="0.35">
      <c r="A4826">
        <v>1955</v>
      </c>
      <c r="B4826" t="s">
        <v>22617</v>
      </c>
      <c r="C4826" t="s">
        <v>20</v>
      </c>
      <c r="D4826" t="s">
        <v>22618</v>
      </c>
      <c r="E4826" t="s">
        <v>22619</v>
      </c>
      <c r="F4826" t="s">
        <v>22620</v>
      </c>
      <c r="G4826" t="s">
        <v>539</v>
      </c>
      <c r="H4826" t="s">
        <v>22621</v>
      </c>
      <c r="I4826" t="s">
        <v>22622</v>
      </c>
      <c r="J4826" t="s">
        <v>614</v>
      </c>
      <c r="L4826" t="s">
        <v>22623</v>
      </c>
      <c r="M4826" t="s">
        <v>271</v>
      </c>
      <c r="N4826" t="s">
        <v>22624</v>
      </c>
      <c r="O4826" t="s">
        <v>22625</v>
      </c>
      <c r="P4826" t="s">
        <v>22626</v>
      </c>
      <c r="Q4826" t="s">
        <v>22627</v>
      </c>
      <c r="R4826">
        <v>14</v>
      </c>
      <c r="S4826">
        <v>16</v>
      </c>
    </row>
    <row r="4827" spans="1:19" x14ac:dyDescent="0.35">
      <c r="A4827">
        <v>4454</v>
      </c>
      <c r="B4827" t="s">
        <v>14059</v>
      </c>
      <c r="C4827" t="s">
        <v>42</v>
      </c>
      <c r="D4827" t="s">
        <v>14060</v>
      </c>
      <c r="E4827" t="e" cm="1">
        <f t="array" ref="E4827">- TOBRAMYCIN. DEXAMETHASONE SODIUM PHOSPHATE</f>
        <v>#NAME?</v>
      </c>
      <c r="F4827" t="s">
        <v>14061</v>
      </c>
      <c r="G4827" t="s">
        <v>14062</v>
      </c>
      <c r="H4827" t="s">
        <v>14063</v>
      </c>
      <c r="I4827" t="s">
        <v>14064</v>
      </c>
      <c r="J4827" t="s">
        <v>7561</v>
      </c>
      <c r="K4827" t="s">
        <v>14065</v>
      </c>
      <c r="L4827" t="s">
        <v>14066</v>
      </c>
      <c r="M4827" t="s">
        <v>824</v>
      </c>
      <c r="N4827" t="s">
        <v>22593</v>
      </c>
      <c r="O4827" t="s">
        <v>14067</v>
      </c>
      <c r="P4827" t="s">
        <v>14068</v>
      </c>
      <c r="Q4827" t="s">
        <v>22628</v>
      </c>
      <c r="R4827">
        <v>14</v>
      </c>
      <c r="S4827">
        <v>16</v>
      </c>
    </row>
    <row r="4828" spans="1:19" x14ac:dyDescent="0.35">
      <c r="A4828">
        <v>4455</v>
      </c>
      <c r="B4828" t="s">
        <v>14059</v>
      </c>
      <c r="C4828" t="s">
        <v>42</v>
      </c>
      <c r="D4828" t="s">
        <v>14060</v>
      </c>
      <c r="E4828" t="e" cm="1">
        <f t="array" ref="E4828">- TOBRAMYCIN. DEXAMETHASONE SODIUM PHOSPHATE</f>
        <v>#NAME?</v>
      </c>
      <c r="F4828" t="s">
        <v>14061</v>
      </c>
      <c r="G4828" t="s">
        <v>14062</v>
      </c>
      <c r="H4828" t="s">
        <v>14063</v>
      </c>
      <c r="I4828" t="s">
        <v>14064</v>
      </c>
      <c r="J4828" t="s">
        <v>7561</v>
      </c>
      <c r="K4828" t="s">
        <v>14065</v>
      </c>
      <c r="L4828" t="s">
        <v>14066</v>
      </c>
      <c r="M4828" t="s">
        <v>824</v>
      </c>
      <c r="N4828" t="s">
        <v>22593</v>
      </c>
      <c r="O4828" t="s">
        <v>14067</v>
      </c>
      <c r="P4828" t="s">
        <v>14068</v>
      </c>
      <c r="Q4828" t="s">
        <v>22628</v>
      </c>
      <c r="R4828">
        <v>14</v>
      </c>
      <c r="S4828">
        <v>16</v>
      </c>
    </row>
    <row r="4829" spans="1:19" x14ac:dyDescent="0.35">
      <c r="A4829">
        <v>1938</v>
      </c>
      <c r="B4829" t="s">
        <v>21578</v>
      </c>
      <c r="C4829" t="s">
        <v>20</v>
      </c>
      <c r="D4829" t="s">
        <v>21579</v>
      </c>
      <c r="E4829" t="s">
        <v>17477</v>
      </c>
      <c r="F4829" t="s">
        <v>21580</v>
      </c>
      <c r="G4829" t="s">
        <v>2241</v>
      </c>
      <c r="H4829" t="s">
        <v>21581</v>
      </c>
      <c r="I4829" t="s">
        <v>21582</v>
      </c>
      <c r="J4829" t="s">
        <v>829</v>
      </c>
      <c r="N4829" t="s">
        <v>17482</v>
      </c>
      <c r="O4829" t="s">
        <v>21583</v>
      </c>
      <c r="P4829" t="s">
        <v>17482</v>
      </c>
      <c r="Q4829" t="s">
        <v>21584</v>
      </c>
      <c r="R4829">
        <v>14</v>
      </c>
      <c r="S4829">
        <v>16</v>
      </c>
    </row>
    <row r="4830" spans="1:19" x14ac:dyDescent="0.35">
      <c r="A4830">
        <v>1228</v>
      </c>
      <c r="B4830" t="s">
        <v>22629</v>
      </c>
      <c r="C4830" t="s">
        <v>42</v>
      </c>
      <c r="D4830" t="s">
        <v>22630</v>
      </c>
      <c r="E4830" t="e" cm="1">
        <f t="array" ref="E4830">- PARACETAMOL</f>
        <v>#NAME?</v>
      </c>
      <c r="F4830" t="s">
        <v>20462</v>
      </c>
      <c r="G4830" t="s">
        <v>2241</v>
      </c>
      <c r="H4830" t="s">
        <v>22631</v>
      </c>
      <c r="I4830" t="s">
        <v>22632</v>
      </c>
      <c r="J4830" t="s">
        <v>21381</v>
      </c>
      <c r="M4830" t="s">
        <v>291</v>
      </c>
      <c r="N4830" t="s">
        <v>584</v>
      </c>
      <c r="O4830" t="s">
        <v>22633</v>
      </c>
      <c r="P4830" t="s">
        <v>22634</v>
      </c>
      <c r="Q4830" t="s">
        <v>22635</v>
      </c>
      <c r="R4830">
        <v>14</v>
      </c>
      <c r="S4830">
        <v>16</v>
      </c>
    </row>
    <row r="4831" spans="1:19" x14ac:dyDescent="0.35">
      <c r="A4831">
        <v>612</v>
      </c>
      <c r="B4831" t="s">
        <v>22636</v>
      </c>
      <c r="C4831" t="s">
        <v>42</v>
      </c>
      <c r="D4831" t="s">
        <v>22637</v>
      </c>
      <c r="E4831" t="e" cm="1">
        <f t="array" ref="E4831">- FLUTICASONE PROPIONATE. SALMETEROL XINAFOATE</f>
        <v>#NAME?</v>
      </c>
      <c r="F4831" t="s">
        <v>22638</v>
      </c>
      <c r="H4831" t="s">
        <v>269</v>
      </c>
      <c r="I4831" t="s">
        <v>22639</v>
      </c>
      <c r="L4831" t="s">
        <v>270</v>
      </c>
      <c r="M4831" t="s">
        <v>3423</v>
      </c>
      <c r="N4831" t="s">
        <v>22640</v>
      </c>
      <c r="O4831" t="s">
        <v>22641</v>
      </c>
      <c r="P4831" t="s">
        <v>22642</v>
      </c>
      <c r="Q4831" t="s">
        <v>22643</v>
      </c>
      <c r="R4831">
        <v>14</v>
      </c>
      <c r="S4831">
        <v>16</v>
      </c>
    </row>
    <row r="4832" spans="1:19" x14ac:dyDescent="0.35">
      <c r="A4832">
        <v>8514</v>
      </c>
      <c r="B4832" t="s">
        <v>551</v>
      </c>
      <c r="C4832" t="s">
        <v>42</v>
      </c>
      <c r="D4832" t="s">
        <v>22644</v>
      </c>
      <c r="E4832" t="e" cm="1">
        <f t="array" ref="E4832">- POVIDONE-IODINE</f>
        <v>#NAME?</v>
      </c>
      <c r="F4832" t="s">
        <v>22645</v>
      </c>
      <c r="I4832" t="s">
        <v>22646</v>
      </c>
      <c r="J4832" t="s">
        <v>12671</v>
      </c>
      <c r="M4832" t="s">
        <v>554</v>
      </c>
      <c r="N4832" t="s">
        <v>555</v>
      </c>
      <c r="O4832" t="s">
        <v>22647</v>
      </c>
      <c r="P4832" t="s">
        <v>5485</v>
      </c>
      <c r="Q4832" t="s">
        <v>22648</v>
      </c>
      <c r="R4832">
        <v>14</v>
      </c>
      <c r="S4832">
        <v>16</v>
      </c>
    </row>
    <row r="4833" spans="1:19" x14ac:dyDescent="0.35">
      <c r="A4833">
        <v>6577</v>
      </c>
      <c r="B4833" t="s">
        <v>22649</v>
      </c>
      <c r="C4833" t="s">
        <v>42</v>
      </c>
      <c r="D4833" t="s">
        <v>22650</v>
      </c>
      <c r="E4833" t="e" cm="1">
        <f t="array" ref="E4833">- KETOCONAZOLE</f>
        <v>#NAME?</v>
      </c>
      <c r="F4833" t="s">
        <v>22651</v>
      </c>
      <c r="G4833" t="s">
        <v>2241</v>
      </c>
      <c r="H4833" t="s">
        <v>22652</v>
      </c>
      <c r="I4833" t="s">
        <v>22653</v>
      </c>
      <c r="J4833" t="s">
        <v>532</v>
      </c>
      <c r="K4833" t="s">
        <v>22654</v>
      </c>
      <c r="L4833" t="s">
        <v>22655</v>
      </c>
      <c r="M4833" t="s">
        <v>46</v>
      </c>
      <c r="N4833" t="s">
        <v>533</v>
      </c>
      <c r="O4833" t="s">
        <v>22656</v>
      </c>
      <c r="P4833" t="s">
        <v>22657</v>
      </c>
      <c r="Q4833" t="s">
        <v>22658</v>
      </c>
      <c r="R4833">
        <v>14</v>
      </c>
      <c r="S4833">
        <v>16</v>
      </c>
    </row>
    <row r="4834" spans="1:19" x14ac:dyDescent="0.35">
      <c r="A4834">
        <v>3223</v>
      </c>
      <c r="B4834" t="s">
        <v>22659</v>
      </c>
      <c r="C4834" t="s">
        <v>42</v>
      </c>
      <c r="D4834" t="s">
        <v>22660</v>
      </c>
      <c r="E4834" t="e" cm="1">
        <f t="array" ref="E4834">- ALUMINIUM HYDROXIDE GEL</f>
        <v>#NAME?</v>
      </c>
      <c r="F4834" t="s">
        <v>22661</v>
      </c>
      <c r="G4834" t="s">
        <v>22662</v>
      </c>
      <c r="H4834" t="s">
        <v>22663</v>
      </c>
    </row>
    <row r="4835" spans="1:19" x14ac:dyDescent="0.35">
      <c r="A4835">
        <v>6616</v>
      </c>
      <c r="B4835" t="s">
        <v>22664</v>
      </c>
      <c r="C4835" t="s">
        <v>42</v>
      </c>
      <c r="D4835" t="s">
        <v>22665</v>
      </c>
      <c r="E4835" t="e" cm="1">
        <f t="array" ref="E4835">- KETOCONAZOLE</f>
        <v>#NAME?</v>
      </c>
      <c r="F4835" t="s">
        <v>22666</v>
      </c>
      <c r="G4835" t="s">
        <v>2241</v>
      </c>
      <c r="H4835" t="s">
        <v>22652</v>
      </c>
      <c r="I4835" t="s">
        <v>22653</v>
      </c>
      <c r="J4835" t="s">
        <v>22667</v>
      </c>
      <c r="K4835" t="s">
        <v>22668</v>
      </c>
      <c r="L4835" t="s">
        <v>22655</v>
      </c>
      <c r="M4835" t="s">
        <v>46</v>
      </c>
      <c r="N4835" t="s">
        <v>533</v>
      </c>
      <c r="O4835" t="s">
        <v>22656</v>
      </c>
      <c r="P4835" t="s">
        <v>22669</v>
      </c>
      <c r="Q4835" t="s">
        <v>22670</v>
      </c>
      <c r="R4835">
        <v>14</v>
      </c>
      <c r="S4835">
        <v>16</v>
      </c>
    </row>
    <row r="4836" spans="1:19" x14ac:dyDescent="0.35">
      <c r="A4836">
        <v>6615</v>
      </c>
      <c r="B4836" t="s">
        <v>22664</v>
      </c>
      <c r="C4836" t="s">
        <v>42</v>
      </c>
      <c r="D4836" t="s">
        <v>22665</v>
      </c>
      <c r="E4836" t="e" cm="1">
        <f t="array" ref="E4836">- KETOCONAZOLE</f>
        <v>#NAME?</v>
      </c>
      <c r="F4836" t="s">
        <v>22666</v>
      </c>
      <c r="G4836" t="s">
        <v>2241</v>
      </c>
      <c r="H4836" t="s">
        <v>22652</v>
      </c>
      <c r="I4836" t="s">
        <v>22653</v>
      </c>
      <c r="J4836" t="s">
        <v>22667</v>
      </c>
      <c r="K4836" t="s">
        <v>22668</v>
      </c>
      <c r="L4836" t="s">
        <v>22655</v>
      </c>
      <c r="M4836" t="s">
        <v>46</v>
      </c>
      <c r="N4836" t="s">
        <v>533</v>
      </c>
      <c r="O4836" t="s">
        <v>22656</v>
      </c>
      <c r="P4836" t="s">
        <v>22669</v>
      </c>
      <c r="Q4836" t="s">
        <v>22670</v>
      </c>
      <c r="R4836">
        <v>14</v>
      </c>
      <c r="S4836">
        <v>16</v>
      </c>
    </row>
    <row r="4837" spans="1:19" x14ac:dyDescent="0.35">
      <c r="A4837">
        <v>3804</v>
      </c>
      <c r="B4837" t="s">
        <v>22671</v>
      </c>
      <c r="C4837" t="s">
        <v>42</v>
      </c>
      <c r="D4837" t="s">
        <v>22672</v>
      </c>
      <c r="E4837" t="e" cm="1">
        <f t="array" ref="E4837">- ZINC SULFATE MONOHYDRATE</f>
        <v>#NAME?</v>
      </c>
      <c r="F4837" s="1">
        <v>8000</v>
      </c>
      <c r="G4837" t="s">
        <v>22673</v>
      </c>
      <c r="H4837" t="s">
        <v>22674</v>
      </c>
      <c r="I4837" t="s">
        <v>20144</v>
      </c>
      <c r="J4837" t="s">
        <v>334</v>
      </c>
      <c r="L4837" t="s">
        <v>22675</v>
      </c>
      <c r="M4837" t="s">
        <v>271</v>
      </c>
      <c r="N4837" t="s">
        <v>2750</v>
      </c>
      <c r="O4837" t="s">
        <v>20146</v>
      </c>
      <c r="P4837" t="s">
        <v>22676</v>
      </c>
      <c r="Q4837" t="s">
        <v>22677</v>
      </c>
      <c r="R4837">
        <v>14</v>
      </c>
      <c r="S4837">
        <v>16</v>
      </c>
    </row>
    <row r="4838" spans="1:19" x14ac:dyDescent="0.35">
      <c r="A4838">
        <v>3805</v>
      </c>
      <c r="B4838" t="s">
        <v>22671</v>
      </c>
      <c r="C4838" t="s">
        <v>42</v>
      </c>
      <c r="D4838" t="s">
        <v>22672</v>
      </c>
      <c r="E4838" t="e" cm="1">
        <f t="array" ref="E4838">- ZINC SULFATE MONOHYDRATE</f>
        <v>#NAME?</v>
      </c>
      <c r="F4838" s="1">
        <v>8000</v>
      </c>
      <c r="G4838" t="s">
        <v>22673</v>
      </c>
      <c r="H4838" t="s">
        <v>22674</v>
      </c>
      <c r="I4838" t="s">
        <v>20144</v>
      </c>
      <c r="J4838" t="s">
        <v>334</v>
      </c>
      <c r="L4838" t="s">
        <v>22675</v>
      </c>
      <c r="M4838" t="s">
        <v>271</v>
      </c>
      <c r="N4838" t="s">
        <v>2750</v>
      </c>
      <c r="O4838" t="s">
        <v>20146</v>
      </c>
      <c r="P4838" t="s">
        <v>22676</v>
      </c>
      <c r="Q4838" t="s">
        <v>22677</v>
      </c>
      <c r="R4838">
        <v>14</v>
      </c>
      <c r="S4838">
        <v>16</v>
      </c>
    </row>
    <row r="4839" spans="1:19" x14ac:dyDescent="0.35">
      <c r="A4839">
        <v>1666</v>
      </c>
      <c r="B4839" t="s">
        <v>22678</v>
      </c>
      <c r="C4839" t="s">
        <v>42</v>
      </c>
      <c r="D4839" t="s">
        <v>22679</v>
      </c>
      <c r="E4839" t="e" cm="1">
        <f t="array" ref="E4839">- DIPHENHYDRAMINE HYDROCHLORIDE. GUAIFENESIN. AMMONIUM CHLORIDE</f>
        <v>#NAME?</v>
      </c>
      <c r="F4839" t="s">
        <v>22680</v>
      </c>
      <c r="G4839" t="s">
        <v>539</v>
      </c>
      <c r="I4839" t="s">
        <v>22681</v>
      </c>
      <c r="J4839" t="s">
        <v>7584</v>
      </c>
      <c r="M4839" t="s">
        <v>271</v>
      </c>
      <c r="N4839" t="s">
        <v>22682</v>
      </c>
      <c r="O4839" t="s">
        <v>22683</v>
      </c>
      <c r="P4839" t="s">
        <v>13327</v>
      </c>
      <c r="Q4839" t="s">
        <v>22684</v>
      </c>
      <c r="R4839">
        <v>14</v>
      </c>
      <c r="S4839">
        <v>16</v>
      </c>
    </row>
    <row r="4840" spans="1:19" x14ac:dyDescent="0.35">
      <c r="A4840">
        <v>4439</v>
      </c>
      <c r="B4840" t="s">
        <v>22685</v>
      </c>
      <c r="C4840" t="s">
        <v>20</v>
      </c>
      <c r="D4840" t="s">
        <v>22686</v>
      </c>
      <c r="E4840" t="s">
        <v>22687</v>
      </c>
      <c r="F4840" t="s">
        <v>22688</v>
      </c>
      <c r="G4840" t="s">
        <v>22689</v>
      </c>
      <c r="H4840" t="s">
        <v>1322</v>
      </c>
      <c r="I4840" t="s">
        <v>22690</v>
      </c>
      <c r="J4840" t="s">
        <v>22691</v>
      </c>
      <c r="L4840" t="s">
        <v>22692</v>
      </c>
      <c r="M4840" t="s">
        <v>63</v>
      </c>
      <c r="N4840" t="s">
        <v>22693</v>
      </c>
      <c r="O4840" t="s">
        <v>22694</v>
      </c>
      <c r="P4840" t="s">
        <v>22695</v>
      </c>
      <c r="Q4840" t="s">
        <v>22696</v>
      </c>
      <c r="R4840">
        <v>14</v>
      </c>
      <c r="S4840">
        <v>16</v>
      </c>
    </row>
    <row r="4841" spans="1:19" x14ac:dyDescent="0.35">
      <c r="A4841">
        <v>7879</v>
      </c>
      <c r="B4841" t="s">
        <v>22697</v>
      </c>
      <c r="C4841" t="s">
        <v>20</v>
      </c>
      <c r="D4841" t="s">
        <v>22698</v>
      </c>
      <c r="E4841" t="s">
        <v>22699</v>
      </c>
      <c r="F4841" t="s">
        <v>22700</v>
      </c>
      <c r="G4841" t="s">
        <v>539</v>
      </c>
      <c r="H4841" t="s">
        <v>22701</v>
      </c>
      <c r="J4841" t="s">
        <v>22702</v>
      </c>
      <c r="M4841" t="s">
        <v>38</v>
      </c>
      <c r="N4841" t="s">
        <v>22703</v>
      </c>
      <c r="P4841" t="s">
        <v>22704</v>
      </c>
      <c r="Q4841" t="s">
        <v>22705</v>
      </c>
      <c r="R4841">
        <v>14</v>
      </c>
      <c r="S4841">
        <v>16</v>
      </c>
    </row>
    <row r="4842" spans="1:19" x14ac:dyDescent="0.35">
      <c r="A4842">
        <v>1214</v>
      </c>
      <c r="B4842" t="s">
        <v>22356</v>
      </c>
      <c r="C4842" t="s">
        <v>42</v>
      </c>
      <c r="D4842" t="s">
        <v>22366</v>
      </c>
      <c r="E4842" t="e" cm="1">
        <f t="array" ref="E4842">- DEXTROMETHORPHAN HYDROBROMIDE</f>
        <v>#NAME?</v>
      </c>
      <c r="F4842" t="s">
        <v>22367</v>
      </c>
      <c r="G4842" t="s">
        <v>60</v>
      </c>
      <c r="H4842" t="s">
        <v>22359</v>
      </c>
      <c r="I4842" t="s">
        <v>22360</v>
      </c>
      <c r="J4842" t="s">
        <v>22368</v>
      </c>
      <c r="K4842" t="s">
        <v>22361</v>
      </c>
      <c r="L4842" t="s">
        <v>22362</v>
      </c>
      <c r="M4842" t="s">
        <v>271</v>
      </c>
      <c r="N4842" t="s">
        <v>1376</v>
      </c>
      <c r="O4842" t="s">
        <v>22363</v>
      </c>
      <c r="P4842" t="s">
        <v>22364</v>
      </c>
      <c r="Q4842" t="s">
        <v>22365</v>
      </c>
      <c r="R4842">
        <v>14</v>
      </c>
      <c r="S4842">
        <v>16</v>
      </c>
    </row>
    <row r="4843" spans="1:19" x14ac:dyDescent="0.35">
      <c r="A4843">
        <v>2938</v>
      </c>
      <c r="B4843" t="s">
        <v>22706</v>
      </c>
      <c r="C4843" t="s">
        <v>42</v>
      </c>
      <c r="D4843" t="s">
        <v>22707</v>
      </c>
      <c r="E4843" t="e" cm="1">
        <f t="array" ref="E4843">- PARACETAMOL</f>
        <v>#NAME?</v>
      </c>
      <c r="F4843" t="s">
        <v>22708</v>
      </c>
      <c r="G4843" t="s">
        <v>60</v>
      </c>
      <c r="H4843" t="s">
        <v>22709</v>
      </c>
      <c r="I4843" t="s">
        <v>22710</v>
      </c>
      <c r="J4843" t="s">
        <v>743</v>
      </c>
      <c r="K4843" t="s">
        <v>6861</v>
      </c>
      <c r="M4843" t="s">
        <v>824</v>
      </c>
      <c r="N4843" t="s">
        <v>584</v>
      </c>
      <c r="O4843" t="s">
        <v>22711</v>
      </c>
      <c r="P4843" t="s">
        <v>15282</v>
      </c>
      <c r="Q4843" t="s">
        <v>22712</v>
      </c>
      <c r="R4843">
        <v>14</v>
      </c>
      <c r="S4843">
        <v>16</v>
      </c>
    </row>
    <row r="4844" spans="1:19" x14ac:dyDescent="0.35">
      <c r="A4844">
        <v>598</v>
      </c>
      <c r="B4844" t="s">
        <v>22713</v>
      </c>
      <c r="C4844" t="s">
        <v>42</v>
      </c>
      <c r="D4844" t="s">
        <v>22714</v>
      </c>
      <c r="E4844" t="e" cm="1">
        <f t="array" ref="E4844">- FLUTICASONE PROPIONAT</f>
        <v>#NAME?</v>
      </c>
      <c r="F4844" t="s">
        <v>22715</v>
      </c>
      <c r="G4844" t="s">
        <v>22716</v>
      </c>
      <c r="H4844" t="s">
        <v>22717</v>
      </c>
      <c r="I4844" t="s">
        <v>22281</v>
      </c>
      <c r="J4844" t="s">
        <v>22718</v>
      </c>
      <c r="K4844" t="s">
        <v>19599</v>
      </c>
      <c r="L4844" t="s">
        <v>13784</v>
      </c>
      <c r="M4844" t="s">
        <v>1280</v>
      </c>
      <c r="N4844" t="s">
        <v>3457</v>
      </c>
      <c r="O4844" t="s">
        <v>22283</v>
      </c>
      <c r="P4844" t="s">
        <v>22284</v>
      </c>
      <c r="Q4844" t="s">
        <v>22285</v>
      </c>
      <c r="R4844">
        <v>14</v>
      </c>
      <c r="S4844">
        <v>16</v>
      </c>
    </row>
    <row r="4845" spans="1:19" x14ac:dyDescent="0.35">
      <c r="A4845">
        <v>9104</v>
      </c>
      <c r="B4845" t="s">
        <v>22719</v>
      </c>
      <c r="C4845" t="s">
        <v>42</v>
      </c>
      <c r="D4845" t="s">
        <v>22720</v>
      </c>
      <c r="E4845" t="e" cm="1">
        <f t="array" ref="E4845">- VALSARTAN. AMLODIPINE BESILATE</f>
        <v>#NAME?</v>
      </c>
      <c r="F4845" t="s">
        <v>22721</v>
      </c>
      <c r="G4845" t="s">
        <v>18645</v>
      </c>
      <c r="H4845" t="s">
        <v>4751</v>
      </c>
      <c r="I4845" t="s">
        <v>22722</v>
      </c>
      <c r="J4845" t="s">
        <v>22723</v>
      </c>
      <c r="K4845" t="s">
        <v>22724</v>
      </c>
      <c r="L4845" t="s">
        <v>22725</v>
      </c>
      <c r="M4845" t="s">
        <v>46</v>
      </c>
      <c r="N4845" t="s">
        <v>3875</v>
      </c>
      <c r="O4845" t="s">
        <v>22726</v>
      </c>
      <c r="P4845" t="s">
        <v>22727</v>
      </c>
      <c r="Q4845" t="s">
        <v>22728</v>
      </c>
      <c r="R4845">
        <v>14</v>
      </c>
      <c r="S4845">
        <v>16</v>
      </c>
    </row>
    <row r="4846" spans="1:19" x14ac:dyDescent="0.35">
      <c r="A4846">
        <v>3969</v>
      </c>
      <c r="B4846" t="s">
        <v>22729</v>
      </c>
      <c r="C4846" t="s">
        <v>42</v>
      </c>
      <c r="D4846" t="s">
        <v>22730</v>
      </c>
      <c r="E4846" t="e" cm="1">
        <f t="array" ref="E4846">- BISACODYL</f>
        <v>#NAME?</v>
      </c>
      <c r="F4846" t="s">
        <v>22731</v>
      </c>
      <c r="G4846" t="s">
        <v>20819</v>
      </c>
      <c r="H4846" t="s">
        <v>22732</v>
      </c>
      <c r="I4846" t="s">
        <v>20918</v>
      </c>
      <c r="J4846" t="s">
        <v>22733</v>
      </c>
      <c r="K4846" t="s">
        <v>20920</v>
      </c>
      <c r="L4846" t="s">
        <v>22374</v>
      </c>
      <c r="M4846" t="s">
        <v>720</v>
      </c>
      <c r="N4846" t="s">
        <v>20824</v>
      </c>
      <c r="O4846" t="s">
        <v>20922</v>
      </c>
      <c r="P4846" t="s">
        <v>22734</v>
      </c>
      <c r="Q4846" t="s">
        <v>22735</v>
      </c>
      <c r="R4846">
        <v>14</v>
      </c>
      <c r="S4846">
        <v>16</v>
      </c>
    </row>
    <row r="4847" spans="1:19" x14ac:dyDescent="0.35">
      <c r="A4847">
        <v>8515</v>
      </c>
      <c r="B4847" t="s">
        <v>551</v>
      </c>
      <c r="C4847" t="s">
        <v>42</v>
      </c>
      <c r="D4847" t="s">
        <v>22644</v>
      </c>
      <c r="E4847" t="e" cm="1">
        <f t="array" ref="E4847">- POVIDONE-IODINE</f>
        <v>#NAME?</v>
      </c>
      <c r="F4847" t="s">
        <v>22645</v>
      </c>
      <c r="I4847" t="s">
        <v>22646</v>
      </c>
      <c r="J4847" t="s">
        <v>12671</v>
      </c>
      <c r="M4847" t="s">
        <v>554</v>
      </c>
      <c r="N4847" t="s">
        <v>555</v>
      </c>
      <c r="O4847" t="s">
        <v>22647</v>
      </c>
      <c r="P4847" t="s">
        <v>5485</v>
      </c>
      <c r="Q4847" t="s">
        <v>22648</v>
      </c>
      <c r="R4847">
        <v>14</v>
      </c>
      <c r="S4847">
        <v>16</v>
      </c>
    </row>
    <row r="4848" spans="1:19" x14ac:dyDescent="0.35">
      <c r="A4848">
        <v>5231</v>
      </c>
      <c r="B4848" t="s">
        <v>22736</v>
      </c>
      <c r="C4848" t="s">
        <v>42</v>
      </c>
      <c r="D4848" t="s">
        <v>22737</v>
      </c>
      <c r="E4848" t="e" cm="1">
        <f t="array" ref="E4848">- CHLORAMPHENICOL</f>
        <v>#NAME?</v>
      </c>
      <c r="F4848" t="s">
        <v>22738</v>
      </c>
      <c r="G4848" t="s">
        <v>22739</v>
      </c>
      <c r="H4848" t="s">
        <v>22740</v>
      </c>
      <c r="I4848" t="s">
        <v>22741</v>
      </c>
      <c r="J4848" t="s">
        <v>2167</v>
      </c>
      <c r="K4848" t="s">
        <v>22742</v>
      </c>
      <c r="L4848" t="s">
        <v>22743</v>
      </c>
      <c r="M4848" t="s">
        <v>1289</v>
      </c>
      <c r="N4848" t="s">
        <v>1188</v>
      </c>
      <c r="O4848" t="s">
        <v>22744</v>
      </c>
      <c r="P4848" t="s">
        <v>22745</v>
      </c>
      <c r="Q4848" t="s">
        <v>22746</v>
      </c>
      <c r="R4848">
        <v>14</v>
      </c>
      <c r="S4848">
        <v>16</v>
      </c>
    </row>
    <row r="4849" spans="1:19" x14ac:dyDescent="0.35">
      <c r="A4849">
        <v>10052</v>
      </c>
      <c r="B4849" t="s">
        <v>22747</v>
      </c>
      <c r="C4849" t="s">
        <v>20</v>
      </c>
      <c r="D4849" t="s">
        <v>22748</v>
      </c>
      <c r="E4849" t="s">
        <v>22749</v>
      </c>
      <c r="F4849" t="s">
        <v>22750</v>
      </c>
      <c r="G4849" t="s">
        <v>737</v>
      </c>
      <c r="H4849" t="s">
        <v>22751</v>
      </c>
      <c r="I4849" t="s">
        <v>22752</v>
      </c>
      <c r="J4849" t="s">
        <v>22753</v>
      </c>
      <c r="K4849" t="s">
        <v>22754</v>
      </c>
      <c r="L4849" t="s">
        <v>22755</v>
      </c>
      <c r="M4849" t="s">
        <v>38</v>
      </c>
      <c r="N4849" t="s">
        <v>22756</v>
      </c>
      <c r="O4849" t="s">
        <v>22757</v>
      </c>
      <c r="P4849" t="s">
        <v>22758</v>
      </c>
      <c r="Q4849" t="s">
        <v>22759</v>
      </c>
      <c r="R4849">
        <v>14</v>
      </c>
      <c r="S4849">
        <v>16</v>
      </c>
    </row>
    <row r="4850" spans="1:19" x14ac:dyDescent="0.35">
      <c r="A4850">
        <v>6587</v>
      </c>
      <c r="B4850" t="s">
        <v>22760</v>
      </c>
      <c r="C4850" t="s">
        <v>42</v>
      </c>
      <c r="D4850" t="s">
        <v>22761</v>
      </c>
      <c r="E4850" t="e" cm="1">
        <f t="array" ref="E4850">- KETOCONAZOLE</f>
        <v>#NAME?</v>
      </c>
      <c r="F4850" s="1">
        <v>97700</v>
      </c>
      <c r="G4850" t="s">
        <v>2241</v>
      </c>
      <c r="H4850" t="s">
        <v>22652</v>
      </c>
      <c r="I4850" t="s">
        <v>22653</v>
      </c>
      <c r="J4850" t="s">
        <v>532</v>
      </c>
      <c r="K4850" t="s">
        <v>22762</v>
      </c>
      <c r="L4850" t="s">
        <v>22763</v>
      </c>
      <c r="M4850" t="s">
        <v>46</v>
      </c>
      <c r="N4850" t="s">
        <v>533</v>
      </c>
      <c r="O4850" t="s">
        <v>22656</v>
      </c>
      <c r="P4850" t="s">
        <v>22764</v>
      </c>
      <c r="Q4850" t="s">
        <v>22765</v>
      </c>
      <c r="R4850">
        <v>14</v>
      </c>
      <c r="S4850">
        <v>16</v>
      </c>
    </row>
    <row r="4851" spans="1:19" x14ac:dyDescent="0.35">
      <c r="A4851">
        <v>6586</v>
      </c>
      <c r="B4851" t="s">
        <v>22760</v>
      </c>
      <c r="C4851" t="s">
        <v>42</v>
      </c>
      <c r="D4851" t="s">
        <v>22761</v>
      </c>
      <c r="E4851" t="e" cm="1">
        <f t="array" ref="E4851">- KETOCONAZOLE</f>
        <v>#NAME?</v>
      </c>
      <c r="F4851" s="1">
        <v>97700</v>
      </c>
      <c r="G4851" t="s">
        <v>2241</v>
      </c>
      <c r="H4851" t="s">
        <v>22652</v>
      </c>
      <c r="I4851" t="s">
        <v>22653</v>
      </c>
      <c r="J4851" t="s">
        <v>532</v>
      </c>
      <c r="K4851" t="s">
        <v>22762</v>
      </c>
      <c r="L4851" t="s">
        <v>22763</v>
      </c>
      <c r="M4851" t="s">
        <v>46</v>
      </c>
      <c r="N4851" t="s">
        <v>533</v>
      </c>
      <c r="O4851" t="s">
        <v>22656</v>
      </c>
      <c r="P4851" t="s">
        <v>22764</v>
      </c>
      <c r="Q4851" t="s">
        <v>22765</v>
      </c>
      <c r="R4851">
        <v>14</v>
      </c>
      <c r="S4851">
        <v>16</v>
      </c>
    </row>
    <row r="4852" spans="1:19" x14ac:dyDescent="0.35">
      <c r="A4852">
        <v>7274</v>
      </c>
      <c r="B4852" t="s">
        <v>22766</v>
      </c>
      <c r="C4852" t="s">
        <v>850</v>
      </c>
      <c r="D4852" t="s">
        <v>22767</v>
      </c>
      <c r="E4852" t="e" cm="1">
        <f t="array" ref="E4852">- Cinnamon Leaf Oil</f>
        <v>#NAME?</v>
      </c>
      <c r="F4852" t="s">
        <v>22768</v>
      </c>
      <c r="G4852" t="s">
        <v>22769</v>
      </c>
      <c r="I4852" t="s">
        <v>22770</v>
      </c>
      <c r="J4852" t="s">
        <v>3802</v>
      </c>
      <c r="N4852" t="s">
        <v>22771</v>
      </c>
      <c r="O4852" t="s">
        <v>22772</v>
      </c>
      <c r="P4852" t="s">
        <v>22773</v>
      </c>
      <c r="Q4852" t="s">
        <v>22774</v>
      </c>
      <c r="R4852">
        <v>14</v>
      </c>
      <c r="S4852">
        <v>16</v>
      </c>
    </row>
    <row r="4853" spans="1:19" x14ac:dyDescent="0.35">
      <c r="A4853">
        <v>6584</v>
      </c>
      <c r="B4853" t="s">
        <v>22775</v>
      </c>
      <c r="C4853" t="s">
        <v>42</v>
      </c>
      <c r="D4853" t="s">
        <v>22776</v>
      </c>
      <c r="E4853" t="e" cm="1">
        <f t="array" ref="E4853">- GRISEOFULVIN</f>
        <v>#NAME?</v>
      </c>
      <c r="F4853" t="s">
        <v>22777</v>
      </c>
      <c r="G4853" t="s">
        <v>12364</v>
      </c>
      <c r="H4853" t="s">
        <v>22778</v>
      </c>
      <c r="I4853" t="s">
        <v>22779</v>
      </c>
      <c r="J4853" t="s">
        <v>5221</v>
      </c>
      <c r="L4853" t="s">
        <v>270</v>
      </c>
      <c r="M4853" t="s">
        <v>46</v>
      </c>
      <c r="N4853" t="s">
        <v>453</v>
      </c>
      <c r="O4853" t="s">
        <v>22780</v>
      </c>
      <c r="P4853" t="s">
        <v>22781</v>
      </c>
      <c r="Q4853" t="s">
        <v>22782</v>
      </c>
      <c r="R4853">
        <v>14</v>
      </c>
      <c r="S4853">
        <v>16</v>
      </c>
    </row>
    <row r="4854" spans="1:19" x14ac:dyDescent="0.35">
      <c r="A4854">
        <v>6583</v>
      </c>
      <c r="B4854" t="s">
        <v>22775</v>
      </c>
      <c r="C4854" t="s">
        <v>42</v>
      </c>
      <c r="D4854" t="s">
        <v>22776</v>
      </c>
      <c r="E4854" t="e" cm="1">
        <f t="array" ref="E4854">- GRISEOFULVIN</f>
        <v>#NAME?</v>
      </c>
      <c r="F4854" t="s">
        <v>22777</v>
      </c>
      <c r="G4854" t="s">
        <v>12364</v>
      </c>
      <c r="H4854" t="s">
        <v>22778</v>
      </c>
      <c r="I4854" t="s">
        <v>22779</v>
      </c>
      <c r="J4854" t="s">
        <v>5221</v>
      </c>
      <c r="L4854" t="s">
        <v>270</v>
      </c>
      <c r="M4854" t="s">
        <v>46</v>
      </c>
      <c r="N4854" t="s">
        <v>453</v>
      </c>
      <c r="O4854" t="s">
        <v>22780</v>
      </c>
      <c r="P4854" t="s">
        <v>22781</v>
      </c>
      <c r="Q4854" t="s">
        <v>22782</v>
      </c>
      <c r="R4854">
        <v>14</v>
      </c>
      <c r="S4854">
        <v>16</v>
      </c>
    </row>
    <row r="4855" spans="1:19" x14ac:dyDescent="0.35">
      <c r="A4855">
        <v>1217</v>
      </c>
      <c r="B4855" t="s">
        <v>22356</v>
      </c>
      <c r="C4855" t="s">
        <v>42</v>
      </c>
      <c r="D4855" t="s">
        <v>22357</v>
      </c>
      <c r="E4855" t="e" cm="1">
        <f t="array" ref="E4855">- DEXTROMETHORPHAN HYDROBROMIDE</f>
        <v>#NAME?</v>
      </c>
      <c r="F4855" t="s">
        <v>22358</v>
      </c>
      <c r="G4855" t="s">
        <v>60</v>
      </c>
      <c r="H4855" t="s">
        <v>22359</v>
      </c>
      <c r="I4855" t="s">
        <v>22360</v>
      </c>
      <c r="J4855" t="s">
        <v>334</v>
      </c>
      <c r="K4855" t="s">
        <v>22361</v>
      </c>
      <c r="L4855" t="s">
        <v>22362</v>
      </c>
      <c r="M4855" t="s">
        <v>271</v>
      </c>
      <c r="N4855" t="s">
        <v>1376</v>
      </c>
      <c r="O4855" t="s">
        <v>22363</v>
      </c>
      <c r="P4855" t="s">
        <v>22364</v>
      </c>
      <c r="Q4855" t="s">
        <v>22365</v>
      </c>
      <c r="R4855">
        <v>14</v>
      </c>
      <c r="S4855">
        <v>16</v>
      </c>
    </row>
    <row r="4856" spans="1:19" x14ac:dyDescent="0.35">
      <c r="A4856">
        <v>2710</v>
      </c>
      <c r="B4856" t="s">
        <v>22783</v>
      </c>
      <c r="C4856" t="s">
        <v>42</v>
      </c>
      <c r="D4856" t="s">
        <v>22784</v>
      </c>
      <c r="E4856" t="e" cm="1">
        <f t="array" ref="E4856">- FLUNARIZINE HYDROCHLORIDE</f>
        <v>#NAME?</v>
      </c>
      <c r="F4856" t="s">
        <v>22785</v>
      </c>
      <c r="G4856" t="s">
        <v>2241</v>
      </c>
      <c r="H4856" t="s">
        <v>22575</v>
      </c>
      <c r="I4856" t="s">
        <v>22576</v>
      </c>
      <c r="J4856" t="s">
        <v>754</v>
      </c>
      <c r="K4856" t="s">
        <v>22786</v>
      </c>
      <c r="L4856" t="s">
        <v>8847</v>
      </c>
      <c r="M4856" t="s">
        <v>46</v>
      </c>
      <c r="N4856" t="s">
        <v>4516</v>
      </c>
      <c r="O4856" t="s">
        <v>22578</v>
      </c>
      <c r="P4856" t="s">
        <v>22787</v>
      </c>
      <c r="Q4856" t="s">
        <v>22788</v>
      </c>
      <c r="R4856">
        <v>14</v>
      </c>
      <c r="S4856">
        <v>16</v>
      </c>
    </row>
    <row r="4857" spans="1:19" x14ac:dyDescent="0.35">
      <c r="A4857">
        <v>5499</v>
      </c>
      <c r="B4857" t="s">
        <v>17358</v>
      </c>
      <c r="C4857" t="s">
        <v>42</v>
      </c>
      <c r="D4857" t="s">
        <v>17359</v>
      </c>
      <c r="E4857" t="e" cm="1">
        <f t="array" ref="E4857">- GENTAMICIN SULFATE. BETAMETHASONE VALERATE</f>
        <v>#NAME?</v>
      </c>
      <c r="F4857" t="s">
        <v>17360</v>
      </c>
      <c r="H4857" t="s">
        <v>17361</v>
      </c>
      <c r="I4857" t="s">
        <v>17362</v>
      </c>
      <c r="J4857" t="s">
        <v>17363</v>
      </c>
      <c r="K4857" t="s">
        <v>17364</v>
      </c>
      <c r="L4857" t="s">
        <v>17365</v>
      </c>
      <c r="M4857" t="s">
        <v>1289</v>
      </c>
      <c r="N4857" t="s">
        <v>11522</v>
      </c>
      <c r="O4857" t="s">
        <v>17366</v>
      </c>
      <c r="P4857" t="s">
        <v>17367</v>
      </c>
      <c r="Q4857" t="s">
        <v>22789</v>
      </c>
      <c r="R4857">
        <v>14</v>
      </c>
      <c r="S4857">
        <v>16</v>
      </c>
    </row>
    <row r="4858" spans="1:19" x14ac:dyDescent="0.35">
      <c r="A4858">
        <v>2711</v>
      </c>
      <c r="B4858" t="s">
        <v>22783</v>
      </c>
      <c r="C4858" t="s">
        <v>42</v>
      </c>
      <c r="D4858" t="s">
        <v>22784</v>
      </c>
      <c r="E4858" t="e" cm="1">
        <f t="array" ref="E4858">- FLUNARIZINE HYDROCHLORIDE</f>
        <v>#NAME?</v>
      </c>
      <c r="F4858" t="s">
        <v>22785</v>
      </c>
      <c r="G4858" t="s">
        <v>2241</v>
      </c>
      <c r="H4858" t="s">
        <v>22575</v>
      </c>
      <c r="I4858" t="s">
        <v>22576</v>
      </c>
      <c r="J4858" t="s">
        <v>754</v>
      </c>
      <c r="K4858" t="s">
        <v>22786</v>
      </c>
      <c r="L4858" t="s">
        <v>8847</v>
      </c>
      <c r="M4858" t="s">
        <v>46</v>
      </c>
      <c r="N4858" t="s">
        <v>4516</v>
      </c>
      <c r="O4858" t="s">
        <v>22578</v>
      </c>
      <c r="P4858" t="s">
        <v>22787</v>
      </c>
      <c r="Q4858" t="s">
        <v>22788</v>
      </c>
      <c r="R4858">
        <v>14</v>
      </c>
      <c r="S4858">
        <v>16</v>
      </c>
    </row>
    <row r="4859" spans="1:19" x14ac:dyDescent="0.35">
      <c r="A4859">
        <v>4573</v>
      </c>
      <c r="B4859" t="s">
        <v>15463</v>
      </c>
      <c r="C4859" t="s">
        <v>42</v>
      </c>
      <c r="D4859" t="s">
        <v>22790</v>
      </c>
      <c r="E4859" t="e" cm="1">
        <f t="array" ref="E4859">- DICLOFENAC SODIUM</f>
        <v>#NAME?</v>
      </c>
      <c r="F4859" t="s">
        <v>22791</v>
      </c>
      <c r="G4859" t="s">
        <v>22792</v>
      </c>
      <c r="H4859" t="s">
        <v>15466</v>
      </c>
      <c r="I4859" t="s">
        <v>22793</v>
      </c>
      <c r="J4859" t="s">
        <v>22794</v>
      </c>
      <c r="K4859" t="s">
        <v>22795</v>
      </c>
      <c r="L4859" t="s">
        <v>22796</v>
      </c>
      <c r="M4859" t="s">
        <v>824</v>
      </c>
      <c r="N4859" t="s">
        <v>2597</v>
      </c>
      <c r="O4859" t="s">
        <v>22797</v>
      </c>
      <c r="P4859" t="s">
        <v>22798</v>
      </c>
      <c r="Q4859" t="s">
        <v>22799</v>
      </c>
      <c r="R4859">
        <v>14</v>
      </c>
      <c r="S4859">
        <v>16</v>
      </c>
    </row>
    <row r="4860" spans="1:19" x14ac:dyDescent="0.35">
      <c r="A4860">
        <v>5249</v>
      </c>
      <c r="B4860" t="s">
        <v>22800</v>
      </c>
      <c r="C4860" t="s">
        <v>42</v>
      </c>
      <c r="D4860" t="s">
        <v>22801</v>
      </c>
      <c r="E4860" t="e" cm="1">
        <f t="array" ref="E4860">- CHLORAMPHENICOL</f>
        <v>#NAME?</v>
      </c>
      <c r="F4860" s="1">
        <v>18700</v>
      </c>
      <c r="G4860" t="s">
        <v>22802</v>
      </c>
      <c r="H4860" t="s">
        <v>11913</v>
      </c>
      <c r="I4860" t="s">
        <v>21852</v>
      </c>
      <c r="J4860" t="s">
        <v>10789</v>
      </c>
      <c r="K4860" t="s">
        <v>7921</v>
      </c>
      <c r="L4860" t="s">
        <v>21854</v>
      </c>
      <c r="M4860" t="s">
        <v>1029</v>
      </c>
      <c r="N4860" t="s">
        <v>1188</v>
      </c>
      <c r="O4860" t="s">
        <v>21855</v>
      </c>
      <c r="P4860" t="s">
        <v>1881</v>
      </c>
      <c r="Q4860" t="s">
        <v>22803</v>
      </c>
      <c r="R4860">
        <v>14</v>
      </c>
      <c r="S4860">
        <v>16</v>
      </c>
    </row>
    <row r="4861" spans="1:19" x14ac:dyDescent="0.35">
      <c r="A4861">
        <v>5462</v>
      </c>
      <c r="B4861" t="s">
        <v>22804</v>
      </c>
      <c r="C4861" t="s">
        <v>42</v>
      </c>
      <c r="D4861" t="s">
        <v>22805</v>
      </c>
      <c r="E4861" t="e" cm="1">
        <f t="array" ref="E4861">- ACICLOVIR</f>
        <v>#NAME?</v>
      </c>
      <c r="F4861" t="s">
        <v>22806</v>
      </c>
      <c r="G4861" t="s">
        <v>22807</v>
      </c>
      <c r="H4861" t="s">
        <v>22808</v>
      </c>
      <c r="I4861" t="s">
        <v>22809</v>
      </c>
      <c r="J4861" t="s">
        <v>22810</v>
      </c>
      <c r="K4861" t="s">
        <v>22811</v>
      </c>
      <c r="L4861" t="s">
        <v>22812</v>
      </c>
      <c r="M4861" t="s">
        <v>1289</v>
      </c>
      <c r="N4861" t="s">
        <v>1685</v>
      </c>
      <c r="O4861" t="s">
        <v>22813</v>
      </c>
      <c r="P4861" t="s">
        <v>22814</v>
      </c>
      <c r="Q4861" t="s">
        <v>22815</v>
      </c>
      <c r="R4861">
        <v>14</v>
      </c>
      <c r="S4861">
        <v>16</v>
      </c>
    </row>
    <row r="4862" spans="1:19" x14ac:dyDescent="0.35">
      <c r="A4862">
        <v>5207</v>
      </c>
      <c r="B4862" t="s">
        <v>22254</v>
      </c>
      <c r="C4862" t="s">
        <v>42</v>
      </c>
      <c r="D4862" t="s">
        <v>22816</v>
      </c>
      <c r="E4862" t="e" cm="1">
        <f t="array" ref="E4862">- CLOTRIMAZOLE</f>
        <v>#NAME?</v>
      </c>
      <c r="F4862" t="s">
        <v>22817</v>
      </c>
      <c r="G4862" t="s">
        <v>22257</v>
      </c>
      <c r="H4862" t="s">
        <v>22258</v>
      </c>
      <c r="I4862" t="s">
        <v>22259</v>
      </c>
      <c r="J4862" t="s">
        <v>1367</v>
      </c>
      <c r="K4862" t="s">
        <v>22260</v>
      </c>
      <c r="L4862" t="s">
        <v>22261</v>
      </c>
      <c r="M4862" t="s">
        <v>1289</v>
      </c>
      <c r="N4862" t="s">
        <v>1422</v>
      </c>
      <c r="O4862" t="s">
        <v>22262</v>
      </c>
      <c r="P4862" t="s">
        <v>22263</v>
      </c>
      <c r="Q4862" t="s">
        <v>22264</v>
      </c>
      <c r="R4862">
        <v>14</v>
      </c>
      <c r="S4862">
        <v>16</v>
      </c>
    </row>
    <row r="4863" spans="1:19" x14ac:dyDescent="0.35">
      <c r="A4863">
        <v>870</v>
      </c>
      <c r="B4863" t="s">
        <v>22818</v>
      </c>
      <c r="C4863" t="s">
        <v>42</v>
      </c>
      <c r="D4863" t="s">
        <v>22819</v>
      </c>
      <c r="E4863" t="e" cm="1">
        <f t="array" ref="E4863">- SUCCUS LIQUIRITIAE. AMMONIUM CHLORIDE</f>
        <v>#NAME?</v>
      </c>
      <c r="F4863" t="s">
        <v>22820</v>
      </c>
      <c r="G4863" t="s">
        <v>4649</v>
      </c>
      <c r="H4863" t="s">
        <v>22821</v>
      </c>
      <c r="I4863" t="s">
        <v>8897</v>
      </c>
      <c r="J4863" t="s">
        <v>374</v>
      </c>
      <c r="K4863" t="s">
        <v>3973</v>
      </c>
      <c r="L4863" t="s">
        <v>22822</v>
      </c>
      <c r="M4863" t="s">
        <v>271</v>
      </c>
      <c r="N4863" t="s">
        <v>5134</v>
      </c>
      <c r="O4863" t="s">
        <v>8898</v>
      </c>
      <c r="P4863" t="s">
        <v>21250</v>
      </c>
      <c r="Q4863" t="s">
        <v>22823</v>
      </c>
      <c r="R4863">
        <v>14</v>
      </c>
      <c r="S4863">
        <v>16</v>
      </c>
    </row>
    <row r="4864" spans="1:19" x14ac:dyDescent="0.35">
      <c r="A4864">
        <v>3929</v>
      </c>
      <c r="B4864" t="s">
        <v>22824</v>
      </c>
      <c r="C4864" t="s">
        <v>42</v>
      </c>
      <c r="D4864" t="s">
        <v>22825</v>
      </c>
      <c r="E4864" t="e" cm="1">
        <f t="array" ref="E4864">- BISACODYL</f>
        <v>#NAME?</v>
      </c>
      <c r="F4864" t="s">
        <v>22826</v>
      </c>
      <c r="G4864" t="s">
        <v>22827</v>
      </c>
      <c r="H4864" t="s">
        <v>22828</v>
      </c>
      <c r="I4864" t="s">
        <v>22829</v>
      </c>
      <c r="J4864" t="s">
        <v>22830</v>
      </c>
      <c r="K4864" t="s">
        <v>22831</v>
      </c>
    </row>
    <row r="4865" spans="1:19" x14ac:dyDescent="0.35">
      <c r="A4865">
        <v>3649</v>
      </c>
      <c r="B4865" t="s">
        <v>22832</v>
      </c>
      <c r="C4865" t="s">
        <v>42</v>
      </c>
      <c r="D4865" t="s">
        <v>22833</v>
      </c>
      <c r="E4865" t="e" cm="1">
        <f t="array" ref="E4865">- PYRATHIAZINE THEOCLATE</f>
        <v>#NAME?</v>
      </c>
      <c r="F4865" t="s">
        <v>22834</v>
      </c>
      <c r="G4865" t="s">
        <v>21049</v>
      </c>
      <c r="H4865" t="s">
        <v>21050</v>
      </c>
      <c r="I4865" t="s">
        <v>21051</v>
      </c>
      <c r="J4865" t="s">
        <v>22835</v>
      </c>
      <c r="L4865" t="s">
        <v>14652</v>
      </c>
      <c r="M4865" t="s">
        <v>46</v>
      </c>
      <c r="N4865" t="s">
        <v>22836</v>
      </c>
      <c r="O4865" t="s">
        <v>21053</v>
      </c>
      <c r="P4865" t="s">
        <v>22837</v>
      </c>
      <c r="Q4865" t="s">
        <v>22838</v>
      </c>
      <c r="R4865">
        <v>14</v>
      </c>
      <c r="S4865">
        <v>16</v>
      </c>
    </row>
    <row r="4866" spans="1:19" x14ac:dyDescent="0.35">
      <c r="A4866">
        <v>731</v>
      </c>
      <c r="B4866" t="s">
        <v>22839</v>
      </c>
      <c r="C4866" t="s">
        <v>850</v>
      </c>
      <c r="D4866" t="s">
        <v>22840</v>
      </c>
      <c r="E4866" t="e" cm="1">
        <f t="array" ref="E4866">- Cajuput Oil</f>
        <v>#NAME?</v>
      </c>
      <c r="F4866" t="s">
        <v>22841</v>
      </c>
      <c r="G4866" t="s">
        <v>22842</v>
      </c>
      <c r="H4866" t="s">
        <v>22843</v>
      </c>
      <c r="I4866" t="s">
        <v>22844</v>
      </c>
      <c r="J4866" t="s">
        <v>1647</v>
      </c>
      <c r="L4866" t="s">
        <v>22845</v>
      </c>
      <c r="M4866" t="s">
        <v>2115</v>
      </c>
      <c r="N4866" t="s">
        <v>3752</v>
      </c>
      <c r="O4866" t="s">
        <v>22846</v>
      </c>
      <c r="P4866" t="s">
        <v>22847</v>
      </c>
      <c r="Q4866" t="s">
        <v>22848</v>
      </c>
      <c r="R4866">
        <v>14</v>
      </c>
      <c r="S4866">
        <v>16</v>
      </c>
    </row>
    <row r="4867" spans="1:19" x14ac:dyDescent="0.35">
      <c r="A4867">
        <v>1918</v>
      </c>
      <c r="B4867" t="s">
        <v>22849</v>
      </c>
      <c r="C4867" t="s">
        <v>20</v>
      </c>
      <c r="D4867" t="s">
        <v>22850</v>
      </c>
      <c r="E4867" t="s">
        <v>22851</v>
      </c>
      <c r="F4867" s="1">
        <v>137500</v>
      </c>
      <c r="G4867" t="s">
        <v>22852</v>
      </c>
      <c r="H4867" t="s">
        <v>22853</v>
      </c>
      <c r="I4867" t="s">
        <v>22854</v>
      </c>
      <c r="J4867" t="s">
        <v>636</v>
      </c>
      <c r="L4867" t="s">
        <v>7765</v>
      </c>
      <c r="N4867" t="s">
        <v>22855</v>
      </c>
      <c r="O4867" t="s">
        <v>22856</v>
      </c>
      <c r="P4867" t="s">
        <v>22857</v>
      </c>
      <c r="Q4867" t="s">
        <v>22858</v>
      </c>
      <c r="R4867">
        <v>14</v>
      </c>
      <c r="S4867">
        <v>16</v>
      </c>
    </row>
    <row r="4868" spans="1:19" x14ac:dyDescent="0.35">
      <c r="A4868">
        <v>8517</v>
      </c>
      <c r="B4868" t="s">
        <v>551</v>
      </c>
      <c r="C4868" t="s">
        <v>42</v>
      </c>
      <c r="D4868" t="s">
        <v>22859</v>
      </c>
      <c r="E4868" t="e" cm="1">
        <f t="array" ref="E4868">- POVIDONE-IODINE</f>
        <v>#NAME?</v>
      </c>
      <c r="F4868" t="s">
        <v>22860</v>
      </c>
      <c r="I4868" t="s">
        <v>22646</v>
      </c>
      <c r="J4868" t="s">
        <v>18191</v>
      </c>
      <c r="M4868" t="s">
        <v>554</v>
      </c>
      <c r="N4868" t="s">
        <v>555</v>
      </c>
      <c r="O4868" t="s">
        <v>22647</v>
      </c>
      <c r="P4868" t="s">
        <v>5485</v>
      </c>
      <c r="Q4868" t="s">
        <v>22648</v>
      </c>
      <c r="R4868">
        <v>14</v>
      </c>
      <c r="S4868">
        <v>16</v>
      </c>
    </row>
    <row r="4869" spans="1:19" x14ac:dyDescent="0.35">
      <c r="A4869">
        <v>4020</v>
      </c>
      <c r="B4869" t="s">
        <v>22861</v>
      </c>
      <c r="C4869" t="s">
        <v>42</v>
      </c>
      <c r="D4869" t="s">
        <v>22862</v>
      </c>
      <c r="E4869" t="e" cm="1">
        <f t="array" ref="E4869">- SODIUM LAURILSULFATE</f>
        <v>#NAME?</v>
      </c>
      <c r="F4869" t="s">
        <v>22863</v>
      </c>
      <c r="G4869" t="s">
        <v>22864</v>
      </c>
      <c r="H4869" t="s">
        <v>22865</v>
      </c>
      <c r="I4869" t="s">
        <v>22866</v>
      </c>
      <c r="J4869" t="s">
        <v>22867</v>
      </c>
      <c r="K4869" t="s">
        <v>22868</v>
      </c>
      <c r="L4869" t="s">
        <v>22869</v>
      </c>
      <c r="M4869" t="s">
        <v>87</v>
      </c>
      <c r="N4869" t="s">
        <v>22870</v>
      </c>
      <c r="O4869" t="s">
        <v>22871</v>
      </c>
      <c r="P4869" t="s">
        <v>22872</v>
      </c>
      <c r="Q4869" t="s">
        <v>22873</v>
      </c>
      <c r="R4869">
        <v>14</v>
      </c>
      <c r="S4869">
        <v>16</v>
      </c>
    </row>
    <row r="4870" spans="1:19" x14ac:dyDescent="0.35">
      <c r="A4870">
        <v>4015</v>
      </c>
      <c r="B4870" t="s">
        <v>22874</v>
      </c>
      <c r="C4870" t="s">
        <v>42</v>
      </c>
      <c r="D4870" t="s">
        <v>22875</v>
      </c>
      <c r="E4870" t="e" cm="1">
        <f t="array" ref="E4870">- GLYCEROL</f>
        <v>#NAME?</v>
      </c>
      <c r="F4870" t="s">
        <v>22876</v>
      </c>
      <c r="G4870" t="s">
        <v>22877</v>
      </c>
      <c r="H4870" t="s">
        <v>22878</v>
      </c>
      <c r="I4870" t="s">
        <v>22879</v>
      </c>
      <c r="J4870" t="s">
        <v>846</v>
      </c>
      <c r="K4870" t="s">
        <v>2858</v>
      </c>
      <c r="L4870" t="s">
        <v>22880</v>
      </c>
      <c r="M4870" t="s">
        <v>271</v>
      </c>
      <c r="N4870" t="s">
        <v>1130</v>
      </c>
      <c r="O4870" t="s">
        <v>22881</v>
      </c>
      <c r="P4870" t="s">
        <v>22882</v>
      </c>
      <c r="Q4870" t="s">
        <v>22883</v>
      </c>
      <c r="R4870">
        <v>14</v>
      </c>
      <c r="S4870">
        <v>16</v>
      </c>
    </row>
    <row r="4871" spans="1:19" x14ac:dyDescent="0.35">
      <c r="A4871">
        <v>4705</v>
      </c>
      <c r="B4871" t="s">
        <v>18990</v>
      </c>
      <c r="C4871" t="s">
        <v>42</v>
      </c>
      <c r="D4871" t="s">
        <v>22884</v>
      </c>
      <c r="E4871" t="e" cm="1">
        <f t="array" ref="E4871">- TIMOLOL MALEATE</f>
        <v>#NAME?</v>
      </c>
      <c r="F4871" t="s">
        <v>22885</v>
      </c>
      <c r="G4871" t="s">
        <v>7569</v>
      </c>
      <c r="H4871" t="s">
        <v>18993</v>
      </c>
      <c r="I4871" t="s">
        <v>22886</v>
      </c>
      <c r="J4871" t="s">
        <v>22887</v>
      </c>
      <c r="K4871" t="s">
        <v>2726</v>
      </c>
      <c r="L4871" t="s">
        <v>22888</v>
      </c>
      <c r="M4871" t="s">
        <v>824</v>
      </c>
      <c r="N4871" t="s">
        <v>6219</v>
      </c>
      <c r="O4871" t="s">
        <v>18997</v>
      </c>
      <c r="P4871" t="s">
        <v>22889</v>
      </c>
      <c r="Q4871" t="s">
        <v>22890</v>
      </c>
      <c r="R4871">
        <v>14</v>
      </c>
      <c r="S4871">
        <v>16</v>
      </c>
    </row>
    <row r="4872" spans="1:19" x14ac:dyDescent="0.35">
      <c r="A4872">
        <v>4704</v>
      </c>
      <c r="B4872" t="s">
        <v>18990</v>
      </c>
      <c r="C4872" t="s">
        <v>42</v>
      </c>
      <c r="D4872" t="s">
        <v>22884</v>
      </c>
      <c r="E4872" t="e" cm="1">
        <f t="array" ref="E4872">- TIMOLOL MALEATE</f>
        <v>#NAME?</v>
      </c>
      <c r="F4872" t="s">
        <v>22885</v>
      </c>
      <c r="G4872" t="s">
        <v>7569</v>
      </c>
      <c r="H4872" t="s">
        <v>18993</v>
      </c>
      <c r="I4872" t="s">
        <v>22886</v>
      </c>
      <c r="J4872" t="s">
        <v>22887</v>
      </c>
      <c r="K4872" t="s">
        <v>2726</v>
      </c>
      <c r="L4872" t="s">
        <v>22888</v>
      </c>
      <c r="M4872" t="s">
        <v>824</v>
      </c>
      <c r="N4872" t="s">
        <v>6219</v>
      </c>
      <c r="O4872" t="s">
        <v>18997</v>
      </c>
      <c r="P4872" t="s">
        <v>22889</v>
      </c>
      <c r="Q4872" t="s">
        <v>22890</v>
      </c>
      <c r="R4872">
        <v>14</v>
      </c>
      <c r="S4872">
        <v>16</v>
      </c>
    </row>
    <row r="4873" spans="1:19" x14ac:dyDescent="0.35">
      <c r="A4873">
        <v>4703</v>
      </c>
      <c r="B4873" t="s">
        <v>18990</v>
      </c>
      <c r="C4873" t="s">
        <v>42</v>
      </c>
      <c r="D4873" t="s">
        <v>22884</v>
      </c>
      <c r="E4873" t="e" cm="1">
        <f t="array" ref="E4873">- TIMOLOL MALEATE</f>
        <v>#NAME?</v>
      </c>
      <c r="F4873" t="s">
        <v>22885</v>
      </c>
      <c r="G4873" t="s">
        <v>7569</v>
      </c>
      <c r="H4873" t="s">
        <v>18993</v>
      </c>
      <c r="I4873" t="s">
        <v>22886</v>
      </c>
      <c r="J4873" t="s">
        <v>22887</v>
      </c>
      <c r="K4873" t="s">
        <v>2726</v>
      </c>
      <c r="L4873" t="s">
        <v>22888</v>
      </c>
      <c r="M4873" t="s">
        <v>824</v>
      </c>
      <c r="N4873" t="s">
        <v>6219</v>
      </c>
      <c r="O4873" t="s">
        <v>18997</v>
      </c>
      <c r="P4873" t="s">
        <v>22889</v>
      </c>
      <c r="Q4873" t="s">
        <v>22890</v>
      </c>
      <c r="R4873">
        <v>14</v>
      </c>
      <c r="S4873">
        <v>16</v>
      </c>
    </row>
    <row r="4874" spans="1:19" x14ac:dyDescent="0.35">
      <c r="A4874">
        <v>1324</v>
      </c>
      <c r="B4874" t="s">
        <v>22891</v>
      </c>
      <c r="C4874" t="s">
        <v>42</v>
      </c>
      <c r="D4874" t="s">
        <v>22892</v>
      </c>
      <c r="E4874" t="e" cm="1">
        <f t="array" ref="E4874">- BROMHEXINE HYDROCHLORIDE</f>
        <v>#NAME?</v>
      </c>
      <c r="F4874" t="s">
        <v>22893</v>
      </c>
      <c r="G4874" t="s">
        <v>3774</v>
      </c>
      <c r="H4874" t="s">
        <v>22894</v>
      </c>
      <c r="I4874" t="s">
        <v>22895</v>
      </c>
      <c r="J4874" t="s">
        <v>846</v>
      </c>
      <c r="L4874" t="s">
        <v>22896</v>
      </c>
      <c r="M4874" t="s">
        <v>554</v>
      </c>
      <c r="N4874" t="s">
        <v>1342</v>
      </c>
      <c r="O4874" t="s">
        <v>22897</v>
      </c>
      <c r="P4874" t="s">
        <v>22898</v>
      </c>
      <c r="Q4874" t="s">
        <v>22899</v>
      </c>
      <c r="R4874">
        <v>14</v>
      </c>
      <c r="S4874">
        <v>16</v>
      </c>
    </row>
    <row r="4875" spans="1:19" x14ac:dyDescent="0.35">
      <c r="A4875">
        <v>6452</v>
      </c>
      <c r="B4875" t="s">
        <v>22900</v>
      </c>
      <c r="C4875" t="s">
        <v>42</v>
      </c>
      <c r="D4875" t="s">
        <v>22901</v>
      </c>
      <c r="E4875" t="e" cm="1">
        <f t="array" ref="E4875">- THIAMPHENICOL</f>
        <v>#NAME?</v>
      </c>
      <c r="F4875" t="s">
        <v>22902</v>
      </c>
      <c r="G4875" t="s">
        <v>5568</v>
      </c>
      <c r="H4875" t="s">
        <v>22903</v>
      </c>
      <c r="I4875" t="s">
        <v>22904</v>
      </c>
      <c r="J4875" t="s">
        <v>22905</v>
      </c>
      <c r="K4875" t="s">
        <v>22906</v>
      </c>
      <c r="L4875" t="s">
        <v>22907</v>
      </c>
      <c r="M4875" t="s">
        <v>38</v>
      </c>
      <c r="N4875" t="s">
        <v>272</v>
      </c>
      <c r="O4875" t="s">
        <v>22908</v>
      </c>
      <c r="P4875" t="s">
        <v>22909</v>
      </c>
      <c r="Q4875" t="s">
        <v>22910</v>
      </c>
      <c r="R4875">
        <v>14</v>
      </c>
      <c r="S4875">
        <v>16</v>
      </c>
    </row>
    <row r="4876" spans="1:19" x14ac:dyDescent="0.35">
      <c r="A4876">
        <v>5537</v>
      </c>
      <c r="B4876" t="s">
        <v>22911</v>
      </c>
      <c r="C4876" t="s">
        <v>42</v>
      </c>
      <c r="D4876" t="s">
        <v>22912</v>
      </c>
      <c r="E4876" t="e" cm="1">
        <f t="array" ref="E4876">- BENZYL Nicotinate</f>
        <v>#NAME?</v>
      </c>
      <c r="F4876" t="s">
        <v>22913</v>
      </c>
      <c r="G4876" t="s">
        <v>17269</v>
      </c>
      <c r="H4876" t="s">
        <v>22914</v>
      </c>
      <c r="I4876" t="s">
        <v>22915</v>
      </c>
      <c r="J4876" t="s">
        <v>7187</v>
      </c>
      <c r="K4876" t="s">
        <v>8963</v>
      </c>
      <c r="L4876" t="s">
        <v>17273</v>
      </c>
      <c r="M4876" t="s">
        <v>1029</v>
      </c>
      <c r="N4876" t="s">
        <v>22916</v>
      </c>
      <c r="O4876" t="s">
        <v>22917</v>
      </c>
      <c r="P4876" t="s">
        <v>22918</v>
      </c>
      <c r="Q4876" t="s">
        <v>22919</v>
      </c>
      <c r="R4876">
        <v>14</v>
      </c>
      <c r="S4876">
        <v>16</v>
      </c>
    </row>
    <row r="4877" spans="1:19" x14ac:dyDescent="0.35">
      <c r="A4877">
        <v>7736</v>
      </c>
      <c r="B4877" t="s">
        <v>22920</v>
      </c>
      <c r="C4877" t="s">
        <v>42</v>
      </c>
      <c r="D4877" t="s">
        <v>22921</v>
      </c>
      <c r="E4877" t="e" cm="1">
        <f t="array" ref="E4877">- THIAMINE NITRATE. PYRIDOXINE HYDROCHLORIDE. CYANOCOBALAMIN</f>
        <v>#NAME?</v>
      </c>
      <c r="F4877" t="s">
        <v>22922</v>
      </c>
      <c r="G4877" t="s">
        <v>7657</v>
      </c>
      <c r="H4877" t="s">
        <v>9899</v>
      </c>
      <c r="I4877" t="s">
        <v>22923</v>
      </c>
      <c r="J4877" t="s">
        <v>1093</v>
      </c>
      <c r="K4877" t="s">
        <v>2858</v>
      </c>
      <c r="L4877" t="s">
        <v>15420</v>
      </c>
      <c r="M4877" t="s">
        <v>46</v>
      </c>
      <c r="N4877" t="s">
        <v>5479</v>
      </c>
      <c r="O4877" t="s">
        <v>22924</v>
      </c>
      <c r="P4877" t="s">
        <v>22925</v>
      </c>
      <c r="Q4877" t="s">
        <v>22926</v>
      </c>
      <c r="R4877">
        <v>14</v>
      </c>
      <c r="S4877">
        <v>16</v>
      </c>
    </row>
    <row r="4878" spans="1:19" x14ac:dyDescent="0.35">
      <c r="A4878">
        <v>9946</v>
      </c>
      <c r="B4878" t="s">
        <v>22927</v>
      </c>
      <c r="C4878" t="s">
        <v>42</v>
      </c>
      <c r="D4878" t="s">
        <v>22928</v>
      </c>
      <c r="E4878" t="e" cm="1">
        <f t="array" ref="E4878">- CLOPIDOGREL</f>
        <v>#NAME?</v>
      </c>
      <c r="F4878" t="s">
        <v>22929</v>
      </c>
      <c r="G4878" t="s">
        <v>60</v>
      </c>
      <c r="H4878" t="s">
        <v>22930</v>
      </c>
      <c r="I4878" t="s">
        <v>22931</v>
      </c>
      <c r="J4878" t="s">
        <v>599</v>
      </c>
      <c r="K4878" t="s">
        <v>2726</v>
      </c>
      <c r="L4878" t="s">
        <v>22932</v>
      </c>
      <c r="M4878" t="s">
        <v>46</v>
      </c>
      <c r="N4878" t="s">
        <v>22933</v>
      </c>
      <c r="O4878" t="s">
        <v>22934</v>
      </c>
      <c r="P4878" t="s">
        <v>22935</v>
      </c>
      <c r="Q4878" t="s">
        <v>22936</v>
      </c>
      <c r="R4878">
        <v>14</v>
      </c>
      <c r="S4878">
        <v>16</v>
      </c>
    </row>
    <row r="4879" spans="1:19" x14ac:dyDescent="0.35">
      <c r="A4879">
        <v>2162</v>
      </c>
      <c r="B4879" t="s">
        <v>9061</v>
      </c>
      <c r="C4879" t="s">
        <v>42</v>
      </c>
      <c r="D4879" t="s">
        <v>9062</v>
      </c>
      <c r="E4879" t="e" cm="1">
        <f t="array" ref="E4879">- PARACETAMOL. THIAMINE MONONITRATE. PYRIDOXINE HYDROCHLORIDE. CYANOCOBALAMIN</f>
        <v>#NAME?</v>
      </c>
      <c r="F4879" t="s">
        <v>9063</v>
      </c>
      <c r="G4879" t="s">
        <v>8843</v>
      </c>
      <c r="H4879" t="s">
        <v>9064</v>
      </c>
      <c r="I4879" t="s">
        <v>9065</v>
      </c>
      <c r="J4879" t="s">
        <v>9066</v>
      </c>
      <c r="K4879" t="s">
        <v>8875</v>
      </c>
      <c r="L4879" t="s">
        <v>9067</v>
      </c>
      <c r="M4879" t="s">
        <v>46</v>
      </c>
      <c r="N4879" t="s">
        <v>21137</v>
      </c>
      <c r="O4879" t="s">
        <v>9068</v>
      </c>
      <c r="P4879" t="s">
        <v>9069</v>
      </c>
      <c r="Q4879" t="s">
        <v>22937</v>
      </c>
      <c r="R4879">
        <v>14</v>
      </c>
      <c r="S4879">
        <v>16</v>
      </c>
    </row>
    <row r="4880" spans="1:19" x14ac:dyDescent="0.35">
      <c r="A4880">
        <v>2161</v>
      </c>
      <c r="B4880" t="s">
        <v>9061</v>
      </c>
      <c r="C4880" t="s">
        <v>42</v>
      </c>
      <c r="D4880" t="s">
        <v>9062</v>
      </c>
      <c r="E4880" t="e" cm="1">
        <f t="array" ref="E4880">- PARACETAMOL. THIAMINE MONONITRATE. PYRIDOXINE HYDROCHLORIDE. CYANOCOBALAMIN</f>
        <v>#NAME?</v>
      </c>
      <c r="F4880" t="s">
        <v>9063</v>
      </c>
      <c r="G4880" t="s">
        <v>8843</v>
      </c>
      <c r="H4880" t="s">
        <v>9064</v>
      </c>
      <c r="I4880" t="s">
        <v>9065</v>
      </c>
      <c r="J4880" t="s">
        <v>9066</v>
      </c>
      <c r="K4880" t="s">
        <v>8875</v>
      </c>
      <c r="L4880" t="s">
        <v>9067</v>
      </c>
      <c r="M4880" t="s">
        <v>46</v>
      </c>
      <c r="N4880" t="s">
        <v>21137</v>
      </c>
      <c r="O4880" t="s">
        <v>9068</v>
      </c>
      <c r="P4880" t="s">
        <v>9069</v>
      </c>
      <c r="Q4880" t="s">
        <v>22937</v>
      </c>
      <c r="R4880">
        <v>14</v>
      </c>
      <c r="S4880">
        <v>16</v>
      </c>
    </row>
    <row r="4881" spans="1:19" x14ac:dyDescent="0.35">
      <c r="A4881">
        <v>4695</v>
      </c>
      <c r="B4881" t="s">
        <v>22938</v>
      </c>
      <c r="C4881" t="s">
        <v>42</v>
      </c>
      <c r="D4881" t="s">
        <v>22939</v>
      </c>
      <c r="E4881" t="e" cm="1">
        <f t="array" ref="E4881">- NEOMYCIN SULFATE</f>
        <v>#NAME?</v>
      </c>
      <c r="F4881" t="s">
        <v>22940</v>
      </c>
      <c r="G4881" t="s">
        <v>7569</v>
      </c>
      <c r="H4881" t="s">
        <v>22941</v>
      </c>
      <c r="I4881" t="s">
        <v>22942</v>
      </c>
      <c r="J4881" t="s">
        <v>10248</v>
      </c>
      <c r="K4881" t="s">
        <v>8963</v>
      </c>
      <c r="L4881" t="s">
        <v>270</v>
      </c>
      <c r="M4881" t="s">
        <v>824</v>
      </c>
      <c r="N4881" t="s">
        <v>13908</v>
      </c>
      <c r="O4881" t="s">
        <v>22943</v>
      </c>
      <c r="P4881" t="s">
        <v>22944</v>
      </c>
      <c r="Q4881" t="s">
        <v>22945</v>
      </c>
      <c r="R4881">
        <v>14</v>
      </c>
      <c r="S4881">
        <v>16</v>
      </c>
    </row>
    <row r="4882" spans="1:19" x14ac:dyDescent="0.35">
      <c r="A4882">
        <v>4694</v>
      </c>
      <c r="B4882" t="s">
        <v>22938</v>
      </c>
      <c r="C4882" t="s">
        <v>42</v>
      </c>
      <c r="D4882" t="s">
        <v>22939</v>
      </c>
      <c r="E4882" t="e" cm="1">
        <f t="array" ref="E4882">- NEOMYCIN SULFATE</f>
        <v>#NAME?</v>
      </c>
      <c r="F4882" t="s">
        <v>22940</v>
      </c>
      <c r="G4882" t="s">
        <v>7569</v>
      </c>
      <c r="H4882" t="s">
        <v>22941</v>
      </c>
      <c r="I4882" t="s">
        <v>22942</v>
      </c>
      <c r="J4882" t="s">
        <v>10248</v>
      </c>
      <c r="K4882" t="s">
        <v>8963</v>
      </c>
      <c r="L4882" t="s">
        <v>270</v>
      </c>
      <c r="M4882" t="s">
        <v>824</v>
      </c>
      <c r="N4882" t="s">
        <v>13908</v>
      </c>
      <c r="O4882" t="s">
        <v>22943</v>
      </c>
      <c r="P4882" t="s">
        <v>22944</v>
      </c>
      <c r="Q4882" t="s">
        <v>22945</v>
      </c>
      <c r="R4882">
        <v>14</v>
      </c>
      <c r="S4882">
        <v>16</v>
      </c>
    </row>
    <row r="4883" spans="1:19" x14ac:dyDescent="0.35">
      <c r="A4883">
        <v>8516</v>
      </c>
      <c r="B4883" t="s">
        <v>551</v>
      </c>
      <c r="C4883" t="s">
        <v>42</v>
      </c>
      <c r="D4883" t="s">
        <v>22859</v>
      </c>
      <c r="E4883" t="e" cm="1">
        <f t="array" ref="E4883">- POVIDONE-IODINE</f>
        <v>#NAME?</v>
      </c>
      <c r="F4883" t="s">
        <v>22860</v>
      </c>
      <c r="I4883" t="s">
        <v>22646</v>
      </c>
      <c r="J4883" t="s">
        <v>18191</v>
      </c>
      <c r="M4883" t="s">
        <v>554</v>
      </c>
      <c r="N4883" t="s">
        <v>555</v>
      </c>
      <c r="O4883" t="s">
        <v>22647</v>
      </c>
      <c r="P4883" t="s">
        <v>5485</v>
      </c>
      <c r="Q4883" t="s">
        <v>22648</v>
      </c>
      <c r="R4883">
        <v>14</v>
      </c>
      <c r="S4883">
        <v>16</v>
      </c>
    </row>
    <row r="4884" spans="1:19" x14ac:dyDescent="0.35">
      <c r="A4884">
        <v>8953</v>
      </c>
      <c r="B4884" t="s">
        <v>22946</v>
      </c>
      <c r="C4884" t="s">
        <v>42</v>
      </c>
      <c r="D4884" t="s">
        <v>22947</v>
      </c>
      <c r="E4884" t="e" cm="1">
        <f t="array" ref="E4884">- VALSARTAN. AMLODIPINE BESILATE</f>
        <v>#NAME?</v>
      </c>
      <c r="F4884" t="s">
        <v>22948</v>
      </c>
      <c r="G4884" t="s">
        <v>60</v>
      </c>
      <c r="H4884" t="s">
        <v>2949</v>
      </c>
      <c r="I4884" t="s">
        <v>22722</v>
      </c>
      <c r="J4884" t="s">
        <v>22949</v>
      </c>
      <c r="K4884" t="s">
        <v>22950</v>
      </c>
      <c r="L4884" t="s">
        <v>22951</v>
      </c>
      <c r="M4884" t="s">
        <v>46</v>
      </c>
      <c r="N4884" t="s">
        <v>3875</v>
      </c>
      <c r="O4884" t="s">
        <v>22726</v>
      </c>
      <c r="P4884" t="s">
        <v>22727</v>
      </c>
      <c r="Q4884" t="s">
        <v>22728</v>
      </c>
      <c r="R4884">
        <v>14</v>
      </c>
      <c r="S4884">
        <v>16</v>
      </c>
    </row>
    <row r="4885" spans="1:19" x14ac:dyDescent="0.35">
      <c r="A4885">
        <v>2655</v>
      </c>
      <c r="B4885" t="s">
        <v>20697</v>
      </c>
      <c r="C4885" t="s">
        <v>42</v>
      </c>
      <c r="D4885" t="s">
        <v>20698</v>
      </c>
      <c r="E4885" t="e" cm="1">
        <f t="array" ref="E4885">- IBUPROFEN. PARACETAMOL</f>
        <v>#NAME?</v>
      </c>
      <c r="F4885" t="s">
        <v>20699</v>
      </c>
      <c r="G4885" t="s">
        <v>20700</v>
      </c>
      <c r="H4885" t="s">
        <v>20701</v>
      </c>
      <c r="I4885" t="s">
        <v>20702</v>
      </c>
      <c r="J4885" t="s">
        <v>5221</v>
      </c>
      <c r="L4885" t="s">
        <v>20703</v>
      </c>
      <c r="M4885" t="s">
        <v>291</v>
      </c>
      <c r="N4885" t="s">
        <v>16974</v>
      </c>
      <c r="O4885" t="s">
        <v>20704</v>
      </c>
      <c r="P4885" t="s">
        <v>20705</v>
      </c>
      <c r="Q4885" t="s">
        <v>22952</v>
      </c>
      <c r="R4885">
        <v>14</v>
      </c>
      <c r="S4885">
        <v>16</v>
      </c>
    </row>
    <row r="4886" spans="1:19" x14ac:dyDescent="0.35">
      <c r="A4886">
        <v>738</v>
      </c>
      <c r="B4886" t="s">
        <v>22953</v>
      </c>
      <c r="C4886" t="s">
        <v>850</v>
      </c>
      <c r="D4886" t="s">
        <v>22954</v>
      </c>
      <c r="E4886" t="e" cm="1">
        <f t="array" ref="E4886">- Cajuput Oil</f>
        <v>#NAME?</v>
      </c>
      <c r="F4886" t="s">
        <v>22955</v>
      </c>
      <c r="G4886" t="s">
        <v>22956</v>
      </c>
      <c r="H4886" t="s">
        <v>22957</v>
      </c>
      <c r="I4886" t="s">
        <v>22958</v>
      </c>
      <c r="J4886" t="s">
        <v>22959</v>
      </c>
      <c r="L4886" t="s">
        <v>22960</v>
      </c>
      <c r="M4886" t="s">
        <v>2115</v>
      </c>
      <c r="N4886" t="s">
        <v>3752</v>
      </c>
      <c r="O4886" t="s">
        <v>22846</v>
      </c>
      <c r="P4886" t="s">
        <v>22961</v>
      </c>
      <c r="Q4886" t="s">
        <v>22962</v>
      </c>
      <c r="R4886">
        <v>14</v>
      </c>
      <c r="S4886">
        <v>16</v>
      </c>
    </row>
    <row r="4887" spans="1:19" x14ac:dyDescent="0.35">
      <c r="A4887">
        <v>5208</v>
      </c>
      <c r="B4887" t="s">
        <v>22254</v>
      </c>
      <c r="C4887" t="s">
        <v>42</v>
      </c>
      <c r="D4887" t="s">
        <v>22255</v>
      </c>
      <c r="E4887" t="e" cm="1">
        <f t="array" ref="E4887">- CLOTRIMAZOLE</f>
        <v>#NAME?</v>
      </c>
      <c r="F4887" t="s">
        <v>22256</v>
      </c>
      <c r="G4887" t="s">
        <v>22257</v>
      </c>
      <c r="H4887" t="s">
        <v>22258</v>
      </c>
      <c r="I4887" t="s">
        <v>22259</v>
      </c>
      <c r="J4887" t="s">
        <v>2040</v>
      </c>
      <c r="K4887" t="s">
        <v>22260</v>
      </c>
      <c r="L4887" t="s">
        <v>22261</v>
      </c>
      <c r="M4887" t="s">
        <v>1289</v>
      </c>
      <c r="N4887" t="s">
        <v>1422</v>
      </c>
      <c r="O4887" t="s">
        <v>22262</v>
      </c>
      <c r="P4887" t="s">
        <v>22263</v>
      </c>
      <c r="Q4887" t="s">
        <v>22264</v>
      </c>
      <c r="R4887">
        <v>14</v>
      </c>
      <c r="S4887">
        <v>16</v>
      </c>
    </row>
    <row r="4888" spans="1:19" x14ac:dyDescent="0.35">
      <c r="A4888">
        <v>8224</v>
      </c>
      <c r="B4888" t="s">
        <v>551</v>
      </c>
      <c r="C4888" t="s">
        <v>42</v>
      </c>
      <c r="D4888" t="s">
        <v>22963</v>
      </c>
      <c r="E4888" t="e" cm="1">
        <f t="array" ref="E4888">- POVIDONE-IODINE</f>
        <v>#NAME?</v>
      </c>
      <c r="F4888" t="s">
        <v>22964</v>
      </c>
      <c r="G4888" t="s">
        <v>21481</v>
      </c>
      <c r="I4888" t="s">
        <v>21482</v>
      </c>
      <c r="J4888" t="s">
        <v>22965</v>
      </c>
      <c r="M4888" t="s">
        <v>554</v>
      </c>
      <c r="N4888" t="s">
        <v>555</v>
      </c>
      <c r="O4888" t="s">
        <v>21483</v>
      </c>
      <c r="P4888" t="s">
        <v>22966</v>
      </c>
      <c r="Q4888" t="s">
        <v>22967</v>
      </c>
      <c r="R4888">
        <v>14</v>
      </c>
      <c r="S4888">
        <v>16</v>
      </c>
    </row>
    <row r="4889" spans="1:19" x14ac:dyDescent="0.35">
      <c r="A4889">
        <v>1092</v>
      </c>
      <c r="B4889" t="s">
        <v>22968</v>
      </c>
      <c r="C4889" t="s">
        <v>42</v>
      </c>
      <c r="D4889" t="s">
        <v>22969</v>
      </c>
      <c r="E4889" t="e" cm="1">
        <f t="array" ref="E4889">- CHLORPHENAMINE MALEATE</f>
        <v>#NAME?</v>
      </c>
      <c r="F4889" t="s">
        <v>22970</v>
      </c>
      <c r="G4889" t="s">
        <v>4545</v>
      </c>
      <c r="H4889" t="s">
        <v>22971</v>
      </c>
      <c r="I4889" t="s">
        <v>22972</v>
      </c>
      <c r="J4889" t="s">
        <v>15308</v>
      </c>
      <c r="K4889" t="s">
        <v>22973</v>
      </c>
      <c r="L4889" t="s">
        <v>22974</v>
      </c>
      <c r="M4889" t="s">
        <v>291</v>
      </c>
      <c r="N4889" t="s">
        <v>1354</v>
      </c>
      <c r="O4889" t="s">
        <v>22975</v>
      </c>
      <c r="P4889" t="s">
        <v>22976</v>
      </c>
      <c r="Q4889" t="s">
        <v>22977</v>
      </c>
      <c r="R4889">
        <v>14</v>
      </c>
      <c r="S4889">
        <v>16</v>
      </c>
    </row>
    <row r="4890" spans="1:19" x14ac:dyDescent="0.35">
      <c r="A4890">
        <v>8225</v>
      </c>
      <c r="B4890" t="s">
        <v>551</v>
      </c>
      <c r="C4890" t="s">
        <v>42</v>
      </c>
      <c r="D4890" t="s">
        <v>22963</v>
      </c>
      <c r="E4890" t="e" cm="1">
        <f t="array" ref="E4890">- POVIDONE-IODINE</f>
        <v>#NAME?</v>
      </c>
      <c r="F4890" t="s">
        <v>22964</v>
      </c>
      <c r="G4890" t="s">
        <v>21481</v>
      </c>
      <c r="I4890" t="s">
        <v>21482</v>
      </c>
      <c r="J4890" t="s">
        <v>22965</v>
      </c>
      <c r="M4890" t="s">
        <v>554</v>
      </c>
      <c r="N4890" t="s">
        <v>555</v>
      </c>
      <c r="O4890" t="s">
        <v>21483</v>
      </c>
      <c r="P4890" t="s">
        <v>22966</v>
      </c>
      <c r="Q4890" t="s">
        <v>22967</v>
      </c>
      <c r="R4890">
        <v>14</v>
      </c>
      <c r="S4890">
        <v>16</v>
      </c>
    </row>
    <row r="4891" spans="1:19" x14ac:dyDescent="0.35">
      <c r="A4891">
        <v>869</v>
      </c>
      <c r="B4891" t="s">
        <v>22818</v>
      </c>
      <c r="C4891" t="s">
        <v>42</v>
      </c>
      <c r="D4891" t="s">
        <v>22819</v>
      </c>
      <c r="E4891" t="e" cm="1">
        <f t="array" ref="E4891">- AMMONIUM CHLORIDE. SUCCUS LIQUIRITIAE</f>
        <v>#NAME?</v>
      </c>
      <c r="F4891" t="s">
        <v>22820</v>
      </c>
      <c r="G4891" t="s">
        <v>4649</v>
      </c>
      <c r="H4891" t="s">
        <v>22821</v>
      </c>
      <c r="I4891" t="s">
        <v>8897</v>
      </c>
      <c r="J4891" t="s">
        <v>374</v>
      </c>
      <c r="K4891" t="s">
        <v>3973</v>
      </c>
      <c r="L4891" t="s">
        <v>22822</v>
      </c>
      <c r="M4891" t="s">
        <v>271</v>
      </c>
      <c r="N4891" t="s">
        <v>13691</v>
      </c>
      <c r="O4891" t="s">
        <v>8898</v>
      </c>
      <c r="P4891" t="s">
        <v>21250</v>
      </c>
      <c r="Q4891" t="s">
        <v>22978</v>
      </c>
      <c r="R4891">
        <v>14</v>
      </c>
      <c r="S4891">
        <v>16</v>
      </c>
    </row>
    <row r="4892" spans="1:19" x14ac:dyDescent="0.35">
      <c r="A4892">
        <v>2201</v>
      </c>
      <c r="B4892" t="s">
        <v>22243</v>
      </c>
      <c r="C4892" t="s">
        <v>42</v>
      </c>
      <c r="D4892" t="s">
        <v>22979</v>
      </c>
      <c r="E4892" t="e" cm="1">
        <f t="array" ref="E4892">- PIROXICAM</f>
        <v>#NAME?</v>
      </c>
      <c r="F4892" t="s">
        <v>22980</v>
      </c>
      <c r="G4892" t="s">
        <v>19948</v>
      </c>
      <c r="H4892" t="s">
        <v>22981</v>
      </c>
      <c r="I4892" t="s">
        <v>22982</v>
      </c>
      <c r="J4892" t="s">
        <v>381</v>
      </c>
      <c r="K4892" t="s">
        <v>21967</v>
      </c>
      <c r="L4892" t="s">
        <v>22983</v>
      </c>
      <c r="M4892" t="s">
        <v>46</v>
      </c>
      <c r="N4892" t="s">
        <v>605</v>
      </c>
      <c r="O4892" t="s">
        <v>22984</v>
      </c>
      <c r="P4892" t="s">
        <v>605</v>
      </c>
      <c r="Q4892" t="s">
        <v>22985</v>
      </c>
      <c r="R4892">
        <v>14</v>
      </c>
      <c r="S4892">
        <v>16</v>
      </c>
    </row>
    <row r="4893" spans="1:19" x14ac:dyDescent="0.35">
      <c r="A4893">
        <v>1756</v>
      </c>
      <c r="B4893" t="s">
        <v>22318</v>
      </c>
      <c r="C4893" t="s">
        <v>850</v>
      </c>
      <c r="D4893" t="s">
        <v>22986</v>
      </c>
      <c r="E4893" t="e" cm="1">
        <f t="array" ref="E4893">- Camphor</f>
        <v>#NAME?</v>
      </c>
      <c r="F4893" t="s">
        <v>21562</v>
      </c>
      <c r="G4893" t="s">
        <v>22320</v>
      </c>
      <c r="H4893" t="s">
        <v>16824</v>
      </c>
      <c r="I4893" t="s">
        <v>22506</v>
      </c>
      <c r="J4893" t="s">
        <v>9310</v>
      </c>
      <c r="L4893" t="s">
        <v>22508</v>
      </c>
      <c r="M4893" t="s">
        <v>2115</v>
      </c>
      <c r="N4893" t="s">
        <v>853</v>
      </c>
      <c r="O4893" t="s">
        <v>22324</v>
      </c>
      <c r="P4893" t="s">
        <v>22325</v>
      </c>
      <c r="Q4893" t="s">
        <v>22326</v>
      </c>
      <c r="R4893">
        <v>14</v>
      </c>
      <c r="S4893">
        <v>16</v>
      </c>
    </row>
    <row r="4894" spans="1:19" x14ac:dyDescent="0.35">
      <c r="A4894">
        <v>2200</v>
      </c>
      <c r="B4894" t="s">
        <v>22243</v>
      </c>
      <c r="C4894" t="s">
        <v>42</v>
      </c>
      <c r="D4894" t="s">
        <v>22979</v>
      </c>
      <c r="E4894" t="e" cm="1">
        <f t="array" ref="E4894">- PIROXICAM</f>
        <v>#NAME?</v>
      </c>
      <c r="F4894" t="s">
        <v>22980</v>
      </c>
      <c r="G4894" t="s">
        <v>19948</v>
      </c>
      <c r="H4894" t="s">
        <v>22981</v>
      </c>
      <c r="I4894" t="s">
        <v>22982</v>
      </c>
      <c r="J4894" t="s">
        <v>381</v>
      </c>
      <c r="K4894" t="s">
        <v>21967</v>
      </c>
      <c r="L4894" t="s">
        <v>22983</v>
      </c>
      <c r="M4894" t="s">
        <v>46</v>
      </c>
      <c r="N4894" t="s">
        <v>605</v>
      </c>
      <c r="O4894" t="s">
        <v>22984</v>
      </c>
      <c r="P4894" t="s">
        <v>605</v>
      </c>
      <c r="Q4894" t="s">
        <v>22985</v>
      </c>
      <c r="R4894">
        <v>14</v>
      </c>
      <c r="S4894">
        <v>16</v>
      </c>
    </row>
    <row r="4895" spans="1:19" x14ac:dyDescent="0.35">
      <c r="A4895">
        <v>1465</v>
      </c>
      <c r="B4895" t="s">
        <v>11762</v>
      </c>
      <c r="C4895" t="s">
        <v>42</v>
      </c>
      <c r="D4895" t="s">
        <v>11763</v>
      </c>
      <c r="E4895" t="e" cm="1">
        <f t="array" ref="E4895">- PARACETAMOL. PHENYLPROPANOLAMINE HYDROCHLORIDE. GUAIFENESIN. CHLORPHENAMINE MALEATE</f>
        <v>#NAME?</v>
      </c>
      <c r="F4895" t="s">
        <v>11764</v>
      </c>
      <c r="H4895" t="s">
        <v>11765</v>
      </c>
      <c r="I4895" t="s">
        <v>11766</v>
      </c>
      <c r="J4895" t="s">
        <v>334</v>
      </c>
      <c r="K4895" t="s">
        <v>11767</v>
      </c>
      <c r="L4895" t="s">
        <v>11768</v>
      </c>
      <c r="M4895" t="s">
        <v>271</v>
      </c>
      <c r="N4895" t="s">
        <v>22987</v>
      </c>
      <c r="O4895" t="s">
        <v>11769</v>
      </c>
      <c r="P4895" t="s">
        <v>11770</v>
      </c>
      <c r="Q4895" t="s">
        <v>22988</v>
      </c>
      <c r="R4895">
        <v>14</v>
      </c>
      <c r="S4895">
        <v>16</v>
      </c>
    </row>
    <row r="4896" spans="1:19" x14ac:dyDescent="0.35">
      <c r="A4896">
        <v>1755</v>
      </c>
      <c r="B4896" t="s">
        <v>22318</v>
      </c>
      <c r="C4896" t="s">
        <v>850</v>
      </c>
      <c r="D4896" t="s">
        <v>22989</v>
      </c>
      <c r="E4896" t="e" cm="1">
        <f t="array" ref="E4896">- Camphor</f>
        <v>#NAME?</v>
      </c>
      <c r="F4896" t="s">
        <v>22990</v>
      </c>
      <c r="H4896" t="s">
        <v>16824</v>
      </c>
      <c r="I4896" t="s">
        <v>22506</v>
      </c>
      <c r="J4896" t="s">
        <v>22991</v>
      </c>
      <c r="L4896" t="s">
        <v>22508</v>
      </c>
      <c r="M4896" t="s">
        <v>2115</v>
      </c>
      <c r="N4896" t="s">
        <v>853</v>
      </c>
      <c r="O4896" t="s">
        <v>22324</v>
      </c>
      <c r="P4896" t="s">
        <v>22325</v>
      </c>
      <c r="Q4896" t="s">
        <v>22326</v>
      </c>
      <c r="R4896">
        <v>14</v>
      </c>
      <c r="S4896">
        <v>16</v>
      </c>
    </row>
    <row r="4897" spans="1:19" x14ac:dyDescent="0.35">
      <c r="A4897">
        <v>6879</v>
      </c>
      <c r="B4897" t="s">
        <v>22992</v>
      </c>
      <c r="C4897" t="s">
        <v>850</v>
      </c>
      <c r="D4897" t="s">
        <v>22993</v>
      </c>
      <c r="E4897" t="e" cm="1">
        <f t="array" ref="E4897">- eugenol Oil</f>
        <v>#NAME?</v>
      </c>
      <c r="F4897" t="s">
        <v>22994</v>
      </c>
      <c r="G4897" t="s">
        <v>16824</v>
      </c>
      <c r="H4897" t="s">
        <v>16825</v>
      </c>
      <c r="I4897" t="s">
        <v>22995</v>
      </c>
      <c r="J4897" t="s">
        <v>8174</v>
      </c>
      <c r="K4897" t="s">
        <v>16827</v>
      </c>
      <c r="L4897" t="s">
        <v>16828</v>
      </c>
      <c r="M4897" t="s">
        <v>1289</v>
      </c>
      <c r="N4897" t="s">
        <v>22996</v>
      </c>
      <c r="O4897" t="s">
        <v>22997</v>
      </c>
      <c r="P4897" t="s">
        <v>22998</v>
      </c>
      <c r="Q4897" t="s">
        <v>22999</v>
      </c>
      <c r="R4897">
        <v>14</v>
      </c>
      <c r="S4897">
        <v>16</v>
      </c>
    </row>
    <row r="4898" spans="1:19" x14ac:dyDescent="0.35">
      <c r="A4898">
        <v>6878</v>
      </c>
      <c r="B4898" t="s">
        <v>22992</v>
      </c>
      <c r="C4898" t="s">
        <v>850</v>
      </c>
      <c r="D4898" t="s">
        <v>23000</v>
      </c>
      <c r="E4898" t="e" cm="1">
        <f t="array" ref="E4898">- eugenol Oil</f>
        <v>#NAME?</v>
      </c>
      <c r="F4898" t="s">
        <v>23001</v>
      </c>
      <c r="G4898" t="s">
        <v>16824</v>
      </c>
      <c r="H4898" t="s">
        <v>16825</v>
      </c>
      <c r="I4898" t="s">
        <v>22995</v>
      </c>
      <c r="J4898" t="s">
        <v>7959</v>
      </c>
      <c r="K4898" t="s">
        <v>16827</v>
      </c>
      <c r="L4898" t="s">
        <v>16828</v>
      </c>
      <c r="M4898" t="s">
        <v>1289</v>
      </c>
      <c r="N4898" t="s">
        <v>22996</v>
      </c>
      <c r="O4898" t="s">
        <v>22997</v>
      </c>
      <c r="P4898" t="s">
        <v>22998</v>
      </c>
      <c r="Q4898" t="s">
        <v>22999</v>
      </c>
      <c r="R4898">
        <v>14</v>
      </c>
      <c r="S4898">
        <v>16</v>
      </c>
    </row>
    <row r="4899" spans="1:19" x14ac:dyDescent="0.35">
      <c r="A4899">
        <v>6877</v>
      </c>
      <c r="B4899" t="s">
        <v>22992</v>
      </c>
      <c r="C4899" t="s">
        <v>850</v>
      </c>
      <c r="D4899" t="s">
        <v>23002</v>
      </c>
      <c r="E4899" t="e" cm="1">
        <f t="array" ref="E4899">- eugenol Oil</f>
        <v>#NAME?</v>
      </c>
      <c r="F4899" t="s">
        <v>23003</v>
      </c>
      <c r="G4899" t="s">
        <v>16824</v>
      </c>
      <c r="H4899" t="s">
        <v>16825</v>
      </c>
      <c r="I4899" t="s">
        <v>22995</v>
      </c>
      <c r="J4899" t="s">
        <v>2040</v>
      </c>
      <c r="K4899" t="s">
        <v>16827</v>
      </c>
      <c r="L4899" t="s">
        <v>16828</v>
      </c>
      <c r="M4899" t="s">
        <v>1289</v>
      </c>
      <c r="N4899" t="s">
        <v>22996</v>
      </c>
      <c r="O4899" t="s">
        <v>22997</v>
      </c>
      <c r="P4899" t="s">
        <v>22998</v>
      </c>
      <c r="Q4899" t="s">
        <v>22999</v>
      </c>
      <c r="R4899">
        <v>14</v>
      </c>
      <c r="S4899">
        <v>16</v>
      </c>
    </row>
    <row r="4900" spans="1:19" x14ac:dyDescent="0.35">
      <c r="A4900">
        <v>6876</v>
      </c>
      <c r="B4900" t="s">
        <v>22992</v>
      </c>
      <c r="C4900" t="s">
        <v>850</v>
      </c>
      <c r="D4900" t="s">
        <v>23004</v>
      </c>
      <c r="E4900" t="e" cm="1">
        <f t="array" ref="E4900">- eugenol Oil</f>
        <v>#NAME?</v>
      </c>
      <c r="F4900" t="s">
        <v>23005</v>
      </c>
      <c r="G4900" t="s">
        <v>16824</v>
      </c>
      <c r="H4900" t="s">
        <v>16825</v>
      </c>
      <c r="I4900" t="s">
        <v>22995</v>
      </c>
      <c r="J4900" t="s">
        <v>2939</v>
      </c>
      <c r="K4900" t="s">
        <v>16827</v>
      </c>
      <c r="L4900" t="s">
        <v>16828</v>
      </c>
      <c r="M4900" t="s">
        <v>1289</v>
      </c>
      <c r="N4900" t="s">
        <v>22996</v>
      </c>
      <c r="O4900" t="s">
        <v>22997</v>
      </c>
      <c r="P4900" t="s">
        <v>22998</v>
      </c>
      <c r="Q4900" t="s">
        <v>22999</v>
      </c>
      <c r="R4900">
        <v>14</v>
      </c>
      <c r="S4900">
        <v>16</v>
      </c>
    </row>
    <row r="4901" spans="1:19" x14ac:dyDescent="0.35">
      <c r="A4901">
        <v>6875</v>
      </c>
      <c r="B4901" t="s">
        <v>22992</v>
      </c>
      <c r="C4901" t="s">
        <v>850</v>
      </c>
      <c r="D4901" t="s">
        <v>23006</v>
      </c>
      <c r="E4901" t="e" cm="1">
        <f t="array" ref="E4901">- eugenol Oil</f>
        <v>#NAME?</v>
      </c>
      <c r="F4901" t="s">
        <v>23007</v>
      </c>
      <c r="G4901" t="s">
        <v>16824</v>
      </c>
      <c r="H4901" t="s">
        <v>16825</v>
      </c>
      <c r="I4901" t="s">
        <v>22995</v>
      </c>
      <c r="J4901" t="s">
        <v>13944</v>
      </c>
      <c r="K4901" t="s">
        <v>16827</v>
      </c>
      <c r="L4901" t="s">
        <v>16828</v>
      </c>
      <c r="M4901" t="s">
        <v>1289</v>
      </c>
      <c r="N4901" t="s">
        <v>22996</v>
      </c>
      <c r="O4901" t="s">
        <v>22997</v>
      </c>
      <c r="P4901" t="s">
        <v>22998</v>
      </c>
      <c r="Q4901" t="s">
        <v>22999</v>
      </c>
      <c r="R4901">
        <v>14</v>
      </c>
      <c r="S4901">
        <v>16</v>
      </c>
    </row>
    <row r="4902" spans="1:19" x14ac:dyDescent="0.35">
      <c r="A4902">
        <v>4379</v>
      </c>
      <c r="B4902" t="s">
        <v>1637</v>
      </c>
      <c r="C4902" t="s">
        <v>42</v>
      </c>
      <c r="D4902" t="s">
        <v>21121</v>
      </c>
      <c r="E4902" t="e" cm="1">
        <f t="array" ref="E4902">- OFLOXACIN</f>
        <v>#NAME?</v>
      </c>
      <c r="F4902" s="1">
        <v>227000</v>
      </c>
      <c r="G4902" t="s">
        <v>21122</v>
      </c>
      <c r="H4902" t="s">
        <v>21123</v>
      </c>
      <c r="I4902" t="s">
        <v>21124</v>
      </c>
      <c r="J4902" t="s">
        <v>21125</v>
      </c>
      <c r="M4902" t="s">
        <v>824</v>
      </c>
      <c r="N4902" t="s">
        <v>1640</v>
      </c>
      <c r="O4902" t="s">
        <v>21126</v>
      </c>
      <c r="P4902" t="s">
        <v>21127</v>
      </c>
      <c r="Q4902" t="s">
        <v>23008</v>
      </c>
      <c r="R4902">
        <v>14</v>
      </c>
      <c r="S4902">
        <v>16</v>
      </c>
    </row>
    <row r="4903" spans="1:19" x14ac:dyDescent="0.35">
      <c r="A4903">
        <v>1754</v>
      </c>
      <c r="B4903" t="s">
        <v>22318</v>
      </c>
      <c r="C4903" t="s">
        <v>850</v>
      </c>
      <c r="D4903" t="s">
        <v>23009</v>
      </c>
      <c r="E4903" t="e" cm="1">
        <f t="array" ref="E4903">- Camphor</f>
        <v>#NAME?</v>
      </c>
      <c r="F4903" t="s">
        <v>23010</v>
      </c>
      <c r="G4903" t="s">
        <v>22320</v>
      </c>
      <c r="H4903" t="s">
        <v>16824</v>
      </c>
      <c r="I4903" t="s">
        <v>22506</v>
      </c>
      <c r="J4903" t="s">
        <v>23011</v>
      </c>
      <c r="L4903" t="s">
        <v>22508</v>
      </c>
      <c r="M4903" t="s">
        <v>2115</v>
      </c>
      <c r="N4903" t="s">
        <v>853</v>
      </c>
      <c r="O4903" t="s">
        <v>22324</v>
      </c>
      <c r="P4903" t="s">
        <v>22325</v>
      </c>
      <c r="Q4903" t="s">
        <v>22326</v>
      </c>
      <c r="R4903">
        <v>14</v>
      </c>
      <c r="S4903">
        <v>16</v>
      </c>
    </row>
    <row r="4904" spans="1:19" x14ac:dyDescent="0.35">
      <c r="A4904">
        <v>6783</v>
      </c>
      <c r="B4904" t="s">
        <v>23012</v>
      </c>
      <c r="C4904" t="s">
        <v>42</v>
      </c>
      <c r="D4904" t="s">
        <v>23013</v>
      </c>
      <c r="E4904" t="e" cm="1">
        <f t="array" ref="E4904">- COLCHICINE</f>
        <v>#NAME?</v>
      </c>
      <c r="F4904" t="s">
        <v>23014</v>
      </c>
      <c r="G4904" t="s">
        <v>2241</v>
      </c>
      <c r="H4904" t="s">
        <v>19579</v>
      </c>
      <c r="I4904" t="s">
        <v>23015</v>
      </c>
      <c r="J4904" t="s">
        <v>599</v>
      </c>
      <c r="K4904" t="s">
        <v>23016</v>
      </c>
    </row>
    <row r="4905" spans="1:19" x14ac:dyDescent="0.35">
      <c r="A4905">
        <v>8954</v>
      </c>
      <c r="B4905" t="s">
        <v>23017</v>
      </c>
      <c r="C4905" t="s">
        <v>42</v>
      </c>
      <c r="D4905" t="s">
        <v>23018</v>
      </c>
      <c r="E4905" t="e" cm="1">
        <f t="array" ref="E4905">- VALSARTAN. AMLODIPINE BESILATE</f>
        <v>#NAME?</v>
      </c>
      <c r="F4905" t="s">
        <v>23019</v>
      </c>
      <c r="G4905" t="s">
        <v>60</v>
      </c>
      <c r="H4905" t="s">
        <v>2949</v>
      </c>
      <c r="I4905" t="s">
        <v>22722</v>
      </c>
      <c r="J4905" t="s">
        <v>22949</v>
      </c>
      <c r="K4905" t="s">
        <v>23020</v>
      </c>
      <c r="L4905" t="s">
        <v>22951</v>
      </c>
      <c r="M4905" t="s">
        <v>46</v>
      </c>
      <c r="N4905" t="s">
        <v>3875</v>
      </c>
      <c r="O4905" t="s">
        <v>22726</v>
      </c>
      <c r="P4905" t="s">
        <v>22727</v>
      </c>
      <c r="Q4905" t="s">
        <v>22728</v>
      </c>
      <c r="R4905">
        <v>14</v>
      </c>
      <c r="S4905">
        <v>16</v>
      </c>
    </row>
    <row r="4906" spans="1:19" x14ac:dyDescent="0.35">
      <c r="A4906">
        <v>3624</v>
      </c>
      <c r="B4906" t="s">
        <v>23021</v>
      </c>
      <c r="C4906" t="s">
        <v>42</v>
      </c>
      <c r="D4906" t="s">
        <v>23022</v>
      </c>
      <c r="E4906" t="e" cm="1">
        <f t="array" ref="E4906">- ONDANSETRON HYDROCHLORIDE DIHYDRATE</f>
        <v>#NAME?</v>
      </c>
      <c r="F4906" s="1">
        <v>152600</v>
      </c>
      <c r="I4906" t="s">
        <v>14380</v>
      </c>
      <c r="J4906" t="s">
        <v>334</v>
      </c>
      <c r="M4906" t="s">
        <v>271</v>
      </c>
      <c r="N4906" t="s">
        <v>14087</v>
      </c>
      <c r="O4906" t="s">
        <v>14383</v>
      </c>
      <c r="P4906" t="s">
        <v>23023</v>
      </c>
      <c r="Q4906" t="s">
        <v>23024</v>
      </c>
      <c r="R4906">
        <v>14</v>
      </c>
      <c r="S4906">
        <v>16</v>
      </c>
    </row>
    <row r="4907" spans="1:19" x14ac:dyDescent="0.35">
      <c r="A4907">
        <v>3625</v>
      </c>
      <c r="B4907" t="s">
        <v>23021</v>
      </c>
      <c r="C4907" t="s">
        <v>42</v>
      </c>
      <c r="D4907" t="s">
        <v>23022</v>
      </c>
      <c r="E4907" t="e" cm="1">
        <f t="array" ref="E4907">- ONDANSETRON HYDROCHLORIDE DIHYDRATE</f>
        <v>#NAME?</v>
      </c>
      <c r="F4907" s="1">
        <v>152600</v>
      </c>
      <c r="I4907" t="s">
        <v>14380</v>
      </c>
      <c r="J4907" t="s">
        <v>334</v>
      </c>
      <c r="M4907" t="s">
        <v>271</v>
      </c>
      <c r="N4907" t="s">
        <v>14087</v>
      </c>
      <c r="O4907" t="s">
        <v>14383</v>
      </c>
      <c r="P4907" t="s">
        <v>23023</v>
      </c>
      <c r="Q4907" t="s">
        <v>23024</v>
      </c>
      <c r="R4907">
        <v>14</v>
      </c>
      <c r="S4907">
        <v>16</v>
      </c>
    </row>
    <row r="4908" spans="1:19" x14ac:dyDescent="0.35">
      <c r="A4908">
        <v>1917</v>
      </c>
      <c r="B4908" t="s">
        <v>22849</v>
      </c>
      <c r="C4908" t="s">
        <v>20</v>
      </c>
      <c r="D4908" t="s">
        <v>22850</v>
      </c>
      <c r="E4908" t="s">
        <v>22851</v>
      </c>
      <c r="F4908" s="1">
        <v>137500</v>
      </c>
      <c r="G4908" t="s">
        <v>22852</v>
      </c>
      <c r="H4908" t="s">
        <v>22853</v>
      </c>
      <c r="I4908" t="s">
        <v>22854</v>
      </c>
      <c r="J4908" t="s">
        <v>636</v>
      </c>
      <c r="L4908" t="s">
        <v>7765</v>
      </c>
      <c r="N4908" t="s">
        <v>22855</v>
      </c>
      <c r="O4908" t="s">
        <v>22856</v>
      </c>
      <c r="P4908" t="s">
        <v>22857</v>
      </c>
      <c r="Q4908" t="s">
        <v>22858</v>
      </c>
      <c r="R4908">
        <v>14</v>
      </c>
      <c r="S4908">
        <v>16</v>
      </c>
    </row>
    <row r="4909" spans="1:19" x14ac:dyDescent="0.35">
      <c r="A4909">
        <v>4382</v>
      </c>
      <c r="B4909" t="s">
        <v>1637</v>
      </c>
      <c r="C4909" t="s">
        <v>42</v>
      </c>
      <c r="D4909" t="s">
        <v>23025</v>
      </c>
      <c r="E4909" t="e" cm="1">
        <f t="array" ref="E4909">- OFLOXACIN</f>
        <v>#NAME?</v>
      </c>
      <c r="F4909" t="s">
        <v>23026</v>
      </c>
      <c r="G4909" t="s">
        <v>23027</v>
      </c>
      <c r="H4909" t="s">
        <v>23028</v>
      </c>
      <c r="I4909" t="s">
        <v>23029</v>
      </c>
      <c r="J4909" t="s">
        <v>7382</v>
      </c>
      <c r="M4909" t="s">
        <v>824</v>
      </c>
      <c r="N4909" t="s">
        <v>1640</v>
      </c>
      <c r="O4909" t="s">
        <v>23030</v>
      </c>
      <c r="P4909" t="s">
        <v>23031</v>
      </c>
      <c r="Q4909" t="s">
        <v>23032</v>
      </c>
      <c r="R4909">
        <v>14</v>
      </c>
      <c r="S4909">
        <v>16</v>
      </c>
    </row>
    <row r="4910" spans="1:19" x14ac:dyDescent="0.35">
      <c r="A4910">
        <v>4383</v>
      </c>
      <c r="B4910" t="s">
        <v>1637</v>
      </c>
      <c r="C4910" t="s">
        <v>42</v>
      </c>
      <c r="D4910" t="s">
        <v>23033</v>
      </c>
      <c r="E4910" t="e" cm="1">
        <f t="array" ref="E4910">- OFLOXACIN</f>
        <v>#NAME?</v>
      </c>
      <c r="F4910" t="s">
        <v>23034</v>
      </c>
      <c r="I4910" t="s">
        <v>23029</v>
      </c>
      <c r="J4910" t="s">
        <v>743</v>
      </c>
      <c r="M4910" t="s">
        <v>824</v>
      </c>
      <c r="N4910" t="s">
        <v>1640</v>
      </c>
      <c r="O4910" t="s">
        <v>23030</v>
      </c>
      <c r="P4910" t="s">
        <v>23035</v>
      </c>
      <c r="Q4910" t="s">
        <v>23036</v>
      </c>
      <c r="R4910">
        <v>14</v>
      </c>
      <c r="S4910">
        <v>16</v>
      </c>
    </row>
    <row r="4911" spans="1:19" x14ac:dyDescent="0.35">
      <c r="A4911">
        <v>3631</v>
      </c>
      <c r="B4911" t="s">
        <v>19899</v>
      </c>
      <c r="C4911" t="s">
        <v>42</v>
      </c>
      <c r="D4911" t="s">
        <v>19900</v>
      </c>
      <c r="E4911" t="e" cm="1">
        <f t="array" ref="E4911">- ONDANSETRON HYDROCHLORIDE DIHYDRATE</f>
        <v>#NAME?</v>
      </c>
      <c r="F4911" t="s">
        <v>19901</v>
      </c>
      <c r="I4911" t="s">
        <v>14380</v>
      </c>
      <c r="J4911" t="s">
        <v>334</v>
      </c>
      <c r="M4911" t="s">
        <v>271</v>
      </c>
      <c r="N4911" t="s">
        <v>14087</v>
      </c>
      <c r="O4911" t="s">
        <v>14383</v>
      </c>
      <c r="P4911" t="s">
        <v>19902</v>
      </c>
      <c r="Q4911" t="s">
        <v>23037</v>
      </c>
      <c r="R4911">
        <v>14</v>
      </c>
      <c r="S4911">
        <v>16</v>
      </c>
    </row>
    <row r="4912" spans="1:19" x14ac:dyDescent="0.35">
      <c r="A4912">
        <v>3930</v>
      </c>
      <c r="B4912" t="s">
        <v>22824</v>
      </c>
      <c r="C4912" t="s">
        <v>42</v>
      </c>
      <c r="D4912" t="s">
        <v>22825</v>
      </c>
      <c r="E4912" t="e" cm="1">
        <f t="array" ref="E4912">- BISACODYL</f>
        <v>#NAME?</v>
      </c>
      <c r="F4912" t="s">
        <v>22826</v>
      </c>
      <c r="G4912" t="s">
        <v>22827</v>
      </c>
      <c r="H4912" t="s">
        <v>22828</v>
      </c>
      <c r="I4912" t="s">
        <v>22829</v>
      </c>
      <c r="J4912" t="s">
        <v>22830</v>
      </c>
      <c r="K4912" t="s">
        <v>22831</v>
      </c>
    </row>
    <row r="4913" spans="1:19" x14ac:dyDescent="0.35">
      <c r="A4913">
        <v>3633</v>
      </c>
      <c r="B4913" t="s">
        <v>23038</v>
      </c>
      <c r="C4913" t="s">
        <v>42</v>
      </c>
      <c r="D4913" t="s">
        <v>23039</v>
      </c>
      <c r="E4913" t="e" cm="1">
        <f t="array" ref="E4913">- ONDANSETRON HYDROCHLORIDE DIHYDRATE</f>
        <v>#NAME?</v>
      </c>
      <c r="F4913" t="s">
        <v>23040</v>
      </c>
      <c r="G4913" t="s">
        <v>14378</v>
      </c>
      <c r="H4913" t="s">
        <v>14379</v>
      </c>
      <c r="I4913" t="s">
        <v>14380</v>
      </c>
      <c r="J4913" t="s">
        <v>2446</v>
      </c>
      <c r="K4913" t="s">
        <v>14086</v>
      </c>
      <c r="L4913" t="s">
        <v>14382</v>
      </c>
      <c r="M4913" t="s">
        <v>46</v>
      </c>
      <c r="N4913" t="s">
        <v>14087</v>
      </c>
      <c r="O4913" t="s">
        <v>14383</v>
      </c>
      <c r="P4913" t="s">
        <v>23041</v>
      </c>
      <c r="Q4913" t="s">
        <v>23042</v>
      </c>
      <c r="R4913">
        <v>14</v>
      </c>
      <c r="S4913">
        <v>16</v>
      </c>
    </row>
    <row r="4914" spans="1:19" x14ac:dyDescent="0.35">
      <c r="A4914">
        <v>8227</v>
      </c>
      <c r="B4914" t="s">
        <v>551</v>
      </c>
      <c r="C4914" t="s">
        <v>42</v>
      </c>
      <c r="D4914" t="s">
        <v>23043</v>
      </c>
      <c r="E4914" t="e" cm="1">
        <f t="array" ref="E4914">- POVIDONE-IODINE</f>
        <v>#NAME?</v>
      </c>
      <c r="F4914" s="1">
        <v>9800</v>
      </c>
      <c r="G4914" t="s">
        <v>21481</v>
      </c>
      <c r="H4914" t="s">
        <v>1322</v>
      </c>
      <c r="I4914" t="s">
        <v>21482</v>
      </c>
      <c r="J4914" t="s">
        <v>22965</v>
      </c>
      <c r="M4914" t="s">
        <v>554</v>
      </c>
      <c r="N4914" t="s">
        <v>555</v>
      </c>
      <c r="O4914" t="s">
        <v>21483</v>
      </c>
      <c r="P4914" t="s">
        <v>23044</v>
      </c>
      <c r="Q4914" t="s">
        <v>23045</v>
      </c>
      <c r="R4914">
        <v>14</v>
      </c>
      <c r="S4914">
        <v>16</v>
      </c>
    </row>
    <row r="4915" spans="1:19" x14ac:dyDescent="0.35">
      <c r="A4915">
        <v>8226</v>
      </c>
      <c r="B4915" t="s">
        <v>551</v>
      </c>
      <c r="C4915" t="s">
        <v>42</v>
      </c>
      <c r="D4915" t="s">
        <v>23043</v>
      </c>
      <c r="E4915" t="e" cm="1">
        <f t="array" ref="E4915">- POVIDONE-IODINE</f>
        <v>#NAME?</v>
      </c>
      <c r="F4915" s="1">
        <v>9800</v>
      </c>
      <c r="G4915" t="s">
        <v>21481</v>
      </c>
      <c r="H4915" t="s">
        <v>1322</v>
      </c>
      <c r="I4915" t="s">
        <v>21482</v>
      </c>
      <c r="J4915" t="s">
        <v>22965</v>
      </c>
      <c r="M4915" t="s">
        <v>554</v>
      </c>
      <c r="N4915" t="s">
        <v>555</v>
      </c>
      <c r="O4915" t="s">
        <v>21483</v>
      </c>
      <c r="P4915" t="s">
        <v>23044</v>
      </c>
      <c r="Q4915" t="s">
        <v>23045</v>
      </c>
      <c r="R4915">
        <v>14</v>
      </c>
      <c r="S4915">
        <v>16</v>
      </c>
    </row>
    <row r="4916" spans="1:19" x14ac:dyDescent="0.35">
      <c r="A4916">
        <v>6217</v>
      </c>
      <c r="B4916" t="s">
        <v>23046</v>
      </c>
      <c r="C4916" t="s">
        <v>42</v>
      </c>
      <c r="D4916" t="s">
        <v>23047</v>
      </c>
      <c r="E4916" t="e" cm="1">
        <f t="array" ref="E4916">- AMOXICILLIN TRIHYDRATE</f>
        <v>#NAME?</v>
      </c>
      <c r="F4916" t="s">
        <v>23048</v>
      </c>
      <c r="G4916" t="s">
        <v>11706</v>
      </c>
      <c r="H4916" t="s">
        <v>23049</v>
      </c>
      <c r="I4916" t="s">
        <v>23050</v>
      </c>
      <c r="J4916" t="s">
        <v>381</v>
      </c>
      <c r="K4916" t="s">
        <v>23051</v>
      </c>
      <c r="L4916" t="s">
        <v>23052</v>
      </c>
      <c r="M4916" t="s">
        <v>291</v>
      </c>
      <c r="N4916" t="s">
        <v>1523</v>
      </c>
      <c r="O4916" t="s">
        <v>23053</v>
      </c>
      <c r="P4916" t="s">
        <v>23054</v>
      </c>
      <c r="Q4916" t="s">
        <v>23055</v>
      </c>
      <c r="R4916">
        <v>14</v>
      </c>
      <c r="S4916">
        <v>16</v>
      </c>
    </row>
    <row r="4917" spans="1:19" x14ac:dyDescent="0.35">
      <c r="A4917">
        <v>3643</v>
      </c>
      <c r="B4917" t="s">
        <v>14646</v>
      </c>
      <c r="C4917" t="s">
        <v>42</v>
      </c>
      <c r="D4917" t="s">
        <v>14647</v>
      </c>
      <c r="E4917" t="e" cm="1">
        <f t="array" ref="E4917">- PYRATHIAZINE THEOCLATE. PYRIDOXINE HYDROCHLORIDE</f>
        <v>#NAME?</v>
      </c>
      <c r="F4917" t="s">
        <v>14648</v>
      </c>
      <c r="G4917" t="s">
        <v>2241</v>
      </c>
      <c r="H4917" t="s">
        <v>14649</v>
      </c>
      <c r="I4917" t="s">
        <v>14650</v>
      </c>
      <c r="J4917" t="s">
        <v>10764</v>
      </c>
      <c r="K4917" t="s">
        <v>14651</v>
      </c>
      <c r="L4917" t="s">
        <v>14652</v>
      </c>
      <c r="M4917" t="s">
        <v>46</v>
      </c>
      <c r="N4917" t="s">
        <v>23056</v>
      </c>
      <c r="O4917" t="s">
        <v>14654</v>
      </c>
      <c r="P4917" t="s">
        <v>14655</v>
      </c>
      <c r="Q4917" t="s">
        <v>23057</v>
      </c>
      <c r="R4917">
        <v>14</v>
      </c>
      <c r="S4917">
        <v>16</v>
      </c>
    </row>
    <row r="4918" spans="1:19" x14ac:dyDescent="0.35">
      <c r="A4918">
        <v>2663</v>
      </c>
      <c r="B4918" t="s">
        <v>23058</v>
      </c>
      <c r="C4918" t="s">
        <v>42</v>
      </c>
      <c r="D4918" t="s">
        <v>23059</v>
      </c>
      <c r="E4918" t="e" cm="1">
        <f t="array" ref="E4918">- IBUPROFEN</f>
        <v>#NAME?</v>
      </c>
      <c r="F4918" t="s">
        <v>23060</v>
      </c>
      <c r="G4918" t="s">
        <v>6135</v>
      </c>
      <c r="H4918" t="s">
        <v>23061</v>
      </c>
      <c r="I4918" t="s">
        <v>23062</v>
      </c>
      <c r="J4918" t="s">
        <v>334</v>
      </c>
      <c r="L4918" t="s">
        <v>23063</v>
      </c>
      <c r="M4918" t="s">
        <v>340</v>
      </c>
      <c r="N4918" t="s">
        <v>383</v>
      </c>
      <c r="O4918" t="s">
        <v>23064</v>
      </c>
      <c r="P4918" t="s">
        <v>23065</v>
      </c>
      <c r="Q4918" t="s">
        <v>23066</v>
      </c>
      <c r="R4918">
        <v>14</v>
      </c>
      <c r="S4918">
        <v>16</v>
      </c>
    </row>
    <row r="4919" spans="1:19" x14ac:dyDescent="0.35">
      <c r="A4919">
        <v>1124</v>
      </c>
      <c r="B4919" t="s">
        <v>16403</v>
      </c>
      <c r="C4919" t="s">
        <v>42</v>
      </c>
      <c r="D4919" t="s">
        <v>16404</v>
      </c>
      <c r="E4919" t="e" cm="1">
        <f t="array" ref="E4919">- SUCCUS LIQUIRITIAE. AMMONIUM CHLORIDE</f>
        <v>#NAME?</v>
      </c>
      <c r="F4919" t="s">
        <v>16405</v>
      </c>
      <c r="G4919" t="s">
        <v>2241</v>
      </c>
      <c r="H4919" t="s">
        <v>2242</v>
      </c>
      <c r="I4919" t="s">
        <v>16406</v>
      </c>
      <c r="J4919" t="s">
        <v>16407</v>
      </c>
      <c r="K4919" t="s">
        <v>8505</v>
      </c>
      <c r="L4919" t="s">
        <v>3974</v>
      </c>
      <c r="M4919" t="s">
        <v>271</v>
      </c>
      <c r="N4919" t="s">
        <v>5134</v>
      </c>
      <c r="O4919" t="s">
        <v>8506</v>
      </c>
      <c r="P4919" t="s">
        <v>16408</v>
      </c>
      <c r="Q4919" t="s">
        <v>23067</v>
      </c>
      <c r="R4919">
        <v>14</v>
      </c>
      <c r="S4919">
        <v>16</v>
      </c>
    </row>
    <row r="4920" spans="1:19" x14ac:dyDescent="0.35">
      <c r="A4920">
        <v>4685</v>
      </c>
      <c r="B4920" t="s">
        <v>23068</v>
      </c>
      <c r="C4920" t="s">
        <v>42</v>
      </c>
      <c r="D4920" t="s">
        <v>23069</v>
      </c>
      <c r="E4920" t="e" cm="1">
        <f t="array" ref="E4920">- CHLORAMPHENICOL</f>
        <v>#NAME?</v>
      </c>
      <c r="F4920" t="s">
        <v>23070</v>
      </c>
      <c r="H4920" t="s">
        <v>23071</v>
      </c>
      <c r="I4920" t="s">
        <v>23072</v>
      </c>
      <c r="J4920" t="s">
        <v>23073</v>
      </c>
      <c r="L4920" t="s">
        <v>321</v>
      </c>
      <c r="M4920" t="s">
        <v>824</v>
      </c>
      <c r="N4920" t="s">
        <v>1188</v>
      </c>
      <c r="O4920" t="s">
        <v>23074</v>
      </c>
      <c r="P4920" t="s">
        <v>23075</v>
      </c>
      <c r="Q4920" t="s">
        <v>23076</v>
      </c>
      <c r="R4920">
        <v>14</v>
      </c>
      <c r="S4920">
        <v>16</v>
      </c>
    </row>
    <row r="4921" spans="1:19" x14ac:dyDescent="0.35">
      <c r="A4921">
        <v>4659</v>
      </c>
      <c r="B4921" t="s">
        <v>12097</v>
      </c>
      <c r="C4921" t="s">
        <v>42</v>
      </c>
      <c r="D4921" t="s">
        <v>23077</v>
      </c>
      <c r="E4921" t="e" cm="1">
        <f t="array" ref="E4921">- POTASSIUM IODIDE</f>
        <v>#NAME?</v>
      </c>
      <c r="F4921" t="s">
        <v>23078</v>
      </c>
      <c r="G4921" t="s">
        <v>23079</v>
      </c>
      <c r="H4921" t="s">
        <v>23080</v>
      </c>
      <c r="I4921" t="s">
        <v>23081</v>
      </c>
      <c r="J4921" t="s">
        <v>23082</v>
      </c>
      <c r="K4921" t="s">
        <v>23083</v>
      </c>
      <c r="L4921" t="s">
        <v>16314</v>
      </c>
      <c r="M4921" t="s">
        <v>824</v>
      </c>
      <c r="N4921" t="s">
        <v>12104</v>
      </c>
      <c r="O4921" t="s">
        <v>23084</v>
      </c>
      <c r="P4921" t="s">
        <v>23085</v>
      </c>
      <c r="Q4921" t="s">
        <v>23086</v>
      </c>
      <c r="R4921">
        <v>14</v>
      </c>
      <c r="S4921">
        <v>16</v>
      </c>
    </row>
    <row r="4922" spans="1:19" x14ac:dyDescent="0.35">
      <c r="A4922">
        <v>4658</v>
      </c>
      <c r="B4922" t="s">
        <v>12097</v>
      </c>
      <c r="C4922" t="s">
        <v>42</v>
      </c>
      <c r="D4922" t="s">
        <v>23077</v>
      </c>
      <c r="E4922" t="e" cm="1">
        <f t="array" ref="E4922">- POTASSIUM IODIDE</f>
        <v>#NAME?</v>
      </c>
      <c r="F4922" t="s">
        <v>23078</v>
      </c>
      <c r="G4922" t="s">
        <v>23079</v>
      </c>
      <c r="H4922" t="s">
        <v>23080</v>
      </c>
      <c r="I4922" t="s">
        <v>23081</v>
      </c>
      <c r="J4922" t="s">
        <v>23082</v>
      </c>
      <c r="K4922" t="s">
        <v>23083</v>
      </c>
      <c r="L4922" t="s">
        <v>16314</v>
      </c>
      <c r="M4922" t="s">
        <v>824</v>
      </c>
      <c r="N4922" t="s">
        <v>12104</v>
      </c>
      <c r="O4922" t="s">
        <v>23084</v>
      </c>
      <c r="P4922" t="s">
        <v>23085</v>
      </c>
      <c r="Q4922" t="s">
        <v>23086</v>
      </c>
      <c r="R4922">
        <v>14</v>
      </c>
      <c r="S4922">
        <v>16</v>
      </c>
    </row>
    <row r="4923" spans="1:19" x14ac:dyDescent="0.35">
      <c r="A4923">
        <v>4657</v>
      </c>
      <c r="B4923" t="s">
        <v>12097</v>
      </c>
      <c r="C4923" t="s">
        <v>42</v>
      </c>
      <c r="D4923" t="s">
        <v>23077</v>
      </c>
      <c r="E4923" t="e" cm="1">
        <f t="array" ref="E4923">- POTASSIUM IODIDE</f>
        <v>#NAME?</v>
      </c>
      <c r="F4923" t="s">
        <v>23078</v>
      </c>
      <c r="G4923" t="s">
        <v>23079</v>
      </c>
      <c r="H4923" t="s">
        <v>23080</v>
      </c>
      <c r="I4923" t="s">
        <v>23081</v>
      </c>
      <c r="J4923" t="s">
        <v>23082</v>
      </c>
      <c r="K4923" t="s">
        <v>23083</v>
      </c>
      <c r="L4923" t="s">
        <v>16314</v>
      </c>
      <c r="M4923" t="s">
        <v>824</v>
      </c>
      <c r="N4923" t="s">
        <v>12104</v>
      </c>
      <c r="O4923" t="s">
        <v>23084</v>
      </c>
      <c r="P4923" t="s">
        <v>23085</v>
      </c>
      <c r="Q4923" t="s">
        <v>23086</v>
      </c>
      <c r="R4923">
        <v>14</v>
      </c>
      <c r="S4923">
        <v>16</v>
      </c>
    </row>
    <row r="4924" spans="1:19" x14ac:dyDescent="0.35">
      <c r="A4924">
        <v>5515</v>
      </c>
      <c r="B4924" t="s">
        <v>23087</v>
      </c>
      <c r="C4924" t="s">
        <v>42</v>
      </c>
      <c r="D4924" t="s">
        <v>23088</v>
      </c>
      <c r="E4924" t="e" cm="1">
        <f t="array" ref="E4924">- MICONAZOLE NITRATE</f>
        <v>#NAME?</v>
      </c>
      <c r="F4924" t="s">
        <v>23089</v>
      </c>
      <c r="H4924" t="s">
        <v>6227</v>
      </c>
      <c r="I4924" t="s">
        <v>23090</v>
      </c>
      <c r="J4924" t="s">
        <v>23091</v>
      </c>
      <c r="K4924" t="s">
        <v>2726</v>
      </c>
      <c r="L4924" t="s">
        <v>23092</v>
      </c>
      <c r="M4924" t="s">
        <v>1289</v>
      </c>
      <c r="N4924" t="s">
        <v>9389</v>
      </c>
      <c r="O4924" t="s">
        <v>23093</v>
      </c>
      <c r="P4924" t="s">
        <v>23094</v>
      </c>
      <c r="Q4924" t="s">
        <v>23095</v>
      </c>
      <c r="R4924">
        <v>14</v>
      </c>
      <c r="S4924">
        <v>16</v>
      </c>
    </row>
    <row r="4925" spans="1:19" x14ac:dyDescent="0.35">
      <c r="A4925">
        <v>4005</v>
      </c>
      <c r="B4925" t="s">
        <v>20865</v>
      </c>
      <c r="C4925" t="s">
        <v>42</v>
      </c>
      <c r="D4925" t="s">
        <v>20866</v>
      </c>
      <c r="E4925" t="e" cm="1">
        <f t="array" ref="E4925">- SODIUM PHOSPHATE DIBASIC  DIHYDRATE</f>
        <v>#NAME?</v>
      </c>
      <c r="F4925" s="1">
        <v>103400</v>
      </c>
      <c r="G4925" t="s">
        <v>20867</v>
      </c>
      <c r="H4925" t="s">
        <v>20868</v>
      </c>
      <c r="I4925" t="s">
        <v>20869</v>
      </c>
      <c r="J4925" t="s">
        <v>20870</v>
      </c>
      <c r="K4925" t="s">
        <v>20871</v>
      </c>
    </row>
    <row r="4926" spans="1:19" x14ac:dyDescent="0.35">
      <c r="A4926">
        <v>3952</v>
      </c>
      <c r="B4926" t="s">
        <v>22369</v>
      </c>
      <c r="C4926" t="s">
        <v>42</v>
      </c>
      <c r="D4926" t="s">
        <v>22370</v>
      </c>
      <c r="E4926" t="e" cm="1">
        <f t="array" ref="E4926">- BISACODYL</f>
        <v>#NAME?</v>
      </c>
      <c r="F4926" t="s">
        <v>22371</v>
      </c>
      <c r="G4926" t="s">
        <v>20819</v>
      </c>
      <c r="H4926" t="s">
        <v>22372</v>
      </c>
      <c r="I4926" t="s">
        <v>20918</v>
      </c>
      <c r="J4926" t="s">
        <v>22373</v>
      </c>
      <c r="K4926" t="s">
        <v>20920</v>
      </c>
      <c r="L4926" t="s">
        <v>22374</v>
      </c>
      <c r="M4926" t="s">
        <v>720</v>
      </c>
      <c r="N4926" t="s">
        <v>20824</v>
      </c>
      <c r="O4926" t="s">
        <v>20922</v>
      </c>
      <c r="P4926" t="s">
        <v>22375</v>
      </c>
      <c r="Q4926" t="s">
        <v>22376</v>
      </c>
      <c r="R4926">
        <v>14</v>
      </c>
      <c r="S4926">
        <v>16</v>
      </c>
    </row>
    <row r="4927" spans="1:19" x14ac:dyDescent="0.35">
      <c r="A4927">
        <v>5197</v>
      </c>
      <c r="B4927" t="s">
        <v>23096</v>
      </c>
      <c r="C4927" t="s">
        <v>42</v>
      </c>
      <c r="D4927" t="s">
        <v>23097</v>
      </c>
      <c r="E4927" t="e" cm="1">
        <f t="array" ref="E4927">- DEXAMETHASONE. CLOTRIMAZOLE</f>
        <v>#NAME?</v>
      </c>
      <c r="F4927" t="s">
        <v>23098</v>
      </c>
      <c r="G4927" t="s">
        <v>7120</v>
      </c>
      <c r="H4927" t="s">
        <v>23099</v>
      </c>
      <c r="I4927" t="s">
        <v>23100</v>
      </c>
      <c r="J4927" t="s">
        <v>9739</v>
      </c>
      <c r="K4927" t="s">
        <v>23101</v>
      </c>
    </row>
    <row r="4928" spans="1:19" x14ac:dyDescent="0.35">
      <c r="A4928">
        <v>1925</v>
      </c>
      <c r="B4928" t="s">
        <v>23102</v>
      </c>
      <c r="C4928" t="s">
        <v>20</v>
      </c>
      <c r="D4928" t="s">
        <v>23103</v>
      </c>
      <c r="E4928" t="s">
        <v>23104</v>
      </c>
      <c r="F4928" t="s">
        <v>23105</v>
      </c>
      <c r="G4928" t="s">
        <v>2241</v>
      </c>
      <c r="H4928" t="s">
        <v>23106</v>
      </c>
      <c r="I4928" t="s">
        <v>10735</v>
      </c>
      <c r="J4928" t="s">
        <v>846</v>
      </c>
      <c r="M4928" t="s">
        <v>271</v>
      </c>
      <c r="N4928" t="s">
        <v>23107</v>
      </c>
      <c r="O4928" t="s">
        <v>6611</v>
      </c>
      <c r="P4928" t="s">
        <v>23108</v>
      </c>
      <c r="Q4928" t="s">
        <v>23109</v>
      </c>
      <c r="R4928">
        <v>14</v>
      </c>
      <c r="S4928">
        <v>16</v>
      </c>
    </row>
    <row r="4929" spans="1:19" x14ac:dyDescent="0.35">
      <c r="A4929">
        <v>9726</v>
      </c>
      <c r="B4929" t="s">
        <v>23110</v>
      </c>
      <c r="C4929" t="s">
        <v>42</v>
      </c>
      <c r="D4929" t="s">
        <v>23111</v>
      </c>
      <c r="E4929" t="e" cm="1">
        <f t="array" ref="E4929">- ATORVASTATIN CALCIUM TRIHYDRATE</f>
        <v>#NAME?</v>
      </c>
      <c r="F4929" t="s">
        <v>23112</v>
      </c>
      <c r="H4929" t="s">
        <v>269</v>
      </c>
      <c r="I4929" t="s">
        <v>23113</v>
      </c>
      <c r="J4929" t="s">
        <v>23114</v>
      </c>
      <c r="L4929" t="s">
        <v>270</v>
      </c>
      <c r="M4929" t="s">
        <v>46</v>
      </c>
      <c r="N4929" t="s">
        <v>23115</v>
      </c>
      <c r="O4929" t="s">
        <v>23116</v>
      </c>
      <c r="P4929" t="s">
        <v>23117</v>
      </c>
      <c r="Q4929" t="s">
        <v>23118</v>
      </c>
      <c r="R4929">
        <v>14</v>
      </c>
      <c r="S4929">
        <v>16</v>
      </c>
    </row>
    <row r="4930" spans="1:19" x14ac:dyDescent="0.35">
      <c r="A4930">
        <v>9727</v>
      </c>
      <c r="B4930" t="s">
        <v>23110</v>
      </c>
      <c r="C4930" t="s">
        <v>42</v>
      </c>
      <c r="D4930" t="s">
        <v>23111</v>
      </c>
      <c r="E4930" t="e" cm="1">
        <f t="array" ref="E4930">- ATORVASTATIN CALCIUM TRIHYDRATE</f>
        <v>#NAME?</v>
      </c>
      <c r="F4930" t="s">
        <v>23112</v>
      </c>
      <c r="H4930" t="s">
        <v>269</v>
      </c>
      <c r="I4930" t="s">
        <v>23113</v>
      </c>
      <c r="J4930" t="s">
        <v>23114</v>
      </c>
      <c r="L4930" t="s">
        <v>270</v>
      </c>
      <c r="M4930" t="s">
        <v>46</v>
      </c>
      <c r="N4930" t="s">
        <v>23115</v>
      </c>
      <c r="O4930" t="s">
        <v>23116</v>
      </c>
      <c r="P4930" t="s">
        <v>23117</v>
      </c>
      <c r="Q4930" t="s">
        <v>23118</v>
      </c>
      <c r="R4930">
        <v>14</v>
      </c>
      <c r="S4930">
        <v>16</v>
      </c>
    </row>
    <row r="4931" spans="1:19" x14ac:dyDescent="0.35">
      <c r="A4931">
        <v>5198</v>
      </c>
      <c r="B4931" t="s">
        <v>23096</v>
      </c>
      <c r="C4931" t="s">
        <v>42</v>
      </c>
      <c r="D4931" t="s">
        <v>23097</v>
      </c>
      <c r="E4931" t="e" cm="1">
        <f t="array" ref="E4931">- DEXAMETHASONE. CLOTRIMAZOLE</f>
        <v>#NAME?</v>
      </c>
      <c r="F4931" t="s">
        <v>23098</v>
      </c>
      <c r="G4931" t="s">
        <v>7120</v>
      </c>
      <c r="H4931" t="s">
        <v>23099</v>
      </c>
      <c r="I4931" t="s">
        <v>23100</v>
      </c>
      <c r="J4931" t="s">
        <v>9739</v>
      </c>
      <c r="K4931" t="s">
        <v>23101</v>
      </c>
    </row>
    <row r="4932" spans="1:19" x14ac:dyDescent="0.35">
      <c r="A4932">
        <v>7406</v>
      </c>
      <c r="B4932" t="s">
        <v>12361</v>
      </c>
      <c r="C4932" t="s">
        <v>42</v>
      </c>
      <c r="D4932" t="s">
        <v>12362</v>
      </c>
      <c r="E4932" t="e" cm="1">
        <f t="array" ref="E4932">- THIAMINE HYDROCHLORIDE. PYRIDOXINE HYDROCHLORIDE. CYANOCOBALAMIN</f>
        <v>#NAME?</v>
      </c>
      <c r="F4932" t="s">
        <v>12363</v>
      </c>
      <c r="G4932" t="s">
        <v>12364</v>
      </c>
      <c r="H4932" t="s">
        <v>12365</v>
      </c>
      <c r="I4932" t="s">
        <v>12366</v>
      </c>
      <c r="J4932" t="s">
        <v>5221</v>
      </c>
      <c r="M4932" t="s">
        <v>46</v>
      </c>
      <c r="N4932" t="s">
        <v>5397</v>
      </c>
      <c r="O4932" t="s">
        <v>12367</v>
      </c>
      <c r="P4932" t="s">
        <v>12368</v>
      </c>
      <c r="Q4932" t="s">
        <v>23119</v>
      </c>
      <c r="R4932">
        <v>14</v>
      </c>
      <c r="S4932">
        <v>16</v>
      </c>
    </row>
    <row r="4933" spans="1:19" x14ac:dyDescent="0.35">
      <c r="A4933">
        <v>1125</v>
      </c>
      <c r="B4933" t="s">
        <v>16403</v>
      </c>
      <c r="C4933" t="s">
        <v>42</v>
      </c>
      <c r="D4933" t="s">
        <v>16404</v>
      </c>
      <c r="E4933" t="e" cm="1">
        <f t="array" ref="E4933">- SUCCUS LIQUIRITIAE. AMMONIUM CHLORIDE</f>
        <v>#NAME?</v>
      </c>
      <c r="F4933" t="s">
        <v>16405</v>
      </c>
      <c r="G4933" t="s">
        <v>2241</v>
      </c>
      <c r="H4933" t="s">
        <v>2242</v>
      </c>
      <c r="I4933" t="s">
        <v>16406</v>
      </c>
      <c r="J4933" t="s">
        <v>16407</v>
      </c>
      <c r="K4933" t="s">
        <v>8505</v>
      </c>
      <c r="L4933" t="s">
        <v>3974</v>
      </c>
      <c r="M4933" t="s">
        <v>271</v>
      </c>
      <c r="N4933" t="s">
        <v>5134</v>
      </c>
      <c r="O4933" t="s">
        <v>8506</v>
      </c>
      <c r="P4933" t="s">
        <v>16408</v>
      </c>
      <c r="Q4933" t="s">
        <v>23067</v>
      </c>
      <c r="R4933">
        <v>14</v>
      </c>
      <c r="S4933">
        <v>16</v>
      </c>
    </row>
    <row r="4934" spans="1:19" x14ac:dyDescent="0.35">
      <c r="A4934">
        <v>1142</v>
      </c>
      <c r="B4934" t="s">
        <v>22347</v>
      </c>
      <c r="C4934" t="s">
        <v>42</v>
      </c>
      <c r="D4934" t="s">
        <v>23120</v>
      </c>
      <c r="E4934" t="e" cm="1">
        <f t="array" ref="E4934">- AMMONIUM CHLORIDE</f>
        <v>#NAME?</v>
      </c>
      <c r="F4934" t="s">
        <v>23121</v>
      </c>
      <c r="H4934" t="s">
        <v>22350</v>
      </c>
      <c r="I4934" t="s">
        <v>22351</v>
      </c>
      <c r="J4934" t="s">
        <v>374</v>
      </c>
      <c r="K4934" t="s">
        <v>22352</v>
      </c>
      <c r="M4934" t="s">
        <v>271</v>
      </c>
      <c r="N4934" t="s">
        <v>1672</v>
      </c>
      <c r="O4934" t="s">
        <v>22353</v>
      </c>
      <c r="P4934" t="s">
        <v>22354</v>
      </c>
      <c r="Q4934" t="s">
        <v>22355</v>
      </c>
      <c r="R4934">
        <v>14</v>
      </c>
      <c r="S4934">
        <v>16</v>
      </c>
    </row>
    <row r="4935" spans="1:19" x14ac:dyDescent="0.35">
      <c r="A4935">
        <v>5317</v>
      </c>
      <c r="B4935" t="s">
        <v>22494</v>
      </c>
      <c r="C4935" t="s">
        <v>42</v>
      </c>
      <c r="D4935" t="s">
        <v>22495</v>
      </c>
      <c r="E4935" t="e" cm="1">
        <f t="array" ref="E4935">- ACICLOVIR</f>
        <v>#NAME?</v>
      </c>
      <c r="F4935" s="1">
        <v>41600</v>
      </c>
      <c r="G4935" t="s">
        <v>17383</v>
      </c>
      <c r="H4935" t="s">
        <v>22496</v>
      </c>
      <c r="I4935" t="s">
        <v>22497</v>
      </c>
      <c r="J4935" t="s">
        <v>7213</v>
      </c>
      <c r="K4935" t="s">
        <v>2726</v>
      </c>
      <c r="L4935" t="s">
        <v>22498</v>
      </c>
      <c r="M4935" t="s">
        <v>1289</v>
      </c>
      <c r="N4935" t="s">
        <v>1685</v>
      </c>
      <c r="O4935" t="s">
        <v>22499</v>
      </c>
      <c r="P4935" t="s">
        <v>22500</v>
      </c>
      <c r="Q4935" t="s">
        <v>22501</v>
      </c>
      <c r="R4935">
        <v>14</v>
      </c>
      <c r="S4935">
        <v>16</v>
      </c>
    </row>
    <row r="4936" spans="1:19" x14ac:dyDescent="0.35">
      <c r="A4936">
        <v>1143</v>
      </c>
      <c r="B4936" t="s">
        <v>22347</v>
      </c>
      <c r="C4936" t="s">
        <v>42</v>
      </c>
      <c r="D4936" t="s">
        <v>23120</v>
      </c>
      <c r="E4936" t="e" cm="1">
        <f t="array" ref="E4936">- AMMONIUM CHLORIDE</f>
        <v>#NAME?</v>
      </c>
      <c r="F4936" t="s">
        <v>23121</v>
      </c>
      <c r="H4936" t="s">
        <v>22350</v>
      </c>
      <c r="I4936" t="s">
        <v>22351</v>
      </c>
      <c r="J4936" t="s">
        <v>374</v>
      </c>
      <c r="K4936" t="s">
        <v>22352</v>
      </c>
      <c r="M4936" t="s">
        <v>271</v>
      </c>
      <c r="N4936" t="s">
        <v>1672</v>
      </c>
      <c r="O4936" t="s">
        <v>22353</v>
      </c>
      <c r="P4936" t="s">
        <v>22354</v>
      </c>
      <c r="Q4936" t="s">
        <v>22355</v>
      </c>
      <c r="R4936">
        <v>14</v>
      </c>
      <c r="S4936">
        <v>16</v>
      </c>
    </row>
    <row r="4937" spans="1:19" x14ac:dyDescent="0.35">
      <c r="A4937">
        <v>5986</v>
      </c>
      <c r="B4937" t="s">
        <v>23122</v>
      </c>
      <c r="C4937" t="s">
        <v>42</v>
      </c>
      <c r="D4937" t="s">
        <v>23123</v>
      </c>
      <c r="E4937" t="e" cm="1">
        <f t="array" ref="E4937">- CLINDAMYCIN</f>
        <v>#NAME?</v>
      </c>
      <c r="F4937" t="s">
        <v>23124</v>
      </c>
      <c r="H4937" t="s">
        <v>23125</v>
      </c>
      <c r="I4937" t="s">
        <v>23126</v>
      </c>
      <c r="J4937" t="s">
        <v>23127</v>
      </c>
      <c r="L4937" t="s">
        <v>321</v>
      </c>
      <c r="M4937" t="s">
        <v>38</v>
      </c>
      <c r="N4937" t="s">
        <v>7223</v>
      </c>
      <c r="O4937" t="s">
        <v>23128</v>
      </c>
      <c r="P4937" t="s">
        <v>23129</v>
      </c>
      <c r="Q4937" t="s">
        <v>23130</v>
      </c>
      <c r="R4937">
        <v>14</v>
      </c>
      <c r="S4937">
        <v>16</v>
      </c>
    </row>
    <row r="4938" spans="1:19" x14ac:dyDescent="0.35">
      <c r="A4938">
        <v>5204</v>
      </c>
      <c r="B4938" t="s">
        <v>22254</v>
      </c>
      <c r="C4938" t="s">
        <v>42</v>
      </c>
      <c r="D4938" t="s">
        <v>22816</v>
      </c>
      <c r="E4938" t="e" cm="1">
        <f t="array" ref="E4938">- CLOTRIMAZOLE</f>
        <v>#NAME?</v>
      </c>
      <c r="F4938" t="s">
        <v>22817</v>
      </c>
      <c r="G4938" t="s">
        <v>22257</v>
      </c>
      <c r="H4938" t="s">
        <v>22258</v>
      </c>
      <c r="I4938" t="s">
        <v>22259</v>
      </c>
      <c r="J4938" t="s">
        <v>1367</v>
      </c>
      <c r="K4938" t="s">
        <v>22260</v>
      </c>
      <c r="L4938" t="s">
        <v>22261</v>
      </c>
      <c r="M4938" t="s">
        <v>1289</v>
      </c>
      <c r="N4938" t="s">
        <v>1422</v>
      </c>
      <c r="O4938" t="s">
        <v>22262</v>
      </c>
      <c r="P4938" t="s">
        <v>22263</v>
      </c>
      <c r="Q4938" t="s">
        <v>22264</v>
      </c>
      <c r="R4938">
        <v>14</v>
      </c>
      <c r="S4938">
        <v>16</v>
      </c>
    </row>
    <row r="4939" spans="1:19" x14ac:dyDescent="0.35">
      <c r="A4939">
        <v>1926</v>
      </c>
      <c r="B4939" t="s">
        <v>23102</v>
      </c>
      <c r="C4939" t="s">
        <v>20</v>
      </c>
      <c r="D4939" t="s">
        <v>23103</v>
      </c>
      <c r="E4939" t="s">
        <v>23104</v>
      </c>
      <c r="F4939" t="s">
        <v>23105</v>
      </c>
      <c r="G4939" t="s">
        <v>2241</v>
      </c>
      <c r="H4939" t="s">
        <v>23106</v>
      </c>
      <c r="I4939" t="s">
        <v>10735</v>
      </c>
      <c r="J4939" t="s">
        <v>846</v>
      </c>
      <c r="M4939" t="s">
        <v>271</v>
      </c>
      <c r="N4939" t="s">
        <v>23107</v>
      </c>
      <c r="O4939" t="s">
        <v>6611</v>
      </c>
      <c r="P4939" t="s">
        <v>23108</v>
      </c>
      <c r="Q4939" t="s">
        <v>23109</v>
      </c>
      <c r="R4939">
        <v>14</v>
      </c>
      <c r="S4939">
        <v>16</v>
      </c>
    </row>
    <row r="4940" spans="1:19" x14ac:dyDescent="0.35">
      <c r="A4940">
        <v>3710</v>
      </c>
      <c r="B4940" t="s">
        <v>20214</v>
      </c>
      <c r="C4940" t="s">
        <v>42</v>
      </c>
      <c r="D4940" t="s">
        <v>20215</v>
      </c>
      <c r="E4940" t="e" cm="1">
        <f t="array" ref="E4940">- ZINC SULFATE MONOHYDRATE</f>
        <v>#NAME?</v>
      </c>
      <c r="F4940" t="s">
        <v>20216</v>
      </c>
      <c r="G4940" t="s">
        <v>20102</v>
      </c>
      <c r="H4940" t="s">
        <v>20217</v>
      </c>
      <c r="I4940" t="s">
        <v>20218</v>
      </c>
      <c r="J4940" t="s">
        <v>334</v>
      </c>
      <c r="K4940" t="s">
        <v>3952</v>
      </c>
      <c r="L4940" t="s">
        <v>20219</v>
      </c>
      <c r="M4940" t="s">
        <v>271</v>
      </c>
      <c r="N4940" t="s">
        <v>2750</v>
      </c>
      <c r="O4940" t="s">
        <v>20220</v>
      </c>
      <c r="P4940" t="s">
        <v>20221</v>
      </c>
      <c r="Q4940" t="s">
        <v>22532</v>
      </c>
      <c r="R4940">
        <v>14</v>
      </c>
      <c r="S4940">
        <v>16</v>
      </c>
    </row>
    <row r="4941" spans="1:19" x14ac:dyDescent="0.35">
      <c r="A4941">
        <v>5988</v>
      </c>
      <c r="B4941" t="s">
        <v>23131</v>
      </c>
      <c r="C4941" t="s">
        <v>42</v>
      </c>
      <c r="D4941" t="s">
        <v>23132</v>
      </c>
      <c r="E4941" t="e" cm="1">
        <f t="array" ref="E4941">- CLINDAMYCIN</f>
        <v>#NAME?</v>
      </c>
      <c r="F4941" t="s">
        <v>23133</v>
      </c>
      <c r="H4941" t="s">
        <v>23125</v>
      </c>
      <c r="I4941" t="s">
        <v>23126</v>
      </c>
      <c r="J4941" t="s">
        <v>23134</v>
      </c>
      <c r="L4941" t="s">
        <v>321</v>
      </c>
      <c r="M4941" t="s">
        <v>38</v>
      </c>
      <c r="N4941" t="s">
        <v>7223</v>
      </c>
      <c r="O4941" t="s">
        <v>23128</v>
      </c>
      <c r="P4941" t="s">
        <v>23129</v>
      </c>
      <c r="Q4941" t="s">
        <v>23130</v>
      </c>
      <c r="R4941">
        <v>14</v>
      </c>
      <c r="S4941">
        <v>16</v>
      </c>
    </row>
    <row r="4942" spans="1:19" x14ac:dyDescent="0.35">
      <c r="A4942">
        <v>5205</v>
      </c>
      <c r="B4942" t="s">
        <v>22254</v>
      </c>
      <c r="C4942" t="s">
        <v>42</v>
      </c>
      <c r="D4942" t="s">
        <v>22816</v>
      </c>
      <c r="E4942" t="e" cm="1">
        <f t="array" ref="E4942">- CLOTRIMAZOLE</f>
        <v>#NAME?</v>
      </c>
      <c r="F4942" t="s">
        <v>22817</v>
      </c>
      <c r="G4942" t="s">
        <v>22257</v>
      </c>
      <c r="H4942" t="s">
        <v>22258</v>
      </c>
      <c r="I4942" t="s">
        <v>22259</v>
      </c>
      <c r="J4942" t="s">
        <v>1367</v>
      </c>
      <c r="K4942" t="s">
        <v>22260</v>
      </c>
      <c r="L4942" t="s">
        <v>22261</v>
      </c>
      <c r="M4942" t="s">
        <v>1289</v>
      </c>
      <c r="N4942" t="s">
        <v>1422</v>
      </c>
      <c r="O4942" t="s">
        <v>22262</v>
      </c>
      <c r="P4942" t="s">
        <v>22263</v>
      </c>
      <c r="Q4942" t="s">
        <v>22264</v>
      </c>
      <c r="R4942">
        <v>14</v>
      </c>
      <c r="S4942">
        <v>16</v>
      </c>
    </row>
    <row r="4943" spans="1:19" x14ac:dyDescent="0.35">
      <c r="A4943">
        <v>5206</v>
      </c>
      <c r="B4943" t="s">
        <v>22254</v>
      </c>
      <c r="C4943" t="s">
        <v>42</v>
      </c>
      <c r="D4943" t="s">
        <v>22816</v>
      </c>
      <c r="E4943" t="e" cm="1">
        <f t="array" ref="E4943">- CLOTRIMAZOLE</f>
        <v>#NAME?</v>
      </c>
      <c r="F4943" t="s">
        <v>22817</v>
      </c>
      <c r="G4943" t="s">
        <v>22257</v>
      </c>
      <c r="H4943" t="s">
        <v>22258</v>
      </c>
      <c r="I4943" t="s">
        <v>22259</v>
      </c>
      <c r="J4943" t="s">
        <v>1367</v>
      </c>
      <c r="K4943" t="s">
        <v>22260</v>
      </c>
      <c r="L4943" t="s">
        <v>22261</v>
      </c>
      <c r="M4943" t="s">
        <v>1289</v>
      </c>
      <c r="N4943" t="s">
        <v>1422</v>
      </c>
      <c r="O4943" t="s">
        <v>22262</v>
      </c>
      <c r="P4943" t="s">
        <v>22263</v>
      </c>
      <c r="Q4943" t="s">
        <v>22264</v>
      </c>
      <c r="R4943">
        <v>14</v>
      </c>
      <c r="S4943">
        <v>16</v>
      </c>
    </row>
    <row r="4944" spans="1:19" x14ac:dyDescent="0.35">
      <c r="A4944">
        <v>4461</v>
      </c>
      <c r="B4944" t="s">
        <v>19481</v>
      </c>
      <c r="C4944" t="s">
        <v>42</v>
      </c>
      <c r="D4944" t="s">
        <v>23135</v>
      </c>
      <c r="E4944" t="e" cm="1">
        <f t="array" ref="E4944">- LEVOFLOXACIN</f>
        <v>#NAME?</v>
      </c>
      <c r="F4944" t="s">
        <v>23136</v>
      </c>
      <c r="G4944" t="s">
        <v>7569</v>
      </c>
      <c r="H4944" t="s">
        <v>23137</v>
      </c>
      <c r="I4944" t="s">
        <v>23138</v>
      </c>
      <c r="J4944" t="s">
        <v>7561</v>
      </c>
      <c r="K4944" t="s">
        <v>3473</v>
      </c>
      <c r="L4944" t="s">
        <v>23139</v>
      </c>
      <c r="M4944" t="s">
        <v>824</v>
      </c>
      <c r="N4944" t="s">
        <v>11487</v>
      </c>
      <c r="O4944" t="s">
        <v>23140</v>
      </c>
      <c r="P4944" t="s">
        <v>23141</v>
      </c>
      <c r="Q4944" t="s">
        <v>23142</v>
      </c>
      <c r="R4944">
        <v>14</v>
      </c>
      <c r="S4944">
        <v>16</v>
      </c>
    </row>
    <row r="4945" spans="1:19" x14ac:dyDescent="0.35">
      <c r="A4945">
        <v>4460</v>
      </c>
      <c r="B4945" t="s">
        <v>19481</v>
      </c>
      <c r="C4945" t="s">
        <v>42</v>
      </c>
      <c r="D4945" t="s">
        <v>23135</v>
      </c>
      <c r="E4945" t="e" cm="1">
        <f t="array" ref="E4945">- LEVOFLOXACIN</f>
        <v>#NAME?</v>
      </c>
      <c r="F4945" t="s">
        <v>23136</v>
      </c>
      <c r="G4945" t="s">
        <v>7569</v>
      </c>
      <c r="H4945" t="s">
        <v>23137</v>
      </c>
      <c r="I4945" t="s">
        <v>23138</v>
      </c>
      <c r="J4945" t="s">
        <v>7561</v>
      </c>
      <c r="K4945" t="s">
        <v>3473</v>
      </c>
      <c r="L4945" t="s">
        <v>23139</v>
      </c>
      <c r="M4945" t="s">
        <v>824</v>
      </c>
      <c r="N4945" t="s">
        <v>11487</v>
      </c>
      <c r="O4945" t="s">
        <v>23140</v>
      </c>
      <c r="P4945" t="s">
        <v>23141</v>
      </c>
      <c r="Q4945" t="s">
        <v>23142</v>
      </c>
      <c r="R4945">
        <v>14</v>
      </c>
      <c r="S4945">
        <v>16</v>
      </c>
    </row>
    <row r="4946" spans="1:19" x14ac:dyDescent="0.35">
      <c r="A4946">
        <v>1202</v>
      </c>
      <c r="B4946" t="s">
        <v>16181</v>
      </c>
      <c r="C4946" t="s">
        <v>42</v>
      </c>
      <c r="D4946" t="s">
        <v>16182</v>
      </c>
      <c r="E4946" t="e" cm="1">
        <f t="array" ref="E4946">- PSEUDOEPHEDRINE HYDROCHLORIDE. TRIPROLIDINE HYDROCHLORIDE</f>
        <v>#NAME?</v>
      </c>
      <c r="F4946" s="1">
        <v>38700</v>
      </c>
      <c r="G4946" t="s">
        <v>60</v>
      </c>
      <c r="H4946" t="s">
        <v>16183</v>
      </c>
      <c r="I4946" t="s">
        <v>16184</v>
      </c>
      <c r="J4946" t="s">
        <v>334</v>
      </c>
      <c r="L4946" t="s">
        <v>16185</v>
      </c>
      <c r="M4946" t="s">
        <v>271</v>
      </c>
      <c r="N4946" t="s">
        <v>3820</v>
      </c>
      <c r="O4946" t="s">
        <v>16186</v>
      </c>
      <c r="P4946" t="s">
        <v>16187</v>
      </c>
      <c r="Q4946" t="s">
        <v>23143</v>
      </c>
      <c r="R4946">
        <v>14</v>
      </c>
      <c r="S4946">
        <v>16</v>
      </c>
    </row>
    <row r="4947" spans="1:19" x14ac:dyDescent="0.35">
      <c r="A4947">
        <v>5318</v>
      </c>
      <c r="B4947" t="s">
        <v>22494</v>
      </c>
      <c r="C4947" t="s">
        <v>42</v>
      </c>
      <c r="D4947" t="s">
        <v>22495</v>
      </c>
      <c r="E4947" t="e" cm="1">
        <f t="array" ref="E4947">- ACICLOVIR</f>
        <v>#NAME?</v>
      </c>
      <c r="F4947" s="1">
        <v>41600</v>
      </c>
      <c r="G4947" t="s">
        <v>17383</v>
      </c>
      <c r="H4947" t="s">
        <v>22496</v>
      </c>
      <c r="I4947" t="s">
        <v>22497</v>
      </c>
      <c r="J4947" t="s">
        <v>7213</v>
      </c>
      <c r="K4947" t="s">
        <v>2726</v>
      </c>
      <c r="L4947" t="s">
        <v>22498</v>
      </c>
      <c r="M4947" t="s">
        <v>1289</v>
      </c>
      <c r="N4947" t="s">
        <v>1685</v>
      </c>
      <c r="O4947" t="s">
        <v>22499</v>
      </c>
      <c r="P4947" t="s">
        <v>22500</v>
      </c>
      <c r="Q4947" t="s">
        <v>22501</v>
      </c>
      <c r="R4947">
        <v>14</v>
      </c>
      <c r="S4947">
        <v>16</v>
      </c>
    </row>
    <row r="4948" spans="1:19" x14ac:dyDescent="0.35">
      <c r="A4948">
        <v>4661</v>
      </c>
      <c r="B4948" t="s">
        <v>12097</v>
      </c>
      <c r="C4948" t="s">
        <v>42</v>
      </c>
      <c r="D4948" t="s">
        <v>23144</v>
      </c>
      <c r="E4948" t="e" cm="1">
        <f t="array" ref="E4948">- POTASSIUM IODIDE</f>
        <v>#NAME?</v>
      </c>
      <c r="F4948" t="s">
        <v>23145</v>
      </c>
      <c r="G4948" t="s">
        <v>23079</v>
      </c>
      <c r="H4948" t="s">
        <v>23080</v>
      </c>
      <c r="I4948" t="s">
        <v>23081</v>
      </c>
      <c r="J4948" t="s">
        <v>23073</v>
      </c>
      <c r="K4948" t="s">
        <v>23083</v>
      </c>
      <c r="L4948" t="s">
        <v>16314</v>
      </c>
      <c r="M4948" t="s">
        <v>824</v>
      </c>
      <c r="N4948" t="s">
        <v>12104</v>
      </c>
      <c r="O4948" t="s">
        <v>23084</v>
      </c>
      <c r="P4948" t="s">
        <v>23085</v>
      </c>
      <c r="Q4948" t="s">
        <v>23086</v>
      </c>
      <c r="R4948">
        <v>14</v>
      </c>
      <c r="S4948">
        <v>16</v>
      </c>
    </row>
    <row r="4949" spans="1:19" x14ac:dyDescent="0.35">
      <c r="A4949">
        <v>4660</v>
      </c>
      <c r="B4949" t="s">
        <v>12097</v>
      </c>
      <c r="C4949" t="s">
        <v>42</v>
      </c>
      <c r="D4949" t="s">
        <v>23144</v>
      </c>
      <c r="E4949" t="e" cm="1">
        <f t="array" ref="E4949">- POTASSIUM IODIDE</f>
        <v>#NAME?</v>
      </c>
      <c r="F4949" t="s">
        <v>23145</v>
      </c>
      <c r="G4949" t="s">
        <v>23079</v>
      </c>
      <c r="H4949" t="s">
        <v>23080</v>
      </c>
      <c r="I4949" t="s">
        <v>23081</v>
      </c>
      <c r="J4949" t="s">
        <v>23073</v>
      </c>
      <c r="K4949" t="s">
        <v>23083</v>
      </c>
      <c r="L4949" t="s">
        <v>16314</v>
      </c>
      <c r="M4949" t="s">
        <v>824</v>
      </c>
      <c r="N4949" t="s">
        <v>12104</v>
      </c>
      <c r="O4949" t="s">
        <v>23084</v>
      </c>
      <c r="P4949" t="s">
        <v>23085</v>
      </c>
      <c r="Q4949" t="s">
        <v>23086</v>
      </c>
      <c r="R4949">
        <v>14</v>
      </c>
      <c r="S4949">
        <v>16</v>
      </c>
    </row>
    <row r="4950" spans="1:19" x14ac:dyDescent="0.35">
      <c r="A4950">
        <v>8859</v>
      </c>
      <c r="B4950" t="s">
        <v>23146</v>
      </c>
      <c r="C4950" t="s">
        <v>20</v>
      </c>
      <c r="D4950" t="s">
        <v>23147</v>
      </c>
      <c r="E4950" t="s">
        <v>23148</v>
      </c>
      <c r="F4950" t="s">
        <v>23149</v>
      </c>
      <c r="G4950" t="s">
        <v>4545</v>
      </c>
      <c r="H4950" t="s">
        <v>23150</v>
      </c>
      <c r="I4950" t="s">
        <v>23151</v>
      </c>
      <c r="J4950" t="s">
        <v>23152</v>
      </c>
      <c r="M4950" t="s">
        <v>38</v>
      </c>
      <c r="N4950" t="s">
        <v>23153</v>
      </c>
      <c r="O4950" t="s">
        <v>23154</v>
      </c>
      <c r="P4950" t="s">
        <v>23153</v>
      </c>
      <c r="Q4950" t="s">
        <v>23155</v>
      </c>
      <c r="R4950">
        <v>14</v>
      </c>
      <c r="S4950">
        <v>16</v>
      </c>
    </row>
    <row r="4951" spans="1:19" x14ac:dyDescent="0.35">
      <c r="A4951">
        <v>4684</v>
      </c>
      <c r="B4951" t="s">
        <v>23068</v>
      </c>
      <c r="C4951" t="s">
        <v>42</v>
      </c>
      <c r="D4951" t="s">
        <v>23069</v>
      </c>
      <c r="E4951" t="e" cm="1">
        <f t="array" ref="E4951">- CHLORAMPHENICOL</f>
        <v>#NAME?</v>
      </c>
      <c r="F4951" t="s">
        <v>23070</v>
      </c>
      <c r="H4951" t="s">
        <v>23071</v>
      </c>
      <c r="I4951" t="s">
        <v>23072</v>
      </c>
      <c r="J4951" t="s">
        <v>23073</v>
      </c>
      <c r="L4951" t="s">
        <v>321</v>
      </c>
      <c r="M4951" t="s">
        <v>824</v>
      </c>
      <c r="N4951" t="s">
        <v>1188</v>
      </c>
      <c r="O4951" t="s">
        <v>23074</v>
      </c>
      <c r="P4951" t="s">
        <v>23075</v>
      </c>
      <c r="Q4951" t="s">
        <v>23076</v>
      </c>
      <c r="R4951">
        <v>14</v>
      </c>
      <c r="S4951">
        <v>16</v>
      </c>
    </row>
    <row r="4952" spans="1:19" x14ac:dyDescent="0.35">
      <c r="A4952">
        <v>4683</v>
      </c>
      <c r="B4952" t="s">
        <v>23068</v>
      </c>
      <c r="C4952" t="s">
        <v>42</v>
      </c>
      <c r="D4952" t="s">
        <v>23156</v>
      </c>
      <c r="E4952" t="e" cm="1">
        <f t="array" ref="E4952">- CHLORAMPHENICOL</f>
        <v>#NAME?</v>
      </c>
      <c r="F4952" t="s">
        <v>23157</v>
      </c>
      <c r="G4952" t="s">
        <v>11067</v>
      </c>
      <c r="H4952" t="s">
        <v>23158</v>
      </c>
      <c r="I4952" t="s">
        <v>23159</v>
      </c>
      <c r="J4952" t="s">
        <v>12103</v>
      </c>
      <c r="L4952" t="s">
        <v>23160</v>
      </c>
      <c r="M4952" t="s">
        <v>824</v>
      </c>
      <c r="N4952" t="s">
        <v>1188</v>
      </c>
      <c r="O4952" t="s">
        <v>23074</v>
      </c>
      <c r="P4952" t="s">
        <v>23161</v>
      </c>
      <c r="Q4952" t="s">
        <v>23162</v>
      </c>
      <c r="R4952">
        <v>14</v>
      </c>
      <c r="S4952">
        <v>16</v>
      </c>
    </row>
    <row r="4953" spans="1:19" x14ac:dyDescent="0.35">
      <c r="A4953">
        <v>4682</v>
      </c>
      <c r="B4953" t="s">
        <v>23068</v>
      </c>
      <c r="C4953" t="s">
        <v>42</v>
      </c>
      <c r="D4953" t="s">
        <v>23156</v>
      </c>
      <c r="E4953" t="e" cm="1">
        <f t="array" ref="E4953">- CHLORAMPHENICOL</f>
        <v>#NAME?</v>
      </c>
      <c r="F4953" t="s">
        <v>23157</v>
      </c>
      <c r="G4953" t="s">
        <v>11067</v>
      </c>
      <c r="H4953" t="s">
        <v>23158</v>
      </c>
      <c r="I4953" t="s">
        <v>23159</v>
      </c>
      <c r="J4953" t="s">
        <v>12103</v>
      </c>
      <c r="L4953" t="s">
        <v>23160</v>
      </c>
      <c r="M4953" t="s">
        <v>824</v>
      </c>
      <c r="N4953" t="s">
        <v>1188</v>
      </c>
      <c r="O4953" t="s">
        <v>23074</v>
      </c>
      <c r="P4953" t="s">
        <v>23161</v>
      </c>
      <c r="Q4953" t="s">
        <v>23162</v>
      </c>
      <c r="R4953">
        <v>14</v>
      </c>
      <c r="S4953">
        <v>16</v>
      </c>
    </row>
    <row r="4954" spans="1:19" x14ac:dyDescent="0.35">
      <c r="A4954">
        <v>3665</v>
      </c>
      <c r="B4954" t="s">
        <v>19933</v>
      </c>
      <c r="C4954" t="s">
        <v>42</v>
      </c>
      <c r="D4954" t="s">
        <v>19934</v>
      </c>
      <c r="E4954" t="e" cm="1">
        <f t="array" ref="E4954">- ONDANSETRON HYDROCHLORIDE DIHYDRATE</f>
        <v>#NAME?</v>
      </c>
      <c r="F4954" t="s">
        <v>19935</v>
      </c>
      <c r="G4954" t="s">
        <v>60</v>
      </c>
      <c r="H4954" t="s">
        <v>19936</v>
      </c>
      <c r="I4954" t="s">
        <v>19937</v>
      </c>
      <c r="J4954" t="s">
        <v>19938</v>
      </c>
      <c r="K4954" t="s">
        <v>11602</v>
      </c>
      <c r="L4954" t="s">
        <v>2537</v>
      </c>
      <c r="M4954" t="s">
        <v>46</v>
      </c>
      <c r="N4954" t="s">
        <v>14087</v>
      </c>
      <c r="O4954" t="s">
        <v>19939</v>
      </c>
      <c r="P4954" t="s">
        <v>19940</v>
      </c>
      <c r="Q4954" t="s">
        <v>23163</v>
      </c>
      <c r="R4954">
        <v>14</v>
      </c>
      <c r="S4954">
        <v>16</v>
      </c>
    </row>
    <row r="4955" spans="1:19" x14ac:dyDescent="0.35">
      <c r="A4955">
        <v>3666</v>
      </c>
      <c r="B4955" t="s">
        <v>19933</v>
      </c>
      <c r="C4955" t="s">
        <v>42</v>
      </c>
      <c r="D4955" t="s">
        <v>19934</v>
      </c>
      <c r="E4955" t="e" cm="1">
        <f t="array" ref="E4955">- ONDANSETRON HYDROCHLORIDE DIHYDRATE</f>
        <v>#NAME?</v>
      </c>
      <c r="F4955" t="s">
        <v>19935</v>
      </c>
      <c r="G4955" t="s">
        <v>60</v>
      </c>
      <c r="H4955" t="s">
        <v>19936</v>
      </c>
      <c r="I4955" t="s">
        <v>19937</v>
      </c>
      <c r="J4955" t="s">
        <v>19938</v>
      </c>
      <c r="K4955" t="s">
        <v>11602</v>
      </c>
      <c r="L4955" t="s">
        <v>2537</v>
      </c>
      <c r="M4955" t="s">
        <v>46</v>
      </c>
      <c r="N4955" t="s">
        <v>14087</v>
      </c>
      <c r="O4955" t="s">
        <v>19939</v>
      </c>
      <c r="P4955" t="s">
        <v>19940</v>
      </c>
      <c r="Q4955" t="s">
        <v>23163</v>
      </c>
      <c r="R4955">
        <v>14</v>
      </c>
      <c r="S4955">
        <v>16</v>
      </c>
    </row>
    <row r="4956" spans="1:19" x14ac:dyDescent="0.35">
      <c r="A4956">
        <v>455</v>
      </c>
      <c r="B4956" t="s">
        <v>23164</v>
      </c>
      <c r="C4956" t="s">
        <v>42</v>
      </c>
      <c r="D4956" t="s">
        <v>23165</v>
      </c>
      <c r="E4956" t="e" cm="1">
        <f t="array" ref="E4956">- GUAIFENESIN. SALBUTAMOL SULFATE</f>
        <v>#NAME?</v>
      </c>
      <c r="F4956" t="s">
        <v>23166</v>
      </c>
      <c r="G4956" t="s">
        <v>15884</v>
      </c>
      <c r="H4956" t="s">
        <v>16688</v>
      </c>
      <c r="I4956" t="s">
        <v>16689</v>
      </c>
      <c r="J4956" t="s">
        <v>374</v>
      </c>
      <c r="K4956" t="s">
        <v>13852</v>
      </c>
      <c r="L4956" t="s">
        <v>16690</v>
      </c>
      <c r="M4956" t="s">
        <v>271</v>
      </c>
      <c r="N4956" t="s">
        <v>14315</v>
      </c>
      <c r="O4956" t="s">
        <v>16267</v>
      </c>
      <c r="P4956" t="s">
        <v>23167</v>
      </c>
      <c r="Q4956" t="s">
        <v>23168</v>
      </c>
      <c r="R4956">
        <v>14</v>
      </c>
      <c r="S4956">
        <v>16</v>
      </c>
    </row>
    <row r="4957" spans="1:19" x14ac:dyDescent="0.35">
      <c r="A4957">
        <v>8844</v>
      </c>
      <c r="B4957" t="s">
        <v>18312</v>
      </c>
      <c r="C4957" t="s">
        <v>42</v>
      </c>
      <c r="D4957" t="s">
        <v>18313</v>
      </c>
      <c r="E4957" t="e" cm="1">
        <f t="array" ref="E4957">- DAPAGLIFLOZIN PROPANEDIOL. METFORMIN HYDROCHLORIDE</f>
        <v>#NAME?</v>
      </c>
      <c r="F4957" t="s">
        <v>18314</v>
      </c>
      <c r="G4957" t="s">
        <v>18286</v>
      </c>
      <c r="H4957" t="s">
        <v>18287</v>
      </c>
      <c r="I4957" t="s">
        <v>18288</v>
      </c>
      <c r="J4957" t="s">
        <v>18289</v>
      </c>
      <c r="K4957" t="s">
        <v>18315</v>
      </c>
      <c r="L4957" t="s">
        <v>18316</v>
      </c>
      <c r="M4957" t="s">
        <v>46</v>
      </c>
      <c r="N4957" t="s">
        <v>5501</v>
      </c>
      <c r="O4957" t="s">
        <v>18292</v>
      </c>
      <c r="P4957" t="s">
        <v>3147</v>
      </c>
      <c r="Q4957" t="s">
        <v>21858</v>
      </c>
      <c r="R4957">
        <v>14</v>
      </c>
      <c r="S4957">
        <v>16</v>
      </c>
    </row>
    <row r="4958" spans="1:19" x14ac:dyDescent="0.35">
      <c r="A4958">
        <v>5961</v>
      </c>
      <c r="B4958" t="s">
        <v>23169</v>
      </c>
      <c r="C4958" t="s">
        <v>42</v>
      </c>
      <c r="D4958" t="s">
        <v>23170</v>
      </c>
      <c r="E4958" t="e" cm="1">
        <f t="array" ref="E4958">- COLISTIN SULFATE</f>
        <v>#NAME?</v>
      </c>
      <c r="F4958" t="s">
        <v>23171</v>
      </c>
      <c r="G4958" t="s">
        <v>23172</v>
      </c>
      <c r="H4958" t="s">
        <v>23173</v>
      </c>
    </row>
    <row r="4959" spans="1:19" x14ac:dyDescent="0.35">
      <c r="A4959">
        <v>5962</v>
      </c>
      <c r="B4959" t="s">
        <v>23169</v>
      </c>
      <c r="C4959" t="s">
        <v>42</v>
      </c>
      <c r="D4959" t="s">
        <v>23170</v>
      </c>
      <c r="E4959" t="e" cm="1">
        <f t="array" ref="E4959">- COLISTIN SULFATE</f>
        <v>#NAME?</v>
      </c>
      <c r="F4959" t="s">
        <v>23171</v>
      </c>
      <c r="G4959" t="s">
        <v>23172</v>
      </c>
      <c r="H4959" t="s">
        <v>23173</v>
      </c>
    </row>
    <row r="4960" spans="1:19" x14ac:dyDescent="0.35">
      <c r="A4960">
        <v>5963</v>
      </c>
      <c r="B4960" t="s">
        <v>23174</v>
      </c>
      <c r="C4960" t="s">
        <v>42</v>
      </c>
      <c r="D4960" t="s">
        <v>23175</v>
      </c>
      <c r="E4960" t="e" cm="1">
        <f t="array" ref="E4960">- COLISTIN SULFATE</f>
        <v>#NAME?</v>
      </c>
      <c r="F4960" t="s">
        <v>23176</v>
      </c>
      <c r="G4960" t="s">
        <v>23177</v>
      </c>
      <c r="H4960" t="s">
        <v>23178</v>
      </c>
    </row>
    <row r="4961" spans="1:19" x14ac:dyDescent="0.35">
      <c r="A4961">
        <v>7750</v>
      </c>
      <c r="B4961" t="s">
        <v>23179</v>
      </c>
      <c r="C4961" t="s">
        <v>42</v>
      </c>
      <c r="D4961" t="s">
        <v>23180</v>
      </c>
      <c r="E4961" t="e" cm="1">
        <f t="array" ref="E4961">- THIAMINE NITRATE. PYRIDOXINE HYDROCHLORIDE. CYANOCOBALAMIN. TOCOPHERYL ACETATE</f>
        <v>#NAME?</v>
      </c>
      <c r="F4961" t="s">
        <v>23181</v>
      </c>
      <c r="G4961" t="s">
        <v>2241</v>
      </c>
      <c r="H4961" t="s">
        <v>23182</v>
      </c>
      <c r="I4961" t="s">
        <v>23183</v>
      </c>
      <c r="J4961" t="s">
        <v>23184</v>
      </c>
      <c r="K4961" t="s">
        <v>3473</v>
      </c>
      <c r="M4961" t="s">
        <v>291</v>
      </c>
      <c r="N4961" t="s">
        <v>23185</v>
      </c>
      <c r="O4961" t="s">
        <v>23186</v>
      </c>
      <c r="P4961" t="s">
        <v>23187</v>
      </c>
      <c r="Q4961" t="s">
        <v>23188</v>
      </c>
      <c r="R4961">
        <v>14</v>
      </c>
      <c r="S4961">
        <v>16</v>
      </c>
    </row>
    <row r="4962" spans="1:19" x14ac:dyDescent="0.35">
      <c r="A4962">
        <v>4662</v>
      </c>
      <c r="B4962" t="s">
        <v>12097</v>
      </c>
      <c r="C4962" t="s">
        <v>42</v>
      </c>
      <c r="D4962" t="s">
        <v>23144</v>
      </c>
      <c r="E4962" t="e" cm="1">
        <f t="array" ref="E4962">- POTASSIUM IODIDE</f>
        <v>#NAME?</v>
      </c>
      <c r="F4962" t="s">
        <v>23145</v>
      </c>
      <c r="G4962" t="s">
        <v>23079</v>
      </c>
      <c r="H4962" t="s">
        <v>23080</v>
      </c>
      <c r="I4962" t="s">
        <v>23081</v>
      </c>
      <c r="J4962" t="s">
        <v>23073</v>
      </c>
      <c r="K4962" t="s">
        <v>23083</v>
      </c>
      <c r="L4962" t="s">
        <v>16314</v>
      </c>
      <c r="M4962" t="s">
        <v>824</v>
      </c>
      <c r="N4962" t="s">
        <v>12104</v>
      </c>
      <c r="O4962" t="s">
        <v>23084</v>
      </c>
      <c r="P4962" t="s">
        <v>23085</v>
      </c>
      <c r="Q4962" t="s">
        <v>23086</v>
      </c>
      <c r="R4962">
        <v>14</v>
      </c>
      <c r="S4962">
        <v>16</v>
      </c>
    </row>
    <row r="4963" spans="1:19" x14ac:dyDescent="0.35">
      <c r="A4963">
        <v>7753</v>
      </c>
      <c r="B4963" t="s">
        <v>23189</v>
      </c>
      <c r="C4963" t="s">
        <v>42</v>
      </c>
      <c r="D4963" t="s">
        <v>23190</v>
      </c>
      <c r="E4963" t="e" cm="1">
        <f t="array" ref="E4963">- CYANOCOBALAMIN</f>
        <v>#NAME?</v>
      </c>
      <c r="F4963" t="s">
        <v>23191</v>
      </c>
      <c r="G4963" t="s">
        <v>8843</v>
      </c>
      <c r="H4963" t="s">
        <v>23192</v>
      </c>
      <c r="I4963" t="s">
        <v>23193</v>
      </c>
      <c r="J4963" t="s">
        <v>23194</v>
      </c>
      <c r="M4963" t="s">
        <v>291</v>
      </c>
      <c r="N4963" t="s">
        <v>677</v>
      </c>
      <c r="O4963" t="s">
        <v>23195</v>
      </c>
      <c r="P4963" t="s">
        <v>23196</v>
      </c>
      <c r="Q4963" t="s">
        <v>23197</v>
      </c>
      <c r="R4963">
        <v>14</v>
      </c>
      <c r="S4963">
        <v>16</v>
      </c>
    </row>
    <row r="4964" spans="1:19" x14ac:dyDescent="0.35">
      <c r="A4964">
        <v>5964</v>
      </c>
      <c r="B4964" t="s">
        <v>23174</v>
      </c>
      <c r="C4964" t="s">
        <v>42</v>
      </c>
      <c r="D4964" t="s">
        <v>23175</v>
      </c>
      <c r="E4964" t="e" cm="1">
        <f t="array" ref="E4964">- COLISTIN SULFATE</f>
        <v>#NAME?</v>
      </c>
      <c r="F4964" t="s">
        <v>23176</v>
      </c>
      <c r="G4964" t="s">
        <v>23177</v>
      </c>
      <c r="H4964" t="s">
        <v>23178</v>
      </c>
    </row>
    <row r="4965" spans="1:19" x14ac:dyDescent="0.35">
      <c r="A4965">
        <v>4119</v>
      </c>
      <c r="B4965" t="s">
        <v>23198</v>
      </c>
      <c r="C4965" t="s">
        <v>42</v>
      </c>
      <c r="D4965" t="s">
        <v>23199</v>
      </c>
      <c r="E4965" t="e" cm="1">
        <f t="array" ref="E4965">- CETIRIZINE HYDROCHLORIDE</f>
        <v>#NAME?</v>
      </c>
      <c r="F4965" t="s">
        <v>23200</v>
      </c>
      <c r="G4965" t="s">
        <v>60</v>
      </c>
      <c r="H4965" t="s">
        <v>1498</v>
      </c>
      <c r="I4965" t="s">
        <v>18665</v>
      </c>
      <c r="J4965" t="s">
        <v>2664</v>
      </c>
      <c r="K4965" t="s">
        <v>2726</v>
      </c>
      <c r="L4965" t="s">
        <v>20978</v>
      </c>
      <c r="M4965" t="s">
        <v>46</v>
      </c>
      <c r="N4965" t="s">
        <v>1390</v>
      </c>
      <c r="O4965" t="s">
        <v>18666</v>
      </c>
      <c r="P4965" t="s">
        <v>23201</v>
      </c>
      <c r="Q4965" t="s">
        <v>23202</v>
      </c>
      <c r="R4965">
        <v>14</v>
      </c>
      <c r="S4965">
        <v>16</v>
      </c>
    </row>
    <row r="4966" spans="1:19" x14ac:dyDescent="0.35">
      <c r="A4966">
        <v>3680</v>
      </c>
      <c r="B4966" t="s">
        <v>23203</v>
      </c>
      <c r="C4966" t="s">
        <v>42</v>
      </c>
      <c r="D4966" t="s">
        <v>23204</v>
      </c>
      <c r="E4966" t="e" cm="1">
        <f t="array" ref="E4966">- ONDANSETRON HYDROCHLORIDE DIHYDRATE</f>
        <v>#NAME?</v>
      </c>
      <c r="F4966" t="s">
        <v>23205</v>
      </c>
      <c r="G4966" t="s">
        <v>3098</v>
      </c>
      <c r="H4966" t="s">
        <v>23206</v>
      </c>
      <c r="I4966" t="s">
        <v>23207</v>
      </c>
      <c r="J4966" t="s">
        <v>17420</v>
      </c>
      <c r="L4966" t="s">
        <v>2537</v>
      </c>
      <c r="M4966" t="s">
        <v>271</v>
      </c>
      <c r="N4966" t="s">
        <v>14087</v>
      </c>
      <c r="O4966" t="s">
        <v>23208</v>
      </c>
      <c r="P4966" t="s">
        <v>16401</v>
      </c>
      <c r="Q4966" t="s">
        <v>23209</v>
      </c>
      <c r="R4966">
        <v>14</v>
      </c>
      <c r="S4966">
        <v>16</v>
      </c>
    </row>
    <row r="4967" spans="1:19" x14ac:dyDescent="0.35">
      <c r="A4967">
        <v>3048</v>
      </c>
      <c r="B4967" t="s">
        <v>23210</v>
      </c>
      <c r="C4967" t="s">
        <v>42</v>
      </c>
      <c r="D4967" t="s">
        <v>23211</v>
      </c>
      <c r="E4967" t="e" cm="1">
        <f t="array" ref="E4967">- ALUMINIUM HYDROXIDE</f>
        <v>#NAME?</v>
      </c>
      <c r="F4967" t="s">
        <v>23212</v>
      </c>
      <c r="G4967" t="s">
        <v>23213</v>
      </c>
      <c r="H4967" t="s">
        <v>23214</v>
      </c>
      <c r="I4967" t="s">
        <v>23215</v>
      </c>
      <c r="J4967" t="s">
        <v>23216</v>
      </c>
      <c r="K4967" t="s">
        <v>23217</v>
      </c>
      <c r="L4967" t="s">
        <v>23218</v>
      </c>
      <c r="M4967" t="s">
        <v>46</v>
      </c>
      <c r="N4967" t="s">
        <v>1771</v>
      </c>
      <c r="O4967" t="s">
        <v>23219</v>
      </c>
      <c r="P4967" t="s">
        <v>23220</v>
      </c>
      <c r="Q4967" t="s">
        <v>23221</v>
      </c>
      <c r="R4967">
        <v>14</v>
      </c>
      <c r="S4967">
        <v>16</v>
      </c>
    </row>
    <row r="4968" spans="1:19" x14ac:dyDescent="0.35">
      <c r="A4968">
        <v>3681</v>
      </c>
      <c r="B4968" t="s">
        <v>23203</v>
      </c>
      <c r="C4968" t="s">
        <v>42</v>
      </c>
      <c r="D4968" t="s">
        <v>23204</v>
      </c>
      <c r="E4968" t="e" cm="1">
        <f t="array" ref="E4968">- ONDANSETRON HYDROCHLORIDE DIHYDRATE</f>
        <v>#NAME?</v>
      </c>
      <c r="F4968" t="s">
        <v>23205</v>
      </c>
      <c r="G4968" t="s">
        <v>3098</v>
      </c>
      <c r="H4968" t="s">
        <v>23206</v>
      </c>
      <c r="I4968" t="s">
        <v>23207</v>
      </c>
      <c r="J4968" t="s">
        <v>17420</v>
      </c>
      <c r="L4968" t="s">
        <v>2537</v>
      </c>
      <c r="M4968" t="s">
        <v>271</v>
      </c>
      <c r="N4968" t="s">
        <v>14087</v>
      </c>
      <c r="O4968" t="s">
        <v>23208</v>
      </c>
      <c r="P4968" t="s">
        <v>16401</v>
      </c>
      <c r="Q4968" t="s">
        <v>23209</v>
      </c>
      <c r="R4968">
        <v>14</v>
      </c>
      <c r="S4968">
        <v>16</v>
      </c>
    </row>
    <row r="4969" spans="1:19" x14ac:dyDescent="0.35">
      <c r="A4969">
        <v>519</v>
      </c>
      <c r="B4969" t="s">
        <v>23222</v>
      </c>
      <c r="C4969" t="s">
        <v>42</v>
      </c>
      <c r="D4969" t="s">
        <v>23223</v>
      </c>
      <c r="E4969" t="e" cm="1">
        <f t="array" ref="E4969">- PROCATEROL HYDROCHLORIDE HEMIHYDRATE</f>
        <v>#NAME?</v>
      </c>
      <c r="F4969" t="s">
        <v>23224</v>
      </c>
      <c r="G4969" t="s">
        <v>60</v>
      </c>
      <c r="H4969" t="s">
        <v>23225</v>
      </c>
      <c r="I4969" t="s">
        <v>23226</v>
      </c>
      <c r="J4969" t="s">
        <v>846</v>
      </c>
      <c r="K4969" t="s">
        <v>4677</v>
      </c>
      <c r="L4969" t="s">
        <v>19273</v>
      </c>
      <c r="M4969" t="s">
        <v>271</v>
      </c>
      <c r="N4969" t="s">
        <v>3478</v>
      </c>
      <c r="O4969" t="s">
        <v>19274</v>
      </c>
      <c r="P4969" t="s">
        <v>23227</v>
      </c>
      <c r="Q4969" t="s">
        <v>23228</v>
      </c>
      <c r="R4969">
        <v>14</v>
      </c>
      <c r="S4969">
        <v>16</v>
      </c>
    </row>
    <row r="4970" spans="1:19" x14ac:dyDescent="0.35">
      <c r="A4970">
        <v>1753</v>
      </c>
      <c r="B4970" t="s">
        <v>22318</v>
      </c>
      <c r="C4970" t="s">
        <v>850</v>
      </c>
      <c r="D4970" t="s">
        <v>23229</v>
      </c>
      <c r="E4970" t="e" cm="1">
        <f t="array" ref="E4970">- Camphor</f>
        <v>#NAME?</v>
      </c>
      <c r="F4970" t="s">
        <v>23230</v>
      </c>
      <c r="G4970" t="s">
        <v>22320</v>
      </c>
      <c r="H4970" t="s">
        <v>16824</v>
      </c>
      <c r="I4970" t="s">
        <v>22506</v>
      </c>
      <c r="J4970" t="s">
        <v>23231</v>
      </c>
      <c r="L4970" t="s">
        <v>22508</v>
      </c>
      <c r="M4970" t="s">
        <v>2115</v>
      </c>
      <c r="N4970" t="s">
        <v>853</v>
      </c>
      <c r="O4970" t="s">
        <v>22324</v>
      </c>
      <c r="P4970" t="s">
        <v>22325</v>
      </c>
      <c r="Q4970" t="s">
        <v>22326</v>
      </c>
      <c r="R4970">
        <v>14</v>
      </c>
      <c r="S4970">
        <v>16</v>
      </c>
    </row>
    <row r="4971" spans="1:19" x14ac:dyDescent="0.35">
      <c r="A4971">
        <v>6116</v>
      </c>
      <c r="B4971" t="s">
        <v>18900</v>
      </c>
      <c r="C4971" t="s">
        <v>42</v>
      </c>
      <c r="D4971" t="s">
        <v>18901</v>
      </c>
      <c r="E4971" t="e" cm="1">
        <f t="array" ref="E4971">- AMOXICILLIN TRIHYDRATE</f>
        <v>#NAME?</v>
      </c>
      <c r="F4971" t="s">
        <v>18902</v>
      </c>
      <c r="G4971" t="s">
        <v>1691</v>
      </c>
      <c r="H4971" t="s">
        <v>18892</v>
      </c>
      <c r="I4971" t="s">
        <v>18893</v>
      </c>
      <c r="J4971" t="s">
        <v>18903</v>
      </c>
      <c r="K4971" t="s">
        <v>14288</v>
      </c>
      <c r="L4971" t="s">
        <v>18895</v>
      </c>
      <c r="M4971" t="s">
        <v>271</v>
      </c>
      <c r="N4971" t="s">
        <v>1523</v>
      </c>
      <c r="O4971" t="s">
        <v>18896</v>
      </c>
      <c r="P4971" t="s">
        <v>18904</v>
      </c>
      <c r="Q4971" t="s">
        <v>23232</v>
      </c>
      <c r="R4971">
        <v>14</v>
      </c>
      <c r="S4971">
        <v>16</v>
      </c>
    </row>
    <row r="4972" spans="1:19" x14ac:dyDescent="0.35">
      <c r="A4972">
        <v>3049</v>
      </c>
      <c r="B4972" t="s">
        <v>23210</v>
      </c>
      <c r="C4972" t="s">
        <v>42</v>
      </c>
      <c r="D4972" t="s">
        <v>23211</v>
      </c>
      <c r="E4972" t="e" cm="1">
        <f t="array" ref="E4972">- ALUMINIUM HYDROXIDE</f>
        <v>#NAME?</v>
      </c>
      <c r="F4972" t="s">
        <v>23212</v>
      </c>
      <c r="G4972" t="s">
        <v>23213</v>
      </c>
      <c r="H4972" t="s">
        <v>23214</v>
      </c>
      <c r="I4972" t="s">
        <v>23215</v>
      </c>
      <c r="J4972" t="s">
        <v>23216</v>
      </c>
      <c r="K4972" t="s">
        <v>23217</v>
      </c>
      <c r="L4972" t="s">
        <v>23218</v>
      </c>
      <c r="M4972" t="s">
        <v>46</v>
      </c>
      <c r="N4972" t="s">
        <v>1771</v>
      </c>
      <c r="O4972" t="s">
        <v>23219</v>
      </c>
      <c r="P4972" t="s">
        <v>23220</v>
      </c>
      <c r="Q4972" t="s">
        <v>23221</v>
      </c>
      <c r="R4972">
        <v>14</v>
      </c>
      <c r="S4972">
        <v>16</v>
      </c>
    </row>
    <row r="4973" spans="1:19" x14ac:dyDescent="0.35">
      <c r="A4973">
        <v>2748</v>
      </c>
      <c r="B4973" t="s">
        <v>23233</v>
      </c>
      <c r="C4973" t="s">
        <v>42</v>
      </c>
      <c r="D4973" t="s">
        <v>23234</v>
      </c>
      <c r="E4973" t="e" cm="1">
        <f t="array" ref="E4973">- PARACETAMOL</f>
        <v>#NAME?</v>
      </c>
      <c r="F4973" t="s">
        <v>22349</v>
      </c>
      <c r="G4973" t="s">
        <v>16021</v>
      </c>
      <c r="H4973" t="s">
        <v>22336</v>
      </c>
      <c r="I4973" t="s">
        <v>22337</v>
      </c>
      <c r="J4973" t="s">
        <v>7871</v>
      </c>
      <c r="M4973" t="s">
        <v>291</v>
      </c>
      <c r="N4973" t="s">
        <v>584</v>
      </c>
      <c r="O4973" t="s">
        <v>22340</v>
      </c>
      <c r="P4973" t="s">
        <v>23235</v>
      </c>
      <c r="Q4973" t="s">
        <v>23236</v>
      </c>
      <c r="R4973">
        <v>15</v>
      </c>
      <c r="S4973">
        <v>16</v>
      </c>
    </row>
    <row r="4974" spans="1:19" x14ac:dyDescent="0.35">
      <c r="A4974">
        <v>2747</v>
      </c>
      <c r="B4974" t="s">
        <v>23233</v>
      </c>
      <c r="C4974" t="s">
        <v>42</v>
      </c>
      <c r="D4974" t="s">
        <v>23234</v>
      </c>
      <c r="E4974" t="e" cm="1">
        <f t="array" ref="E4974">- PARACETAMOL</f>
        <v>#NAME?</v>
      </c>
      <c r="F4974" t="s">
        <v>22349</v>
      </c>
      <c r="G4974" t="s">
        <v>16021</v>
      </c>
      <c r="H4974" t="s">
        <v>22336</v>
      </c>
      <c r="I4974" t="s">
        <v>22337</v>
      </c>
      <c r="J4974" t="s">
        <v>7871</v>
      </c>
      <c r="M4974" t="s">
        <v>291</v>
      </c>
      <c r="N4974" t="s">
        <v>584</v>
      </c>
      <c r="O4974" t="s">
        <v>22340</v>
      </c>
      <c r="P4974" t="s">
        <v>23235</v>
      </c>
      <c r="Q4974" t="s">
        <v>23236</v>
      </c>
      <c r="R4974">
        <v>15</v>
      </c>
      <c r="S4974">
        <v>16</v>
      </c>
    </row>
    <row r="4975" spans="1:19" x14ac:dyDescent="0.35">
      <c r="A4975">
        <v>1771</v>
      </c>
      <c r="B4975" t="s">
        <v>23237</v>
      </c>
      <c r="C4975" t="s">
        <v>850</v>
      </c>
      <c r="D4975" t="s">
        <v>23238</v>
      </c>
      <c r="E4975" t="e" cm="1">
        <f t="array" ref="E4975">- Methyl Salicyllate</f>
        <v>#NAME?</v>
      </c>
      <c r="F4975" t="s">
        <v>23239</v>
      </c>
      <c r="I4975" t="s">
        <v>23240</v>
      </c>
      <c r="N4975" t="s">
        <v>23241</v>
      </c>
      <c r="O4975" t="s">
        <v>23242</v>
      </c>
      <c r="P4975" t="s">
        <v>23243</v>
      </c>
      <c r="Q4975" t="s">
        <v>23244</v>
      </c>
      <c r="R4975">
        <v>15</v>
      </c>
      <c r="S4975">
        <v>16</v>
      </c>
    </row>
    <row r="4976" spans="1:19" x14ac:dyDescent="0.35">
      <c r="A4976">
        <v>2752</v>
      </c>
      <c r="B4976" t="s">
        <v>23245</v>
      </c>
      <c r="C4976" t="s">
        <v>42</v>
      </c>
      <c r="D4976" t="s">
        <v>23246</v>
      </c>
      <c r="E4976" t="e" cm="1">
        <f t="array" ref="E4976">- PARACETAMOL</f>
        <v>#NAME?</v>
      </c>
      <c r="F4976" t="s">
        <v>23247</v>
      </c>
      <c r="G4976" t="s">
        <v>16021</v>
      </c>
      <c r="H4976" t="s">
        <v>22336</v>
      </c>
      <c r="I4976" t="s">
        <v>22337</v>
      </c>
      <c r="J4976" t="s">
        <v>23248</v>
      </c>
      <c r="M4976" t="s">
        <v>291</v>
      </c>
      <c r="N4976" t="s">
        <v>584</v>
      </c>
      <c r="O4976" t="s">
        <v>22340</v>
      </c>
      <c r="P4976" t="s">
        <v>946</v>
      </c>
      <c r="Q4976" t="s">
        <v>23249</v>
      </c>
      <c r="R4976">
        <v>15</v>
      </c>
      <c r="S4976">
        <v>16</v>
      </c>
    </row>
    <row r="4977" spans="1:19" x14ac:dyDescent="0.35">
      <c r="A4977">
        <v>7422</v>
      </c>
      <c r="B4977" t="s">
        <v>15416</v>
      </c>
      <c r="C4977" t="s">
        <v>42</v>
      </c>
      <c r="D4977" t="s">
        <v>15417</v>
      </c>
      <c r="E4977" t="e" cm="1">
        <f t="array" ref="E4977">- PYRIDOXINE HYDROCHLORIDE. THIAMINE MONONITRATE. CYANOCOBALAMIN</f>
        <v>#NAME?</v>
      </c>
      <c r="F4977" t="s">
        <v>15418</v>
      </c>
      <c r="G4977" t="s">
        <v>2241</v>
      </c>
      <c r="H4977" t="s">
        <v>9899</v>
      </c>
      <c r="I4977" t="s">
        <v>15419</v>
      </c>
      <c r="J4977" t="s">
        <v>2978</v>
      </c>
      <c r="L4977" t="s">
        <v>15420</v>
      </c>
      <c r="M4977" t="s">
        <v>46</v>
      </c>
      <c r="N4977" t="s">
        <v>23250</v>
      </c>
      <c r="O4977" t="s">
        <v>15421</v>
      </c>
      <c r="P4977" t="s">
        <v>15422</v>
      </c>
      <c r="Q4977" t="s">
        <v>23251</v>
      </c>
      <c r="R4977">
        <v>15</v>
      </c>
      <c r="S4977">
        <v>16</v>
      </c>
    </row>
    <row r="4978" spans="1:19" x14ac:dyDescent="0.35">
      <c r="A4978">
        <v>6310</v>
      </c>
      <c r="B4978" t="s">
        <v>21567</v>
      </c>
      <c r="C4978" t="s">
        <v>42</v>
      </c>
      <c r="D4978" t="s">
        <v>21568</v>
      </c>
      <c r="E4978" t="e" cm="1">
        <f t="array" ref="E4978">- AMOXICILLIN TRIHYDRATE</f>
        <v>#NAME?</v>
      </c>
      <c r="F4978" t="s">
        <v>21569</v>
      </c>
      <c r="G4978" t="s">
        <v>6135</v>
      </c>
      <c r="H4978" t="s">
        <v>21570</v>
      </c>
      <c r="I4978" t="s">
        <v>21571</v>
      </c>
      <c r="J4978" t="s">
        <v>21572</v>
      </c>
      <c r="K4978" t="s">
        <v>21573</v>
      </c>
      <c r="L4978" t="s">
        <v>21574</v>
      </c>
      <c r="M4978" t="s">
        <v>271</v>
      </c>
      <c r="N4978" t="s">
        <v>1523</v>
      </c>
      <c r="O4978" t="s">
        <v>21575</v>
      </c>
      <c r="P4978" t="s">
        <v>21576</v>
      </c>
      <c r="Q4978" t="s">
        <v>23252</v>
      </c>
      <c r="R4978">
        <v>15</v>
      </c>
      <c r="S4978">
        <v>16</v>
      </c>
    </row>
    <row r="4979" spans="1:19" x14ac:dyDescent="0.35">
      <c r="A4979">
        <v>5269</v>
      </c>
      <c r="B4979" t="s">
        <v>23253</v>
      </c>
      <c r="C4979" t="s">
        <v>42</v>
      </c>
      <c r="D4979" t="s">
        <v>23254</v>
      </c>
      <c r="E4979" t="e" cm="1">
        <f t="array" ref="E4979">- ERYTHROMYCIN</f>
        <v>#NAME?</v>
      </c>
      <c r="F4979" t="s">
        <v>23255</v>
      </c>
      <c r="G4979" t="s">
        <v>23256</v>
      </c>
      <c r="H4979" t="s">
        <v>23257</v>
      </c>
      <c r="I4979" t="s">
        <v>23258</v>
      </c>
      <c r="J4979" t="s">
        <v>13944</v>
      </c>
      <c r="K4979" t="s">
        <v>23259</v>
      </c>
      <c r="L4979" t="s">
        <v>23260</v>
      </c>
      <c r="M4979" t="s">
        <v>87</v>
      </c>
      <c r="N4979" t="s">
        <v>15222</v>
      </c>
      <c r="O4979" t="s">
        <v>23261</v>
      </c>
      <c r="P4979" t="s">
        <v>23262</v>
      </c>
      <c r="Q4979" t="s">
        <v>23263</v>
      </c>
      <c r="R4979">
        <v>15</v>
      </c>
      <c r="S4979">
        <v>16</v>
      </c>
    </row>
    <row r="4980" spans="1:19" x14ac:dyDescent="0.35">
      <c r="A4980">
        <v>5270</v>
      </c>
      <c r="B4980" t="s">
        <v>23253</v>
      </c>
      <c r="C4980" t="s">
        <v>42</v>
      </c>
      <c r="D4980" t="s">
        <v>23254</v>
      </c>
      <c r="E4980" t="e" cm="1">
        <f t="array" ref="E4980">- ERYTHROMYCIN</f>
        <v>#NAME?</v>
      </c>
      <c r="F4980" t="s">
        <v>23255</v>
      </c>
      <c r="G4980" t="s">
        <v>23256</v>
      </c>
      <c r="H4980" t="s">
        <v>23257</v>
      </c>
      <c r="I4980" t="s">
        <v>23258</v>
      </c>
      <c r="J4980" t="s">
        <v>13944</v>
      </c>
      <c r="K4980" t="s">
        <v>23259</v>
      </c>
      <c r="L4980" t="s">
        <v>23260</v>
      </c>
      <c r="M4980" t="s">
        <v>87</v>
      </c>
      <c r="N4980" t="s">
        <v>15222</v>
      </c>
      <c r="O4980" t="s">
        <v>23261</v>
      </c>
      <c r="P4980" t="s">
        <v>23262</v>
      </c>
      <c r="Q4980" t="s">
        <v>23263</v>
      </c>
      <c r="R4980">
        <v>15</v>
      </c>
      <c r="S4980">
        <v>16</v>
      </c>
    </row>
    <row r="4981" spans="1:19" x14ac:dyDescent="0.35">
      <c r="A4981">
        <v>5463</v>
      </c>
      <c r="B4981" t="s">
        <v>23264</v>
      </c>
      <c r="C4981" t="s">
        <v>42</v>
      </c>
      <c r="D4981" t="s">
        <v>23265</v>
      </c>
      <c r="E4981" t="e" cm="1">
        <f t="array" ref="E4981">- MICONAZOLE NITRATE</f>
        <v>#NAME?</v>
      </c>
      <c r="F4981" t="s">
        <v>23266</v>
      </c>
      <c r="G4981" t="s">
        <v>23267</v>
      </c>
      <c r="H4981" t="s">
        <v>23268</v>
      </c>
    </row>
    <row r="4982" spans="1:19" x14ac:dyDescent="0.35">
      <c r="A4982">
        <v>2961</v>
      </c>
      <c r="B4982" t="s">
        <v>23269</v>
      </c>
      <c r="C4982" t="s">
        <v>42</v>
      </c>
      <c r="D4982" t="s">
        <v>23270</v>
      </c>
      <c r="E4982" t="e" cm="1">
        <f t="array" ref="E4982">- PARACETAMOL</f>
        <v>#NAME?</v>
      </c>
      <c r="F4982" t="s">
        <v>23271</v>
      </c>
      <c r="G4982" t="s">
        <v>2241</v>
      </c>
      <c r="H4982" t="s">
        <v>23272</v>
      </c>
      <c r="I4982" t="s">
        <v>20514</v>
      </c>
      <c r="J4982" t="s">
        <v>23273</v>
      </c>
      <c r="K4982" t="s">
        <v>16924</v>
      </c>
      <c r="L4982" t="s">
        <v>16925</v>
      </c>
      <c r="M4982" t="s">
        <v>1280</v>
      </c>
      <c r="N4982" t="s">
        <v>584</v>
      </c>
      <c r="O4982" t="s">
        <v>15011</v>
      </c>
      <c r="P4982" t="s">
        <v>23274</v>
      </c>
      <c r="Q4982" t="s">
        <v>23275</v>
      </c>
      <c r="R4982">
        <v>15</v>
      </c>
      <c r="S4982">
        <v>16</v>
      </c>
    </row>
    <row r="4983" spans="1:19" x14ac:dyDescent="0.35">
      <c r="A4983">
        <v>9080</v>
      </c>
      <c r="B4983" t="s">
        <v>23276</v>
      </c>
      <c r="C4983" t="s">
        <v>42</v>
      </c>
      <c r="D4983" t="s">
        <v>23277</v>
      </c>
      <c r="E4983" t="e" cm="1">
        <f t="array" ref="E4983">- AMLODIPINE BESILATE</f>
        <v>#NAME?</v>
      </c>
      <c r="F4983" s="1">
        <v>155100</v>
      </c>
      <c r="G4983" t="s">
        <v>23278</v>
      </c>
      <c r="H4983" t="s">
        <v>23279</v>
      </c>
      <c r="I4983" t="s">
        <v>23280</v>
      </c>
      <c r="J4983" t="s">
        <v>2478</v>
      </c>
      <c r="K4983" t="s">
        <v>23281</v>
      </c>
    </row>
    <row r="4984" spans="1:19" x14ac:dyDescent="0.35">
      <c r="A4984">
        <v>825</v>
      </c>
      <c r="B4984" t="s">
        <v>18693</v>
      </c>
      <c r="C4984" t="s">
        <v>42</v>
      </c>
      <c r="D4984" t="s">
        <v>18694</v>
      </c>
      <c r="E4984" t="e" cm="1">
        <f t="array" ref="E4984">- DEXTROMETHORPHAN HYDROBROMIDE. DOXYLAMINE SUCCINATE</f>
        <v>#NAME?</v>
      </c>
      <c r="F4984" t="s">
        <v>18695</v>
      </c>
      <c r="G4984" t="s">
        <v>2241</v>
      </c>
      <c r="H4984" t="s">
        <v>18696</v>
      </c>
      <c r="I4984" t="s">
        <v>18697</v>
      </c>
      <c r="J4984" t="s">
        <v>374</v>
      </c>
      <c r="K4984" t="s">
        <v>14418</v>
      </c>
      <c r="L4984" t="s">
        <v>18698</v>
      </c>
      <c r="M4984" t="s">
        <v>271</v>
      </c>
      <c r="N4984" t="s">
        <v>23282</v>
      </c>
      <c r="O4984" t="s">
        <v>18699</v>
      </c>
      <c r="P4984" t="s">
        <v>18700</v>
      </c>
      <c r="Q4984" t="s">
        <v>23283</v>
      </c>
      <c r="R4984">
        <v>15</v>
      </c>
      <c r="S4984">
        <v>16</v>
      </c>
    </row>
    <row r="4985" spans="1:19" x14ac:dyDescent="0.35">
      <c r="A4985">
        <v>2962</v>
      </c>
      <c r="B4985" t="s">
        <v>23269</v>
      </c>
      <c r="C4985" t="s">
        <v>42</v>
      </c>
      <c r="D4985" t="s">
        <v>23270</v>
      </c>
      <c r="E4985" t="e" cm="1">
        <f t="array" ref="E4985">- PARACETAMOL</f>
        <v>#NAME?</v>
      </c>
      <c r="F4985" t="s">
        <v>23271</v>
      </c>
      <c r="G4985" t="s">
        <v>2241</v>
      </c>
      <c r="H4985" t="s">
        <v>23272</v>
      </c>
      <c r="I4985" t="s">
        <v>20514</v>
      </c>
      <c r="J4985" t="s">
        <v>23273</v>
      </c>
      <c r="K4985" t="s">
        <v>16924</v>
      </c>
      <c r="L4985" t="s">
        <v>16925</v>
      </c>
      <c r="M4985" t="s">
        <v>1280</v>
      </c>
      <c r="N4985" t="s">
        <v>584</v>
      </c>
      <c r="O4985" t="s">
        <v>15011</v>
      </c>
      <c r="P4985" t="s">
        <v>23274</v>
      </c>
      <c r="Q4985" t="s">
        <v>23275</v>
      </c>
      <c r="R4985">
        <v>15</v>
      </c>
      <c r="S4985">
        <v>16</v>
      </c>
    </row>
    <row r="4986" spans="1:19" x14ac:dyDescent="0.35">
      <c r="A4986">
        <v>6349</v>
      </c>
      <c r="B4986" t="s">
        <v>23284</v>
      </c>
      <c r="C4986" t="s">
        <v>42</v>
      </c>
      <c r="D4986" t="s">
        <v>23285</v>
      </c>
      <c r="E4986" t="e" cm="1">
        <f t="array" ref="E4986">- CEFADROXIL MONOHYDRATE</f>
        <v>#NAME?</v>
      </c>
      <c r="F4986" t="s">
        <v>23286</v>
      </c>
      <c r="G4986" t="s">
        <v>2241</v>
      </c>
      <c r="H4986" t="s">
        <v>21352</v>
      </c>
      <c r="I4986" t="s">
        <v>21353</v>
      </c>
      <c r="J4986" t="s">
        <v>743</v>
      </c>
      <c r="K4986" t="s">
        <v>21355</v>
      </c>
      <c r="L4986" t="s">
        <v>21356</v>
      </c>
      <c r="M4986" t="s">
        <v>1280</v>
      </c>
      <c r="N4986" t="s">
        <v>1777</v>
      </c>
      <c r="O4986" t="s">
        <v>21358</v>
      </c>
      <c r="P4986" t="s">
        <v>23287</v>
      </c>
      <c r="Q4986" t="s">
        <v>23288</v>
      </c>
      <c r="R4986">
        <v>15</v>
      </c>
      <c r="S4986">
        <v>16</v>
      </c>
    </row>
    <row r="4987" spans="1:19" x14ac:dyDescent="0.35">
      <c r="A4987">
        <v>619</v>
      </c>
      <c r="B4987" t="s">
        <v>23289</v>
      </c>
      <c r="C4987" t="s">
        <v>42</v>
      </c>
      <c r="D4987" t="s">
        <v>23290</v>
      </c>
      <c r="E4987" t="e" cm="1">
        <f t="array" ref="E4987">- OXYGEN</f>
        <v>#NAME?</v>
      </c>
      <c r="F4987" t="s">
        <v>23291</v>
      </c>
      <c r="G4987" t="s">
        <v>23292</v>
      </c>
      <c r="H4987" t="s">
        <v>23293</v>
      </c>
      <c r="I4987" t="s">
        <v>23294</v>
      </c>
      <c r="J4987" t="s">
        <v>23295</v>
      </c>
      <c r="K4987" t="s">
        <v>23296</v>
      </c>
      <c r="L4987" t="s">
        <v>23297</v>
      </c>
      <c r="M4987" t="s">
        <v>23298</v>
      </c>
      <c r="N4987" t="s">
        <v>23299</v>
      </c>
      <c r="O4987" t="s">
        <v>23300</v>
      </c>
      <c r="P4987" t="s">
        <v>23301</v>
      </c>
      <c r="Q4987" t="s">
        <v>23302</v>
      </c>
      <c r="R4987">
        <v>15</v>
      </c>
      <c r="S4987">
        <v>16</v>
      </c>
    </row>
    <row r="4988" spans="1:19" x14ac:dyDescent="0.35">
      <c r="A4988">
        <v>620</v>
      </c>
      <c r="B4988" t="s">
        <v>23289</v>
      </c>
      <c r="C4988" t="s">
        <v>42</v>
      </c>
      <c r="D4988" t="s">
        <v>23290</v>
      </c>
      <c r="E4988" t="e" cm="1">
        <f t="array" ref="E4988">- OXYGEN</f>
        <v>#NAME?</v>
      </c>
      <c r="F4988" t="s">
        <v>23291</v>
      </c>
      <c r="G4988" t="s">
        <v>23292</v>
      </c>
      <c r="H4988" t="s">
        <v>23293</v>
      </c>
      <c r="I4988" t="s">
        <v>23294</v>
      </c>
      <c r="J4988" t="s">
        <v>23295</v>
      </c>
      <c r="K4988" t="s">
        <v>23296</v>
      </c>
      <c r="L4988" t="s">
        <v>23297</v>
      </c>
      <c r="M4988" t="s">
        <v>23298</v>
      </c>
      <c r="N4988" t="s">
        <v>23299</v>
      </c>
      <c r="O4988" t="s">
        <v>23300</v>
      </c>
      <c r="P4988" t="s">
        <v>23301</v>
      </c>
      <c r="Q4988" t="s">
        <v>23302</v>
      </c>
      <c r="R4988">
        <v>15</v>
      </c>
      <c r="S4988">
        <v>16</v>
      </c>
    </row>
    <row r="4989" spans="1:19" x14ac:dyDescent="0.35">
      <c r="A4989">
        <v>7399</v>
      </c>
      <c r="B4989" t="s">
        <v>15847</v>
      </c>
      <c r="C4989" t="s">
        <v>42</v>
      </c>
      <c r="D4989" t="s">
        <v>15848</v>
      </c>
      <c r="E4989" t="e" cm="1">
        <f t="array" ref="E4989">- PYRIDOXINE HYDROCHLORIDE. THIAMINE NITRATE. CYANOCOBALAMIN</f>
        <v>#NAME?</v>
      </c>
      <c r="F4989" t="s">
        <v>15849</v>
      </c>
      <c r="G4989" t="s">
        <v>2960</v>
      </c>
      <c r="H4989" t="s">
        <v>15850</v>
      </c>
      <c r="I4989" t="s">
        <v>15851</v>
      </c>
      <c r="J4989" t="s">
        <v>1093</v>
      </c>
      <c r="K4989" t="s">
        <v>15852</v>
      </c>
      <c r="L4989" t="s">
        <v>15853</v>
      </c>
      <c r="M4989" t="s">
        <v>46</v>
      </c>
      <c r="N4989" t="s">
        <v>23303</v>
      </c>
      <c r="O4989" t="s">
        <v>15854</v>
      </c>
      <c r="P4989" t="s">
        <v>15855</v>
      </c>
      <c r="Q4989" t="s">
        <v>23304</v>
      </c>
      <c r="R4989">
        <v>15</v>
      </c>
      <c r="S4989">
        <v>16</v>
      </c>
    </row>
    <row r="4990" spans="1:19" x14ac:dyDescent="0.35">
      <c r="A4990">
        <v>2909</v>
      </c>
      <c r="B4990" t="s">
        <v>23305</v>
      </c>
      <c r="C4990" t="s">
        <v>42</v>
      </c>
      <c r="D4990" t="s">
        <v>23306</v>
      </c>
      <c r="E4990" t="e" cm="1">
        <f t="array" ref="E4990">- PARACETAMOL</f>
        <v>#NAME?</v>
      </c>
      <c r="F4990" t="s">
        <v>23307</v>
      </c>
      <c r="G4990" t="s">
        <v>2241</v>
      </c>
      <c r="H4990" t="s">
        <v>23308</v>
      </c>
      <c r="I4990" t="s">
        <v>23309</v>
      </c>
      <c r="J4990" t="s">
        <v>334</v>
      </c>
      <c r="L4990" t="s">
        <v>23310</v>
      </c>
      <c r="M4990" t="s">
        <v>271</v>
      </c>
      <c r="N4990" t="s">
        <v>584</v>
      </c>
      <c r="O4990" t="s">
        <v>23311</v>
      </c>
      <c r="P4990" t="s">
        <v>15012</v>
      </c>
      <c r="Q4990" t="s">
        <v>23312</v>
      </c>
      <c r="R4990">
        <v>15</v>
      </c>
      <c r="S4990">
        <v>16</v>
      </c>
    </row>
    <row r="4991" spans="1:19" x14ac:dyDescent="0.35">
      <c r="A4991">
        <v>621</v>
      </c>
      <c r="B4991" t="s">
        <v>23289</v>
      </c>
      <c r="C4991" t="s">
        <v>42</v>
      </c>
      <c r="D4991" t="s">
        <v>23290</v>
      </c>
      <c r="E4991" t="e" cm="1">
        <f t="array" ref="E4991">- OXYGEN</f>
        <v>#NAME?</v>
      </c>
      <c r="F4991" t="s">
        <v>23291</v>
      </c>
      <c r="G4991" t="s">
        <v>23292</v>
      </c>
      <c r="H4991" t="s">
        <v>23293</v>
      </c>
      <c r="I4991" t="s">
        <v>23294</v>
      </c>
      <c r="J4991" t="s">
        <v>23295</v>
      </c>
      <c r="K4991" t="s">
        <v>23296</v>
      </c>
      <c r="L4991" t="s">
        <v>23297</v>
      </c>
      <c r="M4991" t="s">
        <v>23298</v>
      </c>
      <c r="N4991" t="s">
        <v>23299</v>
      </c>
      <c r="O4991" t="s">
        <v>23300</v>
      </c>
      <c r="P4991" t="s">
        <v>23301</v>
      </c>
      <c r="Q4991" t="s">
        <v>23302</v>
      </c>
      <c r="R4991">
        <v>15</v>
      </c>
      <c r="S4991">
        <v>16</v>
      </c>
    </row>
    <row r="4992" spans="1:19" x14ac:dyDescent="0.35">
      <c r="A4992">
        <v>7390</v>
      </c>
      <c r="B4992" t="s">
        <v>23313</v>
      </c>
      <c r="C4992" t="s">
        <v>42</v>
      </c>
      <c r="D4992" t="s">
        <v>23314</v>
      </c>
      <c r="E4992" t="e" cm="1">
        <f t="array" ref="E4992">- CYANOCOBALAMIN</f>
        <v>#NAME?</v>
      </c>
      <c r="F4992" t="s">
        <v>23315</v>
      </c>
      <c r="G4992" t="s">
        <v>12507</v>
      </c>
      <c r="H4992" t="s">
        <v>23316</v>
      </c>
      <c r="I4992" t="s">
        <v>23317</v>
      </c>
      <c r="J4992" t="s">
        <v>23318</v>
      </c>
      <c r="K4992" t="s">
        <v>4677</v>
      </c>
      <c r="L4992" t="s">
        <v>23319</v>
      </c>
      <c r="M4992" t="s">
        <v>46</v>
      </c>
      <c r="N4992" t="s">
        <v>677</v>
      </c>
      <c r="O4992" t="s">
        <v>23320</v>
      </c>
      <c r="P4992" t="s">
        <v>23321</v>
      </c>
      <c r="Q4992" t="s">
        <v>23322</v>
      </c>
      <c r="R4992">
        <v>15</v>
      </c>
      <c r="S4992">
        <v>16</v>
      </c>
    </row>
    <row r="4993" spans="1:19" x14ac:dyDescent="0.35">
      <c r="A4993">
        <v>7389</v>
      </c>
      <c r="B4993" t="s">
        <v>23313</v>
      </c>
      <c r="C4993" t="s">
        <v>42</v>
      </c>
      <c r="D4993" t="s">
        <v>23314</v>
      </c>
      <c r="E4993" t="e" cm="1">
        <f t="array" ref="E4993">- CYANOCOBALAMIN</f>
        <v>#NAME?</v>
      </c>
      <c r="F4993" t="s">
        <v>23315</v>
      </c>
      <c r="G4993" t="s">
        <v>12507</v>
      </c>
      <c r="H4993" t="s">
        <v>23316</v>
      </c>
      <c r="I4993" t="s">
        <v>23317</v>
      </c>
      <c r="J4993" t="s">
        <v>23318</v>
      </c>
      <c r="K4993" t="s">
        <v>4677</v>
      </c>
      <c r="L4993" t="s">
        <v>23319</v>
      </c>
      <c r="M4993" t="s">
        <v>46</v>
      </c>
      <c r="N4993" t="s">
        <v>677</v>
      </c>
      <c r="O4993" t="s">
        <v>23320</v>
      </c>
      <c r="P4993" t="s">
        <v>23321</v>
      </c>
      <c r="Q4993" t="s">
        <v>23322</v>
      </c>
      <c r="R4993">
        <v>15</v>
      </c>
      <c r="S4993">
        <v>16</v>
      </c>
    </row>
    <row r="4994" spans="1:19" x14ac:dyDescent="0.35">
      <c r="A4994">
        <v>7388</v>
      </c>
      <c r="B4994" t="s">
        <v>23313</v>
      </c>
      <c r="C4994" t="s">
        <v>42</v>
      </c>
      <c r="D4994" t="s">
        <v>23314</v>
      </c>
      <c r="E4994" t="e" cm="1">
        <f t="array" ref="E4994">- CYANOCOBALAMIN</f>
        <v>#NAME?</v>
      </c>
      <c r="F4994" t="s">
        <v>23315</v>
      </c>
      <c r="G4994" t="s">
        <v>12507</v>
      </c>
      <c r="H4994" t="s">
        <v>23316</v>
      </c>
      <c r="I4994" t="s">
        <v>23317</v>
      </c>
      <c r="J4994" t="s">
        <v>23318</v>
      </c>
      <c r="K4994" t="s">
        <v>4677</v>
      </c>
      <c r="L4994" t="s">
        <v>23319</v>
      </c>
      <c r="M4994" t="s">
        <v>46</v>
      </c>
      <c r="N4994" t="s">
        <v>677</v>
      </c>
      <c r="O4994" t="s">
        <v>23320</v>
      </c>
      <c r="P4994" t="s">
        <v>23321</v>
      </c>
      <c r="Q4994" t="s">
        <v>23322</v>
      </c>
      <c r="R4994">
        <v>15</v>
      </c>
      <c r="S4994">
        <v>16</v>
      </c>
    </row>
    <row r="4995" spans="1:19" x14ac:dyDescent="0.35">
      <c r="A4995">
        <v>7370</v>
      </c>
      <c r="B4995" t="s">
        <v>23323</v>
      </c>
      <c r="C4995" t="s">
        <v>42</v>
      </c>
      <c r="D4995" t="s">
        <v>23324</v>
      </c>
      <c r="E4995" t="e" cm="1">
        <f t="array" ref="E4995">- SELENIUM SULFIDE</f>
        <v>#NAME?</v>
      </c>
      <c r="F4995" t="s">
        <v>23325</v>
      </c>
      <c r="G4995" t="s">
        <v>23326</v>
      </c>
      <c r="H4995" t="s">
        <v>23327</v>
      </c>
      <c r="I4995" t="s">
        <v>23328</v>
      </c>
      <c r="J4995" t="s">
        <v>846</v>
      </c>
      <c r="N4995" t="s">
        <v>6154</v>
      </c>
      <c r="O4995" t="s">
        <v>23329</v>
      </c>
      <c r="P4995" t="s">
        <v>23330</v>
      </c>
      <c r="Q4995" t="s">
        <v>23331</v>
      </c>
      <c r="R4995">
        <v>15</v>
      </c>
      <c r="S4995">
        <v>16</v>
      </c>
    </row>
    <row r="4996" spans="1:19" x14ac:dyDescent="0.35">
      <c r="A4996">
        <v>5350</v>
      </c>
      <c r="B4996" t="s">
        <v>23332</v>
      </c>
      <c r="C4996" t="s">
        <v>42</v>
      </c>
      <c r="D4996" t="s">
        <v>23333</v>
      </c>
      <c r="E4996" t="e" cm="1">
        <f t="array" ref="E4996">- ACICLOVIR</f>
        <v>#NAME?</v>
      </c>
      <c r="F4996" t="s">
        <v>23334</v>
      </c>
      <c r="G4996" t="s">
        <v>21389</v>
      </c>
      <c r="H4996" t="s">
        <v>23335</v>
      </c>
      <c r="I4996" t="s">
        <v>23336</v>
      </c>
      <c r="J4996" t="s">
        <v>7123</v>
      </c>
      <c r="K4996" t="s">
        <v>21392</v>
      </c>
      <c r="L4996" t="s">
        <v>23337</v>
      </c>
      <c r="M4996" t="s">
        <v>1289</v>
      </c>
      <c r="N4996" t="s">
        <v>1685</v>
      </c>
      <c r="O4996" t="s">
        <v>23338</v>
      </c>
      <c r="P4996" t="s">
        <v>23339</v>
      </c>
      <c r="Q4996" t="s">
        <v>23340</v>
      </c>
      <c r="R4996">
        <v>15</v>
      </c>
      <c r="S4996">
        <v>16</v>
      </c>
    </row>
    <row r="4997" spans="1:19" x14ac:dyDescent="0.35">
      <c r="A4997">
        <v>6350</v>
      </c>
      <c r="B4997" t="s">
        <v>23284</v>
      </c>
      <c r="C4997" t="s">
        <v>42</v>
      </c>
      <c r="D4997" t="s">
        <v>23285</v>
      </c>
      <c r="E4997" t="e" cm="1">
        <f t="array" ref="E4997">- CEFADROXIL MONOHYDRATE</f>
        <v>#NAME?</v>
      </c>
      <c r="F4997" t="s">
        <v>23286</v>
      </c>
      <c r="G4997" t="s">
        <v>2241</v>
      </c>
      <c r="H4997" t="s">
        <v>21352</v>
      </c>
      <c r="I4997" t="s">
        <v>21353</v>
      </c>
      <c r="J4997" t="s">
        <v>743</v>
      </c>
      <c r="K4997" t="s">
        <v>21355</v>
      </c>
      <c r="L4997" t="s">
        <v>21356</v>
      </c>
      <c r="M4997" t="s">
        <v>824</v>
      </c>
      <c r="N4997" t="s">
        <v>1777</v>
      </c>
      <c r="O4997" t="s">
        <v>21358</v>
      </c>
      <c r="P4997" t="s">
        <v>23287</v>
      </c>
      <c r="Q4997" t="s">
        <v>23341</v>
      </c>
      <c r="R4997">
        <v>15</v>
      </c>
      <c r="S4997">
        <v>16</v>
      </c>
    </row>
    <row r="4998" spans="1:19" x14ac:dyDescent="0.35">
      <c r="A4998">
        <v>7392</v>
      </c>
      <c r="B4998" t="s">
        <v>18491</v>
      </c>
      <c r="C4998" t="s">
        <v>42</v>
      </c>
      <c r="D4998" t="s">
        <v>18492</v>
      </c>
      <c r="E4998" t="e" cm="1">
        <f t="array" ref="E4998">- PYRIDOXINE HYDROCHLORIDE. THIAMINE NITRATE. CYANOCOBALAMIN</f>
        <v>#NAME?</v>
      </c>
      <c r="F4998" t="s">
        <v>18493</v>
      </c>
      <c r="G4998" t="s">
        <v>18386</v>
      </c>
      <c r="H4998" t="s">
        <v>18494</v>
      </c>
      <c r="I4998" t="s">
        <v>18495</v>
      </c>
      <c r="J4998" t="s">
        <v>18496</v>
      </c>
      <c r="K4998" t="s">
        <v>16776</v>
      </c>
      <c r="L4998" t="s">
        <v>15853</v>
      </c>
      <c r="M4998" t="s">
        <v>46</v>
      </c>
      <c r="N4998" t="s">
        <v>23303</v>
      </c>
      <c r="O4998" t="s">
        <v>18497</v>
      </c>
      <c r="P4998" t="s">
        <v>18498</v>
      </c>
      <c r="Q4998" t="s">
        <v>23342</v>
      </c>
      <c r="R4998">
        <v>15</v>
      </c>
      <c r="S4998">
        <v>16</v>
      </c>
    </row>
    <row r="4999" spans="1:19" x14ac:dyDescent="0.35">
      <c r="A4999">
        <v>8893</v>
      </c>
      <c r="B4999" t="s">
        <v>21496</v>
      </c>
      <c r="C4999" t="s">
        <v>42</v>
      </c>
      <c r="D4999" t="s">
        <v>21497</v>
      </c>
      <c r="E4999" t="e" cm="1">
        <f t="array" ref="E4999">- INSULIN GLARGINE</f>
        <v>#NAME?</v>
      </c>
      <c r="F4999" t="s">
        <v>21498</v>
      </c>
      <c r="G4999" t="s">
        <v>21499</v>
      </c>
      <c r="H4999" t="s">
        <v>21500</v>
      </c>
      <c r="I4999" t="s">
        <v>21501</v>
      </c>
      <c r="J4999" t="s">
        <v>21502</v>
      </c>
      <c r="K4999" t="s">
        <v>21503</v>
      </c>
      <c r="L4999" t="s">
        <v>21504</v>
      </c>
      <c r="M4999" t="s">
        <v>2403</v>
      </c>
      <c r="N4999" t="s">
        <v>23343</v>
      </c>
      <c r="O4999" t="s">
        <v>21505</v>
      </c>
      <c r="P4999" t="s">
        <v>21506</v>
      </c>
      <c r="Q4999" t="s">
        <v>23344</v>
      </c>
      <c r="R4999">
        <v>15</v>
      </c>
      <c r="S4999">
        <v>16</v>
      </c>
    </row>
    <row r="5000" spans="1:19" x14ac:dyDescent="0.35">
      <c r="A5000">
        <v>8931</v>
      </c>
      <c r="B5000" t="s">
        <v>23345</v>
      </c>
      <c r="C5000" t="s">
        <v>42</v>
      </c>
      <c r="D5000" t="s">
        <v>23346</v>
      </c>
      <c r="E5000" t="e" cm="1">
        <f t="array" ref="E5000">- NEBIVOLOL</f>
        <v>#NAME?</v>
      </c>
      <c r="F5000" t="s">
        <v>23347</v>
      </c>
      <c r="G5000" t="s">
        <v>23348</v>
      </c>
      <c r="H5000" t="s">
        <v>23349</v>
      </c>
      <c r="I5000" t="s">
        <v>23350</v>
      </c>
      <c r="J5000" t="s">
        <v>23351</v>
      </c>
      <c r="K5000" t="s">
        <v>23352</v>
      </c>
    </row>
    <row r="5001" spans="1:19" x14ac:dyDescent="0.35">
      <c r="A5001">
        <v>6340</v>
      </c>
      <c r="B5001" t="s">
        <v>23353</v>
      </c>
      <c r="C5001" t="s">
        <v>42</v>
      </c>
      <c r="D5001" t="s">
        <v>23354</v>
      </c>
      <c r="E5001" t="e" cm="1">
        <f t="array" ref="E5001">- CEFADROXIL MONOHYDRATE</f>
        <v>#NAME?</v>
      </c>
      <c r="F5001" t="s">
        <v>23355</v>
      </c>
      <c r="G5001" t="s">
        <v>2241</v>
      </c>
      <c r="H5001" t="s">
        <v>21352</v>
      </c>
      <c r="I5001" t="s">
        <v>21353</v>
      </c>
      <c r="J5001" t="s">
        <v>334</v>
      </c>
      <c r="K5001" t="s">
        <v>21355</v>
      </c>
      <c r="L5001" t="s">
        <v>21356</v>
      </c>
      <c r="M5001" t="s">
        <v>271</v>
      </c>
      <c r="N5001" t="s">
        <v>1777</v>
      </c>
      <c r="O5001" t="s">
        <v>21358</v>
      </c>
      <c r="P5001" t="s">
        <v>22331</v>
      </c>
      <c r="Q5001" t="s">
        <v>23356</v>
      </c>
      <c r="R5001">
        <v>15</v>
      </c>
      <c r="S5001">
        <v>16</v>
      </c>
    </row>
    <row r="5002" spans="1:19" x14ac:dyDescent="0.35">
      <c r="A5002">
        <v>2960</v>
      </c>
      <c r="B5002" t="s">
        <v>23269</v>
      </c>
      <c r="C5002" t="s">
        <v>42</v>
      </c>
      <c r="D5002" t="s">
        <v>23270</v>
      </c>
      <c r="E5002" t="e" cm="1">
        <f t="array" ref="E5002">- PARACETAMOL</f>
        <v>#NAME?</v>
      </c>
      <c r="F5002" t="s">
        <v>23271</v>
      </c>
      <c r="G5002" t="s">
        <v>2241</v>
      </c>
      <c r="H5002" t="s">
        <v>23272</v>
      </c>
      <c r="I5002" t="s">
        <v>20514</v>
      </c>
      <c r="J5002" t="s">
        <v>23273</v>
      </c>
      <c r="K5002" t="s">
        <v>16924</v>
      </c>
      <c r="L5002" t="s">
        <v>16925</v>
      </c>
      <c r="M5002" t="s">
        <v>1280</v>
      </c>
      <c r="N5002" t="s">
        <v>584</v>
      </c>
      <c r="O5002" t="s">
        <v>15011</v>
      </c>
      <c r="P5002" t="s">
        <v>23274</v>
      </c>
      <c r="Q5002" t="s">
        <v>23275</v>
      </c>
      <c r="R5002">
        <v>15</v>
      </c>
      <c r="S5002">
        <v>16</v>
      </c>
    </row>
    <row r="5003" spans="1:19" x14ac:dyDescent="0.35">
      <c r="A5003">
        <v>6348</v>
      </c>
      <c r="B5003" t="s">
        <v>23357</v>
      </c>
      <c r="C5003" t="s">
        <v>42</v>
      </c>
      <c r="D5003" t="s">
        <v>23358</v>
      </c>
      <c r="E5003" t="e" cm="1">
        <f t="array" ref="E5003">- CEFADROXIL MONOHYDRATE</f>
        <v>#NAME?</v>
      </c>
      <c r="F5003" t="s">
        <v>23359</v>
      </c>
      <c r="G5003" t="s">
        <v>2241</v>
      </c>
      <c r="H5003" t="s">
        <v>21352</v>
      </c>
      <c r="I5003" t="s">
        <v>21353</v>
      </c>
      <c r="J5003" t="s">
        <v>23360</v>
      </c>
      <c r="K5003" t="s">
        <v>21355</v>
      </c>
      <c r="L5003" t="s">
        <v>21356</v>
      </c>
      <c r="M5003" t="s">
        <v>38</v>
      </c>
      <c r="N5003" t="s">
        <v>1777</v>
      </c>
      <c r="O5003" t="s">
        <v>21358</v>
      </c>
      <c r="P5003" t="s">
        <v>23287</v>
      </c>
      <c r="Q5003" t="s">
        <v>23361</v>
      </c>
      <c r="R5003">
        <v>15</v>
      </c>
      <c r="S5003">
        <v>16</v>
      </c>
    </row>
    <row r="5004" spans="1:19" x14ac:dyDescent="0.35">
      <c r="A5004">
        <v>829</v>
      </c>
      <c r="B5004" t="s">
        <v>18693</v>
      </c>
      <c r="C5004" t="s">
        <v>42</v>
      </c>
      <c r="D5004" t="s">
        <v>19845</v>
      </c>
      <c r="E5004" t="e" cm="1">
        <f t="array" ref="E5004">- DEXTROMETHORPHAN HYDROBROMIDE. DOXYLAMINE SUCCINATE</f>
        <v>#NAME?</v>
      </c>
      <c r="F5004" t="s">
        <v>19846</v>
      </c>
      <c r="G5004" t="s">
        <v>2241</v>
      </c>
      <c r="H5004" t="s">
        <v>19847</v>
      </c>
      <c r="I5004" t="s">
        <v>18697</v>
      </c>
      <c r="J5004" t="s">
        <v>10259</v>
      </c>
      <c r="K5004" t="s">
        <v>19848</v>
      </c>
      <c r="L5004" t="s">
        <v>18698</v>
      </c>
      <c r="M5004" t="s">
        <v>271</v>
      </c>
      <c r="N5004" t="s">
        <v>23282</v>
      </c>
      <c r="O5004" t="s">
        <v>18699</v>
      </c>
      <c r="P5004" t="s">
        <v>18700</v>
      </c>
      <c r="Q5004" t="s">
        <v>23283</v>
      </c>
      <c r="R5004">
        <v>15</v>
      </c>
      <c r="S5004">
        <v>16</v>
      </c>
    </row>
    <row r="5005" spans="1:19" x14ac:dyDescent="0.35">
      <c r="A5005">
        <v>2959</v>
      </c>
      <c r="B5005" t="s">
        <v>23362</v>
      </c>
      <c r="C5005" t="s">
        <v>42</v>
      </c>
      <c r="D5005" t="s">
        <v>23363</v>
      </c>
      <c r="E5005" t="e" cm="1">
        <f t="array" ref="E5005">- PARACETAMOL</f>
        <v>#NAME?</v>
      </c>
      <c r="F5005" t="s">
        <v>23364</v>
      </c>
      <c r="G5005" t="s">
        <v>2241</v>
      </c>
      <c r="H5005" t="s">
        <v>23272</v>
      </c>
      <c r="I5005" t="s">
        <v>20514</v>
      </c>
      <c r="J5005" t="s">
        <v>23365</v>
      </c>
      <c r="K5005" t="s">
        <v>16924</v>
      </c>
      <c r="L5005" t="s">
        <v>16925</v>
      </c>
      <c r="M5005" t="s">
        <v>1280</v>
      </c>
      <c r="N5005" t="s">
        <v>584</v>
      </c>
      <c r="O5005" t="s">
        <v>15011</v>
      </c>
      <c r="P5005" t="s">
        <v>23366</v>
      </c>
      <c r="Q5005" t="s">
        <v>23367</v>
      </c>
      <c r="R5005">
        <v>15</v>
      </c>
      <c r="S5005">
        <v>16</v>
      </c>
    </row>
    <row r="5006" spans="1:19" x14ac:dyDescent="0.35">
      <c r="A5006">
        <v>2958</v>
      </c>
      <c r="B5006" t="s">
        <v>23362</v>
      </c>
      <c r="C5006" t="s">
        <v>42</v>
      </c>
      <c r="D5006" t="s">
        <v>23363</v>
      </c>
      <c r="E5006" t="e" cm="1">
        <f t="array" ref="E5006">- PARACETAMOL</f>
        <v>#NAME?</v>
      </c>
      <c r="F5006" t="s">
        <v>23364</v>
      </c>
      <c r="G5006" t="s">
        <v>2241</v>
      </c>
      <c r="H5006" t="s">
        <v>23272</v>
      </c>
      <c r="I5006" t="s">
        <v>20514</v>
      </c>
      <c r="J5006" t="s">
        <v>23365</v>
      </c>
      <c r="K5006" t="s">
        <v>16924</v>
      </c>
      <c r="L5006" t="s">
        <v>16925</v>
      </c>
      <c r="M5006" t="s">
        <v>1280</v>
      </c>
      <c r="N5006" t="s">
        <v>584</v>
      </c>
      <c r="O5006" t="s">
        <v>15011</v>
      </c>
      <c r="P5006" t="s">
        <v>23366</v>
      </c>
      <c r="Q5006" t="s">
        <v>23367</v>
      </c>
      <c r="R5006">
        <v>15</v>
      </c>
      <c r="S5006">
        <v>16</v>
      </c>
    </row>
    <row r="5007" spans="1:19" x14ac:dyDescent="0.35">
      <c r="A5007">
        <v>2957</v>
      </c>
      <c r="B5007" t="s">
        <v>23362</v>
      </c>
      <c r="C5007" t="s">
        <v>42</v>
      </c>
      <c r="D5007" t="s">
        <v>23363</v>
      </c>
      <c r="E5007" t="e" cm="1">
        <f t="array" ref="E5007">- PARACETAMOL</f>
        <v>#NAME?</v>
      </c>
      <c r="F5007" t="s">
        <v>23364</v>
      </c>
      <c r="G5007" t="s">
        <v>2241</v>
      </c>
      <c r="H5007" t="s">
        <v>23272</v>
      </c>
      <c r="I5007" t="s">
        <v>20514</v>
      </c>
      <c r="J5007" t="s">
        <v>23365</v>
      </c>
      <c r="K5007" t="s">
        <v>16924</v>
      </c>
      <c r="L5007" t="s">
        <v>16925</v>
      </c>
      <c r="M5007" t="s">
        <v>1280</v>
      </c>
      <c r="N5007" t="s">
        <v>584</v>
      </c>
      <c r="O5007" t="s">
        <v>15011</v>
      </c>
      <c r="P5007" t="s">
        <v>23366</v>
      </c>
      <c r="Q5007" t="s">
        <v>23367</v>
      </c>
      <c r="R5007">
        <v>15</v>
      </c>
      <c r="S5007">
        <v>16</v>
      </c>
    </row>
    <row r="5008" spans="1:19" x14ac:dyDescent="0.35">
      <c r="A5008">
        <v>1444</v>
      </c>
      <c r="B5008" t="s">
        <v>20545</v>
      </c>
      <c r="C5008" t="s">
        <v>42</v>
      </c>
      <c r="D5008" t="s">
        <v>20546</v>
      </c>
      <c r="E5008" t="e" cm="1">
        <f t="array" ref="E5008">- PSEUDOEPHEDRINE HYDROCHLORIDE. TRIPROLIDINE HYDROCHLORIDE</f>
        <v>#NAME?</v>
      </c>
      <c r="G5008" t="s">
        <v>2241</v>
      </c>
      <c r="H5008" t="s">
        <v>20547</v>
      </c>
      <c r="I5008" t="s">
        <v>20548</v>
      </c>
      <c r="J5008" t="s">
        <v>381</v>
      </c>
      <c r="K5008" t="s">
        <v>19456</v>
      </c>
      <c r="L5008" t="s">
        <v>20096</v>
      </c>
      <c r="M5008" t="s">
        <v>46</v>
      </c>
      <c r="N5008" t="s">
        <v>3820</v>
      </c>
      <c r="O5008" t="s">
        <v>20097</v>
      </c>
      <c r="P5008" t="s">
        <v>15762</v>
      </c>
      <c r="Q5008" t="s">
        <v>23368</v>
      </c>
      <c r="R5008">
        <v>15</v>
      </c>
      <c r="S5008">
        <v>16</v>
      </c>
    </row>
    <row r="5009" spans="1:19" x14ac:dyDescent="0.35">
      <c r="A5009">
        <v>2956</v>
      </c>
      <c r="B5009" t="s">
        <v>23369</v>
      </c>
      <c r="C5009" t="s">
        <v>42</v>
      </c>
      <c r="D5009" t="s">
        <v>23370</v>
      </c>
      <c r="E5009" t="e" cm="1">
        <f t="array" ref="E5009">- PARACETAMOL</f>
        <v>#NAME?</v>
      </c>
      <c r="F5009" t="s">
        <v>23364</v>
      </c>
      <c r="G5009" t="s">
        <v>5192</v>
      </c>
      <c r="H5009" t="s">
        <v>23272</v>
      </c>
      <c r="I5009" t="s">
        <v>20514</v>
      </c>
      <c r="J5009" t="s">
        <v>23371</v>
      </c>
      <c r="K5009" t="s">
        <v>16924</v>
      </c>
      <c r="L5009" t="s">
        <v>16925</v>
      </c>
      <c r="M5009" t="s">
        <v>1280</v>
      </c>
      <c r="N5009" t="s">
        <v>584</v>
      </c>
      <c r="O5009" t="s">
        <v>15011</v>
      </c>
      <c r="P5009" t="s">
        <v>23372</v>
      </c>
      <c r="Q5009" t="s">
        <v>23373</v>
      </c>
      <c r="R5009">
        <v>15</v>
      </c>
      <c r="S5009">
        <v>16</v>
      </c>
    </row>
    <row r="5010" spans="1:19" x14ac:dyDescent="0.35">
      <c r="A5010">
        <v>7414</v>
      </c>
      <c r="B5010" t="s">
        <v>23374</v>
      </c>
      <c r="C5010" t="s">
        <v>42</v>
      </c>
      <c r="D5010" t="s">
        <v>23375</v>
      </c>
      <c r="E5010" t="e" cm="1">
        <f t="array" ref="E5010">- THIAMINE NITRATE. PYRIDOXINE HYDROCHLORIDE. CYANOCOBALAMIN</f>
        <v>#NAME?</v>
      </c>
      <c r="F5010" t="s">
        <v>23376</v>
      </c>
      <c r="G5010" t="s">
        <v>7657</v>
      </c>
      <c r="H5010" t="s">
        <v>7658</v>
      </c>
      <c r="I5010" t="s">
        <v>15419</v>
      </c>
      <c r="J5010" t="s">
        <v>7660</v>
      </c>
      <c r="M5010" t="s">
        <v>291</v>
      </c>
      <c r="N5010" t="s">
        <v>5479</v>
      </c>
      <c r="O5010" t="s">
        <v>15421</v>
      </c>
      <c r="P5010" t="s">
        <v>23377</v>
      </c>
      <c r="Q5010" t="s">
        <v>23378</v>
      </c>
      <c r="R5010">
        <v>15</v>
      </c>
      <c r="S5010">
        <v>16</v>
      </c>
    </row>
    <row r="5011" spans="1:19" x14ac:dyDescent="0.35">
      <c r="A5011">
        <v>828</v>
      </c>
      <c r="B5011" t="s">
        <v>18693</v>
      </c>
      <c r="C5011" t="s">
        <v>42</v>
      </c>
      <c r="D5011" t="s">
        <v>19845</v>
      </c>
      <c r="E5011" t="e" cm="1">
        <f t="array" ref="E5011">- DEXTROMETHORPHAN HYDROBROMIDE. DOXYLAMINE SUCCINATE</f>
        <v>#NAME?</v>
      </c>
      <c r="F5011" t="s">
        <v>19846</v>
      </c>
      <c r="G5011" t="s">
        <v>2241</v>
      </c>
      <c r="H5011" t="s">
        <v>19847</v>
      </c>
      <c r="I5011" t="s">
        <v>18697</v>
      </c>
      <c r="J5011" t="s">
        <v>10259</v>
      </c>
      <c r="K5011" t="s">
        <v>19848</v>
      </c>
      <c r="L5011" t="s">
        <v>18698</v>
      </c>
      <c r="M5011" t="s">
        <v>271</v>
      </c>
      <c r="N5011" t="s">
        <v>23282</v>
      </c>
      <c r="O5011" t="s">
        <v>18699</v>
      </c>
      <c r="P5011" t="s">
        <v>18700</v>
      </c>
      <c r="Q5011" t="s">
        <v>23283</v>
      </c>
      <c r="R5011">
        <v>15</v>
      </c>
      <c r="S5011">
        <v>16</v>
      </c>
    </row>
    <row r="5012" spans="1:19" x14ac:dyDescent="0.35">
      <c r="A5012">
        <v>6344</v>
      </c>
      <c r="B5012" t="s">
        <v>23379</v>
      </c>
      <c r="C5012" t="s">
        <v>42</v>
      </c>
      <c r="D5012" t="s">
        <v>23380</v>
      </c>
      <c r="E5012" t="e" cm="1">
        <f t="array" ref="E5012">- CEFADROXIL MONOHYDRATE</f>
        <v>#NAME?</v>
      </c>
      <c r="F5012" t="s">
        <v>23381</v>
      </c>
      <c r="G5012" t="s">
        <v>2241</v>
      </c>
      <c r="H5012" t="s">
        <v>21352</v>
      </c>
      <c r="I5012" t="s">
        <v>21353</v>
      </c>
      <c r="J5012" t="s">
        <v>23382</v>
      </c>
      <c r="K5012" t="s">
        <v>21355</v>
      </c>
      <c r="L5012" t="s">
        <v>21356</v>
      </c>
      <c r="M5012" t="s">
        <v>38</v>
      </c>
      <c r="N5012" t="s">
        <v>1777</v>
      </c>
      <c r="O5012" t="s">
        <v>21358</v>
      </c>
      <c r="P5012" t="s">
        <v>23383</v>
      </c>
      <c r="Q5012" t="s">
        <v>23384</v>
      </c>
      <c r="R5012">
        <v>15</v>
      </c>
      <c r="S5012">
        <v>16</v>
      </c>
    </row>
    <row r="5013" spans="1:19" x14ac:dyDescent="0.35">
      <c r="A5013">
        <v>6343</v>
      </c>
      <c r="B5013" t="s">
        <v>23379</v>
      </c>
      <c r="C5013" t="s">
        <v>42</v>
      </c>
      <c r="D5013" t="s">
        <v>23380</v>
      </c>
      <c r="E5013" t="e" cm="1">
        <f t="array" ref="E5013">- CEFADROXIL MONOHYDRATE</f>
        <v>#NAME?</v>
      </c>
      <c r="F5013" t="s">
        <v>23381</v>
      </c>
      <c r="G5013" t="s">
        <v>2241</v>
      </c>
      <c r="H5013" t="s">
        <v>21352</v>
      </c>
      <c r="I5013" t="s">
        <v>21353</v>
      </c>
      <c r="J5013" t="s">
        <v>23382</v>
      </c>
      <c r="K5013" t="s">
        <v>21355</v>
      </c>
      <c r="L5013" t="s">
        <v>21356</v>
      </c>
      <c r="M5013" t="s">
        <v>38</v>
      </c>
      <c r="N5013" t="s">
        <v>1777</v>
      </c>
      <c r="O5013" t="s">
        <v>21358</v>
      </c>
      <c r="P5013" t="s">
        <v>23383</v>
      </c>
      <c r="Q5013" t="s">
        <v>23384</v>
      </c>
      <c r="R5013">
        <v>15</v>
      </c>
      <c r="S5013">
        <v>16</v>
      </c>
    </row>
    <row r="5014" spans="1:19" x14ac:dyDescent="0.35">
      <c r="A5014">
        <v>618</v>
      </c>
      <c r="B5014" t="s">
        <v>23289</v>
      </c>
      <c r="C5014" t="s">
        <v>42</v>
      </c>
      <c r="D5014" t="s">
        <v>23290</v>
      </c>
      <c r="E5014" t="e" cm="1">
        <f t="array" ref="E5014">- OXYGEN</f>
        <v>#NAME?</v>
      </c>
      <c r="F5014" t="s">
        <v>23291</v>
      </c>
      <c r="G5014" t="s">
        <v>23292</v>
      </c>
      <c r="H5014" t="s">
        <v>23293</v>
      </c>
      <c r="I5014" t="s">
        <v>23294</v>
      </c>
      <c r="J5014" t="s">
        <v>23295</v>
      </c>
      <c r="K5014" t="s">
        <v>23296</v>
      </c>
      <c r="L5014" t="s">
        <v>23297</v>
      </c>
      <c r="M5014" t="s">
        <v>23298</v>
      </c>
      <c r="N5014" t="s">
        <v>23299</v>
      </c>
      <c r="O5014" t="s">
        <v>23300</v>
      </c>
      <c r="P5014" t="s">
        <v>23301</v>
      </c>
      <c r="Q5014" t="s">
        <v>23302</v>
      </c>
      <c r="R5014">
        <v>15</v>
      </c>
      <c r="S5014">
        <v>16</v>
      </c>
    </row>
    <row r="5015" spans="1:19" x14ac:dyDescent="0.35">
      <c r="A5015">
        <v>5299</v>
      </c>
      <c r="B5015" t="s">
        <v>23385</v>
      </c>
      <c r="C5015" t="s">
        <v>42</v>
      </c>
      <c r="D5015" t="s">
        <v>23386</v>
      </c>
      <c r="E5015" t="e" cm="1">
        <f t="array" ref="E5015">- ACICLOVIR</f>
        <v>#NAME?</v>
      </c>
      <c r="F5015" t="s">
        <v>23387</v>
      </c>
      <c r="G5015" t="s">
        <v>23388</v>
      </c>
      <c r="H5015" t="s">
        <v>21390</v>
      </c>
      <c r="I5015" t="s">
        <v>23389</v>
      </c>
      <c r="J5015" t="s">
        <v>2049</v>
      </c>
      <c r="K5015" t="s">
        <v>21392</v>
      </c>
      <c r="L5015" t="s">
        <v>23390</v>
      </c>
      <c r="M5015" t="s">
        <v>1289</v>
      </c>
      <c r="N5015" t="s">
        <v>1685</v>
      </c>
      <c r="O5015" t="s">
        <v>21394</v>
      </c>
      <c r="P5015" t="s">
        <v>23391</v>
      </c>
      <c r="Q5015" t="s">
        <v>23392</v>
      </c>
      <c r="R5015">
        <v>15</v>
      </c>
      <c r="S5015">
        <v>16</v>
      </c>
    </row>
    <row r="5016" spans="1:19" x14ac:dyDescent="0.35">
      <c r="A5016">
        <v>8896</v>
      </c>
      <c r="B5016" t="s">
        <v>23393</v>
      </c>
      <c r="C5016" t="s">
        <v>42</v>
      </c>
      <c r="D5016" t="s">
        <v>23394</v>
      </c>
      <c r="E5016" t="e" cm="1">
        <f t="array" ref="E5016">- INSULIN</f>
        <v>#NAME?</v>
      </c>
      <c r="F5016" t="s">
        <v>23395</v>
      </c>
      <c r="G5016" t="s">
        <v>23396</v>
      </c>
      <c r="H5016" t="s">
        <v>23397</v>
      </c>
      <c r="I5016" t="s">
        <v>23398</v>
      </c>
      <c r="J5016" t="s">
        <v>8611</v>
      </c>
      <c r="K5016" t="s">
        <v>16389</v>
      </c>
      <c r="L5016" t="s">
        <v>23399</v>
      </c>
      <c r="M5016" t="s">
        <v>2403</v>
      </c>
      <c r="N5016" t="s">
        <v>3051</v>
      </c>
      <c r="O5016" t="s">
        <v>23400</v>
      </c>
      <c r="P5016" t="s">
        <v>23401</v>
      </c>
      <c r="Q5016" t="s">
        <v>23402</v>
      </c>
      <c r="R5016">
        <v>15</v>
      </c>
      <c r="S5016">
        <v>16</v>
      </c>
    </row>
    <row r="5017" spans="1:19" x14ac:dyDescent="0.35">
      <c r="A5017">
        <v>634</v>
      </c>
      <c r="B5017" t="s">
        <v>23403</v>
      </c>
      <c r="C5017" t="s">
        <v>850</v>
      </c>
      <c r="D5017" t="s">
        <v>23404</v>
      </c>
      <c r="E5017" t="e" cm="1">
        <f t="array" ref="E5017">- Chamomile</f>
        <v>#NAME?</v>
      </c>
      <c r="F5017" t="s">
        <v>23405</v>
      </c>
      <c r="G5017" t="s">
        <v>23406</v>
      </c>
      <c r="H5017" t="s">
        <v>23407</v>
      </c>
      <c r="I5017" t="s">
        <v>23408</v>
      </c>
      <c r="J5017" t="s">
        <v>23409</v>
      </c>
      <c r="K5017" t="s">
        <v>23410</v>
      </c>
      <c r="L5017" t="s">
        <v>23411</v>
      </c>
      <c r="M5017" t="s">
        <v>3632</v>
      </c>
      <c r="N5017" t="s">
        <v>23412</v>
      </c>
      <c r="O5017" t="s">
        <v>23413</v>
      </c>
      <c r="P5017" t="s">
        <v>23414</v>
      </c>
      <c r="Q5017" t="s">
        <v>23415</v>
      </c>
      <c r="R5017">
        <v>15</v>
      </c>
      <c r="S5017">
        <v>16</v>
      </c>
    </row>
    <row r="5018" spans="1:19" x14ac:dyDescent="0.35">
      <c r="A5018">
        <v>7369</v>
      </c>
      <c r="B5018" t="s">
        <v>23323</v>
      </c>
      <c r="C5018" t="s">
        <v>42</v>
      </c>
      <c r="D5018" t="s">
        <v>23324</v>
      </c>
      <c r="E5018" t="e" cm="1">
        <f t="array" ref="E5018">- SELENIUM SULFIDE</f>
        <v>#NAME?</v>
      </c>
      <c r="F5018" t="s">
        <v>23325</v>
      </c>
      <c r="G5018" t="s">
        <v>23326</v>
      </c>
      <c r="H5018" t="s">
        <v>23327</v>
      </c>
      <c r="I5018" t="s">
        <v>23328</v>
      </c>
      <c r="J5018" t="s">
        <v>846</v>
      </c>
      <c r="N5018" t="s">
        <v>6154</v>
      </c>
      <c r="O5018" t="s">
        <v>23329</v>
      </c>
      <c r="P5018" t="s">
        <v>23330</v>
      </c>
      <c r="Q5018" t="s">
        <v>23331</v>
      </c>
      <c r="R5018">
        <v>15</v>
      </c>
      <c r="S5018">
        <v>16</v>
      </c>
    </row>
    <row r="5019" spans="1:19" x14ac:dyDescent="0.35">
      <c r="A5019">
        <v>7367</v>
      </c>
      <c r="B5019" t="s">
        <v>23323</v>
      </c>
      <c r="C5019" t="s">
        <v>42</v>
      </c>
      <c r="D5019" t="s">
        <v>23324</v>
      </c>
      <c r="E5019" t="e" cm="1">
        <f t="array" ref="E5019">- SELENIUM SULFIDE</f>
        <v>#NAME?</v>
      </c>
      <c r="F5019" t="s">
        <v>23325</v>
      </c>
      <c r="G5019" t="s">
        <v>23326</v>
      </c>
      <c r="H5019" t="s">
        <v>23327</v>
      </c>
      <c r="I5019" t="s">
        <v>23328</v>
      </c>
      <c r="J5019" t="s">
        <v>846</v>
      </c>
      <c r="N5019" t="s">
        <v>6154</v>
      </c>
      <c r="O5019" t="s">
        <v>23329</v>
      </c>
      <c r="P5019" t="s">
        <v>23330</v>
      </c>
      <c r="Q5019" t="s">
        <v>23331</v>
      </c>
      <c r="R5019">
        <v>15</v>
      </c>
      <c r="S5019">
        <v>16</v>
      </c>
    </row>
    <row r="5020" spans="1:19" x14ac:dyDescent="0.35">
      <c r="A5020">
        <v>984</v>
      </c>
      <c r="B5020" t="s">
        <v>23416</v>
      </c>
      <c r="C5020" t="s">
        <v>42</v>
      </c>
      <c r="D5020" t="s">
        <v>23417</v>
      </c>
      <c r="E5020" t="e" cm="1">
        <f t="array" ref="E5020">- PARACETAMOL. PHENYLPROPANOLAMINE HYDROCHLORIDE. CHLORPHENAMINE MALEATE</f>
        <v>#NAME?</v>
      </c>
      <c r="F5020" t="s">
        <v>23418</v>
      </c>
      <c r="G5020" t="s">
        <v>2241</v>
      </c>
      <c r="H5020" t="s">
        <v>23419</v>
      </c>
      <c r="I5020" t="s">
        <v>23420</v>
      </c>
      <c r="J5020" t="s">
        <v>23421</v>
      </c>
      <c r="K5020" t="s">
        <v>6861</v>
      </c>
      <c r="L5020" t="s">
        <v>17111</v>
      </c>
      <c r="M5020" t="s">
        <v>291</v>
      </c>
      <c r="N5020" t="s">
        <v>20189</v>
      </c>
      <c r="O5020" t="s">
        <v>23422</v>
      </c>
      <c r="P5020" t="s">
        <v>23423</v>
      </c>
      <c r="Q5020" t="s">
        <v>23424</v>
      </c>
      <c r="R5020">
        <v>15</v>
      </c>
      <c r="S5020">
        <v>16</v>
      </c>
    </row>
    <row r="5021" spans="1:19" x14ac:dyDescent="0.35">
      <c r="A5021">
        <v>5399</v>
      </c>
      <c r="B5021" t="s">
        <v>19336</v>
      </c>
      <c r="C5021" t="s">
        <v>42</v>
      </c>
      <c r="D5021" t="s">
        <v>19337</v>
      </c>
      <c r="E5021" t="e" cm="1">
        <f t="array" ref="E5021">- HYDROCORTISONE ACETATE. NEOMYCIN SULFATE</f>
        <v>#NAME?</v>
      </c>
      <c r="F5021" t="s">
        <v>19338</v>
      </c>
      <c r="G5021" t="s">
        <v>19339</v>
      </c>
      <c r="H5021" t="s">
        <v>19340</v>
      </c>
      <c r="I5021" t="s">
        <v>19341</v>
      </c>
      <c r="J5021" t="s">
        <v>9739</v>
      </c>
      <c r="K5021" t="s">
        <v>19342</v>
      </c>
      <c r="L5021" t="s">
        <v>19343</v>
      </c>
      <c r="M5021" t="s">
        <v>1289</v>
      </c>
      <c r="N5021" t="s">
        <v>23425</v>
      </c>
      <c r="O5021" t="s">
        <v>19344</v>
      </c>
      <c r="P5021" t="s">
        <v>19345</v>
      </c>
      <c r="Q5021" t="s">
        <v>23426</v>
      </c>
      <c r="R5021">
        <v>15</v>
      </c>
      <c r="S5021">
        <v>16</v>
      </c>
    </row>
    <row r="5022" spans="1:19" x14ac:dyDescent="0.35">
      <c r="A5022">
        <v>8999</v>
      </c>
      <c r="B5022" t="s">
        <v>23427</v>
      </c>
      <c r="C5022" t="s">
        <v>42</v>
      </c>
      <c r="D5022" t="s">
        <v>23428</v>
      </c>
      <c r="E5022" t="e" cm="1">
        <f t="array" ref="E5022">- IRBESARTAN</f>
        <v>#NAME?</v>
      </c>
      <c r="F5022" t="s">
        <v>23429</v>
      </c>
      <c r="G5022" t="s">
        <v>60</v>
      </c>
      <c r="H5022" t="s">
        <v>23430</v>
      </c>
      <c r="I5022" t="s">
        <v>23431</v>
      </c>
      <c r="J5022" t="s">
        <v>23432</v>
      </c>
      <c r="K5022" t="s">
        <v>23433</v>
      </c>
      <c r="L5022" t="s">
        <v>23434</v>
      </c>
      <c r="M5022" t="s">
        <v>46</v>
      </c>
      <c r="N5022" t="s">
        <v>999</v>
      </c>
      <c r="O5022" t="s">
        <v>23435</v>
      </c>
      <c r="P5022" t="s">
        <v>2921</v>
      </c>
      <c r="Q5022" t="s">
        <v>23436</v>
      </c>
      <c r="R5022">
        <v>15</v>
      </c>
      <c r="S5022">
        <v>16</v>
      </c>
    </row>
    <row r="5023" spans="1:19" x14ac:dyDescent="0.35">
      <c r="A5023">
        <v>628</v>
      </c>
      <c r="B5023" t="s">
        <v>23289</v>
      </c>
      <c r="C5023" t="s">
        <v>42</v>
      </c>
      <c r="D5023" t="s">
        <v>23290</v>
      </c>
      <c r="E5023" t="e" cm="1">
        <f t="array" ref="E5023">- OXYGEN</f>
        <v>#NAME?</v>
      </c>
      <c r="F5023" t="s">
        <v>23291</v>
      </c>
      <c r="G5023" t="s">
        <v>23292</v>
      </c>
      <c r="H5023" t="s">
        <v>23293</v>
      </c>
      <c r="I5023" t="s">
        <v>23294</v>
      </c>
      <c r="J5023" t="s">
        <v>23295</v>
      </c>
      <c r="K5023" t="s">
        <v>23296</v>
      </c>
      <c r="L5023" t="s">
        <v>23297</v>
      </c>
      <c r="M5023" t="s">
        <v>23298</v>
      </c>
      <c r="N5023" t="s">
        <v>23299</v>
      </c>
      <c r="O5023" t="s">
        <v>23300</v>
      </c>
      <c r="P5023" t="s">
        <v>23301</v>
      </c>
      <c r="Q5023" t="s">
        <v>23302</v>
      </c>
      <c r="R5023">
        <v>15</v>
      </c>
      <c r="S5023">
        <v>16</v>
      </c>
    </row>
    <row r="5024" spans="1:19" x14ac:dyDescent="0.35">
      <c r="A5024">
        <v>629</v>
      </c>
      <c r="B5024" t="s">
        <v>23289</v>
      </c>
      <c r="C5024" t="s">
        <v>42</v>
      </c>
      <c r="D5024" t="s">
        <v>23290</v>
      </c>
      <c r="E5024" t="e" cm="1">
        <f t="array" ref="E5024">- OXYGEN</f>
        <v>#NAME?</v>
      </c>
      <c r="F5024" t="s">
        <v>23291</v>
      </c>
      <c r="G5024" t="s">
        <v>23292</v>
      </c>
      <c r="H5024" t="s">
        <v>23293</v>
      </c>
      <c r="I5024" t="s">
        <v>23294</v>
      </c>
      <c r="J5024" t="s">
        <v>23295</v>
      </c>
      <c r="K5024" t="s">
        <v>23296</v>
      </c>
      <c r="L5024" t="s">
        <v>23297</v>
      </c>
      <c r="M5024" t="s">
        <v>23298</v>
      </c>
      <c r="N5024" t="s">
        <v>23299</v>
      </c>
      <c r="O5024" t="s">
        <v>23300</v>
      </c>
      <c r="P5024" t="s">
        <v>23301</v>
      </c>
      <c r="Q5024" t="s">
        <v>23302</v>
      </c>
      <c r="R5024">
        <v>15</v>
      </c>
      <c r="S5024">
        <v>16</v>
      </c>
    </row>
    <row r="5025" spans="1:19" x14ac:dyDescent="0.35">
      <c r="A5025">
        <v>9000</v>
      </c>
      <c r="B5025" t="s">
        <v>23427</v>
      </c>
      <c r="C5025" t="s">
        <v>42</v>
      </c>
      <c r="D5025" t="s">
        <v>23428</v>
      </c>
      <c r="E5025" t="e" cm="1">
        <f t="array" ref="E5025">- IRBESARTAN</f>
        <v>#NAME?</v>
      </c>
      <c r="F5025" t="s">
        <v>23429</v>
      </c>
      <c r="G5025" t="s">
        <v>60</v>
      </c>
      <c r="H5025" t="s">
        <v>23430</v>
      </c>
      <c r="I5025" t="s">
        <v>23431</v>
      </c>
      <c r="J5025" t="s">
        <v>23432</v>
      </c>
      <c r="K5025" t="s">
        <v>23433</v>
      </c>
      <c r="L5025" t="s">
        <v>23434</v>
      </c>
      <c r="M5025" t="s">
        <v>46</v>
      </c>
      <c r="N5025" t="s">
        <v>999</v>
      </c>
      <c r="O5025" t="s">
        <v>23435</v>
      </c>
      <c r="P5025" t="s">
        <v>2921</v>
      </c>
      <c r="Q5025" t="s">
        <v>23436</v>
      </c>
      <c r="R5025">
        <v>15</v>
      </c>
      <c r="S5025">
        <v>16</v>
      </c>
    </row>
    <row r="5026" spans="1:19" x14ac:dyDescent="0.35">
      <c r="A5026">
        <v>627</v>
      </c>
      <c r="B5026" t="s">
        <v>23289</v>
      </c>
      <c r="C5026" t="s">
        <v>42</v>
      </c>
      <c r="D5026" t="s">
        <v>23290</v>
      </c>
      <c r="E5026" t="e" cm="1">
        <f t="array" ref="E5026">- OXYGEN</f>
        <v>#NAME?</v>
      </c>
      <c r="F5026" t="s">
        <v>23291</v>
      </c>
      <c r="G5026" t="s">
        <v>23292</v>
      </c>
      <c r="H5026" t="s">
        <v>23293</v>
      </c>
      <c r="I5026" t="s">
        <v>23294</v>
      </c>
      <c r="J5026" t="s">
        <v>23295</v>
      </c>
      <c r="K5026" t="s">
        <v>23296</v>
      </c>
      <c r="L5026" t="s">
        <v>23297</v>
      </c>
      <c r="M5026" t="s">
        <v>23298</v>
      </c>
      <c r="N5026" t="s">
        <v>23299</v>
      </c>
      <c r="O5026" t="s">
        <v>23300</v>
      </c>
      <c r="P5026" t="s">
        <v>23301</v>
      </c>
      <c r="Q5026" t="s">
        <v>23302</v>
      </c>
      <c r="R5026">
        <v>15</v>
      </c>
      <c r="S5026">
        <v>16</v>
      </c>
    </row>
    <row r="5027" spans="1:19" x14ac:dyDescent="0.35">
      <c r="A5027">
        <v>6322</v>
      </c>
      <c r="B5027" t="s">
        <v>23437</v>
      </c>
      <c r="C5027" t="s">
        <v>42</v>
      </c>
      <c r="D5027" t="s">
        <v>23438</v>
      </c>
      <c r="E5027" t="e" cm="1">
        <f t="array" ref="E5027">- METRONIDAZOLE BENZOATE</f>
        <v>#NAME?</v>
      </c>
      <c r="F5027" s="1">
        <v>42300</v>
      </c>
      <c r="H5027" t="s">
        <v>23439</v>
      </c>
      <c r="I5027" t="s">
        <v>23440</v>
      </c>
      <c r="J5027" t="s">
        <v>334</v>
      </c>
      <c r="L5027" t="s">
        <v>23441</v>
      </c>
      <c r="M5027" t="s">
        <v>340</v>
      </c>
      <c r="N5027" t="s">
        <v>1893</v>
      </c>
      <c r="O5027" t="e" cm="1">
        <f t="array" ref="O5027">- infeksi disebabkan kuman anaerob protozoa sensitif METRONIDAZOLE  - pencegahan infeksi anaerob operasi</f>
        <v>#NAME?</v>
      </c>
      <c r="P5027" t="s">
        <v>23442</v>
      </c>
      <c r="Q5027" t="s">
        <v>23443</v>
      </c>
      <c r="R5027">
        <v>15</v>
      </c>
      <c r="S5027">
        <v>16</v>
      </c>
    </row>
    <row r="5028" spans="1:19" x14ac:dyDescent="0.35">
      <c r="A5028">
        <v>821</v>
      </c>
      <c r="B5028" t="s">
        <v>18693</v>
      </c>
      <c r="C5028" t="s">
        <v>42</v>
      </c>
      <c r="D5028" t="s">
        <v>18720</v>
      </c>
      <c r="E5028" t="e" cm="1">
        <f t="array" ref="E5028">- DEXTROMETHORPHAN HYDROBROMIDE. DOXYLAMINE SUCCINATE</f>
        <v>#NAME?</v>
      </c>
      <c r="F5028" t="s">
        <v>18721</v>
      </c>
      <c r="G5028" t="s">
        <v>2241</v>
      </c>
      <c r="H5028" t="s">
        <v>18696</v>
      </c>
      <c r="I5028" t="s">
        <v>18697</v>
      </c>
      <c r="J5028" t="s">
        <v>14417</v>
      </c>
      <c r="K5028" t="s">
        <v>14418</v>
      </c>
      <c r="L5028" t="s">
        <v>18698</v>
      </c>
      <c r="M5028" t="s">
        <v>271</v>
      </c>
      <c r="N5028" t="s">
        <v>23282</v>
      </c>
      <c r="O5028" t="s">
        <v>18699</v>
      </c>
      <c r="P5028" t="s">
        <v>18700</v>
      </c>
      <c r="Q5028" t="s">
        <v>23283</v>
      </c>
      <c r="R5028">
        <v>15</v>
      </c>
      <c r="S5028">
        <v>16</v>
      </c>
    </row>
    <row r="5029" spans="1:19" x14ac:dyDescent="0.35">
      <c r="A5029">
        <v>2786</v>
      </c>
      <c r="B5029" t="s">
        <v>23444</v>
      </c>
      <c r="C5029" t="s">
        <v>42</v>
      </c>
      <c r="D5029" t="s">
        <v>23445</v>
      </c>
      <c r="E5029" t="e" cm="1">
        <f t="array" ref="E5029">- PARACETAMOL</f>
        <v>#NAME?</v>
      </c>
      <c r="F5029" t="s">
        <v>23446</v>
      </c>
      <c r="G5029" t="s">
        <v>2241</v>
      </c>
      <c r="H5029" t="s">
        <v>22336</v>
      </c>
      <c r="I5029" t="s">
        <v>22337</v>
      </c>
      <c r="J5029" t="s">
        <v>4657</v>
      </c>
      <c r="M5029" t="s">
        <v>46</v>
      </c>
      <c r="N5029" t="s">
        <v>584</v>
      </c>
      <c r="O5029" t="s">
        <v>22340</v>
      </c>
      <c r="P5029" t="s">
        <v>620</v>
      </c>
      <c r="Q5029" t="s">
        <v>23447</v>
      </c>
      <c r="R5029">
        <v>15</v>
      </c>
      <c r="S5029">
        <v>16</v>
      </c>
    </row>
    <row r="5030" spans="1:19" x14ac:dyDescent="0.35">
      <c r="A5030">
        <v>5436</v>
      </c>
      <c r="B5030" t="s">
        <v>23448</v>
      </c>
      <c r="C5030" t="s">
        <v>42</v>
      </c>
      <c r="D5030" t="s">
        <v>23449</v>
      </c>
      <c r="E5030" t="e" cm="1">
        <f t="array" ref="E5030">- GENTAMICIN SULFATE</f>
        <v>#NAME?</v>
      </c>
      <c r="F5030" t="s">
        <v>23450</v>
      </c>
      <c r="G5030" t="s">
        <v>18098</v>
      </c>
      <c r="H5030" t="s">
        <v>23451</v>
      </c>
      <c r="I5030" t="s">
        <v>23452</v>
      </c>
      <c r="J5030" t="s">
        <v>19233</v>
      </c>
      <c r="K5030" t="s">
        <v>23453</v>
      </c>
      <c r="L5030" t="s">
        <v>23454</v>
      </c>
      <c r="M5030" t="s">
        <v>1289</v>
      </c>
      <c r="N5030" t="s">
        <v>6119</v>
      </c>
      <c r="O5030" t="s">
        <v>23455</v>
      </c>
      <c r="P5030" t="s">
        <v>23456</v>
      </c>
      <c r="Q5030" t="s">
        <v>23457</v>
      </c>
      <c r="R5030">
        <v>15</v>
      </c>
      <c r="S5030">
        <v>16</v>
      </c>
    </row>
    <row r="5031" spans="1:19" x14ac:dyDescent="0.35">
      <c r="A5031">
        <v>5440</v>
      </c>
      <c r="B5031" t="s">
        <v>23458</v>
      </c>
      <c r="C5031" t="s">
        <v>42</v>
      </c>
      <c r="D5031" t="s">
        <v>23459</v>
      </c>
      <c r="E5031" t="e" cm="1">
        <f t="array" ref="E5031">- BETAMETHASONE VALERATE. NEOMYCIN SULFATE</f>
        <v>#NAME?</v>
      </c>
      <c r="F5031" t="s">
        <v>23460</v>
      </c>
      <c r="G5031" t="s">
        <v>23461</v>
      </c>
      <c r="H5031" t="s">
        <v>23462</v>
      </c>
      <c r="I5031" t="s">
        <v>23463</v>
      </c>
      <c r="J5031" t="s">
        <v>15910</v>
      </c>
      <c r="K5031" t="s">
        <v>23464</v>
      </c>
      <c r="L5031" t="s">
        <v>23465</v>
      </c>
      <c r="M5031" t="s">
        <v>1289</v>
      </c>
      <c r="N5031" t="s">
        <v>4089</v>
      </c>
      <c r="O5031" t="s">
        <v>23466</v>
      </c>
      <c r="P5031" t="s">
        <v>23467</v>
      </c>
      <c r="Q5031" t="s">
        <v>23468</v>
      </c>
      <c r="R5031">
        <v>15</v>
      </c>
      <c r="S5031">
        <v>16</v>
      </c>
    </row>
    <row r="5032" spans="1:19" x14ac:dyDescent="0.35">
      <c r="A5032">
        <v>820</v>
      </c>
      <c r="B5032" t="s">
        <v>18693</v>
      </c>
      <c r="C5032" t="s">
        <v>42</v>
      </c>
      <c r="D5032" t="s">
        <v>18720</v>
      </c>
      <c r="E5032" t="e" cm="1">
        <f t="array" ref="E5032">- DEXTROMETHORPHAN HYDROBROMIDE. DOXYLAMINE SUCCINATE</f>
        <v>#NAME?</v>
      </c>
      <c r="F5032" t="s">
        <v>18721</v>
      </c>
      <c r="G5032" t="s">
        <v>2241</v>
      </c>
      <c r="H5032" t="s">
        <v>18696</v>
      </c>
      <c r="I5032" t="s">
        <v>18697</v>
      </c>
      <c r="J5032" t="s">
        <v>14417</v>
      </c>
      <c r="K5032" t="s">
        <v>14418</v>
      </c>
      <c r="L5032" t="s">
        <v>18698</v>
      </c>
      <c r="M5032" t="s">
        <v>271</v>
      </c>
      <c r="N5032" t="s">
        <v>23282</v>
      </c>
      <c r="O5032" t="s">
        <v>18699</v>
      </c>
      <c r="P5032" t="s">
        <v>18700</v>
      </c>
      <c r="Q5032" t="s">
        <v>23283</v>
      </c>
      <c r="R5032">
        <v>15</v>
      </c>
      <c r="S5032">
        <v>16</v>
      </c>
    </row>
    <row r="5033" spans="1:19" x14ac:dyDescent="0.35">
      <c r="A5033">
        <v>9078</v>
      </c>
      <c r="B5033" t="s">
        <v>23469</v>
      </c>
      <c r="C5033" t="s">
        <v>42</v>
      </c>
      <c r="D5033" t="s">
        <v>23470</v>
      </c>
      <c r="E5033" t="e" cm="1">
        <f t="array" ref="E5033">- AMLODIPINE BESILATE</f>
        <v>#NAME?</v>
      </c>
      <c r="F5033" t="s">
        <v>23471</v>
      </c>
      <c r="G5033" t="s">
        <v>23278</v>
      </c>
      <c r="H5033" t="s">
        <v>23279</v>
      </c>
      <c r="I5033" t="s">
        <v>23280</v>
      </c>
      <c r="J5033" t="s">
        <v>2478</v>
      </c>
      <c r="K5033" t="s">
        <v>23281</v>
      </c>
    </row>
    <row r="5034" spans="1:19" x14ac:dyDescent="0.35">
      <c r="A5034">
        <v>1769</v>
      </c>
      <c r="B5034" t="s">
        <v>5012</v>
      </c>
      <c r="C5034" t="s">
        <v>850</v>
      </c>
      <c r="D5034" t="s">
        <v>23472</v>
      </c>
      <c r="E5034" t="e" cm="1">
        <f t="array" ref="E5034">- Mentholum</f>
        <v>#NAME?</v>
      </c>
      <c r="F5034" t="s">
        <v>23473</v>
      </c>
      <c r="G5034" t="s">
        <v>21272</v>
      </c>
      <c r="H5034" t="s">
        <v>1322</v>
      </c>
      <c r="I5034" t="s">
        <v>21273</v>
      </c>
      <c r="J5034" t="s">
        <v>23474</v>
      </c>
      <c r="M5034" t="s">
        <v>3632</v>
      </c>
      <c r="N5034" t="s">
        <v>5016</v>
      </c>
      <c r="O5034" t="s">
        <v>21275</v>
      </c>
      <c r="P5034" t="s">
        <v>23475</v>
      </c>
      <c r="Q5034" t="s">
        <v>23476</v>
      </c>
      <c r="R5034">
        <v>15</v>
      </c>
      <c r="S5034">
        <v>16</v>
      </c>
    </row>
    <row r="5035" spans="1:19" x14ac:dyDescent="0.35">
      <c r="A5035">
        <v>7368</v>
      </c>
      <c r="B5035" t="s">
        <v>23323</v>
      </c>
      <c r="C5035" t="s">
        <v>42</v>
      </c>
      <c r="D5035" t="s">
        <v>23324</v>
      </c>
      <c r="E5035" t="e" cm="1">
        <f t="array" ref="E5035">- SELENIUM SULFIDE</f>
        <v>#NAME?</v>
      </c>
      <c r="F5035" t="s">
        <v>23325</v>
      </c>
      <c r="G5035" t="s">
        <v>23326</v>
      </c>
      <c r="H5035" t="s">
        <v>23327</v>
      </c>
      <c r="I5035" t="s">
        <v>23328</v>
      </c>
      <c r="J5035" t="s">
        <v>846</v>
      </c>
      <c r="N5035" t="s">
        <v>6154</v>
      </c>
      <c r="O5035" t="s">
        <v>23329</v>
      </c>
      <c r="P5035" t="s">
        <v>23330</v>
      </c>
      <c r="Q5035" t="s">
        <v>23331</v>
      </c>
      <c r="R5035">
        <v>15</v>
      </c>
      <c r="S5035">
        <v>16</v>
      </c>
    </row>
    <row r="5036" spans="1:19" x14ac:dyDescent="0.35">
      <c r="A5036">
        <v>626</v>
      </c>
      <c r="B5036" t="s">
        <v>23289</v>
      </c>
      <c r="C5036" t="s">
        <v>42</v>
      </c>
      <c r="D5036" t="s">
        <v>23290</v>
      </c>
      <c r="E5036" t="e" cm="1">
        <f t="array" ref="E5036">- OXYGEN</f>
        <v>#NAME?</v>
      </c>
      <c r="F5036" t="s">
        <v>23291</v>
      </c>
      <c r="G5036" t="s">
        <v>23292</v>
      </c>
      <c r="H5036" t="s">
        <v>23293</v>
      </c>
      <c r="I5036" t="s">
        <v>23294</v>
      </c>
      <c r="J5036" t="s">
        <v>23295</v>
      </c>
      <c r="K5036" t="s">
        <v>23296</v>
      </c>
      <c r="L5036" t="s">
        <v>23297</v>
      </c>
      <c r="M5036" t="s">
        <v>23298</v>
      </c>
      <c r="N5036" t="s">
        <v>23299</v>
      </c>
      <c r="O5036" t="s">
        <v>23300</v>
      </c>
      <c r="P5036" t="s">
        <v>23301</v>
      </c>
      <c r="Q5036" t="s">
        <v>23302</v>
      </c>
      <c r="R5036">
        <v>15</v>
      </c>
      <c r="S5036">
        <v>16</v>
      </c>
    </row>
    <row r="5037" spans="1:19" x14ac:dyDescent="0.35">
      <c r="A5037">
        <v>824</v>
      </c>
      <c r="B5037" t="s">
        <v>18693</v>
      </c>
      <c r="C5037" t="s">
        <v>42</v>
      </c>
      <c r="D5037" t="s">
        <v>18694</v>
      </c>
      <c r="E5037" t="e" cm="1">
        <f t="array" ref="E5037">- DEXTROMETHORPHAN HYDROBROMIDE. DOXYLAMINE SUCCINATE</f>
        <v>#NAME?</v>
      </c>
      <c r="F5037" t="s">
        <v>18695</v>
      </c>
      <c r="G5037" t="s">
        <v>2241</v>
      </c>
      <c r="H5037" t="s">
        <v>18696</v>
      </c>
      <c r="I5037" t="s">
        <v>18697</v>
      </c>
      <c r="J5037" t="s">
        <v>374</v>
      </c>
      <c r="K5037" t="s">
        <v>14418</v>
      </c>
      <c r="L5037" t="s">
        <v>18698</v>
      </c>
      <c r="M5037" t="s">
        <v>271</v>
      </c>
      <c r="N5037" t="s">
        <v>23282</v>
      </c>
      <c r="O5037" t="s">
        <v>18699</v>
      </c>
      <c r="P5037" t="s">
        <v>18700</v>
      </c>
      <c r="Q5037" t="s">
        <v>23283</v>
      </c>
      <c r="R5037">
        <v>15</v>
      </c>
      <c r="S5037">
        <v>16</v>
      </c>
    </row>
    <row r="5038" spans="1:19" x14ac:dyDescent="0.35">
      <c r="A5038">
        <v>7366</v>
      </c>
      <c r="B5038" t="s">
        <v>23323</v>
      </c>
      <c r="C5038" t="s">
        <v>42</v>
      </c>
      <c r="D5038" t="s">
        <v>23477</v>
      </c>
      <c r="E5038" t="e" cm="1">
        <f t="array" ref="E5038">- SELENIUM SULFIDE</f>
        <v>#NAME?</v>
      </c>
      <c r="F5038" t="s">
        <v>23478</v>
      </c>
      <c r="G5038" t="s">
        <v>23326</v>
      </c>
      <c r="H5038" t="s">
        <v>23327</v>
      </c>
      <c r="I5038" t="s">
        <v>23328</v>
      </c>
      <c r="J5038" t="s">
        <v>23479</v>
      </c>
      <c r="N5038" t="s">
        <v>6154</v>
      </c>
      <c r="O5038" t="s">
        <v>23329</v>
      </c>
      <c r="P5038" t="s">
        <v>23330</v>
      </c>
      <c r="Q5038" t="s">
        <v>23331</v>
      </c>
      <c r="R5038">
        <v>15</v>
      </c>
      <c r="S5038">
        <v>16</v>
      </c>
    </row>
    <row r="5039" spans="1:19" x14ac:dyDescent="0.35">
      <c r="A5039">
        <v>7365</v>
      </c>
      <c r="B5039" t="s">
        <v>23323</v>
      </c>
      <c r="C5039" t="s">
        <v>42</v>
      </c>
      <c r="D5039" t="s">
        <v>23477</v>
      </c>
      <c r="E5039" t="e" cm="1">
        <f t="array" ref="E5039">- SELENIUM SULFIDE</f>
        <v>#NAME?</v>
      </c>
      <c r="F5039" t="s">
        <v>23478</v>
      </c>
      <c r="G5039" t="s">
        <v>23326</v>
      </c>
      <c r="H5039" t="s">
        <v>23327</v>
      </c>
      <c r="I5039" t="s">
        <v>23328</v>
      </c>
      <c r="J5039" t="s">
        <v>23479</v>
      </c>
      <c r="N5039" t="s">
        <v>6154</v>
      </c>
      <c r="O5039" t="s">
        <v>23329</v>
      </c>
      <c r="P5039" t="s">
        <v>23330</v>
      </c>
      <c r="Q5039" t="s">
        <v>23331</v>
      </c>
      <c r="R5039">
        <v>15</v>
      </c>
      <c r="S5039">
        <v>16</v>
      </c>
    </row>
    <row r="5040" spans="1:19" x14ac:dyDescent="0.35">
      <c r="A5040">
        <v>5273</v>
      </c>
      <c r="B5040" t="s">
        <v>23480</v>
      </c>
      <c r="C5040" t="s">
        <v>42</v>
      </c>
      <c r="D5040" t="s">
        <v>23481</v>
      </c>
      <c r="E5040" t="e" cm="1">
        <f t="array" ref="E5040">- SODIUM FUSIDATE</f>
        <v>#NAME?</v>
      </c>
      <c r="F5040" t="s">
        <v>23482</v>
      </c>
      <c r="G5040" t="s">
        <v>23483</v>
      </c>
      <c r="H5040" t="s">
        <v>23484</v>
      </c>
      <c r="I5040" t="s">
        <v>23485</v>
      </c>
      <c r="J5040" t="s">
        <v>7123</v>
      </c>
      <c r="K5040" t="s">
        <v>2858</v>
      </c>
      <c r="L5040" t="s">
        <v>23486</v>
      </c>
      <c r="M5040" t="s">
        <v>1029</v>
      </c>
      <c r="N5040" t="s">
        <v>23487</v>
      </c>
      <c r="O5040" t="s">
        <v>23488</v>
      </c>
      <c r="P5040" t="s">
        <v>23489</v>
      </c>
      <c r="Q5040" t="s">
        <v>23490</v>
      </c>
      <c r="R5040">
        <v>15</v>
      </c>
      <c r="S5040">
        <v>16</v>
      </c>
    </row>
    <row r="5041" spans="1:19" x14ac:dyDescent="0.35">
      <c r="A5041">
        <v>7364</v>
      </c>
      <c r="B5041" t="s">
        <v>23323</v>
      </c>
      <c r="C5041" t="s">
        <v>42</v>
      </c>
      <c r="D5041" t="s">
        <v>23477</v>
      </c>
      <c r="E5041" t="e" cm="1">
        <f t="array" ref="E5041">- SELENIUM SULFIDE</f>
        <v>#NAME?</v>
      </c>
      <c r="F5041" t="s">
        <v>23478</v>
      </c>
      <c r="G5041" t="s">
        <v>23326</v>
      </c>
      <c r="H5041" t="s">
        <v>23327</v>
      </c>
      <c r="I5041" t="s">
        <v>23328</v>
      </c>
      <c r="J5041" t="s">
        <v>23479</v>
      </c>
      <c r="N5041" t="s">
        <v>6154</v>
      </c>
      <c r="O5041" t="s">
        <v>23329</v>
      </c>
      <c r="P5041" t="s">
        <v>23330</v>
      </c>
      <c r="Q5041" t="s">
        <v>23331</v>
      </c>
      <c r="R5041">
        <v>15</v>
      </c>
      <c r="S5041">
        <v>16</v>
      </c>
    </row>
    <row r="5042" spans="1:19" x14ac:dyDescent="0.35">
      <c r="A5042">
        <v>5371</v>
      </c>
      <c r="B5042" t="s">
        <v>23491</v>
      </c>
      <c r="C5042" t="s">
        <v>42</v>
      </c>
      <c r="D5042" t="s">
        <v>23492</v>
      </c>
      <c r="E5042" t="e" cm="1">
        <f t="array" ref="E5042">- HYDROCORTISONE ACETATE</f>
        <v>#NAME?</v>
      </c>
      <c r="F5042" t="s">
        <v>23493</v>
      </c>
      <c r="G5042" t="s">
        <v>23494</v>
      </c>
      <c r="H5042" t="s">
        <v>23495</v>
      </c>
      <c r="I5042" t="s">
        <v>23496</v>
      </c>
      <c r="J5042" t="s">
        <v>19233</v>
      </c>
      <c r="L5042" t="s">
        <v>23497</v>
      </c>
      <c r="M5042" t="s">
        <v>1289</v>
      </c>
      <c r="N5042" t="s">
        <v>7168</v>
      </c>
      <c r="O5042" t="s">
        <v>23498</v>
      </c>
      <c r="P5042" t="s">
        <v>23499</v>
      </c>
      <c r="Q5042" t="s">
        <v>23500</v>
      </c>
      <c r="R5042">
        <v>15</v>
      </c>
      <c r="S5042">
        <v>16</v>
      </c>
    </row>
    <row r="5043" spans="1:19" x14ac:dyDescent="0.35">
      <c r="A5043">
        <v>7363</v>
      </c>
      <c r="B5043" t="s">
        <v>23323</v>
      </c>
      <c r="C5043" t="s">
        <v>42</v>
      </c>
      <c r="D5043" t="s">
        <v>23477</v>
      </c>
      <c r="E5043" t="e" cm="1">
        <f t="array" ref="E5043">- SELENIUM SULFIDE</f>
        <v>#NAME?</v>
      </c>
      <c r="F5043" t="s">
        <v>23478</v>
      </c>
      <c r="G5043" t="s">
        <v>23326</v>
      </c>
      <c r="H5043" t="s">
        <v>23327</v>
      </c>
      <c r="I5043" t="s">
        <v>23328</v>
      </c>
      <c r="J5043" t="s">
        <v>23479</v>
      </c>
      <c r="N5043" t="s">
        <v>6154</v>
      </c>
      <c r="O5043" t="s">
        <v>23329</v>
      </c>
      <c r="P5043" t="s">
        <v>23330</v>
      </c>
      <c r="Q5043" t="s">
        <v>23331</v>
      </c>
      <c r="R5043">
        <v>15</v>
      </c>
      <c r="S5043">
        <v>16</v>
      </c>
    </row>
    <row r="5044" spans="1:19" x14ac:dyDescent="0.35">
      <c r="A5044">
        <v>156</v>
      </c>
      <c r="B5044" t="s">
        <v>2902</v>
      </c>
      <c r="C5044" t="s">
        <v>42</v>
      </c>
      <c r="D5044" t="s">
        <v>23501</v>
      </c>
      <c r="E5044" t="e" cm="1">
        <f t="array" ref="E5044">- SILDENAFIL CITRATE</f>
        <v>#NAME?</v>
      </c>
      <c r="F5044" t="s">
        <v>23502</v>
      </c>
      <c r="G5044" t="s">
        <v>23503</v>
      </c>
      <c r="H5044" t="s">
        <v>1322</v>
      </c>
      <c r="I5044" t="s">
        <v>23504</v>
      </c>
      <c r="J5044" t="s">
        <v>23505</v>
      </c>
      <c r="L5044" t="s">
        <v>23506</v>
      </c>
      <c r="M5044" t="s">
        <v>46</v>
      </c>
      <c r="N5044" t="s">
        <v>2519</v>
      </c>
      <c r="O5044" t="s">
        <v>23507</v>
      </c>
      <c r="P5044" t="s">
        <v>23508</v>
      </c>
      <c r="Q5044" t="s">
        <v>23509</v>
      </c>
      <c r="R5044">
        <v>15</v>
      </c>
      <c r="S5044">
        <v>16</v>
      </c>
    </row>
    <row r="5045" spans="1:19" x14ac:dyDescent="0.35">
      <c r="A5045">
        <v>7350</v>
      </c>
      <c r="B5045" t="s">
        <v>23510</v>
      </c>
      <c r="C5045" t="s">
        <v>42</v>
      </c>
      <c r="D5045" t="s">
        <v>23511</v>
      </c>
      <c r="E5045" t="e" cm="1">
        <f t="array" ref="E5045">- BENZOCAINE</f>
        <v>#NAME?</v>
      </c>
      <c r="F5045" t="s">
        <v>23512</v>
      </c>
      <c r="G5045" t="s">
        <v>23513</v>
      </c>
      <c r="H5045" t="s">
        <v>23514</v>
      </c>
      <c r="I5045" t="s">
        <v>23515</v>
      </c>
      <c r="J5045" t="s">
        <v>23516</v>
      </c>
      <c r="K5045" t="s">
        <v>23517</v>
      </c>
      <c r="L5045" t="s">
        <v>23518</v>
      </c>
      <c r="M5045" t="s">
        <v>554</v>
      </c>
      <c r="N5045" t="s">
        <v>23519</v>
      </c>
      <c r="O5045" t="s">
        <v>23520</v>
      </c>
      <c r="P5045" t="s">
        <v>23521</v>
      </c>
      <c r="Q5045" t="s">
        <v>23522</v>
      </c>
      <c r="R5045">
        <v>15</v>
      </c>
      <c r="S5045">
        <v>16</v>
      </c>
    </row>
    <row r="5046" spans="1:19" x14ac:dyDescent="0.35">
      <c r="A5046">
        <v>5272</v>
      </c>
      <c r="B5046" t="s">
        <v>23480</v>
      </c>
      <c r="C5046" t="s">
        <v>42</v>
      </c>
      <c r="D5046" t="s">
        <v>23481</v>
      </c>
      <c r="E5046" t="e" cm="1">
        <f t="array" ref="E5046">- SODIUM FUSIDATE</f>
        <v>#NAME?</v>
      </c>
      <c r="F5046" t="s">
        <v>23482</v>
      </c>
      <c r="G5046" t="s">
        <v>23483</v>
      </c>
      <c r="H5046" t="s">
        <v>23484</v>
      </c>
      <c r="I5046" t="s">
        <v>23485</v>
      </c>
      <c r="J5046" t="s">
        <v>7123</v>
      </c>
      <c r="K5046" t="s">
        <v>2858</v>
      </c>
      <c r="L5046" t="s">
        <v>23486</v>
      </c>
      <c r="M5046" t="s">
        <v>1029</v>
      </c>
      <c r="N5046" t="s">
        <v>23487</v>
      </c>
      <c r="O5046" t="s">
        <v>23488</v>
      </c>
      <c r="P5046" t="s">
        <v>23489</v>
      </c>
      <c r="Q5046" t="s">
        <v>23490</v>
      </c>
      <c r="R5046">
        <v>15</v>
      </c>
      <c r="S5046">
        <v>16</v>
      </c>
    </row>
    <row r="5047" spans="1:19" x14ac:dyDescent="0.35">
      <c r="A5047">
        <v>2856</v>
      </c>
      <c r="B5047" t="s">
        <v>23523</v>
      </c>
      <c r="C5047" t="s">
        <v>42</v>
      </c>
      <c r="D5047" t="s">
        <v>23524</v>
      </c>
      <c r="E5047" t="e" cm="1">
        <f t="array" ref="E5047">- ACETYLSALICYLIC ACID</f>
        <v>#NAME?</v>
      </c>
      <c r="F5047" t="s">
        <v>23525</v>
      </c>
      <c r="G5047" t="s">
        <v>4640</v>
      </c>
      <c r="H5047" t="s">
        <v>23526</v>
      </c>
      <c r="I5047" t="s">
        <v>19880</v>
      </c>
      <c r="J5047" t="s">
        <v>23527</v>
      </c>
      <c r="K5047" t="s">
        <v>23528</v>
      </c>
      <c r="L5047" t="s">
        <v>23529</v>
      </c>
      <c r="M5047" t="s">
        <v>46</v>
      </c>
      <c r="N5047" t="s">
        <v>2579</v>
      </c>
      <c r="O5047" t="s">
        <v>19881</v>
      </c>
      <c r="P5047" t="s">
        <v>23530</v>
      </c>
      <c r="Q5047" t="s">
        <v>23531</v>
      </c>
      <c r="R5047">
        <v>15</v>
      </c>
      <c r="S5047">
        <v>16</v>
      </c>
    </row>
    <row r="5048" spans="1:19" x14ac:dyDescent="0.35">
      <c r="A5048">
        <v>2855</v>
      </c>
      <c r="B5048" t="s">
        <v>21310</v>
      </c>
      <c r="C5048" t="s">
        <v>42</v>
      </c>
      <c r="D5048" t="s">
        <v>21311</v>
      </c>
      <c r="E5048" t="e" cm="1">
        <f t="array" ref="E5048">- IBUPROFEN MICRONIZED</f>
        <v>#NAME?</v>
      </c>
      <c r="F5048" t="s">
        <v>21312</v>
      </c>
      <c r="G5048" t="s">
        <v>2241</v>
      </c>
      <c r="H5048" t="s">
        <v>21313</v>
      </c>
      <c r="I5048" t="s">
        <v>21314</v>
      </c>
      <c r="J5048" t="s">
        <v>334</v>
      </c>
      <c r="K5048" t="s">
        <v>21315</v>
      </c>
      <c r="L5048" t="s">
        <v>21316</v>
      </c>
      <c r="M5048" t="s">
        <v>340</v>
      </c>
      <c r="N5048" t="s">
        <v>23532</v>
      </c>
      <c r="O5048" t="s">
        <v>21317</v>
      </c>
      <c r="P5048" t="s">
        <v>21318</v>
      </c>
      <c r="Q5048" t="s">
        <v>23533</v>
      </c>
      <c r="R5048">
        <v>15</v>
      </c>
      <c r="S5048">
        <v>16</v>
      </c>
    </row>
    <row r="5049" spans="1:19" x14ac:dyDescent="0.35">
      <c r="A5049">
        <v>8981</v>
      </c>
      <c r="B5049" t="s">
        <v>23534</v>
      </c>
      <c r="C5049" t="s">
        <v>42</v>
      </c>
      <c r="D5049" t="s">
        <v>23535</v>
      </c>
      <c r="E5049" t="e" cm="1">
        <f t="array" ref="E5049">- VALSARTAN. AMLODIPINE BESILATE</f>
        <v>#NAME?</v>
      </c>
      <c r="F5049" t="s">
        <v>23536</v>
      </c>
      <c r="G5049" t="s">
        <v>60</v>
      </c>
      <c r="H5049" t="s">
        <v>3871</v>
      </c>
      <c r="I5049" t="s">
        <v>23537</v>
      </c>
      <c r="J5049" t="s">
        <v>22949</v>
      </c>
      <c r="K5049" t="s">
        <v>3873</v>
      </c>
      <c r="L5049" t="s">
        <v>23538</v>
      </c>
      <c r="M5049" t="s">
        <v>46</v>
      </c>
      <c r="N5049" t="s">
        <v>3875</v>
      </c>
      <c r="O5049" t="s">
        <v>23539</v>
      </c>
      <c r="P5049" t="s">
        <v>3876</v>
      </c>
      <c r="Q5049" t="s">
        <v>23540</v>
      </c>
      <c r="R5049">
        <v>15</v>
      </c>
      <c r="S5049">
        <v>16</v>
      </c>
    </row>
    <row r="5050" spans="1:19" x14ac:dyDescent="0.35">
      <c r="A5050">
        <v>8982</v>
      </c>
      <c r="B5050" t="s">
        <v>23534</v>
      </c>
      <c r="C5050" t="s">
        <v>42</v>
      </c>
      <c r="D5050" t="s">
        <v>23535</v>
      </c>
      <c r="E5050" t="e" cm="1">
        <f t="array" ref="E5050">- VALSARTAN. AMLODIPINE BESILATE</f>
        <v>#NAME?</v>
      </c>
      <c r="F5050" t="s">
        <v>23536</v>
      </c>
      <c r="G5050" t="s">
        <v>60</v>
      </c>
      <c r="H5050" t="s">
        <v>3871</v>
      </c>
      <c r="I5050" t="s">
        <v>23537</v>
      </c>
      <c r="J5050" t="s">
        <v>22949</v>
      </c>
      <c r="K5050" t="s">
        <v>3873</v>
      </c>
      <c r="L5050" t="s">
        <v>23538</v>
      </c>
      <c r="M5050" t="s">
        <v>46</v>
      </c>
      <c r="N5050" t="s">
        <v>3875</v>
      </c>
      <c r="O5050" t="s">
        <v>23539</v>
      </c>
      <c r="P5050" t="s">
        <v>3876</v>
      </c>
      <c r="Q5050" t="s">
        <v>23540</v>
      </c>
      <c r="R5050">
        <v>15</v>
      </c>
      <c r="S5050">
        <v>16</v>
      </c>
    </row>
    <row r="5051" spans="1:19" x14ac:dyDescent="0.35">
      <c r="A5051">
        <v>5271</v>
      </c>
      <c r="B5051" t="s">
        <v>23253</v>
      </c>
      <c r="C5051" t="s">
        <v>42</v>
      </c>
      <c r="D5051" t="s">
        <v>23254</v>
      </c>
      <c r="E5051" t="e" cm="1">
        <f t="array" ref="E5051">- ERYTHROMYCIN</f>
        <v>#NAME?</v>
      </c>
      <c r="F5051" t="s">
        <v>23255</v>
      </c>
      <c r="G5051" t="s">
        <v>23256</v>
      </c>
      <c r="H5051" t="s">
        <v>23257</v>
      </c>
      <c r="I5051" t="s">
        <v>23258</v>
      </c>
      <c r="J5051" t="s">
        <v>13944</v>
      </c>
      <c r="K5051" t="s">
        <v>23259</v>
      </c>
      <c r="L5051" t="s">
        <v>23260</v>
      </c>
      <c r="M5051" t="s">
        <v>87</v>
      </c>
      <c r="N5051" t="s">
        <v>15222</v>
      </c>
      <c r="O5051" t="s">
        <v>23261</v>
      </c>
      <c r="P5051" t="s">
        <v>23262</v>
      </c>
      <c r="Q5051" t="s">
        <v>23263</v>
      </c>
      <c r="R5051">
        <v>15</v>
      </c>
      <c r="S5051">
        <v>16</v>
      </c>
    </row>
    <row r="5052" spans="1:19" x14ac:dyDescent="0.35">
      <c r="A5052">
        <v>2857</v>
      </c>
      <c r="B5052" t="s">
        <v>23523</v>
      </c>
      <c r="C5052" t="s">
        <v>42</v>
      </c>
      <c r="D5052" t="s">
        <v>23524</v>
      </c>
      <c r="E5052" t="e" cm="1">
        <f t="array" ref="E5052">- ACETYLSALICYLIC ACID</f>
        <v>#NAME?</v>
      </c>
      <c r="F5052" t="s">
        <v>23525</v>
      </c>
      <c r="G5052" t="s">
        <v>4640</v>
      </c>
      <c r="H5052" t="s">
        <v>23526</v>
      </c>
      <c r="I5052" t="s">
        <v>19880</v>
      </c>
      <c r="J5052" t="s">
        <v>23527</v>
      </c>
      <c r="K5052" t="s">
        <v>23528</v>
      </c>
      <c r="L5052" t="s">
        <v>23529</v>
      </c>
      <c r="M5052" t="s">
        <v>46</v>
      </c>
      <c r="N5052" t="s">
        <v>2579</v>
      </c>
      <c r="O5052" t="s">
        <v>19881</v>
      </c>
      <c r="P5052" t="s">
        <v>23530</v>
      </c>
      <c r="Q5052" t="s">
        <v>23531</v>
      </c>
      <c r="R5052">
        <v>15</v>
      </c>
      <c r="S5052">
        <v>16</v>
      </c>
    </row>
    <row r="5053" spans="1:19" x14ac:dyDescent="0.35">
      <c r="A5053">
        <v>6497</v>
      </c>
      <c r="B5053" t="s">
        <v>23541</v>
      </c>
      <c r="C5053" t="s">
        <v>42</v>
      </c>
      <c r="D5053" t="s">
        <v>23542</v>
      </c>
      <c r="E5053" t="e" cm="1">
        <f t="array" ref="E5053">- CEFADROXIL MONOHYDRATE</f>
        <v>#NAME?</v>
      </c>
      <c r="F5053" t="s">
        <v>23543</v>
      </c>
      <c r="G5053" t="s">
        <v>2241</v>
      </c>
      <c r="H5053" t="s">
        <v>21352</v>
      </c>
      <c r="I5053" t="s">
        <v>21353</v>
      </c>
      <c r="J5053" t="s">
        <v>334</v>
      </c>
      <c r="K5053" t="s">
        <v>21355</v>
      </c>
      <c r="L5053" t="s">
        <v>21356</v>
      </c>
      <c r="M5053" t="s">
        <v>271</v>
      </c>
      <c r="N5053" t="s">
        <v>1777</v>
      </c>
      <c r="O5053" t="s">
        <v>21358</v>
      </c>
      <c r="P5053" t="s">
        <v>23544</v>
      </c>
      <c r="Q5053" t="s">
        <v>23545</v>
      </c>
      <c r="R5053">
        <v>15</v>
      </c>
      <c r="S5053">
        <v>16</v>
      </c>
    </row>
    <row r="5054" spans="1:19" x14ac:dyDescent="0.35">
      <c r="A5054">
        <v>6407</v>
      </c>
      <c r="B5054" t="s">
        <v>23546</v>
      </c>
      <c r="C5054" t="s">
        <v>42</v>
      </c>
      <c r="D5054" t="s">
        <v>23547</v>
      </c>
      <c r="E5054" t="e" cm="1">
        <f t="array" ref="E5054">- CEFADROXIL MONOHYDRATE</f>
        <v>#NAME?</v>
      </c>
      <c r="F5054" t="s">
        <v>23548</v>
      </c>
      <c r="G5054" t="s">
        <v>1691</v>
      </c>
      <c r="H5054" t="s">
        <v>23549</v>
      </c>
      <c r="I5054" t="s">
        <v>23550</v>
      </c>
      <c r="J5054" t="s">
        <v>334</v>
      </c>
      <c r="K5054" t="s">
        <v>19599</v>
      </c>
      <c r="L5054" t="s">
        <v>23551</v>
      </c>
      <c r="M5054" t="s">
        <v>271</v>
      </c>
      <c r="N5054" t="s">
        <v>1777</v>
      </c>
      <c r="O5054" t="s">
        <v>23552</v>
      </c>
      <c r="P5054" t="s">
        <v>23553</v>
      </c>
      <c r="Q5054" t="s">
        <v>23554</v>
      </c>
      <c r="R5054">
        <v>15</v>
      </c>
      <c r="S5054">
        <v>16</v>
      </c>
    </row>
    <row r="5055" spans="1:19" x14ac:dyDescent="0.35">
      <c r="A5055">
        <v>639</v>
      </c>
      <c r="B5055" t="s">
        <v>23555</v>
      </c>
      <c r="C5055" t="s">
        <v>850</v>
      </c>
      <c r="D5055" t="s">
        <v>23556</v>
      </c>
      <c r="E5055" t="e" cm="1">
        <f t="array" ref="E5055">- Camphora</f>
        <v>#NAME?</v>
      </c>
      <c r="F5055" t="s">
        <v>23557</v>
      </c>
      <c r="G5055" t="s">
        <v>23558</v>
      </c>
      <c r="H5055" t="s">
        <v>23559</v>
      </c>
      <c r="I5055" t="s">
        <v>23560</v>
      </c>
      <c r="J5055" t="s">
        <v>23561</v>
      </c>
      <c r="K5055" t="s">
        <v>3473</v>
      </c>
      <c r="L5055" t="s">
        <v>23562</v>
      </c>
      <c r="M5055" t="s">
        <v>3632</v>
      </c>
      <c r="N5055" t="s">
        <v>3633</v>
      </c>
      <c r="O5055" t="s">
        <v>23563</v>
      </c>
      <c r="P5055" t="s">
        <v>23564</v>
      </c>
      <c r="Q5055" t="s">
        <v>23565</v>
      </c>
      <c r="R5055">
        <v>15</v>
      </c>
      <c r="S5055">
        <v>16</v>
      </c>
    </row>
    <row r="5056" spans="1:19" x14ac:dyDescent="0.35">
      <c r="A5056">
        <v>5957</v>
      </c>
      <c r="B5056" t="s">
        <v>23566</v>
      </c>
      <c r="C5056" t="s">
        <v>42</v>
      </c>
      <c r="D5056" t="s">
        <v>23567</v>
      </c>
      <c r="E5056" t="e" cm="1">
        <f t="array" ref="E5056">- CLINDAMYCIN HYDROCHLORIDE</f>
        <v>#NAME?</v>
      </c>
      <c r="F5056" t="s">
        <v>23568</v>
      </c>
      <c r="G5056" t="s">
        <v>2248</v>
      </c>
      <c r="H5056" t="s">
        <v>23569</v>
      </c>
    </row>
    <row r="5057" spans="1:19" x14ac:dyDescent="0.35">
      <c r="A5057">
        <v>5958</v>
      </c>
      <c r="B5057" t="s">
        <v>23566</v>
      </c>
      <c r="C5057" t="s">
        <v>42</v>
      </c>
      <c r="D5057" t="s">
        <v>23567</v>
      </c>
      <c r="E5057" t="e" cm="1">
        <f t="array" ref="E5057">- CLINDAMYCIN HYDROCHLORIDE</f>
        <v>#NAME?</v>
      </c>
      <c r="F5057" t="s">
        <v>23568</v>
      </c>
      <c r="G5057" t="s">
        <v>2248</v>
      </c>
      <c r="H5057" t="s">
        <v>23569</v>
      </c>
    </row>
    <row r="5058" spans="1:19" x14ac:dyDescent="0.35">
      <c r="A5058">
        <v>2152</v>
      </c>
      <c r="B5058" t="s">
        <v>23570</v>
      </c>
      <c r="C5058" t="s">
        <v>42</v>
      </c>
      <c r="D5058" t="s">
        <v>23571</v>
      </c>
      <c r="E5058" t="e" cm="1">
        <f t="array" ref="E5058">- PARACETAMOL</f>
        <v>#NAME?</v>
      </c>
      <c r="F5058" t="s">
        <v>23572</v>
      </c>
      <c r="G5058" t="s">
        <v>5866</v>
      </c>
      <c r="H5058" t="s">
        <v>23573</v>
      </c>
      <c r="I5058" t="s">
        <v>23574</v>
      </c>
      <c r="J5058" t="s">
        <v>381</v>
      </c>
      <c r="K5058" t="s">
        <v>23575</v>
      </c>
      <c r="L5058" t="s">
        <v>23576</v>
      </c>
      <c r="M5058" t="s">
        <v>46</v>
      </c>
      <c r="N5058" t="s">
        <v>584</v>
      </c>
      <c r="O5058" t="s">
        <v>23577</v>
      </c>
      <c r="P5058" t="s">
        <v>6854</v>
      </c>
      <c r="Q5058" t="s">
        <v>23578</v>
      </c>
      <c r="R5058">
        <v>15</v>
      </c>
      <c r="S5058">
        <v>16</v>
      </c>
    </row>
    <row r="5059" spans="1:19" x14ac:dyDescent="0.35">
      <c r="A5059">
        <v>9704</v>
      </c>
      <c r="B5059" t="s">
        <v>23579</v>
      </c>
      <c r="C5059" t="s">
        <v>42</v>
      </c>
      <c r="D5059" t="s">
        <v>23580</v>
      </c>
      <c r="E5059" t="e" cm="1">
        <f t="array" ref="E5059">- EZETIMIBE</f>
        <v>#NAME?</v>
      </c>
      <c r="F5059" t="s">
        <v>23581</v>
      </c>
      <c r="G5059" t="s">
        <v>23582</v>
      </c>
      <c r="H5059" t="s">
        <v>2643</v>
      </c>
      <c r="I5059" t="s">
        <v>23583</v>
      </c>
      <c r="J5059" t="s">
        <v>2478</v>
      </c>
      <c r="K5059" t="s">
        <v>2726</v>
      </c>
      <c r="L5059" t="s">
        <v>23584</v>
      </c>
      <c r="M5059" t="s">
        <v>46</v>
      </c>
      <c r="N5059" t="s">
        <v>23585</v>
      </c>
      <c r="O5059" t="s">
        <v>23586</v>
      </c>
      <c r="P5059" t="s">
        <v>23587</v>
      </c>
      <c r="Q5059" t="s">
        <v>23588</v>
      </c>
      <c r="R5059">
        <v>15</v>
      </c>
      <c r="S5059">
        <v>16</v>
      </c>
    </row>
    <row r="5060" spans="1:19" x14ac:dyDescent="0.35">
      <c r="A5060">
        <v>872</v>
      </c>
      <c r="B5060" t="s">
        <v>18869</v>
      </c>
      <c r="C5060" t="s">
        <v>42</v>
      </c>
      <c r="D5060" t="s">
        <v>18924</v>
      </c>
      <c r="E5060" t="e" cm="1">
        <f t="array" ref="E5060">- CHLORPHENAMINE MALEATE. DEXTROMETHORPHAN HYDROBROMIDE</f>
        <v>#NAME?</v>
      </c>
      <c r="F5060" t="s">
        <v>18925</v>
      </c>
      <c r="G5060" t="s">
        <v>60</v>
      </c>
      <c r="H5060" t="s">
        <v>18926</v>
      </c>
      <c r="I5060" t="s">
        <v>18927</v>
      </c>
      <c r="J5060" t="s">
        <v>17245</v>
      </c>
      <c r="K5060" t="s">
        <v>18928</v>
      </c>
      <c r="L5060" t="s">
        <v>18929</v>
      </c>
      <c r="M5060" t="s">
        <v>271</v>
      </c>
      <c r="N5060" t="s">
        <v>23589</v>
      </c>
      <c r="O5060" t="s">
        <v>18930</v>
      </c>
      <c r="P5060" t="s">
        <v>18877</v>
      </c>
      <c r="Q5060" t="s">
        <v>23590</v>
      </c>
      <c r="R5060">
        <v>15</v>
      </c>
      <c r="S5060">
        <v>16</v>
      </c>
    </row>
    <row r="5061" spans="1:19" x14ac:dyDescent="0.35">
      <c r="A5061">
        <v>873</v>
      </c>
      <c r="B5061" t="s">
        <v>18869</v>
      </c>
      <c r="C5061" t="s">
        <v>42</v>
      </c>
      <c r="D5061" t="s">
        <v>18924</v>
      </c>
      <c r="E5061" t="e" cm="1">
        <f t="array" ref="E5061">- CHLORPHENAMINE MALEATE. DEXTROMETHORPHAN HYDROBROMIDE</f>
        <v>#NAME?</v>
      </c>
      <c r="F5061" t="s">
        <v>18925</v>
      </c>
      <c r="G5061" t="s">
        <v>60</v>
      </c>
      <c r="H5061" t="s">
        <v>18926</v>
      </c>
      <c r="I5061" t="s">
        <v>18927</v>
      </c>
      <c r="J5061" t="s">
        <v>17245</v>
      </c>
      <c r="K5061" t="s">
        <v>18928</v>
      </c>
      <c r="L5061" t="s">
        <v>18929</v>
      </c>
      <c r="M5061" t="s">
        <v>271</v>
      </c>
      <c r="N5061" t="s">
        <v>23589</v>
      </c>
      <c r="O5061" t="s">
        <v>18930</v>
      </c>
      <c r="P5061" t="s">
        <v>18877</v>
      </c>
      <c r="Q5061" t="s">
        <v>23590</v>
      </c>
      <c r="R5061">
        <v>15</v>
      </c>
      <c r="S5061">
        <v>16</v>
      </c>
    </row>
    <row r="5062" spans="1:19" x14ac:dyDescent="0.35">
      <c r="A5062">
        <v>6454</v>
      </c>
      <c r="B5062" t="s">
        <v>23591</v>
      </c>
      <c r="C5062" t="s">
        <v>42</v>
      </c>
      <c r="D5062" t="s">
        <v>23592</v>
      </c>
      <c r="E5062" t="e" cm="1">
        <f t="array" ref="E5062">- CEFADROXIL MONOHYDRATE</f>
        <v>#NAME?</v>
      </c>
      <c r="F5062" t="s">
        <v>23593</v>
      </c>
      <c r="G5062" t="s">
        <v>2241</v>
      </c>
      <c r="H5062" t="s">
        <v>21352</v>
      </c>
      <c r="I5062" t="s">
        <v>21353</v>
      </c>
      <c r="J5062" t="s">
        <v>334</v>
      </c>
      <c r="K5062" t="s">
        <v>21355</v>
      </c>
      <c r="L5062" t="s">
        <v>21356</v>
      </c>
      <c r="M5062" t="s">
        <v>271</v>
      </c>
      <c r="N5062" t="s">
        <v>1777</v>
      </c>
      <c r="O5062" t="s">
        <v>21358</v>
      </c>
      <c r="P5062" t="s">
        <v>23594</v>
      </c>
      <c r="Q5062" t="s">
        <v>23595</v>
      </c>
      <c r="R5062">
        <v>15</v>
      </c>
      <c r="S5062">
        <v>16</v>
      </c>
    </row>
    <row r="5063" spans="1:19" x14ac:dyDescent="0.35">
      <c r="A5063">
        <v>6702</v>
      </c>
      <c r="B5063" t="s">
        <v>23596</v>
      </c>
      <c r="C5063" t="s">
        <v>42</v>
      </c>
      <c r="D5063" t="s">
        <v>23597</v>
      </c>
      <c r="E5063" t="e" cm="1">
        <f t="array" ref="E5063">- ACICLOVIR</f>
        <v>#NAME?</v>
      </c>
      <c r="F5063" t="s">
        <v>23598</v>
      </c>
      <c r="G5063" t="s">
        <v>5746</v>
      </c>
      <c r="H5063" t="s">
        <v>23599</v>
      </c>
      <c r="I5063" t="s">
        <v>23600</v>
      </c>
      <c r="J5063" t="s">
        <v>599</v>
      </c>
      <c r="K5063" t="s">
        <v>23601</v>
      </c>
      <c r="L5063" t="s">
        <v>23602</v>
      </c>
      <c r="M5063" t="s">
        <v>46</v>
      </c>
      <c r="N5063" t="s">
        <v>1685</v>
      </c>
      <c r="O5063" t="s">
        <v>23603</v>
      </c>
      <c r="P5063" t="s">
        <v>23604</v>
      </c>
      <c r="Q5063" t="s">
        <v>23605</v>
      </c>
      <c r="R5063">
        <v>15</v>
      </c>
      <c r="S5063">
        <v>16</v>
      </c>
    </row>
    <row r="5064" spans="1:19" x14ac:dyDescent="0.35">
      <c r="A5064">
        <v>6455</v>
      </c>
      <c r="B5064" t="s">
        <v>23591</v>
      </c>
      <c r="C5064" t="s">
        <v>42</v>
      </c>
      <c r="D5064" t="s">
        <v>23592</v>
      </c>
      <c r="E5064" t="e" cm="1">
        <f t="array" ref="E5064">- CEFADROXIL MONOHYDRATE</f>
        <v>#NAME?</v>
      </c>
      <c r="F5064" t="s">
        <v>23593</v>
      </c>
      <c r="G5064" t="s">
        <v>2241</v>
      </c>
      <c r="H5064" t="s">
        <v>21352</v>
      </c>
      <c r="I5064" t="s">
        <v>21353</v>
      </c>
      <c r="J5064" t="s">
        <v>334</v>
      </c>
      <c r="K5064" t="s">
        <v>21355</v>
      </c>
      <c r="L5064" t="s">
        <v>21356</v>
      </c>
      <c r="M5064" t="s">
        <v>271</v>
      </c>
      <c r="N5064" t="s">
        <v>1777</v>
      </c>
      <c r="O5064" t="s">
        <v>21358</v>
      </c>
      <c r="P5064" t="s">
        <v>23594</v>
      </c>
      <c r="Q5064" t="s">
        <v>23595</v>
      </c>
      <c r="R5064">
        <v>15</v>
      </c>
      <c r="S5064">
        <v>16</v>
      </c>
    </row>
    <row r="5065" spans="1:19" x14ac:dyDescent="0.35">
      <c r="A5065">
        <v>6196</v>
      </c>
      <c r="B5065" t="s">
        <v>23606</v>
      </c>
      <c r="C5065" t="s">
        <v>42</v>
      </c>
      <c r="D5065" t="s">
        <v>23607</v>
      </c>
      <c r="E5065" t="e" cm="1">
        <f t="array" ref="E5065">- SULFAMETHOXAZOLE</f>
        <v>#NAME?</v>
      </c>
      <c r="F5065" t="s">
        <v>23608</v>
      </c>
      <c r="G5065" t="s">
        <v>11706</v>
      </c>
      <c r="H5065" t="s">
        <v>21015</v>
      </c>
      <c r="I5065" t="s">
        <v>23609</v>
      </c>
      <c r="J5065" t="s">
        <v>4472</v>
      </c>
      <c r="K5065" t="s">
        <v>23610</v>
      </c>
      <c r="L5065" t="s">
        <v>23611</v>
      </c>
      <c r="M5065" t="s">
        <v>46</v>
      </c>
      <c r="N5065" t="s">
        <v>478</v>
      </c>
      <c r="O5065" t="s">
        <v>23612</v>
      </c>
      <c r="P5065" t="s">
        <v>23613</v>
      </c>
      <c r="Q5065" t="s">
        <v>23614</v>
      </c>
      <c r="R5065">
        <v>15</v>
      </c>
      <c r="S5065">
        <v>16</v>
      </c>
    </row>
    <row r="5066" spans="1:19" x14ac:dyDescent="0.35">
      <c r="A5066">
        <v>871</v>
      </c>
      <c r="B5066" t="s">
        <v>18869</v>
      </c>
      <c r="C5066" t="s">
        <v>42</v>
      </c>
      <c r="D5066" t="s">
        <v>18924</v>
      </c>
      <c r="E5066" t="e" cm="1">
        <f t="array" ref="E5066">- CHLORPHENAMINE MALEATE. DEXTROMETHORPHAN HYDROBROMIDE</f>
        <v>#NAME?</v>
      </c>
      <c r="F5066" t="s">
        <v>18925</v>
      </c>
      <c r="G5066" t="s">
        <v>60</v>
      </c>
      <c r="H5066" t="s">
        <v>18926</v>
      </c>
      <c r="I5066" t="s">
        <v>18927</v>
      </c>
      <c r="J5066" t="s">
        <v>17245</v>
      </c>
      <c r="K5066" t="s">
        <v>18928</v>
      </c>
      <c r="L5066" t="s">
        <v>18929</v>
      </c>
      <c r="M5066" t="s">
        <v>271</v>
      </c>
      <c r="N5066" t="s">
        <v>23589</v>
      </c>
      <c r="O5066" t="s">
        <v>18930</v>
      </c>
      <c r="P5066" t="s">
        <v>18877</v>
      </c>
      <c r="Q5066" t="s">
        <v>23590</v>
      </c>
      <c r="R5066">
        <v>15</v>
      </c>
      <c r="S5066">
        <v>16</v>
      </c>
    </row>
    <row r="5067" spans="1:19" x14ac:dyDescent="0.35">
      <c r="A5067">
        <v>9740</v>
      </c>
      <c r="B5067" t="s">
        <v>23615</v>
      </c>
      <c r="C5067" t="s">
        <v>42</v>
      </c>
      <c r="D5067" t="s">
        <v>23616</v>
      </c>
      <c r="E5067" t="e" cm="1">
        <f t="array" ref="E5067">- EZETIMIBE</f>
        <v>#NAME?</v>
      </c>
      <c r="F5067" t="s">
        <v>23617</v>
      </c>
      <c r="G5067" t="s">
        <v>23582</v>
      </c>
      <c r="H5067" t="s">
        <v>6741</v>
      </c>
      <c r="I5067" t="s">
        <v>23583</v>
      </c>
      <c r="J5067" t="s">
        <v>2478</v>
      </c>
      <c r="K5067" t="s">
        <v>2726</v>
      </c>
      <c r="L5067" t="s">
        <v>23618</v>
      </c>
      <c r="M5067" t="s">
        <v>46</v>
      </c>
      <c r="N5067" t="s">
        <v>23585</v>
      </c>
      <c r="O5067" t="s">
        <v>23586</v>
      </c>
      <c r="P5067" t="s">
        <v>23619</v>
      </c>
      <c r="Q5067" t="s">
        <v>23620</v>
      </c>
      <c r="R5067">
        <v>15</v>
      </c>
      <c r="S5067">
        <v>16</v>
      </c>
    </row>
    <row r="5068" spans="1:19" x14ac:dyDescent="0.35">
      <c r="A5068">
        <v>753</v>
      </c>
      <c r="B5068" t="s">
        <v>18775</v>
      </c>
      <c r="C5068" t="s">
        <v>42</v>
      </c>
      <c r="D5068" t="s">
        <v>18776</v>
      </c>
      <c r="E5068" t="e" cm="1">
        <f t="array" ref="E5068">- PSEUDOEPHEDRINE HYDROCHLORIDE. CHLORPHENAMINE MALEATE</f>
        <v>#NAME?</v>
      </c>
      <c r="F5068" t="s">
        <v>18777</v>
      </c>
      <c r="G5068" t="s">
        <v>2266</v>
      </c>
      <c r="H5068" t="s">
        <v>18778</v>
      </c>
      <c r="I5068" t="s">
        <v>18779</v>
      </c>
      <c r="J5068" t="s">
        <v>334</v>
      </c>
      <c r="K5068" t="s">
        <v>14337</v>
      </c>
      <c r="L5068" t="s">
        <v>14338</v>
      </c>
      <c r="M5068" t="s">
        <v>271</v>
      </c>
      <c r="N5068" t="s">
        <v>4926</v>
      </c>
      <c r="O5068" t="s">
        <v>18780</v>
      </c>
      <c r="P5068" t="s">
        <v>18781</v>
      </c>
      <c r="Q5068" t="s">
        <v>23621</v>
      </c>
      <c r="R5068">
        <v>15</v>
      </c>
      <c r="S5068">
        <v>16</v>
      </c>
    </row>
    <row r="5069" spans="1:19" x14ac:dyDescent="0.35">
      <c r="A5069">
        <v>754</v>
      </c>
      <c r="B5069" t="s">
        <v>18775</v>
      </c>
      <c r="C5069" t="s">
        <v>42</v>
      </c>
      <c r="D5069" t="s">
        <v>18776</v>
      </c>
      <c r="E5069" t="e" cm="1">
        <f t="array" ref="E5069">- PSEUDOEPHEDRINE HYDROCHLORIDE. CHLORPHENAMINE MALEATE</f>
        <v>#NAME?</v>
      </c>
      <c r="F5069" t="s">
        <v>18777</v>
      </c>
      <c r="G5069" t="s">
        <v>2266</v>
      </c>
      <c r="H5069" t="s">
        <v>18778</v>
      </c>
      <c r="I5069" t="s">
        <v>18779</v>
      </c>
      <c r="J5069" t="s">
        <v>334</v>
      </c>
      <c r="K5069" t="s">
        <v>14337</v>
      </c>
      <c r="L5069" t="s">
        <v>14338</v>
      </c>
      <c r="M5069" t="s">
        <v>271</v>
      </c>
      <c r="N5069" t="s">
        <v>4926</v>
      </c>
      <c r="O5069" t="s">
        <v>18780</v>
      </c>
      <c r="P5069" t="s">
        <v>18781</v>
      </c>
      <c r="Q5069" t="s">
        <v>23621</v>
      </c>
      <c r="R5069">
        <v>15</v>
      </c>
      <c r="S5069">
        <v>16</v>
      </c>
    </row>
    <row r="5070" spans="1:19" x14ac:dyDescent="0.35">
      <c r="A5070">
        <v>9741</v>
      </c>
      <c r="B5070" t="s">
        <v>23615</v>
      </c>
      <c r="C5070" t="s">
        <v>42</v>
      </c>
      <c r="D5070" t="s">
        <v>23616</v>
      </c>
      <c r="E5070" t="e" cm="1">
        <f t="array" ref="E5070">- EZETIMIBE</f>
        <v>#NAME?</v>
      </c>
      <c r="F5070" t="s">
        <v>23617</v>
      </c>
      <c r="G5070" t="s">
        <v>23582</v>
      </c>
      <c r="H5070" t="s">
        <v>6741</v>
      </c>
      <c r="I5070" t="s">
        <v>23583</v>
      </c>
      <c r="J5070" t="s">
        <v>2478</v>
      </c>
      <c r="K5070" t="s">
        <v>2726</v>
      </c>
      <c r="L5070" t="s">
        <v>23618</v>
      </c>
      <c r="M5070" t="s">
        <v>46</v>
      </c>
      <c r="N5070" t="s">
        <v>23585</v>
      </c>
      <c r="O5070" t="s">
        <v>23586</v>
      </c>
      <c r="P5070" t="s">
        <v>23619</v>
      </c>
      <c r="Q5070" t="s">
        <v>23620</v>
      </c>
      <c r="R5070">
        <v>15</v>
      </c>
      <c r="S5070">
        <v>16</v>
      </c>
    </row>
    <row r="5071" spans="1:19" x14ac:dyDescent="0.35">
      <c r="A5071">
        <v>9742</v>
      </c>
      <c r="B5071" t="s">
        <v>23615</v>
      </c>
      <c r="C5071" t="s">
        <v>42</v>
      </c>
      <c r="D5071" t="s">
        <v>23616</v>
      </c>
      <c r="E5071" t="e" cm="1">
        <f t="array" ref="E5071">- EZETIMIBE</f>
        <v>#NAME?</v>
      </c>
      <c r="F5071" t="s">
        <v>23617</v>
      </c>
      <c r="G5071" t="s">
        <v>23582</v>
      </c>
      <c r="H5071" t="s">
        <v>6741</v>
      </c>
      <c r="I5071" t="s">
        <v>23583</v>
      </c>
      <c r="J5071" t="s">
        <v>2478</v>
      </c>
      <c r="K5071" t="s">
        <v>2726</v>
      </c>
      <c r="L5071" t="s">
        <v>23618</v>
      </c>
      <c r="M5071" t="s">
        <v>46</v>
      </c>
      <c r="N5071" t="s">
        <v>23585</v>
      </c>
      <c r="O5071" t="s">
        <v>23586</v>
      </c>
      <c r="P5071" t="s">
        <v>23619</v>
      </c>
      <c r="Q5071" t="s">
        <v>23620</v>
      </c>
      <c r="R5071">
        <v>15</v>
      </c>
      <c r="S5071">
        <v>16</v>
      </c>
    </row>
    <row r="5072" spans="1:19" x14ac:dyDescent="0.35">
      <c r="A5072">
        <v>5987</v>
      </c>
      <c r="B5072" t="s">
        <v>23131</v>
      </c>
      <c r="C5072" t="s">
        <v>42</v>
      </c>
      <c r="D5072" t="s">
        <v>23132</v>
      </c>
      <c r="E5072" t="e" cm="1">
        <f t="array" ref="E5072">- CLINDAMYCIN HYDROCHLORIDE</f>
        <v>#NAME?</v>
      </c>
      <c r="F5072" t="s">
        <v>23133</v>
      </c>
      <c r="H5072" t="s">
        <v>23125</v>
      </c>
      <c r="I5072" t="s">
        <v>23126</v>
      </c>
      <c r="J5072" t="s">
        <v>23134</v>
      </c>
      <c r="L5072" t="s">
        <v>321</v>
      </c>
      <c r="M5072" t="s">
        <v>38</v>
      </c>
      <c r="N5072" t="s">
        <v>23622</v>
      </c>
      <c r="O5072" t="s">
        <v>23128</v>
      </c>
      <c r="P5072" t="s">
        <v>23129</v>
      </c>
      <c r="Q5072" t="s">
        <v>23623</v>
      </c>
      <c r="R5072">
        <v>15</v>
      </c>
      <c r="S5072">
        <v>16</v>
      </c>
    </row>
    <row r="5073" spans="1:19" x14ac:dyDescent="0.35">
      <c r="A5073">
        <v>9762</v>
      </c>
      <c r="B5073" t="s">
        <v>23624</v>
      </c>
      <c r="C5073" t="s">
        <v>42</v>
      </c>
      <c r="D5073" t="s">
        <v>23625</v>
      </c>
      <c r="E5073" t="e" cm="1">
        <f t="array" ref="E5073">- SIMVASTATIN</f>
        <v>#NAME?</v>
      </c>
      <c r="F5073" t="s">
        <v>23626</v>
      </c>
      <c r="G5073" t="s">
        <v>12760</v>
      </c>
      <c r="H5073" t="s">
        <v>23627</v>
      </c>
      <c r="I5073" t="s">
        <v>23628</v>
      </c>
      <c r="J5073" t="s">
        <v>3032</v>
      </c>
      <c r="K5073" t="s">
        <v>23629</v>
      </c>
      <c r="L5073" t="s">
        <v>23630</v>
      </c>
      <c r="M5073" t="s">
        <v>46</v>
      </c>
      <c r="N5073" t="s">
        <v>1150</v>
      </c>
      <c r="O5073" t="s">
        <v>23631</v>
      </c>
      <c r="P5073" t="s">
        <v>23632</v>
      </c>
      <c r="Q5073" t="s">
        <v>23633</v>
      </c>
      <c r="R5073">
        <v>15</v>
      </c>
      <c r="S5073">
        <v>16</v>
      </c>
    </row>
    <row r="5074" spans="1:19" x14ac:dyDescent="0.35">
      <c r="A5074">
        <v>2110</v>
      </c>
      <c r="B5074" t="s">
        <v>23634</v>
      </c>
      <c r="C5074" t="s">
        <v>42</v>
      </c>
      <c r="D5074" t="s">
        <v>23635</v>
      </c>
      <c r="E5074" t="e" cm="1">
        <f t="array" ref="E5074">- HYOSCINE BUTYLBROMIDE</f>
        <v>#NAME?</v>
      </c>
      <c r="F5074" t="s">
        <v>23636</v>
      </c>
      <c r="G5074" t="s">
        <v>60</v>
      </c>
      <c r="H5074" t="s">
        <v>23637</v>
      </c>
      <c r="I5074" t="s">
        <v>23638</v>
      </c>
      <c r="J5074" t="s">
        <v>23639</v>
      </c>
      <c r="K5074" t="s">
        <v>23640</v>
      </c>
      <c r="L5074" t="s">
        <v>23641</v>
      </c>
      <c r="M5074" t="s">
        <v>46</v>
      </c>
      <c r="N5074" t="s">
        <v>23642</v>
      </c>
      <c r="O5074" t="s">
        <v>23643</v>
      </c>
      <c r="P5074" t="s">
        <v>23644</v>
      </c>
      <c r="Q5074" t="s">
        <v>23645</v>
      </c>
      <c r="R5074">
        <v>15</v>
      </c>
      <c r="S5074">
        <v>16</v>
      </c>
    </row>
    <row r="5075" spans="1:19" x14ac:dyDescent="0.35">
      <c r="A5075">
        <v>6004</v>
      </c>
      <c r="B5075" t="s">
        <v>23646</v>
      </c>
      <c r="C5075" t="s">
        <v>42</v>
      </c>
      <c r="D5075" t="s">
        <v>23647</v>
      </c>
      <c r="E5075" t="e" cm="1">
        <f t="array" ref="E5075">- CEFADROXIL MONOHYDRATE</f>
        <v>#NAME?</v>
      </c>
      <c r="F5075" s="1">
        <v>41300</v>
      </c>
      <c r="G5075" t="s">
        <v>2241</v>
      </c>
      <c r="H5075" t="s">
        <v>21352</v>
      </c>
      <c r="I5075" t="s">
        <v>21353</v>
      </c>
      <c r="J5075" t="s">
        <v>23360</v>
      </c>
      <c r="K5075" t="s">
        <v>21355</v>
      </c>
      <c r="L5075" t="s">
        <v>21356</v>
      </c>
      <c r="M5075" t="s">
        <v>38</v>
      </c>
      <c r="N5075" t="s">
        <v>1777</v>
      </c>
      <c r="O5075" t="s">
        <v>21358</v>
      </c>
      <c r="P5075" t="s">
        <v>23648</v>
      </c>
      <c r="Q5075" t="s">
        <v>23649</v>
      </c>
      <c r="R5075">
        <v>15</v>
      </c>
      <c r="S5075">
        <v>16</v>
      </c>
    </row>
    <row r="5076" spans="1:19" x14ac:dyDescent="0.35">
      <c r="A5076">
        <v>6005</v>
      </c>
      <c r="B5076" t="s">
        <v>23650</v>
      </c>
      <c r="C5076" t="s">
        <v>42</v>
      </c>
      <c r="D5076" t="s">
        <v>23651</v>
      </c>
      <c r="E5076" t="e" cm="1">
        <f t="array" ref="E5076">- CEFADROXIL MONOHYDRATE</f>
        <v>#NAME?</v>
      </c>
      <c r="F5076" t="s">
        <v>23652</v>
      </c>
      <c r="G5076" t="s">
        <v>2241</v>
      </c>
      <c r="H5076" t="s">
        <v>21352</v>
      </c>
      <c r="I5076" t="s">
        <v>21353</v>
      </c>
      <c r="J5076" t="s">
        <v>23653</v>
      </c>
      <c r="K5076" t="s">
        <v>21355</v>
      </c>
      <c r="L5076" t="s">
        <v>21356</v>
      </c>
      <c r="M5076" t="s">
        <v>38</v>
      </c>
      <c r="N5076" t="s">
        <v>1777</v>
      </c>
      <c r="O5076" t="s">
        <v>21358</v>
      </c>
      <c r="P5076" t="s">
        <v>22439</v>
      </c>
      <c r="Q5076" t="s">
        <v>23654</v>
      </c>
      <c r="R5076">
        <v>15</v>
      </c>
      <c r="S5076">
        <v>16</v>
      </c>
    </row>
    <row r="5077" spans="1:19" x14ac:dyDescent="0.35">
      <c r="A5077">
        <v>6007</v>
      </c>
      <c r="B5077" t="s">
        <v>23655</v>
      </c>
      <c r="C5077" t="s">
        <v>42</v>
      </c>
      <c r="D5077" t="s">
        <v>23656</v>
      </c>
      <c r="E5077" t="e" cm="1">
        <f t="array" ref="E5077">- CEFADROXIL</f>
        <v>#NAME?</v>
      </c>
      <c r="F5077" t="s">
        <v>23657</v>
      </c>
      <c r="G5077" t="s">
        <v>2241</v>
      </c>
      <c r="H5077" t="s">
        <v>21352</v>
      </c>
      <c r="I5077" t="s">
        <v>21353</v>
      </c>
      <c r="J5077" t="s">
        <v>334</v>
      </c>
      <c r="K5077" t="s">
        <v>21355</v>
      </c>
      <c r="L5077" t="s">
        <v>21356</v>
      </c>
      <c r="M5077" t="s">
        <v>271</v>
      </c>
      <c r="N5077" t="s">
        <v>21357</v>
      </c>
      <c r="O5077" t="s">
        <v>21358</v>
      </c>
      <c r="P5077" t="s">
        <v>23658</v>
      </c>
      <c r="Q5077" t="s">
        <v>23659</v>
      </c>
      <c r="R5077">
        <v>15</v>
      </c>
      <c r="S5077">
        <v>16</v>
      </c>
    </row>
    <row r="5078" spans="1:19" x14ac:dyDescent="0.35">
      <c r="A5078">
        <v>752</v>
      </c>
      <c r="B5078" t="s">
        <v>23660</v>
      </c>
      <c r="C5078" t="s">
        <v>42</v>
      </c>
      <c r="D5078" t="s">
        <v>23661</v>
      </c>
      <c r="E5078" t="e" cm="1">
        <f t="array" ref="E5078">- LORATADINE</f>
        <v>#NAME?</v>
      </c>
      <c r="G5078" t="s">
        <v>4420</v>
      </c>
      <c r="H5078" t="s">
        <v>23662</v>
      </c>
      <c r="I5078" t="s">
        <v>23663</v>
      </c>
      <c r="J5078" t="s">
        <v>23664</v>
      </c>
      <c r="K5078" t="s">
        <v>23665</v>
      </c>
    </row>
    <row r="5079" spans="1:19" x14ac:dyDescent="0.35">
      <c r="A5079">
        <v>2153</v>
      </c>
      <c r="B5079" t="s">
        <v>23570</v>
      </c>
      <c r="C5079" t="s">
        <v>42</v>
      </c>
      <c r="D5079" t="s">
        <v>23571</v>
      </c>
      <c r="E5079" t="e" cm="1">
        <f t="array" ref="E5079">- PARACETAMOL</f>
        <v>#NAME?</v>
      </c>
      <c r="F5079" t="s">
        <v>23572</v>
      </c>
      <c r="G5079" t="s">
        <v>5866</v>
      </c>
      <c r="H5079" t="s">
        <v>23573</v>
      </c>
      <c r="I5079" t="s">
        <v>23574</v>
      </c>
      <c r="J5079" t="s">
        <v>381</v>
      </c>
      <c r="K5079" t="s">
        <v>23575</v>
      </c>
      <c r="L5079" t="s">
        <v>23576</v>
      </c>
      <c r="M5079" t="s">
        <v>46</v>
      </c>
      <c r="N5079" t="s">
        <v>584</v>
      </c>
      <c r="O5079" t="s">
        <v>23577</v>
      </c>
      <c r="P5079" t="s">
        <v>6854</v>
      </c>
      <c r="Q5079" t="s">
        <v>23578</v>
      </c>
      <c r="R5079">
        <v>15</v>
      </c>
      <c r="S5079">
        <v>16</v>
      </c>
    </row>
    <row r="5080" spans="1:19" x14ac:dyDescent="0.35">
      <c r="A5080">
        <v>9945</v>
      </c>
      <c r="B5080" t="s">
        <v>22927</v>
      </c>
      <c r="C5080" t="s">
        <v>42</v>
      </c>
      <c r="D5080" t="s">
        <v>22928</v>
      </c>
      <c r="E5080" t="e" cm="1">
        <f t="array" ref="E5080">- CLOPIDOGREL BISULFATE</f>
        <v>#NAME?</v>
      </c>
      <c r="F5080" t="s">
        <v>22929</v>
      </c>
      <c r="G5080" t="s">
        <v>60</v>
      </c>
      <c r="H5080" t="s">
        <v>22930</v>
      </c>
      <c r="I5080" t="s">
        <v>22931</v>
      </c>
      <c r="J5080" t="s">
        <v>599</v>
      </c>
      <c r="K5080" t="s">
        <v>2726</v>
      </c>
      <c r="L5080" t="s">
        <v>22932</v>
      </c>
      <c r="M5080" t="s">
        <v>46</v>
      </c>
      <c r="N5080" t="s">
        <v>2490</v>
      </c>
      <c r="O5080" t="s">
        <v>22934</v>
      </c>
      <c r="P5080" t="s">
        <v>22935</v>
      </c>
      <c r="Q5080" t="s">
        <v>23666</v>
      </c>
      <c r="R5080">
        <v>15</v>
      </c>
      <c r="S5080">
        <v>16</v>
      </c>
    </row>
    <row r="5081" spans="1:19" x14ac:dyDescent="0.35">
      <c r="A5081">
        <v>1848</v>
      </c>
      <c r="B5081" t="s">
        <v>6668</v>
      </c>
      <c r="C5081" t="s">
        <v>42</v>
      </c>
      <c r="D5081" t="s">
        <v>6669</v>
      </c>
      <c r="E5081" t="e" cm="1">
        <f t="array" ref="E5081">- PARACETAMOL. AMMONIUM CHLORIDE. CHLORPHENAMINE MALEATE. PSEUDOEPHEDRINE HYDROCHLORIDE. SUCCUS LIQUIRITIAE</f>
        <v>#NAME?</v>
      </c>
      <c r="F5081" t="s">
        <v>770</v>
      </c>
      <c r="G5081" t="s">
        <v>2241</v>
      </c>
      <c r="H5081" t="s">
        <v>6670</v>
      </c>
      <c r="I5081" t="s">
        <v>4974</v>
      </c>
      <c r="J5081" t="s">
        <v>852</v>
      </c>
      <c r="K5081" t="s">
        <v>6671</v>
      </c>
      <c r="L5081" t="s">
        <v>6672</v>
      </c>
      <c r="M5081" t="s">
        <v>271</v>
      </c>
      <c r="N5081" t="s">
        <v>23667</v>
      </c>
      <c r="O5081" t="s">
        <v>4977</v>
      </c>
      <c r="P5081" t="s">
        <v>6673</v>
      </c>
      <c r="Q5081" t="s">
        <v>23668</v>
      </c>
      <c r="R5081">
        <v>15</v>
      </c>
      <c r="S5081">
        <v>16</v>
      </c>
    </row>
    <row r="5082" spans="1:19" x14ac:dyDescent="0.35">
      <c r="A5082">
        <v>6966</v>
      </c>
      <c r="B5082" t="s">
        <v>1803</v>
      </c>
      <c r="C5082" t="s">
        <v>42</v>
      </c>
      <c r="D5082" t="s">
        <v>23669</v>
      </c>
      <c r="E5082" t="e" cm="1">
        <f t="array" ref="E5082">- TIZANIDINE HYDROCHLORIDE</f>
        <v>#NAME?</v>
      </c>
      <c r="F5082" t="s">
        <v>23670</v>
      </c>
      <c r="I5082" t="s">
        <v>23671</v>
      </c>
      <c r="J5082" t="s">
        <v>23672</v>
      </c>
      <c r="M5082" t="s">
        <v>46</v>
      </c>
      <c r="N5082" t="s">
        <v>1806</v>
      </c>
      <c r="O5082" t="s">
        <v>23673</v>
      </c>
      <c r="P5082" t="s">
        <v>23674</v>
      </c>
      <c r="Q5082" t="s">
        <v>23675</v>
      </c>
      <c r="R5082">
        <v>15</v>
      </c>
      <c r="S5082">
        <v>16</v>
      </c>
    </row>
    <row r="5083" spans="1:19" x14ac:dyDescent="0.35">
      <c r="A5083">
        <v>5848</v>
      </c>
      <c r="B5083" t="s">
        <v>23676</v>
      </c>
      <c r="C5083" t="s">
        <v>42</v>
      </c>
      <c r="D5083" t="s">
        <v>23677</v>
      </c>
      <c r="E5083" t="e" cm="1">
        <f t="array" ref="E5083">- ROXITHROMYCIN</f>
        <v>#NAME?</v>
      </c>
      <c r="F5083" t="s">
        <v>23678</v>
      </c>
      <c r="G5083" t="s">
        <v>737</v>
      </c>
      <c r="H5083" t="s">
        <v>23679</v>
      </c>
      <c r="I5083" t="s">
        <v>23680</v>
      </c>
      <c r="J5083" t="s">
        <v>14046</v>
      </c>
      <c r="K5083" t="s">
        <v>23681</v>
      </c>
      <c r="L5083" t="s">
        <v>23682</v>
      </c>
    </row>
    <row r="5084" spans="1:19" x14ac:dyDescent="0.35">
      <c r="A5084">
        <v>5849</v>
      </c>
      <c r="B5084" t="s">
        <v>23676</v>
      </c>
      <c r="C5084" t="s">
        <v>42</v>
      </c>
      <c r="D5084" t="s">
        <v>23677</v>
      </c>
      <c r="E5084" t="e" cm="1">
        <f t="array" ref="E5084">- ROXITHROMYCIN</f>
        <v>#NAME?</v>
      </c>
      <c r="F5084" t="s">
        <v>23678</v>
      </c>
      <c r="G5084" t="s">
        <v>737</v>
      </c>
      <c r="H5084" t="s">
        <v>23679</v>
      </c>
      <c r="I5084" t="s">
        <v>23680</v>
      </c>
      <c r="J5084" t="s">
        <v>14046</v>
      </c>
      <c r="K5084" t="s">
        <v>23681</v>
      </c>
      <c r="L5084" t="s">
        <v>23682</v>
      </c>
    </row>
    <row r="5085" spans="1:19" x14ac:dyDescent="0.35">
      <c r="A5085">
        <v>5850</v>
      </c>
      <c r="B5085" t="s">
        <v>23683</v>
      </c>
      <c r="C5085" t="s">
        <v>42</v>
      </c>
      <c r="D5085" t="s">
        <v>23684</v>
      </c>
      <c r="E5085" t="e" cm="1">
        <f t="array" ref="E5085">- CEFADROXIL MONOHYDRATE</f>
        <v>#NAME?</v>
      </c>
      <c r="F5085" t="s">
        <v>23685</v>
      </c>
      <c r="G5085" t="s">
        <v>2241</v>
      </c>
      <c r="H5085" t="s">
        <v>21352</v>
      </c>
      <c r="I5085" t="s">
        <v>21353</v>
      </c>
      <c r="J5085" t="s">
        <v>21029</v>
      </c>
      <c r="K5085" t="s">
        <v>21355</v>
      </c>
      <c r="L5085" t="s">
        <v>21356</v>
      </c>
      <c r="M5085" t="s">
        <v>38</v>
      </c>
      <c r="N5085" t="s">
        <v>1777</v>
      </c>
      <c r="O5085" t="s">
        <v>21358</v>
      </c>
      <c r="P5085" t="s">
        <v>23686</v>
      </c>
      <c r="Q5085" t="s">
        <v>23687</v>
      </c>
      <c r="R5085">
        <v>15</v>
      </c>
      <c r="S5085">
        <v>16</v>
      </c>
    </row>
    <row r="5086" spans="1:19" x14ac:dyDescent="0.35">
      <c r="A5086">
        <v>5851</v>
      </c>
      <c r="B5086" t="s">
        <v>23688</v>
      </c>
      <c r="C5086" t="s">
        <v>42</v>
      </c>
      <c r="D5086" t="s">
        <v>23689</v>
      </c>
      <c r="E5086" t="e" cm="1">
        <f t="array" ref="E5086">- CEFADROXIL MONOHYDRATE</f>
        <v>#NAME?</v>
      </c>
      <c r="F5086" t="s">
        <v>23690</v>
      </c>
      <c r="G5086" t="s">
        <v>2241</v>
      </c>
      <c r="H5086" t="s">
        <v>21352</v>
      </c>
      <c r="I5086" t="s">
        <v>21353</v>
      </c>
      <c r="J5086" t="s">
        <v>334</v>
      </c>
      <c r="K5086" t="s">
        <v>21355</v>
      </c>
      <c r="L5086" t="s">
        <v>21356</v>
      </c>
      <c r="M5086" t="s">
        <v>340</v>
      </c>
      <c r="N5086" t="s">
        <v>1777</v>
      </c>
      <c r="O5086" t="s">
        <v>21358</v>
      </c>
      <c r="P5086" t="s">
        <v>23686</v>
      </c>
      <c r="Q5086" t="s">
        <v>23691</v>
      </c>
      <c r="R5086">
        <v>15</v>
      </c>
      <c r="S5086">
        <v>16</v>
      </c>
    </row>
    <row r="5087" spans="1:19" x14ac:dyDescent="0.35">
      <c r="A5087">
        <v>5852</v>
      </c>
      <c r="B5087" t="s">
        <v>23688</v>
      </c>
      <c r="C5087" t="s">
        <v>42</v>
      </c>
      <c r="D5087" t="s">
        <v>23689</v>
      </c>
      <c r="E5087" t="e" cm="1">
        <f t="array" ref="E5087">- CEFADROXIL MONOHYDRATE</f>
        <v>#NAME?</v>
      </c>
      <c r="F5087" t="s">
        <v>23690</v>
      </c>
      <c r="G5087" t="s">
        <v>2241</v>
      </c>
      <c r="H5087" t="s">
        <v>21352</v>
      </c>
      <c r="I5087" t="s">
        <v>21353</v>
      </c>
      <c r="J5087" t="s">
        <v>334</v>
      </c>
      <c r="K5087" t="s">
        <v>21355</v>
      </c>
      <c r="L5087" t="s">
        <v>21356</v>
      </c>
      <c r="M5087" t="s">
        <v>340</v>
      </c>
      <c r="N5087" t="s">
        <v>1777</v>
      </c>
      <c r="O5087" t="s">
        <v>21358</v>
      </c>
      <c r="P5087" t="s">
        <v>23686</v>
      </c>
      <c r="Q5087" t="s">
        <v>23691</v>
      </c>
      <c r="R5087">
        <v>15</v>
      </c>
      <c r="S5087">
        <v>16</v>
      </c>
    </row>
    <row r="5088" spans="1:19" x14ac:dyDescent="0.35">
      <c r="A5088">
        <v>1629</v>
      </c>
      <c r="B5088" t="s">
        <v>3034</v>
      </c>
      <c r="C5088" t="s">
        <v>42</v>
      </c>
      <c r="D5088" t="s">
        <v>20036</v>
      </c>
      <c r="E5088" t="e" cm="1">
        <f t="array" ref="E5088">- DEXTROMETHORPHAN HYDROBROMIDE. DIPHENHYDRAMINE HYDROCHLORIDE</f>
        <v>#NAME?</v>
      </c>
      <c r="F5088" t="s">
        <v>20037</v>
      </c>
      <c r="G5088" t="s">
        <v>2241</v>
      </c>
      <c r="H5088" t="s">
        <v>20038</v>
      </c>
      <c r="I5088" t="s">
        <v>20039</v>
      </c>
      <c r="J5088" t="s">
        <v>374</v>
      </c>
      <c r="K5088" t="s">
        <v>15926</v>
      </c>
      <c r="L5088" t="s">
        <v>15927</v>
      </c>
      <c r="M5088" t="s">
        <v>271</v>
      </c>
      <c r="N5088" t="s">
        <v>5000</v>
      </c>
      <c r="O5088" t="s">
        <v>18930</v>
      </c>
      <c r="P5088" t="s">
        <v>3038</v>
      </c>
      <c r="Q5088" t="s">
        <v>23692</v>
      </c>
      <c r="R5088">
        <v>15</v>
      </c>
      <c r="S5088">
        <v>16</v>
      </c>
    </row>
    <row r="5089" spans="1:19" x14ac:dyDescent="0.35">
      <c r="A5089">
        <v>2271</v>
      </c>
      <c r="B5089" t="s">
        <v>23693</v>
      </c>
      <c r="C5089" t="s">
        <v>42</v>
      </c>
      <c r="D5089" t="s">
        <v>23694</v>
      </c>
      <c r="E5089" t="e" cm="1">
        <f t="array" ref="E5089">- MEFENAMIC ACID</f>
        <v>#NAME?</v>
      </c>
      <c r="F5089" t="s">
        <v>23695</v>
      </c>
      <c r="G5089" t="s">
        <v>4545</v>
      </c>
      <c r="H5089" t="s">
        <v>23696</v>
      </c>
      <c r="I5089" t="s">
        <v>23697</v>
      </c>
      <c r="J5089" t="s">
        <v>23698</v>
      </c>
      <c r="K5089" t="s">
        <v>23699</v>
      </c>
      <c r="L5089" t="s">
        <v>23700</v>
      </c>
      <c r="M5089" t="s">
        <v>291</v>
      </c>
      <c r="N5089" t="s">
        <v>2235</v>
      </c>
      <c r="O5089" t="s">
        <v>23701</v>
      </c>
      <c r="P5089" t="s">
        <v>23702</v>
      </c>
      <c r="Q5089" t="s">
        <v>23703</v>
      </c>
      <c r="R5089">
        <v>15</v>
      </c>
      <c r="S5089">
        <v>16</v>
      </c>
    </row>
    <row r="5090" spans="1:19" x14ac:dyDescent="0.35">
      <c r="A5090">
        <v>6945</v>
      </c>
      <c r="B5090" t="s">
        <v>1803</v>
      </c>
      <c r="C5090" t="s">
        <v>42</v>
      </c>
      <c r="D5090" t="s">
        <v>23704</v>
      </c>
      <c r="E5090" t="e" cm="1">
        <f t="array" ref="E5090">- TIZANIDINE HYDROCHLORIDE</f>
        <v>#NAME?</v>
      </c>
      <c r="F5090" t="s">
        <v>23705</v>
      </c>
      <c r="G5090" t="s">
        <v>23706</v>
      </c>
      <c r="I5090" t="s">
        <v>23707</v>
      </c>
      <c r="J5090" t="s">
        <v>9689</v>
      </c>
      <c r="M5090" t="s">
        <v>46</v>
      </c>
      <c r="N5090" t="s">
        <v>1806</v>
      </c>
      <c r="O5090" t="s">
        <v>23708</v>
      </c>
      <c r="P5090" t="s">
        <v>23709</v>
      </c>
      <c r="Q5090" t="s">
        <v>23710</v>
      </c>
      <c r="R5090">
        <v>15</v>
      </c>
      <c r="S5090">
        <v>16</v>
      </c>
    </row>
    <row r="5091" spans="1:19" x14ac:dyDescent="0.35">
      <c r="A5091">
        <v>2262</v>
      </c>
      <c r="B5091" t="s">
        <v>23711</v>
      </c>
      <c r="C5091" t="s">
        <v>42</v>
      </c>
      <c r="D5091" t="s">
        <v>23712</v>
      </c>
      <c r="E5091" t="e" cm="1">
        <f t="array" ref="E5091">- IBUPROFEN</f>
        <v>#NAME?</v>
      </c>
      <c r="F5091" t="s">
        <v>23713</v>
      </c>
      <c r="G5091" t="s">
        <v>2241</v>
      </c>
      <c r="H5091" t="s">
        <v>23714</v>
      </c>
      <c r="I5091" t="s">
        <v>23715</v>
      </c>
      <c r="J5091" t="s">
        <v>810</v>
      </c>
      <c r="K5091" t="s">
        <v>23716</v>
      </c>
      <c r="L5091" t="s">
        <v>23717</v>
      </c>
      <c r="M5091" t="s">
        <v>38</v>
      </c>
      <c r="N5091" t="s">
        <v>383</v>
      </c>
      <c r="O5091" t="s">
        <v>23718</v>
      </c>
      <c r="P5091" t="s">
        <v>23719</v>
      </c>
      <c r="Q5091" t="s">
        <v>23720</v>
      </c>
      <c r="R5091">
        <v>15</v>
      </c>
      <c r="S5091">
        <v>16</v>
      </c>
    </row>
    <row r="5092" spans="1:19" x14ac:dyDescent="0.35">
      <c r="A5092">
        <v>5871</v>
      </c>
      <c r="B5092" t="s">
        <v>23721</v>
      </c>
      <c r="C5092" t="s">
        <v>42</v>
      </c>
      <c r="D5092" t="s">
        <v>23722</v>
      </c>
      <c r="E5092" t="e" cm="1">
        <f t="array" ref="E5092">- SULFAMETHOXAZOLE</f>
        <v>#NAME?</v>
      </c>
      <c r="F5092" t="s">
        <v>11357</v>
      </c>
      <c r="G5092" t="s">
        <v>6135</v>
      </c>
      <c r="H5092" t="s">
        <v>23723</v>
      </c>
      <c r="I5092" t="s">
        <v>23724</v>
      </c>
      <c r="J5092" t="s">
        <v>6679</v>
      </c>
      <c r="L5092" t="s">
        <v>270</v>
      </c>
      <c r="M5092" t="s">
        <v>340</v>
      </c>
      <c r="N5092" t="s">
        <v>478</v>
      </c>
      <c r="O5092" t="s">
        <v>23725</v>
      </c>
      <c r="P5092" t="s">
        <v>23726</v>
      </c>
      <c r="Q5092" t="s">
        <v>23727</v>
      </c>
      <c r="R5092">
        <v>15</v>
      </c>
      <c r="S5092">
        <v>16</v>
      </c>
    </row>
    <row r="5093" spans="1:19" x14ac:dyDescent="0.35">
      <c r="A5093">
        <v>2261</v>
      </c>
      <c r="B5093" t="s">
        <v>23711</v>
      </c>
      <c r="C5093" t="s">
        <v>42</v>
      </c>
      <c r="D5093" t="s">
        <v>23712</v>
      </c>
      <c r="E5093" t="e" cm="1">
        <f t="array" ref="E5093">- IBUPROFEN</f>
        <v>#NAME?</v>
      </c>
      <c r="F5093" t="s">
        <v>23713</v>
      </c>
      <c r="G5093" t="s">
        <v>2241</v>
      </c>
      <c r="H5093" t="s">
        <v>23714</v>
      </c>
      <c r="I5093" t="s">
        <v>23715</v>
      </c>
      <c r="J5093" t="s">
        <v>810</v>
      </c>
      <c r="K5093" t="s">
        <v>23716</v>
      </c>
      <c r="L5093" t="s">
        <v>23717</v>
      </c>
      <c r="M5093" t="s">
        <v>38</v>
      </c>
      <c r="N5093" t="s">
        <v>383</v>
      </c>
      <c r="O5093" t="s">
        <v>23718</v>
      </c>
      <c r="P5093" t="s">
        <v>23719</v>
      </c>
      <c r="Q5093" t="s">
        <v>23720</v>
      </c>
      <c r="R5093">
        <v>15</v>
      </c>
      <c r="S5093">
        <v>16</v>
      </c>
    </row>
    <row r="5094" spans="1:19" x14ac:dyDescent="0.35">
      <c r="A5094">
        <v>5881</v>
      </c>
      <c r="B5094" t="s">
        <v>23728</v>
      </c>
      <c r="C5094" t="s">
        <v>42</v>
      </c>
      <c r="D5094" t="s">
        <v>23729</v>
      </c>
      <c r="E5094" t="e" cm="1">
        <f t="array" ref="E5094">- CEFADROXIL MONOHYDRATE</f>
        <v>#NAME?</v>
      </c>
      <c r="F5094" t="s">
        <v>23730</v>
      </c>
      <c r="G5094" t="s">
        <v>2241</v>
      </c>
      <c r="H5094" t="s">
        <v>21352</v>
      </c>
      <c r="I5094" t="s">
        <v>21353</v>
      </c>
      <c r="J5094" t="s">
        <v>334</v>
      </c>
      <c r="K5094" t="s">
        <v>21355</v>
      </c>
      <c r="L5094" t="s">
        <v>21356</v>
      </c>
      <c r="M5094" t="s">
        <v>271</v>
      </c>
      <c r="N5094" t="s">
        <v>1777</v>
      </c>
      <c r="O5094" t="s">
        <v>21358</v>
      </c>
      <c r="P5094" t="s">
        <v>23731</v>
      </c>
      <c r="Q5094" t="s">
        <v>23732</v>
      </c>
      <c r="R5094">
        <v>15</v>
      </c>
      <c r="S5094">
        <v>16</v>
      </c>
    </row>
    <row r="5095" spans="1:19" x14ac:dyDescent="0.35">
      <c r="A5095">
        <v>5882</v>
      </c>
      <c r="B5095" t="s">
        <v>23728</v>
      </c>
      <c r="C5095" t="s">
        <v>42</v>
      </c>
      <c r="D5095" t="s">
        <v>23729</v>
      </c>
      <c r="E5095" t="e" cm="1">
        <f t="array" ref="E5095">- CEFADROXIL MONOHYDRATE</f>
        <v>#NAME?</v>
      </c>
      <c r="F5095" t="s">
        <v>23730</v>
      </c>
      <c r="G5095" t="s">
        <v>2241</v>
      </c>
      <c r="H5095" t="s">
        <v>21352</v>
      </c>
      <c r="I5095" t="s">
        <v>21353</v>
      </c>
      <c r="J5095" t="s">
        <v>334</v>
      </c>
      <c r="K5095" t="s">
        <v>21355</v>
      </c>
      <c r="L5095" t="s">
        <v>21356</v>
      </c>
      <c r="M5095" t="s">
        <v>271</v>
      </c>
      <c r="N5095" t="s">
        <v>1777</v>
      </c>
      <c r="O5095" t="s">
        <v>21358</v>
      </c>
      <c r="P5095" t="s">
        <v>23731</v>
      </c>
      <c r="Q5095" t="s">
        <v>23732</v>
      </c>
      <c r="R5095">
        <v>15</v>
      </c>
      <c r="S5095">
        <v>16</v>
      </c>
    </row>
    <row r="5096" spans="1:19" x14ac:dyDescent="0.35">
      <c r="A5096">
        <v>805</v>
      </c>
      <c r="B5096" t="s">
        <v>23733</v>
      </c>
      <c r="C5096" t="s">
        <v>42</v>
      </c>
      <c r="D5096" t="s">
        <v>23734</v>
      </c>
      <c r="E5096" t="e" cm="1">
        <f t="array" ref="E5096">- CHLORPHENAMINE MALEATE</f>
        <v>#NAME?</v>
      </c>
      <c r="F5096" t="s">
        <v>23735</v>
      </c>
      <c r="G5096" t="s">
        <v>2617</v>
      </c>
      <c r="H5096" t="s">
        <v>23736</v>
      </c>
      <c r="I5096" t="s">
        <v>23737</v>
      </c>
      <c r="J5096" t="s">
        <v>23738</v>
      </c>
      <c r="K5096" t="s">
        <v>23739</v>
      </c>
      <c r="L5096" t="s">
        <v>23740</v>
      </c>
      <c r="M5096" t="s">
        <v>46</v>
      </c>
      <c r="N5096" t="s">
        <v>1354</v>
      </c>
      <c r="O5096" t="s">
        <v>23741</v>
      </c>
      <c r="P5096" t="s">
        <v>23742</v>
      </c>
      <c r="Q5096" t="s">
        <v>23743</v>
      </c>
      <c r="R5096">
        <v>15</v>
      </c>
      <c r="S5096">
        <v>16</v>
      </c>
    </row>
    <row r="5097" spans="1:19" x14ac:dyDescent="0.35">
      <c r="A5097">
        <v>7423</v>
      </c>
      <c r="B5097" t="s">
        <v>15416</v>
      </c>
      <c r="C5097" t="s">
        <v>42</v>
      </c>
      <c r="D5097" t="s">
        <v>15417</v>
      </c>
      <c r="E5097" t="e" cm="1">
        <f t="array" ref="E5097">- PYRIDOXINE HYDROCHLORIDE. THIAMINE MONONITRATE. CYANOCOBALAMIN</f>
        <v>#NAME?</v>
      </c>
      <c r="F5097" t="s">
        <v>15418</v>
      </c>
      <c r="G5097" t="s">
        <v>2241</v>
      </c>
      <c r="H5097" t="s">
        <v>9899</v>
      </c>
      <c r="I5097" t="s">
        <v>15419</v>
      </c>
      <c r="J5097" t="s">
        <v>2978</v>
      </c>
      <c r="L5097" t="s">
        <v>15420</v>
      </c>
      <c r="M5097" t="s">
        <v>46</v>
      </c>
      <c r="N5097" t="s">
        <v>23250</v>
      </c>
      <c r="O5097" t="s">
        <v>15421</v>
      </c>
      <c r="P5097" t="s">
        <v>15422</v>
      </c>
      <c r="Q5097" t="s">
        <v>23251</v>
      </c>
      <c r="R5097">
        <v>15</v>
      </c>
      <c r="S5097">
        <v>16</v>
      </c>
    </row>
    <row r="5098" spans="1:19" x14ac:dyDescent="0.35">
      <c r="A5098">
        <v>6894</v>
      </c>
      <c r="B5098" t="s">
        <v>23744</v>
      </c>
      <c r="C5098" t="s">
        <v>42</v>
      </c>
      <c r="D5098" t="s">
        <v>23745</v>
      </c>
      <c r="E5098" t="e" cm="1">
        <f t="array" ref="E5098">- IBUPROFEN</f>
        <v>#NAME?</v>
      </c>
      <c r="F5098" t="s">
        <v>23746</v>
      </c>
      <c r="H5098" t="s">
        <v>9172</v>
      </c>
      <c r="I5098" t="s">
        <v>23747</v>
      </c>
      <c r="J5098" t="s">
        <v>23748</v>
      </c>
      <c r="M5098" t="s">
        <v>87</v>
      </c>
      <c r="N5098" t="s">
        <v>383</v>
      </c>
      <c r="O5098" t="s">
        <v>23749</v>
      </c>
      <c r="P5098" t="s">
        <v>23750</v>
      </c>
      <c r="Q5098" t="s">
        <v>23751</v>
      </c>
      <c r="R5098">
        <v>15</v>
      </c>
      <c r="S5098">
        <v>16</v>
      </c>
    </row>
    <row r="5099" spans="1:19" x14ac:dyDescent="0.35">
      <c r="A5099">
        <v>5918</v>
      </c>
      <c r="B5099" t="s">
        <v>23752</v>
      </c>
      <c r="C5099" t="s">
        <v>42</v>
      </c>
      <c r="D5099" t="s">
        <v>23753</v>
      </c>
      <c r="E5099" t="e" cm="1">
        <f t="array" ref="E5099">- CEFADROXIL MONOHYDRATE</f>
        <v>#NAME?</v>
      </c>
      <c r="F5099" s="1">
        <v>76700</v>
      </c>
      <c r="G5099" t="s">
        <v>2241</v>
      </c>
      <c r="H5099" t="s">
        <v>21352</v>
      </c>
      <c r="I5099" t="s">
        <v>21353</v>
      </c>
      <c r="J5099" t="s">
        <v>810</v>
      </c>
      <c r="K5099" t="s">
        <v>21355</v>
      </c>
      <c r="L5099" t="s">
        <v>21356</v>
      </c>
      <c r="M5099" t="s">
        <v>38</v>
      </c>
      <c r="N5099" t="s">
        <v>1777</v>
      </c>
      <c r="O5099" t="s">
        <v>21358</v>
      </c>
      <c r="P5099" t="s">
        <v>23754</v>
      </c>
      <c r="Q5099" t="s">
        <v>23755</v>
      </c>
      <c r="R5099">
        <v>15</v>
      </c>
      <c r="S5099">
        <v>16</v>
      </c>
    </row>
    <row r="5100" spans="1:19" x14ac:dyDescent="0.35">
      <c r="A5100">
        <v>5919</v>
      </c>
      <c r="B5100" t="s">
        <v>23752</v>
      </c>
      <c r="C5100" t="s">
        <v>42</v>
      </c>
      <c r="D5100" t="s">
        <v>23753</v>
      </c>
      <c r="E5100" t="e" cm="1">
        <f t="array" ref="E5100">- CEFADROXIL MONOHYDRATE</f>
        <v>#NAME?</v>
      </c>
      <c r="F5100" s="1">
        <v>76700</v>
      </c>
      <c r="G5100" t="s">
        <v>2241</v>
      </c>
      <c r="H5100" t="s">
        <v>21352</v>
      </c>
      <c r="I5100" t="s">
        <v>21353</v>
      </c>
      <c r="J5100" t="s">
        <v>810</v>
      </c>
      <c r="K5100" t="s">
        <v>21355</v>
      </c>
      <c r="L5100" t="s">
        <v>21356</v>
      </c>
      <c r="M5100" t="s">
        <v>38</v>
      </c>
      <c r="N5100" t="s">
        <v>1777</v>
      </c>
      <c r="O5100" t="s">
        <v>21358</v>
      </c>
      <c r="P5100" t="s">
        <v>23754</v>
      </c>
      <c r="Q5100" t="s">
        <v>23755</v>
      </c>
      <c r="R5100">
        <v>15</v>
      </c>
      <c r="S5100">
        <v>16</v>
      </c>
    </row>
    <row r="5101" spans="1:19" x14ac:dyDescent="0.35">
      <c r="A5101">
        <v>9655</v>
      </c>
      <c r="B5101" t="s">
        <v>23756</v>
      </c>
      <c r="C5101" t="s">
        <v>42</v>
      </c>
      <c r="D5101" t="s">
        <v>23757</v>
      </c>
      <c r="E5101" t="e" cm="1">
        <f t="array" ref="E5101">- NIFEDIPINE</f>
        <v>#NAME?</v>
      </c>
      <c r="F5101" t="s">
        <v>23758</v>
      </c>
      <c r="G5101" t="s">
        <v>23759</v>
      </c>
      <c r="H5101" t="s">
        <v>23760</v>
      </c>
      <c r="I5101" t="s">
        <v>23761</v>
      </c>
      <c r="J5101" t="s">
        <v>7479</v>
      </c>
      <c r="K5101" t="s">
        <v>23762</v>
      </c>
      <c r="L5101" t="s">
        <v>23763</v>
      </c>
      <c r="M5101" t="s">
        <v>46</v>
      </c>
      <c r="N5101" t="s">
        <v>22000</v>
      </c>
      <c r="O5101" t="s">
        <v>23764</v>
      </c>
      <c r="P5101" t="s">
        <v>23765</v>
      </c>
      <c r="Q5101" t="s">
        <v>23766</v>
      </c>
      <c r="R5101">
        <v>15</v>
      </c>
      <c r="S5101">
        <v>16</v>
      </c>
    </row>
    <row r="5102" spans="1:19" x14ac:dyDescent="0.35">
      <c r="A5102">
        <v>9656</v>
      </c>
      <c r="B5102" t="s">
        <v>23756</v>
      </c>
      <c r="C5102" t="s">
        <v>42</v>
      </c>
      <c r="D5102" t="s">
        <v>23757</v>
      </c>
      <c r="E5102" t="e" cm="1">
        <f t="array" ref="E5102">- NIFEDIPINE</f>
        <v>#NAME?</v>
      </c>
      <c r="F5102" t="s">
        <v>23758</v>
      </c>
      <c r="G5102" t="s">
        <v>23759</v>
      </c>
      <c r="H5102" t="s">
        <v>23760</v>
      </c>
      <c r="I5102" t="s">
        <v>23761</v>
      </c>
      <c r="J5102" t="s">
        <v>7479</v>
      </c>
      <c r="K5102" t="s">
        <v>23762</v>
      </c>
      <c r="L5102" t="s">
        <v>23763</v>
      </c>
      <c r="M5102" t="s">
        <v>46</v>
      </c>
      <c r="N5102" t="s">
        <v>22000</v>
      </c>
      <c r="O5102" t="s">
        <v>23764</v>
      </c>
      <c r="P5102" t="s">
        <v>23765</v>
      </c>
      <c r="Q5102" t="s">
        <v>23766</v>
      </c>
      <c r="R5102">
        <v>15</v>
      </c>
      <c r="S5102">
        <v>16</v>
      </c>
    </row>
    <row r="5103" spans="1:19" x14ac:dyDescent="0.35">
      <c r="A5103">
        <v>6226</v>
      </c>
      <c r="B5103" t="s">
        <v>23767</v>
      </c>
      <c r="C5103" t="s">
        <v>42</v>
      </c>
      <c r="D5103" t="s">
        <v>23768</v>
      </c>
      <c r="E5103" t="e" cm="1">
        <f t="array" ref="E5103">- NIFUROXAZIDE</f>
        <v>#NAME?</v>
      </c>
      <c r="F5103" t="s">
        <v>23512</v>
      </c>
      <c r="G5103" t="s">
        <v>60</v>
      </c>
      <c r="H5103" t="s">
        <v>23769</v>
      </c>
      <c r="I5103" t="s">
        <v>23770</v>
      </c>
      <c r="J5103" t="s">
        <v>334</v>
      </c>
      <c r="K5103" t="s">
        <v>3473</v>
      </c>
      <c r="L5103" t="s">
        <v>23771</v>
      </c>
      <c r="M5103" t="s">
        <v>340</v>
      </c>
      <c r="N5103" t="s">
        <v>1208</v>
      </c>
      <c r="O5103" t="s">
        <v>23772</v>
      </c>
      <c r="P5103" t="s">
        <v>23773</v>
      </c>
      <c r="Q5103" t="s">
        <v>23774</v>
      </c>
      <c r="R5103">
        <v>15</v>
      </c>
      <c r="S5103">
        <v>16</v>
      </c>
    </row>
    <row r="5104" spans="1:19" x14ac:dyDescent="0.35">
      <c r="A5104">
        <v>733</v>
      </c>
      <c r="B5104" t="s">
        <v>23775</v>
      </c>
      <c r="C5104" t="s">
        <v>850</v>
      </c>
      <c r="D5104" t="s">
        <v>23776</v>
      </c>
      <c r="E5104" t="e" cm="1">
        <f t="array" ref="E5104">- Cajuput Oil</f>
        <v>#NAME?</v>
      </c>
      <c r="F5104" t="s">
        <v>23777</v>
      </c>
      <c r="G5104" t="s">
        <v>23778</v>
      </c>
      <c r="H5104" t="s">
        <v>23779</v>
      </c>
      <c r="I5104" t="s">
        <v>23780</v>
      </c>
      <c r="J5104" t="s">
        <v>22959</v>
      </c>
      <c r="M5104" t="s">
        <v>2115</v>
      </c>
      <c r="N5104" t="s">
        <v>3752</v>
      </c>
      <c r="O5104" t="s">
        <v>23781</v>
      </c>
      <c r="P5104" t="s">
        <v>23782</v>
      </c>
      <c r="Q5104" t="s">
        <v>23783</v>
      </c>
      <c r="R5104">
        <v>15</v>
      </c>
      <c r="S5104">
        <v>16</v>
      </c>
    </row>
    <row r="5105" spans="1:19" x14ac:dyDescent="0.35">
      <c r="A5105">
        <v>6008</v>
      </c>
      <c r="B5105" t="s">
        <v>23784</v>
      </c>
      <c r="C5105" t="s">
        <v>42</v>
      </c>
      <c r="D5105" t="s">
        <v>23785</v>
      </c>
      <c r="E5105" t="e" cm="1">
        <f t="array" ref="E5105">- CEFADROXIL MONOHYDRATE</f>
        <v>#NAME?</v>
      </c>
      <c r="F5105" s="1">
        <v>111100</v>
      </c>
      <c r="G5105" t="s">
        <v>2241</v>
      </c>
      <c r="H5105" t="s">
        <v>21352</v>
      </c>
      <c r="I5105" t="s">
        <v>21353</v>
      </c>
      <c r="J5105" t="s">
        <v>6069</v>
      </c>
      <c r="K5105" t="s">
        <v>21355</v>
      </c>
      <c r="L5105" t="s">
        <v>21356</v>
      </c>
      <c r="M5105" t="s">
        <v>38</v>
      </c>
      <c r="N5105" t="s">
        <v>1777</v>
      </c>
      <c r="O5105" t="s">
        <v>21358</v>
      </c>
      <c r="P5105" t="s">
        <v>23786</v>
      </c>
      <c r="Q5105" t="s">
        <v>23787</v>
      </c>
      <c r="R5105">
        <v>15</v>
      </c>
      <c r="S5105">
        <v>16</v>
      </c>
    </row>
    <row r="5106" spans="1:19" x14ac:dyDescent="0.35">
      <c r="A5106">
        <v>2086</v>
      </c>
      <c r="B5106" t="s">
        <v>23788</v>
      </c>
      <c r="C5106" t="s">
        <v>42</v>
      </c>
      <c r="D5106" t="s">
        <v>23789</v>
      </c>
      <c r="E5106" t="e" cm="1">
        <f t="array" ref="E5106">- PARACETAMOL</f>
        <v>#NAME?</v>
      </c>
      <c r="F5106" t="s">
        <v>23790</v>
      </c>
      <c r="G5106" t="s">
        <v>6869</v>
      </c>
      <c r="H5106" t="s">
        <v>23791</v>
      </c>
      <c r="I5106" t="s">
        <v>23792</v>
      </c>
      <c r="J5106" t="s">
        <v>1081</v>
      </c>
      <c r="K5106" t="s">
        <v>23793</v>
      </c>
      <c r="L5106" t="s">
        <v>16925</v>
      </c>
      <c r="M5106" t="s">
        <v>291</v>
      </c>
      <c r="N5106" t="s">
        <v>584</v>
      </c>
      <c r="O5106" t="s">
        <v>23794</v>
      </c>
      <c r="P5106" t="s">
        <v>23795</v>
      </c>
      <c r="Q5106" t="s">
        <v>23796</v>
      </c>
      <c r="R5106">
        <v>15</v>
      </c>
      <c r="S5106">
        <v>16</v>
      </c>
    </row>
    <row r="5107" spans="1:19" x14ac:dyDescent="0.35">
      <c r="A5107">
        <v>2085</v>
      </c>
      <c r="B5107" t="s">
        <v>23788</v>
      </c>
      <c r="C5107" t="s">
        <v>42</v>
      </c>
      <c r="D5107" t="s">
        <v>23789</v>
      </c>
      <c r="E5107" t="e" cm="1">
        <f t="array" ref="E5107">- PARACETAMOL</f>
        <v>#NAME?</v>
      </c>
      <c r="F5107" t="s">
        <v>23790</v>
      </c>
      <c r="G5107" t="s">
        <v>6869</v>
      </c>
      <c r="H5107" t="s">
        <v>23791</v>
      </c>
      <c r="I5107" t="s">
        <v>23792</v>
      </c>
      <c r="J5107" t="s">
        <v>1081</v>
      </c>
      <c r="K5107" t="s">
        <v>23793</v>
      </c>
      <c r="L5107" t="s">
        <v>16925</v>
      </c>
      <c r="M5107" t="s">
        <v>291</v>
      </c>
      <c r="N5107" t="s">
        <v>584</v>
      </c>
      <c r="O5107" t="s">
        <v>23794</v>
      </c>
      <c r="P5107" t="s">
        <v>23795</v>
      </c>
      <c r="Q5107" t="s">
        <v>23796</v>
      </c>
      <c r="R5107">
        <v>15</v>
      </c>
      <c r="S5107">
        <v>16</v>
      </c>
    </row>
    <row r="5108" spans="1:19" x14ac:dyDescent="0.35">
      <c r="A5108">
        <v>6016</v>
      </c>
      <c r="B5108" t="s">
        <v>23797</v>
      </c>
      <c r="C5108" t="s">
        <v>42</v>
      </c>
      <c r="D5108" t="s">
        <v>23798</v>
      </c>
      <c r="E5108" t="e" cm="1">
        <f t="array" ref="E5108">- CEFADROXIL MONOHYDRATE</f>
        <v>#NAME?</v>
      </c>
      <c r="F5108" t="s">
        <v>23799</v>
      </c>
      <c r="G5108" t="s">
        <v>2241</v>
      </c>
      <c r="H5108" t="s">
        <v>21352</v>
      </c>
      <c r="I5108" t="s">
        <v>21353</v>
      </c>
      <c r="J5108" t="s">
        <v>23800</v>
      </c>
      <c r="K5108" t="s">
        <v>21355</v>
      </c>
      <c r="L5108" t="s">
        <v>21356</v>
      </c>
      <c r="M5108" t="s">
        <v>38</v>
      </c>
      <c r="N5108" t="s">
        <v>1777</v>
      </c>
      <c r="O5108" t="s">
        <v>21358</v>
      </c>
      <c r="P5108" t="s">
        <v>23801</v>
      </c>
      <c r="Q5108" t="s">
        <v>23802</v>
      </c>
      <c r="R5108">
        <v>15</v>
      </c>
      <c r="S5108">
        <v>16</v>
      </c>
    </row>
    <row r="5109" spans="1:19" x14ac:dyDescent="0.35">
      <c r="A5109">
        <v>2003</v>
      </c>
      <c r="B5109" t="s">
        <v>23803</v>
      </c>
      <c r="C5109" t="s">
        <v>20</v>
      </c>
      <c r="D5109" t="s">
        <v>23804</v>
      </c>
      <c r="E5109" t="s">
        <v>23805</v>
      </c>
      <c r="F5109" t="s">
        <v>23806</v>
      </c>
      <c r="H5109" t="s">
        <v>23807</v>
      </c>
      <c r="I5109" t="s">
        <v>23808</v>
      </c>
      <c r="J5109" t="s">
        <v>743</v>
      </c>
      <c r="M5109" t="s">
        <v>15516</v>
      </c>
      <c r="N5109" t="s">
        <v>23809</v>
      </c>
      <c r="O5109" t="s">
        <v>23810</v>
      </c>
      <c r="P5109" t="s">
        <v>23809</v>
      </c>
      <c r="Q5109" t="s">
        <v>23811</v>
      </c>
      <c r="R5109">
        <v>15</v>
      </c>
      <c r="S5109">
        <v>16</v>
      </c>
    </row>
    <row r="5110" spans="1:19" x14ac:dyDescent="0.35">
      <c r="A5110">
        <v>6573</v>
      </c>
      <c r="B5110" t="s">
        <v>23812</v>
      </c>
      <c r="C5110" t="s">
        <v>42</v>
      </c>
      <c r="D5110" t="s">
        <v>23813</v>
      </c>
      <c r="E5110" t="e" cm="1">
        <f t="array" ref="E5110">- FLUCONAZOLE</f>
        <v>#NAME?</v>
      </c>
      <c r="F5110" t="s">
        <v>23814</v>
      </c>
      <c r="H5110" t="s">
        <v>319</v>
      </c>
      <c r="I5110" t="s">
        <v>23815</v>
      </c>
      <c r="J5110" t="s">
        <v>23816</v>
      </c>
      <c r="L5110" t="s">
        <v>321</v>
      </c>
      <c r="M5110" t="s">
        <v>38</v>
      </c>
      <c r="N5110" t="s">
        <v>7992</v>
      </c>
      <c r="O5110" t="s">
        <v>23817</v>
      </c>
      <c r="P5110" t="s">
        <v>23818</v>
      </c>
      <c r="Q5110" t="s">
        <v>23819</v>
      </c>
      <c r="R5110">
        <v>15</v>
      </c>
      <c r="S5110">
        <v>16</v>
      </c>
    </row>
    <row r="5111" spans="1:19" x14ac:dyDescent="0.35">
      <c r="A5111">
        <v>877</v>
      </c>
      <c r="B5111" t="s">
        <v>18869</v>
      </c>
      <c r="C5111" t="s">
        <v>42</v>
      </c>
      <c r="D5111" t="s">
        <v>18870</v>
      </c>
      <c r="E5111" t="e" cm="1">
        <f t="array" ref="E5111">- CHLORPHENAMINE MALEATE. DEXTROMETHORPHAN HYDROBROMIDE</f>
        <v>#NAME?</v>
      </c>
      <c r="F5111" t="s">
        <v>18871</v>
      </c>
      <c r="G5111" t="s">
        <v>60</v>
      </c>
      <c r="H5111" t="s">
        <v>18872</v>
      </c>
      <c r="I5111" t="s">
        <v>18873</v>
      </c>
      <c r="J5111" t="s">
        <v>374</v>
      </c>
      <c r="K5111" t="s">
        <v>18874</v>
      </c>
      <c r="L5111" t="s">
        <v>18875</v>
      </c>
      <c r="M5111" t="s">
        <v>271</v>
      </c>
      <c r="N5111" t="s">
        <v>23589</v>
      </c>
      <c r="O5111" t="s">
        <v>18876</v>
      </c>
      <c r="P5111" t="s">
        <v>18877</v>
      </c>
      <c r="Q5111" t="s">
        <v>23820</v>
      </c>
      <c r="R5111">
        <v>15</v>
      </c>
      <c r="S5111">
        <v>16</v>
      </c>
    </row>
    <row r="5112" spans="1:19" x14ac:dyDescent="0.35">
      <c r="A5112">
        <v>2002</v>
      </c>
      <c r="B5112" t="s">
        <v>23803</v>
      </c>
      <c r="C5112" t="s">
        <v>20</v>
      </c>
      <c r="D5112" t="s">
        <v>23821</v>
      </c>
      <c r="E5112" t="s">
        <v>23805</v>
      </c>
      <c r="F5112" t="s">
        <v>23822</v>
      </c>
      <c r="H5112" t="s">
        <v>23807</v>
      </c>
      <c r="I5112" t="s">
        <v>23808</v>
      </c>
      <c r="J5112" t="s">
        <v>374</v>
      </c>
      <c r="M5112" t="s">
        <v>15516</v>
      </c>
      <c r="N5112" t="s">
        <v>23809</v>
      </c>
      <c r="O5112" t="s">
        <v>23810</v>
      </c>
      <c r="P5112" t="s">
        <v>23809</v>
      </c>
      <c r="Q5112" t="s">
        <v>23811</v>
      </c>
      <c r="R5112">
        <v>15</v>
      </c>
      <c r="S5112">
        <v>16</v>
      </c>
    </row>
    <row r="5113" spans="1:19" x14ac:dyDescent="0.35">
      <c r="A5113">
        <v>2001</v>
      </c>
      <c r="B5113" t="s">
        <v>23803</v>
      </c>
      <c r="C5113" t="s">
        <v>20</v>
      </c>
      <c r="D5113" t="s">
        <v>23823</v>
      </c>
      <c r="E5113" t="s">
        <v>23805</v>
      </c>
      <c r="F5113" t="s">
        <v>23824</v>
      </c>
      <c r="H5113" t="s">
        <v>23807</v>
      </c>
      <c r="I5113" t="s">
        <v>23808</v>
      </c>
      <c r="J5113" t="s">
        <v>23825</v>
      </c>
      <c r="M5113" t="s">
        <v>15516</v>
      </c>
      <c r="N5113" t="s">
        <v>23809</v>
      </c>
      <c r="O5113" t="s">
        <v>23810</v>
      </c>
      <c r="P5113" t="s">
        <v>23809</v>
      </c>
      <c r="Q5113" t="s">
        <v>23811</v>
      </c>
      <c r="R5113">
        <v>15</v>
      </c>
      <c r="S5113">
        <v>16</v>
      </c>
    </row>
    <row r="5114" spans="1:19" x14ac:dyDescent="0.35">
      <c r="A5114">
        <v>2000</v>
      </c>
      <c r="B5114" t="s">
        <v>23803</v>
      </c>
      <c r="C5114" t="s">
        <v>20</v>
      </c>
      <c r="D5114" t="s">
        <v>23804</v>
      </c>
      <c r="E5114" t="s">
        <v>23805</v>
      </c>
      <c r="F5114" t="s">
        <v>23806</v>
      </c>
      <c r="H5114" t="s">
        <v>23807</v>
      </c>
      <c r="I5114" t="s">
        <v>23808</v>
      </c>
      <c r="J5114" t="s">
        <v>743</v>
      </c>
      <c r="M5114" t="s">
        <v>15516</v>
      </c>
      <c r="N5114" t="s">
        <v>23809</v>
      </c>
      <c r="O5114" t="s">
        <v>23810</v>
      </c>
      <c r="P5114" t="s">
        <v>23809</v>
      </c>
      <c r="Q5114" t="s">
        <v>23811</v>
      </c>
      <c r="R5114">
        <v>15</v>
      </c>
      <c r="S5114">
        <v>16</v>
      </c>
    </row>
    <row r="5115" spans="1:19" x14ac:dyDescent="0.35">
      <c r="A5115">
        <v>1999</v>
      </c>
      <c r="B5115" t="s">
        <v>23803</v>
      </c>
      <c r="C5115" t="s">
        <v>20</v>
      </c>
      <c r="D5115" t="s">
        <v>23821</v>
      </c>
      <c r="E5115" t="s">
        <v>23805</v>
      </c>
      <c r="F5115" t="s">
        <v>23822</v>
      </c>
      <c r="H5115" t="s">
        <v>23807</v>
      </c>
      <c r="I5115" t="s">
        <v>23808</v>
      </c>
      <c r="J5115" t="s">
        <v>374</v>
      </c>
      <c r="M5115" t="s">
        <v>15516</v>
      </c>
      <c r="N5115" t="s">
        <v>23809</v>
      </c>
      <c r="O5115" t="s">
        <v>23810</v>
      </c>
      <c r="P5115" t="s">
        <v>23809</v>
      </c>
      <c r="Q5115" t="s">
        <v>23811</v>
      </c>
      <c r="R5115">
        <v>15</v>
      </c>
      <c r="S5115">
        <v>16</v>
      </c>
    </row>
    <row r="5116" spans="1:19" x14ac:dyDescent="0.35">
      <c r="A5116">
        <v>6561</v>
      </c>
      <c r="B5116" t="s">
        <v>18879</v>
      </c>
      <c r="C5116" t="s">
        <v>42</v>
      </c>
      <c r="D5116" t="s">
        <v>18880</v>
      </c>
      <c r="E5116" t="s">
        <v>23826</v>
      </c>
      <c r="F5116" t="s">
        <v>18881</v>
      </c>
      <c r="G5116" t="s">
        <v>5506</v>
      </c>
      <c r="H5116" t="s">
        <v>18882</v>
      </c>
      <c r="I5116" t="s">
        <v>18883</v>
      </c>
      <c r="J5116" t="s">
        <v>7989</v>
      </c>
      <c r="K5116" t="s">
        <v>18884</v>
      </c>
      <c r="L5116" t="s">
        <v>18885</v>
      </c>
      <c r="M5116" t="s">
        <v>38</v>
      </c>
      <c r="N5116" t="s">
        <v>23827</v>
      </c>
      <c r="O5116" t="s">
        <v>18886</v>
      </c>
      <c r="P5116" t="s">
        <v>18887</v>
      </c>
      <c r="Q5116" t="s">
        <v>23828</v>
      </c>
      <c r="R5116">
        <v>15</v>
      </c>
      <c r="S5116">
        <v>16</v>
      </c>
    </row>
    <row r="5117" spans="1:19" x14ac:dyDescent="0.35">
      <c r="A5117">
        <v>879</v>
      </c>
      <c r="B5117" t="s">
        <v>18869</v>
      </c>
      <c r="C5117" t="s">
        <v>42</v>
      </c>
      <c r="D5117" t="s">
        <v>18870</v>
      </c>
      <c r="E5117" t="e" cm="1">
        <f t="array" ref="E5117">- CHLORPHENAMINE MALEATE. DEXTROMETHORPHAN HYDROBROMIDE</f>
        <v>#NAME?</v>
      </c>
      <c r="F5117" t="s">
        <v>18871</v>
      </c>
      <c r="G5117" t="s">
        <v>60</v>
      </c>
      <c r="H5117" t="s">
        <v>18872</v>
      </c>
      <c r="I5117" t="s">
        <v>18873</v>
      </c>
      <c r="J5117" t="s">
        <v>374</v>
      </c>
      <c r="K5117" t="s">
        <v>18874</v>
      </c>
      <c r="L5117" t="s">
        <v>18875</v>
      </c>
      <c r="M5117" t="s">
        <v>271</v>
      </c>
      <c r="N5117" t="s">
        <v>23589</v>
      </c>
      <c r="O5117" t="s">
        <v>18876</v>
      </c>
      <c r="P5117" t="s">
        <v>18877</v>
      </c>
      <c r="Q5117" t="s">
        <v>23820</v>
      </c>
      <c r="R5117">
        <v>15</v>
      </c>
      <c r="S5117">
        <v>16</v>
      </c>
    </row>
    <row r="5118" spans="1:19" x14ac:dyDescent="0.35">
      <c r="A5118">
        <v>1922</v>
      </c>
      <c r="B5118" t="s">
        <v>23829</v>
      </c>
      <c r="C5118" t="s">
        <v>20</v>
      </c>
      <c r="D5118" t="s">
        <v>23830</v>
      </c>
      <c r="E5118" t="s">
        <v>23831</v>
      </c>
      <c r="F5118" t="s">
        <v>23832</v>
      </c>
      <c r="G5118" t="s">
        <v>23833</v>
      </c>
      <c r="H5118" t="s">
        <v>23834</v>
      </c>
      <c r="I5118" t="s">
        <v>5235</v>
      </c>
      <c r="J5118" t="s">
        <v>334</v>
      </c>
      <c r="L5118" t="s">
        <v>23835</v>
      </c>
      <c r="M5118" t="s">
        <v>271</v>
      </c>
      <c r="N5118" t="s">
        <v>23836</v>
      </c>
      <c r="O5118" t="s">
        <v>5238</v>
      </c>
      <c r="P5118" t="s">
        <v>23837</v>
      </c>
      <c r="Q5118" t="s">
        <v>23838</v>
      </c>
      <c r="R5118">
        <v>15</v>
      </c>
      <c r="S5118">
        <v>16</v>
      </c>
    </row>
    <row r="5119" spans="1:19" x14ac:dyDescent="0.35">
      <c r="A5119">
        <v>1920</v>
      </c>
      <c r="B5119" t="s">
        <v>23829</v>
      </c>
      <c r="C5119" t="s">
        <v>20</v>
      </c>
      <c r="D5119" t="s">
        <v>23830</v>
      </c>
      <c r="E5119" t="s">
        <v>23831</v>
      </c>
      <c r="F5119" t="s">
        <v>23832</v>
      </c>
      <c r="G5119" t="s">
        <v>23833</v>
      </c>
      <c r="H5119" t="s">
        <v>23834</v>
      </c>
      <c r="I5119" t="s">
        <v>5235</v>
      </c>
      <c r="J5119" t="s">
        <v>334</v>
      </c>
      <c r="L5119" t="s">
        <v>23835</v>
      </c>
      <c r="M5119" t="s">
        <v>271</v>
      </c>
      <c r="N5119" t="s">
        <v>23836</v>
      </c>
      <c r="O5119" t="s">
        <v>5238</v>
      </c>
      <c r="P5119" t="s">
        <v>23837</v>
      </c>
      <c r="Q5119" t="s">
        <v>23838</v>
      </c>
      <c r="R5119">
        <v>15</v>
      </c>
      <c r="S5119">
        <v>16</v>
      </c>
    </row>
    <row r="5120" spans="1:19" x14ac:dyDescent="0.35">
      <c r="A5120">
        <v>878</v>
      </c>
      <c r="B5120" t="s">
        <v>18869</v>
      </c>
      <c r="C5120" t="s">
        <v>42</v>
      </c>
      <c r="D5120" t="s">
        <v>18870</v>
      </c>
      <c r="E5120" t="e" cm="1">
        <f t="array" ref="E5120">- CHLORPHENAMINE MALEATE. DEXTROMETHORPHAN HYDROBROMIDE</f>
        <v>#NAME?</v>
      </c>
      <c r="F5120" t="s">
        <v>18871</v>
      </c>
      <c r="G5120" t="s">
        <v>60</v>
      </c>
      <c r="H5120" t="s">
        <v>18872</v>
      </c>
      <c r="I5120" t="s">
        <v>18873</v>
      </c>
      <c r="J5120" t="s">
        <v>374</v>
      </c>
      <c r="K5120" t="s">
        <v>18874</v>
      </c>
      <c r="L5120" t="s">
        <v>18875</v>
      </c>
      <c r="M5120" t="s">
        <v>271</v>
      </c>
      <c r="N5120" t="s">
        <v>23589</v>
      </c>
      <c r="O5120" t="s">
        <v>18876</v>
      </c>
      <c r="P5120" t="s">
        <v>18877</v>
      </c>
      <c r="Q5120" t="s">
        <v>23820</v>
      </c>
      <c r="R5120">
        <v>15</v>
      </c>
      <c r="S5120">
        <v>16</v>
      </c>
    </row>
    <row r="5121" spans="1:19" x14ac:dyDescent="0.35">
      <c r="A5121">
        <v>6129</v>
      </c>
      <c r="B5121" t="s">
        <v>23839</v>
      </c>
      <c r="C5121" t="s">
        <v>42</v>
      </c>
      <c r="D5121" t="s">
        <v>23840</v>
      </c>
      <c r="E5121" t="e" cm="1">
        <f t="array" ref="E5121">- CLINDAMYCIN HYDROCHLORIDE</f>
        <v>#NAME?</v>
      </c>
      <c r="F5121" t="s">
        <v>23841</v>
      </c>
      <c r="G5121" t="s">
        <v>23842</v>
      </c>
      <c r="H5121" t="s">
        <v>23843</v>
      </c>
      <c r="I5121" t="s">
        <v>23844</v>
      </c>
      <c r="J5121" t="s">
        <v>12241</v>
      </c>
      <c r="L5121" t="s">
        <v>23845</v>
      </c>
      <c r="M5121" t="s">
        <v>38</v>
      </c>
      <c r="N5121" t="s">
        <v>23622</v>
      </c>
      <c r="O5121" t="s">
        <v>23846</v>
      </c>
      <c r="P5121" t="s">
        <v>23847</v>
      </c>
      <c r="Q5121" t="s">
        <v>23848</v>
      </c>
      <c r="R5121">
        <v>15</v>
      </c>
      <c r="S5121">
        <v>16</v>
      </c>
    </row>
    <row r="5122" spans="1:19" x14ac:dyDescent="0.35">
      <c r="A5122">
        <v>6527</v>
      </c>
      <c r="B5122" t="s">
        <v>23849</v>
      </c>
      <c r="C5122" t="s">
        <v>42</v>
      </c>
      <c r="D5122" t="s">
        <v>23850</v>
      </c>
      <c r="E5122" t="e" cm="1">
        <f t="array" ref="E5122">- SULFAMETHOXAZOLE</f>
        <v>#NAME?</v>
      </c>
      <c r="F5122" t="s">
        <v>6159</v>
      </c>
      <c r="G5122" t="s">
        <v>539</v>
      </c>
      <c r="H5122" t="s">
        <v>269</v>
      </c>
      <c r="I5122" t="s">
        <v>23851</v>
      </c>
      <c r="J5122" t="s">
        <v>2784</v>
      </c>
      <c r="K5122" t="s">
        <v>17594</v>
      </c>
      <c r="L5122" t="s">
        <v>270</v>
      </c>
      <c r="M5122" t="s">
        <v>340</v>
      </c>
      <c r="N5122" t="s">
        <v>478</v>
      </c>
      <c r="O5122" t="s">
        <v>23852</v>
      </c>
      <c r="P5122" t="s">
        <v>23853</v>
      </c>
      <c r="Q5122" t="s">
        <v>23854</v>
      </c>
      <c r="R5122">
        <v>15</v>
      </c>
      <c r="S5122">
        <v>16</v>
      </c>
    </row>
    <row r="5123" spans="1:19" x14ac:dyDescent="0.35">
      <c r="A5123">
        <v>6137</v>
      </c>
      <c r="B5123" t="s">
        <v>23855</v>
      </c>
      <c r="C5123" t="s">
        <v>42</v>
      </c>
      <c r="D5123" t="s">
        <v>23856</v>
      </c>
      <c r="E5123" t="e" cm="1">
        <f t="array" ref="E5123">- CEFADROXIL MONOHYDRATE</f>
        <v>#NAME?</v>
      </c>
      <c r="F5123" s="1">
        <v>76300</v>
      </c>
      <c r="G5123" t="s">
        <v>2241</v>
      </c>
      <c r="H5123" t="s">
        <v>21352</v>
      </c>
      <c r="I5123" t="s">
        <v>21353</v>
      </c>
      <c r="J5123" t="s">
        <v>334</v>
      </c>
      <c r="K5123" t="s">
        <v>21355</v>
      </c>
      <c r="L5123" t="s">
        <v>21356</v>
      </c>
      <c r="M5123" t="s">
        <v>271</v>
      </c>
      <c r="N5123" t="s">
        <v>1777</v>
      </c>
      <c r="O5123" t="s">
        <v>21358</v>
      </c>
      <c r="P5123" t="s">
        <v>21732</v>
      </c>
      <c r="Q5123" t="s">
        <v>23857</v>
      </c>
      <c r="R5123">
        <v>15</v>
      </c>
      <c r="S5123">
        <v>16</v>
      </c>
    </row>
    <row r="5124" spans="1:19" x14ac:dyDescent="0.35">
      <c r="A5124">
        <v>6138</v>
      </c>
      <c r="B5124" t="s">
        <v>23858</v>
      </c>
      <c r="C5124" t="s">
        <v>42</v>
      </c>
      <c r="D5124" t="s">
        <v>23859</v>
      </c>
      <c r="E5124" t="e" cm="1">
        <f t="array" ref="E5124">- CEFADROXIL MONOHYDRATE</f>
        <v>#NAME?</v>
      </c>
      <c r="F5124" t="s">
        <v>23860</v>
      </c>
      <c r="G5124" t="s">
        <v>2241</v>
      </c>
      <c r="H5124" t="s">
        <v>21352</v>
      </c>
      <c r="I5124" t="s">
        <v>21353</v>
      </c>
      <c r="J5124" t="s">
        <v>334</v>
      </c>
      <c r="K5124" t="s">
        <v>21355</v>
      </c>
      <c r="L5124" t="s">
        <v>21356</v>
      </c>
      <c r="M5124" t="s">
        <v>271</v>
      </c>
      <c r="N5124" t="s">
        <v>1777</v>
      </c>
      <c r="O5124" t="s">
        <v>21358</v>
      </c>
      <c r="P5124" t="s">
        <v>21732</v>
      </c>
      <c r="Q5124" t="s">
        <v>23857</v>
      </c>
      <c r="R5124">
        <v>15</v>
      </c>
      <c r="S5124">
        <v>16</v>
      </c>
    </row>
    <row r="5125" spans="1:19" x14ac:dyDescent="0.35">
      <c r="A5125">
        <v>6139</v>
      </c>
      <c r="B5125" t="s">
        <v>23861</v>
      </c>
      <c r="C5125" t="s">
        <v>42</v>
      </c>
      <c r="D5125" t="s">
        <v>23862</v>
      </c>
      <c r="E5125" t="e" cm="1">
        <f t="array" ref="E5125">- CEFADROXIL MONOHYDRATE</f>
        <v>#NAME?</v>
      </c>
      <c r="F5125" t="s">
        <v>23863</v>
      </c>
      <c r="G5125" t="s">
        <v>2241</v>
      </c>
      <c r="H5125" t="s">
        <v>21352</v>
      </c>
      <c r="I5125" t="s">
        <v>21353</v>
      </c>
      <c r="J5125" t="s">
        <v>810</v>
      </c>
      <c r="K5125" t="s">
        <v>21355</v>
      </c>
      <c r="L5125" t="s">
        <v>21356</v>
      </c>
      <c r="M5125" t="s">
        <v>38</v>
      </c>
      <c r="N5125" t="s">
        <v>1777</v>
      </c>
      <c r="O5125" t="s">
        <v>21358</v>
      </c>
      <c r="P5125" t="s">
        <v>21732</v>
      </c>
      <c r="Q5125" t="s">
        <v>23864</v>
      </c>
      <c r="R5125">
        <v>15</v>
      </c>
      <c r="S5125">
        <v>16</v>
      </c>
    </row>
    <row r="5126" spans="1:19" x14ac:dyDescent="0.35">
      <c r="A5126">
        <v>6140</v>
      </c>
      <c r="B5126" t="s">
        <v>23861</v>
      </c>
      <c r="C5126" t="s">
        <v>42</v>
      </c>
      <c r="D5126" t="s">
        <v>23862</v>
      </c>
      <c r="E5126" t="e" cm="1">
        <f t="array" ref="E5126">- CEFADROXIL MONOHYDRATE</f>
        <v>#NAME?</v>
      </c>
      <c r="F5126" t="s">
        <v>23863</v>
      </c>
      <c r="G5126" t="s">
        <v>2241</v>
      </c>
      <c r="H5126" t="s">
        <v>21352</v>
      </c>
      <c r="I5126" t="s">
        <v>21353</v>
      </c>
      <c r="J5126" t="s">
        <v>810</v>
      </c>
      <c r="K5126" t="s">
        <v>21355</v>
      </c>
      <c r="L5126" t="s">
        <v>21356</v>
      </c>
      <c r="M5126" t="s">
        <v>38</v>
      </c>
      <c r="N5126" t="s">
        <v>1777</v>
      </c>
      <c r="O5126" t="s">
        <v>21358</v>
      </c>
      <c r="P5126" t="s">
        <v>21732</v>
      </c>
      <c r="Q5126" t="s">
        <v>23864</v>
      </c>
      <c r="R5126">
        <v>15</v>
      </c>
      <c r="S5126">
        <v>16</v>
      </c>
    </row>
    <row r="5127" spans="1:19" x14ac:dyDescent="0.35">
      <c r="A5127">
        <v>6141</v>
      </c>
      <c r="B5127" t="s">
        <v>21729</v>
      </c>
      <c r="C5127" t="s">
        <v>42</v>
      </c>
      <c r="D5127" t="s">
        <v>21730</v>
      </c>
      <c r="E5127" t="e" cm="1">
        <f t="array" ref="E5127">- CEFADROXIL MONOHYDRATE</f>
        <v>#NAME?</v>
      </c>
      <c r="F5127" t="s">
        <v>21731</v>
      </c>
      <c r="G5127" t="s">
        <v>2241</v>
      </c>
      <c r="H5127" t="s">
        <v>21352</v>
      </c>
      <c r="I5127" t="s">
        <v>21353</v>
      </c>
      <c r="J5127" t="s">
        <v>743</v>
      </c>
      <c r="K5127" t="s">
        <v>21355</v>
      </c>
      <c r="L5127" t="s">
        <v>21356</v>
      </c>
      <c r="M5127" t="s">
        <v>824</v>
      </c>
      <c r="N5127" t="s">
        <v>1777</v>
      </c>
      <c r="O5127" t="s">
        <v>21358</v>
      </c>
      <c r="P5127" t="s">
        <v>21732</v>
      </c>
      <c r="Q5127" t="s">
        <v>23865</v>
      </c>
      <c r="R5127">
        <v>15</v>
      </c>
      <c r="S5127">
        <v>16</v>
      </c>
    </row>
    <row r="5128" spans="1:19" x14ac:dyDescent="0.35">
      <c r="A5128">
        <v>6503</v>
      </c>
      <c r="B5128" t="s">
        <v>23866</v>
      </c>
      <c r="C5128" t="s">
        <v>42</v>
      </c>
      <c r="D5128" t="s">
        <v>23867</v>
      </c>
      <c r="E5128" t="e" cm="1">
        <f t="array" ref="E5128">- CEFADROXIL MONOHYDRATE</f>
        <v>#NAME?</v>
      </c>
      <c r="F5128" t="s">
        <v>23868</v>
      </c>
      <c r="G5128" t="s">
        <v>2241</v>
      </c>
      <c r="H5128" t="s">
        <v>21352</v>
      </c>
      <c r="I5128" t="s">
        <v>21353</v>
      </c>
      <c r="J5128" t="s">
        <v>810</v>
      </c>
      <c r="K5128" t="s">
        <v>21355</v>
      </c>
      <c r="L5128" t="s">
        <v>21356</v>
      </c>
      <c r="M5128" t="s">
        <v>38</v>
      </c>
      <c r="N5128" t="s">
        <v>1777</v>
      </c>
      <c r="O5128" t="s">
        <v>21358</v>
      </c>
      <c r="P5128" t="s">
        <v>23869</v>
      </c>
      <c r="Q5128" t="s">
        <v>23870</v>
      </c>
      <c r="R5128">
        <v>15</v>
      </c>
      <c r="S5128">
        <v>16</v>
      </c>
    </row>
    <row r="5129" spans="1:19" x14ac:dyDescent="0.35">
      <c r="A5129">
        <v>6502</v>
      </c>
      <c r="B5129" t="s">
        <v>23866</v>
      </c>
      <c r="C5129" t="s">
        <v>42</v>
      </c>
      <c r="D5129" t="s">
        <v>23867</v>
      </c>
      <c r="E5129" t="e" cm="1">
        <f t="array" ref="E5129">- CEFADROXIL MONOHYDRATE</f>
        <v>#NAME?</v>
      </c>
      <c r="F5129" t="s">
        <v>23868</v>
      </c>
      <c r="G5129" t="s">
        <v>2241</v>
      </c>
      <c r="H5129" t="s">
        <v>21352</v>
      </c>
      <c r="I5129" t="s">
        <v>21353</v>
      </c>
      <c r="J5129" t="s">
        <v>810</v>
      </c>
      <c r="K5129" t="s">
        <v>21355</v>
      </c>
      <c r="L5129" t="s">
        <v>21356</v>
      </c>
      <c r="M5129" t="s">
        <v>38</v>
      </c>
      <c r="N5129" t="s">
        <v>1777</v>
      </c>
      <c r="O5129" t="s">
        <v>21358</v>
      </c>
      <c r="P5129" t="s">
        <v>23869</v>
      </c>
      <c r="Q5129" t="s">
        <v>23870</v>
      </c>
      <c r="R5129">
        <v>15</v>
      </c>
      <c r="S5129">
        <v>16</v>
      </c>
    </row>
    <row r="5130" spans="1:19" x14ac:dyDescent="0.35">
      <c r="A5130">
        <v>6498</v>
      </c>
      <c r="B5130" t="s">
        <v>23541</v>
      </c>
      <c r="C5130" t="s">
        <v>42</v>
      </c>
      <c r="D5130" t="s">
        <v>23542</v>
      </c>
      <c r="E5130" t="e" cm="1">
        <f t="array" ref="E5130">- CEFADROXIL MONOHYDRATE</f>
        <v>#NAME?</v>
      </c>
      <c r="F5130" t="s">
        <v>23543</v>
      </c>
      <c r="G5130" t="s">
        <v>2241</v>
      </c>
      <c r="H5130" t="s">
        <v>21352</v>
      </c>
      <c r="I5130" t="s">
        <v>21353</v>
      </c>
      <c r="J5130" t="s">
        <v>334</v>
      </c>
      <c r="K5130" t="s">
        <v>21355</v>
      </c>
      <c r="L5130" t="s">
        <v>21356</v>
      </c>
      <c r="M5130" t="s">
        <v>271</v>
      </c>
      <c r="N5130" t="s">
        <v>1777</v>
      </c>
      <c r="O5130" t="s">
        <v>21358</v>
      </c>
      <c r="P5130" t="s">
        <v>23544</v>
      </c>
      <c r="Q5130" t="s">
        <v>23545</v>
      </c>
      <c r="R5130">
        <v>15</v>
      </c>
      <c r="S5130">
        <v>16</v>
      </c>
    </row>
    <row r="5131" spans="1:19" x14ac:dyDescent="0.35">
      <c r="A5131">
        <v>6496</v>
      </c>
      <c r="B5131" t="s">
        <v>23541</v>
      </c>
      <c r="C5131" t="s">
        <v>42</v>
      </c>
      <c r="D5131" t="s">
        <v>23542</v>
      </c>
      <c r="E5131" t="e" cm="1">
        <f t="array" ref="E5131">- CEFADROXIL MONOHYDRATE</f>
        <v>#NAME?</v>
      </c>
      <c r="F5131" t="s">
        <v>23543</v>
      </c>
      <c r="G5131" t="s">
        <v>2241</v>
      </c>
      <c r="H5131" t="s">
        <v>21352</v>
      </c>
      <c r="I5131" t="s">
        <v>21353</v>
      </c>
      <c r="J5131" t="s">
        <v>334</v>
      </c>
      <c r="K5131" t="s">
        <v>21355</v>
      </c>
      <c r="L5131" t="s">
        <v>21356</v>
      </c>
      <c r="M5131" t="s">
        <v>271</v>
      </c>
      <c r="N5131" t="s">
        <v>1777</v>
      </c>
      <c r="O5131" t="s">
        <v>21358</v>
      </c>
      <c r="P5131" t="s">
        <v>23544</v>
      </c>
      <c r="Q5131" t="s">
        <v>23545</v>
      </c>
      <c r="R5131">
        <v>15</v>
      </c>
      <c r="S5131">
        <v>16</v>
      </c>
    </row>
    <row r="5132" spans="1:19" x14ac:dyDescent="0.35">
      <c r="A5132">
        <v>2004</v>
      </c>
      <c r="B5132" t="s">
        <v>23803</v>
      </c>
      <c r="C5132" t="s">
        <v>20</v>
      </c>
      <c r="D5132" t="s">
        <v>23823</v>
      </c>
      <c r="E5132" t="s">
        <v>23805</v>
      </c>
      <c r="F5132" t="s">
        <v>23824</v>
      </c>
      <c r="H5132" t="s">
        <v>23807</v>
      </c>
      <c r="I5132" t="s">
        <v>23808</v>
      </c>
      <c r="J5132" t="s">
        <v>23825</v>
      </c>
      <c r="M5132" t="s">
        <v>15516</v>
      </c>
      <c r="N5132" t="s">
        <v>23809</v>
      </c>
      <c r="O5132" t="s">
        <v>23810</v>
      </c>
      <c r="P5132" t="s">
        <v>23809</v>
      </c>
      <c r="Q5132" t="s">
        <v>23811</v>
      </c>
      <c r="R5132">
        <v>15</v>
      </c>
      <c r="S5132">
        <v>16</v>
      </c>
    </row>
    <row r="5133" spans="1:19" x14ac:dyDescent="0.35">
      <c r="A5133">
        <v>5841</v>
      </c>
      <c r="B5133" t="s">
        <v>21349</v>
      </c>
      <c r="C5133" t="s">
        <v>42</v>
      </c>
      <c r="D5133" t="s">
        <v>21350</v>
      </c>
      <c r="E5133" t="e" cm="1">
        <f t="array" ref="E5133">- CEFADROXIL MONOHYDRATE</f>
        <v>#NAME?</v>
      </c>
      <c r="F5133" t="s">
        <v>21351</v>
      </c>
      <c r="G5133" t="s">
        <v>2241</v>
      </c>
      <c r="H5133" t="s">
        <v>21352</v>
      </c>
      <c r="I5133" t="s">
        <v>21353</v>
      </c>
      <c r="J5133" t="s">
        <v>21354</v>
      </c>
      <c r="K5133" t="s">
        <v>21355</v>
      </c>
      <c r="L5133" t="s">
        <v>21356</v>
      </c>
      <c r="M5133" t="s">
        <v>38</v>
      </c>
      <c r="N5133" t="s">
        <v>1777</v>
      </c>
      <c r="O5133" t="s">
        <v>21358</v>
      </c>
      <c r="P5133" t="s">
        <v>21359</v>
      </c>
      <c r="Q5133" t="s">
        <v>23871</v>
      </c>
      <c r="R5133">
        <v>15</v>
      </c>
      <c r="S5133">
        <v>16</v>
      </c>
    </row>
    <row r="5134" spans="1:19" x14ac:dyDescent="0.35">
      <c r="A5134">
        <v>6489</v>
      </c>
      <c r="B5134" t="s">
        <v>23872</v>
      </c>
      <c r="C5134" t="s">
        <v>42</v>
      </c>
      <c r="D5134" t="s">
        <v>23873</v>
      </c>
      <c r="E5134" t="e" cm="1">
        <f t="array" ref="E5134">- CEFADROXIL MONOHYDRATE</f>
        <v>#NAME?</v>
      </c>
      <c r="F5134" t="s">
        <v>23874</v>
      </c>
      <c r="G5134" t="s">
        <v>2241</v>
      </c>
      <c r="H5134" t="s">
        <v>21352</v>
      </c>
      <c r="I5134" t="s">
        <v>21353</v>
      </c>
      <c r="J5134" t="s">
        <v>23360</v>
      </c>
      <c r="K5134" t="s">
        <v>21355</v>
      </c>
      <c r="L5134" t="s">
        <v>21356</v>
      </c>
      <c r="M5134" t="s">
        <v>38</v>
      </c>
      <c r="N5134" t="s">
        <v>1777</v>
      </c>
      <c r="O5134" t="s">
        <v>21358</v>
      </c>
      <c r="P5134" t="s">
        <v>23875</v>
      </c>
      <c r="Q5134" t="s">
        <v>23876</v>
      </c>
      <c r="R5134">
        <v>15</v>
      </c>
      <c r="S5134">
        <v>16</v>
      </c>
    </row>
    <row r="5135" spans="1:19" x14ac:dyDescent="0.35">
      <c r="A5135">
        <v>6078</v>
      </c>
      <c r="B5135" t="s">
        <v>23877</v>
      </c>
      <c r="C5135" t="s">
        <v>42</v>
      </c>
      <c r="D5135" t="s">
        <v>23878</v>
      </c>
      <c r="E5135" t="e" cm="1">
        <f t="array" ref="E5135">- CEFADROXIL MONOHYDRATE</f>
        <v>#NAME?</v>
      </c>
      <c r="F5135" t="s">
        <v>23879</v>
      </c>
      <c r="G5135" t="s">
        <v>2241</v>
      </c>
      <c r="H5135" t="s">
        <v>21352</v>
      </c>
      <c r="I5135" t="s">
        <v>21353</v>
      </c>
      <c r="J5135" t="s">
        <v>23880</v>
      </c>
      <c r="K5135" t="s">
        <v>21355</v>
      </c>
      <c r="L5135" t="s">
        <v>21356</v>
      </c>
      <c r="M5135" t="s">
        <v>38</v>
      </c>
      <c r="N5135" t="s">
        <v>1777</v>
      </c>
      <c r="O5135" t="s">
        <v>21358</v>
      </c>
      <c r="P5135" t="s">
        <v>23881</v>
      </c>
      <c r="Q5135" t="s">
        <v>23882</v>
      </c>
      <c r="R5135">
        <v>15</v>
      </c>
      <c r="S5135">
        <v>16</v>
      </c>
    </row>
    <row r="5136" spans="1:19" x14ac:dyDescent="0.35">
      <c r="A5136">
        <v>2084</v>
      </c>
      <c r="B5136" t="s">
        <v>23788</v>
      </c>
      <c r="C5136" t="s">
        <v>42</v>
      </c>
      <c r="D5136" t="s">
        <v>23789</v>
      </c>
      <c r="E5136" t="e" cm="1">
        <f t="array" ref="E5136">- PARACETAMOL</f>
        <v>#NAME?</v>
      </c>
      <c r="F5136" t="s">
        <v>23790</v>
      </c>
      <c r="G5136" t="s">
        <v>6869</v>
      </c>
      <c r="H5136" t="s">
        <v>23791</v>
      </c>
      <c r="I5136" t="s">
        <v>23792</v>
      </c>
      <c r="J5136" t="s">
        <v>1081</v>
      </c>
      <c r="K5136" t="s">
        <v>23793</v>
      </c>
      <c r="L5136" t="s">
        <v>16925</v>
      </c>
      <c r="M5136" t="s">
        <v>291</v>
      </c>
      <c r="N5136" t="s">
        <v>584</v>
      </c>
      <c r="O5136" t="s">
        <v>23794</v>
      </c>
      <c r="P5136" t="s">
        <v>23795</v>
      </c>
      <c r="Q5136" t="s">
        <v>23796</v>
      </c>
      <c r="R5136">
        <v>15</v>
      </c>
      <c r="S5136">
        <v>16</v>
      </c>
    </row>
    <row r="5137" spans="1:19" x14ac:dyDescent="0.35">
      <c r="A5137">
        <v>2083</v>
      </c>
      <c r="B5137" t="s">
        <v>23788</v>
      </c>
      <c r="C5137" t="s">
        <v>42</v>
      </c>
      <c r="D5137" t="s">
        <v>23789</v>
      </c>
      <c r="E5137" t="e" cm="1">
        <f t="array" ref="E5137">- PARACETAMOL</f>
        <v>#NAME?</v>
      </c>
      <c r="F5137" t="s">
        <v>23790</v>
      </c>
      <c r="G5137" t="s">
        <v>6869</v>
      </c>
      <c r="H5137" t="s">
        <v>23791</v>
      </c>
      <c r="I5137" t="s">
        <v>23792</v>
      </c>
      <c r="J5137" t="s">
        <v>1081</v>
      </c>
      <c r="K5137" t="s">
        <v>23793</v>
      </c>
      <c r="L5137" t="s">
        <v>16925</v>
      </c>
      <c r="M5137" t="s">
        <v>291</v>
      </c>
      <c r="N5137" t="s">
        <v>584</v>
      </c>
      <c r="O5137" t="s">
        <v>23794</v>
      </c>
      <c r="P5137" t="s">
        <v>23795</v>
      </c>
      <c r="Q5137" t="s">
        <v>23796</v>
      </c>
      <c r="R5137">
        <v>15</v>
      </c>
      <c r="S5137">
        <v>16</v>
      </c>
    </row>
    <row r="5138" spans="1:19" x14ac:dyDescent="0.35">
      <c r="A5138">
        <v>2082</v>
      </c>
      <c r="B5138" t="s">
        <v>23788</v>
      </c>
      <c r="C5138" t="s">
        <v>42</v>
      </c>
      <c r="D5138" t="s">
        <v>23789</v>
      </c>
      <c r="E5138" t="e" cm="1">
        <f t="array" ref="E5138">- PARACETAMOL</f>
        <v>#NAME?</v>
      </c>
      <c r="F5138" t="s">
        <v>23790</v>
      </c>
      <c r="G5138" t="s">
        <v>6869</v>
      </c>
      <c r="H5138" t="s">
        <v>23791</v>
      </c>
      <c r="I5138" t="s">
        <v>23792</v>
      </c>
      <c r="J5138" t="s">
        <v>1081</v>
      </c>
      <c r="K5138" t="s">
        <v>23793</v>
      </c>
      <c r="L5138" t="s">
        <v>16925</v>
      </c>
      <c r="M5138" t="s">
        <v>291</v>
      </c>
      <c r="N5138" t="s">
        <v>584</v>
      </c>
      <c r="O5138" t="s">
        <v>23794</v>
      </c>
      <c r="P5138" t="s">
        <v>23795</v>
      </c>
      <c r="Q5138" t="s">
        <v>23796</v>
      </c>
      <c r="R5138">
        <v>15</v>
      </c>
      <c r="S5138">
        <v>16</v>
      </c>
    </row>
    <row r="5139" spans="1:19" x14ac:dyDescent="0.35">
      <c r="A5139">
        <v>1869</v>
      </c>
      <c r="B5139" t="s">
        <v>10563</v>
      </c>
      <c r="C5139" t="s">
        <v>42</v>
      </c>
      <c r="D5139" t="s">
        <v>10564</v>
      </c>
      <c r="E5139" t="e" cm="1">
        <f t="array" ref="E5139">- AMMONIUM CHLORIDE. PSEUDOEPHEDRINE HYDROCHLORIDE. CHLORPHENAMINE MALEATE. SUCCUS LIQUIRITIAE</f>
        <v>#NAME?</v>
      </c>
      <c r="F5139" t="s">
        <v>10565</v>
      </c>
      <c r="J5139" t="s">
        <v>334</v>
      </c>
      <c r="M5139" t="s">
        <v>271</v>
      </c>
      <c r="N5139" t="s">
        <v>23883</v>
      </c>
      <c r="P5139" t="s">
        <v>10566</v>
      </c>
      <c r="Q5139" t="s">
        <v>23884</v>
      </c>
      <c r="R5139">
        <v>15</v>
      </c>
      <c r="S5139">
        <v>16</v>
      </c>
    </row>
    <row r="5140" spans="1:19" x14ac:dyDescent="0.35">
      <c r="A5140">
        <v>6179</v>
      </c>
      <c r="B5140" t="s">
        <v>22286</v>
      </c>
      <c r="C5140" t="s">
        <v>42</v>
      </c>
      <c r="D5140" t="s">
        <v>22287</v>
      </c>
      <c r="E5140" t="e" cm="1">
        <f t="array" ref="E5140">- CEFADROXIL MONOHYDRATE</f>
        <v>#NAME?</v>
      </c>
      <c r="F5140" t="s">
        <v>22288</v>
      </c>
      <c r="G5140" t="s">
        <v>2241</v>
      </c>
      <c r="H5140" t="s">
        <v>21352</v>
      </c>
      <c r="I5140" t="s">
        <v>21353</v>
      </c>
      <c r="J5140" t="s">
        <v>21354</v>
      </c>
      <c r="K5140" t="s">
        <v>21355</v>
      </c>
      <c r="L5140" t="s">
        <v>21356</v>
      </c>
      <c r="M5140" t="s">
        <v>38</v>
      </c>
      <c r="N5140" t="s">
        <v>1777</v>
      </c>
      <c r="O5140" t="s">
        <v>21358</v>
      </c>
      <c r="P5140" t="s">
        <v>22289</v>
      </c>
      <c r="Q5140" t="s">
        <v>23885</v>
      </c>
      <c r="R5140">
        <v>15</v>
      </c>
      <c r="S5140">
        <v>16</v>
      </c>
    </row>
    <row r="5141" spans="1:19" x14ac:dyDescent="0.35">
      <c r="A5141">
        <v>6178</v>
      </c>
      <c r="B5141" t="s">
        <v>23886</v>
      </c>
      <c r="C5141" t="s">
        <v>42</v>
      </c>
      <c r="D5141" t="s">
        <v>23887</v>
      </c>
      <c r="E5141" t="e" cm="1">
        <f t="array" ref="E5141">- CEFADROXIL MONOHYDRATE</f>
        <v>#NAME?</v>
      </c>
      <c r="F5141" t="s">
        <v>23888</v>
      </c>
      <c r="G5141" t="s">
        <v>2453</v>
      </c>
      <c r="I5141" t="s">
        <v>23889</v>
      </c>
      <c r="J5141" t="s">
        <v>334</v>
      </c>
      <c r="K5141" t="s">
        <v>4677</v>
      </c>
      <c r="L5141" t="s">
        <v>23890</v>
      </c>
      <c r="M5141" t="s">
        <v>271</v>
      </c>
      <c r="N5141" t="s">
        <v>1777</v>
      </c>
      <c r="O5141" t="s">
        <v>23891</v>
      </c>
      <c r="P5141" t="s">
        <v>22289</v>
      </c>
      <c r="Q5141" t="s">
        <v>23892</v>
      </c>
      <c r="R5141">
        <v>15</v>
      </c>
      <c r="S5141">
        <v>16</v>
      </c>
    </row>
    <row r="5142" spans="1:19" x14ac:dyDescent="0.35">
      <c r="A5142">
        <v>6177</v>
      </c>
      <c r="B5142" t="s">
        <v>23886</v>
      </c>
      <c r="C5142" t="s">
        <v>42</v>
      </c>
      <c r="D5142" t="s">
        <v>23887</v>
      </c>
      <c r="E5142" t="e" cm="1">
        <f t="array" ref="E5142">- CEFADROXIL MONOHYDRATE</f>
        <v>#NAME?</v>
      </c>
      <c r="F5142" t="s">
        <v>23888</v>
      </c>
      <c r="G5142" t="s">
        <v>2453</v>
      </c>
      <c r="I5142" t="s">
        <v>23889</v>
      </c>
      <c r="J5142" t="s">
        <v>334</v>
      </c>
      <c r="K5142" t="s">
        <v>4677</v>
      </c>
      <c r="L5142" t="s">
        <v>23890</v>
      </c>
      <c r="M5142" t="s">
        <v>271</v>
      </c>
      <c r="N5142" t="s">
        <v>1777</v>
      </c>
      <c r="O5142" t="s">
        <v>23891</v>
      </c>
      <c r="P5142" t="s">
        <v>22289</v>
      </c>
      <c r="Q5142" t="s">
        <v>23892</v>
      </c>
      <c r="R5142">
        <v>15</v>
      </c>
      <c r="S5142">
        <v>16</v>
      </c>
    </row>
    <row r="5143" spans="1:19" x14ac:dyDescent="0.35">
      <c r="A5143">
        <v>6039</v>
      </c>
      <c r="B5143" t="s">
        <v>23893</v>
      </c>
      <c r="C5143" t="s">
        <v>42</v>
      </c>
      <c r="D5143" t="s">
        <v>23894</v>
      </c>
      <c r="E5143" t="e" cm="1">
        <f t="array" ref="E5143">- TRIMETHOPRIM. SULFAMETHOXAZOLE</f>
        <v>#NAME?</v>
      </c>
      <c r="F5143" t="s">
        <v>23895</v>
      </c>
      <c r="G5143" t="s">
        <v>539</v>
      </c>
      <c r="H5143" t="s">
        <v>18975</v>
      </c>
      <c r="I5143" t="s">
        <v>18976</v>
      </c>
      <c r="J5143" t="s">
        <v>5221</v>
      </c>
      <c r="K5143" t="s">
        <v>23896</v>
      </c>
      <c r="L5143" t="s">
        <v>23897</v>
      </c>
      <c r="M5143" t="s">
        <v>291</v>
      </c>
      <c r="N5143" t="s">
        <v>1469</v>
      </c>
      <c r="O5143" t="s">
        <v>18977</v>
      </c>
      <c r="P5143" t="s">
        <v>23898</v>
      </c>
      <c r="Q5143" t="s">
        <v>23899</v>
      </c>
      <c r="R5143">
        <v>15</v>
      </c>
      <c r="S5143">
        <v>16</v>
      </c>
    </row>
    <row r="5144" spans="1:19" x14ac:dyDescent="0.35">
      <c r="A5144">
        <v>6174</v>
      </c>
      <c r="B5144" t="s">
        <v>23900</v>
      </c>
      <c r="C5144" t="s">
        <v>42</v>
      </c>
      <c r="D5144" t="s">
        <v>23901</v>
      </c>
      <c r="E5144" t="e" cm="1">
        <f t="array" ref="E5144">- CEFADROXIL MONOHYDRATE</f>
        <v>#NAME?</v>
      </c>
      <c r="F5144" t="s">
        <v>23902</v>
      </c>
      <c r="G5144" t="s">
        <v>2241</v>
      </c>
      <c r="H5144" t="s">
        <v>21352</v>
      </c>
      <c r="I5144" t="s">
        <v>21353</v>
      </c>
      <c r="J5144" t="s">
        <v>846</v>
      </c>
      <c r="K5144" t="s">
        <v>21355</v>
      </c>
      <c r="L5144" t="s">
        <v>21356</v>
      </c>
      <c r="M5144" t="s">
        <v>271</v>
      </c>
      <c r="N5144" t="s">
        <v>1777</v>
      </c>
      <c r="O5144" t="s">
        <v>21358</v>
      </c>
      <c r="P5144" t="s">
        <v>22231</v>
      </c>
      <c r="Q5144" t="s">
        <v>23903</v>
      </c>
      <c r="R5144">
        <v>15</v>
      </c>
      <c r="S5144">
        <v>16</v>
      </c>
    </row>
    <row r="5145" spans="1:19" x14ac:dyDescent="0.35">
      <c r="A5145">
        <v>6042</v>
      </c>
      <c r="B5145" t="s">
        <v>22377</v>
      </c>
      <c r="C5145" t="s">
        <v>42</v>
      </c>
      <c r="D5145" t="s">
        <v>22378</v>
      </c>
      <c r="E5145" t="e" cm="1">
        <f t="array" ref="E5145">- TRIMETHOPRIM. SULFAMETHOXAZOLE</f>
        <v>#NAME?</v>
      </c>
      <c r="F5145" t="s">
        <v>22379</v>
      </c>
      <c r="H5145" t="s">
        <v>22380</v>
      </c>
      <c r="I5145" t="s">
        <v>22381</v>
      </c>
      <c r="J5145" t="s">
        <v>22382</v>
      </c>
      <c r="K5145" t="s">
        <v>22383</v>
      </c>
      <c r="L5145" t="s">
        <v>321</v>
      </c>
      <c r="M5145" t="s">
        <v>291</v>
      </c>
      <c r="N5145" t="s">
        <v>1469</v>
      </c>
      <c r="O5145" t="s">
        <v>22384</v>
      </c>
      <c r="P5145" t="s">
        <v>22385</v>
      </c>
      <c r="Q5145" t="s">
        <v>23904</v>
      </c>
      <c r="R5145">
        <v>15</v>
      </c>
      <c r="S5145">
        <v>16</v>
      </c>
    </row>
    <row r="5146" spans="1:19" x14ac:dyDescent="0.35">
      <c r="A5146">
        <v>2032</v>
      </c>
      <c r="B5146" t="s">
        <v>7034</v>
      </c>
      <c r="C5146" t="s">
        <v>20</v>
      </c>
      <c r="D5146" t="s">
        <v>23905</v>
      </c>
      <c r="E5146" t="s">
        <v>7036</v>
      </c>
      <c r="F5146" t="s">
        <v>23906</v>
      </c>
      <c r="G5146" t="s">
        <v>2241</v>
      </c>
      <c r="H5146" t="s">
        <v>23907</v>
      </c>
      <c r="I5146" t="s">
        <v>23908</v>
      </c>
      <c r="J5146" t="s">
        <v>7947</v>
      </c>
      <c r="M5146" t="s">
        <v>63</v>
      </c>
      <c r="N5146" t="s">
        <v>7039</v>
      </c>
      <c r="O5146" t="s">
        <v>23909</v>
      </c>
      <c r="P5146" t="s">
        <v>7040</v>
      </c>
      <c r="Q5146" t="s">
        <v>23910</v>
      </c>
      <c r="R5146">
        <v>15</v>
      </c>
      <c r="S5146">
        <v>16</v>
      </c>
    </row>
    <row r="5147" spans="1:19" x14ac:dyDescent="0.35">
      <c r="A5147">
        <v>2030</v>
      </c>
      <c r="B5147" t="s">
        <v>7034</v>
      </c>
      <c r="C5147" t="s">
        <v>20</v>
      </c>
      <c r="D5147" t="s">
        <v>23905</v>
      </c>
      <c r="E5147" t="s">
        <v>7036</v>
      </c>
      <c r="F5147" t="s">
        <v>23906</v>
      </c>
      <c r="G5147" t="s">
        <v>2241</v>
      </c>
      <c r="H5147" t="s">
        <v>23907</v>
      </c>
      <c r="I5147" t="s">
        <v>23908</v>
      </c>
      <c r="J5147" t="s">
        <v>7947</v>
      </c>
      <c r="M5147" t="s">
        <v>63</v>
      </c>
      <c r="N5147" t="s">
        <v>7039</v>
      </c>
      <c r="O5147" t="s">
        <v>23909</v>
      </c>
      <c r="P5147" t="s">
        <v>7040</v>
      </c>
      <c r="Q5147" t="s">
        <v>23910</v>
      </c>
      <c r="R5147">
        <v>15</v>
      </c>
      <c r="S5147">
        <v>16</v>
      </c>
    </row>
    <row r="5148" spans="1:19" x14ac:dyDescent="0.35">
      <c r="A5148">
        <v>1886</v>
      </c>
      <c r="B5148" t="s">
        <v>14829</v>
      </c>
      <c r="C5148" t="s">
        <v>42</v>
      </c>
      <c r="D5148" t="s">
        <v>14830</v>
      </c>
      <c r="E5148" t="e" cm="1">
        <f t="array" ref="E5148">- GUAIFENESIN. CHLORPHENAMINE MALEATE. PSEUDOEPHEDRINE HYDROCHLORIDE. PARACETAMOL</f>
        <v>#NAME?</v>
      </c>
      <c r="F5148" t="s">
        <v>14831</v>
      </c>
      <c r="G5148" t="s">
        <v>539</v>
      </c>
      <c r="H5148" t="s">
        <v>14832</v>
      </c>
      <c r="I5148" t="s">
        <v>14833</v>
      </c>
      <c r="M5148" t="s">
        <v>271</v>
      </c>
      <c r="N5148" t="s">
        <v>23911</v>
      </c>
      <c r="O5148" t="s">
        <v>14834</v>
      </c>
      <c r="P5148" t="s">
        <v>14835</v>
      </c>
      <c r="Q5148" t="s">
        <v>23912</v>
      </c>
      <c r="R5148">
        <v>15</v>
      </c>
      <c r="S5148">
        <v>16</v>
      </c>
    </row>
    <row r="5149" spans="1:19" x14ac:dyDescent="0.35">
      <c r="A5149">
        <v>2028</v>
      </c>
      <c r="B5149" t="s">
        <v>23913</v>
      </c>
      <c r="C5149" t="s">
        <v>20</v>
      </c>
      <c r="D5149" t="s">
        <v>23914</v>
      </c>
      <c r="E5149" t="s">
        <v>23915</v>
      </c>
      <c r="F5149" t="s">
        <v>23916</v>
      </c>
      <c r="G5149" t="s">
        <v>23917</v>
      </c>
      <c r="I5149" t="s">
        <v>23918</v>
      </c>
      <c r="J5149" t="s">
        <v>23919</v>
      </c>
      <c r="L5149" t="s">
        <v>23920</v>
      </c>
      <c r="M5149" t="s">
        <v>63</v>
      </c>
      <c r="N5149" t="s">
        <v>23921</v>
      </c>
      <c r="O5149" t="s">
        <v>23922</v>
      </c>
      <c r="P5149" t="s">
        <v>23921</v>
      </c>
      <c r="Q5149" t="s">
        <v>23923</v>
      </c>
      <c r="R5149">
        <v>15</v>
      </c>
      <c r="S5149">
        <v>16</v>
      </c>
    </row>
    <row r="5150" spans="1:19" x14ac:dyDescent="0.35">
      <c r="A5150">
        <v>2027</v>
      </c>
      <c r="B5150" t="s">
        <v>23913</v>
      </c>
      <c r="C5150" t="s">
        <v>20</v>
      </c>
      <c r="D5150" t="s">
        <v>23914</v>
      </c>
      <c r="E5150" t="s">
        <v>23915</v>
      </c>
      <c r="F5150" t="s">
        <v>23916</v>
      </c>
      <c r="G5150" t="s">
        <v>23917</v>
      </c>
      <c r="I5150" t="s">
        <v>23918</v>
      </c>
      <c r="J5150" t="s">
        <v>23919</v>
      </c>
      <c r="L5150" t="s">
        <v>23920</v>
      </c>
      <c r="M5150" t="s">
        <v>63</v>
      </c>
      <c r="N5150" t="s">
        <v>23921</v>
      </c>
      <c r="O5150" t="s">
        <v>23922</v>
      </c>
      <c r="P5150" t="s">
        <v>23921</v>
      </c>
      <c r="Q5150" t="s">
        <v>23923</v>
      </c>
      <c r="R5150">
        <v>15</v>
      </c>
      <c r="S5150">
        <v>16</v>
      </c>
    </row>
    <row r="5151" spans="1:19" x14ac:dyDescent="0.35">
      <c r="A5151">
        <v>6482</v>
      </c>
      <c r="B5151" t="s">
        <v>23924</v>
      </c>
      <c r="C5151" t="s">
        <v>42</v>
      </c>
      <c r="D5151" t="s">
        <v>23925</v>
      </c>
      <c r="E5151" t="e" cm="1">
        <f t="array" ref="E5151">- AMOXICILLIN</f>
        <v>#NAME?</v>
      </c>
      <c r="F5151" t="s">
        <v>23926</v>
      </c>
      <c r="G5151" t="s">
        <v>6135</v>
      </c>
      <c r="H5151" t="s">
        <v>23927</v>
      </c>
      <c r="I5151" t="s">
        <v>23928</v>
      </c>
      <c r="J5151" t="s">
        <v>334</v>
      </c>
      <c r="K5151" t="s">
        <v>18853</v>
      </c>
      <c r="L5151" t="s">
        <v>23929</v>
      </c>
      <c r="M5151" t="s">
        <v>271</v>
      </c>
      <c r="N5151" t="s">
        <v>505</v>
      </c>
      <c r="O5151" t="s">
        <v>23930</v>
      </c>
      <c r="P5151" t="s">
        <v>23931</v>
      </c>
      <c r="Q5151" t="s">
        <v>23932</v>
      </c>
      <c r="R5151">
        <v>15</v>
      </c>
      <c r="S5151">
        <v>16</v>
      </c>
    </row>
    <row r="5152" spans="1:19" x14ac:dyDescent="0.35">
      <c r="A5152">
        <v>764</v>
      </c>
      <c r="B5152" t="s">
        <v>17499</v>
      </c>
      <c r="C5152" t="s">
        <v>42</v>
      </c>
      <c r="D5152" t="s">
        <v>23933</v>
      </c>
      <c r="E5152" t="e" cm="1">
        <f t="array" ref="E5152">- AMMONIUM CHLORIDE</f>
        <v>#NAME?</v>
      </c>
      <c r="F5152" t="s">
        <v>23934</v>
      </c>
      <c r="G5152" t="s">
        <v>23935</v>
      </c>
      <c r="H5152" t="s">
        <v>23936</v>
      </c>
      <c r="I5152" t="s">
        <v>23937</v>
      </c>
      <c r="J5152" t="s">
        <v>4985</v>
      </c>
      <c r="K5152" t="s">
        <v>2726</v>
      </c>
      <c r="L5152" t="s">
        <v>23938</v>
      </c>
      <c r="M5152" t="s">
        <v>271</v>
      </c>
      <c r="N5152" t="s">
        <v>1672</v>
      </c>
      <c r="O5152" t="s">
        <v>23939</v>
      </c>
      <c r="P5152" t="s">
        <v>17507</v>
      </c>
      <c r="Q5152" t="s">
        <v>23940</v>
      </c>
      <c r="R5152">
        <v>15</v>
      </c>
      <c r="S5152">
        <v>16</v>
      </c>
    </row>
    <row r="5153" spans="1:19" x14ac:dyDescent="0.35">
      <c r="A5153">
        <v>765</v>
      </c>
      <c r="B5153" t="s">
        <v>17499</v>
      </c>
      <c r="C5153" t="s">
        <v>42</v>
      </c>
      <c r="D5153" t="s">
        <v>23933</v>
      </c>
      <c r="E5153" t="e" cm="1">
        <f t="array" ref="E5153">- AMMONIUM CHLORIDE</f>
        <v>#NAME?</v>
      </c>
      <c r="F5153" t="s">
        <v>23934</v>
      </c>
      <c r="G5153" t="s">
        <v>23935</v>
      </c>
      <c r="H5153" t="s">
        <v>23936</v>
      </c>
      <c r="I5153" t="s">
        <v>23937</v>
      </c>
      <c r="J5153" t="s">
        <v>4985</v>
      </c>
      <c r="K5153" t="s">
        <v>2726</v>
      </c>
      <c r="L5153" t="s">
        <v>23938</v>
      </c>
      <c r="M5153" t="s">
        <v>271</v>
      </c>
      <c r="N5153" t="s">
        <v>1672</v>
      </c>
      <c r="O5153" t="s">
        <v>23939</v>
      </c>
      <c r="P5153" t="s">
        <v>17507</v>
      </c>
      <c r="Q5153" t="s">
        <v>23940</v>
      </c>
      <c r="R5153">
        <v>15</v>
      </c>
      <c r="S5153">
        <v>16</v>
      </c>
    </row>
    <row r="5154" spans="1:19" x14ac:dyDescent="0.35">
      <c r="A5154">
        <v>2006</v>
      </c>
      <c r="B5154" t="s">
        <v>23941</v>
      </c>
      <c r="C5154" t="s">
        <v>20</v>
      </c>
      <c r="D5154" t="s">
        <v>23942</v>
      </c>
      <c r="E5154" t="s">
        <v>18004</v>
      </c>
      <c r="F5154" t="s">
        <v>23943</v>
      </c>
      <c r="G5154" t="s">
        <v>2241</v>
      </c>
      <c r="H5154" t="s">
        <v>12055</v>
      </c>
      <c r="I5154" t="s">
        <v>23944</v>
      </c>
      <c r="J5154" t="s">
        <v>107</v>
      </c>
      <c r="M5154" t="s">
        <v>38</v>
      </c>
      <c r="N5154" t="s">
        <v>18009</v>
      </c>
      <c r="O5154" t="s">
        <v>23945</v>
      </c>
      <c r="P5154" t="s">
        <v>23946</v>
      </c>
      <c r="Q5154" t="s">
        <v>23947</v>
      </c>
      <c r="R5154">
        <v>15</v>
      </c>
      <c r="S5154">
        <v>16</v>
      </c>
    </row>
    <row r="5155" spans="1:19" x14ac:dyDescent="0.35">
      <c r="A5155">
        <v>2005</v>
      </c>
      <c r="B5155" t="s">
        <v>23941</v>
      </c>
      <c r="C5155" t="s">
        <v>20</v>
      </c>
      <c r="D5155" t="s">
        <v>23942</v>
      </c>
      <c r="E5155" t="s">
        <v>18004</v>
      </c>
      <c r="F5155" t="s">
        <v>23943</v>
      </c>
      <c r="G5155" t="s">
        <v>2241</v>
      </c>
      <c r="H5155" t="s">
        <v>12055</v>
      </c>
      <c r="I5155" t="s">
        <v>23944</v>
      </c>
      <c r="J5155" t="s">
        <v>107</v>
      </c>
      <c r="M5155" t="s">
        <v>38</v>
      </c>
      <c r="N5155" t="s">
        <v>18009</v>
      </c>
      <c r="O5155" t="s">
        <v>23945</v>
      </c>
      <c r="P5155" t="s">
        <v>23946</v>
      </c>
      <c r="Q5155" t="s">
        <v>23947</v>
      </c>
      <c r="R5155">
        <v>15</v>
      </c>
      <c r="S5155">
        <v>16</v>
      </c>
    </row>
    <row r="5156" spans="1:19" x14ac:dyDescent="0.35">
      <c r="A5156">
        <v>6076</v>
      </c>
      <c r="B5156" t="s">
        <v>23948</v>
      </c>
      <c r="C5156" t="s">
        <v>42</v>
      </c>
      <c r="D5156" t="s">
        <v>23949</v>
      </c>
      <c r="E5156" t="e" cm="1">
        <f t="array" ref="E5156">- CEFADROXIL MONOHYDRATE</f>
        <v>#NAME?</v>
      </c>
      <c r="F5156" t="s">
        <v>23950</v>
      </c>
      <c r="G5156" t="s">
        <v>2241</v>
      </c>
      <c r="H5156" t="s">
        <v>21352</v>
      </c>
      <c r="I5156" t="s">
        <v>21353</v>
      </c>
      <c r="J5156" t="s">
        <v>846</v>
      </c>
      <c r="K5156" t="s">
        <v>21355</v>
      </c>
      <c r="L5156" t="s">
        <v>21356</v>
      </c>
      <c r="M5156" t="s">
        <v>271</v>
      </c>
      <c r="N5156" t="s">
        <v>1777</v>
      </c>
      <c r="O5156" t="s">
        <v>21358</v>
      </c>
      <c r="P5156" t="s">
        <v>23881</v>
      </c>
      <c r="Q5156" t="s">
        <v>23951</v>
      </c>
      <c r="R5156">
        <v>15</v>
      </c>
      <c r="S5156">
        <v>16</v>
      </c>
    </row>
    <row r="5157" spans="1:19" x14ac:dyDescent="0.35">
      <c r="A5157">
        <v>6488</v>
      </c>
      <c r="B5157" t="s">
        <v>23872</v>
      </c>
      <c r="C5157" t="s">
        <v>42</v>
      </c>
      <c r="D5157" t="s">
        <v>23873</v>
      </c>
      <c r="E5157" t="e" cm="1">
        <f t="array" ref="E5157">- CEFADROXIL MONOHYDRATE</f>
        <v>#NAME?</v>
      </c>
      <c r="F5157" t="s">
        <v>23874</v>
      </c>
      <c r="G5157" t="s">
        <v>2241</v>
      </c>
      <c r="H5157" t="s">
        <v>21352</v>
      </c>
      <c r="I5157" t="s">
        <v>21353</v>
      </c>
      <c r="J5157" t="s">
        <v>23360</v>
      </c>
      <c r="K5157" t="s">
        <v>21355</v>
      </c>
      <c r="L5157" t="s">
        <v>21356</v>
      </c>
      <c r="M5157" t="s">
        <v>38</v>
      </c>
      <c r="N5157" t="s">
        <v>1777</v>
      </c>
      <c r="O5157" t="s">
        <v>21358</v>
      </c>
      <c r="P5157" t="s">
        <v>23875</v>
      </c>
      <c r="Q5157" t="s">
        <v>23876</v>
      </c>
      <c r="R5157">
        <v>15</v>
      </c>
      <c r="S5157">
        <v>16</v>
      </c>
    </row>
    <row r="5158" spans="1:19" x14ac:dyDescent="0.35">
      <c r="A5158">
        <v>6077</v>
      </c>
      <c r="B5158" t="s">
        <v>23948</v>
      </c>
      <c r="C5158" t="s">
        <v>42</v>
      </c>
      <c r="D5158" t="s">
        <v>23949</v>
      </c>
      <c r="E5158" t="e" cm="1">
        <f t="array" ref="E5158">- CEFADROXIL MONOHYDRATE</f>
        <v>#NAME?</v>
      </c>
      <c r="F5158" t="s">
        <v>23950</v>
      </c>
      <c r="G5158" t="s">
        <v>2241</v>
      </c>
      <c r="H5158" t="s">
        <v>21352</v>
      </c>
      <c r="I5158" t="s">
        <v>21353</v>
      </c>
      <c r="J5158" t="s">
        <v>846</v>
      </c>
      <c r="K5158" t="s">
        <v>21355</v>
      </c>
      <c r="L5158" t="s">
        <v>21356</v>
      </c>
      <c r="M5158" t="s">
        <v>271</v>
      </c>
      <c r="N5158" t="s">
        <v>1777</v>
      </c>
      <c r="O5158" t="s">
        <v>21358</v>
      </c>
      <c r="P5158" t="s">
        <v>23881</v>
      </c>
      <c r="Q5158" t="s">
        <v>23951</v>
      </c>
      <c r="R5158">
        <v>15</v>
      </c>
      <c r="S5158">
        <v>16</v>
      </c>
    </row>
    <row r="5159" spans="1:19" x14ac:dyDescent="0.35">
      <c r="A5159">
        <v>6082</v>
      </c>
      <c r="B5159" t="s">
        <v>23952</v>
      </c>
      <c r="C5159" t="s">
        <v>42</v>
      </c>
      <c r="D5159" t="s">
        <v>23953</v>
      </c>
      <c r="E5159" t="e" cm="1">
        <f t="array" ref="E5159">- CEFADROXIL MONOHYDRATE</f>
        <v>#NAME?</v>
      </c>
      <c r="F5159" t="s">
        <v>23954</v>
      </c>
      <c r="G5159" t="s">
        <v>2241</v>
      </c>
      <c r="H5159" t="s">
        <v>21352</v>
      </c>
      <c r="I5159" t="s">
        <v>21353</v>
      </c>
      <c r="J5159" t="s">
        <v>8311</v>
      </c>
      <c r="K5159" t="s">
        <v>21355</v>
      </c>
      <c r="L5159" t="s">
        <v>21356</v>
      </c>
      <c r="M5159" t="s">
        <v>38</v>
      </c>
      <c r="N5159" t="s">
        <v>1777</v>
      </c>
      <c r="O5159" t="s">
        <v>21358</v>
      </c>
      <c r="P5159" t="s">
        <v>23955</v>
      </c>
      <c r="Q5159" t="s">
        <v>23956</v>
      </c>
      <c r="R5159">
        <v>15</v>
      </c>
      <c r="S5159">
        <v>16</v>
      </c>
    </row>
    <row r="5160" spans="1:19" x14ac:dyDescent="0.35">
      <c r="A5160">
        <v>638</v>
      </c>
      <c r="B5160" t="s">
        <v>23957</v>
      </c>
      <c r="C5160" t="s">
        <v>850</v>
      </c>
      <c r="D5160" t="s">
        <v>23958</v>
      </c>
      <c r="E5160" t="e" cm="1">
        <f t="array" ref="E5160">- Camphora</f>
        <v>#NAME?</v>
      </c>
      <c r="F5160" t="s">
        <v>22449</v>
      </c>
      <c r="G5160" t="s">
        <v>23959</v>
      </c>
      <c r="H5160" t="s">
        <v>23559</v>
      </c>
      <c r="I5160" t="s">
        <v>23960</v>
      </c>
      <c r="J5160" t="s">
        <v>23961</v>
      </c>
      <c r="K5160" t="s">
        <v>2726</v>
      </c>
      <c r="L5160" t="s">
        <v>23562</v>
      </c>
      <c r="M5160" t="s">
        <v>3632</v>
      </c>
      <c r="N5160" t="s">
        <v>3633</v>
      </c>
      <c r="O5160" t="s">
        <v>23962</v>
      </c>
      <c r="P5160" t="s">
        <v>23564</v>
      </c>
      <c r="Q5160" t="s">
        <v>23963</v>
      </c>
      <c r="R5160">
        <v>15</v>
      </c>
      <c r="S5160">
        <v>16</v>
      </c>
    </row>
    <row r="5161" spans="1:19" x14ac:dyDescent="0.35">
      <c r="A5161">
        <v>5840</v>
      </c>
      <c r="B5161" t="s">
        <v>23964</v>
      </c>
      <c r="C5161" t="s">
        <v>42</v>
      </c>
      <c r="D5161" t="s">
        <v>23965</v>
      </c>
      <c r="E5161" t="e" cm="1">
        <f t="array" ref="E5161">- CEFADROXIL MONOHYDRATE</f>
        <v>#NAME?</v>
      </c>
      <c r="F5161" t="s">
        <v>23966</v>
      </c>
      <c r="G5161" t="s">
        <v>2241</v>
      </c>
      <c r="H5161" t="s">
        <v>21352</v>
      </c>
      <c r="I5161" t="s">
        <v>21353</v>
      </c>
      <c r="J5161" t="s">
        <v>334</v>
      </c>
      <c r="K5161" t="s">
        <v>21355</v>
      </c>
      <c r="L5161" t="s">
        <v>21356</v>
      </c>
      <c r="M5161" t="s">
        <v>271</v>
      </c>
      <c r="N5161" t="s">
        <v>1777</v>
      </c>
      <c r="O5161" t="s">
        <v>21358</v>
      </c>
      <c r="P5161" t="s">
        <v>21359</v>
      </c>
      <c r="Q5161" t="s">
        <v>23967</v>
      </c>
      <c r="R5161">
        <v>15</v>
      </c>
      <c r="S5161">
        <v>16</v>
      </c>
    </row>
    <row r="5162" spans="1:19" x14ac:dyDescent="0.35">
      <c r="A5162">
        <v>6967</v>
      </c>
      <c r="B5162" t="s">
        <v>1803</v>
      </c>
      <c r="C5162" t="s">
        <v>42</v>
      </c>
      <c r="D5162" t="s">
        <v>23968</v>
      </c>
      <c r="E5162" t="e" cm="1">
        <f t="array" ref="E5162">- TIZANIDINE HYDROCHLORIDE</f>
        <v>#NAME?</v>
      </c>
      <c r="F5162" t="s">
        <v>23969</v>
      </c>
      <c r="I5162" t="s">
        <v>23671</v>
      </c>
      <c r="J5162" t="s">
        <v>23672</v>
      </c>
      <c r="M5162" t="s">
        <v>46</v>
      </c>
      <c r="N5162" t="s">
        <v>1806</v>
      </c>
      <c r="O5162" t="s">
        <v>23673</v>
      </c>
      <c r="P5162" t="s">
        <v>23970</v>
      </c>
      <c r="Q5162" t="s">
        <v>23971</v>
      </c>
      <c r="R5162">
        <v>15</v>
      </c>
      <c r="S5162">
        <v>16</v>
      </c>
    </row>
    <row r="5163" spans="1:19" x14ac:dyDescent="0.35">
      <c r="A5163">
        <v>6386</v>
      </c>
      <c r="B5163" t="s">
        <v>23972</v>
      </c>
      <c r="C5163" t="s">
        <v>42</v>
      </c>
      <c r="D5163" t="s">
        <v>23973</v>
      </c>
      <c r="E5163" t="e" cm="1">
        <f t="array" ref="E5163">- NIFUROXAZIDE</f>
        <v>#NAME?</v>
      </c>
      <c r="F5163" t="s">
        <v>23974</v>
      </c>
      <c r="G5163" t="s">
        <v>60</v>
      </c>
      <c r="H5163" t="s">
        <v>23769</v>
      </c>
      <c r="I5163" t="s">
        <v>23770</v>
      </c>
      <c r="J5163" t="s">
        <v>334</v>
      </c>
      <c r="K5163" t="s">
        <v>3473</v>
      </c>
      <c r="L5163" t="s">
        <v>321</v>
      </c>
      <c r="M5163" t="s">
        <v>340</v>
      </c>
      <c r="N5163" t="s">
        <v>1208</v>
      </c>
      <c r="O5163" t="s">
        <v>23772</v>
      </c>
      <c r="P5163" t="s">
        <v>23975</v>
      </c>
      <c r="Q5163" t="s">
        <v>23976</v>
      </c>
      <c r="R5163">
        <v>15</v>
      </c>
      <c r="S5163">
        <v>16</v>
      </c>
    </row>
    <row r="5164" spans="1:19" x14ac:dyDescent="0.35">
      <c r="A5164">
        <v>9167</v>
      </c>
      <c r="B5164" t="s">
        <v>23977</v>
      </c>
      <c r="C5164" t="s">
        <v>42</v>
      </c>
      <c r="D5164" t="s">
        <v>23978</v>
      </c>
      <c r="E5164" t="e" cm="1">
        <f t="array" ref="E5164">- LISINOPRIL DIHYDRATE</f>
        <v>#NAME?</v>
      </c>
      <c r="F5164" t="s">
        <v>23979</v>
      </c>
      <c r="G5164" t="s">
        <v>3098</v>
      </c>
      <c r="H5164" t="s">
        <v>23980</v>
      </c>
      <c r="I5164" t="s">
        <v>23981</v>
      </c>
      <c r="J5164" t="s">
        <v>599</v>
      </c>
      <c r="K5164" t="s">
        <v>20672</v>
      </c>
      <c r="L5164" t="s">
        <v>23982</v>
      </c>
      <c r="M5164" t="s">
        <v>46</v>
      </c>
      <c r="N5164" t="s">
        <v>20008</v>
      </c>
      <c r="O5164" t="s">
        <v>23983</v>
      </c>
      <c r="P5164" t="s">
        <v>23984</v>
      </c>
      <c r="Q5164" t="s">
        <v>23985</v>
      </c>
      <c r="R5164">
        <v>15</v>
      </c>
      <c r="S5164">
        <v>16</v>
      </c>
    </row>
    <row r="5165" spans="1:19" x14ac:dyDescent="0.35">
      <c r="A5165">
        <v>5586</v>
      </c>
      <c r="B5165" t="s">
        <v>23986</v>
      </c>
      <c r="C5165" t="s">
        <v>42</v>
      </c>
      <c r="D5165" t="s">
        <v>23987</v>
      </c>
      <c r="E5165" t="e" cm="1">
        <f t="array" ref="E5165">- PERMETHRIN</f>
        <v>#NAME?</v>
      </c>
      <c r="F5165" t="s">
        <v>23988</v>
      </c>
      <c r="H5165" t="s">
        <v>269</v>
      </c>
      <c r="I5165" t="s">
        <v>23989</v>
      </c>
      <c r="L5165" t="s">
        <v>270</v>
      </c>
      <c r="M5165" t="s">
        <v>1289</v>
      </c>
      <c r="N5165" t="s">
        <v>2942</v>
      </c>
      <c r="O5165" t="s">
        <v>23990</v>
      </c>
      <c r="P5165" t="s">
        <v>23991</v>
      </c>
      <c r="Q5165" t="s">
        <v>23992</v>
      </c>
      <c r="R5165">
        <v>15</v>
      </c>
      <c r="S5165">
        <v>16</v>
      </c>
    </row>
    <row r="5166" spans="1:19" x14ac:dyDescent="0.35">
      <c r="A5166">
        <v>5587</v>
      </c>
      <c r="B5166" t="s">
        <v>23986</v>
      </c>
      <c r="C5166" t="s">
        <v>42</v>
      </c>
      <c r="D5166" t="s">
        <v>23987</v>
      </c>
      <c r="E5166" t="e" cm="1">
        <f t="array" ref="E5166">- PERMETHRIN</f>
        <v>#NAME?</v>
      </c>
      <c r="F5166" t="s">
        <v>23988</v>
      </c>
      <c r="H5166" t="s">
        <v>269</v>
      </c>
      <c r="I5166" t="s">
        <v>23989</v>
      </c>
      <c r="L5166" t="s">
        <v>270</v>
      </c>
      <c r="M5166" t="s">
        <v>1289</v>
      </c>
      <c r="N5166" t="s">
        <v>2942</v>
      </c>
      <c r="O5166" t="s">
        <v>23990</v>
      </c>
      <c r="P5166" t="s">
        <v>23991</v>
      </c>
      <c r="Q5166" t="s">
        <v>23992</v>
      </c>
      <c r="R5166">
        <v>15</v>
      </c>
      <c r="S5166">
        <v>16</v>
      </c>
    </row>
    <row r="5167" spans="1:19" x14ac:dyDescent="0.35">
      <c r="A5167">
        <v>5588</v>
      </c>
      <c r="B5167" t="s">
        <v>23986</v>
      </c>
      <c r="C5167" t="s">
        <v>42</v>
      </c>
      <c r="D5167" t="s">
        <v>23987</v>
      </c>
      <c r="E5167" t="e" cm="1">
        <f t="array" ref="E5167">- PERMETHRIN</f>
        <v>#NAME?</v>
      </c>
      <c r="F5167" t="s">
        <v>23988</v>
      </c>
      <c r="H5167" t="s">
        <v>269</v>
      </c>
      <c r="I5167" t="s">
        <v>23989</v>
      </c>
      <c r="L5167" t="s">
        <v>270</v>
      </c>
      <c r="M5167" t="s">
        <v>1289</v>
      </c>
      <c r="N5167" t="s">
        <v>2942</v>
      </c>
      <c r="O5167" t="s">
        <v>23990</v>
      </c>
      <c r="P5167" t="s">
        <v>23991</v>
      </c>
      <c r="Q5167" t="s">
        <v>23992</v>
      </c>
      <c r="R5167">
        <v>15</v>
      </c>
      <c r="S5167">
        <v>16</v>
      </c>
    </row>
    <row r="5168" spans="1:19" x14ac:dyDescent="0.35">
      <c r="A5168">
        <v>7212</v>
      </c>
      <c r="B5168" t="s">
        <v>23993</v>
      </c>
      <c r="C5168" t="s">
        <v>20</v>
      </c>
      <c r="D5168" t="s">
        <v>23994</v>
      </c>
      <c r="E5168" t="s">
        <v>23995</v>
      </c>
      <c r="F5168" t="s">
        <v>23996</v>
      </c>
      <c r="G5168" t="s">
        <v>23997</v>
      </c>
      <c r="H5168" t="s">
        <v>1322</v>
      </c>
      <c r="I5168" t="s">
        <v>23998</v>
      </c>
      <c r="J5168" t="s">
        <v>8174</v>
      </c>
      <c r="L5168" t="s">
        <v>23999</v>
      </c>
      <c r="M5168" t="s">
        <v>1289</v>
      </c>
      <c r="N5168" t="s">
        <v>24000</v>
      </c>
      <c r="O5168" t="s">
        <v>24001</v>
      </c>
      <c r="P5168" t="s">
        <v>24002</v>
      </c>
      <c r="Q5168" t="s">
        <v>24003</v>
      </c>
      <c r="R5168">
        <v>15</v>
      </c>
      <c r="S5168">
        <v>16</v>
      </c>
    </row>
    <row r="5169" spans="1:19" x14ac:dyDescent="0.35">
      <c r="A5169">
        <v>9168</v>
      </c>
      <c r="B5169" t="s">
        <v>23977</v>
      </c>
      <c r="C5169" t="s">
        <v>42</v>
      </c>
      <c r="D5169" t="s">
        <v>23978</v>
      </c>
      <c r="E5169" t="e" cm="1">
        <f t="array" ref="E5169">- LISINOPRIL DIHYDRATE</f>
        <v>#NAME?</v>
      </c>
      <c r="F5169" t="s">
        <v>23979</v>
      </c>
      <c r="G5169" t="s">
        <v>3098</v>
      </c>
      <c r="H5169" t="s">
        <v>23980</v>
      </c>
      <c r="I5169" t="s">
        <v>23981</v>
      </c>
      <c r="J5169" t="s">
        <v>599</v>
      </c>
      <c r="K5169" t="s">
        <v>20672</v>
      </c>
      <c r="L5169" t="s">
        <v>23982</v>
      </c>
      <c r="M5169" t="s">
        <v>46</v>
      </c>
      <c r="N5169" t="s">
        <v>20008</v>
      </c>
      <c r="O5169" t="s">
        <v>23983</v>
      </c>
      <c r="P5169" t="s">
        <v>23984</v>
      </c>
      <c r="Q5169" t="s">
        <v>23985</v>
      </c>
      <c r="R5169">
        <v>15</v>
      </c>
      <c r="S5169">
        <v>16</v>
      </c>
    </row>
    <row r="5170" spans="1:19" x14ac:dyDescent="0.35">
      <c r="A5170">
        <v>5600</v>
      </c>
      <c r="B5170" t="s">
        <v>24004</v>
      </c>
      <c r="C5170" t="s">
        <v>42</v>
      </c>
      <c r="D5170" t="s">
        <v>24005</v>
      </c>
      <c r="E5170" t="e" cm="1">
        <f t="array" ref="E5170">- CEFADROXIL MONOHYDRATE</f>
        <v>#NAME?</v>
      </c>
      <c r="F5170" t="s">
        <v>24006</v>
      </c>
      <c r="G5170" t="s">
        <v>2241</v>
      </c>
      <c r="H5170" t="s">
        <v>21352</v>
      </c>
      <c r="I5170" t="s">
        <v>21353</v>
      </c>
      <c r="J5170" t="s">
        <v>23880</v>
      </c>
      <c r="K5170" t="s">
        <v>21355</v>
      </c>
      <c r="L5170" t="s">
        <v>21356</v>
      </c>
      <c r="M5170" t="s">
        <v>38</v>
      </c>
      <c r="N5170" t="s">
        <v>1777</v>
      </c>
      <c r="O5170" t="s">
        <v>21358</v>
      </c>
      <c r="P5170" t="s">
        <v>21357</v>
      </c>
      <c r="Q5170" t="s">
        <v>24007</v>
      </c>
      <c r="R5170">
        <v>15</v>
      </c>
      <c r="S5170">
        <v>16</v>
      </c>
    </row>
    <row r="5171" spans="1:19" x14ac:dyDescent="0.35">
      <c r="A5171">
        <v>5601</v>
      </c>
      <c r="B5171" t="s">
        <v>24004</v>
      </c>
      <c r="C5171" t="s">
        <v>42</v>
      </c>
      <c r="D5171" t="s">
        <v>24005</v>
      </c>
      <c r="E5171" t="e" cm="1">
        <f t="array" ref="E5171">- CEFADROXIL MONOHYDRATE</f>
        <v>#NAME?</v>
      </c>
      <c r="F5171" t="s">
        <v>24006</v>
      </c>
      <c r="G5171" t="s">
        <v>2241</v>
      </c>
      <c r="H5171" t="s">
        <v>21352</v>
      </c>
      <c r="I5171" t="s">
        <v>21353</v>
      </c>
      <c r="J5171" t="s">
        <v>23880</v>
      </c>
      <c r="K5171" t="s">
        <v>21355</v>
      </c>
      <c r="L5171" t="s">
        <v>21356</v>
      </c>
      <c r="M5171" t="s">
        <v>38</v>
      </c>
      <c r="N5171" t="s">
        <v>1777</v>
      </c>
      <c r="O5171" t="s">
        <v>21358</v>
      </c>
      <c r="P5171" t="s">
        <v>21357</v>
      </c>
      <c r="Q5171" t="s">
        <v>24007</v>
      </c>
      <c r="R5171">
        <v>15</v>
      </c>
      <c r="S5171">
        <v>16</v>
      </c>
    </row>
    <row r="5172" spans="1:19" x14ac:dyDescent="0.35">
      <c r="A5172">
        <v>2583</v>
      </c>
      <c r="B5172" t="s">
        <v>24008</v>
      </c>
      <c r="C5172" t="s">
        <v>42</v>
      </c>
      <c r="D5172" t="s">
        <v>24009</v>
      </c>
      <c r="E5172" t="e" cm="1">
        <f t="array" ref="E5172">- MELOXICAM</f>
        <v>#NAME?</v>
      </c>
      <c r="F5172" t="s">
        <v>24010</v>
      </c>
      <c r="G5172" t="s">
        <v>2241</v>
      </c>
      <c r="H5172" t="s">
        <v>21015</v>
      </c>
      <c r="I5172" t="s">
        <v>24011</v>
      </c>
      <c r="J5172" t="s">
        <v>4095</v>
      </c>
      <c r="K5172" t="s">
        <v>24012</v>
      </c>
      <c r="L5172" t="s">
        <v>24013</v>
      </c>
      <c r="M5172" t="s">
        <v>46</v>
      </c>
      <c r="N5172" t="s">
        <v>412</v>
      </c>
      <c r="O5172" t="s">
        <v>24014</v>
      </c>
      <c r="P5172" t="s">
        <v>24015</v>
      </c>
      <c r="Q5172" t="s">
        <v>24016</v>
      </c>
      <c r="R5172">
        <v>15</v>
      </c>
      <c r="S5172">
        <v>16</v>
      </c>
    </row>
    <row r="5173" spans="1:19" x14ac:dyDescent="0.35">
      <c r="A5173">
        <v>9166</v>
      </c>
      <c r="B5173" t="s">
        <v>24017</v>
      </c>
      <c r="C5173" t="s">
        <v>42</v>
      </c>
      <c r="D5173" t="s">
        <v>24018</v>
      </c>
      <c r="E5173" t="e" cm="1">
        <f t="array" ref="E5173">- LISINOPRIL DIHYDRATE</f>
        <v>#NAME?</v>
      </c>
      <c r="F5173" t="s">
        <v>24019</v>
      </c>
      <c r="G5173" t="s">
        <v>3098</v>
      </c>
      <c r="H5173" t="s">
        <v>23980</v>
      </c>
      <c r="I5173" t="s">
        <v>23981</v>
      </c>
      <c r="J5173" t="s">
        <v>599</v>
      </c>
      <c r="K5173" t="s">
        <v>20672</v>
      </c>
      <c r="L5173" t="s">
        <v>24020</v>
      </c>
      <c r="M5173" t="s">
        <v>46</v>
      </c>
      <c r="N5173" t="s">
        <v>20008</v>
      </c>
      <c r="O5173" t="s">
        <v>23983</v>
      </c>
      <c r="P5173" t="s">
        <v>23984</v>
      </c>
      <c r="Q5173" t="s">
        <v>23985</v>
      </c>
      <c r="R5173">
        <v>15</v>
      </c>
      <c r="S5173">
        <v>16</v>
      </c>
    </row>
    <row r="5174" spans="1:19" x14ac:dyDescent="0.35">
      <c r="A5174">
        <v>2582</v>
      </c>
      <c r="B5174" t="s">
        <v>24008</v>
      </c>
      <c r="C5174" t="s">
        <v>42</v>
      </c>
      <c r="D5174" t="s">
        <v>24009</v>
      </c>
      <c r="E5174" t="e" cm="1">
        <f t="array" ref="E5174">- MELOXICAM</f>
        <v>#NAME?</v>
      </c>
      <c r="F5174" t="s">
        <v>24010</v>
      </c>
      <c r="G5174" t="s">
        <v>2241</v>
      </c>
      <c r="H5174" t="s">
        <v>21015</v>
      </c>
      <c r="I5174" t="s">
        <v>24011</v>
      </c>
      <c r="J5174" t="s">
        <v>4095</v>
      </c>
      <c r="K5174" t="s">
        <v>24012</v>
      </c>
      <c r="L5174" t="s">
        <v>24013</v>
      </c>
      <c r="M5174" t="s">
        <v>46</v>
      </c>
      <c r="N5174" t="s">
        <v>412</v>
      </c>
      <c r="O5174" t="s">
        <v>24014</v>
      </c>
      <c r="P5174" t="s">
        <v>24015</v>
      </c>
      <c r="Q5174" t="s">
        <v>24016</v>
      </c>
      <c r="R5174">
        <v>15</v>
      </c>
      <c r="S5174">
        <v>16</v>
      </c>
    </row>
    <row r="5175" spans="1:19" x14ac:dyDescent="0.35">
      <c r="A5175">
        <v>2581</v>
      </c>
      <c r="B5175" t="s">
        <v>24021</v>
      </c>
      <c r="C5175" t="s">
        <v>42</v>
      </c>
      <c r="D5175" t="s">
        <v>24022</v>
      </c>
      <c r="E5175" t="e" cm="1">
        <f t="array" ref="E5175">- MELOXICAM</f>
        <v>#NAME?</v>
      </c>
      <c r="F5175" t="s">
        <v>24023</v>
      </c>
      <c r="G5175" t="s">
        <v>2241</v>
      </c>
      <c r="H5175" t="s">
        <v>2643</v>
      </c>
      <c r="I5175" t="s">
        <v>24011</v>
      </c>
      <c r="J5175" t="s">
        <v>20629</v>
      </c>
      <c r="L5175" t="s">
        <v>24013</v>
      </c>
      <c r="M5175" t="s">
        <v>46</v>
      </c>
      <c r="N5175" t="s">
        <v>412</v>
      </c>
      <c r="O5175" t="s">
        <v>24014</v>
      </c>
      <c r="P5175" t="s">
        <v>24015</v>
      </c>
      <c r="Q5175" t="s">
        <v>24016</v>
      </c>
      <c r="R5175">
        <v>15</v>
      </c>
      <c r="S5175">
        <v>16</v>
      </c>
    </row>
    <row r="5176" spans="1:19" x14ac:dyDescent="0.35">
      <c r="A5176">
        <v>2580</v>
      </c>
      <c r="B5176" t="s">
        <v>24021</v>
      </c>
      <c r="C5176" t="s">
        <v>42</v>
      </c>
      <c r="D5176" t="s">
        <v>24022</v>
      </c>
      <c r="E5176" t="e" cm="1">
        <f t="array" ref="E5176">- MELOXICAM</f>
        <v>#NAME?</v>
      </c>
      <c r="F5176" t="s">
        <v>24023</v>
      </c>
      <c r="G5176" t="s">
        <v>2241</v>
      </c>
      <c r="H5176" t="s">
        <v>2643</v>
      </c>
      <c r="I5176" t="s">
        <v>24011</v>
      </c>
      <c r="J5176" t="s">
        <v>20629</v>
      </c>
      <c r="L5176" t="s">
        <v>24013</v>
      </c>
      <c r="M5176" t="s">
        <v>46</v>
      </c>
      <c r="N5176" t="s">
        <v>412</v>
      </c>
      <c r="O5176" t="s">
        <v>24014</v>
      </c>
      <c r="P5176" t="s">
        <v>24015</v>
      </c>
      <c r="Q5176" t="s">
        <v>24016</v>
      </c>
      <c r="R5176">
        <v>15</v>
      </c>
      <c r="S5176">
        <v>16</v>
      </c>
    </row>
    <row r="5177" spans="1:19" x14ac:dyDescent="0.35">
      <c r="A5177">
        <v>2575</v>
      </c>
      <c r="B5177" t="s">
        <v>24024</v>
      </c>
      <c r="C5177" t="s">
        <v>42</v>
      </c>
      <c r="D5177" t="s">
        <v>24025</v>
      </c>
      <c r="E5177" t="e" cm="1">
        <f t="array" ref="E5177">- MELOXICAM</f>
        <v>#NAME?</v>
      </c>
      <c r="F5177" t="s">
        <v>24026</v>
      </c>
      <c r="G5177" t="s">
        <v>2241</v>
      </c>
      <c r="H5177" t="s">
        <v>2643</v>
      </c>
      <c r="I5177" t="s">
        <v>24011</v>
      </c>
      <c r="J5177" t="s">
        <v>9486</v>
      </c>
      <c r="K5177" t="s">
        <v>24027</v>
      </c>
      <c r="L5177" t="s">
        <v>24028</v>
      </c>
      <c r="M5177" t="s">
        <v>46</v>
      </c>
      <c r="N5177" t="s">
        <v>412</v>
      </c>
      <c r="O5177" t="s">
        <v>24014</v>
      </c>
      <c r="P5177" t="s">
        <v>24029</v>
      </c>
      <c r="Q5177" t="s">
        <v>24030</v>
      </c>
      <c r="R5177">
        <v>15</v>
      </c>
      <c r="S5177">
        <v>16</v>
      </c>
    </row>
    <row r="5178" spans="1:19" x14ac:dyDescent="0.35">
      <c r="A5178">
        <v>2574</v>
      </c>
      <c r="B5178" t="s">
        <v>24024</v>
      </c>
      <c r="C5178" t="s">
        <v>42</v>
      </c>
      <c r="D5178" t="s">
        <v>24025</v>
      </c>
      <c r="E5178" t="e" cm="1">
        <f t="array" ref="E5178">- MELOXICAM</f>
        <v>#NAME?</v>
      </c>
      <c r="F5178" t="s">
        <v>24026</v>
      </c>
      <c r="G5178" t="s">
        <v>2241</v>
      </c>
      <c r="H5178" t="s">
        <v>2643</v>
      </c>
      <c r="I5178" t="s">
        <v>24011</v>
      </c>
      <c r="J5178" t="s">
        <v>9486</v>
      </c>
      <c r="K5178" t="s">
        <v>24027</v>
      </c>
      <c r="L5178" t="s">
        <v>24028</v>
      </c>
      <c r="M5178" t="s">
        <v>46</v>
      </c>
      <c r="N5178" t="s">
        <v>412</v>
      </c>
      <c r="O5178" t="s">
        <v>24014</v>
      </c>
      <c r="P5178" t="s">
        <v>24029</v>
      </c>
      <c r="Q5178" t="s">
        <v>24030</v>
      </c>
      <c r="R5178">
        <v>15</v>
      </c>
      <c r="S5178">
        <v>16</v>
      </c>
    </row>
    <row r="5179" spans="1:19" x14ac:dyDescent="0.35">
      <c r="A5179">
        <v>7152</v>
      </c>
      <c r="B5179" t="s">
        <v>24031</v>
      </c>
      <c r="C5179" t="s">
        <v>20</v>
      </c>
      <c r="D5179" t="s">
        <v>24032</v>
      </c>
      <c r="E5179" t="s">
        <v>24033</v>
      </c>
      <c r="F5179" t="s">
        <v>24034</v>
      </c>
      <c r="G5179" t="s">
        <v>24035</v>
      </c>
      <c r="H5179" t="s">
        <v>24036</v>
      </c>
      <c r="I5179" t="s">
        <v>7630</v>
      </c>
      <c r="J5179" t="s">
        <v>5284</v>
      </c>
      <c r="L5179" t="s">
        <v>24037</v>
      </c>
      <c r="N5179" t="s">
        <v>24038</v>
      </c>
      <c r="O5179" t="s">
        <v>7633</v>
      </c>
      <c r="P5179" t="s">
        <v>24039</v>
      </c>
      <c r="Q5179" t="s">
        <v>24040</v>
      </c>
      <c r="R5179">
        <v>15</v>
      </c>
      <c r="S5179">
        <v>16</v>
      </c>
    </row>
    <row r="5180" spans="1:19" x14ac:dyDescent="0.35">
      <c r="A5180">
        <v>7151</v>
      </c>
      <c r="B5180" t="s">
        <v>24031</v>
      </c>
      <c r="C5180" t="s">
        <v>20</v>
      </c>
      <c r="D5180" t="s">
        <v>24032</v>
      </c>
      <c r="E5180" t="s">
        <v>24033</v>
      </c>
      <c r="F5180" t="s">
        <v>24034</v>
      </c>
      <c r="G5180" t="s">
        <v>24035</v>
      </c>
      <c r="H5180" t="s">
        <v>24036</v>
      </c>
      <c r="I5180" t="s">
        <v>7630</v>
      </c>
      <c r="J5180" t="s">
        <v>5284</v>
      </c>
      <c r="L5180" t="s">
        <v>24037</v>
      </c>
      <c r="N5180" t="s">
        <v>24038</v>
      </c>
      <c r="O5180" t="s">
        <v>7633</v>
      </c>
      <c r="P5180" t="s">
        <v>24039</v>
      </c>
      <c r="Q5180" t="s">
        <v>24040</v>
      </c>
      <c r="R5180">
        <v>15</v>
      </c>
      <c r="S5180">
        <v>16</v>
      </c>
    </row>
    <row r="5181" spans="1:19" x14ac:dyDescent="0.35">
      <c r="A5181">
        <v>5623</v>
      </c>
      <c r="B5181" t="s">
        <v>24041</v>
      </c>
      <c r="C5181" t="s">
        <v>42</v>
      </c>
      <c r="D5181" t="s">
        <v>24042</v>
      </c>
      <c r="E5181" t="e" cm="1">
        <f t="array" ref="E5181">- CEFADROXIL MONOHYDRATE</f>
        <v>#NAME?</v>
      </c>
      <c r="F5181" t="s">
        <v>24043</v>
      </c>
      <c r="G5181" t="s">
        <v>2241</v>
      </c>
      <c r="H5181" t="s">
        <v>21352</v>
      </c>
      <c r="I5181" t="s">
        <v>21353</v>
      </c>
      <c r="J5181" t="s">
        <v>810</v>
      </c>
      <c r="K5181" t="s">
        <v>21355</v>
      </c>
      <c r="L5181" t="s">
        <v>21356</v>
      </c>
      <c r="M5181" t="s">
        <v>38</v>
      </c>
      <c r="N5181" t="s">
        <v>1777</v>
      </c>
      <c r="O5181" t="s">
        <v>21358</v>
      </c>
      <c r="P5181" t="s">
        <v>23754</v>
      </c>
      <c r="Q5181" t="s">
        <v>23755</v>
      </c>
      <c r="R5181">
        <v>15</v>
      </c>
      <c r="S5181">
        <v>16</v>
      </c>
    </row>
    <row r="5182" spans="1:19" x14ac:dyDescent="0.35">
      <c r="A5182">
        <v>5624</v>
      </c>
      <c r="B5182" t="s">
        <v>24041</v>
      </c>
      <c r="C5182" t="s">
        <v>42</v>
      </c>
      <c r="D5182" t="s">
        <v>24042</v>
      </c>
      <c r="E5182" t="e" cm="1">
        <f t="array" ref="E5182">- CEFADROXIL MONOHYDRATE</f>
        <v>#NAME?</v>
      </c>
      <c r="F5182" t="s">
        <v>24043</v>
      </c>
      <c r="G5182" t="s">
        <v>2241</v>
      </c>
      <c r="H5182" t="s">
        <v>21352</v>
      </c>
      <c r="I5182" t="s">
        <v>21353</v>
      </c>
      <c r="J5182" t="s">
        <v>810</v>
      </c>
      <c r="K5182" t="s">
        <v>21355</v>
      </c>
      <c r="L5182" t="s">
        <v>21356</v>
      </c>
      <c r="M5182" t="s">
        <v>38</v>
      </c>
      <c r="N5182" t="s">
        <v>1777</v>
      </c>
      <c r="O5182" t="s">
        <v>21358</v>
      </c>
      <c r="P5182" t="s">
        <v>23754</v>
      </c>
      <c r="Q5182" t="s">
        <v>23755</v>
      </c>
      <c r="R5182">
        <v>15</v>
      </c>
      <c r="S5182">
        <v>16</v>
      </c>
    </row>
    <row r="5183" spans="1:19" x14ac:dyDescent="0.35">
      <c r="A5183">
        <v>2544</v>
      </c>
      <c r="B5183" t="s">
        <v>24044</v>
      </c>
      <c r="C5183" t="s">
        <v>42</v>
      </c>
      <c r="D5183" t="s">
        <v>24045</v>
      </c>
      <c r="E5183" t="e" cm="1">
        <f t="array" ref="E5183">- BETAHISTINE MESILATE</f>
        <v>#NAME?</v>
      </c>
      <c r="F5183" t="s">
        <v>24046</v>
      </c>
      <c r="G5183" t="s">
        <v>5866</v>
      </c>
      <c r="H5183" t="s">
        <v>24047</v>
      </c>
      <c r="I5183" t="s">
        <v>24048</v>
      </c>
      <c r="J5183" t="s">
        <v>599</v>
      </c>
      <c r="L5183" t="s">
        <v>270</v>
      </c>
      <c r="M5183" t="s">
        <v>46</v>
      </c>
      <c r="N5183" t="s">
        <v>2380</v>
      </c>
      <c r="O5183" t="s">
        <v>24049</v>
      </c>
      <c r="P5183" t="s">
        <v>24050</v>
      </c>
      <c r="Q5183" t="s">
        <v>24051</v>
      </c>
      <c r="R5183">
        <v>15</v>
      </c>
      <c r="S5183">
        <v>16</v>
      </c>
    </row>
    <row r="5184" spans="1:19" x14ac:dyDescent="0.35">
      <c r="A5184">
        <v>2543</v>
      </c>
      <c r="B5184" t="s">
        <v>24044</v>
      </c>
      <c r="C5184" t="s">
        <v>42</v>
      </c>
      <c r="D5184" t="s">
        <v>24045</v>
      </c>
      <c r="E5184" t="e" cm="1">
        <f t="array" ref="E5184">- BETAHISTINE MESILATE</f>
        <v>#NAME?</v>
      </c>
      <c r="F5184" t="s">
        <v>24046</v>
      </c>
      <c r="G5184" t="s">
        <v>5866</v>
      </c>
      <c r="H5184" t="s">
        <v>24047</v>
      </c>
      <c r="I5184" t="s">
        <v>24048</v>
      </c>
      <c r="J5184" t="s">
        <v>599</v>
      </c>
      <c r="L5184" t="s">
        <v>270</v>
      </c>
      <c r="M5184" t="s">
        <v>46</v>
      </c>
      <c r="N5184" t="s">
        <v>2380</v>
      </c>
      <c r="O5184" t="s">
        <v>24049</v>
      </c>
      <c r="P5184" t="s">
        <v>24050</v>
      </c>
      <c r="Q5184" t="s">
        <v>24051</v>
      </c>
      <c r="R5184">
        <v>15</v>
      </c>
      <c r="S5184">
        <v>16</v>
      </c>
    </row>
    <row r="5185" spans="1:19" x14ac:dyDescent="0.35">
      <c r="A5185">
        <v>7165</v>
      </c>
      <c r="B5185" t="s">
        <v>24052</v>
      </c>
      <c r="C5185" t="s">
        <v>850</v>
      </c>
      <c r="D5185" t="s">
        <v>24053</v>
      </c>
      <c r="E5185" t="s">
        <v>2069</v>
      </c>
      <c r="F5185" t="s">
        <v>24054</v>
      </c>
      <c r="G5185" t="s">
        <v>24055</v>
      </c>
      <c r="H5185" t="s">
        <v>9172</v>
      </c>
      <c r="I5185" t="s">
        <v>24056</v>
      </c>
      <c r="J5185" t="s">
        <v>24057</v>
      </c>
      <c r="L5185" t="s">
        <v>24058</v>
      </c>
      <c r="N5185" t="s">
        <v>2071</v>
      </c>
      <c r="O5185" t="s">
        <v>24059</v>
      </c>
      <c r="P5185" t="s">
        <v>24060</v>
      </c>
      <c r="Q5185" t="s">
        <v>24061</v>
      </c>
      <c r="R5185">
        <v>15</v>
      </c>
      <c r="S5185">
        <v>16</v>
      </c>
    </row>
    <row r="5186" spans="1:19" x14ac:dyDescent="0.35">
      <c r="A5186">
        <v>5581</v>
      </c>
      <c r="B5186" t="s">
        <v>24062</v>
      </c>
      <c r="C5186" t="s">
        <v>42</v>
      </c>
      <c r="D5186" t="s">
        <v>24063</v>
      </c>
      <c r="E5186" t="e" cm="1">
        <f t="array" ref="E5186">- UREA</f>
        <v>#NAME?</v>
      </c>
      <c r="F5186" t="s">
        <v>24064</v>
      </c>
      <c r="G5186" t="s">
        <v>24065</v>
      </c>
      <c r="H5186" t="s">
        <v>15207</v>
      </c>
      <c r="I5186" t="s">
        <v>24066</v>
      </c>
      <c r="J5186" t="s">
        <v>3197</v>
      </c>
      <c r="K5186" t="s">
        <v>9842</v>
      </c>
      <c r="L5186" t="s">
        <v>24067</v>
      </c>
      <c r="M5186" t="s">
        <v>1289</v>
      </c>
      <c r="N5186" t="s">
        <v>17295</v>
      </c>
      <c r="O5186" t="s">
        <v>24068</v>
      </c>
      <c r="P5186" t="s">
        <v>24069</v>
      </c>
      <c r="Q5186" t="s">
        <v>24070</v>
      </c>
      <c r="R5186">
        <v>15</v>
      </c>
      <c r="S5186">
        <v>16</v>
      </c>
    </row>
    <row r="5187" spans="1:19" x14ac:dyDescent="0.35">
      <c r="A5187">
        <v>938</v>
      </c>
      <c r="B5187" t="s">
        <v>19239</v>
      </c>
      <c r="C5187" t="s">
        <v>42</v>
      </c>
      <c r="D5187" t="s">
        <v>22200</v>
      </c>
      <c r="E5187" t="e" cm="1">
        <f t="array" ref="E5187">- BROMHEXINE HYDROCHLORIDE. GUAIFENESIN</f>
        <v>#NAME?</v>
      </c>
      <c r="F5187" t="s">
        <v>22201</v>
      </c>
      <c r="G5187" t="s">
        <v>2241</v>
      </c>
      <c r="H5187" t="s">
        <v>22202</v>
      </c>
      <c r="I5187" t="s">
        <v>22203</v>
      </c>
      <c r="J5187" t="s">
        <v>374</v>
      </c>
      <c r="K5187" t="s">
        <v>8963</v>
      </c>
      <c r="L5187" t="s">
        <v>22204</v>
      </c>
      <c r="M5187" t="s">
        <v>271</v>
      </c>
      <c r="N5187" t="s">
        <v>3917</v>
      </c>
      <c r="O5187" t="s">
        <v>22205</v>
      </c>
      <c r="P5187" t="s">
        <v>19246</v>
      </c>
      <c r="Q5187" t="s">
        <v>24071</v>
      </c>
      <c r="R5187">
        <v>15</v>
      </c>
      <c r="S5187">
        <v>16</v>
      </c>
    </row>
    <row r="5188" spans="1:19" x14ac:dyDescent="0.35">
      <c r="A5188">
        <v>939</v>
      </c>
      <c r="B5188" t="s">
        <v>19239</v>
      </c>
      <c r="C5188" t="s">
        <v>42</v>
      </c>
      <c r="D5188" t="s">
        <v>22200</v>
      </c>
      <c r="E5188" t="e" cm="1">
        <f t="array" ref="E5188">- BROMHEXINE HYDROCHLORIDE. GUAIFENESIN</f>
        <v>#NAME?</v>
      </c>
      <c r="F5188" t="s">
        <v>22201</v>
      </c>
      <c r="G5188" t="s">
        <v>2241</v>
      </c>
      <c r="H5188" t="s">
        <v>22202</v>
      </c>
      <c r="I5188" t="s">
        <v>22203</v>
      </c>
      <c r="J5188" t="s">
        <v>374</v>
      </c>
      <c r="K5188" t="s">
        <v>8963</v>
      </c>
      <c r="L5188" t="s">
        <v>22204</v>
      </c>
      <c r="M5188" t="s">
        <v>271</v>
      </c>
      <c r="N5188" t="s">
        <v>3917</v>
      </c>
      <c r="O5188" t="s">
        <v>22205</v>
      </c>
      <c r="P5188" t="s">
        <v>19246</v>
      </c>
      <c r="Q5188" t="s">
        <v>24071</v>
      </c>
      <c r="R5188">
        <v>15</v>
      </c>
      <c r="S5188">
        <v>16</v>
      </c>
    </row>
    <row r="5189" spans="1:19" x14ac:dyDescent="0.35">
      <c r="A5189">
        <v>5497</v>
      </c>
      <c r="B5189" t="s">
        <v>19390</v>
      </c>
      <c r="C5189" t="s">
        <v>42</v>
      </c>
      <c r="D5189" t="s">
        <v>19391</v>
      </c>
      <c r="E5189" t="e" cm="1">
        <f t="array" ref="E5189">- FLUOCINOLONE ACETONIDE. GENTAMICIN SULFATE</f>
        <v>#NAME?</v>
      </c>
      <c r="F5189" t="s">
        <v>19392</v>
      </c>
      <c r="H5189" t="s">
        <v>19393</v>
      </c>
      <c r="I5189" t="s">
        <v>19394</v>
      </c>
      <c r="J5189" t="s">
        <v>2040</v>
      </c>
      <c r="K5189" t="s">
        <v>19395</v>
      </c>
      <c r="L5189" t="s">
        <v>19396</v>
      </c>
      <c r="M5189" t="s">
        <v>1289</v>
      </c>
      <c r="N5189" t="s">
        <v>24072</v>
      </c>
      <c r="O5189" t="s">
        <v>19397</v>
      </c>
      <c r="P5189" t="s">
        <v>19398</v>
      </c>
      <c r="Q5189" t="s">
        <v>24073</v>
      </c>
      <c r="R5189">
        <v>15</v>
      </c>
      <c r="S5189">
        <v>16</v>
      </c>
    </row>
    <row r="5190" spans="1:19" x14ac:dyDescent="0.35">
      <c r="A5190">
        <v>7273</v>
      </c>
      <c r="B5190" t="s">
        <v>24074</v>
      </c>
      <c r="C5190" t="s">
        <v>850</v>
      </c>
      <c r="D5190" t="s">
        <v>24075</v>
      </c>
      <c r="E5190" t="e" cm="1">
        <f t="array" ref="E5190">- D-glucosamine HCL</f>
        <v>#NAME?</v>
      </c>
      <c r="F5190" t="s">
        <v>24076</v>
      </c>
      <c r="G5190" t="s">
        <v>24077</v>
      </c>
      <c r="H5190" t="s">
        <v>1322</v>
      </c>
      <c r="I5190" t="s">
        <v>24078</v>
      </c>
      <c r="J5190" t="s">
        <v>24079</v>
      </c>
      <c r="L5190" t="s">
        <v>24080</v>
      </c>
      <c r="M5190" t="s">
        <v>1289</v>
      </c>
      <c r="N5190" t="s">
        <v>24081</v>
      </c>
      <c r="O5190" t="s">
        <v>24082</v>
      </c>
      <c r="P5190" t="s">
        <v>24083</v>
      </c>
      <c r="Q5190" t="s">
        <v>24084</v>
      </c>
      <c r="R5190">
        <v>15</v>
      </c>
      <c r="S5190">
        <v>16</v>
      </c>
    </row>
    <row r="5191" spans="1:19" x14ac:dyDescent="0.35">
      <c r="A5191">
        <v>7272</v>
      </c>
      <c r="B5191" t="s">
        <v>24074</v>
      </c>
      <c r="C5191" t="s">
        <v>850</v>
      </c>
      <c r="D5191" t="s">
        <v>24075</v>
      </c>
      <c r="E5191" t="e" cm="1">
        <f t="array" ref="E5191">- glucosamine sulphate</f>
        <v>#NAME?</v>
      </c>
      <c r="F5191" t="s">
        <v>24076</v>
      </c>
      <c r="G5191" t="s">
        <v>24077</v>
      </c>
      <c r="H5191" t="s">
        <v>1322</v>
      </c>
      <c r="I5191" t="s">
        <v>24078</v>
      </c>
      <c r="J5191" t="s">
        <v>24079</v>
      </c>
      <c r="L5191" t="s">
        <v>24080</v>
      </c>
      <c r="M5191" t="s">
        <v>1289</v>
      </c>
      <c r="N5191" t="s">
        <v>24085</v>
      </c>
      <c r="O5191" t="s">
        <v>24082</v>
      </c>
      <c r="P5191" t="s">
        <v>24083</v>
      </c>
      <c r="Q5191" t="s">
        <v>24086</v>
      </c>
      <c r="R5191">
        <v>15</v>
      </c>
      <c r="S5191">
        <v>16</v>
      </c>
    </row>
    <row r="5192" spans="1:19" x14ac:dyDescent="0.35">
      <c r="A5192">
        <v>5504</v>
      </c>
      <c r="B5192" t="s">
        <v>24087</v>
      </c>
      <c r="C5192" t="s">
        <v>42</v>
      </c>
      <c r="D5192" t="s">
        <v>24088</v>
      </c>
      <c r="E5192" t="e" cm="1">
        <f t="array" ref="E5192">- BACITRACIN ZINC</f>
        <v>#NAME?</v>
      </c>
      <c r="F5192" t="s">
        <v>24089</v>
      </c>
      <c r="G5192" t="s">
        <v>24090</v>
      </c>
      <c r="H5192" t="s">
        <v>24091</v>
      </c>
      <c r="I5192" t="s">
        <v>24092</v>
      </c>
      <c r="J5192" t="s">
        <v>7213</v>
      </c>
      <c r="K5192" t="s">
        <v>3952</v>
      </c>
      <c r="L5192" t="s">
        <v>24093</v>
      </c>
      <c r="M5192" t="s">
        <v>1029</v>
      </c>
      <c r="N5192" t="s">
        <v>7295</v>
      </c>
      <c r="O5192" t="s">
        <v>24094</v>
      </c>
      <c r="P5192" t="s">
        <v>24095</v>
      </c>
      <c r="Q5192" t="s">
        <v>24096</v>
      </c>
      <c r="R5192">
        <v>15</v>
      </c>
      <c r="S5192">
        <v>16</v>
      </c>
    </row>
    <row r="5193" spans="1:19" x14ac:dyDescent="0.35">
      <c r="A5193">
        <v>7269</v>
      </c>
      <c r="B5193" t="s">
        <v>24097</v>
      </c>
      <c r="C5193" t="s">
        <v>20</v>
      </c>
      <c r="D5193" t="s">
        <v>24098</v>
      </c>
      <c r="E5193" t="s">
        <v>24099</v>
      </c>
      <c r="F5193" t="s">
        <v>24100</v>
      </c>
      <c r="G5193" t="s">
        <v>21196</v>
      </c>
      <c r="H5193" t="s">
        <v>1322</v>
      </c>
      <c r="I5193" t="s">
        <v>24101</v>
      </c>
      <c r="J5193" t="s">
        <v>3856</v>
      </c>
      <c r="L5193" t="s">
        <v>24102</v>
      </c>
      <c r="M5193" t="s">
        <v>2115</v>
      </c>
      <c r="N5193" t="s">
        <v>24103</v>
      </c>
      <c r="O5193" t="s">
        <v>24104</v>
      </c>
      <c r="P5193" t="s">
        <v>24105</v>
      </c>
      <c r="Q5193" t="s">
        <v>24106</v>
      </c>
      <c r="R5193">
        <v>15</v>
      </c>
      <c r="S5193">
        <v>16</v>
      </c>
    </row>
    <row r="5194" spans="1:19" x14ac:dyDescent="0.35">
      <c r="A5194">
        <v>1502</v>
      </c>
      <c r="B5194" t="s">
        <v>24107</v>
      </c>
      <c r="C5194" t="s">
        <v>42</v>
      </c>
      <c r="D5194" t="s">
        <v>24108</v>
      </c>
      <c r="E5194" t="e" cm="1">
        <f t="array" ref="E5194">- CHLORPHENAMINE MALEATE</f>
        <v>#NAME?</v>
      </c>
      <c r="F5194" t="s">
        <v>24109</v>
      </c>
      <c r="H5194" t="s">
        <v>24110</v>
      </c>
    </row>
    <row r="5195" spans="1:19" x14ac:dyDescent="0.35">
      <c r="A5195">
        <v>5534</v>
      </c>
      <c r="B5195" t="s">
        <v>24111</v>
      </c>
      <c r="C5195" t="s">
        <v>42</v>
      </c>
      <c r="D5195" t="s">
        <v>24112</v>
      </c>
      <c r="E5195" t="s">
        <v>24113</v>
      </c>
      <c r="F5195" t="s">
        <v>24114</v>
      </c>
      <c r="G5195" t="s">
        <v>24115</v>
      </c>
      <c r="H5195" t="s">
        <v>1322</v>
      </c>
      <c r="I5195" t="s">
        <v>24116</v>
      </c>
      <c r="J5195" t="s">
        <v>24117</v>
      </c>
      <c r="K5195" t="s">
        <v>3473</v>
      </c>
      <c r="L5195" t="s">
        <v>24118</v>
      </c>
      <c r="M5195" t="s">
        <v>554</v>
      </c>
      <c r="N5195" t="s">
        <v>24119</v>
      </c>
      <c r="O5195" t="s">
        <v>24120</v>
      </c>
      <c r="P5195" t="s">
        <v>24121</v>
      </c>
      <c r="Q5195" t="s">
        <v>24122</v>
      </c>
      <c r="R5195">
        <v>15</v>
      </c>
      <c r="S5195">
        <v>16</v>
      </c>
    </row>
    <row r="5196" spans="1:19" x14ac:dyDescent="0.35">
      <c r="A5196">
        <v>5539</v>
      </c>
      <c r="B5196" t="s">
        <v>24123</v>
      </c>
      <c r="C5196" t="s">
        <v>42</v>
      </c>
      <c r="D5196" t="s">
        <v>24124</v>
      </c>
      <c r="E5196" t="e" cm="1">
        <f t="array" ref="E5196">- LIDOCAINE</f>
        <v>#NAME?</v>
      </c>
      <c r="F5196" t="s">
        <v>24125</v>
      </c>
      <c r="G5196" t="s">
        <v>24126</v>
      </c>
      <c r="H5196" t="s">
        <v>24127</v>
      </c>
      <c r="I5196" t="s">
        <v>24128</v>
      </c>
      <c r="J5196" t="s">
        <v>1684</v>
      </c>
      <c r="K5196" t="s">
        <v>24129</v>
      </c>
      <c r="L5196" t="s">
        <v>24130</v>
      </c>
    </row>
    <row r="5197" spans="1:19" x14ac:dyDescent="0.35">
      <c r="A5197">
        <v>7252</v>
      </c>
      <c r="B5197" t="s">
        <v>24131</v>
      </c>
      <c r="C5197" t="s">
        <v>850</v>
      </c>
      <c r="D5197" t="s">
        <v>24132</v>
      </c>
      <c r="E5197" t="e" cm="1">
        <f t="array" ref="E5197">- Menthol</f>
        <v>#NAME?</v>
      </c>
      <c r="F5197" t="s">
        <v>24133</v>
      </c>
      <c r="G5197" t="s">
        <v>24134</v>
      </c>
      <c r="H5197" t="s">
        <v>24135</v>
      </c>
      <c r="I5197" t="s">
        <v>24136</v>
      </c>
      <c r="J5197" t="s">
        <v>12676</v>
      </c>
      <c r="L5197" t="s">
        <v>24137</v>
      </c>
      <c r="M5197" t="s">
        <v>1289</v>
      </c>
      <c r="N5197" t="s">
        <v>2034</v>
      </c>
      <c r="O5197" t="s">
        <v>24138</v>
      </c>
      <c r="P5197" t="s">
        <v>19156</v>
      </c>
      <c r="Q5197" t="s">
        <v>24139</v>
      </c>
      <c r="R5197">
        <v>15</v>
      </c>
      <c r="S5197">
        <v>16</v>
      </c>
    </row>
    <row r="5198" spans="1:19" x14ac:dyDescent="0.35">
      <c r="A5198">
        <v>6300</v>
      </c>
      <c r="B5198" t="s">
        <v>24140</v>
      </c>
      <c r="C5198" t="s">
        <v>42</v>
      </c>
      <c r="D5198" t="s">
        <v>24141</v>
      </c>
      <c r="E5198" t="e" cm="1">
        <f t="array" ref="E5198">- CEFADROXIL MONOHYDRATE</f>
        <v>#NAME?</v>
      </c>
      <c r="F5198" t="s">
        <v>24142</v>
      </c>
      <c r="G5198" t="s">
        <v>2241</v>
      </c>
      <c r="H5198" t="s">
        <v>21352</v>
      </c>
      <c r="I5198" t="s">
        <v>21353</v>
      </c>
      <c r="J5198" t="s">
        <v>21354</v>
      </c>
      <c r="K5198" t="s">
        <v>21355</v>
      </c>
      <c r="L5198" t="s">
        <v>21356</v>
      </c>
      <c r="M5198" t="s">
        <v>38</v>
      </c>
      <c r="N5198" t="s">
        <v>1777</v>
      </c>
      <c r="O5198" t="s">
        <v>21358</v>
      </c>
      <c r="P5198" t="s">
        <v>24143</v>
      </c>
      <c r="Q5198" t="s">
        <v>24144</v>
      </c>
      <c r="R5198">
        <v>15</v>
      </c>
      <c r="S5198">
        <v>16</v>
      </c>
    </row>
    <row r="5199" spans="1:19" x14ac:dyDescent="0.35">
      <c r="A5199">
        <v>7251</v>
      </c>
      <c r="B5199" t="s">
        <v>24131</v>
      </c>
      <c r="C5199" t="s">
        <v>850</v>
      </c>
      <c r="D5199" t="s">
        <v>24132</v>
      </c>
      <c r="E5199" t="e" cm="1">
        <f t="array" ref="E5199">- Menthol</f>
        <v>#NAME?</v>
      </c>
      <c r="F5199" t="s">
        <v>24133</v>
      </c>
      <c r="G5199" t="s">
        <v>24134</v>
      </c>
      <c r="H5199" t="s">
        <v>24135</v>
      </c>
      <c r="I5199" t="s">
        <v>24136</v>
      </c>
      <c r="J5199" t="s">
        <v>12676</v>
      </c>
      <c r="L5199" t="s">
        <v>24137</v>
      </c>
      <c r="M5199" t="s">
        <v>1289</v>
      </c>
      <c r="N5199" t="s">
        <v>2034</v>
      </c>
      <c r="O5199" t="s">
        <v>24138</v>
      </c>
      <c r="P5199" t="s">
        <v>19156</v>
      </c>
      <c r="Q5199" t="s">
        <v>24139</v>
      </c>
      <c r="R5199">
        <v>15</v>
      </c>
      <c r="S5199">
        <v>16</v>
      </c>
    </row>
    <row r="5200" spans="1:19" x14ac:dyDescent="0.35">
      <c r="A5200">
        <v>9157</v>
      </c>
      <c r="B5200" t="s">
        <v>13640</v>
      </c>
      <c r="C5200" t="s">
        <v>42</v>
      </c>
      <c r="D5200" t="s">
        <v>24145</v>
      </c>
      <c r="E5200" t="e" cm="1">
        <f t="array" ref="E5200">- RAMIPRIL</f>
        <v>#NAME?</v>
      </c>
      <c r="F5200" t="s">
        <v>24146</v>
      </c>
      <c r="G5200" t="s">
        <v>2617</v>
      </c>
      <c r="H5200" t="s">
        <v>24147</v>
      </c>
      <c r="I5200" t="s">
        <v>24148</v>
      </c>
      <c r="J5200" t="s">
        <v>381</v>
      </c>
      <c r="K5200" t="s">
        <v>24149</v>
      </c>
      <c r="L5200" t="s">
        <v>24150</v>
      </c>
      <c r="M5200" t="s">
        <v>46</v>
      </c>
      <c r="N5200" t="s">
        <v>2222</v>
      </c>
      <c r="O5200" t="s">
        <v>24151</v>
      </c>
      <c r="P5200" t="s">
        <v>13648</v>
      </c>
      <c r="Q5200" t="s">
        <v>24152</v>
      </c>
      <c r="R5200">
        <v>15</v>
      </c>
      <c r="S5200">
        <v>16</v>
      </c>
    </row>
    <row r="5201" spans="1:19" x14ac:dyDescent="0.35">
      <c r="A5201">
        <v>7250</v>
      </c>
      <c r="B5201" t="s">
        <v>24131</v>
      </c>
      <c r="C5201" t="s">
        <v>850</v>
      </c>
      <c r="D5201" t="s">
        <v>24153</v>
      </c>
      <c r="E5201" t="e" cm="1">
        <f t="array" ref="E5201">- Menthol</f>
        <v>#NAME?</v>
      </c>
      <c r="F5201" t="s">
        <v>24154</v>
      </c>
      <c r="G5201" t="s">
        <v>24134</v>
      </c>
      <c r="H5201" t="s">
        <v>24135</v>
      </c>
      <c r="I5201" t="s">
        <v>24136</v>
      </c>
      <c r="J5201" t="s">
        <v>24155</v>
      </c>
      <c r="L5201" t="s">
        <v>24137</v>
      </c>
      <c r="M5201" t="s">
        <v>1289</v>
      </c>
      <c r="N5201" t="s">
        <v>2034</v>
      </c>
      <c r="O5201" t="s">
        <v>24138</v>
      </c>
      <c r="P5201" t="s">
        <v>19156</v>
      </c>
      <c r="Q5201" t="s">
        <v>24139</v>
      </c>
      <c r="R5201">
        <v>15</v>
      </c>
      <c r="S5201">
        <v>16</v>
      </c>
    </row>
    <row r="5202" spans="1:19" x14ac:dyDescent="0.35">
      <c r="A5202">
        <v>7249</v>
      </c>
      <c r="B5202" t="s">
        <v>24131</v>
      </c>
      <c r="C5202" t="s">
        <v>850</v>
      </c>
      <c r="D5202" t="s">
        <v>24153</v>
      </c>
      <c r="E5202" t="e" cm="1">
        <f t="array" ref="E5202">- Menthol</f>
        <v>#NAME?</v>
      </c>
      <c r="F5202" t="s">
        <v>24154</v>
      </c>
      <c r="G5202" t="s">
        <v>24134</v>
      </c>
      <c r="H5202" t="s">
        <v>24135</v>
      </c>
      <c r="I5202" t="s">
        <v>24136</v>
      </c>
      <c r="J5202" t="s">
        <v>24155</v>
      </c>
      <c r="L5202" t="s">
        <v>24137</v>
      </c>
      <c r="M5202" t="s">
        <v>1289</v>
      </c>
      <c r="N5202" t="s">
        <v>2034</v>
      </c>
      <c r="O5202" t="s">
        <v>24138</v>
      </c>
      <c r="P5202" t="s">
        <v>19156</v>
      </c>
      <c r="Q5202" t="s">
        <v>24139</v>
      </c>
      <c r="R5202">
        <v>15</v>
      </c>
      <c r="S5202">
        <v>16</v>
      </c>
    </row>
    <row r="5203" spans="1:19" x14ac:dyDescent="0.35">
      <c r="A5203">
        <v>6299</v>
      </c>
      <c r="B5203" t="s">
        <v>24140</v>
      </c>
      <c r="C5203" t="s">
        <v>42</v>
      </c>
      <c r="D5203" t="s">
        <v>24141</v>
      </c>
      <c r="E5203" t="e" cm="1">
        <f t="array" ref="E5203">- CEFADROXIL MONOHYDRATE</f>
        <v>#NAME?</v>
      </c>
      <c r="F5203" t="s">
        <v>24142</v>
      </c>
      <c r="G5203" t="s">
        <v>2241</v>
      </c>
      <c r="H5203" t="s">
        <v>21352</v>
      </c>
      <c r="I5203" t="s">
        <v>21353</v>
      </c>
      <c r="J5203" t="s">
        <v>21354</v>
      </c>
      <c r="K5203" t="s">
        <v>21355</v>
      </c>
      <c r="L5203" t="s">
        <v>21356</v>
      </c>
      <c r="M5203" t="s">
        <v>38</v>
      </c>
      <c r="N5203" t="s">
        <v>1777</v>
      </c>
      <c r="O5203" t="s">
        <v>21358</v>
      </c>
      <c r="P5203" t="s">
        <v>24143</v>
      </c>
      <c r="Q5203" t="s">
        <v>24144</v>
      </c>
      <c r="R5203">
        <v>15</v>
      </c>
      <c r="S5203">
        <v>16</v>
      </c>
    </row>
    <row r="5204" spans="1:19" x14ac:dyDescent="0.35">
      <c r="A5204">
        <v>9158</v>
      </c>
      <c r="B5204" t="s">
        <v>13640</v>
      </c>
      <c r="C5204" t="s">
        <v>42</v>
      </c>
      <c r="D5204" t="s">
        <v>24145</v>
      </c>
      <c r="E5204" t="e" cm="1">
        <f t="array" ref="E5204">- RAMIPRIL</f>
        <v>#NAME?</v>
      </c>
      <c r="F5204" t="s">
        <v>24146</v>
      </c>
      <c r="G5204" t="s">
        <v>2617</v>
      </c>
      <c r="H5204" t="s">
        <v>24147</v>
      </c>
      <c r="I5204" t="s">
        <v>24148</v>
      </c>
      <c r="J5204" t="s">
        <v>381</v>
      </c>
      <c r="K5204" t="s">
        <v>24149</v>
      </c>
      <c r="L5204" t="s">
        <v>24150</v>
      </c>
      <c r="M5204" t="s">
        <v>46</v>
      </c>
      <c r="N5204" t="s">
        <v>2222</v>
      </c>
      <c r="O5204" t="s">
        <v>24151</v>
      </c>
      <c r="P5204" t="s">
        <v>13648</v>
      </c>
      <c r="Q5204" t="s">
        <v>24152</v>
      </c>
      <c r="R5204">
        <v>15</v>
      </c>
      <c r="S5204">
        <v>16</v>
      </c>
    </row>
    <row r="5205" spans="1:19" x14ac:dyDescent="0.35">
      <c r="A5205">
        <v>9159</v>
      </c>
      <c r="B5205" t="s">
        <v>13640</v>
      </c>
      <c r="C5205" t="s">
        <v>42</v>
      </c>
      <c r="D5205" t="s">
        <v>24145</v>
      </c>
      <c r="E5205" t="e" cm="1">
        <f t="array" ref="E5205">- RAMIPRIL</f>
        <v>#NAME?</v>
      </c>
      <c r="F5205" t="s">
        <v>24146</v>
      </c>
      <c r="G5205" t="s">
        <v>2617</v>
      </c>
      <c r="H5205" t="s">
        <v>24147</v>
      </c>
      <c r="I5205" t="s">
        <v>24148</v>
      </c>
      <c r="J5205" t="s">
        <v>381</v>
      </c>
      <c r="K5205" t="s">
        <v>24149</v>
      </c>
      <c r="L5205" t="s">
        <v>24150</v>
      </c>
      <c r="M5205" t="s">
        <v>46</v>
      </c>
      <c r="N5205" t="s">
        <v>2222</v>
      </c>
      <c r="O5205" t="s">
        <v>24151</v>
      </c>
      <c r="P5205" t="s">
        <v>13648</v>
      </c>
      <c r="Q5205" t="s">
        <v>24152</v>
      </c>
      <c r="R5205">
        <v>15</v>
      </c>
      <c r="S5205">
        <v>16</v>
      </c>
    </row>
    <row r="5206" spans="1:19" x14ac:dyDescent="0.35">
      <c r="A5206">
        <v>2622</v>
      </c>
      <c r="B5206" t="s">
        <v>24156</v>
      </c>
      <c r="C5206" t="s">
        <v>42</v>
      </c>
      <c r="D5206" t="s">
        <v>24157</v>
      </c>
      <c r="E5206" t="e" cm="1">
        <f t="array" ref="E5206">- IBUPROFEN</f>
        <v>#NAME?</v>
      </c>
      <c r="F5206" s="1">
        <v>6000</v>
      </c>
      <c r="G5206" t="s">
        <v>2241</v>
      </c>
      <c r="H5206" t="s">
        <v>24158</v>
      </c>
      <c r="I5206" t="s">
        <v>24159</v>
      </c>
      <c r="J5206" t="s">
        <v>381</v>
      </c>
      <c r="M5206" t="s">
        <v>291</v>
      </c>
      <c r="N5206" t="s">
        <v>383</v>
      </c>
      <c r="O5206" t="s">
        <v>24160</v>
      </c>
      <c r="P5206" t="s">
        <v>24161</v>
      </c>
      <c r="Q5206" t="s">
        <v>24162</v>
      </c>
      <c r="R5206">
        <v>15</v>
      </c>
      <c r="S5206">
        <v>16</v>
      </c>
    </row>
    <row r="5207" spans="1:19" x14ac:dyDescent="0.35">
      <c r="A5207">
        <v>6298</v>
      </c>
      <c r="B5207" t="s">
        <v>24163</v>
      </c>
      <c r="C5207" t="s">
        <v>42</v>
      </c>
      <c r="D5207" t="s">
        <v>24164</v>
      </c>
      <c r="E5207" t="e" cm="1">
        <f t="array" ref="E5207">- CEFADROXIL MONOHYDRATE</f>
        <v>#NAME?</v>
      </c>
      <c r="F5207" t="s">
        <v>24165</v>
      </c>
      <c r="G5207" t="s">
        <v>2241</v>
      </c>
      <c r="H5207" t="s">
        <v>21352</v>
      </c>
      <c r="I5207" t="s">
        <v>21353</v>
      </c>
      <c r="J5207" t="s">
        <v>24166</v>
      </c>
      <c r="K5207" t="s">
        <v>21355</v>
      </c>
      <c r="L5207" t="s">
        <v>21356</v>
      </c>
      <c r="M5207" t="s">
        <v>271</v>
      </c>
      <c r="N5207" t="s">
        <v>1777</v>
      </c>
      <c r="O5207" t="s">
        <v>21358</v>
      </c>
      <c r="P5207" t="s">
        <v>24143</v>
      </c>
      <c r="Q5207" t="s">
        <v>24167</v>
      </c>
      <c r="R5207">
        <v>15</v>
      </c>
      <c r="S5207">
        <v>16</v>
      </c>
    </row>
    <row r="5208" spans="1:19" x14ac:dyDescent="0.35">
      <c r="A5208">
        <v>2612</v>
      </c>
      <c r="B5208" t="s">
        <v>24168</v>
      </c>
      <c r="C5208" t="s">
        <v>42</v>
      </c>
      <c r="D5208" t="s">
        <v>24169</v>
      </c>
      <c r="E5208" t="e" cm="1">
        <f t="array" ref="E5208">- ETORICOXIB</f>
        <v>#NAME?</v>
      </c>
      <c r="F5208" s="1">
        <v>162500</v>
      </c>
      <c r="G5208" t="s">
        <v>60</v>
      </c>
      <c r="H5208" t="s">
        <v>24170</v>
      </c>
      <c r="I5208" t="s">
        <v>24171</v>
      </c>
      <c r="J5208" t="s">
        <v>2100</v>
      </c>
      <c r="K5208" t="s">
        <v>24172</v>
      </c>
      <c r="L5208" t="s">
        <v>24173</v>
      </c>
      <c r="M5208" t="s">
        <v>46</v>
      </c>
      <c r="N5208" t="s">
        <v>47</v>
      </c>
      <c r="O5208" t="s">
        <v>24174</v>
      </c>
      <c r="P5208" t="s">
        <v>24175</v>
      </c>
      <c r="Q5208" t="s">
        <v>24176</v>
      </c>
      <c r="R5208">
        <v>15</v>
      </c>
      <c r="S5208">
        <v>16</v>
      </c>
    </row>
    <row r="5209" spans="1:19" x14ac:dyDescent="0.35">
      <c r="A5209">
        <v>2609</v>
      </c>
      <c r="B5209" t="s">
        <v>24177</v>
      </c>
      <c r="C5209" t="s">
        <v>42</v>
      </c>
      <c r="D5209" t="s">
        <v>24178</v>
      </c>
      <c r="E5209" t="e" cm="1">
        <f t="array" ref="E5209">- CYANOCOBALAMIN</f>
        <v>#NAME?</v>
      </c>
      <c r="F5209" s="1">
        <v>8600</v>
      </c>
      <c r="H5209" t="s">
        <v>269</v>
      </c>
      <c r="I5209" t="s">
        <v>24179</v>
      </c>
      <c r="J5209" t="s">
        <v>3019</v>
      </c>
      <c r="L5209" t="s">
        <v>270</v>
      </c>
      <c r="M5209" t="s">
        <v>291</v>
      </c>
      <c r="N5209" t="s">
        <v>677</v>
      </c>
      <c r="O5209" t="s">
        <v>24180</v>
      </c>
      <c r="P5209" t="s">
        <v>24181</v>
      </c>
      <c r="Q5209" t="s">
        <v>24182</v>
      </c>
      <c r="R5209">
        <v>15</v>
      </c>
      <c r="S5209">
        <v>16</v>
      </c>
    </row>
    <row r="5210" spans="1:19" x14ac:dyDescent="0.35">
      <c r="A5210">
        <v>10013</v>
      </c>
      <c r="B5210" t="s">
        <v>24183</v>
      </c>
      <c r="C5210" t="s">
        <v>42</v>
      </c>
      <c r="D5210" t="s">
        <v>24184</v>
      </c>
      <c r="E5210" t="e" cm="1">
        <f t="array" ref="E5210">- CILOSTAZOL</f>
        <v>#NAME?</v>
      </c>
      <c r="F5210" t="s">
        <v>24185</v>
      </c>
      <c r="G5210" t="s">
        <v>24186</v>
      </c>
      <c r="H5210" t="s">
        <v>24187</v>
      </c>
      <c r="I5210" t="s">
        <v>24188</v>
      </c>
      <c r="J5210" t="s">
        <v>24189</v>
      </c>
      <c r="K5210" t="s">
        <v>24190</v>
      </c>
      <c r="L5210" t="s">
        <v>24191</v>
      </c>
      <c r="M5210" t="s">
        <v>38</v>
      </c>
      <c r="N5210" t="s">
        <v>20904</v>
      </c>
      <c r="O5210" t="s">
        <v>24192</v>
      </c>
      <c r="P5210" t="s">
        <v>24193</v>
      </c>
      <c r="Q5210" t="s">
        <v>24194</v>
      </c>
      <c r="R5210">
        <v>15</v>
      </c>
      <c r="S5210">
        <v>16</v>
      </c>
    </row>
    <row r="5211" spans="1:19" x14ac:dyDescent="0.35">
      <c r="A5211">
        <v>6385</v>
      </c>
      <c r="B5211" t="s">
        <v>23972</v>
      </c>
      <c r="C5211" t="s">
        <v>42</v>
      </c>
      <c r="D5211" t="s">
        <v>23973</v>
      </c>
      <c r="E5211" t="e" cm="1">
        <f t="array" ref="E5211">- NIFUROXAZIDE</f>
        <v>#NAME?</v>
      </c>
      <c r="F5211" t="s">
        <v>23974</v>
      </c>
      <c r="G5211" t="s">
        <v>60</v>
      </c>
      <c r="H5211" t="s">
        <v>23769</v>
      </c>
      <c r="I5211" t="s">
        <v>23770</v>
      </c>
      <c r="J5211" t="s">
        <v>334</v>
      </c>
      <c r="K5211" t="s">
        <v>3473</v>
      </c>
      <c r="L5211" t="s">
        <v>321</v>
      </c>
      <c r="M5211" t="s">
        <v>340</v>
      </c>
      <c r="N5211" t="s">
        <v>1208</v>
      </c>
      <c r="O5211" t="s">
        <v>23772</v>
      </c>
      <c r="P5211" t="s">
        <v>23975</v>
      </c>
      <c r="Q5211" t="s">
        <v>23976</v>
      </c>
      <c r="R5211">
        <v>15</v>
      </c>
      <c r="S5211">
        <v>16</v>
      </c>
    </row>
    <row r="5212" spans="1:19" x14ac:dyDescent="0.35">
      <c r="A5212">
        <v>2542</v>
      </c>
      <c r="B5212" t="s">
        <v>24195</v>
      </c>
      <c r="C5212" t="s">
        <v>42</v>
      </c>
      <c r="D5212" t="s">
        <v>24196</v>
      </c>
      <c r="E5212" t="e" cm="1">
        <f t="array" ref="E5212">- PIROXICAM</f>
        <v>#NAME?</v>
      </c>
      <c r="F5212" t="s">
        <v>16920</v>
      </c>
      <c r="G5212" t="s">
        <v>2241</v>
      </c>
      <c r="I5212" t="s">
        <v>24197</v>
      </c>
      <c r="J5212" t="s">
        <v>2963</v>
      </c>
      <c r="M5212" t="s">
        <v>38</v>
      </c>
      <c r="N5212" t="s">
        <v>605</v>
      </c>
      <c r="O5212" t="s">
        <v>24198</v>
      </c>
      <c r="P5212" t="s">
        <v>24199</v>
      </c>
      <c r="Q5212" t="s">
        <v>24200</v>
      </c>
      <c r="R5212">
        <v>15</v>
      </c>
      <c r="S5212">
        <v>16</v>
      </c>
    </row>
    <row r="5213" spans="1:19" x14ac:dyDescent="0.35">
      <c r="A5213">
        <v>2541</v>
      </c>
      <c r="B5213" t="s">
        <v>24195</v>
      </c>
      <c r="C5213" t="s">
        <v>42</v>
      </c>
      <c r="D5213" t="s">
        <v>24196</v>
      </c>
      <c r="E5213" t="e" cm="1">
        <f t="array" ref="E5213">- PIROXICAM</f>
        <v>#NAME?</v>
      </c>
      <c r="F5213" t="s">
        <v>16920</v>
      </c>
      <c r="G5213" t="s">
        <v>2241</v>
      </c>
      <c r="I5213" t="s">
        <v>24197</v>
      </c>
      <c r="J5213" t="s">
        <v>2963</v>
      </c>
      <c r="M5213" t="s">
        <v>38</v>
      </c>
      <c r="N5213" t="s">
        <v>605</v>
      </c>
      <c r="O5213" t="s">
        <v>24198</v>
      </c>
      <c r="P5213" t="s">
        <v>24199</v>
      </c>
      <c r="Q5213" t="s">
        <v>24200</v>
      </c>
      <c r="R5213">
        <v>15</v>
      </c>
      <c r="S5213">
        <v>16</v>
      </c>
    </row>
    <row r="5214" spans="1:19" x14ac:dyDescent="0.35">
      <c r="A5214">
        <v>6389</v>
      </c>
      <c r="B5214" t="s">
        <v>24201</v>
      </c>
      <c r="C5214" t="s">
        <v>42</v>
      </c>
      <c r="D5214" t="s">
        <v>24202</v>
      </c>
      <c r="E5214" t="e" cm="1">
        <f t="array" ref="E5214">- CEFADROXIL MONOHYDRATE</f>
        <v>#NAME?</v>
      </c>
      <c r="F5214" t="s">
        <v>24203</v>
      </c>
      <c r="G5214" t="s">
        <v>2241</v>
      </c>
      <c r="H5214" t="s">
        <v>21352</v>
      </c>
      <c r="I5214" t="s">
        <v>21353</v>
      </c>
      <c r="J5214" t="s">
        <v>23360</v>
      </c>
      <c r="K5214" t="s">
        <v>21355</v>
      </c>
      <c r="L5214" t="s">
        <v>21356</v>
      </c>
      <c r="M5214" t="s">
        <v>38</v>
      </c>
      <c r="N5214" t="s">
        <v>1777</v>
      </c>
      <c r="O5214" t="s">
        <v>21358</v>
      </c>
      <c r="P5214" t="s">
        <v>24204</v>
      </c>
      <c r="Q5214" t="s">
        <v>24205</v>
      </c>
      <c r="R5214">
        <v>15</v>
      </c>
      <c r="S5214">
        <v>16</v>
      </c>
    </row>
    <row r="5215" spans="1:19" x14ac:dyDescent="0.35">
      <c r="A5215">
        <v>2540</v>
      </c>
      <c r="B5215" t="s">
        <v>24206</v>
      </c>
      <c r="C5215" t="s">
        <v>42</v>
      </c>
      <c r="D5215" t="s">
        <v>24207</v>
      </c>
      <c r="E5215" t="e" cm="1">
        <f t="array" ref="E5215">- PIROXICAM</f>
        <v>#NAME?</v>
      </c>
      <c r="F5215" t="s">
        <v>24208</v>
      </c>
      <c r="G5215" t="s">
        <v>2241</v>
      </c>
      <c r="I5215" t="s">
        <v>24197</v>
      </c>
      <c r="J5215" t="s">
        <v>2963</v>
      </c>
      <c r="L5215" t="s">
        <v>382</v>
      </c>
      <c r="M5215" t="s">
        <v>38</v>
      </c>
      <c r="N5215" t="s">
        <v>605</v>
      </c>
      <c r="O5215" t="s">
        <v>24198</v>
      </c>
      <c r="P5215" t="s">
        <v>24199</v>
      </c>
      <c r="Q5215" t="s">
        <v>24200</v>
      </c>
      <c r="R5215">
        <v>15</v>
      </c>
      <c r="S5215">
        <v>16</v>
      </c>
    </row>
    <row r="5216" spans="1:19" x14ac:dyDescent="0.35">
      <c r="A5216">
        <v>1796</v>
      </c>
      <c r="B5216" t="s">
        <v>13250</v>
      </c>
      <c r="C5216" t="s">
        <v>850</v>
      </c>
      <c r="D5216" t="s">
        <v>21472</v>
      </c>
      <c r="E5216" t="e" cm="1">
        <f t="array" ref="E5216">- Lemon Oil</f>
        <v>#NAME?</v>
      </c>
      <c r="F5216" t="s">
        <v>21473</v>
      </c>
      <c r="G5216" t="s">
        <v>21474</v>
      </c>
      <c r="H5216" t="s">
        <v>1322</v>
      </c>
      <c r="I5216" t="s">
        <v>21475</v>
      </c>
      <c r="J5216" t="s">
        <v>4010</v>
      </c>
      <c r="L5216" t="s">
        <v>21476</v>
      </c>
      <c r="M5216" t="s">
        <v>3453</v>
      </c>
      <c r="N5216" t="s">
        <v>13251</v>
      </c>
      <c r="O5216" t="s">
        <v>21477</v>
      </c>
      <c r="P5216" t="s">
        <v>21478</v>
      </c>
      <c r="Q5216" t="s">
        <v>24209</v>
      </c>
      <c r="R5216">
        <v>15</v>
      </c>
      <c r="S5216">
        <v>16</v>
      </c>
    </row>
    <row r="5217" spans="1:19" x14ac:dyDescent="0.35">
      <c r="A5217">
        <v>6404</v>
      </c>
      <c r="B5217" t="s">
        <v>24210</v>
      </c>
      <c r="C5217" t="s">
        <v>42</v>
      </c>
      <c r="D5217" t="s">
        <v>24211</v>
      </c>
      <c r="E5217" t="e" cm="1">
        <f t="array" ref="E5217">- SPIRAMYCIN</f>
        <v>#NAME?</v>
      </c>
      <c r="F5217" t="s">
        <v>24212</v>
      </c>
      <c r="G5217" t="s">
        <v>5568</v>
      </c>
      <c r="H5217" t="s">
        <v>24213</v>
      </c>
      <c r="I5217" t="s">
        <v>24214</v>
      </c>
      <c r="J5217" t="s">
        <v>15163</v>
      </c>
      <c r="K5217" t="s">
        <v>24215</v>
      </c>
      <c r="L5217" t="s">
        <v>8732</v>
      </c>
      <c r="M5217" t="s">
        <v>46</v>
      </c>
      <c r="N5217" t="s">
        <v>8733</v>
      </c>
      <c r="O5217" t="s">
        <v>24216</v>
      </c>
      <c r="P5217" t="s">
        <v>24217</v>
      </c>
      <c r="Q5217" t="s">
        <v>24218</v>
      </c>
      <c r="R5217">
        <v>15</v>
      </c>
      <c r="S5217">
        <v>16</v>
      </c>
    </row>
    <row r="5218" spans="1:19" x14ac:dyDescent="0.35">
      <c r="A5218">
        <v>6405</v>
      </c>
      <c r="B5218" t="s">
        <v>24210</v>
      </c>
      <c r="C5218" t="s">
        <v>42</v>
      </c>
      <c r="D5218" t="s">
        <v>24211</v>
      </c>
      <c r="E5218" t="e" cm="1">
        <f t="array" ref="E5218">- SPIRAMYCIN</f>
        <v>#NAME?</v>
      </c>
      <c r="F5218" t="s">
        <v>24212</v>
      </c>
      <c r="G5218" t="s">
        <v>5568</v>
      </c>
      <c r="H5218" t="s">
        <v>24213</v>
      </c>
      <c r="I5218" t="s">
        <v>24214</v>
      </c>
      <c r="J5218" t="s">
        <v>15163</v>
      </c>
      <c r="K5218" t="s">
        <v>24215</v>
      </c>
      <c r="L5218" t="s">
        <v>8732</v>
      </c>
      <c r="M5218" t="s">
        <v>46</v>
      </c>
      <c r="N5218" t="s">
        <v>8733</v>
      </c>
      <c r="O5218" t="s">
        <v>24216</v>
      </c>
      <c r="P5218" t="s">
        <v>24217</v>
      </c>
      <c r="Q5218" t="s">
        <v>24218</v>
      </c>
      <c r="R5218">
        <v>15</v>
      </c>
      <c r="S5218">
        <v>16</v>
      </c>
    </row>
    <row r="5219" spans="1:19" x14ac:dyDescent="0.35">
      <c r="A5219">
        <v>2443</v>
      </c>
      <c r="B5219" t="s">
        <v>24219</v>
      </c>
      <c r="C5219" t="s">
        <v>42</v>
      </c>
      <c r="D5219" t="s">
        <v>24220</v>
      </c>
      <c r="E5219" t="e" cm="1">
        <f t="array" ref="E5219">- ETORICOXIB</f>
        <v>#NAME?</v>
      </c>
      <c r="F5219" t="s">
        <v>24221</v>
      </c>
      <c r="G5219" t="s">
        <v>539</v>
      </c>
      <c r="H5219" t="s">
        <v>24222</v>
      </c>
      <c r="I5219" t="s">
        <v>24223</v>
      </c>
      <c r="L5219" t="s">
        <v>270</v>
      </c>
      <c r="M5219" t="s">
        <v>46</v>
      </c>
      <c r="N5219" t="s">
        <v>47</v>
      </c>
      <c r="O5219" t="s">
        <v>24224</v>
      </c>
      <c r="P5219" t="s">
        <v>24225</v>
      </c>
      <c r="Q5219" t="s">
        <v>24226</v>
      </c>
      <c r="R5219">
        <v>15</v>
      </c>
      <c r="S5219">
        <v>16</v>
      </c>
    </row>
    <row r="5220" spans="1:19" x14ac:dyDescent="0.35">
      <c r="A5220">
        <v>9236</v>
      </c>
      <c r="B5220" t="s">
        <v>24227</v>
      </c>
      <c r="C5220" t="s">
        <v>42</v>
      </c>
      <c r="D5220" t="s">
        <v>24228</v>
      </c>
      <c r="E5220" t="e" cm="1">
        <f t="array" ref="E5220">- LISINOPRIL DIHYDRATE</f>
        <v>#NAME?</v>
      </c>
      <c r="F5220" t="s">
        <v>24229</v>
      </c>
      <c r="G5220" t="s">
        <v>3098</v>
      </c>
      <c r="H5220" t="s">
        <v>24230</v>
      </c>
      <c r="I5220" t="s">
        <v>24231</v>
      </c>
      <c r="J5220" t="s">
        <v>532</v>
      </c>
      <c r="K5220" t="s">
        <v>24232</v>
      </c>
      <c r="L5220" t="s">
        <v>24020</v>
      </c>
      <c r="M5220" t="s">
        <v>46</v>
      </c>
      <c r="N5220" t="s">
        <v>20008</v>
      </c>
      <c r="O5220" t="s">
        <v>21848</v>
      </c>
      <c r="P5220" t="s">
        <v>24233</v>
      </c>
      <c r="Q5220" t="s">
        <v>24234</v>
      </c>
      <c r="R5220">
        <v>15</v>
      </c>
      <c r="S5220">
        <v>16</v>
      </c>
    </row>
    <row r="5221" spans="1:19" x14ac:dyDescent="0.35">
      <c r="A5221">
        <v>6408</v>
      </c>
      <c r="B5221" t="s">
        <v>23546</v>
      </c>
      <c r="C5221" t="s">
        <v>42</v>
      </c>
      <c r="D5221" t="s">
        <v>23547</v>
      </c>
      <c r="E5221" t="e" cm="1">
        <f t="array" ref="E5221">- CEFADROXIL MONOHYDRATE</f>
        <v>#NAME?</v>
      </c>
      <c r="F5221" t="s">
        <v>23548</v>
      </c>
      <c r="G5221" t="s">
        <v>1691</v>
      </c>
      <c r="H5221" t="s">
        <v>23549</v>
      </c>
      <c r="I5221" t="s">
        <v>23550</v>
      </c>
      <c r="J5221" t="s">
        <v>334</v>
      </c>
      <c r="K5221" t="s">
        <v>19599</v>
      </c>
      <c r="L5221" t="s">
        <v>23551</v>
      </c>
      <c r="M5221" t="s">
        <v>271</v>
      </c>
      <c r="N5221" t="s">
        <v>1777</v>
      </c>
      <c r="O5221" t="s">
        <v>23552</v>
      </c>
      <c r="P5221" t="s">
        <v>23553</v>
      </c>
      <c r="Q5221" t="s">
        <v>23554</v>
      </c>
      <c r="R5221">
        <v>15</v>
      </c>
      <c r="S5221">
        <v>16</v>
      </c>
    </row>
    <row r="5222" spans="1:19" x14ac:dyDescent="0.35">
      <c r="A5222">
        <v>6409</v>
      </c>
      <c r="B5222" t="s">
        <v>24235</v>
      </c>
      <c r="C5222" t="s">
        <v>42</v>
      </c>
      <c r="D5222" t="s">
        <v>24236</v>
      </c>
      <c r="E5222" t="e" cm="1">
        <f t="array" ref="E5222">- CEFADROXIL MONOHYDRATE</f>
        <v>#NAME?</v>
      </c>
      <c r="F5222" t="s">
        <v>24237</v>
      </c>
      <c r="G5222" t="s">
        <v>2241</v>
      </c>
      <c r="H5222" t="s">
        <v>21352</v>
      </c>
      <c r="I5222" t="s">
        <v>21353</v>
      </c>
      <c r="J5222" t="s">
        <v>23360</v>
      </c>
      <c r="K5222" t="s">
        <v>21355</v>
      </c>
      <c r="L5222" t="s">
        <v>21356</v>
      </c>
      <c r="M5222" t="s">
        <v>38</v>
      </c>
      <c r="N5222" t="s">
        <v>1777</v>
      </c>
      <c r="O5222" t="s">
        <v>21358</v>
      </c>
      <c r="P5222" t="s">
        <v>23553</v>
      </c>
      <c r="Q5222" t="s">
        <v>24238</v>
      </c>
      <c r="R5222">
        <v>15</v>
      </c>
      <c r="S5222">
        <v>16</v>
      </c>
    </row>
    <row r="5223" spans="1:19" x14ac:dyDescent="0.35">
      <c r="A5223">
        <v>9250</v>
      </c>
      <c r="B5223" t="s">
        <v>24239</v>
      </c>
      <c r="C5223" t="s">
        <v>42</v>
      </c>
      <c r="D5223" t="s">
        <v>24240</v>
      </c>
      <c r="E5223" t="e" cm="1">
        <f t="array" ref="E5223">- RAMIPRIL</f>
        <v>#NAME?</v>
      </c>
      <c r="F5223" t="s">
        <v>24241</v>
      </c>
      <c r="G5223" t="s">
        <v>5301</v>
      </c>
      <c r="H5223" t="s">
        <v>24242</v>
      </c>
      <c r="I5223" t="s">
        <v>24243</v>
      </c>
      <c r="J5223" t="s">
        <v>24244</v>
      </c>
      <c r="L5223" t="s">
        <v>270</v>
      </c>
      <c r="M5223" t="s">
        <v>46</v>
      </c>
      <c r="N5223" t="s">
        <v>2222</v>
      </c>
      <c r="O5223" t="s">
        <v>24245</v>
      </c>
      <c r="P5223" t="s">
        <v>24246</v>
      </c>
      <c r="Q5223" t="s">
        <v>24247</v>
      </c>
      <c r="R5223">
        <v>15</v>
      </c>
      <c r="S5223">
        <v>16</v>
      </c>
    </row>
    <row r="5224" spans="1:19" x14ac:dyDescent="0.35">
      <c r="A5224">
        <v>1597</v>
      </c>
      <c r="B5224" t="s">
        <v>24248</v>
      </c>
      <c r="C5224" t="s">
        <v>42</v>
      </c>
      <c r="D5224" t="s">
        <v>24249</v>
      </c>
      <c r="E5224" t="e" cm="1">
        <f t="array" ref="E5224">- CHLORPHENAMINE MALEATE</f>
        <v>#NAME?</v>
      </c>
      <c r="F5224" t="s">
        <v>1287</v>
      </c>
      <c r="G5224" t="s">
        <v>6310</v>
      </c>
      <c r="H5224" t="s">
        <v>24250</v>
      </c>
      <c r="I5224" t="s">
        <v>24251</v>
      </c>
      <c r="J5224" t="s">
        <v>5404</v>
      </c>
      <c r="L5224" t="s">
        <v>24252</v>
      </c>
      <c r="M5224" t="s">
        <v>291</v>
      </c>
      <c r="N5224" t="s">
        <v>1354</v>
      </c>
      <c r="O5224" t="s">
        <v>24253</v>
      </c>
      <c r="P5224" t="s">
        <v>24254</v>
      </c>
      <c r="Q5224" t="s">
        <v>24255</v>
      </c>
      <c r="R5224">
        <v>15</v>
      </c>
      <c r="S5224">
        <v>16</v>
      </c>
    </row>
    <row r="5225" spans="1:19" x14ac:dyDescent="0.35">
      <c r="A5225">
        <v>2404</v>
      </c>
      <c r="B5225" t="s">
        <v>24256</v>
      </c>
      <c r="C5225" t="s">
        <v>42</v>
      </c>
      <c r="D5225" t="s">
        <v>24257</v>
      </c>
      <c r="E5225" t="e" cm="1">
        <f t="array" ref="E5225">- PARACETAMOL</f>
        <v>#NAME?</v>
      </c>
      <c r="F5225" s="1">
        <v>3200</v>
      </c>
      <c r="G5225" t="s">
        <v>16021</v>
      </c>
      <c r="H5225" t="s">
        <v>22336</v>
      </c>
      <c r="I5225" t="s">
        <v>22337</v>
      </c>
      <c r="J5225" t="s">
        <v>727</v>
      </c>
      <c r="M5225" t="s">
        <v>291</v>
      </c>
      <c r="N5225" t="s">
        <v>584</v>
      </c>
      <c r="O5225" t="s">
        <v>22340</v>
      </c>
      <c r="P5225" t="s">
        <v>24258</v>
      </c>
      <c r="Q5225" t="s">
        <v>24259</v>
      </c>
      <c r="R5225">
        <v>15</v>
      </c>
      <c r="S5225">
        <v>16</v>
      </c>
    </row>
    <row r="5226" spans="1:19" x14ac:dyDescent="0.35">
      <c r="A5226">
        <v>1610</v>
      </c>
      <c r="B5226" t="s">
        <v>19994</v>
      </c>
      <c r="C5226" t="s">
        <v>42</v>
      </c>
      <c r="D5226" t="s">
        <v>19995</v>
      </c>
      <c r="E5226" t="e" cm="1">
        <f t="array" ref="E5226">- TRIPROLIDINE HYDROCHLORIDE. PSEUDOEPHEDRINE HYDROCHLORIDE</f>
        <v>#NAME?</v>
      </c>
      <c r="F5226" t="s">
        <v>19996</v>
      </c>
      <c r="G5226" t="s">
        <v>6310</v>
      </c>
      <c r="H5226" t="s">
        <v>19997</v>
      </c>
      <c r="I5226" t="s">
        <v>19982</v>
      </c>
      <c r="J5226" t="s">
        <v>334</v>
      </c>
      <c r="K5226" t="s">
        <v>19983</v>
      </c>
      <c r="L5226" t="s">
        <v>19998</v>
      </c>
      <c r="M5226" t="s">
        <v>271</v>
      </c>
      <c r="N5226" t="s">
        <v>16710</v>
      </c>
      <c r="O5226" t="s">
        <v>19985</v>
      </c>
      <c r="P5226" t="s">
        <v>19986</v>
      </c>
      <c r="Q5226" t="s">
        <v>24260</v>
      </c>
      <c r="R5226">
        <v>15</v>
      </c>
      <c r="S5226">
        <v>16</v>
      </c>
    </row>
    <row r="5227" spans="1:19" x14ac:dyDescent="0.35">
      <c r="A5227">
        <v>5779</v>
      </c>
      <c r="B5227" t="s">
        <v>19646</v>
      </c>
      <c r="C5227" t="s">
        <v>42</v>
      </c>
      <c r="D5227" t="s">
        <v>19647</v>
      </c>
      <c r="E5227" t="e" cm="1">
        <f t="array" ref="E5227">- ISONIAZID. PYRIDOXINE HYDROCHLORIDE</f>
        <v>#NAME?</v>
      </c>
      <c r="F5227" t="s">
        <v>19648</v>
      </c>
      <c r="G5227" t="s">
        <v>19649</v>
      </c>
      <c r="H5227" t="s">
        <v>19650</v>
      </c>
      <c r="I5227" t="s">
        <v>19651</v>
      </c>
      <c r="J5227" t="s">
        <v>1093</v>
      </c>
      <c r="K5227" t="s">
        <v>19652</v>
      </c>
      <c r="L5227" t="s">
        <v>19653</v>
      </c>
      <c r="M5227" t="s">
        <v>46</v>
      </c>
      <c r="N5227" t="s">
        <v>4715</v>
      </c>
      <c r="O5227" t="s">
        <v>19654</v>
      </c>
      <c r="P5227" t="s">
        <v>19655</v>
      </c>
      <c r="Q5227" t="s">
        <v>24261</v>
      </c>
      <c r="R5227">
        <v>15</v>
      </c>
      <c r="S5227">
        <v>16</v>
      </c>
    </row>
    <row r="5228" spans="1:19" x14ac:dyDescent="0.35">
      <c r="A5228">
        <v>5786</v>
      </c>
      <c r="B5228" t="s">
        <v>24262</v>
      </c>
      <c r="C5228" t="s">
        <v>42</v>
      </c>
      <c r="D5228" t="s">
        <v>24263</v>
      </c>
      <c r="E5228" t="e" cm="1">
        <f t="array" ref="E5228">- CEFADROXIL MONOHYDRATE</f>
        <v>#NAME?</v>
      </c>
      <c r="F5228" t="s">
        <v>24264</v>
      </c>
      <c r="G5228" t="s">
        <v>2241</v>
      </c>
      <c r="H5228" t="s">
        <v>21352</v>
      </c>
      <c r="I5228" t="s">
        <v>21353</v>
      </c>
      <c r="J5228" t="s">
        <v>334</v>
      </c>
      <c r="K5228" t="s">
        <v>21355</v>
      </c>
      <c r="L5228" t="s">
        <v>21356</v>
      </c>
      <c r="M5228" t="s">
        <v>271</v>
      </c>
      <c r="N5228" t="s">
        <v>1777</v>
      </c>
      <c r="O5228" t="s">
        <v>21358</v>
      </c>
      <c r="P5228" t="s">
        <v>22231</v>
      </c>
      <c r="Q5228" t="s">
        <v>23903</v>
      </c>
      <c r="R5228">
        <v>15</v>
      </c>
      <c r="S5228">
        <v>16</v>
      </c>
    </row>
    <row r="5229" spans="1:19" x14ac:dyDescent="0.35">
      <c r="A5229">
        <v>80</v>
      </c>
      <c r="B5229" t="s">
        <v>2902</v>
      </c>
      <c r="C5229" t="s">
        <v>42</v>
      </c>
      <c r="D5229" t="s">
        <v>24265</v>
      </c>
      <c r="E5229" t="e" cm="1">
        <f t="array" ref="E5229">- SILDENAFIL CITRATE</f>
        <v>#NAME?</v>
      </c>
      <c r="F5229" s="1">
        <v>64300</v>
      </c>
      <c r="G5229" t="s">
        <v>24266</v>
      </c>
      <c r="H5229" t="s">
        <v>8263</v>
      </c>
      <c r="I5229" t="s">
        <v>24267</v>
      </c>
      <c r="J5229" t="s">
        <v>24268</v>
      </c>
      <c r="L5229" t="s">
        <v>24269</v>
      </c>
      <c r="M5229" t="s">
        <v>46</v>
      </c>
      <c r="N5229" t="s">
        <v>2519</v>
      </c>
      <c r="O5229" t="s">
        <v>24270</v>
      </c>
      <c r="P5229" t="s">
        <v>24271</v>
      </c>
      <c r="Q5229" t="s">
        <v>24272</v>
      </c>
      <c r="R5229">
        <v>15</v>
      </c>
      <c r="S5229">
        <v>16</v>
      </c>
    </row>
    <row r="5230" spans="1:19" x14ac:dyDescent="0.35">
      <c r="A5230">
        <v>6994</v>
      </c>
      <c r="B5230" t="s">
        <v>1803</v>
      </c>
      <c r="C5230" t="s">
        <v>42</v>
      </c>
      <c r="D5230" t="s">
        <v>23501</v>
      </c>
      <c r="E5230" t="e" cm="1">
        <f t="array" ref="E5230">- TIZANIDINE HYDROCHLORIDE</f>
        <v>#NAME?</v>
      </c>
      <c r="F5230" t="s">
        <v>23502</v>
      </c>
      <c r="G5230" t="s">
        <v>23503</v>
      </c>
      <c r="H5230" t="s">
        <v>1322</v>
      </c>
      <c r="I5230" t="s">
        <v>23504</v>
      </c>
      <c r="J5230" t="s">
        <v>23505</v>
      </c>
      <c r="L5230" t="s">
        <v>23506</v>
      </c>
      <c r="M5230" t="s">
        <v>46</v>
      </c>
      <c r="N5230" t="s">
        <v>1806</v>
      </c>
      <c r="O5230" t="s">
        <v>23507</v>
      </c>
      <c r="P5230" t="s">
        <v>23508</v>
      </c>
      <c r="Q5230" t="s">
        <v>24273</v>
      </c>
      <c r="R5230">
        <v>15</v>
      </c>
      <c r="S5230">
        <v>16</v>
      </c>
    </row>
    <row r="5231" spans="1:19" x14ac:dyDescent="0.35">
      <c r="A5231">
        <v>1621</v>
      </c>
      <c r="B5231" t="s">
        <v>24274</v>
      </c>
      <c r="C5231" t="s">
        <v>42</v>
      </c>
      <c r="D5231" t="s">
        <v>24275</v>
      </c>
      <c r="E5231" t="e" cm="1">
        <f t="array" ref="E5231">- DEXTROMETHORPHAN HYDROBROMIDE</f>
        <v>#NAME?</v>
      </c>
      <c r="F5231" t="s">
        <v>24276</v>
      </c>
      <c r="G5231" t="s">
        <v>1691</v>
      </c>
      <c r="H5231" t="s">
        <v>24277</v>
      </c>
      <c r="I5231" t="s">
        <v>24278</v>
      </c>
      <c r="J5231" t="s">
        <v>334</v>
      </c>
      <c r="K5231" t="s">
        <v>24279</v>
      </c>
      <c r="L5231" t="s">
        <v>24280</v>
      </c>
      <c r="M5231" t="s">
        <v>271</v>
      </c>
      <c r="N5231" t="s">
        <v>1376</v>
      </c>
      <c r="O5231" t="s">
        <v>24281</v>
      </c>
      <c r="P5231" t="s">
        <v>24282</v>
      </c>
      <c r="Q5231" t="s">
        <v>24283</v>
      </c>
      <c r="R5231">
        <v>15</v>
      </c>
      <c r="S5231">
        <v>16</v>
      </c>
    </row>
    <row r="5232" spans="1:19" x14ac:dyDescent="0.35">
      <c r="A5232">
        <v>6985</v>
      </c>
      <c r="B5232" t="s">
        <v>1803</v>
      </c>
      <c r="C5232" t="s">
        <v>42</v>
      </c>
      <c r="D5232" t="s">
        <v>24284</v>
      </c>
      <c r="E5232" t="e" cm="1">
        <f t="array" ref="E5232">- TIZANIDINE HYDROCHLORIDE</f>
        <v>#NAME?</v>
      </c>
      <c r="F5232" t="s">
        <v>24285</v>
      </c>
      <c r="G5232" t="s">
        <v>24286</v>
      </c>
      <c r="I5232" t="s">
        <v>24287</v>
      </c>
      <c r="J5232" t="s">
        <v>4166</v>
      </c>
      <c r="M5232" t="s">
        <v>46</v>
      </c>
      <c r="N5232" t="s">
        <v>1806</v>
      </c>
      <c r="O5232" t="s">
        <v>24288</v>
      </c>
      <c r="P5232" t="s">
        <v>24289</v>
      </c>
      <c r="Q5232" t="s">
        <v>24290</v>
      </c>
      <c r="R5232">
        <v>15</v>
      </c>
      <c r="S5232">
        <v>16</v>
      </c>
    </row>
    <row r="5233" spans="1:19" x14ac:dyDescent="0.35">
      <c r="A5233">
        <v>1627</v>
      </c>
      <c r="B5233" t="s">
        <v>3034</v>
      </c>
      <c r="C5233" t="s">
        <v>42</v>
      </c>
      <c r="D5233" t="s">
        <v>20036</v>
      </c>
      <c r="E5233" t="e" cm="1">
        <f t="array" ref="E5233">- DEXTROMETHORPHAN HYDROBROMIDE. DIPHENHYDRAMINE HYDROCHLORIDE</f>
        <v>#NAME?</v>
      </c>
      <c r="F5233" t="s">
        <v>20037</v>
      </c>
      <c r="G5233" t="s">
        <v>2241</v>
      </c>
      <c r="H5233" t="s">
        <v>20038</v>
      </c>
      <c r="I5233" t="s">
        <v>20039</v>
      </c>
      <c r="J5233" t="s">
        <v>374</v>
      </c>
      <c r="K5233" t="s">
        <v>15926</v>
      </c>
      <c r="L5233" t="s">
        <v>15927</v>
      </c>
      <c r="M5233" t="s">
        <v>271</v>
      </c>
      <c r="N5233" t="s">
        <v>5000</v>
      </c>
      <c r="O5233" t="s">
        <v>18930</v>
      </c>
      <c r="P5233" t="s">
        <v>3038</v>
      </c>
      <c r="Q5233" t="s">
        <v>23692</v>
      </c>
      <c r="R5233">
        <v>15</v>
      </c>
      <c r="S5233">
        <v>16</v>
      </c>
    </row>
    <row r="5234" spans="1:19" x14ac:dyDescent="0.35">
      <c r="A5234">
        <v>1628</v>
      </c>
      <c r="B5234" t="s">
        <v>3034</v>
      </c>
      <c r="C5234" t="s">
        <v>42</v>
      </c>
      <c r="D5234" t="s">
        <v>20036</v>
      </c>
      <c r="E5234" t="e" cm="1">
        <f t="array" ref="E5234">- DEXTROMETHORPHAN HYDROBROMIDE. DIPHENHYDRAMINE HYDROCHLORIDE</f>
        <v>#NAME?</v>
      </c>
      <c r="F5234" t="s">
        <v>20037</v>
      </c>
      <c r="G5234" t="s">
        <v>2241</v>
      </c>
      <c r="H5234" t="s">
        <v>20038</v>
      </c>
      <c r="I5234" t="s">
        <v>20039</v>
      </c>
      <c r="J5234" t="s">
        <v>374</v>
      </c>
      <c r="K5234" t="s">
        <v>15926</v>
      </c>
      <c r="L5234" t="s">
        <v>15927</v>
      </c>
      <c r="M5234" t="s">
        <v>271</v>
      </c>
      <c r="N5234" t="s">
        <v>5000</v>
      </c>
      <c r="O5234" t="s">
        <v>18930</v>
      </c>
      <c r="P5234" t="s">
        <v>3038</v>
      </c>
      <c r="Q5234" t="s">
        <v>23692</v>
      </c>
      <c r="R5234">
        <v>15</v>
      </c>
      <c r="S5234">
        <v>16</v>
      </c>
    </row>
    <row r="5235" spans="1:19" x14ac:dyDescent="0.35">
      <c r="A5235">
        <v>6410</v>
      </c>
      <c r="B5235" t="s">
        <v>24291</v>
      </c>
      <c r="C5235" t="s">
        <v>42</v>
      </c>
      <c r="D5235" t="s">
        <v>24292</v>
      </c>
      <c r="E5235" t="e" cm="1">
        <f t="array" ref="E5235">- CEFADROXIL</f>
        <v>#NAME?</v>
      </c>
      <c r="F5235" t="s">
        <v>24293</v>
      </c>
      <c r="G5235" t="s">
        <v>2241</v>
      </c>
      <c r="H5235" t="s">
        <v>21352</v>
      </c>
      <c r="I5235" t="s">
        <v>21353</v>
      </c>
      <c r="J5235" t="s">
        <v>334</v>
      </c>
      <c r="K5235" t="s">
        <v>21355</v>
      </c>
      <c r="L5235" t="s">
        <v>21356</v>
      </c>
      <c r="M5235" t="s">
        <v>271</v>
      </c>
      <c r="N5235" t="s">
        <v>21357</v>
      </c>
      <c r="O5235" t="s">
        <v>21358</v>
      </c>
      <c r="P5235" t="s">
        <v>24294</v>
      </c>
      <c r="Q5235" t="s">
        <v>24295</v>
      </c>
      <c r="R5235">
        <v>15</v>
      </c>
      <c r="S5235">
        <v>16</v>
      </c>
    </row>
    <row r="5236" spans="1:19" x14ac:dyDescent="0.35">
      <c r="A5236">
        <v>5825</v>
      </c>
      <c r="B5236" t="s">
        <v>24296</v>
      </c>
      <c r="C5236" t="s">
        <v>42</v>
      </c>
      <c r="D5236" t="s">
        <v>24297</v>
      </c>
      <c r="E5236" t="e" cm="1">
        <f t="array" ref="E5236">- AMOXICILLIN TRIHYDRATE</f>
        <v>#NAME?</v>
      </c>
      <c r="F5236" t="s">
        <v>24298</v>
      </c>
      <c r="G5236" t="s">
        <v>1691</v>
      </c>
      <c r="H5236" t="s">
        <v>24299</v>
      </c>
      <c r="I5236" t="s">
        <v>24300</v>
      </c>
      <c r="J5236" t="s">
        <v>24301</v>
      </c>
      <c r="K5236" t="s">
        <v>24302</v>
      </c>
      <c r="L5236" t="s">
        <v>24303</v>
      </c>
      <c r="M5236" t="s">
        <v>271</v>
      </c>
      <c r="N5236" t="s">
        <v>1523</v>
      </c>
      <c r="O5236" t="s">
        <v>24304</v>
      </c>
      <c r="P5236" t="s">
        <v>24305</v>
      </c>
      <c r="Q5236" t="s">
        <v>24306</v>
      </c>
      <c r="R5236">
        <v>15</v>
      </c>
      <c r="S5236">
        <v>16</v>
      </c>
    </row>
    <row r="5237" spans="1:19" x14ac:dyDescent="0.35">
      <c r="A5237">
        <v>70</v>
      </c>
      <c r="B5237" t="s">
        <v>2902</v>
      </c>
      <c r="C5237" t="s">
        <v>42</v>
      </c>
      <c r="D5237" t="s">
        <v>24265</v>
      </c>
      <c r="E5237" t="e" cm="1">
        <f t="array" ref="E5237">- SILDENAFIL CITRATE</f>
        <v>#NAME?</v>
      </c>
      <c r="F5237" s="1">
        <v>64300</v>
      </c>
      <c r="G5237" t="s">
        <v>24266</v>
      </c>
      <c r="H5237" t="s">
        <v>8263</v>
      </c>
      <c r="I5237" t="s">
        <v>24267</v>
      </c>
      <c r="J5237" t="s">
        <v>24268</v>
      </c>
      <c r="L5237" t="s">
        <v>24269</v>
      </c>
      <c r="M5237" t="s">
        <v>46</v>
      </c>
      <c r="N5237" t="s">
        <v>2519</v>
      </c>
      <c r="O5237" t="s">
        <v>24270</v>
      </c>
      <c r="P5237" t="s">
        <v>24271</v>
      </c>
      <c r="Q5237" t="s">
        <v>24272</v>
      </c>
      <c r="R5237">
        <v>15</v>
      </c>
      <c r="S5237">
        <v>16</v>
      </c>
    </row>
    <row r="5238" spans="1:19" x14ac:dyDescent="0.35">
      <c r="A5238">
        <v>6970</v>
      </c>
      <c r="B5238" t="s">
        <v>1803</v>
      </c>
      <c r="C5238" t="s">
        <v>42</v>
      </c>
      <c r="D5238" t="s">
        <v>24307</v>
      </c>
      <c r="E5238" t="e" cm="1">
        <f t="array" ref="E5238">- TIZANIDINE HYDROCHLORIDE</f>
        <v>#NAME?</v>
      </c>
      <c r="F5238" t="s">
        <v>24308</v>
      </c>
      <c r="G5238" t="s">
        <v>24309</v>
      </c>
      <c r="H5238" t="s">
        <v>24310</v>
      </c>
      <c r="I5238" t="s">
        <v>24311</v>
      </c>
      <c r="J5238" t="s">
        <v>4201</v>
      </c>
      <c r="M5238" t="s">
        <v>46</v>
      </c>
      <c r="N5238" t="s">
        <v>1806</v>
      </c>
      <c r="O5238" t="s">
        <v>24312</v>
      </c>
      <c r="P5238" t="s">
        <v>24313</v>
      </c>
      <c r="Q5238" t="s">
        <v>24314</v>
      </c>
      <c r="R5238">
        <v>15</v>
      </c>
      <c r="S5238">
        <v>16</v>
      </c>
    </row>
    <row r="5239" spans="1:19" x14ac:dyDescent="0.35">
      <c r="A5239">
        <v>5733</v>
      </c>
      <c r="B5239" t="s">
        <v>24315</v>
      </c>
      <c r="C5239" t="s">
        <v>42</v>
      </c>
      <c r="D5239" t="s">
        <v>24316</v>
      </c>
      <c r="E5239" t="e" cm="1">
        <f t="array" ref="E5239">- CLARITHROMYCIN</f>
        <v>#NAME?</v>
      </c>
      <c r="F5239" s="1">
        <v>475100</v>
      </c>
      <c r="G5239" t="s">
        <v>2241</v>
      </c>
      <c r="H5239" t="s">
        <v>21015</v>
      </c>
      <c r="I5239" t="s">
        <v>24317</v>
      </c>
      <c r="J5239" t="s">
        <v>2100</v>
      </c>
      <c r="K5239" t="s">
        <v>2726</v>
      </c>
      <c r="L5239" t="s">
        <v>24318</v>
      </c>
      <c r="M5239" t="s">
        <v>46</v>
      </c>
      <c r="N5239" t="s">
        <v>985</v>
      </c>
      <c r="O5239" t="s">
        <v>24319</v>
      </c>
      <c r="P5239" t="s">
        <v>986</v>
      </c>
      <c r="Q5239" t="s">
        <v>24320</v>
      </c>
      <c r="R5239">
        <v>15</v>
      </c>
      <c r="S5239">
        <v>16</v>
      </c>
    </row>
    <row r="5240" spans="1:19" x14ac:dyDescent="0.35">
      <c r="A5240">
        <v>5839</v>
      </c>
      <c r="B5240" t="s">
        <v>23964</v>
      </c>
      <c r="C5240" t="s">
        <v>42</v>
      </c>
      <c r="D5240" t="s">
        <v>23965</v>
      </c>
      <c r="E5240" t="e" cm="1">
        <f t="array" ref="E5240">- CEFADROXIL MONOHYDRATE</f>
        <v>#NAME?</v>
      </c>
      <c r="F5240" t="s">
        <v>23966</v>
      </c>
      <c r="G5240" t="s">
        <v>2241</v>
      </c>
      <c r="H5240" t="s">
        <v>21352</v>
      </c>
      <c r="I5240" t="s">
        <v>21353</v>
      </c>
      <c r="J5240" t="s">
        <v>334</v>
      </c>
      <c r="K5240" t="s">
        <v>21355</v>
      </c>
      <c r="L5240" t="s">
        <v>21356</v>
      </c>
      <c r="M5240" t="s">
        <v>271</v>
      </c>
      <c r="N5240" t="s">
        <v>1777</v>
      </c>
      <c r="O5240" t="s">
        <v>21358</v>
      </c>
      <c r="P5240" t="s">
        <v>21359</v>
      </c>
      <c r="Q5240" t="s">
        <v>23967</v>
      </c>
      <c r="R5240">
        <v>15</v>
      </c>
      <c r="S5240">
        <v>16</v>
      </c>
    </row>
    <row r="5241" spans="1:19" x14ac:dyDescent="0.35">
      <c r="A5241">
        <v>5731</v>
      </c>
      <c r="B5241" t="s">
        <v>983</v>
      </c>
      <c r="C5241" t="s">
        <v>42</v>
      </c>
      <c r="D5241" t="s">
        <v>24321</v>
      </c>
      <c r="E5241" t="e" cm="1">
        <f t="array" ref="E5241">- CLARITHROMYCIN</f>
        <v>#NAME?</v>
      </c>
      <c r="F5241" t="s">
        <v>24322</v>
      </c>
      <c r="G5241" t="s">
        <v>2241</v>
      </c>
      <c r="H5241" t="s">
        <v>24323</v>
      </c>
      <c r="I5241" t="s">
        <v>24317</v>
      </c>
      <c r="J5241" t="s">
        <v>334</v>
      </c>
      <c r="K5241" t="s">
        <v>2726</v>
      </c>
      <c r="L5241" t="s">
        <v>24324</v>
      </c>
      <c r="M5241" t="s">
        <v>271</v>
      </c>
      <c r="N5241" t="s">
        <v>985</v>
      </c>
      <c r="O5241" t="s">
        <v>24319</v>
      </c>
      <c r="P5241" t="s">
        <v>986</v>
      </c>
      <c r="Q5241" t="s">
        <v>24325</v>
      </c>
      <c r="R5241">
        <v>15</v>
      </c>
      <c r="S5241">
        <v>16</v>
      </c>
    </row>
    <row r="5242" spans="1:19" x14ac:dyDescent="0.35">
      <c r="A5242">
        <v>6276</v>
      </c>
      <c r="B5242" t="s">
        <v>24326</v>
      </c>
      <c r="C5242" t="s">
        <v>42</v>
      </c>
      <c r="D5242" t="s">
        <v>24327</v>
      </c>
      <c r="E5242" t="e" cm="1">
        <f t="array" ref="E5242">- CEFADROXIL MONOHYDRATE</f>
        <v>#NAME?</v>
      </c>
      <c r="F5242" t="s">
        <v>24328</v>
      </c>
      <c r="G5242" t="s">
        <v>2241</v>
      </c>
      <c r="H5242" t="s">
        <v>21352</v>
      </c>
      <c r="I5242" t="s">
        <v>21353</v>
      </c>
      <c r="J5242" t="s">
        <v>334</v>
      </c>
      <c r="K5242" t="s">
        <v>21355</v>
      </c>
      <c r="L5242" t="s">
        <v>21356</v>
      </c>
      <c r="M5242" t="s">
        <v>271</v>
      </c>
      <c r="N5242" t="s">
        <v>1777</v>
      </c>
      <c r="O5242" t="s">
        <v>21358</v>
      </c>
      <c r="P5242" t="s">
        <v>24329</v>
      </c>
      <c r="Q5242" t="s">
        <v>24330</v>
      </c>
      <c r="R5242">
        <v>15</v>
      </c>
      <c r="S5242">
        <v>16</v>
      </c>
    </row>
    <row r="5243" spans="1:19" x14ac:dyDescent="0.35">
      <c r="A5243">
        <v>6390</v>
      </c>
      <c r="B5243" t="s">
        <v>24331</v>
      </c>
      <c r="C5243" t="s">
        <v>42</v>
      </c>
      <c r="D5243" t="s">
        <v>24332</v>
      </c>
      <c r="E5243" t="e" cm="1">
        <f t="array" ref="E5243">- CEFADROXIL MONOHYDRATE</f>
        <v>#NAME?</v>
      </c>
      <c r="F5243" t="s">
        <v>24333</v>
      </c>
      <c r="G5243" t="s">
        <v>2241</v>
      </c>
      <c r="H5243" t="s">
        <v>21352</v>
      </c>
      <c r="I5243" t="s">
        <v>21353</v>
      </c>
      <c r="J5243" t="s">
        <v>334</v>
      </c>
      <c r="K5243" t="s">
        <v>21355</v>
      </c>
      <c r="L5243" t="s">
        <v>21356</v>
      </c>
      <c r="M5243" t="s">
        <v>271</v>
      </c>
      <c r="N5243" t="s">
        <v>1777</v>
      </c>
      <c r="O5243" t="s">
        <v>21358</v>
      </c>
      <c r="P5243" t="s">
        <v>24204</v>
      </c>
      <c r="Q5243" t="s">
        <v>24334</v>
      </c>
      <c r="R5243">
        <v>15</v>
      </c>
      <c r="S5243">
        <v>16</v>
      </c>
    </row>
    <row r="5244" spans="1:19" x14ac:dyDescent="0.35">
      <c r="A5244">
        <v>10012</v>
      </c>
      <c r="B5244" t="s">
        <v>24183</v>
      </c>
      <c r="C5244" t="s">
        <v>42</v>
      </c>
      <c r="D5244" t="s">
        <v>24184</v>
      </c>
      <c r="E5244" t="e" cm="1">
        <f t="array" ref="E5244">- CILOSTAZOL</f>
        <v>#NAME?</v>
      </c>
      <c r="F5244" t="s">
        <v>24185</v>
      </c>
      <c r="G5244" t="s">
        <v>24186</v>
      </c>
      <c r="H5244" t="s">
        <v>24187</v>
      </c>
      <c r="I5244" t="s">
        <v>24188</v>
      </c>
      <c r="J5244" t="s">
        <v>24189</v>
      </c>
      <c r="K5244" t="s">
        <v>24190</v>
      </c>
      <c r="L5244" t="s">
        <v>24191</v>
      </c>
      <c r="M5244" t="s">
        <v>38</v>
      </c>
      <c r="N5244" t="s">
        <v>20904</v>
      </c>
      <c r="O5244" t="s">
        <v>24192</v>
      </c>
      <c r="P5244" t="s">
        <v>24193</v>
      </c>
      <c r="Q5244" t="s">
        <v>24194</v>
      </c>
      <c r="R5244">
        <v>15</v>
      </c>
      <c r="S5244">
        <v>16</v>
      </c>
    </row>
    <row r="5245" spans="1:19" x14ac:dyDescent="0.35">
      <c r="A5245">
        <v>1555</v>
      </c>
      <c r="B5245" t="s">
        <v>24335</v>
      </c>
      <c r="C5245" t="s">
        <v>42</v>
      </c>
      <c r="D5245" t="s">
        <v>24336</v>
      </c>
      <c r="E5245" t="e" cm="1">
        <f t="array" ref="E5245">- DEXTROMETHORPHAN HYDROBROMIDE</f>
        <v>#NAME?</v>
      </c>
      <c r="F5245" t="s">
        <v>14485</v>
      </c>
      <c r="G5245" t="s">
        <v>5192</v>
      </c>
      <c r="H5245" t="s">
        <v>24337</v>
      </c>
      <c r="I5245" t="s">
        <v>24338</v>
      </c>
      <c r="J5245" t="s">
        <v>24339</v>
      </c>
      <c r="K5245" t="s">
        <v>24340</v>
      </c>
      <c r="M5245" t="s">
        <v>46</v>
      </c>
      <c r="N5245" t="s">
        <v>1376</v>
      </c>
      <c r="O5245" t="s">
        <v>24341</v>
      </c>
      <c r="P5245" t="s">
        <v>24342</v>
      </c>
      <c r="Q5245" t="s">
        <v>24343</v>
      </c>
      <c r="R5245">
        <v>15</v>
      </c>
      <c r="S5245">
        <v>16</v>
      </c>
    </row>
    <row r="5246" spans="1:19" x14ac:dyDescent="0.35">
      <c r="A5246">
        <v>5670</v>
      </c>
      <c r="B5246" t="s">
        <v>24344</v>
      </c>
      <c r="C5246" t="s">
        <v>42</v>
      </c>
      <c r="D5246" t="s">
        <v>24345</v>
      </c>
      <c r="E5246" t="e" cm="1">
        <f t="array" ref="E5246">- TETRACYCLINE HYDROCHLORIDE</f>
        <v>#NAME?</v>
      </c>
      <c r="F5246" t="s">
        <v>24346</v>
      </c>
      <c r="G5246" t="s">
        <v>19684</v>
      </c>
      <c r="H5246" t="s">
        <v>19685</v>
      </c>
      <c r="I5246" t="s">
        <v>19686</v>
      </c>
      <c r="J5246" t="s">
        <v>24347</v>
      </c>
      <c r="K5246" t="s">
        <v>19687</v>
      </c>
      <c r="L5246" t="s">
        <v>19688</v>
      </c>
      <c r="M5246" t="s">
        <v>38</v>
      </c>
      <c r="N5246" t="s">
        <v>3156</v>
      </c>
      <c r="O5246" t="s">
        <v>19689</v>
      </c>
      <c r="P5246" t="s">
        <v>24348</v>
      </c>
      <c r="Q5246" t="s">
        <v>24349</v>
      </c>
      <c r="R5246">
        <v>15</v>
      </c>
      <c r="S5246">
        <v>16</v>
      </c>
    </row>
    <row r="5247" spans="1:19" x14ac:dyDescent="0.35">
      <c r="A5247">
        <v>5671</v>
      </c>
      <c r="B5247" t="s">
        <v>24344</v>
      </c>
      <c r="C5247" t="s">
        <v>42</v>
      </c>
      <c r="D5247" t="s">
        <v>24345</v>
      </c>
      <c r="E5247" t="e" cm="1">
        <f t="array" ref="E5247">- TETRACYCLINE HYDROCHLORIDE</f>
        <v>#NAME?</v>
      </c>
      <c r="F5247" t="s">
        <v>24346</v>
      </c>
      <c r="G5247" t="s">
        <v>19684</v>
      </c>
      <c r="H5247" t="s">
        <v>19685</v>
      </c>
      <c r="I5247" t="s">
        <v>19686</v>
      </c>
      <c r="J5247" t="s">
        <v>24347</v>
      </c>
      <c r="K5247" t="s">
        <v>19687</v>
      </c>
      <c r="L5247" t="s">
        <v>19688</v>
      </c>
      <c r="M5247" t="s">
        <v>38</v>
      </c>
      <c r="N5247" t="s">
        <v>3156</v>
      </c>
      <c r="O5247" t="s">
        <v>19689</v>
      </c>
      <c r="P5247" t="s">
        <v>24348</v>
      </c>
      <c r="Q5247" t="s">
        <v>24349</v>
      </c>
      <c r="R5247">
        <v>15</v>
      </c>
      <c r="S5247">
        <v>16</v>
      </c>
    </row>
    <row r="5248" spans="1:19" x14ac:dyDescent="0.35">
      <c r="A5248">
        <v>2514</v>
      </c>
      <c r="B5248" t="s">
        <v>24350</v>
      </c>
      <c r="C5248" t="s">
        <v>42</v>
      </c>
      <c r="D5248" t="s">
        <v>24351</v>
      </c>
      <c r="E5248" t="e" cm="1">
        <f t="array" ref="E5248">- PARACETAMOL</f>
        <v>#NAME?</v>
      </c>
      <c r="F5248" t="s">
        <v>24352</v>
      </c>
      <c r="G5248" t="s">
        <v>60</v>
      </c>
      <c r="H5248" t="s">
        <v>24353</v>
      </c>
      <c r="I5248" t="s">
        <v>24354</v>
      </c>
      <c r="J5248" t="s">
        <v>24355</v>
      </c>
      <c r="K5248" t="s">
        <v>24356</v>
      </c>
      <c r="L5248" t="s">
        <v>24357</v>
      </c>
      <c r="M5248" t="s">
        <v>291</v>
      </c>
      <c r="N5248" t="s">
        <v>584</v>
      </c>
      <c r="O5248" t="s">
        <v>24358</v>
      </c>
      <c r="P5248" t="s">
        <v>24359</v>
      </c>
      <c r="Q5248" t="s">
        <v>24360</v>
      </c>
      <c r="R5248">
        <v>15</v>
      </c>
      <c r="S5248">
        <v>16</v>
      </c>
    </row>
    <row r="5249" spans="1:19" x14ac:dyDescent="0.35">
      <c r="A5249">
        <v>5674</v>
      </c>
      <c r="B5249" t="s">
        <v>24361</v>
      </c>
      <c r="C5249" t="s">
        <v>42</v>
      </c>
      <c r="D5249" t="s">
        <v>24362</v>
      </c>
      <c r="E5249" t="e" cm="1">
        <f t="array" ref="E5249">- CEFADROXIL MONOHYDRATE</f>
        <v>#NAME?</v>
      </c>
      <c r="F5249" t="s">
        <v>24363</v>
      </c>
      <c r="G5249" t="s">
        <v>2241</v>
      </c>
      <c r="H5249" t="s">
        <v>21352</v>
      </c>
      <c r="I5249" t="s">
        <v>21353</v>
      </c>
      <c r="J5249" t="s">
        <v>334</v>
      </c>
      <c r="K5249" t="s">
        <v>21355</v>
      </c>
      <c r="L5249" t="s">
        <v>21356</v>
      </c>
      <c r="M5249" t="s">
        <v>271</v>
      </c>
      <c r="N5249" t="s">
        <v>1777</v>
      </c>
      <c r="O5249" t="s">
        <v>21358</v>
      </c>
      <c r="P5249" t="s">
        <v>21357</v>
      </c>
      <c r="Q5249" t="s">
        <v>24364</v>
      </c>
      <c r="R5249">
        <v>15</v>
      </c>
      <c r="S5249">
        <v>16</v>
      </c>
    </row>
    <row r="5250" spans="1:19" x14ac:dyDescent="0.35">
      <c r="A5250">
        <v>5675</v>
      </c>
      <c r="B5250" t="s">
        <v>24361</v>
      </c>
      <c r="C5250" t="s">
        <v>42</v>
      </c>
      <c r="D5250" t="s">
        <v>24362</v>
      </c>
      <c r="E5250" t="e" cm="1">
        <f t="array" ref="E5250">- CEFADROXIL MONOHYDRATE</f>
        <v>#NAME?</v>
      </c>
      <c r="F5250" t="s">
        <v>24363</v>
      </c>
      <c r="G5250" t="s">
        <v>2241</v>
      </c>
      <c r="H5250" t="s">
        <v>21352</v>
      </c>
      <c r="I5250" t="s">
        <v>21353</v>
      </c>
      <c r="J5250" t="s">
        <v>334</v>
      </c>
      <c r="K5250" t="s">
        <v>21355</v>
      </c>
      <c r="L5250" t="s">
        <v>21356</v>
      </c>
      <c r="M5250" t="s">
        <v>271</v>
      </c>
      <c r="N5250" t="s">
        <v>1777</v>
      </c>
      <c r="O5250" t="s">
        <v>21358</v>
      </c>
      <c r="P5250" t="s">
        <v>21357</v>
      </c>
      <c r="Q5250" t="s">
        <v>24364</v>
      </c>
      <c r="R5250">
        <v>15</v>
      </c>
      <c r="S5250">
        <v>16</v>
      </c>
    </row>
    <row r="5251" spans="1:19" x14ac:dyDescent="0.35">
      <c r="A5251">
        <v>2513</v>
      </c>
      <c r="B5251" t="s">
        <v>24365</v>
      </c>
      <c r="C5251" t="s">
        <v>42</v>
      </c>
      <c r="D5251" t="s">
        <v>24366</v>
      </c>
      <c r="E5251" t="e" cm="1">
        <f t="array" ref="E5251">- PIROXICAM</f>
        <v>#NAME?</v>
      </c>
      <c r="F5251" t="s">
        <v>24367</v>
      </c>
      <c r="G5251" t="s">
        <v>11887</v>
      </c>
      <c r="H5251" t="s">
        <v>24368</v>
      </c>
      <c r="I5251" t="s">
        <v>24369</v>
      </c>
      <c r="J5251" t="s">
        <v>21853</v>
      </c>
      <c r="L5251" t="s">
        <v>24370</v>
      </c>
      <c r="M5251" t="s">
        <v>87</v>
      </c>
      <c r="N5251" t="s">
        <v>605</v>
      </c>
      <c r="O5251" t="s">
        <v>24371</v>
      </c>
      <c r="P5251" t="s">
        <v>24372</v>
      </c>
      <c r="Q5251" t="s">
        <v>24373</v>
      </c>
      <c r="R5251">
        <v>15</v>
      </c>
      <c r="S5251">
        <v>16</v>
      </c>
    </row>
    <row r="5252" spans="1:19" x14ac:dyDescent="0.35">
      <c r="A5252">
        <v>2510</v>
      </c>
      <c r="B5252" t="s">
        <v>24374</v>
      </c>
      <c r="C5252" t="s">
        <v>42</v>
      </c>
      <c r="D5252" t="s">
        <v>24375</v>
      </c>
      <c r="E5252" t="e" cm="1">
        <f t="array" ref="E5252">- IBUPROFEN</f>
        <v>#NAME?</v>
      </c>
      <c r="F5252" s="1">
        <v>13100</v>
      </c>
      <c r="G5252" t="s">
        <v>2241</v>
      </c>
      <c r="H5252" t="s">
        <v>24376</v>
      </c>
      <c r="I5252" t="s">
        <v>24377</v>
      </c>
      <c r="J5252" t="s">
        <v>45</v>
      </c>
      <c r="K5252" t="s">
        <v>24378</v>
      </c>
      <c r="L5252" t="s">
        <v>24379</v>
      </c>
      <c r="M5252" t="s">
        <v>46</v>
      </c>
      <c r="N5252" t="s">
        <v>383</v>
      </c>
      <c r="O5252" t="s">
        <v>24380</v>
      </c>
      <c r="P5252" t="s">
        <v>24381</v>
      </c>
      <c r="Q5252" t="s">
        <v>24382</v>
      </c>
      <c r="R5252">
        <v>15</v>
      </c>
      <c r="S5252">
        <v>16</v>
      </c>
    </row>
    <row r="5253" spans="1:19" x14ac:dyDescent="0.35">
      <c r="A5253">
        <v>2509</v>
      </c>
      <c r="B5253" t="s">
        <v>24374</v>
      </c>
      <c r="C5253" t="s">
        <v>42</v>
      </c>
      <c r="D5253" t="s">
        <v>24375</v>
      </c>
      <c r="E5253" t="e" cm="1">
        <f t="array" ref="E5253">- IBUPROFEN</f>
        <v>#NAME?</v>
      </c>
      <c r="F5253" s="1">
        <v>13100</v>
      </c>
      <c r="G5253" t="s">
        <v>2241</v>
      </c>
      <c r="H5253" t="s">
        <v>24376</v>
      </c>
      <c r="I5253" t="s">
        <v>24377</v>
      </c>
      <c r="J5253" t="s">
        <v>45</v>
      </c>
      <c r="K5253" t="s">
        <v>24378</v>
      </c>
      <c r="L5253" t="s">
        <v>24379</v>
      </c>
      <c r="M5253" t="s">
        <v>46</v>
      </c>
      <c r="N5253" t="s">
        <v>383</v>
      </c>
      <c r="O5253" t="s">
        <v>24380</v>
      </c>
      <c r="P5253" t="s">
        <v>24381</v>
      </c>
      <c r="Q5253" t="s">
        <v>24382</v>
      </c>
      <c r="R5253">
        <v>15</v>
      </c>
      <c r="S5253">
        <v>16</v>
      </c>
    </row>
    <row r="5254" spans="1:19" x14ac:dyDescent="0.35">
      <c r="A5254">
        <v>7072</v>
      </c>
      <c r="B5254" t="s">
        <v>1803</v>
      </c>
      <c r="C5254" t="s">
        <v>42</v>
      </c>
      <c r="D5254" t="s">
        <v>23704</v>
      </c>
      <c r="E5254" t="e" cm="1">
        <f t="array" ref="E5254">- TIZANIDINE HYDROCHLORIDE</f>
        <v>#NAME?</v>
      </c>
      <c r="F5254" t="s">
        <v>23705</v>
      </c>
      <c r="G5254" t="s">
        <v>23706</v>
      </c>
      <c r="I5254" t="s">
        <v>23707</v>
      </c>
      <c r="J5254" t="s">
        <v>9689</v>
      </c>
      <c r="M5254" t="s">
        <v>46</v>
      </c>
      <c r="N5254" t="s">
        <v>1806</v>
      </c>
      <c r="O5254" t="s">
        <v>23708</v>
      </c>
      <c r="P5254" t="s">
        <v>23709</v>
      </c>
      <c r="Q5254" t="s">
        <v>23710</v>
      </c>
      <c r="R5254">
        <v>15</v>
      </c>
      <c r="S5254">
        <v>16</v>
      </c>
    </row>
    <row r="5255" spans="1:19" x14ac:dyDescent="0.35">
      <c r="A5255">
        <v>10011</v>
      </c>
      <c r="B5255" t="s">
        <v>24183</v>
      </c>
      <c r="C5255" t="s">
        <v>42</v>
      </c>
      <c r="D5255" t="s">
        <v>24184</v>
      </c>
      <c r="E5255" t="e" cm="1">
        <f t="array" ref="E5255">- CILOSTAZOL</f>
        <v>#NAME?</v>
      </c>
      <c r="F5255" t="s">
        <v>24185</v>
      </c>
      <c r="G5255" t="s">
        <v>24186</v>
      </c>
      <c r="H5255" t="s">
        <v>24187</v>
      </c>
      <c r="I5255" t="s">
        <v>24188</v>
      </c>
      <c r="J5255" t="s">
        <v>24189</v>
      </c>
      <c r="K5255" t="s">
        <v>24190</v>
      </c>
      <c r="L5255" t="s">
        <v>24191</v>
      </c>
      <c r="M5255" t="s">
        <v>38</v>
      </c>
      <c r="N5255" t="s">
        <v>20904</v>
      </c>
      <c r="O5255" t="s">
        <v>24192</v>
      </c>
      <c r="P5255" t="s">
        <v>24193</v>
      </c>
      <c r="Q5255" t="s">
        <v>24194</v>
      </c>
      <c r="R5255">
        <v>15</v>
      </c>
      <c r="S5255">
        <v>16</v>
      </c>
    </row>
    <row r="5256" spans="1:19" x14ac:dyDescent="0.35">
      <c r="A5256">
        <v>5699</v>
      </c>
      <c r="B5256" t="s">
        <v>24383</v>
      </c>
      <c r="C5256" t="s">
        <v>42</v>
      </c>
      <c r="D5256" t="s">
        <v>24384</v>
      </c>
      <c r="E5256" t="e" cm="1">
        <f t="array" ref="E5256">- CEFADROXIL MONOHYDRATE</f>
        <v>#NAME?</v>
      </c>
      <c r="F5256" t="s">
        <v>24385</v>
      </c>
      <c r="G5256" t="s">
        <v>2241</v>
      </c>
      <c r="H5256" t="s">
        <v>21352</v>
      </c>
      <c r="I5256" t="s">
        <v>21353</v>
      </c>
      <c r="J5256" t="s">
        <v>846</v>
      </c>
      <c r="K5256" t="s">
        <v>21355</v>
      </c>
      <c r="L5256" t="s">
        <v>21356</v>
      </c>
      <c r="M5256" t="s">
        <v>271</v>
      </c>
      <c r="N5256" t="s">
        <v>1777</v>
      </c>
      <c r="O5256" t="s">
        <v>21358</v>
      </c>
      <c r="P5256" t="s">
        <v>23754</v>
      </c>
      <c r="Q5256" t="s">
        <v>24386</v>
      </c>
      <c r="R5256">
        <v>15</v>
      </c>
      <c r="S5256">
        <v>16</v>
      </c>
    </row>
    <row r="5257" spans="1:19" x14ac:dyDescent="0.35">
      <c r="A5257">
        <v>9998</v>
      </c>
      <c r="B5257" t="s">
        <v>24387</v>
      </c>
      <c r="C5257" t="s">
        <v>42</v>
      </c>
      <c r="D5257" t="s">
        <v>24388</v>
      </c>
      <c r="E5257" t="e" cm="1">
        <f t="array" ref="E5257">- NIMODIPINE</f>
        <v>#NAME?</v>
      </c>
      <c r="F5257" s="1">
        <v>132300</v>
      </c>
      <c r="G5257" t="s">
        <v>24389</v>
      </c>
      <c r="H5257" t="s">
        <v>24390</v>
      </c>
      <c r="I5257" t="s">
        <v>24391</v>
      </c>
      <c r="J5257" t="s">
        <v>571</v>
      </c>
      <c r="K5257" t="s">
        <v>24392</v>
      </c>
      <c r="L5257" t="s">
        <v>24393</v>
      </c>
    </row>
    <row r="5258" spans="1:19" x14ac:dyDescent="0.35">
      <c r="A5258">
        <v>9997</v>
      </c>
      <c r="B5258" t="s">
        <v>24387</v>
      </c>
      <c r="C5258" t="s">
        <v>42</v>
      </c>
      <c r="D5258" t="s">
        <v>24388</v>
      </c>
      <c r="E5258" t="e" cm="1">
        <f t="array" ref="E5258">- NIMODIPINE</f>
        <v>#NAME?</v>
      </c>
      <c r="F5258" s="1">
        <v>132300</v>
      </c>
      <c r="G5258" t="s">
        <v>24389</v>
      </c>
      <c r="H5258" t="s">
        <v>24390</v>
      </c>
      <c r="I5258" t="s">
        <v>24391</v>
      </c>
      <c r="J5258" t="s">
        <v>571</v>
      </c>
      <c r="K5258" t="s">
        <v>24392</v>
      </c>
      <c r="L5258" t="s">
        <v>24393</v>
      </c>
    </row>
    <row r="5259" spans="1:19" x14ac:dyDescent="0.35">
      <c r="A5259">
        <v>9996</v>
      </c>
      <c r="B5259" t="s">
        <v>24394</v>
      </c>
      <c r="C5259" t="s">
        <v>42</v>
      </c>
      <c r="D5259" t="s">
        <v>24395</v>
      </c>
      <c r="E5259" t="e" cm="1">
        <f t="array" ref="E5259">- CILOSTAZOL</f>
        <v>#NAME?</v>
      </c>
      <c r="F5259" t="s">
        <v>24396</v>
      </c>
      <c r="G5259" t="s">
        <v>737</v>
      </c>
      <c r="H5259" t="s">
        <v>20900</v>
      </c>
      <c r="I5259" t="s">
        <v>24397</v>
      </c>
      <c r="J5259" t="s">
        <v>599</v>
      </c>
      <c r="K5259" t="s">
        <v>24398</v>
      </c>
      <c r="L5259" t="s">
        <v>24399</v>
      </c>
      <c r="M5259" t="s">
        <v>46</v>
      </c>
      <c r="N5259" t="s">
        <v>20904</v>
      </c>
      <c r="O5259" t="s">
        <v>24400</v>
      </c>
      <c r="P5259" t="s">
        <v>24401</v>
      </c>
      <c r="Q5259" t="s">
        <v>24402</v>
      </c>
      <c r="R5259">
        <v>15</v>
      </c>
      <c r="S5259">
        <v>16</v>
      </c>
    </row>
    <row r="5260" spans="1:19" x14ac:dyDescent="0.35">
      <c r="A5260">
        <v>1578</v>
      </c>
      <c r="B5260" t="s">
        <v>24403</v>
      </c>
      <c r="C5260" t="s">
        <v>42</v>
      </c>
      <c r="D5260" t="s">
        <v>24404</v>
      </c>
      <c r="E5260" t="e" cm="1">
        <f t="array" ref="E5260">- AMMONIUM CHLORIDE</f>
        <v>#NAME?</v>
      </c>
      <c r="F5260" t="s">
        <v>24405</v>
      </c>
      <c r="H5260" t="s">
        <v>24406</v>
      </c>
      <c r="I5260" t="s">
        <v>24407</v>
      </c>
      <c r="J5260" t="s">
        <v>24408</v>
      </c>
      <c r="M5260" t="s">
        <v>271</v>
      </c>
      <c r="N5260" t="s">
        <v>1672</v>
      </c>
      <c r="O5260" t="s">
        <v>24409</v>
      </c>
      <c r="P5260" t="s">
        <v>24410</v>
      </c>
      <c r="Q5260" t="s">
        <v>24411</v>
      </c>
      <c r="R5260">
        <v>15</v>
      </c>
      <c r="S5260">
        <v>16</v>
      </c>
    </row>
    <row r="5261" spans="1:19" x14ac:dyDescent="0.35">
      <c r="A5261">
        <v>9995</v>
      </c>
      <c r="B5261" t="s">
        <v>24394</v>
      </c>
      <c r="C5261" t="s">
        <v>42</v>
      </c>
      <c r="D5261" t="s">
        <v>24412</v>
      </c>
      <c r="E5261" t="e" cm="1">
        <f t="array" ref="E5261">- CILOSTAZOL</f>
        <v>#NAME?</v>
      </c>
      <c r="F5261" t="s">
        <v>24413</v>
      </c>
      <c r="G5261" t="s">
        <v>737</v>
      </c>
      <c r="H5261" t="s">
        <v>16591</v>
      </c>
      <c r="I5261" t="s">
        <v>24397</v>
      </c>
      <c r="J5261" t="s">
        <v>599</v>
      </c>
      <c r="K5261" t="s">
        <v>24398</v>
      </c>
      <c r="L5261" t="s">
        <v>24399</v>
      </c>
      <c r="M5261" t="s">
        <v>46</v>
      </c>
      <c r="N5261" t="s">
        <v>20904</v>
      </c>
      <c r="O5261" t="s">
        <v>24400</v>
      </c>
      <c r="P5261" t="s">
        <v>24401</v>
      </c>
      <c r="Q5261" t="s">
        <v>24402</v>
      </c>
      <c r="R5261">
        <v>15</v>
      </c>
      <c r="S5261">
        <v>16</v>
      </c>
    </row>
    <row r="5262" spans="1:19" x14ac:dyDescent="0.35">
      <c r="A5262">
        <v>5717</v>
      </c>
      <c r="B5262" t="s">
        <v>22228</v>
      </c>
      <c r="C5262" t="s">
        <v>42</v>
      </c>
      <c r="D5262" t="s">
        <v>22229</v>
      </c>
      <c r="E5262" t="e" cm="1">
        <f t="array" ref="E5262">- CEFADROXIL MONOHYDRATE</f>
        <v>#NAME?</v>
      </c>
      <c r="F5262" t="s">
        <v>22230</v>
      </c>
      <c r="G5262" t="s">
        <v>2241</v>
      </c>
      <c r="H5262" t="s">
        <v>21352</v>
      </c>
      <c r="I5262" t="s">
        <v>21353</v>
      </c>
      <c r="J5262" t="s">
        <v>6069</v>
      </c>
      <c r="K5262" t="s">
        <v>21355</v>
      </c>
      <c r="L5262" t="s">
        <v>21356</v>
      </c>
      <c r="M5262" t="s">
        <v>38</v>
      </c>
      <c r="N5262" t="s">
        <v>1777</v>
      </c>
      <c r="O5262" t="s">
        <v>21358</v>
      </c>
      <c r="P5262" t="s">
        <v>22231</v>
      </c>
      <c r="Q5262" t="s">
        <v>24414</v>
      </c>
      <c r="R5262">
        <v>15</v>
      </c>
      <c r="S5262">
        <v>16</v>
      </c>
    </row>
    <row r="5263" spans="1:19" x14ac:dyDescent="0.35">
      <c r="A5263">
        <v>5719</v>
      </c>
      <c r="B5263" t="s">
        <v>24415</v>
      </c>
      <c r="C5263" t="s">
        <v>42</v>
      </c>
      <c r="D5263" t="s">
        <v>24416</v>
      </c>
      <c r="E5263" t="e" cm="1">
        <f t="array" ref="E5263">- NIFUROXAZIDE</f>
        <v>#NAME?</v>
      </c>
      <c r="F5263" t="s">
        <v>24417</v>
      </c>
      <c r="G5263" t="s">
        <v>2241</v>
      </c>
      <c r="H5263" t="s">
        <v>24418</v>
      </c>
      <c r="I5263" t="s">
        <v>24419</v>
      </c>
      <c r="J5263" t="s">
        <v>21307</v>
      </c>
      <c r="K5263" t="s">
        <v>24420</v>
      </c>
      <c r="L5263" t="s">
        <v>24421</v>
      </c>
      <c r="M5263" t="s">
        <v>271</v>
      </c>
      <c r="N5263" t="s">
        <v>1208</v>
      </c>
      <c r="O5263" t="s">
        <v>24422</v>
      </c>
      <c r="P5263" t="s">
        <v>24423</v>
      </c>
      <c r="Q5263" t="s">
        <v>24424</v>
      </c>
      <c r="R5263">
        <v>15</v>
      </c>
      <c r="S5263">
        <v>16</v>
      </c>
    </row>
    <row r="5264" spans="1:19" x14ac:dyDescent="0.35">
      <c r="A5264">
        <v>5720</v>
      </c>
      <c r="B5264" t="s">
        <v>24425</v>
      </c>
      <c r="C5264" t="s">
        <v>42</v>
      </c>
      <c r="D5264" t="s">
        <v>24426</v>
      </c>
      <c r="E5264" t="e" cm="1">
        <f t="array" ref="E5264">- CEFADROXIL MONOHYDRATE</f>
        <v>#NAME?</v>
      </c>
      <c r="F5264" s="1">
        <v>153000</v>
      </c>
      <c r="G5264" t="s">
        <v>2241</v>
      </c>
      <c r="H5264" t="s">
        <v>21352</v>
      </c>
      <c r="I5264" t="s">
        <v>21353</v>
      </c>
      <c r="J5264" t="s">
        <v>6069</v>
      </c>
      <c r="K5264" t="s">
        <v>21355</v>
      </c>
      <c r="L5264" t="s">
        <v>21356</v>
      </c>
      <c r="M5264" t="s">
        <v>38</v>
      </c>
      <c r="N5264" t="s">
        <v>1777</v>
      </c>
      <c r="O5264" t="s">
        <v>21358</v>
      </c>
      <c r="P5264" t="s">
        <v>24329</v>
      </c>
      <c r="Q5264" t="s">
        <v>24427</v>
      </c>
      <c r="R5264">
        <v>15</v>
      </c>
      <c r="S5264">
        <v>16</v>
      </c>
    </row>
    <row r="5265" spans="1:19" x14ac:dyDescent="0.35">
      <c r="A5265">
        <v>5721</v>
      </c>
      <c r="B5265" t="s">
        <v>24425</v>
      </c>
      <c r="C5265" t="s">
        <v>42</v>
      </c>
      <c r="D5265" t="s">
        <v>24426</v>
      </c>
      <c r="E5265" t="e" cm="1">
        <f t="array" ref="E5265">- CEFADROXIL MONOHYDRATE</f>
        <v>#NAME?</v>
      </c>
      <c r="F5265" s="1">
        <v>153000</v>
      </c>
      <c r="G5265" t="s">
        <v>2241</v>
      </c>
      <c r="H5265" t="s">
        <v>21352</v>
      </c>
      <c r="I5265" t="s">
        <v>21353</v>
      </c>
      <c r="J5265" t="s">
        <v>6069</v>
      </c>
      <c r="K5265" t="s">
        <v>21355</v>
      </c>
      <c r="L5265" t="s">
        <v>21356</v>
      </c>
      <c r="M5265" t="s">
        <v>38</v>
      </c>
      <c r="N5265" t="s">
        <v>1777</v>
      </c>
      <c r="O5265" t="s">
        <v>21358</v>
      </c>
      <c r="P5265" t="s">
        <v>24329</v>
      </c>
      <c r="Q5265" t="s">
        <v>24427</v>
      </c>
      <c r="R5265">
        <v>15</v>
      </c>
      <c r="S5265">
        <v>16</v>
      </c>
    </row>
    <row r="5266" spans="1:19" x14ac:dyDescent="0.35">
      <c r="A5266">
        <v>6275</v>
      </c>
      <c r="B5266" t="s">
        <v>24326</v>
      </c>
      <c r="C5266" t="s">
        <v>42</v>
      </c>
      <c r="D5266" t="s">
        <v>24327</v>
      </c>
      <c r="E5266" t="e" cm="1">
        <f t="array" ref="E5266">- CEFADROXIL MONOHYDRATE</f>
        <v>#NAME?</v>
      </c>
      <c r="F5266" t="s">
        <v>24328</v>
      </c>
      <c r="G5266" t="s">
        <v>2241</v>
      </c>
      <c r="H5266" t="s">
        <v>21352</v>
      </c>
      <c r="I5266" t="s">
        <v>21353</v>
      </c>
      <c r="J5266" t="s">
        <v>334</v>
      </c>
      <c r="K5266" t="s">
        <v>21355</v>
      </c>
      <c r="L5266" t="s">
        <v>21356</v>
      </c>
      <c r="M5266" t="s">
        <v>271</v>
      </c>
      <c r="N5266" t="s">
        <v>1777</v>
      </c>
      <c r="O5266" t="s">
        <v>21358</v>
      </c>
      <c r="P5266" t="s">
        <v>24329</v>
      </c>
      <c r="Q5266" t="s">
        <v>24330</v>
      </c>
      <c r="R5266">
        <v>15</v>
      </c>
      <c r="S5266">
        <v>16</v>
      </c>
    </row>
    <row r="5267" spans="1:19" x14ac:dyDescent="0.35">
      <c r="A5267">
        <v>8892</v>
      </c>
      <c r="B5267" t="s">
        <v>21496</v>
      </c>
      <c r="C5267" t="s">
        <v>42</v>
      </c>
      <c r="D5267" t="s">
        <v>21497</v>
      </c>
      <c r="E5267" t="e" cm="1">
        <f t="array" ref="E5267">- INSULIN GLARGINE</f>
        <v>#NAME?</v>
      </c>
      <c r="F5267" t="s">
        <v>21498</v>
      </c>
      <c r="G5267" t="s">
        <v>21499</v>
      </c>
      <c r="H5267" t="s">
        <v>21500</v>
      </c>
      <c r="I5267" t="s">
        <v>21501</v>
      </c>
      <c r="J5267" t="s">
        <v>21502</v>
      </c>
      <c r="K5267" t="s">
        <v>21503</v>
      </c>
      <c r="L5267" t="s">
        <v>21504</v>
      </c>
      <c r="M5267" t="s">
        <v>2403</v>
      </c>
      <c r="N5267" t="s">
        <v>23343</v>
      </c>
      <c r="O5267" t="s">
        <v>21505</v>
      </c>
      <c r="P5267" t="s">
        <v>21506</v>
      </c>
      <c r="Q5267" t="s">
        <v>23344</v>
      </c>
      <c r="R5267">
        <v>15</v>
      </c>
      <c r="S5267">
        <v>16</v>
      </c>
    </row>
    <row r="5268" spans="1:19" x14ac:dyDescent="0.35">
      <c r="A5268">
        <v>5028</v>
      </c>
      <c r="B5268" t="s">
        <v>24428</v>
      </c>
      <c r="C5268" t="s">
        <v>42</v>
      </c>
      <c r="D5268" t="s">
        <v>24429</v>
      </c>
      <c r="E5268" t="e" cm="1">
        <f t="array" ref="E5268">- MOMETASONE FUROATE</f>
        <v>#NAME?</v>
      </c>
      <c r="F5268" t="s">
        <v>24430</v>
      </c>
      <c r="G5268" t="s">
        <v>18182</v>
      </c>
      <c r="H5268" t="s">
        <v>6538</v>
      </c>
      <c r="I5268" t="s">
        <v>24431</v>
      </c>
      <c r="J5268" t="s">
        <v>24432</v>
      </c>
      <c r="K5268" t="s">
        <v>24433</v>
      </c>
      <c r="L5268" t="s">
        <v>24434</v>
      </c>
      <c r="M5268" t="s">
        <v>1289</v>
      </c>
      <c r="N5268" t="s">
        <v>13785</v>
      </c>
      <c r="O5268" t="s">
        <v>24435</v>
      </c>
      <c r="P5268" t="s">
        <v>24436</v>
      </c>
      <c r="Q5268" t="s">
        <v>24437</v>
      </c>
      <c r="R5268">
        <v>15</v>
      </c>
      <c r="S5268">
        <v>16</v>
      </c>
    </row>
    <row r="5269" spans="1:19" x14ac:dyDescent="0.35">
      <c r="A5269">
        <v>8367</v>
      </c>
      <c r="B5269" t="s">
        <v>551</v>
      </c>
      <c r="C5269" t="s">
        <v>42</v>
      </c>
      <c r="D5269" t="s">
        <v>24438</v>
      </c>
      <c r="E5269" t="e" cm="1">
        <f t="array" ref="E5269">- POVIDONE-IODINE</f>
        <v>#NAME?</v>
      </c>
      <c r="F5269" t="s">
        <v>24439</v>
      </c>
      <c r="I5269" t="s">
        <v>24440</v>
      </c>
      <c r="J5269" t="s">
        <v>12405</v>
      </c>
      <c r="M5269" t="s">
        <v>554</v>
      </c>
      <c r="N5269" t="s">
        <v>555</v>
      </c>
      <c r="O5269" t="s">
        <v>24441</v>
      </c>
      <c r="P5269" t="s">
        <v>24442</v>
      </c>
      <c r="Q5269" t="s">
        <v>24443</v>
      </c>
      <c r="R5269">
        <v>15</v>
      </c>
      <c r="S5269">
        <v>16</v>
      </c>
    </row>
    <row r="5270" spans="1:19" x14ac:dyDescent="0.35">
      <c r="A5270">
        <v>5095</v>
      </c>
      <c r="B5270" t="s">
        <v>24444</v>
      </c>
      <c r="C5270" t="s">
        <v>42</v>
      </c>
      <c r="D5270" t="s">
        <v>24445</v>
      </c>
      <c r="E5270" t="e" cm="1">
        <f t="array" ref="E5270">- MOMETASONE FUROATE</f>
        <v>#NAME?</v>
      </c>
      <c r="F5270" t="s">
        <v>24446</v>
      </c>
      <c r="G5270" t="s">
        <v>24447</v>
      </c>
      <c r="H5270" t="s">
        <v>6538</v>
      </c>
      <c r="I5270" t="s">
        <v>24448</v>
      </c>
      <c r="J5270" t="s">
        <v>1684</v>
      </c>
      <c r="K5270" t="s">
        <v>24449</v>
      </c>
      <c r="L5270" t="s">
        <v>24450</v>
      </c>
      <c r="M5270" t="s">
        <v>1289</v>
      </c>
      <c r="N5270" t="s">
        <v>13785</v>
      </c>
      <c r="O5270" t="s">
        <v>24451</v>
      </c>
      <c r="P5270" t="s">
        <v>24452</v>
      </c>
      <c r="Q5270" t="s">
        <v>24453</v>
      </c>
      <c r="R5270">
        <v>15</v>
      </c>
      <c r="S5270">
        <v>16</v>
      </c>
    </row>
    <row r="5271" spans="1:19" x14ac:dyDescent="0.35">
      <c r="A5271">
        <v>5094</v>
      </c>
      <c r="B5271" t="s">
        <v>24444</v>
      </c>
      <c r="C5271" t="s">
        <v>42</v>
      </c>
      <c r="D5271" t="s">
        <v>24445</v>
      </c>
      <c r="E5271" t="e" cm="1">
        <f t="array" ref="E5271">- MOMETASONE FUROATE</f>
        <v>#NAME?</v>
      </c>
      <c r="F5271" t="s">
        <v>24446</v>
      </c>
      <c r="G5271" t="s">
        <v>24447</v>
      </c>
      <c r="H5271" t="s">
        <v>6538</v>
      </c>
      <c r="I5271" t="s">
        <v>24448</v>
      </c>
      <c r="J5271" t="s">
        <v>1684</v>
      </c>
      <c r="K5271" t="s">
        <v>24449</v>
      </c>
      <c r="L5271" t="s">
        <v>24450</v>
      </c>
      <c r="M5271" t="s">
        <v>1289</v>
      </c>
      <c r="N5271" t="s">
        <v>13785</v>
      </c>
      <c r="O5271" t="s">
        <v>24451</v>
      </c>
      <c r="P5271" t="s">
        <v>24452</v>
      </c>
      <c r="Q5271" t="s">
        <v>24453</v>
      </c>
      <c r="R5271">
        <v>15</v>
      </c>
      <c r="S5271">
        <v>16</v>
      </c>
    </row>
    <row r="5272" spans="1:19" x14ac:dyDescent="0.35">
      <c r="A5272">
        <v>5093</v>
      </c>
      <c r="B5272" t="s">
        <v>24444</v>
      </c>
      <c r="C5272" t="s">
        <v>42</v>
      </c>
      <c r="D5272" t="s">
        <v>24445</v>
      </c>
      <c r="E5272" t="e" cm="1">
        <f t="array" ref="E5272">- MOMETASONE FUROATE</f>
        <v>#NAME?</v>
      </c>
      <c r="F5272" t="s">
        <v>24446</v>
      </c>
      <c r="G5272" t="s">
        <v>24447</v>
      </c>
      <c r="H5272" t="s">
        <v>6538</v>
      </c>
      <c r="I5272" t="s">
        <v>24448</v>
      </c>
      <c r="J5272" t="s">
        <v>1684</v>
      </c>
      <c r="K5272" t="s">
        <v>24449</v>
      </c>
      <c r="L5272" t="s">
        <v>24450</v>
      </c>
      <c r="M5272" t="s">
        <v>1289</v>
      </c>
      <c r="N5272" t="s">
        <v>13785</v>
      </c>
      <c r="O5272" t="s">
        <v>24451</v>
      </c>
      <c r="P5272" t="s">
        <v>24452</v>
      </c>
      <c r="Q5272" t="s">
        <v>24453</v>
      </c>
      <c r="R5272">
        <v>15</v>
      </c>
      <c r="S5272">
        <v>16</v>
      </c>
    </row>
    <row r="5273" spans="1:19" x14ac:dyDescent="0.35">
      <c r="A5273">
        <v>5092</v>
      </c>
      <c r="B5273" t="s">
        <v>24444</v>
      </c>
      <c r="C5273" t="s">
        <v>42</v>
      </c>
      <c r="D5273" t="s">
        <v>24454</v>
      </c>
      <c r="E5273" t="e" cm="1">
        <f t="array" ref="E5273">- MOMETASONE FUROATE</f>
        <v>#NAME?</v>
      </c>
      <c r="F5273" t="s">
        <v>24455</v>
      </c>
      <c r="G5273" t="s">
        <v>15767</v>
      </c>
      <c r="H5273" t="s">
        <v>6538</v>
      </c>
      <c r="I5273" t="s">
        <v>24456</v>
      </c>
      <c r="J5273" t="s">
        <v>2049</v>
      </c>
      <c r="K5273" t="s">
        <v>24449</v>
      </c>
      <c r="L5273" t="s">
        <v>24457</v>
      </c>
      <c r="M5273" t="s">
        <v>1289</v>
      </c>
      <c r="N5273" t="s">
        <v>13785</v>
      </c>
      <c r="O5273" t="s">
        <v>24451</v>
      </c>
      <c r="P5273" t="s">
        <v>24452</v>
      </c>
      <c r="Q5273" t="s">
        <v>24453</v>
      </c>
      <c r="R5273">
        <v>15</v>
      </c>
      <c r="S5273">
        <v>16</v>
      </c>
    </row>
    <row r="5274" spans="1:19" x14ac:dyDescent="0.35">
      <c r="A5274">
        <v>5091</v>
      </c>
      <c r="B5274" t="s">
        <v>24444</v>
      </c>
      <c r="C5274" t="s">
        <v>42</v>
      </c>
      <c r="D5274" t="s">
        <v>24454</v>
      </c>
      <c r="E5274" t="e" cm="1">
        <f t="array" ref="E5274">- MOMETASONE FUROATE</f>
        <v>#NAME?</v>
      </c>
      <c r="F5274" t="s">
        <v>24455</v>
      </c>
      <c r="G5274" t="s">
        <v>15767</v>
      </c>
      <c r="H5274" t="s">
        <v>6538</v>
      </c>
      <c r="I5274" t="s">
        <v>24456</v>
      </c>
      <c r="J5274" t="s">
        <v>2049</v>
      </c>
      <c r="K5274" t="s">
        <v>24449</v>
      </c>
      <c r="L5274" t="s">
        <v>24457</v>
      </c>
      <c r="M5274" t="s">
        <v>1289</v>
      </c>
      <c r="N5274" t="s">
        <v>13785</v>
      </c>
      <c r="O5274" t="s">
        <v>24451</v>
      </c>
      <c r="P5274" t="s">
        <v>24452</v>
      </c>
      <c r="Q5274" t="s">
        <v>24453</v>
      </c>
      <c r="R5274">
        <v>15</v>
      </c>
      <c r="S5274">
        <v>16</v>
      </c>
    </row>
    <row r="5275" spans="1:19" x14ac:dyDescent="0.35">
      <c r="A5275">
        <v>5090</v>
      </c>
      <c r="B5275" t="s">
        <v>24444</v>
      </c>
      <c r="C5275" t="s">
        <v>42</v>
      </c>
      <c r="D5275" t="s">
        <v>24454</v>
      </c>
      <c r="E5275" t="e" cm="1">
        <f t="array" ref="E5275">- MOMETASONE FUROATE</f>
        <v>#NAME?</v>
      </c>
      <c r="F5275" t="s">
        <v>24455</v>
      </c>
      <c r="G5275" t="s">
        <v>15767</v>
      </c>
      <c r="H5275" t="s">
        <v>6538</v>
      </c>
      <c r="I5275" t="s">
        <v>24456</v>
      </c>
      <c r="J5275" t="s">
        <v>2049</v>
      </c>
      <c r="K5275" t="s">
        <v>24449</v>
      </c>
      <c r="L5275" t="s">
        <v>24457</v>
      </c>
      <c r="M5275" t="s">
        <v>1289</v>
      </c>
      <c r="N5275" t="s">
        <v>13785</v>
      </c>
      <c r="O5275" t="s">
        <v>24451</v>
      </c>
      <c r="P5275" t="s">
        <v>24452</v>
      </c>
      <c r="Q5275" t="s">
        <v>24453</v>
      </c>
      <c r="R5275">
        <v>15</v>
      </c>
      <c r="S5275">
        <v>16</v>
      </c>
    </row>
    <row r="5276" spans="1:19" x14ac:dyDescent="0.35">
      <c r="A5276">
        <v>8301</v>
      </c>
      <c r="B5276" t="s">
        <v>551</v>
      </c>
      <c r="C5276" t="s">
        <v>42</v>
      </c>
      <c r="D5276" t="s">
        <v>24458</v>
      </c>
      <c r="E5276" t="e" cm="1">
        <f t="array" ref="E5276">- POVIDONE-IODINE</f>
        <v>#NAME?</v>
      </c>
      <c r="F5276" t="s">
        <v>24459</v>
      </c>
      <c r="G5276" t="s">
        <v>21363</v>
      </c>
      <c r="I5276" t="s">
        <v>21364</v>
      </c>
      <c r="J5276" t="s">
        <v>21558</v>
      </c>
      <c r="M5276" t="s">
        <v>554</v>
      </c>
      <c r="N5276" t="s">
        <v>555</v>
      </c>
      <c r="O5276" t="s">
        <v>21366</v>
      </c>
      <c r="P5276" t="s">
        <v>24460</v>
      </c>
      <c r="Q5276" t="s">
        <v>24461</v>
      </c>
      <c r="R5276">
        <v>15</v>
      </c>
      <c r="S5276">
        <v>16</v>
      </c>
    </row>
    <row r="5277" spans="1:19" x14ac:dyDescent="0.35">
      <c r="A5277">
        <v>8129</v>
      </c>
      <c r="B5277" t="s">
        <v>551</v>
      </c>
      <c r="C5277" t="s">
        <v>42</v>
      </c>
      <c r="D5277" t="s">
        <v>24462</v>
      </c>
      <c r="E5277" t="e" cm="1">
        <f t="array" ref="E5277">- POVIDONE-IODINE</f>
        <v>#NAME?</v>
      </c>
      <c r="F5277" t="s">
        <v>24463</v>
      </c>
      <c r="G5277" t="s">
        <v>24464</v>
      </c>
      <c r="H5277" t="s">
        <v>1322</v>
      </c>
      <c r="I5277" t="s">
        <v>24465</v>
      </c>
      <c r="J5277" t="s">
        <v>24466</v>
      </c>
      <c r="M5277" t="s">
        <v>554</v>
      </c>
      <c r="N5277" t="s">
        <v>555</v>
      </c>
      <c r="O5277" t="s">
        <v>24467</v>
      </c>
      <c r="P5277" t="s">
        <v>24468</v>
      </c>
      <c r="Q5277" t="s">
        <v>24469</v>
      </c>
      <c r="R5277">
        <v>15</v>
      </c>
      <c r="S5277">
        <v>16</v>
      </c>
    </row>
    <row r="5278" spans="1:19" x14ac:dyDescent="0.35">
      <c r="A5278">
        <v>8300</v>
      </c>
      <c r="B5278" t="s">
        <v>551</v>
      </c>
      <c r="C5278" t="s">
        <v>42</v>
      </c>
      <c r="D5278" t="s">
        <v>24458</v>
      </c>
      <c r="E5278" t="e" cm="1">
        <f t="array" ref="E5278">- POVIDONE-IODINE</f>
        <v>#NAME?</v>
      </c>
      <c r="F5278" t="s">
        <v>24459</v>
      </c>
      <c r="G5278" t="s">
        <v>21363</v>
      </c>
      <c r="I5278" t="s">
        <v>21364</v>
      </c>
      <c r="J5278" t="s">
        <v>21558</v>
      </c>
      <c r="M5278" t="s">
        <v>554</v>
      </c>
      <c r="N5278" t="s">
        <v>555</v>
      </c>
      <c r="O5278" t="s">
        <v>21366</v>
      </c>
      <c r="P5278" t="s">
        <v>24460</v>
      </c>
      <c r="Q5278" t="s">
        <v>24461</v>
      </c>
      <c r="R5278">
        <v>15</v>
      </c>
      <c r="S5278">
        <v>16</v>
      </c>
    </row>
    <row r="5279" spans="1:19" x14ac:dyDescent="0.35">
      <c r="A5279">
        <v>1231</v>
      </c>
      <c r="B5279" t="s">
        <v>24470</v>
      </c>
      <c r="C5279" t="s">
        <v>42</v>
      </c>
      <c r="D5279" t="s">
        <v>24471</v>
      </c>
      <c r="E5279" t="e" cm="1">
        <f t="array" ref="E5279">- CHLORPHENAMINE MALEATE</f>
        <v>#NAME?</v>
      </c>
      <c r="F5279" t="s">
        <v>24472</v>
      </c>
      <c r="G5279" t="s">
        <v>1691</v>
      </c>
      <c r="H5279" t="s">
        <v>24473</v>
      </c>
      <c r="I5279" t="s">
        <v>24474</v>
      </c>
      <c r="J5279" t="s">
        <v>12335</v>
      </c>
      <c r="K5279" t="s">
        <v>24475</v>
      </c>
      <c r="L5279" t="s">
        <v>24476</v>
      </c>
      <c r="M5279" t="s">
        <v>271</v>
      </c>
      <c r="N5279" t="s">
        <v>1354</v>
      </c>
      <c r="O5279" t="s">
        <v>24477</v>
      </c>
      <c r="P5279" t="s">
        <v>24478</v>
      </c>
      <c r="Q5279" t="s">
        <v>24479</v>
      </c>
      <c r="R5279">
        <v>15</v>
      </c>
      <c r="S5279">
        <v>16</v>
      </c>
    </row>
    <row r="5280" spans="1:19" x14ac:dyDescent="0.35">
      <c r="A5280">
        <v>1100</v>
      </c>
      <c r="B5280" t="s">
        <v>24480</v>
      </c>
      <c r="C5280" t="s">
        <v>42</v>
      </c>
      <c r="D5280" t="s">
        <v>24481</v>
      </c>
      <c r="E5280" t="e" cm="1">
        <f t="array" ref="E5280">- CHLORPHENAMINE MALEATE</f>
        <v>#NAME?</v>
      </c>
      <c r="F5280" t="s">
        <v>8935</v>
      </c>
      <c r="G5280" t="s">
        <v>2241</v>
      </c>
      <c r="H5280" t="s">
        <v>24482</v>
      </c>
      <c r="I5280" t="s">
        <v>24483</v>
      </c>
      <c r="J5280" t="s">
        <v>24484</v>
      </c>
      <c r="K5280" t="s">
        <v>24485</v>
      </c>
      <c r="L5280" t="s">
        <v>24486</v>
      </c>
      <c r="M5280" t="s">
        <v>291</v>
      </c>
      <c r="N5280" t="s">
        <v>1354</v>
      </c>
      <c r="O5280" t="s">
        <v>24487</v>
      </c>
      <c r="P5280" t="s">
        <v>24488</v>
      </c>
      <c r="Q5280" t="s">
        <v>24489</v>
      </c>
      <c r="R5280">
        <v>15</v>
      </c>
      <c r="S5280">
        <v>16</v>
      </c>
    </row>
    <row r="5281" spans="1:19" x14ac:dyDescent="0.35">
      <c r="A5281">
        <v>3548</v>
      </c>
      <c r="B5281" t="s">
        <v>24490</v>
      </c>
      <c r="C5281" t="s">
        <v>42</v>
      </c>
      <c r="D5281" t="s">
        <v>24491</v>
      </c>
      <c r="E5281" t="e" cm="1">
        <f t="array" ref="E5281">- DOMPERIDONE</f>
        <v>#NAME?</v>
      </c>
      <c r="F5281" t="s">
        <v>24492</v>
      </c>
      <c r="G5281" t="s">
        <v>8205</v>
      </c>
      <c r="H5281" t="s">
        <v>1589</v>
      </c>
      <c r="I5281" t="s">
        <v>24493</v>
      </c>
      <c r="J5281" t="s">
        <v>24494</v>
      </c>
      <c r="K5281" t="s">
        <v>24495</v>
      </c>
      <c r="L5281" t="s">
        <v>24496</v>
      </c>
      <c r="M5281" t="s">
        <v>46</v>
      </c>
      <c r="N5281" t="s">
        <v>341</v>
      </c>
      <c r="O5281" t="s">
        <v>24497</v>
      </c>
      <c r="P5281" t="s">
        <v>342</v>
      </c>
      <c r="Q5281" t="s">
        <v>24498</v>
      </c>
      <c r="R5281">
        <v>15</v>
      </c>
      <c r="S5281">
        <v>16</v>
      </c>
    </row>
    <row r="5282" spans="1:19" x14ac:dyDescent="0.35">
      <c r="A5282">
        <v>3842</v>
      </c>
      <c r="B5282" t="s">
        <v>22535</v>
      </c>
      <c r="C5282" t="s">
        <v>42</v>
      </c>
      <c r="D5282" t="s">
        <v>22536</v>
      </c>
      <c r="E5282" t="e" cm="1">
        <f t="array" ref="E5282">- KAOLIN. PECTIN</f>
        <v>#NAME?</v>
      </c>
      <c r="F5282" t="s">
        <v>22537</v>
      </c>
      <c r="G5282" t="s">
        <v>6310</v>
      </c>
      <c r="H5282" t="s">
        <v>22538</v>
      </c>
      <c r="I5282" t="s">
        <v>22539</v>
      </c>
      <c r="J5282" t="s">
        <v>22540</v>
      </c>
      <c r="K5282" t="s">
        <v>22541</v>
      </c>
      <c r="L5282" t="s">
        <v>22542</v>
      </c>
      <c r="M5282" t="s">
        <v>340</v>
      </c>
      <c r="N5282" t="s">
        <v>3159</v>
      </c>
      <c r="O5282" t="s">
        <v>22543</v>
      </c>
      <c r="P5282" t="s">
        <v>22544</v>
      </c>
      <c r="Q5282" t="s">
        <v>24499</v>
      </c>
      <c r="R5282">
        <v>15</v>
      </c>
      <c r="S5282">
        <v>16</v>
      </c>
    </row>
    <row r="5283" spans="1:19" x14ac:dyDescent="0.35">
      <c r="A5283">
        <v>1257</v>
      </c>
      <c r="B5283" t="s">
        <v>24500</v>
      </c>
      <c r="C5283" t="s">
        <v>42</v>
      </c>
      <c r="D5283" t="s">
        <v>24501</v>
      </c>
      <c r="E5283" t="e" cm="1">
        <f t="array" ref="E5283">- CHLORPHENAMINE MALEATE</f>
        <v>#NAME?</v>
      </c>
      <c r="F5283" t="s">
        <v>24502</v>
      </c>
      <c r="H5283" t="s">
        <v>24503</v>
      </c>
      <c r="I5283" t="s">
        <v>24504</v>
      </c>
      <c r="J5283" t="s">
        <v>334</v>
      </c>
      <c r="M5283" t="s">
        <v>271</v>
      </c>
      <c r="N5283" t="s">
        <v>1354</v>
      </c>
      <c r="O5283" t="s">
        <v>24505</v>
      </c>
      <c r="P5283" t="s">
        <v>24506</v>
      </c>
      <c r="Q5283" t="s">
        <v>24507</v>
      </c>
      <c r="R5283">
        <v>15</v>
      </c>
      <c r="S5283">
        <v>16</v>
      </c>
    </row>
    <row r="5284" spans="1:19" x14ac:dyDescent="0.35">
      <c r="A5284">
        <v>1261</v>
      </c>
      <c r="B5284" t="s">
        <v>16421</v>
      </c>
      <c r="C5284" t="s">
        <v>42</v>
      </c>
      <c r="D5284" t="s">
        <v>16422</v>
      </c>
      <c r="E5284" t="e" cm="1">
        <f t="array" ref="E5284">- DEXTROMETHORPHAN HYDROBROMIDE. PHENYLPROPANOLAMINE HYDROCHLORIDE. GUAIFENESIN</f>
        <v>#NAME?</v>
      </c>
      <c r="F5284" s="1">
        <v>17500</v>
      </c>
      <c r="H5284" t="s">
        <v>16423</v>
      </c>
      <c r="I5284" t="s">
        <v>16424</v>
      </c>
      <c r="J5284" t="s">
        <v>10124</v>
      </c>
      <c r="K5284" t="s">
        <v>16425</v>
      </c>
      <c r="L5284" t="s">
        <v>16426</v>
      </c>
      <c r="M5284" t="s">
        <v>271</v>
      </c>
      <c r="N5284" t="s">
        <v>24508</v>
      </c>
      <c r="O5284" t="s">
        <v>16427</v>
      </c>
      <c r="P5284" t="s">
        <v>1439</v>
      </c>
      <c r="Q5284" t="s">
        <v>24509</v>
      </c>
      <c r="R5284">
        <v>15</v>
      </c>
      <c r="S5284">
        <v>16</v>
      </c>
    </row>
    <row r="5285" spans="1:19" x14ac:dyDescent="0.35">
      <c r="A5285">
        <v>3324</v>
      </c>
      <c r="B5285" t="s">
        <v>24510</v>
      </c>
      <c r="C5285" t="s">
        <v>42</v>
      </c>
      <c r="D5285" t="s">
        <v>24511</v>
      </c>
      <c r="E5285" t="e" cm="1">
        <f t="array" ref="E5285">- MAGALDRATE</f>
        <v>#NAME?</v>
      </c>
      <c r="F5285" t="s">
        <v>24512</v>
      </c>
      <c r="G5285" t="s">
        <v>24513</v>
      </c>
      <c r="H5285" t="s">
        <v>24514</v>
      </c>
      <c r="I5285" t="s">
        <v>24515</v>
      </c>
      <c r="J5285" t="s">
        <v>24516</v>
      </c>
      <c r="K5285" t="s">
        <v>24517</v>
      </c>
      <c r="L5285" t="s">
        <v>24518</v>
      </c>
      <c r="M5285" t="s">
        <v>46</v>
      </c>
      <c r="N5285" t="s">
        <v>24519</v>
      </c>
      <c r="O5285" t="s">
        <v>24520</v>
      </c>
      <c r="P5285" t="s">
        <v>24521</v>
      </c>
      <c r="Q5285" t="s">
        <v>24522</v>
      </c>
      <c r="R5285">
        <v>15</v>
      </c>
      <c r="S5285">
        <v>16</v>
      </c>
    </row>
    <row r="5286" spans="1:19" x14ac:dyDescent="0.35">
      <c r="A5286">
        <v>3323</v>
      </c>
      <c r="B5286" t="s">
        <v>24510</v>
      </c>
      <c r="C5286" t="s">
        <v>42</v>
      </c>
      <c r="D5286" t="s">
        <v>24511</v>
      </c>
      <c r="E5286" t="e" cm="1">
        <f t="array" ref="E5286">- MAGALDRATE</f>
        <v>#NAME?</v>
      </c>
      <c r="F5286" t="s">
        <v>24512</v>
      </c>
      <c r="G5286" t="s">
        <v>24513</v>
      </c>
      <c r="H5286" t="s">
        <v>24514</v>
      </c>
      <c r="I5286" t="s">
        <v>24515</v>
      </c>
      <c r="J5286" t="s">
        <v>24516</v>
      </c>
      <c r="K5286" t="s">
        <v>24517</v>
      </c>
      <c r="L5286" t="s">
        <v>24518</v>
      </c>
      <c r="M5286" t="s">
        <v>46</v>
      </c>
      <c r="N5286" t="s">
        <v>24519</v>
      </c>
      <c r="O5286" t="s">
        <v>24520</v>
      </c>
      <c r="P5286" t="s">
        <v>24521</v>
      </c>
      <c r="Q5286" t="s">
        <v>24522</v>
      </c>
      <c r="R5286">
        <v>15</v>
      </c>
      <c r="S5286">
        <v>16</v>
      </c>
    </row>
    <row r="5287" spans="1:19" x14ac:dyDescent="0.35">
      <c r="A5287">
        <v>7555</v>
      </c>
      <c r="B5287" t="s">
        <v>24523</v>
      </c>
      <c r="C5287" t="s">
        <v>42</v>
      </c>
      <c r="D5287" t="s">
        <v>24524</v>
      </c>
      <c r="E5287" t="e" cm="1">
        <f t="array" ref="E5287">- ASCORBIC ACID</f>
        <v>#NAME?</v>
      </c>
      <c r="F5287" t="s">
        <v>24525</v>
      </c>
      <c r="G5287" t="s">
        <v>24526</v>
      </c>
      <c r="H5287" t="s">
        <v>9899</v>
      </c>
      <c r="I5287" t="s">
        <v>24527</v>
      </c>
      <c r="J5287" t="s">
        <v>24528</v>
      </c>
      <c r="M5287" t="s">
        <v>291</v>
      </c>
      <c r="N5287" t="s">
        <v>15348</v>
      </c>
      <c r="O5287" t="s">
        <v>24529</v>
      </c>
      <c r="P5287" t="s">
        <v>15783</v>
      </c>
      <c r="Q5287" t="s">
        <v>24530</v>
      </c>
      <c r="R5287">
        <v>15</v>
      </c>
      <c r="S5287">
        <v>16</v>
      </c>
    </row>
    <row r="5288" spans="1:19" x14ac:dyDescent="0.35">
      <c r="A5288">
        <v>1267</v>
      </c>
      <c r="B5288" t="s">
        <v>16439</v>
      </c>
      <c r="C5288" t="s">
        <v>42</v>
      </c>
      <c r="D5288" t="s">
        <v>16440</v>
      </c>
      <c r="E5288" t="e" cm="1">
        <f t="array" ref="E5288">- DIPHENHYDRAMINE HYDROCHLORIDE. GUAIFENESIN. PHENYLPROPANOLAMINE HYDROCHLORIDE</f>
        <v>#NAME?</v>
      </c>
      <c r="F5288" t="s">
        <v>16441</v>
      </c>
      <c r="G5288" t="s">
        <v>2266</v>
      </c>
      <c r="H5288" t="s">
        <v>16442</v>
      </c>
      <c r="I5288" t="s">
        <v>16443</v>
      </c>
      <c r="J5288" t="s">
        <v>334</v>
      </c>
      <c r="L5288" t="s">
        <v>16444</v>
      </c>
      <c r="M5288" t="s">
        <v>271</v>
      </c>
      <c r="N5288" t="s">
        <v>24531</v>
      </c>
      <c r="O5288" t="s">
        <v>16445</v>
      </c>
      <c r="P5288" t="s">
        <v>16446</v>
      </c>
      <c r="Q5288" t="s">
        <v>24532</v>
      </c>
      <c r="R5288">
        <v>15</v>
      </c>
      <c r="S5288">
        <v>16</v>
      </c>
    </row>
    <row r="5289" spans="1:19" x14ac:dyDescent="0.35">
      <c r="A5289">
        <v>3549</v>
      </c>
      <c r="B5289" t="s">
        <v>24490</v>
      </c>
      <c r="C5289" t="s">
        <v>42</v>
      </c>
      <c r="D5289" t="s">
        <v>24491</v>
      </c>
      <c r="E5289" t="e" cm="1">
        <f t="array" ref="E5289">- DOMPERIDONE</f>
        <v>#NAME?</v>
      </c>
      <c r="F5289" t="s">
        <v>24492</v>
      </c>
      <c r="G5289" t="s">
        <v>8205</v>
      </c>
      <c r="H5289" t="s">
        <v>1589</v>
      </c>
      <c r="I5289" t="s">
        <v>24493</v>
      </c>
      <c r="J5289" t="s">
        <v>24494</v>
      </c>
      <c r="K5289" t="s">
        <v>24495</v>
      </c>
      <c r="L5289" t="s">
        <v>24496</v>
      </c>
      <c r="M5289" t="s">
        <v>46</v>
      </c>
      <c r="N5289" t="s">
        <v>341</v>
      </c>
      <c r="O5289" t="s">
        <v>24497</v>
      </c>
      <c r="P5289" t="s">
        <v>342</v>
      </c>
      <c r="Q5289" t="s">
        <v>24498</v>
      </c>
      <c r="R5289">
        <v>15</v>
      </c>
      <c r="S5289">
        <v>16</v>
      </c>
    </row>
    <row r="5290" spans="1:19" x14ac:dyDescent="0.35">
      <c r="A5290">
        <v>3312</v>
      </c>
      <c r="B5290" t="s">
        <v>20760</v>
      </c>
      <c r="C5290" t="s">
        <v>42</v>
      </c>
      <c r="D5290" t="s">
        <v>20761</v>
      </c>
      <c r="E5290" t="s">
        <v>20682</v>
      </c>
      <c r="F5290" t="s">
        <v>20762</v>
      </c>
      <c r="G5290" t="s">
        <v>20763</v>
      </c>
      <c r="H5290" t="s">
        <v>4222</v>
      </c>
      <c r="I5290" t="s">
        <v>20764</v>
      </c>
      <c r="J5290" t="s">
        <v>20765</v>
      </c>
      <c r="K5290" t="s">
        <v>20766</v>
      </c>
      <c r="L5290" t="s">
        <v>20767</v>
      </c>
      <c r="M5290" t="s">
        <v>38</v>
      </c>
      <c r="N5290" t="s">
        <v>20683</v>
      </c>
      <c r="O5290" t="s">
        <v>20768</v>
      </c>
      <c r="P5290" t="s">
        <v>20769</v>
      </c>
      <c r="Q5290" t="s">
        <v>24533</v>
      </c>
      <c r="R5290">
        <v>15</v>
      </c>
      <c r="S5290">
        <v>16</v>
      </c>
    </row>
    <row r="5291" spans="1:19" x14ac:dyDescent="0.35">
      <c r="A5291">
        <v>7558</v>
      </c>
      <c r="B5291" t="s">
        <v>24534</v>
      </c>
      <c r="C5291" t="s">
        <v>42</v>
      </c>
      <c r="D5291" t="s">
        <v>24535</v>
      </c>
      <c r="E5291" t="e" cm="1">
        <f t="array" ref="E5291">- FERRIC HYDROXIDE POLYMALTOSE COMPLEX</f>
        <v>#NAME?</v>
      </c>
      <c r="F5291" t="s">
        <v>24536</v>
      </c>
      <c r="G5291" t="s">
        <v>1691</v>
      </c>
      <c r="H5291" t="s">
        <v>24537</v>
      </c>
      <c r="I5291" t="s">
        <v>24538</v>
      </c>
      <c r="J5291" t="s">
        <v>829</v>
      </c>
      <c r="K5291" t="s">
        <v>24539</v>
      </c>
      <c r="L5291" t="s">
        <v>5416</v>
      </c>
      <c r="M5291" t="s">
        <v>824</v>
      </c>
      <c r="N5291" t="s">
        <v>24540</v>
      </c>
      <c r="O5291" t="s">
        <v>24541</v>
      </c>
      <c r="P5291" t="s">
        <v>24542</v>
      </c>
      <c r="Q5291" t="s">
        <v>24543</v>
      </c>
      <c r="R5291">
        <v>15</v>
      </c>
      <c r="S5291">
        <v>16</v>
      </c>
    </row>
    <row r="5292" spans="1:19" x14ac:dyDescent="0.35">
      <c r="A5292">
        <v>1280</v>
      </c>
      <c r="B5292" t="s">
        <v>24544</v>
      </c>
      <c r="C5292" t="s">
        <v>42</v>
      </c>
      <c r="D5292" t="s">
        <v>24545</v>
      </c>
      <c r="E5292" t="e" cm="1">
        <f t="array" ref="E5292">- CHLORPHENAMINE MALEATE</f>
        <v>#NAME?</v>
      </c>
      <c r="F5292" s="1">
        <v>7200</v>
      </c>
      <c r="G5292" t="s">
        <v>60</v>
      </c>
      <c r="H5292" t="s">
        <v>24546</v>
      </c>
      <c r="I5292" t="s">
        <v>24547</v>
      </c>
      <c r="J5292" t="s">
        <v>8953</v>
      </c>
      <c r="K5292" t="s">
        <v>24548</v>
      </c>
    </row>
    <row r="5293" spans="1:19" x14ac:dyDescent="0.35">
      <c r="A5293">
        <v>3302</v>
      </c>
      <c r="B5293" t="s">
        <v>11897</v>
      </c>
      <c r="C5293" t="s">
        <v>42</v>
      </c>
      <c r="D5293" t="s">
        <v>11898</v>
      </c>
      <c r="E5293" t="s">
        <v>24549</v>
      </c>
      <c r="F5293" t="s">
        <v>11899</v>
      </c>
      <c r="G5293" t="s">
        <v>11900</v>
      </c>
      <c r="H5293" t="s">
        <v>11901</v>
      </c>
      <c r="I5293" t="s">
        <v>11902</v>
      </c>
      <c r="J5293" t="s">
        <v>11903</v>
      </c>
      <c r="K5293" t="s">
        <v>11904</v>
      </c>
      <c r="L5293" t="s">
        <v>11905</v>
      </c>
      <c r="M5293" t="s">
        <v>340</v>
      </c>
      <c r="N5293" t="s">
        <v>24550</v>
      </c>
      <c r="O5293" t="s">
        <v>11906</v>
      </c>
      <c r="P5293" t="s">
        <v>11907</v>
      </c>
      <c r="Q5293" t="s">
        <v>24551</v>
      </c>
      <c r="R5293">
        <v>15</v>
      </c>
      <c r="S5293">
        <v>16</v>
      </c>
    </row>
    <row r="5294" spans="1:19" x14ac:dyDescent="0.35">
      <c r="A5294">
        <v>7559</v>
      </c>
      <c r="B5294" t="s">
        <v>24534</v>
      </c>
      <c r="C5294" t="s">
        <v>42</v>
      </c>
      <c r="D5294" t="s">
        <v>24535</v>
      </c>
      <c r="E5294" t="e" cm="1">
        <f t="array" ref="E5294">- FERRIC HYDROXIDE POLYMALTOSE COMPLEX</f>
        <v>#NAME?</v>
      </c>
      <c r="F5294" t="s">
        <v>24536</v>
      </c>
      <c r="G5294" t="s">
        <v>1691</v>
      </c>
      <c r="H5294" t="s">
        <v>24537</v>
      </c>
      <c r="I5294" t="s">
        <v>24538</v>
      </c>
      <c r="J5294" t="s">
        <v>829</v>
      </c>
      <c r="K5294" t="s">
        <v>24539</v>
      </c>
      <c r="L5294" t="s">
        <v>5416</v>
      </c>
      <c r="M5294" t="s">
        <v>824</v>
      </c>
      <c r="N5294" t="s">
        <v>24540</v>
      </c>
      <c r="O5294" t="s">
        <v>24541</v>
      </c>
      <c r="P5294" t="s">
        <v>24542</v>
      </c>
      <c r="Q5294" t="s">
        <v>24543</v>
      </c>
      <c r="R5294">
        <v>15</v>
      </c>
      <c r="S5294">
        <v>16</v>
      </c>
    </row>
    <row r="5295" spans="1:19" x14ac:dyDescent="0.35">
      <c r="A5295">
        <v>4956</v>
      </c>
      <c r="B5295" t="s">
        <v>24552</v>
      </c>
      <c r="C5295" t="s">
        <v>42</v>
      </c>
      <c r="D5295" t="s">
        <v>24553</v>
      </c>
      <c r="E5295" t="e" cm="1">
        <f t="array" ref="E5295">- MOMETASONE FUROATE</f>
        <v>#NAME?</v>
      </c>
      <c r="F5295" t="s">
        <v>24554</v>
      </c>
      <c r="G5295" t="s">
        <v>11887</v>
      </c>
      <c r="H5295" t="s">
        <v>6538</v>
      </c>
      <c r="I5295" t="s">
        <v>24555</v>
      </c>
      <c r="J5295" t="s">
        <v>1367</v>
      </c>
      <c r="K5295" t="s">
        <v>24556</v>
      </c>
      <c r="L5295" t="s">
        <v>24557</v>
      </c>
      <c r="M5295" t="s">
        <v>1289</v>
      </c>
      <c r="N5295" t="s">
        <v>13785</v>
      </c>
      <c r="O5295" t="s">
        <v>24558</v>
      </c>
      <c r="P5295" t="s">
        <v>18204</v>
      </c>
      <c r="Q5295" t="s">
        <v>24559</v>
      </c>
      <c r="R5295">
        <v>15</v>
      </c>
      <c r="S5295">
        <v>16</v>
      </c>
    </row>
    <row r="5296" spans="1:19" x14ac:dyDescent="0.35">
      <c r="A5296">
        <v>3550</v>
      </c>
      <c r="B5296" t="s">
        <v>24490</v>
      </c>
      <c r="C5296" t="s">
        <v>42</v>
      </c>
      <c r="D5296" t="s">
        <v>24491</v>
      </c>
      <c r="E5296" t="e" cm="1">
        <f t="array" ref="E5296">- DOMPERIDONE</f>
        <v>#NAME?</v>
      </c>
      <c r="F5296" t="s">
        <v>24492</v>
      </c>
      <c r="G5296" t="s">
        <v>8205</v>
      </c>
      <c r="H5296" t="s">
        <v>1589</v>
      </c>
      <c r="I5296" t="s">
        <v>24493</v>
      </c>
      <c r="J5296" t="s">
        <v>24494</v>
      </c>
      <c r="K5296" t="s">
        <v>24495</v>
      </c>
      <c r="L5296" t="s">
        <v>24496</v>
      </c>
      <c r="M5296" t="s">
        <v>46</v>
      </c>
      <c r="N5296" t="s">
        <v>341</v>
      </c>
      <c r="O5296" t="s">
        <v>24497</v>
      </c>
      <c r="P5296" t="s">
        <v>342</v>
      </c>
      <c r="Q5296" t="s">
        <v>24498</v>
      </c>
      <c r="R5296">
        <v>15</v>
      </c>
      <c r="S5296">
        <v>16</v>
      </c>
    </row>
    <row r="5297" spans="1:19" x14ac:dyDescent="0.35">
      <c r="A5297">
        <v>8164</v>
      </c>
      <c r="B5297" t="s">
        <v>551</v>
      </c>
      <c r="C5297" t="s">
        <v>42</v>
      </c>
      <c r="D5297" t="s">
        <v>24560</v>
      </c>
      <c r="E5297" t="e" cm="1">
        <f t="array" ref="E5297">- POVIDONE-IODINE</f>
        <v>#NAME?</v>
      </c>
      <c r="F5297" s="1">
        <v>4900</v>
      </c>
      <c r="G5297" t="s">
        <v>21481</v>
      </c>
      <c r="I5297" t="s">
        <v>24561</v>
      </c>
      <c r="J5297" t="s">
        <v>24562</v>
      </c>
      <c r="M5297" t="s">
        <v>554</v>
      </c>
      <c r="N5297" t="s">
        <v>555</v>
      </c>
      <c r="O5297" t="s">
        <v>24563</v>
      </c>
      <c r="P5297" t="s">
        <v>24564</v>
      </c>
      <c r="Q5297" t="s">
        <v>24565</v>
      </c>
      <c r="R5297">
        <v>15</v>
      </c>
      <c r="S5297">
        <v>16</v>
      </c>
    </row>
    <row r="5298" spans="1:19" x14ac:dyDescent="0.35">
      <c r="A5298">
        <v>292</v>
      </c>
      <c r="B5298" t="s">
        <v>24566</v>
      </c>
      <c r="C5298" t="s">
        <v>42</v>
      </c>
      <c r="D5298" t="s">
        <v>24567</v>
      </c>
      <c r="E5298" t="e" cm="1">
        <f t="array" ref="E5298">- CLOMIFENE CITRATE</f>
        <v>#NAME?</v>
      </c>
      <c r="F5298" t="s">
        <v>24568</v>
      </c>
      <c r="G5298" t="s">
        <v>4649</v>
      </c>
      <c r="H5298" t="s">
        <v>24569</v>
      </c>
      <c r="I5298" t="s">
        <v>24570</v>
      </c>
      <c r="J5298" t="s">
        <v>2446</v>
      </c>
      <c r="K5298" t="s">
        <v>24571</v>
      </c>
      <c r="L5298" t="s">
        <v>24572</v>
      </c>
      <c r="M5298" t="s">
        <v>46</v>
      </c>
      <c r="N5298" t="s">
        <v>5738</v>
      </c>
      <c r="O5298" t="s">
        <v>24573</v>
      </c>
      <c r="P5298" t="s">
        <v>24574</v>
      </c>
      <c r="Q5298" t="s">
        <v>24575</v>
      </c>
      <c r="R5298">
        <v>15</v>
      </c>
      <c r="S5298">
        <v>16</v>
      </c>
    </row>
    <row r="5299" spans="1:19" x14ac:dyDescent="0.35">
      <c r="A5299">
        <v>8128</v>
      </c>
      <c r="B5299" t="s">
        <v>551</v>
      </c>
      <c r="C5299" t="s">
        <v>42</v>
      </c>
      <c r="D5299" t="s">
        <v>24462</v>
      </c>
      <c r="E5299" t="e" cm="1">
        <f t="array" ref="E5299">- POVIDONE-IODINE</f>
        <v>#NAME?</v>
      </c>
      <c r="F5299" t="s">
        <v>24463</v>
      </c>
      <c r="G5299" t="s">
        <v>24464</v>
      </c>
      <c r="H5299" t="s">
        <v>1322</v>
      </c>
      <c r="I5299" t="s">
        <v>24465</v>
      </c>
      <c r="J5299" t="s">
        <v>24466</v>
      </c>
      <c r="M5299" t="s">
        <v>554</v>
      </c>
      <c r="N5299" t="s">
        <v>555</v>
      </c>
      <c r="O5299" t="s">
        <v>24467</v>
      </c>
      <c r="P5299" t="s">
        <v>24468</v>
      </c>
      <c r="Q5299" t="s">
        <v>24469</v>
      </c>
      <c r="R5299">
        <v>15</v>
      </c>
      <c r="S5299">
        <v>16</v>
      </c>
    </row>
    <row r="5300" spans="1:19" x14ac:dyDescent="0.35">
      <c r="A5300">
        <v>8165</v>
      </c>
      <c r="B5300" t="s">
        <v>551</v>
      </c>
      <c r="C5300" t="s">
        <v>42</v>
      </c>
      <c r="D5300" t="s">
        <v>24560</v>
      </c>
      <c r="E5300" t="e" cm="1">
        <f t="array" ref="E5300">- POVIDONE-IODINE</f>
        <v>#NAME?</v>
      </c>
      <c r="F5300" s="1">
        <v>4900</v>
      </c>
      <c r="G5300" t="s">
        <v>21481</v>
      </c>
      <c r="I5300" t="s">
        <v>24561</v>
      </c>
      <c r="J5300" t="s">
        <v>24562</v>
      </c>
      <c r="M5300" t="s">
        <v>554</v>
      </c>
      <c r="N5300" t="s">
        <v>555</v>
      </c>
      <c r="O5300" t="s">
        <v>24563</v>
      </c>
      <c r="P5300" t="s">
        <v>24564</v>
      </c>
      <c r="Q5300" t="s">
        <v>24565</v>
      </c>
      <c r="R5300">
        <v>15</v>
      </c>
      <c r="S5300">
        <v>16</v>
      </c>
    </row>
    <row r="5301" spans="1:19" x14ac:dyDescent="0.35">
      <c r="A5301">
        <v>5101</v>
      </c>
      <c r="B5301" t="s">
        <v>24576</v>
      </c>
      <c r="C5301" t="s">
        <v>42</v>
      </c>
      <c r="D5301" t="s">
        <v>24577</v>
      </c>
      <c r="E5301" t="e" cm="1">
        <f t="array" ref="E5301">- MOMETASONE FUROATE</f>
        <v>#NAME?</v>
      </c>
      <c r="F5301" t="s">
        <v>24578</v>
      </c>
      <c r="G5301" t="s">
        <v>24579</v>
      </c>
      <c r="H5301" t="s">
        <v>6538</v>
      </c>
      <c r="I5301" t="s">
        <v>24580</v>
      </c>
      <c r="J5301" t="s">
        <v>7114</v>
      </c>
      <c r="K5301" t="s">
        <v>24581</v>
      </c>
      <c r="L5301" t="s">
        <v>24582</v>
      </c>
      <c r="M5301" t="s">
        <v>1289</v>
      </c>
      <c r="N5301" t="s">
        <v>13785</v>
      </c>
      <c r="O5301" t="s">
        <v>24451</v>
      </c>
      <c r="P5301" t="s">
        <v>24583</v>
      </c>
      <c r="Q5301" t="s">
        <v>24584</v>
      </c>
      <c r="R5301">
        <v>15</v>
      </c>
      <c r="S5301">
        <v>16</v>
      </c>
    </row>
    <row r="5302" spans="1:19" x14ac:dyDescent="0.35">
      <c r="A5302">
        <v>5102</v>
      </c>
      <c r="B5302" t="s">
        <v>24585</v>
      </c>
      <c r="C5302" t="s">
        <v>42</v>
      </c>
      <c r="D5302" t="s">
        <v>24586</v>
      </c>
      <c r="E5302" t="e" cm="1">
        <f t="array" ref="E5302">- MOMETASONE FUROATE</f>
        <v>#NAME?</v>
      </c>
      <c r="F5302" t="s">
        <v>24587</v>
      </c>
      <c r="G5302" t="s">
        <v>24579</v>
      </c>
      <c r="H5302" t="s">
        <v>6538</v>
      </c>
      <c r="I5302" t="s">
        <v>24588</v>
      </c>
      <c r="J5302" t="s">
        <v>7114</v>
      </c>
      <c r="K5302" t="s">
        <v>24581</v>
      </c>
      <c r="L5302" t="s">
        <v>24582</v>
      </c>
      <c r="M5302" t="s">
        <v>1029</v>
      </c>
      <c r="N5302" t="s">
        <v>13785</v>
      </c>
      <c r="O5302" t="s">
        <v>24589</v>
      </c>
      <c r="P5302" t="s">
        <v>24590</v>
      </c>
      <c r="Q5302" t="s">
        <v>24591</v>
      </c>
      <c r="R5302">
        <v>15</v>
      </c>
      <c r="S5302">
        <v>16</v>
      </c>
    </row>
    <row r="5303" spans="1:19" x14ac:dyDescent="0.35">
      <c r="A5303">
        <v>8704</v>
      </c>
      <c r="B5303" t="s">
        <v>24592</v>
      </c>
      <c r="C5303" t="s">
        <v>42</v>
      </c>
      <c r="D5303" t="s">
        <v>24593</v>
      </c>
      <c r="E5303" t="e" cm="1">
        <f t="array" ref="E5303">- GLIPIZIDE</f>
        <v>#NAME?</v>
      </c>
      <c r="F5303" s="1">
        <v>216700</v>
      </c>
      <c r="G5303" t="s">
        <v>24594</v>
      </c>
      <c r="H5303" t="s">
        <v>24595</v>
      </c>
      <c r="I5303" t="s">
        <v>24596</v>
      </c>
      <c r="J5303" t="s">
        <v>24597</v>
      </c>
      <c r="K5303" t="s">
        <v>24598</v>
      </c>
    </row>
    <row r="5304" spans="1:19" x14ac:dyDescent="0.35">
      <c r="A5304">
        <v>8703</v>
      </c>
      <c r="B5304" t="s">
        <v>24592</v>
      </c>
      <c r="C5304" t="s">
        <v>42</v>
      </c>
      <c r="D5304" t="s">
        <v>24593</v>
      </c>
      <c r="E5304" t="e" cm="1">
        <f t="array" ref="E5304">- GLIPIZIDE</f>
        <v>#NAME?</v>
      </c>
      <c r="F5304" s="1">
        <v>216700</v>
      </c>
      <c r="G5304" t="s">
        <v>24594</v>
      </c>
      <c r="H5304" t="s">
        <v>24595</v>
      </c>
      <c r="I5304" t="s">
        <v>24596</v>
      </c>
      <c r="J5304" t="s">
        <v>24597</v>
      </c>
      <c r="K5304" t="s">
        <v>24598</v>
      </c>
    </row>
    <row r="5305" spans="1:19" x14ac:dyDescent="0.35">
      <c r="A5305">
        <v>5123</v>
      </c>
      <c r="B5305" t="s">
        <v>24599</v>
      </c>
      <c r="C5305" t="s">
        <v>42</v>
      </c>
      <c r="D5305" t="s">
        <v>24600</v>
      </c>
      <c r="E5305" t="e" cm="1">
        <f t="array" ref="E5305">- MOMETASONE FUROATE</f>
        <v>#NAME?</v>
      </c>
      <c r="F5305" s="1">
        <v>52000</v>
      </c>
      <c r="H5305" t="s">
        <v>6538</v>
      </c>
      <c r="I5305" t="s">
        <v>24431</v>
      </c>
      <c r="J5305" t="s">
        <v>1684</v>
      </c>
      <c r="M5305" t="s">
        <v>1289</v>
      </c>
      <c r="N5305" t="s">
        <v>13785</v>
      </c>
      <c r="O5305" t="s">
        <v>24435</v>
      </c>
      <c r="P5305" t="s">
        <v>24601</v>
      </c>
      <c r="Q5305" t="s">
        <v>24602</v>
      </c>
      <c r="R5305">
        <v>15</v>
      </c>
      <c r="S5305">
        <v>16</v>
      </c>
    </row>
    <row r="5306" spans="1:19" x14ac:dyDescent="0.35">
      <c r="A5306">
        <v>4814</v>
      </c>
      <c r="B5306" t="s">
        <v>24603</v>
      </c>
      <c r="C5306" t="s">
        <v>42</v>
      </c>
      <c r="D5306" t="s">
        <v>24604</v>
      </c>
      <c r="E5306" t="e" cm="1">
        <f t="array" ref="E5306">- CHLORAMPHENICOL</f>
        <v>#NAME?</v>
      </c>
      <c r="F5306" t="s">
        <v>24605</v>
      </c>
      <c r="G5306" t="s">
        <v>6213</v>
      </c>
      <c r="H5306" t="s">
        <v>24606</v>
      </c>
      <c r="I5306" t="s">
        <v>24607</v>
      </c>
      <c r="J5306" t="s">
        <v>18334</v>
      </c>
      <c r="K5306" t="s">
        <v>2858</v>
      </c>
      <c r="L5306" t="s">
        <v>24608</v>
      </c>
      <c r="M5306" t="s">
        <v>824</v>
      </c>
      <c r="N5306" t="s">
        <v>1188</v>
      </c>
      <c r="O5306" t="s">
        <v>24609</v>
      </c>
      <c r="P5306" t="s">
        <v>7563</v>
      </c>
      <c r="Q5306" t="s">
        <v>24610</v>
      </c>
      <c r="R5306">
        <v>15</v>
      </c>
      <c r="S5306">
        <v>16</v>
      </c>
    </row>
    <row r="5307" spans="1:19" x14ac:dyDescent="0.35">
      <c r="A5307">
        <v>3345</v>
      </c>
      <c r="B5307" t="s">
        <v>24611</v>
      </c>
      <c r="C5307" t="s">
        <v>42</v>
      </c>
      <c r="D5307" t="s">
        <v>24612</v>
      </c>
      <c r="E5307" t="e" cm="1">
        <f t="array" ref="E5307">- OMEPRAZOLE</f>
        <v>#NAME?</v>
      </c>
      <c r="F5307" t="s">
        <v>24613</v>
      </c>
      <c r="G5307" t="s">
        <v>737</v>
      </c>
      <c r="H5307" t="s">
        <v>2724</v>
      </c>
      <c r="I5307" t="s">
        <v>24614</v>
      </c>
      <c r="J5307" t="s">
        <v>24615</v>
      </c>
      <c r="K5307" t="s">
        <v>24616</v>
      </c>
      <c r="L5307" t="s">
        <v>24617</v>
      </c>
      <c r="M5307" t="s">
        <v>38</v>
      </c>
      <c r="N5307" t="s">
        <v>14738</v>
      </c>
      <c r="O5307" t="s">
        <v>24618</v>
      </c>
      <c r="P5307" t="s">
        <v>24619</v>
      </c>
      <c r="Q5307" t="s">
        <v>24620</v>
      </c>
      <c r="R5307">
        <v>15</v>
      </c>
      <c r="S5307">
        <v>16</v>
      </c>
    </row>
    <row r="5308" spans="1:19" x14ac:dyDescent="0.35">
      <c r="A5308">
        <v>7877</v>
      </c>
      <c r="B5308" t="s">
        <v>24621</v>
      </c>
      <c r="C5308" t="s">
        <v>20</v>
      </c>
      <c r="D5308" t="s">
        <v>24622</v>
      </c>
      <c r="E5308" t="s">
        <v>24623</v>
      </c>
      <c r="F5308" t="s">
        <v>24624</v>
      </c>
      <c r="G5308" t="s">
        <v>24625</v>
      </c>
      <c r="H5308" t="s">
        <v>24626</v>
      </c>
      <c r="I5308" t="s">
        <v>5700</v>
      </c>
      <c r="J5308" t="s">
        <v>24627</v>
      </c>
      <c r="M5308" t="s">
        <v>63</v>
      </c>
      <c r="N5308" t="s">
        <v>24628</v>
      </c>
      <c r="O5308" t="s">
        <v>5703</v>
      </c>
      <c r="P5308" t="s">
        <v>24629</v>
      </c>
      <c r="Q5308" t="s">
        <v>24630</v>
      </c>
      <c r="R5308">
        <v>15</v>
      </c>
      <c r="S5308">
        <v>16</v>
      </c>
    </row>
    <row r="5309" spans="1:19" x14ac:dyDescent="0.35">
      <c r="A5309">
        <v>4813</v>
      </c>
      <c r="B5309" t="s">
        <v>24603</v>
      </c>
      <c r="C5309" t="s">
        <v>42</v>
      </c>
      <c r="D5309" t="s">
        <v>24604</v>
      </c>
      <c r="E5309" t="e" cm="1">
        <f t="array" ref="E5309">- CHLORAMPHENICOL</f>
        <v>#NAME?</v>
      </c>
      <c r="F5309" t="s">
        <v>24605</v>
      </c>
      <c r="G5309" t="s">
        <v>6213</v>
      </c>
      <c r="H5309" t="s">
        <v>24606</v>
      </c>
      <c r="I5309" t="s">
        <v>24607</v>
      </c>
      <c r="J5309" t="s">
        <v>18334</v>
      </c>
      <c r="K5309" t="s">
        <v>2858</v>
      </c>
      <c r="L5309" t="s">
        <v>24608</v>
      </c>
      <c r="M5309" t="s">
        <v>824</v>
      </c>
      <c r="N5309" t="s">
        <v>1188</v>
      </c>
      <c r="O5309" t="s">
        <v>24609</v>
      </c>
      <c r="P5309" t="s">
        <v>7563</v>
      </c>
      <c r="Q5309" t="s">
        <v>24610</v>
      </c>
      <c r="R5309">
        <v>15</v>
      </c>
      <c r="S5309">
        <v>16</v>
      </c>
    </row>
    <row r="5310" spans="1:19" x14ac:dyDescent="0.35">
      <c r="A5310">
        <v>3344</v>
      </c>
      <c r="B5310" t="s">
        <v>24611</v>
      </c>
      <c r="C5310" t="s">
        <v>42</v>
      </c>
      <c r="D5310" t="s">
        <v>24612</v>
      </c>
      <c r="E5310" t="e" cm="1">
        <f t="array" ref="E5310">- OMEPRAZOLE</f>
        <v>#NAME?</v>
      </c>
      <c r="F5310" t="s">
        <v>24613</v>
      </c>
      <c r="G5310" t="s">
        <v>737</v>
      </c>
      <c r="H5310" t="s">
        <v>2724</v>
      </c>
      <c r="I5310" t="s">
        <v>24614</v>
      </c>
      <c r="J5310" t="s">
        <v>24615</v>
      </c>
      <c r="K5310" t="s">
        <v>24616</v>
      </c>
      <c r="L5310" t="s">
        <v>24617</v>
      </c>
      <c r="M5310" t="s">
        <v>38</v>
      </c>
      <c r="N5310" t="s">
        <v>14738</v>
      </c>
      <c r="O5310" t="s">
        <v>24618</v>
      </c>
      <c r="P5310" t="s">
        <v>24619</v>
      </c>
      <c r="Q5310" t="s">
        <v>24620</v>
      </c>
      <c r="R5310">
        <v>15</v>
      </c>
      <c r="S5310">
        <v>16</v>
      </c>
    </row>
    <row r="5311" spans="1:19" x14ac:dyDescent="0.35">
      <c r="A5311">
        <v>4446</v>
      </c>
      <c r="B5311" t="s">
        <v>24631</v>
      </c>
      <c r="C5311" t="s">
        <v>850</v>
      </c>
      <c r="D5311" t="s">
        <v>24632</v>
      </c>
      <c r="E5311" t="e" cm="1">
        <f t="array" ref="E5311">- Amylmetacresol</f>
        <v>#NAME?</v>
      </c>
      <c r="F5311" t="s">
        <v>24633</v>
      </c>
      <c r="G5311" t="s">
        <v>24634</v>
      </c>
      <c r="H5311" t="s">
        <v>24635</v>
      </c>
      <c r="I5311" t="s">
        <v>24636</v>
      </c>
      <c r="J5311" t="s">
        <v>7553</v>
      </c>
      <c r="M5311" t="s">
        <v>46</v>
      </c>
      <c r="N5311" t="s">
        <v>7500</v>
      </c>
      <c r="O5311" t="s">
        <v>24637</v>
      </c>
      <c r="P5311" t="s">
        <v>24638</v>
      </c>
      <c r="Q5311" t="s">
        <v>24639</v>
      </c>
      <c r="R5311">
        <v>15</v>
      </c>
      <c r="S5311">
        <v>16</v>
      </c>
    </row>
    <row r="5312" spans="1:19" x14ac:dyDescent="0.35">
      <c r="A5312">
        <v>5120</v>
      </c>
      <c r="B5312" t="s">
        <v>24640</v>
      </c>
      <c r="C5312" t="s">
        <v>42</v>
      </c>
      <c r="D5312" t="s">
        <v>24641</v>
      </c>
      <c r="E5312" t="e" cm="1">
        <f t="array" ref="E5312">- MOMETASONE FUROATE</f>
        <v>#NAME?</v>
      </c>
      <c r="F5312" s="1">
        <v>85900</v>
      </c>
      <c r="H5312">
        <v>0</v>
      </c>
      <c r="I5312" t="s">
        <v>24642</v>
      </c>
      <c r="J5312" t="s">
        <v>2049</v>
      </c>
      <c r="L5312" t="s">
        <v>24643</v>
      </c>
      <c r="M5312" t="s">
        <v>87</v>
      </c>
      <c r="N5312" t="s">
        <v>13785</v>
      </c>
      <c r="O5312" t="s">
        <v>24644</v>
      </c>
      <c r="P5312" t="s">
        <v>24645</v>
      </c>
      <c r="Q5312" t="s">
        <v>24646</v>
      </c>
      <c r="R5312">
        <v>15</v>
      </c>
      <c r="S5312">
        <v>16</v>
      </c>
    </row>
    <row r="5313" spans="1:19" x14ac:dyDescent="0.35">
      <c r="A5313">
        <v>5119</v>
      </c>
      <c r="B5313" t="s">
        <v>24647</v>
      </c>
      <c r="C5313" t="s">
        <v>42</v>
      </c>
      <c r="D5313" t="s">
        <v>24648</v>
      </c>
      <c r="E5313" t="e" cm="1">
        <f t="array" ref="E5313">- MOMETASONE FUROATE</f>
        <v>#NAME?</v>
      </c>
      <c r="F5313" s="1">
        <v>86800</v>
      </c>
      <c r="G5313" t="s">
        <v>24447</v>
      </c>
      <c r="H5313" t="s">
        <v>6538</v>
      </c>
      <c r="I5313" t="s">
        <v>24649</v>
      </c>
      <c r="J5313" t="s">
        <v>1367</v>
      </c>
      <c r="K5313" t="s">
        <v>24650</v>
      </c>
      <c r="L5313" t="s">
        <v>24651</v>
      </c>
      <c r="M5313" t="s">
        <v>1289</v>
      </c>
      <c r="N5313" t="s">
        <v>13785</v>
      </c>
      <c r="O5313" t="s">
        <v>24652</v>
      </c>
      <c r="P5313" t="s">
        <v>24653</v>
      </c>
      <c r="Q5313" t="s">
        <v>24654</v>
      </c>
      <c r="R5313">
        <v>15</v>
      </c>
      <c r="S5313">
        <v>16</v>
      </c>
    </row>
    <row r="5314" spans="1:19" x14ac:dyDescent="0.35">
      <c r="A5314">
        <v>7876</v>
      </c>
      <c r="B5314" t="s">
        <v>24655</v>
      </c>
      <c r="C5314" t="s">
        <v>20</v>
      </c>
      <c r="D5314" t="s">
        <v>24656</v>
      </c>
      <c r="E5314" t="s">
        <v>24657</v>
      </c>
      <c r="F5314" t="s">
        <v>24658</v>
      </c>
      <c r="H5314" t="s">
        <v>24659</v>
      </c>
      <c r="I5314" t="s">
        <v>24660</v>
      </c>
      <c r="J5314" t="s">
        <v>107</v>
      </c>
      <c r="M5314" t="s">
        <v>38</v>
      </c>
      <c r="N5314" t="s">
        <v>24661</v>
      </c>
      <c r="O5314" t="s">
        <v>24662</v>
      </c>
      <c r="P5314" t="s">
        <v>24663</v>
      </c>
      <c r="Q5314" t="s">
        <v>24664</v>
      </c>
      <c r="R5314">
        <v>15</v>
      </c>
      <c r="S5314">
        <v>16</v>
      </c>
    </row>
    <row r="5315" spans="1:19" x14ac:dyDescent="0.35">
      <c r="A5315">
        <v>4812</v>
      </c>
      <c r="B5315" t="s">
        <v>24603</v>
      </c>
      <c r="C5315" t="s">
        <v>42</v>
      </c>
      <c r="D5315" t="s">
        <v>24604</v>
      </c>
      <c r="E5315" t="e" cm="1">
        <f t="array" ref="E5315">- CHLORAMPHENICOL</f>
        <v>#NAME?</v>
      </c>
      <c r="F5315" t="s">
        <v>24605</v>
      </c>
      <c r="G5315" t="s">
        <v>6213</v>
      </c>
      <c r="H5315" t="s">
        <v>24606</v>
      </c>
      <c r="I5315" t="s">
        <v>24607</v>
      </c>
      <c r="J5315" t="s">
        <v>18334</v>
      </c>
      <c r="K5315" t="s">
        <v>2858</v>
      </c>
      <c r="L5315" t="s">
        <v>24608</v>
      </c>
      <c r="M5315" t="s">
        <v>824</v>
      </c>
      <c r="N5315" t="s">
        <v>1188</v>
      </c>
      <c r="O5315" t="s">
        <v>24609</v>
      </c>
      <c r="P5315" t="s">
        <v>7563</v>
      </c>
      <c r="Q5315" t="s">
        <v>24610</v>
      </c>
      <c r="R5315">
        <v>15</v>
      </c>
      <c r="S5315">
        <v>16</v>
      </c>
    </row>
    <row r="5316" spans="1:19" x14ac:dyDescent="0.35">
      <c r="A5316">
        <v>3612</v>
      </c>
      <c r="B5316" t="s">
        <v>24665</v>
      </c>
      <c r="C5316" t="s">
        <v>42</v>
      </c>
      <c r="D5316" t="s">
        <v>24666</v>
      </c>
      <c r="E5316" t="e" cm="1">
        <f t="array" ref="E5316">- DOMPERIDONE</f>
        <v>#NAME?</v>
      </c>
      <c r="F5316" t="s">
        <v>24667</v>
      </c>
      <c r="G5316" t="s">
        <v>10502</v>
      </c>
      <c r="H5316" t="s">
        <v>1589</v>
      </c>
      <c r="I5316" t="s">
        <v>24668</v>
      </c>
      <c r="J5316" t="s">
        <v>24669</v>
      </c>
      <c r="K5316" t="s">
        <v>10504</v>
      </c>
      <c r="L5316" t="s">
        <v>10505</v>
      </c>
      <c r="M5316" t="s">
        <v>46</v>
      </c>
      <c r="N5316" t="s">
        <v>341</v>
      </c>
      <c r="O5316" t="s">
        <v>24670</v>
      </c>
      <c r="P5316" t="s">
        <v>10507</v>
      </c>
      <c r="Q5316" t="s">
        <v>24671</v>
      </c>
      <c r="R5316">
        <v>15</v>
      </c>
      <c r="S5316">
        <v>16</v>
      </c>
    </row>
    <row r="5317" spans="1:19" x14ac:dyDescent="0.35">
      <c r="A5317">
        <v>1221</v>
      </c>
      <c r="B5317" t="s">
        <v>20800</v>
      </c>
      <c r="C5317" t="s">
        <v>42</v>
      </c>
      <c r="D5317" t="s">
        <v>20801</v>
      </c>
      <c r="E5317" t="e" cm="1">
        <f t="array" ref="E5317">- PSEUDOEPHEDRINE HYDROCHLORIDE. DEXTROMETHORPHAN HYDROBROMIDE</f>
        <v>#NAME?</v>
      </c>
      <c r="F5317" s="1">
        <v>17800</v>
      </c>
      <c r="G5317" t="s">
        <v>60</v>
      </c>
      <c r="H5317" t="s">
        <v>20802</v>
      </c>
    </row>
    <row r="5318" spans="1:19" x14ac:dyDescent="0.35">
      <c r="A5318">
        <v>7603</v>
      </c>
      <c r="B5318" t="s">
        <v>24672</v>
      </c>
      <c r="C5318" t="s">
        <v>42</v>
      </c>
      <c r="D5318" t="s">
        <v>24673</v>
      </c>
      <c r="E5318" t="e" cm="1">
        <f t="array" ref="E5318">- FERRIC HYDROXIDE POLYMALTOSE COMPLEX</f>
        <v>#NAME?</v>
      </c>
      <c r="F5318" t="s">
        <v>24674</v>
      </c>
      <c r="G5318" t="s">
        <v>1691</v>
      </c>
      <c r="H5318" t="s">
        <v>24675</v>
      </c>
      <c r="I5318" t="s">
        <v>24676</v>
      </c>
      <c r="J5318" t="s">
        <v>1162</v>
      </c>
      <c r="K5318" t="s">
        <v>24539</v>
      </c>
      <c r="L5318" t="s">
        <v>5416</v>
      </c>
      <c r="M5318" t="s">
        <v>271</v>
      </c>
      <c r="N5318" t="s">
        <v>24540</v>
      </c>
      <c r="O5318" t="s">
        <v>24677</v>
      </c>
      <c r="P5318" t="s">
        <v>24542</v>
      </c>
      <c r="Q5318" t="s">
        <v>24678</v>
      </c>
      <c r="R5318">
        <v>15</v>
      </c>
      <c r="S5318">
        <v>16</v>
      </c>
    </row>
    <row r="5319" spans="1:19" x14ac:dyDescent="0.35">
      <c r="A5319">
        <v>3528</v>
      </c>
      <c r="B5319" t="s">
        <v>24679</v>
      </c>
      <c r="C5319" t="s">
        <v>42</v>
      </c>
      <c r="D5319" t="s">
        <v>24680</v>
      </c>
      <c r="E5319" t="e" cm="1">
        <f t="array" ref="E5319">- ONDANSETRON HYDROCHLORIDE DIHYDRATE</f>
        <v>#NAME?</v>
      </c>
      <c r="F5319" t="s">
        <v>24681</v>
      </c>
      <c r="G5319" t="s">
        <v>12424</v>
      </c>
      <c r="H5319" t="s">
        <v>24682</v>
      </c>
      <c r="I5319" t="s">
        <v>24683</v>
      </c>
      <c r="J5319" t="s">
        <v>24684</v>
      </c>
      <c r="L5319" t="s">
        <v>2537</v>
      </c>
      <c r="M5319" t="s">
        <v>46</v>
      </c>
      <c r="N5319" t="s">
        <v>14087</v>
      </c>
      <c r="O5319" t="s">
        <v>24685</v>
      </c>
      <c r="P5319" t="s">
        <v>19940</v>
      </c>
      <c r="Q5319" t="s">
        <v>24686</v>
      </c>
      <c r="R5319">
        <v>15</v>
      </c>
      <c r="S5319">
        <v>16</v>
      </c>
    </row>
    <row r="5320" spans="1:19" x14ac:dyDescent="0.35">
      <c r="A5320">
        <v>5118</v>
      </c>
      <c r="B5320" t="s">
        <v>24647</v>
      </c>
      <c r="C5320" t="s">
        <v>42</v>
      </c>
      <c r="D5320" t="s">
        <v>24648</v>
      </c>
      <c r="E5320" t="e" cm="1">
        <f t="array" ref="E5320">- MOMETASONE FUROATE</f>
        <v>#NAME?</v>
      </c>
      <c r="F5320" s="1">
        <v>86800</v>
      </c>
      <c r="G5320" t="s">
        <v>24447</v>
      </c>
      <c r="H5320" t="s">
        <v>6538</v>
      </c>
      <c r="I5320" t="s">
        <v>24649</v>
      </c>
      <c r="J5320" t="s">
        <v>1367</v>
      </c>
      <c r="K5320" t="s">
        <v>24650</v>
      </c>
      <c r="L5320" t="s">
        <v>24651</v>
      </c>
      <c r="M5320" t="s">
        <v>1289</v>
      </c>
      <c r="N5320" t="s">
        <v>13785</v>
      </c>
      <c r="O5320" t="s">
        <v>24652</v>
      </c>
      <c r="P5320" t="s">
        <v>24653</v>
      </c>
      <c r="Q5320" t="s">
        <v>24654</v>
      </c>
      <c r="R5320">
        <v>15</v>
      </c>
      <c r="S5320">
        <v>16</v>
      </c>
    </row>
    <row r="5321" spans="1:19" x14ac:dyDescent="0.35">
      <c r="A5321">
        <v>3529</v>
      </c>
      <c r="B5321" t="s">
        <v>24679</v>
      </c>
      <c r="C5321" t="s">
        <v>42</v>
      </c>
      <c r="D5321" t="s">
        <v>24680</v>
      </c>
      <c r="E5321" t="e" cm="1">
        <f t="array" ref="E5321">- ONDANSETRON HYDROCHLORIDE DIHYDRATE</f>
        <v>#NAME?</v>
      </c>
      <c r="F5321" t="s">
        <v>24681</v>
      </c>
      <c r="G5321" t="s">
        <v>12424</v>
      </c>
      <c r="H5321" t="s">
        <v>24682</v>
      </c>
      <c r="I5321" t="s">
        <v>24683</v>
      </c>
      <c r="J5321" t="s">
        <v>24684</v>
      </c>
      <c r="L5321" t="s">
        <v>2537</v>
      </c>
      <c r="M5321" t="s">
        <v>46</v>
      </c>
      <c r="N5321" t="s">
        <v>14087</v>
      </c>
      <c r="O5321" t="s">
        <v>24685</v>
      </c>
      <c r="P5321" t="s">
        <v>19940</v>
      </c>
      <c r="Q5321" t="s">
        <v>24686</v>
      </c>
      <c r="R5321">
        <v>15</v>
      </c>
      <c r="S5321">
        <v>16</v>
      </c>
    </row>
    <row r="5322" spans="1:19" x14ac:dyDescent="0.35">
      <c r="A5322">
        <v>8098</v>
      </c>
      <c r="B5322" t="s">
        <v>551</v>
      </c>
      <c r="C5322" t="s">
        <v>42</v>
      </c>
      <c r="D5322" t="s">
        <v>24687</v>
      </c>
      <c r="E5322" t="e" cm="1">
        <f t="array" ref="E5322">- POVIDONE-IODINE</f>
        <v>#NAME?</v>
      </c>
      <c r="F5322" t="s">
        <v>24688</v>
      </c>
      <c r="G5322" t="s">
        <v>24689</v>
      </c>
      <c r="H5322" t="s">
        <v>1322</v>
      </c>
      <c r="I5322" t="s">
        <v>24690</v>
      </c>
      <c r="J5322" t="s">
        <v>24691</v>
      </c>
      <c r="L5322" t="s">
        <v>24692</v>
      </c>
      <c r="M5322" t="s">
        <v>554</v>
      </c>
      <c r="N5322" t="s">
        <v>555</v>
      </c>
      <c r="O5322" t="s">
        <v>24693</v>
      </c>
      <c r="P5322" t="s">
        <v>24694</v>
      </c>
      <c r="Q5322" t="s">
        <v>24695</v>
      </c>
      <c r="R5322">
        <v>15</v>
      </c>
      <c r="S5322">
        <v>16</v>
      </c>
    </row>
    <row r="5323" spans="1:19" x14ac:dyDescent="0.35">
      <c r="A5323">
        <v>8099</v>
      </c>
      <c r="B5323" t="s">
        <v>551</v>
      </c>
      <c r="C5323" t="s">
        <v>42</v>
      </c>
      <c r="D5323" t="s">
        <v>24687</v>
      </c>
      <c r="E5323" t="e" cm="1">
        <f t="array" ref="E5323">- POVIDONE-IODINE</f>
        <v>#NAME?</v>
      </c>
      <c r="F5323" t="s">
        <v>24688</v>
      </c>
      <c r="G5323" t="s">
        <v>24689</v>
      </c>
      <c r="H5323" t="s">
        <v>1322</v>
      </c>
      <c r="I5323" t="s">
        <v>24690</v>
      </c>
      <c r="J5323" t="s">
        <v>24691</v>
      </c>
      <c r="L5323" t="s">
        <v>24692</v>
      </c>
      <c r="M5323" t="s">
        <v>554</v>
      </c>
      <c r="N5323" t="s">
        <v>555</v>
      </c>
      <c r="O5323" t="s">
        <v>24693</v>
      </c>
      <c r="P5323" t="s">
        <v>24694</v>
      </c>
      <c r="Q5323" t="s">
        <v>24695</v>
      </c>
      <c r="R5323">
        <v>15</v>
      </c>
      <c r="S5323">
        <v>16</v>
      </c>
    </row>
    <row r="5324" spans="1:19" x14ac:dyDescent="0.35">
      <c r="A5324">
        <v>5117</v>
      </c>
      <c r="B5324" t="s">
        <v>24647</v>
      </c>
      <c r="C5324" t="s">
        <v>42</v>
      </c>
      <c r="D5324" t="s">
        <v>24648</v>
      </c>
      <c r="E5324" t="e" cm="1">
        <f t="array" ref="E5324">- MOMETASONE FUROATE</f>
        <v>#NAME?</v>
      </c>
      <c r="F5324" s="1">
        <v>86800</v>
      </c>
      <c r="G5324" t="s">
        <v>24447</v>
      </c>
      <c r="H5324" t="s">
        <v>6538</v>
      </c>
      <c r="I5324" t="s">
        <v>24649</v>
      </c>
      <c r="J5324" t="s">
        <v>1367</v>
      </c>
      <c r="K5324" t="s">
        <v>24650</v>
      </c>
      <c r="L5324" t="s">
        <v>24651</v>
      </c>
      <c r="M5324" t="s">
        <v>1289</v>
      </c>
      <c r="N5324" t="s">
        <v>13785</v>
      </c>
      <c r="O5324" t="s">
        <v>24652</v>
      </c>
      <c r="P5324" t="s">
        <v>24653</v>
      </c>
      <c r="Q5324" t="s">
        <v>24654</v>
      </c>
      <c r="R5324">
        <v>15</v>
      </c>
      <c r="S5324">
        <v>16</v>
      </c>
    </row>
    <row r="5325" spans="1:19" x14ac:dyDescent="0.35">
      <c r="A5325">
        <v>5116</v>
      </c>
      <c r="B5325" t="s">
        <v>24647</v>
      </c>
      <c r="C5325" t="s">
        <v>42</v>
      </c>
      <c r="D5325" t="s">
        <v>24648</v>
      </c>
      <c r="E5325" t="e" cm="1">
        <f t="array" ref="E5325">- MOMETASONE FUROATE</f>
        <v>#NAME?</v>
      </c>
      <c r="F5325" s="1">
        <v>86800</v>
      </c>
      <c r="G5325" t="s">
        <v>24447</v>
      </c>
      <c r="H5325" t="s">
        <v>6538</v>
      </c>
      <c r="I5325" t="s">
        <v>24649</v>
      </c>
      <c r="J5325" t="s">
        <v>1367</v>
      </c>
      <c r="K5325" t="s">
        <v>24650</v>
      </c>
      <c r="L5325" t="s">
        <v>24651</v>
      </c>
      <c r="M5325" t="s">
        <v>1289</v>
      </c>
      <c r="N5325" t="s">
        <v>13785</v>
      </c>
      <c r="O5325" t="s">
        <v>24652</v>
      </c>
      <c r="P5325" t="s">
        <v>24653</v>
      </c>
      <c r="Q5325" t="s">
        <v>24654</v>
      </c>
      <c r="R5325">
        <v>15</v>
      </c>
      <c r="S5325">
        <v>16</v>
      </c>
    </row>
    <row r="5326" spans="1:19" x14ac:dyDescent="0.35">
      <c r="A5326">
        <v>5115</v>
      </c>
      <c r="B5326" t="s">
        <v>24647</v>
      </c>
      <c r="C5326" t="s">
        <v>42</v>
      </c>
      <c r="D5326" t="s">
        <v>24648</v>
      </c>
      <c r="E5326" t="e" cm="1">
        <f t="array" ref="E5326">- MOMETASONE FUROATE</f>
        <v>#NAME?</v>
      </c>
      <c r="F5326" s="1">
        <v>86800</v>
      </c>
      <c r="G5326" t="s">
        <v>24447</v>
      </c>
      <c r="H5326" t="s">
        <v>6538</v>
      </c>
      <c r="I5326" t="s">
        <v>24649</v>
      </c>
      <c r="J5326" t="s">
        <v>1367</v>
      </c>
      <c r="K5326" t="s">
        <v>24650</v>
      </c>
      <c r="L5326" t="s">
        <v>24651</v>
      </c>
      <c r="M5326" t="s">
        <v>1289</v>
      </c>
      <c r="N5326" t="s">
        <v>13785</v>
      </c>
      <c r="O5326" t="s">
        <v>24652</v>
      </c>
      <c r="P5326" t="s">
        <v>24653</v>
      </c>
      <c r="Q5326" t="s">
        <v>24654</v>
      </c>
      <c r="R5326">
        <v>15</v>
      </c>
      <c r="S5326">
        <v>16</v>
      </c>
    </row>
    <row r="5327" spans="1:19" x14ac:dyDescent="0.35">
      <c r="A5327">
        <v>3537</v>
      </c>
      <c r="B5327" t="s">
        <v>24696</v>
      </c>
      <c r="C5327" t="s">
        <v>42</v>
      </c>
      <c r="D5327" t="s">
        <v>24697</v>
      </c>
      <c r="E5327" t="e" cm="1">
        <f t="array" ref="E5327">- DOMPERIDONE</f>
        <v>#NAME?</v>
      </c>
      <c r="F5327" t="s">
        <v>24698</v>
      </c>
      <c r="G5327" t="s">
        <v>8205</v>
      </c>
      <c r="H5327" t="s">
        <v>1589</v>
      </c>
      <c r="I5327" t="s">
        <v>24493</v>
      </c>
      <c r="J5327" t="s">
        <v>24699</v>
      </c>
      <c r="L5327" t="s">
        <v>24496</v>
      </c>
      <c r="M5327" t="s">
        <v>46</v>
      </c>
      <c r="N5327" t="s">
        <v>341</v>
      </c>
      <c r="O5327" t="s">
        <v>24497</v>
      </c>
      <c r="P5327" t="s">
        <v>24700</v>
      </c>
      <c r="Q5327" t="s">
        <v>24701</v>
      </c>
      <c r="R5327">
        <v>15</v>
      </c>
      <c r="S5327">
        <v>16</v>
      </c>
    </row>
    <row r="5328" spans="1:19" x14ac:dyDescent="0.35">
      <c r="A5328">
        <v>3933</v>
      </c>
      <c r="B5328" t="s">
        <v>21486</v>
      </c>
      <c r="C5328" t="s">
        <v>42</v>
      </c>
      <c r="D5328" t="s">
        <v>21487</v>
      </c>
      <c r="E5328" t="e" cm="1">
        <f t="array" ref="E5328">- POLICRESULEN. CINCHOCAINE HYDROCHLORIDE</f>
        <v>#NAME?</v>
      </c>
      <c r="F5328" t="s">
        <v>21488</v>
      </c>
      <c r="G5328" t="s">
        <v>21489</v>
      </c>
      <c r="H5328" t="s">
        <v>21490</v>
      </c>
      <c r="I5328" t="s">
        <v>21491</v>
      </c>
      <c r="J5328" t="s">
        <v>979</v>
      </c>
      <c r="K5328" t="s">
        <v>3473</v>
      </c>
      <c r="L5328" t="s">
        <v>21492</v>
      </c>
      <c r="M5328" t="s">
        <v>1029</v>
      </c>
      <c r="N5328" t="s">
        <v>24702</v>
      </c>
      <c r="O5328" t="s">
        <v>21494</v>
      </c>
      <c r="P5328" t="s">
        <v>16419</v>
      </c>
      <c r="Q5328" t="s">
        <v>24703</v>
      </c>
      <c r="R5328">
        <v>15</v>
      </c>
      <c r="S5328">
        <v>16</v>
      </c>
    </row>
    <row r="5329" spans="1:19" x14ac:dyDescent="0.35">
      <c r="A5329">
        <v>5106</v>
      </c>
      <c r="B5329" t="s">
        <v>24704</v>
      </c>
      <c r="C5329" t="s">
        <v>42</v>
      </c>
      <c r="D5329" t="s">
        <v>24705</v>
      </c>
      <c r="E5329" t="e" cm="1">
        <f t="array" ref="E5329">- HYDROCORTISONE ACETATE</f>
        <v>#NAME?</v>
      </c>
      <c r="F5329" t="s">
        <v>4499</v>
      </c>
      <c r="G5329" t="s">
        <v>19614</v>
      </c>
      <c r="H5329" t="s">
        <v>9718</v>
      </c>
      <c r="I5329" t="s">
        <v>24706</v>
      </c>
      <c r="J5329" t="s">
        <v>9720</v>
      </c>
      <c r="K5329" t="s">
        <v>19616</v>
      </c>
      <c r="L5329" t="s">
        <v>24707</v>
      </c>
      <c r="M5329" t="s">
        <v>1289</v>
      </c>
      <c r="N5329" t="s">
        <v>7168</v>
      </c>
      <c r="O5329" t="s">
        <v>24708</v>
      </c>
      <c r="P5329" t="s">
        <v>24709</v>
      </c>
      <c r="Q5329" t="s">
        <v>24710</v>
      </c>
      <c r="R5329">
        <v>15</v>
      </c>
      <c r="S5329">
        <v>16</v>
      </c>
    </row>
    <row r="5330" spans="1:19" x14ac:dyDescent="0.35">
      <c r="A5330">
        <v>8110</v>
      </c>
      <c r="B5330" t="s">
        <v>551</v>
      </c>
      <c r="C5330" t="s">
        <v>42</v>
      </c>
      <c r="D5330" t="s">
        <v>24711</v>
      </c>
      <c r="E5330" t="e" cm="1">
        <f t="array" ref="E5330">- POVIDONE-IODINE</f>
        <v>#NAME?</v>
      </c>
      <c r="F5330" t="s">
        <v>24712</v>
      </c>
      <c r="G5330" t="s">
        <v>24713</v>
      </c>
      <c r="I5330" t="s">
        <v>24690</v>
      </c>
      <c r="J5330" t="s">
        <v>19918</v>
      </c>
      <c r="M5330" t="s">
        <v>554</v>
      </c>
      <c r="N5330" t="s">
        <v>555</v>
      </c>
      <c r="O5330" t="s">
        <v>24693</v>
      </c>
      <c r="P5330" t="s">
        <v>24714</v>
      </c>
      <c r="Q5330" t="s">
        <v>24715</v>
      </c>
      <c r="R5330">
        <v>15</v>
      </c>
      <c r="S5330">
        <v>16</v>
      </c>
    </row>
    <row r="5331" spans="1:19" x14ac:dyDescent="0.35">
      <c r="A5331">
        <v>8111</v>
      </c>
      <c r="B5331" t="s">
        <v>551</v>
      </c>
      <c r="C5331" t="s">
        <v>42</v>
      </c>
      <c r="D5331" t="s">
        <v>24711</v>
      </c>
      <c r="E5331" t="e" cm="1">
        <f t="array" ref="E5331">- POVIDONE-IODINE</f>
        <v>#NAME?</v>
      </c>
      <c r="F5331" t="s">
        <v>24712</v>
      </c>
      <c r="G5331" t="s">
        <v>24713</v>
      </c>
      <c r="I5331" t="s">
        <v>24690</v>
      </c>
      <c r="J5331" t="s">
        <v>19918</v>
      </c>
      <c r="M5331" t="s">
        <v>554</v>
      </c>
      <c r="N5331" t="s">
        <v>555</v>
      </c>
      <c r="O5331" t="s">
        <v>24693</v>
      </c>
      <c r="P5331" t="s">
        <v>24714</v>
      </c>
      <c r="Q5331" t="s">
        <v>24715</v>
      </c>
      <c r="R5331">
        <v>15</v>
      </c>
      <c r="S5331">
        <v>16</v>
      </c>
    </row>
    <row r="5332" spans="1:19" x14ac:dyDescent="0.35">
      <c r="A5332">
        <v>1224</v>
      </c>
      <c r="B5332" t="s">
        <v>24716</v>
      </c>
      <c r="C5332" t="s">
        <v>42</v>
      </c>
      <c r="D5332" t="s">
        <v>24717</v>
      </c>
      <c r="E5332" t="e" cm="1">
        <f t="array" ref="E5332">- PROMETHAZINE HYDROCHLORIDE. PSEUDOEPHEDRINE HYDROCHLORIDE. SODIUM CITRATE DIHYDRATE. AMMONIUM CHLORIDE</f>
        <v>#NAME?</v>
      </c>
      <c r="F5332" t="s">
        <v>24718</v>
      </c>
      <c r="H5332" t="s">
        <v>24719</v>
      </c>
    </row>
    <row r="5333" spans="1:19" x14ac:dyDescent="0.35">
      <c r="A5333">
        <v>8705</v>
      </c>
      <c r="B5333" t="s">
        <v>24720</v>
      </c>
      <c r="C5333" t="s">
        <v>42</v>
      </c>
      <c r="D5333" t="s">
        <v>24721</v>
      </c>
      <c r="E5333" t="e" cm="1">
        <f t="array" ref="E5333">- GLIPIZIDE</f>
        <v>#NAME?</v>
      </c>
      <c r="F5333" t="s">
        <v>24722</v>
      </c>
      <c r="G5333" t="s">
        <v>24594</v>
      </c>
      <c r="H5333" t="s">
        <v>24723</v>
      </c>
      <c r="I5333" t="s">
        <v>24596</v>
      </c>
      <c r="J5333" t="s">
        <v>24724</v>
      </c>
      <c r="K5333" t="s">
        <v>24598</v>
      </c>
    </row>
    <row r="5334" spans="1:19" x14ac:dyDescent="0.35">
      <c r="A5334">
        <v>3773</v>
      </c>
      <c r="B5334" t="s">
        <v>20172</v>
      </c>
      <c r="C5334" t="s">
        <v>42</v>
      </c>
      <c r="D5334" t="s">
        <v>20173</v>
      </c>
      <c r="E5334" t="e" cm="1">
        <f t="array" ref="E5334">- ZINC SULFATE MONOHYDRATE</f>
        <v>#NAME?</v>
      </c>
      <c r="F5334" t="s">
        <v>20174</v>
      </c>
      <c r="G5334" t="s">
        <v>20175</v>
      </c>
      <c r="H5334" t="s">
        <v>20176</v>
      </c>
      <c r="I5334" t="s">
        <v>20177</v>
      </c>
      <c r="J5334" t="s">
        <v>374</v>
      </c>
      <c r="K5334" t="s">
        <v>20178</v>
      </c>
      <c r="L5334" t="s">
        <v>20179</v>
      </c>
      <c r="M5334" t="s">
        <v>271</v>
      </c>
      <c r="N5334" t="s">
        <v>2750</v>
      </c>
      <c r="O5334" t="s">
        <v>20181</v>
      </c>
      <c r="P5334" t="s">
        <v>20182</v>
      </c>
      <c r="Q5334" t="s">
        <v>24725</v>
      </c>
      <c r="R5334">
        <v>15</v>
      </c>
      <c r="S5334">
        <v>16</v>
      </c>
    </row>
    <row r="5335" spans="1:19" x14ac:dyDescent="0.35">
      <c r="A5335">
        <v>3770</v>
      </c>
      <c r="B5335" t="s">
        <v>24726</v>
      </c>
      <c r="C5335" t="s">
        <v>42</v>
      </c>
      <c r="D5335" t="s">
        <v>24727</v>
      </c>
      <c r="E5335" t="e" cm="1">
        <f t="array" ref="E5335">- KAOLIN</f>
        <v>#NAME?</v>
      </c>
      <c r="F5335" t="s">
        <v>24728</v>
      </c>
      <c r="G5335" t="s">
        <v>24729</v>
      </c>
      <c r="H5335" t="s">
        <v>24730</v>
      </c>
      <c r="I5335" t="s">
        <v>24731</v>
      </c>
      <c r="J5335" t="s">
        <v>334</v>
      </c>
      <c r="K5335" t="s">
        <v>24732</v>
      </c>
      <c r="L5335" t="s">
        <v>24733</v>
      </c>
      <c r="M5335" t="s">
        <v>340</v>
      </c>
      <c r="N5335" t="s">
        <v>1194</v>
      </c>
      <c r="O5335" t="s">
        <v>24734</v>
      </c>
      <c r="P5335" t="s">
        <v>24735</v>
      </c>
      <c r="Q5335" t="s">
        <v>24736</v>
      </c>
      <c r="R5335">
        <v>15</v>
      </c>
      <c r="S5335">
        <v>16</v>
      </c>
    </row>
    <row r="5336" spans="1:19" x14ac:dyDescent="0.35">
      <c r="A5336">
        <v>3687</v>
      </c>
      <c r="B5336" t="s">
        <v>24737</v>
      </c>
      <c r="C5336" t="s">
        <v>42</v>
      </c>
      <c r="D5336" t="s">
        <v>24738</v>
      </c>
      <c r="E5336" t="e" cm="1">
        <f t="array" ref="E5336">- DOMPERIDONE</f>
        <v>#NAME?</v>
      </c>
      <c r="F5336" t="s">
        <v>24739</v>
      </c>
      <c r="G5336" t="s">
        <v>8205</v>
      </c>
      <c r="H5336" t="s">
        <v>1589</v>
      </c>
      <c r="I5336" t="s">
        <v>24493</v>
      </c>
      <c r="J5336" t="s">
        <v>24740</v>
      </c>
      <c r="K5336" t="s">
        <v>24741</v>
      </c>
      <c r="L5336" t="s">
        <v>24496</v>
      </c>
      <c r="M5336" t="s">
        <v>46</v>
      </c>
      <c r="N5336" t="s">
        <v>341</v>
      </c>
      <c r="O5336" t="s">
        <v>24497</v>
      </c>
      <c r="P5336" t="s">
        <v>24742</v>
      </c>
      <c r="Q5336" t="s">
        <v>24743</v>
      </c>
      <c r="R5336">
        <v>15</v>
      </c>
      <c r="S5336">
        <v>16</v>
      </c>
    </row>
    <row r="5337" spans="1:19" x14ac:dyDescent="0.35">
      <c r="A5337">
        <v>3686</v>
      </c>
      <c r="B5337" t="s">
        <v>24737</v>
      </c>
      <c r="C5337" t="s">
        <v>42</v>
      </c>
      <c r="D5337" t="s">
        <v>24738</v>
      </c>
      <c r="E5337" t="e" cm="1">
        <f t="array" ref="E5337">- DOMPERIDONE</f>
        <v>#NAME?</v>
      </c>
      <c r="F5337" t="s">
        <v>24739</v>
      </c>
      <c r="G5337" t="s">
        <v>8205</v>
      </c>
      <c r="H5337" t="s">
        <v>1589</v>
      </c>
      <c r="I5337" t="s">
        <v>24493</v>
      </c>
      <c r="J5337" t="s">
        <v>24740</v>
      </c>
      <c r="K5337" t="s">
        <v>24741</v>
      </c>
      <c r="L5337" t="s">
        <v>24496</v>
      </c>
      <c r="M5337" t="s">
        <v>46</v>
      </c>
      <c r="N5337" t="s">
        <v>341</v>
      </c>
      <c r="O5337" t="s">
        <v>24497</v>
      </c>
      <c r="P5337" t="s">
        <v>24742</v>
      </c>
      <c r="Q5337" t="s">
        <v>24743</v>
      </c>
      <c r="R5337">
        <v>15</v>
      </c>
      <c r="S5337">
        <v>16</v>
      </c>
    </row>
    <row r="5338" spans="1:19" x14ac:dyDescent="0.35">
      <c r="A5338">
        <v>5024</v>
      </c>
      <c r="B5338" t="s">
        <v>24428</v>
      </c>
      <c r="C5338" t="s">
        <v>42</v>
      </c>
      <c r="D5338" t="s">
        <v>24744</v>
      </c>
      <c r="E5338" t="e" cm="1">
        <f t="array" ref="E5338">- MOMETASONE FUROATE</f>
        <v>#NAME?</v>
      </c>
      <c r="F5338" t="s">
        <v>24745</v>
      </c>
      <c r="G5338" t="s">
        <v>18182</v>
      </c>
      <c r="H5338" t="s">
        <v>6538</v>
      </c>
      <c r="I5338" t="s">
        <v>24431</v>
      </c>
      <c r="J5338" t="s">
        <v>24746</v>
      </c>
      <c r="K5338" t="s">
        <v>24433</v>
      </c>
      <c r="L5338" t="s">
        <v>24434</v>
      </c>
      <c r="M5338" t="s">
        <v>1289</v>
      </c>
      <c r="N5338" t="s">
        <v>13785</v>
      </c>
      <c r="O5338" t="s">
        <v>24435</v>
      </c>
      <c r="P5338" t="s">
        <v>24436</v>
      </c>
      <c r="Q5338" t="s">
        <v>24437</v>
      </c>
      <c r="R5338">
        <v>15</v>
      </c>
      <c r="S5338">
        <v>16</v>
      </c>
    </row>
    <row r="5339" spans="1:19" x14ac:dyDescent="0.35">
      <c r="A5339">
        <v>3674</v>
      </c>
      <c r="B5339" t="s">
        <v>24747</v>
      </c>
      <c r="C5339" t="s">
        <v>42</v>
      </c>
      <c r="D5339" t="s">
        <v>24748</v>
      </c>
      <c r="E5339" t="e" cm="1">
        <f t="array" ref="E5339">- ONDANSETRON HYDROCHLORIDE</f>
        <v>#NAME?</v>
      </c>
      <c r="F5339" t="s">
        <v>24749</v>
      </c>
      <c r="G5339" t="s">
        <v>2266</v>
      </c>
      <c r="H5339" t="s">
        <v>24750</v>
      </c>
      <c r="I5339" t="s">
        <v>24751</v>
      </c>
      <c r="J5339" t="s">
        <v>24752</v>
      </c>
      <c r="K5339" t="s">
        <v>11602</v>
      </c>
      <c r="L5339" t="s">
        <v>24753</v>
      </c>
      <c r="M5339" t="s">
        <v>46</v>
      </c>
      <c r="N5339" t="s">
        <v>14328</v>
      </c>
      <c r="O5339" t="s">
        <v>24754</v>
      </c>
      <c r="P5339" t="s">
        <v>24755</v>
      </c>
      <c r="Q5339" t="s">
        <v>24756</v>
      </c>
      <c r="R5339">
        <v>15</v>
      </c>
      <c r="S5339">
        <v>16</v>
      </c>
    </row>
    <row r="5340" spans="1:19" x14ac:dyDescent="0.35">
      <c r="A5340">
        <v>4675</v>
      </c>
      <c r="B5340" t="s">
        <v>18747</v>
      </c>
      <c r="C5340" t="s">
        <v>42</v>
      </c>
      <c r="D5340" t="s">
        <v>18748</v>
      </c>
      <c r="E5340" t="s">
        <v>24757</v>
      </c>
      <c r="F5340" t="s">
        <v>18749</v>
      </c>
      <c r="G5340" t="s">
        <v>7569</v>
      </c>
      <c r="H5340" t="s">
        <v>16213</v>
      </c>
      <c r="I5340" t="s">
        <v>16313</v>
      </c>
      <c r="J5340" t="s">
        <v>18750</v>
      </c>
      <c r="K5340" t="s">
        <v>3473</v>
      </c>
      <c r="L5340" t="s">
        <v>16314</v>
      </c>
      <c r="M5340" t="s">
        <v>824</v>
      </c>
      <c r="N5340" t="s">
        <v>24758</v>
      </c>
      <c r="O5340" t="s">
        <v>16316</v>
      </c>
      <c r="P5340" t="s">
        <v>18751</v>
      </c>
      <c r="Q5340" t="s">
        <v>24759</v>
      </c>
      <c r="R5340">
        <v>15</v>
      </c>
      <c r="S5340">
        <v>16</v>
      </c>
    </row>
    <row r="5341" spans="1:19" x14ac:dyDescent="0.35">
      <c r="A5341">
        <v>3673</v>
      </c>
      <c r="B5341" t="s">
        <v>24747</v>
      </c>
      <c r="C5341" t="s">
        <v>42</v>
      </c>
      <c r="D5341" t="s">
        <v>24748</v>
      </c>
      <c r="E5341" t="e" cm="1">
        <f t="array" ref="E5341">- ONDANSETRON HYDROCHLORIDE</f>
        <v>#NAME?</v>
      </c>
      <c r="F5341" t="s">
        <v>24749</v>
      </c>
      <c r="G5341" t="s">
        <v>2266</v>
      </c>
      <c r="H5341" t="s">
        <v>24750</v>
      </c>
      <c r="I5341" t="s">
        <v>24751</v>
      </c>
      <c r="J5341" t="s">
        <v>24752</v>
      </c>
      <c r="K5341" t="s">
        <v>11602</v>
      </c>
      <c r="L5341" t="s">
        <v>24753</v>
      </c>
      <c r="M5341" t="s">
        <v>46</v>
      </c>
      <c r="N5341" t="s">
        <v>14328</v>
      </c>
      <c r="O5341" t="s">
        <v>24754</v>
      </c>
      <c r="P5341" t="s">
        <v>24755</v>
      </c>
      <c r="Q5341" t="s">
        <v>24756</v>
      </c>
      <c r="R5341">
        <v>15</v>
      </c>
      <c r="S5341">
        <v>16</v>
      </c>
    </row>
    <row r="5342" spans="1:19" x14ac:dyDescent="0.35">
      <c r="A5342">
        <v>5022</v>
      </c>
      <c r="B5342" t="s">
        <v>24760</v>
      </c>
      <c r="C5342" t="s">
        <v>42</v>
      </c>
      <c r="D5342" t="s">
        <v>24761</v>
      </c>
      <c r="E5342" t="e" cm="1">
        <f t="array" ref="E5342">- MOMETASONE FUROATE</f>
        <v>#NAME?</v>
      </c>
      <c r="F5342" t="s">
        <v>24762</v>
      </c>
      <c r="G5342" t="s">
        <v>24763</v>
      </c>
      <c r="H5342" t="s">
        <v>6538</v>
      </c>
      <c r="I5342" t="s">
        <v>24764</v>
      </c>
      <c r="J5342" t="s">
        <v>829</v>
      </c>
      <c r="K5342" t="s">
        <v>2726</v>
      </c>
      <c r="L5342" t="s">
        <v>24434</v>
      </c>
      <c r="M5342" t="s">
        <v>554</v>
      </c>
      <c r="N5342" t="s">
        <v>13785</v>
      </c>
      <c r="O5342" t="s">
        <v>24765</v>
      </c>
      <c r="P5342" t="s">
        <v>24766</v>
      </c>
      <c r="Q5342" t="s">
        <v>24767</v>
      </c>
      <c r="R5342">
        <v>15</v>
      </c>
      <c r="S5342">
        <v>16</v>
      </c>
    </row>
    <row r="5343" spans="1:19" x14ac:dyDescent="0.35">
      <c r="A5343">
        <v>3671</v>
      </c>
      <c r="B5343" t="s">
        <v>24768</v>
      </c>
      <c r="C5343" t="s">
        <v>42</v>
      </c>
      <c r="D5343" t="s">
        <v>24769</v>
      </c>
      <c r="E5343" t="e" cm="1">
        <f t="array" ref="E5343">- ONDANSETRON HYDROCHLORIDE DIHYDRATE</f>
        <v>#NAME?</v>
      </c>
      <c r="F5343" s="1">
        <v>280600</v>
      </c>
      <c r="G5343" t="s">
        <v>60</v>
      </c>
      <c r="H5343" t="s">
        <v>24770</v>
      </c>
      <c r="I5343" t="s">
        <v>24771</v>
      </c>
      <c r="J5343" t="s">
        <v>19938</v>
      </c>
      <c r="K5343" t="s">
        <v>11602</v>
      </c>
      <c r="L5343" t="s">
        <v>2537</v>
      </c>
      <c r="M5343" t="s">
        <v>46</v>
      </c>
      <c r="N5343" t="s">
        <v>14087</v>
      </c>
      <c r="O5343" t="s">
        <v>24772</v>
      </c>
      <c r="P5343" t="s">
        <v>24755</v>
      </c>
      <c r="Q5343" t="s">
        <v>24773</v>
      </c>
      <c r="R5343">
        <v>15</v>
      </c>
      <c r="S5343">
        <v>16</v>
      </c>
    </row>
    <row r="5344" spans="1:19" x14ac:dyDescent="0.35">
      <c r="A5344">
        <v>1094</v>
      </c>
      <c r="B5344" t="s">
        <v>22521</v>
      </c>
      <c r="C5344" t="s">
        <v>42</v>
      </c>
      <c r="D5344" t="s">
        <v>24774</v>
      </c>
      <c r="E5344" t="e" cm="1">
        <f t="array" ref="E5344">- AMMONIUM CHLORIDE</f>
        <v>#NAME?</v>
      </c>
      <c r="F5344" t="s">
        <v>24775</v>
      </c>
      <c r="G5344" t="s">
        <v>60</v>
      </c>
      <c r="H5344" t="s">
        <v>24776</v>
      </c>
      <c r="I5344" t="s">
        <v>24777</v>
      </c>
      <c r="J5344" t="s">
        <v>374</v>
      </c>
      <c r="K5344" t="s">
        <v>22527</v>
      </c>
      <c r="L5344" t="s">
        <v>22528</v>
      </c>
      <c r="M5344" t="s">
        <v>271</v>
      </c>
      <c r="N5344" t="s">
        <v>1672</v>
      </c>
      <c r="O5344" t="s">
        <v>24778</v>
      </c>
      <c r="P5344" t="s">
        <v>22530</v>
      </c>
      <c r="Q5344" t="s">
        <v>24779</v>
      </c>
      <c r="R5344">
        <v>15</v>
      </c>
      <c r="S5344">
        <v>16</v>
      </c>
    </row>
    <row r="5345" spans="1:19" x14ac:dyDescent="0.35">
      <c r="A5345">
        <v>1093</v>
      </c>
      <c r="B5345" t="s">
        <v>22521</v>
      </c>
      <c r="C5345" t="s">
        <v>42</v>
      </c>
      <c r="D5345" t="s">
        <v>24774</v>
      </c>
      <c r="E5345" t="e" cm="1">
        <f t="array" ref="E5345">- AMMONIUM CHLORIDE</f>
        <v>#NAME?</v>
      </c>
      <c r="F5345" t="s">
        <v>24775</v>
      </c>
      <c r="G5345" t="s">
        <v>60</v>
      </c>
      <c r="H5345" t="s">
        <v>24776</v>
      </c>
      <c r="I5345" t="s">
        <v>24777</v>
      </c>
      <c r="J5345" t="s">
        <v>374</v>
      </c>
      <c r="K5345" t="s">
        <v>22527</v>
      </c>
      <c r="L5345" t="s">
        <v>22528</v>
      </c>
      <c r="M5345" t="s">
        <v>271</v>
      </c>
      <c r="N5345" t="s">
        <v>1672</v>
      </c>
      <c r="O5345" t="s">
        <v>24778</v>
      </c>
      <c r="P5345" t="s">
        <v>22530</v>
      </c>
      <c r="Q5345" t="s">
        <v>24779</v>
      </c>
      <c r="R5345">
        <v>15</v>
      </c>
      <c r="S5345">
        <v>16</v>
      </c>
    </row>
    <row r="5346" spans="1:19" x14ac:dyDescent="0.35">
      <c r="A5346">
        <v>1405</v>
      </c>
      <c r="B5346" t="s">
        <v>24780</v>
      </c>
      <c r="C5346" t="s">
        <v>42</v>
      </c>
      <c r="D5346" t="s">
        <v>24781</v>
      </c>
      <c r="E5346" t="e" cm="1">
        <f t="array" ref="E5346">- BROMHEXINE HYDROCHLORIDE</f>
        <v>#NAME?</v>
      </c>
      <c r="F5346" t="s">
        <v>24782</v>
      </c>
      <c r="G5346" t="s">
        <v>2241</v>
      </c>
      <c r="H5346" t="s">
        <v>24783</v>
      </c>
      <c r="I5346" t="s">
        <v>24784</v>
      </c>
      <c r="J5346" t="s">
        <v>24785</v>
      </c>
      <c r="L5346" t="s">
        <v>270</v>
      </c>
      <c r="M5346" t="s">
        <v>46</v>
      </c>
      <c r="N5346" t="s">
        <v>1342</v>
      </c>
      <c r="O5346" t="s">
        <v>24786</v>
      </c>
      <c r="P5346" t="s">
        <v>24787</v>
      </c>
      <c r="Q5346" t="s">
        <v>24788</v>
      </c>
      <c r="R5346">
        <v>15</v>
      </c>
      <c r="S5346">
        <v>16</v>
      </c>
    </row>
    <row r="5347" spans="1:19" x14ac:dyDescent="0.35">
      <c r="A5347">
        <v>339</v>
      </c>
      <c r="B5347" t="s">
        <v>24789</v>
      </c>
      <c r="C5347" t="s">
        <v>42</v>
      </c>
      <c r="D5347" t="s">
        <v>24790</v>
      </c>
      <c r="E5347" t="e" cm="1">
        <f t="array" ref="E5347">- CLOMIFENE CITRATE</f>
        <v>#NAME?</v>
      </c>
      <c r="F5347" t="s">
        <v>24791</v>
      </c>
      <c r="G5347" t="s">
        <v>5301</v>
      </c>
      <c r="H5347" t="s">
        <v>24792</v>
      </c>
      <c r="I5347" t="s">
        <v>24793</v>
      </c>
      <c r="J5347" t="s">
        <v>411</v>
      </c>
      <c r="K5347" t="s">
        <v>24794</v>
      </c>
      <c r="L5347" t="s">
        <v>24795</v>
      </c>
      <c r="M5347" t="s">
        <v>46</v>
      </c>
      <c r="N5347" t="s">
        <v>5738</v>
      </c>
      <c r="O5347" t="s">
        <v>24796</v>
      </c>
      <c r="P5347" t="s">
        <v>24797</v>
      </c>
      <c r="Q5347" t="s">
        <v>24798</v>
      </c>
      <c r="R5347">
        <v>15</v>
      </c>
      <c r="S5347">
        <v>16</v>
      </c>
    </row>
    <row r="5348" spans="1:19" x14ac:dyDescent="0.35">
      <c r="A5348">
        <v>8257</v>
      </c>
      <c r="B5348" t="s">
        <v>551</v>
      </c>
      <c r="C5348" t="s">
        <v>42</v>
      </c>
      <c r="D5348" t="s">
        <v>24799</v>
      </c>
      <c r="E5348" t="e" cm="1">
        <f t="array" ref="E5348">- POVIDONE-IODINE</f>
        <v>#NAME?</v>
      </c>
      <c r="F5348" t="s">
        <v>24800</v>
      </c>
      <c r="G5348" t="s">
        <v>24801</v>
      </c>
      <c r="H5348" t="s">
        <v>1322</v>
      </c>
      <c r="I5348" t="s">
        <v>24802</v>
      </c>
      <c r="J5348" t="s">
        <v>24803</v>
      </c>
      <c r="M5348" t="s">
        <v>554</v>
      </c>
      <c r="N5348" t="s">
        <v>555</v>
      </c>
      <c r="O5348" t="s">
        <v>24804</v>
      </c>
      <c r="P5348" t="s">
        <v>24805</v>
      </c>
      <c r="Q5348" t="s">
        <v>24806</v>
      </c>
      <c r="R5348">
        <v>15</v>
      </c>
      <c r="S5348">
        <v>16</v>
      </c>
    </row>
    <row r="5349" spans="1:19" x14ac:dyDescent="0.35">
      <c r="A5349">
        <v>8256</v>
      </c>
      <c r="B5349" t="s">
        <v>551</v>
      </c>
      <c r="C5349" t="s">
        <v>42</v>
      </c>
      <c r="D5349" t="s">
        <v>24799</v>
      </c>
      <c r="E5349" t="e" cm="1">
        <f t="array" ref="E5349">- POVIDONE-IODINE</f>
        <v>#NAME?</v>
      </c>
      <c r="F5349" t="s">
        <v>24800</v>
      </c>
      <c r="G5349" t="s">
        <v>24801</v>
      </c>
      <c r="H5349" t="s">
        <v>1322</v>
      </c>
      <c r="I5349" t="s">
        <v>24802</v>
      </c>
      <c r="J5349" t="s">
        <v>24803</v>
      </c>
      <c r="M5349" t="s">
        <v>554</v>
      </c>
      <c r="N5349" t="s">
        <v>555</v>
      </c>
      <c r="O5349" t="s">
        <v>24804</v>
      </c>
      <c r="P5349" t="s">
        <v>24805</v>
      </c>
      <c r="Q5349" t="s">
        <v>24806</v>
      </c>
      <c r="R5349">
        <v>15</v>
      </c>
      <c r="S5349">
        <v>16</v>
      </c>
    </row>
    <row r="5350" spans="1:19" x14ac:dyDescent="0.35">
      <c r="A5350">
        <v>338</v>
      </c>
      <c r="B5350" t="s">
        <v>24789</v>
      </c>
      <c r="C5350" t="s">
        <v>42</v>
      </c>
      <c r="D5350" t="s">
        <v>24790</v>
      </c>
      <c r="E5350" t="e" cm="1">
        <f t="array" ref="E5350">- CLOMIFENE CITRATE</f>
        <v>#NAME?</v>
      </c>
      <c r="F5350" t="s">
        <v>24791</v>
      </c>
      <c r="G5350" t="s">
        <v>5301</v>
      </c>
      <c r="H5350" t="s">
        <v>24792</v>
      </c>
      <c r="I5350" t="s">
        <v>24793</v>
      </c>
      <c r="J5350" t="s">
        <v>411</v>
      </c>
      <c r="K5350" t="s">
        <v>24794</v>
      </c>
      <c r="L5350" t="s">
        <v>24795</v>
      </c>
      <c r="M5350" t="s">
        <v>46</v>
      </c>
      <c r="N5350" t="s">
        <v>5738</v>
      </c>
      <c r="O5350" t="s">
        <v>24796</v>
      </c>
      <c r="P5350" t="s">
        <v>24797</v>
      </c>
      <c r="Q5350" t="s">
        <v>24798</v>
      </c>
      <c r="R5350">
        <v>15</v>
      </c>
      <c r="S5350">
        <v>16</v>
      </c>
    </row>
    <row r="5351" spans="1:19" x14ac:dyDescent="0.35">
      <c r="A5351">
        <v>1320</v>
      </c>
      <c r="B5351" t="s">
        <v>16678</v>
      </c>
      <c r="C5351" t="s">
        <v>42</v>
      </c>
      <c r="D5351" t="s">
        <v>16679</v>
      </c>
      <c r="E5351" t="e" cm="1">
        <f t="array" ref="E5351">- CAFFEINE. EPHEDRINE HYDROCHLORIDE. PARACETAMOL</f>
        <v>#NAME?</v>
      </c>
      <c r="F5351" t="s">
        <v>16680</v>
      </c>
      <c r="I5351" t="s">
        <v>16681</v>
      </c>
      <c r="J5351" t="s">
        <v>8602</v>
      </c>
      <c r="M5351" t="s">
        <v>46</v>
      </c>
      <c r="N5351" t="s">
        <v>24807</v>
      </c>
      <c r="O5351" t="s">
        <v>16682</v>
      </c>
      <c r="P5351" t="s">
        <v>16683</v>
      </c>
      <c r="Q5351" t="s">
        <v>24808</v>
      </c>
      <c r="R5351">
        <v>15</v>
      </c>
      <c r="S5351">
        <v>16</v>
      </c>
    </row>
    <row r="5352" spans="1:19" x14ac:dyDescent="0.35">
      <c r="A5352">
        <v>527</v>
      </c>
      <c r="B5352" t="s">
        <v>24809</v>
      </c>
      <c r="C5352" t="s">
        <v>42</v>
      </c>
      <c r="D5352" t="s">
        <v>24810</v>
      </c>
      <c r="E5352" t="e" cm="1">
        <f t="array" ref="E5352">- TERBUTALINE SULFATE</f>
        <v>#NAME?</v>
      </c>
      <c r="F5352" t="s">
        <v>24811</v>
      </c>
      <c r="H5352" t="s">
        <v>24812</v>
      </c>
      <c r="I5352" t="s">
        <v>24813</v>
      </c>
      <c r="J5352" t="s">
        <v>24814</v>
      </c>
      <c r="L5352" t="s">
        <v>1875</v>
      </c>
      <c r="M5352" t="s">
        <v>46</v>
      </c>
      <c r="N5352" t="s">
        <v>4594</v>
      </c>
      <c r="O5352" t="s">
        <v>24815</v>
      </c>
      <c r="P5352" t="s">
        <v>24816</v>
      </c>
      <c r="Q5352" t="s">
        <v>24817</v>
      </c>
      <c r="R5352">
        <v>15</v>
      </c>
      <c r="S5352">
        <v>16</v>
      </c>
    </row>
    <row r="5353" spans="1:19" x14ac:dyDescent="0.35">
      <c r="A5353">
        <v>528</v>
      </c>
      <c r="B5353" t="s">
        <v>24809</v>
      </c>
      <c r="C5353" t="s">
        <v>42</v>
      </c>
      <c r="D5353" t="s">
        <v>24810</v>
      </c>
      <c r="E5353" t="e" cm="1">
        <f t="array" ref="E5353">- TERBUTALINE SULFATE</f>
        <v>#NAME?</v>
      </c>
      <c r="F5353" t="s">
        <v>24811</v>
      </c>
      <c r="H5353" t="s">
        <v>24812</v>
      </c>
      <c r="I5353" t="s">
        <v>24813</v>
      </c>
      <c r="J5353" t="s">
        <v>24814</v>
      </c>
      <c r="L5353" t="s">
        <v>1875</v>
      </c>
      <c r="M5353" t="s">
        <v>46</v>
      </c>
      <c r="N5353" t="s">
        <v>4594</v>
      </c>
      <c r="O5353" t="s">
        <v>24815</v>
      </c>
      <c r="P5353" t="s">
        <v>24816</v>
      </c>
      <c r="Q5353" t="s">
        <v>24817</v>
      </c>
      <c r="R5353">
        <v>15</v>
      </c>
      <c r="S5353">
        <v>16</v>
      </c>
    </row>
    <row r="5354" spans="1:19" x14ac:dyDescent="0.35">
      <c r="A5354">
        <v>529</v>
      </c>
      <c r="B5354" t="s">
        <v>24818</v>
      </c>
      <c r="C5354" t="s">
        <v>42</v>
      </c>
      <c r="D5354" t="s">
        <v>24819</v>
      </c>
      <c r="E5354" t="e" cm="1">
        <f t="array" ref="E5354">- TERBUTALINE SULFATE</f>
        <v>#NAME?</v>
      </c>
      <c r="F5354" t="s">
        <v>24820</v>
      </c>
      <c r="G5354" t="s">
        <v>5301</v>
      </c>
      <c r="H5354" t="s">
        <v>24821</v>
      </c>
      <c r="I5354" t="s">
        <v>24822</v>
      </c>
      <c r="J5354" t="s">
        <v>24823</v>
      </c>
      <c r="L5354" t="s">
        <v>7562</v>
      </c>
      <c r="M5354" t="s">
        <v>271</v>
      </c>
      <c r="N5354" t="s">
        <v>4594</v>
      </c>
      <c r="O5354" t="s">
        <v>24824</v>
      </c>
      <c r="P5354" t="s">
        <v>24816</v>
      </c>
      <c r="Q5354" t="s">
        <v>24825</v>
      </c>
      <c r="R5354">
        <v>15</v>
      </c>
      <c r="S5354">
        <v>16</v>
      </c>
    </row>
    <row r="5355" spans="1:19" x14ac:dyDescent="0.35">
      <c r="A5355">
        <v>3651</v>
      </c>
      <c r="B5355" t="s">
        <v>24826</v>
      </c>
      <c r="C5355" t="s">
        <v>42</v>
      </c>
      <c r="D5355" t="s">
        <v>24827</v>
      </c>
      <c r="E5355" t="e" cm="1">
        <f t="array" ref="E5355">- DOMPERIDONE MALEATE</f>
        <v>#NAME?</v>
      </c>
      <c r="F5355" t="s">
        <v>24828</v>
      </c>
      <c r="G5355" t="s">
        <v>24829</v>
      </c>
      <c r="H5355" t="s">
        <v>24830</v>
      </c>
      <c r="I5355" t="s">
        <v>21085</v>
      </c>
      <c r="J5355" t="s">
        <v>24831</v>
      </c>
      <c r="K5355" t="s">
        <v>24832</v>
      </c>
      <c r="L5355" t="s">
        <v>24833</v>
      </c>
      <c r="M5355" t="s">
        <v>46</v>
      </c>
      <c r="N5355" t="s">
        <v>1609</v>
      </c>
      <c r="O5355" t="s">
        <v>21086</v>
      </c>
      <c r="P5355" t="s">
        <v>5184</v>
      </c>
      <c r="Q5355" t="s">
        <v>24834</v>
      </c>
      <c r="R5355">
        <v>15</v>
      </c>
      <c r="S5355">
        <v>16</v>
      </c>
    </row>
    <row r="5356" spans="1:19" x14ac:dyDescent="0.35">
      <c r="A5356">
        <v>3650</v>
      </c>
      <c r="B5356" t="s">
        <v>24826</v>
      </c>
      <c r="C5356" t="s">
        <v>42</v>
      </c>
      <c r="D5356" t="s">
        <v>24827</v>
      </c>
      <c r="E5356" t="e" cm="1">
        <f t="array" ref="E5356">- DOMPERIDONE MALEATE</f>
        <v>#NAME?</v>
      </c>
      <c r="F5356" t="s">
        <v>24828</v>
      </c>
      <c r="G5356" t="s">
        <v>24829</v>
      </c>
      <c r="H5356" t="s">
        <v>24830</v>
      </c>
      <c r="I5356" t="s">
        <v>21085</v>
      </c>
      <c r="J5356" t="s">
        <v>24831</v>
      </c>
      <c r="K5356" t="s">
        <v>24832</v>
      </c>
      <c r="L5356" t="s">
        <v>24833</v>
      </c>
      <c r="M5356" t="s">
        <v>46</v>
      </c>
      <c r="N5356" t="s">
        <v>1609</v>
      </c>
      <c r="O5356" t="s">
        <v>21086</v>
      </c>
      <c r="P5356" t="s">
        <v>5184</v>
      </c>
      <c r="Q5356" t="s">
        <v>24834</v>
      </c>
      <c r="R5356">
        <v>15</v>
      </c>
      <c r="S5356">
        <v>16</v>
      </c>
    </row>
    <row r="5357" spans="1:19" x14ac:dyDescent="0.35">
      <c r="A5357">
        <v>1328</v>
      </c>
      <c r="B5357" t="s">
        <v>19876</v>
      </c>
      <c r="C5357" t="s">
        <v>42</v>
      </c>
      <c r="D5357" t="s">
        <v>19877</v>
      </c>
      <c r="E5357" t="e" cm="1">
        <f t="array" ref="E5357">- PARACETAMOL. PHENYLPROPANOLAMINE HYDROCHLORIDE</f>
        <v>#NAME?</v>
      </c>
      <c r="F5357" t="s">
        <v>19878</v>
      </c>
      <c r="H5357" t="s">
        <v>19879</v>
      </c>
      <c r="I5357" t="s">
        <v>19880</v>
      </c>
      <c r="J5357" t="s">
        <v>1631</v>
      </c>
      <c r="M5357" t="s">
        <v>291</v>
      </c>
      <c r="N5357" t="s">
        <v>24835</v>
      </c>
      <c r="O5357" t="s">
        <v>19881</v>
      </c>
      <c r="P5357" t="s">
        <v>19882</v>
      </c>
      <c r="Q5357" t="s">
        <v>24836</v>
      </c>
      <c r="R5357">
        <v>15</v>
      </c>
      <c r="S5357">
        <v>16</v>
      </c>
    </row>
    <row r="5358" spans="1:19" x14ac:dyDescent="0.35">
      <c r="A5358">
        <v>1331</v>
      </c>
      <c r="B5358" t="s">
        <v>24837</v>
      </c>
      <c r="C5358" t="s">
        <v>42</v>
      </c>
      <c r="D5358" t="s">
        <v>24838</v>
      </c>
      <c r="E5358" t="e" cm="1">
        <f t="array" ref="E5358">- DEXCHLORPHENIRAMINE MALEATE</f>
        <v>#NAME?</v>
      </c>
      <c r="F5358" t="s">
        <v>24839</v>
      </c>
      <c r="G5358" t="s">
        <v>2241</v>
      </c>
      <c r="H5358" t="s">
        <v>24840</v>
      </c>
      <c r="I5358" t="s">
        <v>24841</v>
      </c>
      <c r="J5358" t="s">
        <v>334</v>
      </c>
      <c r="L5358" t="s">
        <v>24842</v>
      </c>
      <c r="M5358" t="s">
        <v>340</v>
      </c>
      <c r="N5358" t="s">
        <v>1530</v>
      </c>
      <c r="O5358" t="s">
        <v>24843</v>
      </c>
      <c r="P5358" t="s">
        <v>24844</v>
      </c>
      <c r="Q5358" t="s">
        <v>24845</v>
      </c>
      <c r="R5358">
        <v>15</v>
      </c>
      <c r="S5358">
        <v>16</v>
      </c>
    </row>
    <row r="5359" spans="1:19" x14ac:dyDescent="0.35">
      <c r="A5359">
        <v>4989</v>
      </c>
      <c r="B5359" t="s">
        <v>24846</v>
      </c>
      <c r="C5359" t="s">
        <v>42</v>
      </c>
      <c r="D5359" t="s">
        <v>24847</v>
      </c>
      <c r="E5359" t="e" cm="1">
        <f t="array" ref="E5359">- DESONIDE</f>
        <v>#NAME?</v>
      </c>
      <c r="F5359" t="s">
        <v>24848</v>
      </c>
      <c r="G5359" t="s">
        <v>21603</v>
      </c>
      <c r="H5359" t="s">
        <v>11084</v>
      </c>
      <c r="I5359" t="s">
        <v>21604</v>
      </c>
      <c r="J5359" t="s">
        <v>24849</v>
      </c>
      <c r="K5359" t="s">
        <v>21605</v>
      </c>
      <c r="L5359" t="s">
        <v>21606</v>
      </c>
      <c r="M5359" t="s">
        <v>554</v>
      </c>
      <c r="N5359" t="s">
        <v>1297</v>
      </c>
      <c r="O5359" t="s">
        <v>21607</v>
      </c>
      <c r="P5359" t="s">
        <v>24850</v>
      </c>
      <c r="Q5359" t="s">
        <v>24851</v>
      </c>
      <c r="R5359">
        <v>15</v>
      </c>
      <c r="S5359">
        <v>16</v>
      </c>
    </row>
    <row r="5360" spans="1:19" x14ac:dyDescent="0.35">
      <c r="A5360">
        <v>4990</v>
      </c>
      <c r="B5360" t="s">
        <v>24846</v>
      </c>
      <c r="C5360" t="s">
        <v>42</v>
      </c>
      <c r="D5360" t="s">
        <v>24847</v>
      </c>
      <c r="E5360" t="e" cm="1">
        <f t="array" ref="E5360">- DESONIDE</f>
        <v>#NAME?</v>
      </c>
      <c r="F5360" t="s">
        <v>24848</v>
      </c>
      <c r="G5360" t="s">
        <v>21603</v>
      </c>
      <c r="H5360" t="s">
        <v>11084</v>
      </c>
      <c r="I5360" t="s">
        <v>21604</v>
      </c>
      <c r="J5360" t="s">
        <v>24849</v>
      </c>
      <c r="K5360" t="s">
        <v>21605</v>
      </c>
      <c r="L5360" t="s">
        <v>21606</v>
      </c>
      <c r="M5360" t="s">
        <v>554</v>
      </c>
      <c r="N5360" t="s">
        <v>1297</v>
      </c>
      <c r="O5360" t="s">
        <v>21607</v>
      </c>
      <c r="P5360" t="s">
        <v>24850</v>
      </c>
      <c r="Q5360" t="s">
        <v>24851</v>
      </c>
      <c r="R5360">
        <v>15</v>
      </c>
      <c r="S5360">
        <v>16</v>
      </c>
    </row>
    <row r="5361" spans="1:19" x14ac:dyDescent="0.35">
      <c r="A5361">
        <v>1087</v>
      </c>
      <c r="B5361" t="s">
        <v>24852</v>
      </c>
      <c r="C5361" t="s">
        <v>42</v>
      </c>
      <c r="D5361" t="s">
        <v>24853</v>
      </c>
      <c r="E5361" t="e" cm="1">
        <f t="array" ref="E5361">- BROMHEXINE HYDROCHLORIDE</f>
        <v>#NAME?</v>
      </c>
      <c r="F5361" s="1">
        <v>4200</v>
      </c>
      <c r="I5361" t="s">
        <v>24784</v>
      </c>
      <c r="M5361" t="s">
        <v>46</v>
      </c>
      <c r="N5361" t="s">
        <v>1342</v>
      </c>
      <c r="O5361" t="s">
        <v>24786</v>
      </c>
      <c r="P5361" t="s">
        <v>24854</v>
      </c>
      <c r="Q5361" t="s">
        <v>24855</v>
      </c>
      <c r="R5361">
        <v>15</v>
      </c>
      <c r="S5361">
        <v>16</v>
      </c>
    </row>
    <row r="5362" spans="1:19" x14ac:dyDescent="0.35">
      <c r="A5362">
        <v>5003</v>
      </c>
      <c r="B5362" t="s">
        <v>24856</v>
      </c>
      <c r="C5362" t="s">
        <v>42</v>
      </c>
      <c r="D5362" t="s">
        <v>24857</v>
      </c>
      <c r="E5362" t="e" cm="1">
        <f t="array" ref="E5362">- CLOBETASOL PROPIONATE</f>
        <v>#NAME?</v>
      </c>
      <c r="F5362" t="s">
        <v>24858</v>
      </c>
      <c r="G5362" t="s">
        <v>24859</v>
      </c>
      <c r="H5362" t="s">
        <v>24860</v>
      </c>
      <c r="I5362" t="s">
        <v>24861</v>
      </c>
      <c r="J5362" t="s">
        <v>24862</v>
      </c>
      <c r="K5362" t="s">
        <v>3952</v>
      </c>
      <c r="L5362" t="s">
        <v>24863</v>
      </c>
      <c r="M5362" t="s">
        <v>1289</v>
      </c>
      <c r="N5362" t="s">
        <v>3588</v>
      </c>
      <c r="O5362" t="s">
        <v>24864</v>
      </c>
      <c r="P5362" t="s">
        <v>24865</v>
      </c>
      <c r="Q5362" t="s">
        <v>24866</v>
      </c>
      <c r="R5362">
        <v>15</v>
      </c>
      <c r="S5362">
        <v>16</v>
      </c>
    </row>
    <row r="5363" spans="1:19" x14ac:dyDescent="0.35">
      <c r="A5363">
        <v>4991</v>
      </c>
      <c r="B5363" t="s">
        <v>24846</v>
      </c>
      <c r="C5363" t="s">
        <v>42</v>
      </c>
      <c r="D5363" t="s">
        <v>24847</v>
      </c>
      <c r="E5363" t="e" cm="1">
        <f t="array" ref="E5363">- DESONIDE</f>
        <v>#NAME?</v>
      </c>
      <c r="F5363" t="s">
        <v>24848</v>
      </c>
      <c r="G5363" t="s">
        <v>21603</v>
      </c>
      <c r="H5363" t="s">
        <v>11084</v>
      </c>
      <c r="I5363" t="s">
        <v>21604</v>
      </c>
      <c r="J5363" t="s">
        <v>24849</v>
      </c>
      <c r="K5363" t="s">
        <v>21605</v>
      </c>
      <c r="L5363" t="s">
        <v>21606</v>
      </c>
      <c r="M5363" t="s">
        <v>554</v>
      </c>
      <c r="N5363" t="s">
        <v>1297</v>
      </c>
      <c r="O5363" t="s">
        <v>21607</v>
      </c>
      <c r="P5363" t="s">
        <v>24850</v>
      </c>
      <c r="Q5363" t="s">
        <v>24851</v>
      </c>
      <c r="R5363">
        <v>15</v>
      </c>
      <c r="S5363">
        <v>16</v>
      </c>
    </row>
    <row r="5364" spans="1:19" x14ac:dyDescent="0.35">
      <c r="A5364">
        <v>4992</v>
      </c>
      <c r="B5364" t="s">
        <v>24846</v>
      </c>
      <c r="C5364" t="s">
        <v>42</v>
      </c>
      <c r="D5364" t="s">
        <v>24847</v>
      </c>
      <c r="E5364" t="e" cm="1">
        <f t="array" ref="E5364">- DESONIDE</f>
        <v>#NAME?</v>
      </c>
      <c r="F5364" t="s">
        <v>24848</v>
      </c>
      <c r="G5364" t="s">
        <v>21603</v>
      </c>
      <c r="H5364" t="s">
        <v>11084</v>
      </c>
      <c r="I5364" t="s">
        <v>21604</v>
      </c>
      <c r="J5364" t="s">
        <v>24849</v>
      </c>
      <c r="K5364" t="s">
        <v>21605</v>
      </c>
      <c r="L5364" t="s">
        <v>21606</v>
      </c>
      <c r="M5364" t="s">
        <v>554</v>
      </c>
      <c r="N5364" t="s">
        <v>1297</v>
      </c>
      <c r="O5364" t="s">
        <v>21607</v>
      </c>
      <c r="P5364" t="s">
        <v>24850</v>
      </c>
      <c r="Q5364" t="s">
        <v>24851</v>
      </c>
      <c r="R5364">
        <v>15</v>
      </c>
      <c r="S5364">
        <v>16</v>
      </c>
    </row>
    <row r="5365" spans="1:19" x14ac:dyDescent="0.35">
      <c r="A5365">
        <v>5025</v>
      </c>
      <c r="B5365" t="s">
        <v>24428</v>
      </c>
      <c r="C5365" t="s">
        <v>42</v>
      </c>
      <c r="D5365" t="s">
        <v>24744</v>
      </c>
      <c r="E5365" t="e" cm="1">
        <f t="array" ref="E5365">- MOMETASONE FUROATE</f>
        <v>#NAME?</v>
      </c>
      <c r="F5365" t="s">
        <v>24745</v>
      </c>
      <c r="G5365" t="s">
        <v>18182</v>
      </c>
      <c r="H5365" t="s">
        <v>6538</v>
      </c>
      <c r="I5365" t="s">
        <v>24431</v>
      </c>
      <c r="J5365" t="s">
        <v>24746</v>
      </c>
      <c r="K5365" t="s">
        <v>24433</v>
      </c>
      <c r="L5365" t="s">
        <v>24434</v>
      </c>
      <c r="M5365" t="s">
        <v>1289</v>
      </c>
      <c r="N5365" t="s">
        <v>13785</v>
      </c>
      <c r="O5365" t="s">
        <v>24435</v>
      </c>
      <c r="P5365" t="s">
        <v>24436</v>
      </c>
      <c r="Q5365" t="s">
        <v>24437</v>
      </c>
      <c r="R5365">
        <v>15</v>
      </c>
      <c r="S5365">
        <v>16</v>
      </c>
    </row>
    <row r="5366" spans="1:19" x14ac:dyDescent="0.35">
      <c r="A5366">
        <v>3771</v>
      </c>
      <c r="B5366" t="s">
        <v>20172</v>
      </c>
      <c r="C5366" t="s">
        <v>42</v>
      </c>
      <c r="D5366" t="s">
        <v>20173</v>
      </c>
      <c r="E5366" t="e" cm="1">
        <f t="array" ref="E5366">- ZINC SULFATE MONOHYDRATE</f>
        <v>#NAME?</v>
      </c>
      <c r="F5366" t="s">
        <v>20283</v>
      </c>
      <c r="G5366" t="s">
        <v>20175</v>
      </c>
      <c r="H5366" t="s">
        <v>20176</v>
      </c>
      <c r="I5366" t="s">
        <v>20177</v>
      </c>
      <c r="J5366" t="s">
        <v>374</v>
      </c>
      <c r="K5366" t="s">
        <v>20178</v>
      </c>
      <c r="L5366" t="s">
        <v>20179</v>
      </c>
      <c r="M5366" t="s">
        <v>271</v>
      </c>
      <c r="N5366" t="s">
        <v>2750</v>
      </c>
      <c r="O5366" t="s">
        <v>20181</v>
      </c>
      <c r="P5366" t="s">
        <v>20182</v>
      </c>
      <c r="Q5366" t="s">
        <v>24725</v>
      </c>
      <c r="R5366">
        <v>15</v>
      </c>
      <c r="S5366">
        <v>16</v>
      </c>
    </row>
    <row r="5367" spans="1:19" x14ac:dyDescent="0.35">
      <c r="A5367">
        <v>5026</v>
      </c>
      <c r="B5367" t="s">
        <v>24428</v>
      </c>
      <c r="C5367" t="s">
        <v>42</v>
      </c>
      <c r="D5367" t="s">
        <v>24744</v>
      </c>
      <c r="E5367" t="e" cm="1">
        <f t="array" ref="E5367">- MOMETASONE FUROATE</f>
        <v>#NAME?</v>
      </c>
      <c r="F5367" t="s">
        <v>24745</v>
      </c>
      <c r="G5367" t="s">
        <v>18182</v>
      </c>
      <c r="H5367" t="s">
        <v>6538</v>
      </c>
      <c r="I5367" t="s">
        <v>24431</v>
      </c>
      <c r="J5367" t="s">
        <v>24746</v>
      </c>
      <c r="K5367" t="s">
        <v>24433</v>
      </c>
      <c r="L5367" t="s">
        <v>24434</v>
      </c>
      <c r="M5367" t="s">
        <v>1289</v>
      </c>
      <c r="N5367" t="s">
        <v>13785</v>
      </c>
      <c r="O5367" t="s">
        <v>24435</v>
      </c>
      <c r="P5367" t="s">
        <v>24436</v>
      </c>
      <c r="Q5367" t="s">
        <v>24437</v>
      </c>
      <c r="R5367">
        <v>15</v>
      </c>
      <c r="S5367">
        <v>16</v>
      </c>
    </row>
    <row r="5368" spans="1:19" x14ac:dyDescent="0.35">
      <c r="A5368">
        <v>4744</v>
      </c>
      <c r="B5368" t="s">
        <v>24867</v>
      </c>
      <c r="C5368" t="s">
        <v>42</v>
      </c>
      <c r="D5368" t="s">
        <v>24868</v>
      </c>
      <c r="E5368" t="e" cm="1">
        <f t="array" ref="E5368">- CHLORAMPHENICOL</f>
        <v>#NAME?</v>
      </c>
      <c r="F5368" t="s">
        <v>24869</v>
      </c>
      <c r="G5368" t="s">
        <v>24870</v>
      </c>
      <c r="H5368" t="s">
        <v>24871</v>
      </c>
      <c r="I5368" t="s">
        <v>24872</v>
      </c>
      <c r="J5368" t="s">
        <v>7544</v>
      </c>
      <c r="K5368" t="s">
        <v>24873</v>
      </c>
      <c r="L5368" t="s">
        <v>24874</v>
      </c>
      <c r="M5368" t="s">
        <v>1029</v>
      </c>
      <c r="N5368" t="s">
        <v>1188</v>
      </c>
      <c r="O5368" t="s">
        <v>24875</v>
      </c>
      <c r="P5368" t="s">
        <v>24876</v>
      </c>
      <c r="Q5368" t="s">
        <v>24877</v>
      </c>
      <c r="R5368">
        <v>15</v>
      </c>
      <c r="S5368">
        <v>16</v>
      </c>
    </row>
    <row r="5369" spans="1:19" x14ac:dyDescent="0.35">
      <c r="A5369">
        <v>507</v>
      </c>
      <c r="B5369" t="s">
        <v>735</v>
      </c>
      <c r="C5369" t="s">
        <v>42</v>
      </c>
      <c r="D5369" t="s">
        <v>24878</v>
      </c>
      <c r="E5369" t="e" cm="1">
        <f t="array" ref="E5369">- AMINOPHYLLINE</f>
        <v>#NAME?</v>
      </c>
      <c r="F5369" t="s">
        <v>7559</v>
      </c>
      <c r="G5369" t="s">
        <v>24879</v>
      </c>
      <c r="I5369" t="s">
        <v>24880</v>
      </c>
      <c r="J5369" t="s">
        <v>24881</v>
      </c>
      <c r="M5369" t="s">
        <v>46</v>
      </c>
      <c r="N5369" t="s">
        <v>2551</v>
      </c>
      <c r="O5369" t="s">
        <v>24882</v>
      </c>
      <c r="P5369" t="s">
        <v>24883</v>
      </c>
      <c r="Q5369" t="s">
        <v>24884</v>
      </c>
      <c r="R5369">
        <v>15</v>
      </c>
      <c r="S5369">
        <v>16</v>
      </c>
    </row>
    <row r="5370" spans="1:19" x14ac:dyDescent="0.35">
      <c r="A5370">
        <v>3301</v>
      </c>
      <c r="B5370" t="s">
        <v>11897</v>
      </c>
      <c r="C5370" t="s">
        <v>42</v>
      </c>
      <c r="D5370" t="s">
        <v>11898</v>
      </c>
      <c r="E5370" t="s">
        <v>24549</v>
      </c>
      <c r="F5370" t="s">
        <v>11899</v>
      </c>
      <c r="G5370" t="s">
        <v>11900</v>
      </c>
      <c r="H5370" t="s">
        <v>11901</v>
      </c>
      <c r="I5370" t="s">
        <v>11902</v>
      </c>
      <c r="J5370" t="s">
        <v>11903</v>
      </c>
      <c r="K5370" t="s">
        <v>11904</v>
      </c>
      <c r="L5370" t="s">
        <v>11905</v>
      </c>
      <c r="M5370" t="s">
        <v>340</v>
      </c>
      <c r="N5370" t="s">
        <v>24550</v>
      </c>
      <c r="O5370" t="s">
        <v>11906</v>
      </c>
      <c r="P5370" t="s">
        <v>11907</v>
      </c>
      <c r="Q5370" t="s">
        <v>24551</v>
      </c>
      <c r="R5370">
        <v>15</v>
      </c>
      <c r="S5370">
        <v>16</v>
      </c>
    </row>
    <row r="5371" spans="1:19" x14ac:dyDescent="0.35">
      <c r="A5371">
        <v>4603</v>
      </c>
      <c r="B5371" t="s">
        <v>24885</v>
      </c>
      <c r="C5371" t="s">
        <v>42</v>
      </c>
      <c r="D5371" t="s">
        <v>24886</v>
      </c>
      <c r="E5371" t="s">
        <v>16311</v>
      </c>
      <c r="F5371" s="1">
        <v>77500</v>
      </c>
      <c r="G5371" t="s">
        <v>7569</v>
      </c>
      <c r="H5371" t="s">
        <v>24887</v>
      </c>
      <c r="I5371" t="s">
        <v>24888</v>
      </c>
      <c r="J5371" t="s">
        <v>20526</v>
      </c>
      <c r="M5371" t="s">
        <v>824</v>
      </c>
      <c r="N5371" t="s">
        <v>16315</v>
      </c>
      <c r="O5371" t="s">
        <v>24889</v>
      </c>
      <c r="P5371" t="s">
        <v>24890</v>
      </c>
      <c r="Q5371" t="s">
        <v>24891</v>
      </c>
      <c r="R5371">
        <v>15</v>
      </c>
      <c r="S5371">
        <v>16</v>
      </c>
    </row>
    <row r="5372" spans="1:19" x14ac:dyDescent="0.35">
      <c r="A5372">
        <v>3747</v>
      </c>
      <c r="B5372" t="s">
        <v>24892</v>
      </c>
      <c r="C5372" t="s">
        <v>42</v>
      </c>
      <c r="D5372" t="s">
        <v>24893</v>
      </c>
      <c r="E5372" t="e" cm="1">
        <f t="array" ref="E5372">- ZINC SULFATE MONOHYDRATE</f>
        <v>#NAME?</v>
      </c>
      <c r="F5372" t="s">
        <v>24894</v>
      </c>
      <c r="G5372" t="s">
        <v>2241</v>
      </c>
      <c r="H5372" t="s">
        <v>24895</v>
      </c>
      <c r="I5372" t="s">
        <v>20144</v>
      </c>
      <c r="J5372" t="s">
        <v>374</v>
      </c>
      <c r="K5372" t="s">
        <v>24896</v>
      </c>
      <c r="L5372" t="s">
        <v>20145</v>
      </c>
      <c r="M5372" t="s">
        <v>271</v>
      </c>
      <c r="N5372" t="s">
        <v>2750</v>
      </c>
      <c r="O5372" t="s">
        <v>20146</v>
      </c>
      <c r="P5372" t="s">
        <v>24897</v>
      </c>
      <c r="Q5372" t="s">
        <v>24898</v>
      </c>
      <c r="R5372">
        <v>15</v>
      </c>
      <c r="S5372">
        <v>16</v>
      </c>
    </row>
    <row r="5373" spans="1:19" x14ac:dyDescent="0.35">
      <c r="A5373">
        <v>4959</v>
      </c>
      <c r="B5373" t="s">
        <v>24899</v>
      </c>
      <c r="C5373" t="s">
        <v>42</v>
      </c>
      <c r="D5373" t="s">
        <v>24900</v>
      </c>
      <c r="E5373" t="e" cm="1">
        <f t="array" ref="E5373">- MOMETASONE FUROATE</f>
        <v>#NAME?</v>
      </c>
      <c r="F5373" t="s">
        <v>24901</v>
      </c>
      <c r="G5373" t="s">
        <v>18182</v>
      </c>
      <c r="H5373" t="s">
        <v>6538</v>
      </c>
      <c r="I5373" t="s">
        <v>24902</v>
      </c>
      <c r="J5373" t="s">
        <v>2040</v>
      </c>
      <c r="K5373" t="s">
        <v>3952</v>
      </c>
      <c r="L5373" t="s">
        <v>18184</v>
      </c>
      <c r="M5373" t="s">
        <v>1289</v>
      </c>
      <c r="N5373" t="s">
        <v>13785</v>
      </c>
      <c r="O5373" t="s">
        <v>24903</v>
      </c>
      <c r="P5373" t="s">
        <v>24904</v>
      </c>
      <c r="Q5373" t="s">
        <v>24905</v>
      </c>
      <c r="R5373">
        <v>15</v>
      </c>
      <c r="S5373">
        <v>16</v>
      </c>
    </row>
    <row r="5374" spans="1:19" x14ac:dyDescent="0.35">
      <c r="A5374">
        <v>3746</v>
      </c>
      <c r="B5374" t="s">
        <v>24892</v>
      </c>
      <c r="C5374" t="s">
        <v>42</v>
      </c>
      <c r="D5374" t="s">
        <v>24893</v>
      </c>
      <c r="E5374" t="e" cm="1">
        <f t="array" ref="E5374">- ZINC SULFATE MONOHYDRATE</f>
        <v>#NAME?</v>
      </c>
      <c r="F5374" t="s">
        <v>24894</v>
      </c>
      <c r="G5374" t="s">
        <v>2241</v>
      </c>
      <c r="H5374" t="s">
        <v>24895</v>
      </c>
      <c r="I5374" t="s">
        <v>20144</v>
      </c>
      <c r="J5374" t="s">
        <v>374</v>
      </c>
      <c r="K5374" t="s">
        <v>24896</v>
      </c>
      <c r="L5374" t="s">
        <v>20145</v>
      </c>
      <c r="M5374" t="s">
        <v>271</v>
      </c>
      <c r="N5374" t="s">
        <v>2750</v>
      </c>
      <c r="O5374" t="s">
        <v>20146</v>
      </c>
      <c r="P5374" t="s">
        <v>24897</v>
      </c>
      <c r="Q5374" t="s">
        <v>24898</v>
      </c>
      <c r="R5374">
        <v>15</v>
      </c>
      <c r="S5374">
        <v>16</v>
      </c>
    </row>
    <row r="5375" spans="1:19" x14ac:dyDescent="0.35">
      <c r="A5375">
        <v>7780</v>
      </c>
      <c r="B5375" t="s">
        <v>24906</v>
      </c>
      <c r="C5375" t="s">
        <v>20</v>
      </c>
      <c r="D5375" t="s">
        <v>24907</v>
      </c>
      <c r="E5375" t="s">
        <v>24908</v>
      </c>
      <c r="F5375" s="1">
        <v>119000</v>
      </c>
      <c r="G5375" t="s">
        <v>3083</v>
      </c>
      <c r="H5375" t="s">
        <v>24909</v>
      </c>
      <c r="I5375" t="s">
        <v>24910</v>
      </c>
      <c r="J5375" t="s">
        <v>24911</v>
      </c>
      <c r="M5375" t="s">
        <v>38</v>
      </c>
      <c r="N5375" t="s">
        <v>24912</v>
      </c>
      <c r="O5375" t="s">
        <v>24913</v>
      </c>
      <c r="P5375" t="s">
        <v>24914</v>
      </c>
      <c r="Q5375" t="s">
        <v>24915</v>
      </c>
      <c r="R5375">
        <v>15</v>
      </c>
      <c r="S5375">
        <v>16</v>
      </c>
    </row>
    <row r="5376" spans="1:19" x14ac:dyDescent="0.35">
      <c r="A5376">
        <v>4960</v>
      </c>
      <c r="B5376" t="s">
        <v>24899</v>
      </c>
      <c r="C5376" t="s">
        <v>42</v>
      </c>
      <c r="D5376" t="s">
        <v>24900</v>
      </c>
      <c r="E5376" t="e" cm="1">
        <f t="array" ref="E5376">- MOMETASONE FUROATE</f>
        <v>#NAME?</v>
      </c>
      <c r="F5376" t="s">
        <v>24901</v>
      </c>
      <c r="G5376" t="s">
        <v>18182</v>
      </c>
      <c r="H5376" t="s">
        <v>6538</v>
      </c>
      <c r="I5376" t="s">
        <v>24902</v>
      </c>
      <c r="J5376" t="s">
        <v>2040</v>
      </c>
      <c r="K5376" t="s">
        <v>3952</v>
      </c>
      <c r="L5376" t="s">
        <v>18184</v>
      </c>
      <c r="M5376" t="s">
        <v>1289</v>
      </c>
      <c r="N5376" t="s">
        <v>13785</v>
      </c>
      <c r="O5376" t="s">
        <v>24903</v>
      </c>
      <c r="P5376" t="s">
        <v>24904</v>
      </c>
      <c r="Q5376" t="s">
        <v>24905</v>
      </c>
      <c r="R5376">
        <v>15</v>
      </c>
      <c r="S5376">
        <v>16</v>
      </c>
    </row>
    <row r="5377" spans="1:19" x14ac:dyDescent="0.35">
      <c r="A5377">
        <v>5046</v>
      </c>
      <c r="B5377" t="s">
        <v>24916</v>
      </c>
      <c r="C5377" t="s">
        <v>42</v>
      </c>
      <c r="D5377" t="s">
        <v>24917</v>
      </c>
      <c r="E5377" t="e" cm="1">
        <f t="array" ref="E5377">- DESONIDE</f>
        <v>#NAME?</v>
      </c>
      <c r="F5377" t="s">
        <v>24918</v>
      </c>
      <c r="H5377" t="s">
        <v>319</v>
      </c>
      <c r="I5377" t="s">
        <v>24919</v>
      </c>
      <c r="J5377" t="s">
        <v>24920</v>
      </c>
      <c r="L5377" t="s">
        <v>321</v>
      </c>
      <c r="M5377" t="s">
        <v>1289</v>
      </c>
      <c r="N5377" t="s">
        <v>1297</v>
      </c>
      <c r="O5377" t="s">
        <v>24921</v>
      </c>
      <c r="P5377" t="s">
        <v>24922</v>
      </c>
      <c r="Q5377" t="s">
        <v>24923</v>
      </c>
      <c r="R5377">
        <v>15</v>
      </c>
      <c r="S5377">
        <v>16</v>
      </c>
    </row>
    <row r="5378" spans="1:19" x14ac:dyDescent="0.35">
      <c r="A5378">
        <v>7769</v>
      </c>
      <c r="B5378" t="s">
        <v>24924</v>
      </c>
      <c r="C5378" t="s">
        <v>20</v>
      </c>
      <c r="D5378" t="s">
        <v>24925</v>
      </c>
      <c r="E5378" t="s">
        <v>24926</v>
      </c>
      <c r="F5378" s="1">
        <v>102300</v>
      </c>
      <c r="G5378" t="s">
        <v>737</v>
      </c>
      <c r="H5378" t="s">
        <v>24927</v>
      </c>
      <c r="I5378" t="s">
        <v>24928</v>
      </c>
      <c r="J5378" t="s">
        <v>12071</v>
      </c>
      <c r="M5378" t="s">
        <v>271</v>
      </c>
      <c r="N5378" t="s">
        <v>24929</v>
      </c>
      <c r="O5378" t="s">
        <v>24930</v>
      </c>
      <c r="P5378" t="s">
        <v>24929</v>
      </c>
      <c r="Q5378" t="s">
        <v>24931</v>
      </c>
      <c r="R5378">
        <v>15</v>
      </c>
      <c r="S5378">
        <v>16</v>
      </c>
    </row>
    <row r="5379" spans="1:19" x14ac:dyDescent="0.35">
      <c r="A5379">
        <v>5045</v>
      </c>
      <c r="B5379" t="s">
        <v>24916</v>
      </c>
      <c r="C5379" t="s">
        <v>42</v>
      </c>
      <c r="D5379" t="s">
        <v>24917</v>
      </c>
      <c r="E5379" t="e" cm="1">
        <f t="array" ref="E5379">- DESONIDE</f>
        <v>#NAME?</v>
      </c>
      <c r="F5379" t="s">
        <v>24918</v>
      </c>
      <c r="H5379" t="s">
        <v>319</v>
      </c>
      <c r="I5379" t="s">
        <v>24919</v>
      </c>
      <c r="J5379" t="s">
        <v>24920</v>
      </c>
      <c r="L5379" t="s">
        <v>321</v>
      </c>
      <c r="M5379" t="s">
        <v>1289</v>
      </c>
      <c r="N5379" t="s">
        <v>1297</v>
      </c>
      <c r="O5379" t="s">
        <v>24921</v>
      </c>
      <c r="P5379" t="s">
        <v>24922</v>
      </c>
      <c r="Q5379" t="s">
        <v>24923</v>
      </c>
      <c r="R5379">
        <v>15</v>
      </c>
      <c r="S5379">
        <v>16</v>
      </c>
    </row>
    <row r="5380" spans="1:19" x14ac:dyDescent="0.35">
      <c r="A5380">
        <v>7768</v>
      </c>
      <c r="B5380" t="s">
        <v>24924</v>
      </c>
      <c r="C5380" t="s">
        <v>20</v>
      </c>
      <c r="D5380" t="s">
        <v>24932</v>
      </c>
      <c r="E5380" t="s">
        <v>24926</v>
      </c>
      <c r="F5380" t="s">
        <v>24933</v>
      </c>
      <c r="G5380" t="s">
        <v>60</v>
      </c>
      <c r="H5380" t="s">
        <v>24934</v>
      </c>
      <c r="I5380" t="s">
        <v>24928</v>
      </c>
      <c r="J5380" t="s">
        <v>614</v>
      </c>
      <c r="M5380" t="s">
        <v>271</v>
      </c>
      <c r="N5380" t="s">
        <v>24929</v>
      </c>
      <c r="O5380" t="s">
        <v>24930</v>
      </c>
      <c r="P5380" t="s">
        <v>24929</v>
      </c>
      <c r="Q5380" t="s">
        <v>24931</v>
      </c>
      <c r="R5380">
        <v>15</v>
      </c>
      <c r="S5380">
        <v>16</v>
      </c>
    </row>
    <row r="5381" spans="1:19" x14ac:dyDescent="0.35">
      <c r="A5381">
        <v>8366</v>
      </c>
      <c r="B5381" t="s">
        <v>551</v>
      </c>
      <c r="C5381" t="s">
        <v>42</v>
      </c>
      <c r="D5381" t="s">
        <v>24438</v>
      </c>
      <c r="E5381" t="e" cm="1">
        <f t="array" ref="E5381">- POVIDONE-IODINE</f>
        <v>#NAME?</v>
      </c>
      <c r="F5381" t="s">
        <v>24439</v>
      </c>
      <c r="I5381" t="s">
        <v>24440</v>
      </c>
      <c r="J5381" t="s">
        <v>12405</v>
      </c>
      <c r="M5381" t="s">
        <v>554</v>
      </c>
      <c r="N5381" t="s">
        <v>555</v>
      </c>
      <c r="O5381" t="s">
        <v>24441</v>
      </c>
      <c r="P5381" t="s">
        <v>24442</v>
      </c>
      <c r="Q5381" t="s">
        <v>24443</v>
      </c>
      <c r="R5381">
        <v>15</v>
      </c>
      <c r="S5381">
        <v>16</v>
      </c>
    </row>
    <row r="5382" spans="1:19" x14ac:dyDescent="0.35">
      <c r="A5382">
        <v>4961</v>
      </c>
      <c r="B5382" t="s">
        <v>24899</v>
      </c>
      <c r="C5382" t="s">
        <v>42</v>
      </c>
      <c r="D5382" t="s">
        <v>24900</v>
      </c>
      <c r="E5382" t="e" cm="1">
        <f t="array" ref="E5382">- MOMETASONE FUROATE</f>
        <v>#NAME?</v>
      </c>
      <c r="F5382" t="s">
        <v>24901</v>
      </c>
      <c r="G5382" t="s">
        <v>18182</v>
      </c>
      <c r="H5382" t="s">
        <v>6538</v>
      </c>
      <c r="I5382" t="s">
        <v>24902</v>
      </c>
      <c r="J5382" t="s">
        <v>2040</v>
      </c>
      <c r="K5382" t="s">
        <v>3952</v>
      </c>
      <c r="L5382" t="s">
        <v>18184</v>
      </c>
      <c r="M5382" t="s">
        <v>1289</v>
      </c>
      <c r="N5382" t="s">
        <v>13785</v>
      </c>
      <c r="O5382" t="s">
        <v>24903</v>
      </c>
      <c r="P5382" t="s">
        <v>24904</v>
      </c>
      <c r="Q5382" t="s">
        <v>24905</v>
      </c>
      <c r="R5382">
        <v>15</v>
      </c>
      <c r="S5382">
        <v>16</v>
      </c>
    </row>
    <row r="5383" spans="1:19" x14ac:dyDescent="0.35">
      <c r="A5383">
        <v>5044</v>
      </c>
      <c r="B5383" t="s">
        <v>24916</v>
      </c>
      <c r="C5383" t="s">
        <v>42</v>
      </c>
      <c r="D5383" t="s">
        <v>24917</v>
      </c>
      <c r="E5383" t="e" cm="1">
        <f t="array" ref="E5383">- DESONIDE</f>
        <v>#NAME?</v>
      </c>
      <c r="F5383" t="s">
        <v>24918</v>
      </c>
      <c r="H5383" t="s">
        <v>319</v>
      </c>
      <c r="I5383" t="s">
        <v>24919</v>
      </c>
      <c r="J5383" t="s">
        <v>24920</v>
      </c>
      <c r="L5383" t="s">
        <v>321</v>
      </c>
      <c r="M5383" t="s">
        <v>1289</v>
      </c>
      <c r="N5383" t="s">
        <v>1297</v>
      </c>
      <c r="O5383" t="s">
        <v>24921</v>
      </c>
      <c r="P5383" t="s">
        <v>24922</v>
      </c>
      <c r="Q5383" t="s">
        <v>24923</v>
      </c>
      <c r="R5383">
        <v>15</v>
      </c>
      <c r="S5383">
        <v>16</v>
      </c>
    </row>
    <row r="5384" spans="1:19" x14ac:dyDescent="0.35">
      <c r="A5384">
        <v>5043</v>
      </c>
      <c r="B5384" t="s">
        <v>24916</v>
      </c>
      <c r="C5384" t="s">
        <v>42</v>
      </c>
      <c r="D5384" t="s">
        <v>24917</v>
      </c>
      <c r="E5384" t="e" cm="1">
        <f t="array" ref="E5384">- DESONIDE</f>
        <v>#NAME?</v>
      </c>
      <c r="F5384" t="s">
        <v>24918</v>
      </c>
      <c r="H5384" t="s">
        <v>319</v>
      </c>
      <c r="I5384" t="s">
        <v>24919</v>
      </c>
      <c r="J5384" t="s">
        <v>24920</v>
      </c>
      <c r="L5384" t="s">
        <v>321</v>
      </c>
      <c r="M5384" t="s">
        <v>1289</v>
      </c>
      <c r="N5384" t="s">
        <v>1297</v>
      </c>
      <c r="O5384" t="s">
        <v>24921</v>
      </c>
      <c r="P5384" t="s">
        <v>24922</v>
      </c>
      <c r="Q5384" t="s">
        <v>24923</v>
      </c>
      <c r="R5384">
        <v>15</v>
      </c>
      <c r="S5384">
        <v>16</v>
      </c>
    </row>
    <row r="5385" spans="1:19" x14ac:dyDescent="0.35">
      <c r="A5385">
        <v>3204</v>
      </c>
      <c r="B5385" t="s">
        <v>24935</v>
      </c>
      <c r="C5385" t="s">
        <v>42</v>
      </c>
      <c r="D5385" t="s">
        <v>24936</v>
      </c>
      <c r="E5385" t="e" cm="1">
        <f t="array" ref="E5385">- KOMBINASI-SUCRALFATE SUSPENSION</f>
        <v>#NAME?</v>
      </c>
      <c r="F5385" t="s">
        <v>24937</v>
      </c>
      <c r="G5385" t="s">
        <v>12503</v>
      </c>
      <c r="H5385" t="s">
        <v>24938</v>
      </c>
      <c r="I5385" t="s">
        <v>24939</v>
      </c>
      <c r="J5385" t="s">
        <v>614</v>
      </c>
      <c r="K5385" t="s">
        <v>24940</v>
      </c>
      <c r="L5385" t="s">
        <v>24941</v>
      </c>
      <c r="M5385" t="s">
        <v>340</v>
      </c>
      <c r="N5385" t="s">
        <v>24942</v>
      </c>
      <c r="O5385" t="s">
        <v>24943</v>
      </c>
      <c r="P5385" t="s">
        <v>24944</v>
      </c>
      <c r="Q5385" t="s">
        <v>24945</v>
      </c>
      <c r="R5385">
        <v>15</v>
      </c>
      <c r="S5385">
        <v>16</v>
      </c>
    </row>
    <row r="5386" spans="1:19" x14ac:dyDescent="0.35">
      <c r="A5386">
        <v>4962</v>
      </c>
      <c r="B5386" t="s">
        <v>24899</v>
      </c>
      <c r="C5386" t="s">
        <v>42</v>
      </c>
      <c r="D5386" t="s">
        <v>24946</v>
      </c>
      <c r="E5386" t="e" cm="1">
        <f t="array" ref="E5386">- MOMETASONE FUROATE</f>
        <v>#NAME?</v>
      </c>
      <c r="F5386" t="s">
        <v>24947</v>
      </c>
      <c r="G5386" t="s">
        <v>18182</v>
      </c>
      <c r="H5386" t="s">
        <v>6538</v>
      </c>
      <c r="I5386" t="s">
        <v>24948</v>
      </c>
      <c r="J5386" t="s">
        <v>2167</v>
      </c>
      <c r="K5386" t="s">
        <v>2726</v>
      </c>
      <c r="L5386" t="s">
        <v>18184</v>
      </c>
      <c r="M5386" t="s">
        <v>1289</v>
      </c>
      <c r="N5386" t="s">
        <v>13785</v>
      </c>
      <c r="O5386" t="s">
        <v>24949</v>
      </c>
      <c r="P5386" t="s">
        <v>24904</v>
      </c>
      <c r="Q5386" t="s">
        <v>24950</v>
      </c>
      <c r="R5386">
        <v>15</v>
      </c>
      <c r="S5386">
        <v>16</v>
      </c>
    </row>
    <row r="5387" spans="1:19" x14ac:dyDescent="0.35">
      <c r="A5387">
        <v>4963</v>
      </c>
      <c r="B5387" t="s">
        <v>24899</v>
      </c>
      <c r="C5387" t="s">
        <v>42</v>
      </c>
      <c r="D5387" t="s">
        <v>24946</v>
      </c>
      <c r="E5387" t="e" cm="1">
        <f t="array" ref="E5387">- MOMETASONE FUROATE</f>
        <v>#NAME?</v>
      </c>
      <c r="F5387" t="s">
        <v>24947</v>
      </c>
      <c r="G5387" t="s">
        <v>18182</v>
      </c>
      <c r="H5387" t="s">
        <v>6538</v>
      </c>
      <c r="I5387" t="s">
        <v>24948</v>
      </c>
      <c r="J5387" t="s">
        <v>2167</v>
      </c>
      <c r="K5387" t="s">
        <v>2726</v>
      </c>
      <c r="L5387" t="s">
        <v>18184</v>
      </c>
      <c r="M5387" t="s">
        <v>1289</v>
      </c>
      <c r="N5387" t="s">
        <v>13785</v>
      </c>
      <c r="O5387" t="s">
        <v>24949</v>
      </c>
      <c r="P5387" t="s">
        <v>24904</v>
      </c>
      <c r="Q5387" t="s">
        <v>24950</v>
      </c>
      <c r="R5387">
        <v>15</v>
      </c>
      <c r="S5387">
        <v>16</v>
      </c>
    </row>
    <row r="5388" spans="1:19" x14ac:dyDescent="0.35">
      <c r="A5388">
        <v>1036</v>
      </c>
      <c r="B5388" t="s">
        <v>6281</v>
      </c>
      <c r="C5388" t="s">
        <v>42</v>
      </c>
      <c r="D5388" t="s">
        <v>11053</v>
      </c>
      <c r="E5388" t="e" cm="1">
        <f t="array" ref="E5388">- LIQUORICE ESSENCE. PIPAZETATE HYDROCHLORIDE. ISOTHIPENDYL HYDROCHLORIDE. GUAIFENESIN</f>
        <v>#NAME?</v>
      </c>
      <c r="F5388" s="1">
        <v>97800</v>
      </c>
      <c r="G5388" t="s">
        <v>60</v>
      </c>
      <c r="H5388" t="s">
        <v>11054</v>
      </c>
      <c r="I5388" t="s">
        <v>11055</v>
      </c>
      <c r="J5388" t="s">
        <v>334</v>
      </c>
      <c r="K5388" t="s">
        <v>6286</v>
      </c>
      <c r="L5388" t="s">
        <v>11056</v>
      </c>
      <c r="M5388" t="s">
        <v>271</v>
      </c>
      <c r="N5388" t="s">
        <v>19628</v>
      </c>
      <c r="O5388" t="s">
        <v>11057</v>
      </c>
      <c r="P5388" t="s">
        <v>6289</v>
      </c>
      <c r="Q5388" t="s">
        <v>24951</v>
      </c>
      <c r="R5388">
        <v>15</v>
      </c>
      <c r="S5388">
        <v>16</v>
      </c>
    </row>
    <row r="5389" spans="1:19" x14ac:dyDescent="0.35">
      <c r="A5389">
        <v>4964</v>
      </c>
      <c r="B5389" t="s">
        <v>24899</v>
      </c>
      <c r="C5389" t="s">
        <v>42</v>
      </c>
      <c r="D5389" t="s">
        <v>24946</v>
      </c>
      <c r="E5389" t="e" cm="1">
        <f t="array" ref="E5389">- MOMETASONE FUROATE</f>
        <v>#NAME?</v>
      </c>
      <c r="F5389" t="s">
        <v>24947</v>
      </c>
      <c r="G5389" t="s">
        <v>18182</v>
      </c>
      <c r="H5389" t="s">
        <v>6538</v>
      </c>
      <c r="I5389" t="s">
        <v>24948</v>
      </c>
      <c r="J5389" t="s">
        <v>2167</v>
      </c>
      <c r="K5389" t="s">
        <v>2726</v>
      </c>
      <c r="L5389" t="s">
        <v>18184</v>
      </c>
      <c r="M5389" t="s">
        <v>1289</v>
      </c>
      <c r="N5389" t="s">
        <v>13785</v>
      </c>
      <c r="O5389" t="s">
        <v>24949</v>
      </c>
      <c r="P5389" t="s">
        <v>24904</v>
      </c>
      <c r="Q5389" t="s">
        <v>24950</v>
      </c>
      <c r="R5389">
        <v>15</v>
      </c>
      <c r="S5389">
        <v>16</v>
      </c>
    </row>
    <row r="5390" spans="1:19" x14ac:dyDescent="0.35">
      <c r="A5390">
        <v>3700</v>
      </c>
      <c r="B5390" t="s">
        <v>24952</v>
      </c>
      <c r="C5390" t="s">
        <v>42</v>
      </c>
      <c r="D5390" t="s">
        <v>24953</v>
      </c>
      <c r="E5390" t="e" cm="1">
        <f t="array" ref="E5390">- ZINC SULFATE MONOHYDRATE</f>
        <v>#NAME?</v>
      </c>
      <c r="F5390" t="s">
        <v>24954</v>
      </c>
      <c r="G5390" t="s">
        <v>2241</v>
      </c>
      <c r="H5390" t="s">
        <v>24955</v>
      </c>
      <c r="I5390" t="s">
        <v>24956</v>
      </c>
      <c r="J5390" t="s">
        <v>24957</v>
      </c>
      <c r="K5390" t="s">
        <v>24958</v>
      </c>
      <c r="L5390" t="s">
        <v>24959</v>
      </c>
      <c r="M5390" t="s">
        <v>46</v>
      </c>
      <c r="N5390" t="s">
        <v>2750</v>
      </c>
      <c r="O5390" t="s">
        <v>24960</v>
      </c>
      <c r="P5390" t="s">
        <v>20180</v>
      </c>
      <c r="Q5390" t="s">
        <v>24961</v>
      </c>
      <c r="R5390">
        <v>15</v>
      </c>
      <c r="S5390">
        <v>16</v>
      </c>
    </row>
    <row r="5391" spans="1:19" x14ac:dyDescent="0.35">
      <c r="A5391">
        <v>4763</v>
      </c>
      <c r="B5391" t="s">
        <v>24962</v>
      </c>
      <c r="C5391" t="s">
        <v>42</v>
      </c>
      <c r="D5391" t="s">
        <v>24963</v>
      </c>
      <c r="E5391" t="e" cm="1">
        <f t="array" ref="E5391">- SODIUM CHLORIDE</f>
        <v>#NAME?</v>
      </c>
      <c r="F5391" t="s">
        <v>24964</v>
      </c>
      <c r="G5391" t="s">
        <v>24965</v>
      </c>
      <c r="H5391" t="s">
        <v>24966</v>
      </c>
      <c r="I5391" t="s">
        <v>24967</v>
      </c>
      <c r="J5391" t="s">
        <v>18334</v>
      </c>
      <c r="K5391" t="s">
        <v>24968</v>
      </c>
      <c r="L5391" t="s">
        <v>24969</v>
      </c>
      <c r="M5391" t="s">
        <v>824</v>
      </c>
      <c r="N5391" t="s">
        <v>24970</v>
      </c>
      <c r="O5391" t="s">
        <v>24971</v>
      </c>
      <c r="P5391" t="s">
        <v>24972</v>
      </c>
      <c r="Q5391" t="s">
        <v>24973</v>
      </c>
      <c r="R5391">
        <v>15</v>
      </c>
      <c r="S5391">
        <v>16</v>
      </c>
    </row>
    <row r="5392" spans="1:19" x14ac:dyDescent="0.35">
      <c r="A5392">
        <v>3573</v>
      </c>
      <c r="B5392" t="s">
        <v>24974</v>
      </c>
      <c r="C5392" t="s">
        <v>42</v>
      </c>
      <c r="D5392" t="s">
        <v>24975</v>
      </c>
      <c r="E5392" t="e" cm="1">
        <f t="array" ref="E5392">- DOMPERIDONE</f>
        <v>#NAME?</v>
      </c>
      <c r="F5392" t="s">
        <v>24976</v>
      </c>
      <c r="G5392" t="s">
        <v>8205</v>
      </c>
      <c r="H5392" t="s">
        <v>1589</v>
      </c>
      <c r="I5392" t="s">
        <v>24493</v>
      </c>
      <c r="J5392" t="s">
        <v>22180</v>
      </c>
      <c r="L5392" t="s">
        <v>24496</v>
      </c>
      <c r="M5392" t="s">
        <v>46</v>
      </c>
      <c r="N5392" t="s">
        <v>341</v>
      </c>
      <c r="O5392" t="s">
        <v>24497</v>
      </c>
      <c r="P5392" t="s">
        <v>24977</v>
      </c>
      <c r="Q5392" t="s">
        <v>24978</v>
      </c>
      <c r="R5392">
        <v>15</v>
      </c>
      <c r="S5392">
        <v>16</v>
      </c>
    </row>
    <row r="5393" spans="1:19" x14ac:dyDescent="0.35">
      <c r="A5393">
        <v>1342</v>
      </c>
      <c r="B5393" t="s">
        <v>14483</v>
      </c>
      <c r="C5393" t="s">
        <v>42</v>
      </c>
      <c r="D5393" t="s">
        <v>14484</v>
      </c>
      <c r="E5393" t="e" cm="1">
        <f t="array" ref="E5393">- PARACETAMOL. EPHEDRINE HYDROCHLORIDE. CHLORPHENAMINE MALEATE. GUAIFENESIN</f>
        <v>#NAME?</v>
      </c>
      <c r="F5393" t="s">
        <v>14485</v>
      </c>
      <c r="I5393" t="s">
        <v>14486</v>
      </c>
      <c r="J5393" t="s">
        <v>14487</v>
      </c>
      <c r="M5393" t="s">
        <v>46</v>
      </c>
      <c r="N5393" t="s">
        <v>24979</v>
      </c>
      <c r="O5393" t="s">
        <v>14488</v>
      </c>
      <c r="P5393" t="s">
        <v>14489</v>
      </c>
      <c r="Q5393" t="s">
        <v>24980</v>
      </c>
      <c r="R5393">
        <v>15</v>
      </c>
      <c r="S5393">
        <v>16</v>
      </c>
    </row>
    <row r="5394" spans="1:19" x14ac:dyDescent="0.35">
      <c r="A5394">
        <v>5029</v>
      </c>
      <c r="B5394" t="s">
        <v>24428</v>
      </c>
      <c r="C5394" t="s">
        <v>42</v>
      </c>
      <c r="D5394" t="s">
        <v>24429</v>
      </c>
      <c r="E5394" t="e" cm="1">
        <f t="array" ref="E5394">- MOMETASONE FUROATE</f>
        <v>#NAME?</v>
      </c>
      <c r="F5394" t="s">
        <v>24430</v>
      </c>
      <c r="G5394" t="s">
        <v>18182</v>
      </c>
      <c r="H5394" t="s">
        <v>6538</v>
      </c>
      <c r="I5394" t="s">
        <v>24431</v>
      </c>
      <c r="J5394" t="s">
        <v>24432</v>
      </c>
      <c r="K5394" t="s">
        <v>24433</v>
      </c>
      <c r="L5394" t="s">
        <v>24434</v>
      </c>
      <c r="M5394" t="s">
        <v>1289</v>
      </c>
      <c r="N5394" t="s">
        <v>13785</v>
      </c>
      <c r="O5394" t="s">
        <v>24435</v>
      </c>
      <c r="P5394" t="s">
        <v>24436</v>
      </c>
      <c r="Q5394" t="s">
        <v>24437</v>
      </c>
      <c r="R5394">
        <v>15</v>
      </c>
      <c r="S5394">
        <v>16</v>
      </c>
    </row>
    <row r="5395" spans="1:19" x14ac:dyDescent="0.35">
      <c r="A5395">
        <v>3699</v>
      </c>
      <c r="B5395" t="s">
        <v>24952</v>
      </c>
      <c r="C5395" t="s">
        <v>42</v>
      </c>
      <c r="D5395" t="s">
        <v>24953</v>
      </c>
      <c r="E5395" t="e" cm="1">
        <f t="array" ref="E5395">- ZINC SULFATE MONOHYDRATE</f>
        <v>#NAME?</v>
      </c>
      <c r="F5395" t="s">
        <v>24954</v>
      </c>
      <c r="G5395" t="s">
        <v>2241</v>
      </c>
      <c r="H5395" t="s">
        <v>24955</v>
      </c>
      <c r="I5395" t="s">
        <v>24956</v>
      </c>
      <c r="J5395" t="s">
        <v>24957</v>
      </c>
      <c r="K5395" t="s">
        <v>24958</v>
      </c>
      <c r="L5395" t="s">
        <v>24959</v>
      </c>
      <c r="M5395" t="s">
        <v>46</v>
      </c>
      <c r="N5395" t="s">
        <v>2750</v>
      </c>
      <c r="O5395" t="s">
        <v>24960</v>
      </c>
      <c r="P5395" t="s">
        <v>20180</v>
      </c>
      <c r="Q5395" t="s">
        <v>24961</v>
      </c>
      <c r="R5395">
        <v>15</v>
      </c>
      <c r="S5395">
        <v>16</v>
      </c>
    </row>
    <row r="5396" spans="1:19" x14ac:dyDescent="0.35">
      <c r="A5396">
        <v>1080</v>
      </c>
      <c r="B5396" t="s">
        <v>24981</v>
      </c>
      <c r="C5396" t="s">
        <v>42</v>
      </c>
      <c r="D5396" t="s">
        <v>24982</v>
      </c>
      <c r="E5396" t="e" cm="1">
        <f t="array" ref="E5396">- CHLORPHENAMINE MALEATE</f>
        <v>#NAME?</v>
      </c>
      <c r="F5396" t="s">
        <v>24983</v>
      </c>
      <c r="G5396" t="s">
        <v>60</v>
      </c>
      <c r="H5396" t="s">
        <v>24984</v>
      </c>
      <c r="I5396" t="s">
        <v>23737</v>
      </c>
      <c r="J5396" t="s">
        <v>334</v>
      </c>
      <c r="K5396" t="s">
        <v>23739</v>
      </c>
      <c r="L5396" t="s">
        <v>24985</v>
      </c>
      <c r="M5396" t="s">
        <v>271</v>
      </c>
      <c r="N5396" t="s">
        <v>1354</v>
      </c>
      <c r="O5396" t="s">
        <v>23741</v>
      </c>
      <c r="P5396" t="s">
        <v>23742</v>
      </c>
      <c r="Q5396" t="s">
        <v>24986</v>
      </c>
      <c r="R5396">
        <v>15</v>
      </c>
      <c r="S5396">
        <v>16</v>
      </c>
    </row>
    <row r="5397" spans="1:19" x14ac:dyDescent="0.35">
      <c r="A5397">
        <v>7602</v>
      </c>
      <c r="B5397" t="s">
        <v>24672</v>
      </c>
      <c r="C5397" t="s">
        <v>42</v>
      </c>
      <c r="D5397" t="s">
        <v>24673</v>
      </c>
      <c r="E5397" t="e" cm="1">
        <f t="array" ref="E5397">- FERRIC HYDROXIDE POLYMALTOSE COMPLEX</f>
        <v>#NAME?</v>
      </c>
      <c r="F5397" t="s">
        <v>24674</v>
      </c>
      <c r="G5397" t="s">
        <v>1691</v>
      </c>
      <c r="H5397" t="s">
        <v>24675</v>
      </c>
      <c r="I5397" t="s">
        <v>24676</v>
      </c>
      <c r="J5397" t="s">
        <v>1162</v>
      </c>
      <c r="K5397" t="s">
        <v>24539</v>
      </c>
      <c r="L5397" t="s">
        <v>5416</v>
      </c>
      <c r="M5397" t="s">
        <v>271</v>
      </c>
      <c r="N5397" t="s">
        <v>24540</v>
      </c>
      <c r="O5397" t="s">
        <v>24677</v>
      </c>
      <c r="P5397" t="s">
        <v>24542</v>
      </c>
      <c r="Q5397" t="s">
        <v>24678</v>
      </c>
      <c r="R5397">
        <v>15</v>
      </c>
      <c r="S5397">
        <v>16</v>
      </c>
    </row>
    <row r="5398" spans="1:19" x14ac:dyDescent="0.35">
      <c r="A5398">
        <v>5027</v>
      </c>
      <c r="B5398" t="s">
        <v>24428</v>
      </c>
      <c r="C5398" t="s">
        <v>42</v>
      </c>
      <c r="D5398" t="s">
        <v>24429</v>
      </c>
      <c r="E5398" t="e" cm="1">
        <f t="array" ref="E5398">- MOMETASONE FUROATE</f>
        <v>#NAME?</v>
      </c>
      <c r="F5398" t="s">
        <v>24430</v>
      </c>
      <c r="G5398" t="s">
        <v>18182</v>
      </c>
      <c r="H5398" t="s">
        <v>6538</v>
      </c>
      <c r="I5398" t="s">
        <v>24431</v>
      </c>
      <c r="J5398" t="s">
        <v>24432</v>
      </c>
      <c r="K5398" t="s">
        <v>24433</v>
      </c>
      <c r="L5398" t="s">
        <v>24434</v>
      </c>
      <c r="M5398" t="s">
        <v>1289</v>
      </c>
      <c r="N5398" t="s">
        <v>13785</v>
      </c>
      <c r="O5398" t="s">
        <v>24435</v>
      </c>
      <c r="P5398" t="s">
        <v>24436</v>
      </c>
      <c r="Q5398" t="s">
        <v>24437</v>
      </c>
      <c r="R5398">
        <v>15</v>
      </c>
      <c r="S5398">
        <v>16</v>
      </c>
    </row>
    <row r="5399" spans="1:19" x14ac:dyDescent="0.35">
      <c r="A5399">
        <v>8085</v>
      </c>
      <c r="B5399" t="s">
        <v>551</v>
      </c>
      <c r="C5399" t="s">
        <v>42</v>
      </c>
      <c r="D5399" t="s">
        <v>24987</v>
      </c>
      <c r="E5399" t="e" cm="1">
        <f t="array" ref="E5399">- POVIDONE-IODINE</f>
        <v>#NAME?</v>
      </c>
      <c r="F5399" t="s">
        <v>24988</v>
      </c>
      <c r="G5399" t="s">
        <v>21481</v>
      </c>
      <c r="H5399" t="s">
        <v>1322</v>
      </c>
      <c r="I5399" t="s">
        <v>24561</v>
      </c>
      <c r="J5399" t="s">
        <v>24989</v>
      </c>
      <c r="M5399" t="s">
        <v>554</v>
      </c>
      <c r="N5399" t="s">
        <v>555</v>
      </c>
      <c r="O5399" t="s">
        <v>24563</v>
      </c>
      <c r="P5399" t="s">
        <v>24990</v>
      </c>
      <c r="Q5399" t="s">
        <v>24991</v>
      </c>
      <c r="R5399">
        <v>15</v>
      </c>
      <c r="S5399">
        <v>16</v>
      </c>
    </row>
    <row r="5400" spans="1:19" x14ac:dyDescent="0.35">
      <c r="A5400">
        <v>464</v>
      </c>
      <c r="B5400" t="s">
        <v>24992</v>
      </c>
      <c r="C5400" t="s">
        <v>42</v>
      </c>
      <c r="D5400" t="s">
        <v>24993</v>
      </c>
      <c r="E5400" t="e" cm="1">
        <f t="array" ref="E5400">- GUAIFENESIN</f>
        <v>#NAME?</v>
      </c>
      <c r="F5400" t="s">
        <v>24994</v>
      </c>
      <c r="G5400" t="s">
        <v>24995</v>
      </c>
      <c r="H5400" t="s">
        <v>24996</v>
      </c>
      <c r="I5400" t="s">
        <v>24997</v>
      </c>
      <c r="J5400" t="s">
        <v>374</v>
      </c>
      <c r="K5400" t="s">
        <v>24998</v>
      </c>
      <c r="L5400" t="s">
        <v>24999</v>
      </c>
      <c r="M5400" t="s">
        <v>271</v>
      </c>
      <c r="N5400" t="s">
        <v>361</v>
      </c>
      <c r="O5400" t="s">
        <v>25000</v>
      </c>
      <c r="P5400" t="s">
        <v>25001</v>
      </c>
      <c r="Q5400" t="s">
        <v>25002</v>
      </c>
      <c r="R5400">
        <v>15</v>
      </c>
      <c r="S5400">
        <v>16</v>
      </c>
    </row>
    <row r="5401" spans="1:19" x14ac:dyDescent="0.35">
      <c r="A5401">
        <v>3419</v>
      </c>
      <c r="B5401" t="s">
        <v>25003</v>
      </c>
      <c r="C5401" t="s">
        <v>42</v>
      </c>
      <c r="D5401" t="s">
        <v>25004</v>
      </c>
      <c r="E5401" t="e" cm="1">
        <f t="array" ref="E5401">- REBAMIPIDE</f>
        <v>#NAME?</v>
      </c>
      <c r="F5401" t="s">
        <v>25005</v>
      </c>
      <c r="G5401" t="s">
        <v>60</v>
      </c>
      <c r="H5401" t="s">
        <v>389</v>
      </c>
      <c r="I5401" t="s">
        <v>25006</v>
      </c>
      <c r="J5401" t="s">
        <v>45</v>
      </c>
      <c r="K5401" t="s">
        <v>2858</v>
      </c>
      <c r="L5401" t="s">
        <v>25007</v>
      </c>
      <c r="M5401" t="s">
        <v>46</v>
      </c>
      <c r="N5401" t="s">
        <v>390</v>
      </c>
      <c r="O5401" t="s">
        <v>25008</v>
      </c>
      <c r="P5401" t="s">
        <v>25009</v>
      </c>
      <c r="Q5401" t="s">
        <v>25010</v>
      </c>
      <c r="R5401">
        <v>15</v>
      </c>
      <c r="S5401">
        <v>16</v>
      </c>
    </row>
    <row r="5402" spans="1:19" x14ac:dyDescent="0.35">
      <c r="A5402">
        <v>5229</v>
      </c>
      <c r="B5402" t="s">
        <v>22736</v>
      </c>
      <c r="C5402" t="s">
        <v>42</v>
      </c>
      <c r="D5402" t="s">
        <v>22737</v>
      </c>
      <c r="E5402" t="e" cm="1">
        <f t="array" ref="E5402">- CHLORAMPHENICOL. PREDNISOLONE</f>
        <v>#NAME?</v>
      </c>
      <c r="F5402" t="s">
        <v>22738</v>
      </c>
      <c r="G5402" t="s">
        <v>22739</v>
      </c>
      <c r="H5402" t="s">
        <v>22740</v>
      </c>
      <c r="I5402" t="s">
        <v>22741</v>
      </c>
      <c r="J5402" t="s">
        <v>2167</v>
      </c>
      <c r="K5402" t="s">
        <v>22742</v>
      </c>
      <c r="L5402" t="s">
        <v>22743</v>
      </c>
      <c r="M5402" t="s">
        <v>1289</v>
      </c>
      <c r="N5402" t="s">
        <v>25011</v>
      </c>
      <c r="O5402" t="s">
        <v>22744</v>
      </c>
      <c r="P5402" t="s">
        <v>22745</v>
      </c>
      <c r="Q5402" t="s">
        <v>25012</v>
      </c>
      <c r="R5402">
        <v>15</v>
      </c>
      <c r="S5402">
        <v>16</v>
      </c>
    </row>
    <row r="5403" spans="1:19" x14ac:dyDescent="0.35">
      <c r="A5403">
        <v>5230</v>
      </c>
      <c r="B5403" t="s">
        <v>22736</v>
      </c>
      <c r="C5403" t="s">
        <v>42</v>
      </c>
      <c r="D5403" t="s">
        <v>22737</v>
      </c>
      <c r="E5403" t="e" cm="1">
        <f t="array" ref="E5403">- PREDNISOLONE. CHLORAMPHENICOL</f>
        <v>#NAME?</v>
      </c>
      <c r="F5403" t="s">
        <v>22738</v>
      </c>
      <c r="G5403" t="s">
        <v>22739</v>
      </c>
      <c r="H5403" t="s">
        <v>22740</v>
      </c>
      <c r="I5403" t="s">
        <v>22741</v>
      </c>
      <c r="J5403" t="s">
        <v>2167</v>
      </c>
      <c r="K5403" t="s">
        <v>22742</v>
      </c>
      <c r="L5403" t="s">
        <v>22743</v>
      </c>
      <c r="M5403" t="s">
        <v>1289</v>
      </c>
      <c r="N5403" t="s">
        <v>25013</v>
      </c>
      <c r="O5403" t="s">
        <v>22744</v>
      </c>
      <c r="P5403" t="s">
        <v>22745</v>
      </c>
      <c r="Q5403" t="s">
        <v>25014</v>
      </c>
      <c r="R5403">
        <v>15</v>
      </c>
      <c r="S5403">
        <v>16</v>
      </c>
    </row>
    <row r="5404" spans="1:19" x14ac:dyDescent="0.35">
      <c r="A5404">
        <v>1188</v>
      </c>
      <c r="B5404" t="s">
        <v>25015</v>
      </c>
      <c r="C5404" t="s">
        <v>42</v>
      </c>
      <c r="D5404" t="s">
        <v>25016</v>
      </c>
      <c r="E5404" t="e" cm="1">
        <f t="array" ref="E5404">- CHLORPHENAMINE MALEATE</f>
        <v>#NAME?</v>
      </c>
      <c r="F5404" t="s">
        <v>25017</v>
      </c>
      <c r="G5404" t="s">
        <v>2241</v>
      </c>
      <c r="H5404" t="s">
        <v>25018</v>
      </c>
      <c r="I5404" t="s">
        <v>25019</v>
      </c>
      <c r="J5404" t="s">
        <v>8953</v>
      </c>
      <c r="K5404" t="s">
        <v>25020</v>
      </c>
      <c r="L5404" t="s">
        <v>25021</v>
      </c>
      <c r="M5404" t="s">
        <v>291</v>
      </c>
      <c r="N5404" t="s">
        <v>1354</v>
      </c>
      <c r="O5404" t="s">
        <v>25022</v>
      </c>
      <c r="P5404" t="s">
        <v>25023</v>
      </c>
      <c r="Q5404" t="s">
        <v>25024</v>
      </c>
      <c r="R5404">
        <v>15</v>
      </c>
      <c r="S5404">
        <v>16</v>
      </c>
    </row>
    <row r="5405" spans="1:19" x14ac:dyDescent="0.35">
      <c r="A5405">
        <v>8060</v>
      </c>
      <c r="B5405" t="s">
        <v>551</v>
      </c>
      <c r="C5405" t="s">
        <v>42</v>
      </c>
      <c r="D5405" t="s">
        <v>24987</v>
      </c>
      <c r="E5405" t="e" cm="1">
        <f t="array" ref="E5405">- POVIDONE-IODINE</f>
        <v>#NAME?</v>
      </c>
      <c r="F5405" t="s">
        <v>24988</v>
      </c>
      <c r="G5405" t="s">
        <v>21481</v>
      </c>
      <c r="H5405" t="s">
        <v>1322</v>
      </c>
      <c r="I5405" t="s">
        <v>24561</v>
      </c>
      <c r="J5405" t="s">
        <v>24989</v>
      </c>
      <c r="M5405" t="s">
        <v>554</v>
      </c>
      <c r="N5405" t="s">
        <v>555</v>
      </c>
      <c r="O5405" t="s">
        <v>24563</v>
      </c>
      <c r="P5405" t="s">
        <v>24990</v>
      </c>
      <c r="Q5405" t="s">
        <v>24991</v>
      </c>
      <c r="R5405">
        <v>15</v>
      </c>
      <c r="S5405">
        <v>16</v>
      </c>
    </row>
    <row r="5406" spans="1:19" x14ac:dyDescent="0.35">
      <c r="A5406">
        <v>8061</v>
      </c>
      <c r="B5406" t="s">
        <v>551</v>
      </c>
      <c r="C5406" t="s">
        <v>42</v>
      </c>
      <c r="D5406" t="s">
        <v>24987</v>
      </c>
      <c r="E5406" t="e" cm="1">
        <f t="array" ref="E5406">- POVIDONE-IODINE</f>
        <v>#NAME?</v>
      </c>
      <c r="F5406" t="s">
        <v>24988</v>
      </c>
      <c r="G5406" t="s">
        <v>21481</v>
      </c>
      <c r="H5406" t="s">
        <v>1322</v>
      </c>
      <c r="I5406" t="s">
        <v>24561</v>
      </c>
      <c r="J5406" t="s">
        <v>24989</v>
      </c>
      <c r="M5406" t="s">
        <v>554</v>
      </c>
      <c r="N5406" t="s">
        <v>555</v>
      </c>
      <c r="O5406" t="s">
        <v>24563</v>
      </c>
      <c r="P5406" t="s">
        <v>24990</v>
      </c>
      <c r="Q5406" t="s">
        <v>24991</v>
      </c>
      <c r="R5406">
        <v>15</v>
      </c>
      <c r="S5406">
        <v>16</v>
      </c>
    </row>
    <row r="5407" spans="1:19" x14ac:dyDescent="0.35">
      <c r="A5407">
        <v>5232</v>
      </c>
      <c r="B5407" t="s">
        <v>25025</v>
      </c>
      <c r="C5407" t="s">
        <v>42</v>
      </c>
      <c r="D5407" t="s">
        <v>25026</v>
      </c>
      <c r="E5407" t="e" cm="1">
        <f t="array" ref="E5407">- BETAMETHASONE DIPROPIONATE. GENTAMICIN SULFATE</f>
        <v>#NAME?</v>
      </c>
      <c r="F5407" t="s">
        <v>25027</v>
      </c>
      <c r="G5407" t="s">
        <v>19513</v>
      </c>
      <c r="H5407" t="s">
        <v>25028</v>
      </c>
      <c r="I5407" t="s">
        <v>25029</v>
      </c>
      <c r="J5407" t="s">
        <v>2167</v>
      </c>
      <c r="K5407" t="s">
        <v>25030</v>
      </c>
      <c r="L5407" t="s">
        <v>25031</v>
      </c>
      <c r="M5407" t="s">
        <v>1029</v>
      </c>
      <c r="N5407" t="s">
        <v>19781</v>
      </c>
      <c r="O5407" t="s">
        <v>25032</v>
      </c>
      <c r="P5407" t="s">
        <v>25033</v>
      </c>
      <c r="Q5407" t="s">
        <v>25034</v>
      </c>
      <c r="R5407">
        <v>15</v>
      </c>
      <c r="S5407">
        <v>16</v>
      </c>
    </row>
    <row r="5408" spans="1:19" x14ac:dyDescent="0.35">
      <c r="A5408">
        <v>1111</v>
      </c>
      <c r="B5408" t="s">
        <v>25035</v>
      </c>
      <c r="C5408" t="s">
        <v>42</v>
      </c>
      <c r="D5408" t="s">
        <v>25036</v>
      </c>
      <c r="E5408" t="e" cm="1">
        <f t="array" ref="E5408">- NOSCAPINE</f>
        <v>#NAME?</v>
      </c>
      <c r="F5408" s="1">
        <v>17600</v>
      </c>
      <c r="G5408" t="s">
        <v>60</v>
      </c>
      <c r="H5408" t="s">
        <v>17995</v>
      </c>
      <c r="I5408" t="s">
        <v>25037</v>
      </c>
      <c r="J5408" t="s">
        <v>25038</v>
      </c>
      <c r="K5408" t="s">
        <v>17632</v>
      </c>
      <c r="L5408" t="s">
        <v>25039</v>
      </c>
      <c r="M5408" t="s">
        <v>38</v>
      </c>
      <c r="N5408" t="s">
        <v>17634</v>
      </c>
      <c r="O5408" t="s">
        <v>25040</v>
      </c>
      <c r="P5408" t="s">
        <v>17636</v>
      </c>
      <c r="Q5408" t="s">
        <v>25041</v>
      </c>
      <c r="R5408">
        <v>15</v>
      </c>
      <c r="S5408">
        <v>16</v>
      </c>
    </row>
    <row r="5409" spans="1:19" x14ac:dyDescent="0.35">
      <c r="A5409">
        <v>8064</v>
      </c>
      <c r="B5409" t="s">
        <v>551</v>
      </c>
      <c r="C5409" t="s">
        <v>42</v>
      </c>
      <c r="D5409" t="s">
        <v>25042</v>
      </c>
      <c r="E5409" t="e" cm="1">
        <f t="array" ref="E5409">- POVIDONE-IODINE</f>
        <v>#NAME?</v>
      </c>
      <c r="F5409" t="s">
        <v>12697</v>
      </c>
      <c r="G5409" t="s">
        <v>25043</v>
      </c>
      <c r="H5409" t="s">
        <v>1322</v>
      </c>
      <c r="I5409" t="s">
        <v>25044</v>
      </c>
      <c r="J5409" t="s">
        <v>25045</v>
      </c>
      <c r="K5409" t="s">
        <v>2726</v>
      </c>
      <c r="M5409" t="s">
        <v>554</v>
      </c>
      <c r="N5409" t="s">
        <v>555</v>
      </c>
      <c r="O5409" t="s">
        <v>25046</v>
      </c>
      <c r="P5409" t="s">
        <v>25047</v>
      </c>
      <c r="Q5409" t="s">
        <v>25048</v>
      </c>
      <c r="R5409">
        <v>15</v>
      </c>
      <c r="S5409">
        <v>16</v>
      </c>
    </row>
    <row r="5410" spans="1:19" x14ac:dyDescent="0.35">
      <c r="A5410">
        <v>8065</v>
      </c>
      <c r="B5410" t="s">
        <v>551</v>
      </c>
      <c r="C5410" t="s">
        <v>42</v>
      </c>
      <c r="D5410" t="s">
        <v>25042</v>
      </c>
      <c r="E5410" t="e" cm="1">
        <f t="array" ref="E5410">- POVIDONE-IODINE</f>
        <v>#NAME?</v>
      </c>
      <c r="F5410" t="s">
        <v>12697</v>
      </c>
      <c r="G5410" t="s">
        <v>25043</v>
      </c>
      <c r="H5410" t="s">
        <v>1322</v>
      </c>
      <c r="I5410" t="s">
        <v>25044</v>
      </c>
      <c r="J5410" t="s">
        <v>25045</v>
      </c>
      <c r="K5410" t="s">
        <v>2726</v>
      </c>
      <c r="M5410" t="s">
        <v>554</v>
      </c>
      <c r="N5410" t="s">
        <v>555</v>
      </c>
      <c r="O5410" t="s">
        <v>25046</v>
      </c>
      <c r="P5410" t="s">
        <v>25047</v>
      </c>
      <c r="Q5410" t="s">
        <v>25048</v>
      </c>
      <c r="R5410">
        <v>15</v>
      </c>
      <c r="S5410">
        <v>16</v>
      </c>
    </row>
    <row r="5411" spans="1:19" x14ac:dyDescent="0.35">
      <c r="A5411">
        <v>5233</v>
      </c>
      <c r="B5411" t="s">
        <v>25025</v>
      </c>
      <c r="C5411" t="s">
        <v>42</v>
      </c>
      <c r="D5411" t="s">
        <v>25026</v>
      </c>
      <c r="E5411" t="e" cm="1">
        <f t="array" ref="E5411">- BETAMETHASONE DIPROPIONATE. GENTAMICIN SULFATE</f>
        <v>#NAME?</v>
      </c>
      <c r="F5411" t="s">
        <v>25027</v>
      </c>
      <c r="G5411" t="s">
        <v>19513</v>
      </c>
      <c r="H5411" t="s">
        <v>25028</v>
      </c>
      <c r="I5411" t="s">
        <v>25029</v>
      </c>
      <c r="J5411" t="s">
        <v>2167</v>
      </c>
      <c r="K5411" t="s">
        <v>25030</v>
      </c>
      <c r="L5411" t="s">
        <v>25031</v>
      </c>
      <c r="M5411" t="s">
        <v>1029</v>
      </c>
      <c r="N5411" t="s">
        <v>19781</v>
      </c>
      <c r="O5411" t="s">
        <v>25032</v>
      </c>
      <c r="P5411" t="s">
        <v>25033</v>
      </c>
      <c r="Q5411" t="s">
        <v>25034</v>
      </c>
      <c r="R5411">
        <v>15</v>
      </c>
      <c r="S5411">
        <v>16</v>
      </c>
    </row>
    <row r="5412" spans="1:19" x14ac:dyDescent="0.35">
      <c r="A5412">
        <v>8806</v>
      </c>
      <c r="B5412" t="s">
        <v>2388</v>
      </c>
      <c r="C5412" t="s">
        <v>42</v>
      </c>
      <c r="D5412" t="s">
        <v>25049</v>
      </c>
      <c r="E5412" t="e" cm="1">
        <f t="array" ref="E5412">- PIOGLITAZONE HYDROCHLORIDE</f>
        <v>#NAME?</v>
      </c>
      <c r="F5412" t="s">
        <v>25050</v>
      </c>
      <c r="G5412" t="s">
        <v>25051</v>
      </c>
      <c r="H5412" t="s">
        <v>1322</v>
      </c>
      <c r="I5412" t="s">
        <v>25052</v>
      </c>
      <c r="J5412" t="s">
        <v>25053</v>
      </c>
      <c r="M5412" t="s">
        <v>46</v>
      </c>
      <c r="N5412" t="s">
        <v>2389</v>
      </c>
      <c r="O5412" t="s">
        <v>25054</v>
      </c>
      <c r="P5412" t="s">
        <v>14997</v>
      </c>
      <c r="Q5412" t="s">
        <v>25055</v>
      </c>
      <c r="R5412">
        <v>15</v>
      </c>
      <c r="S5412">
        <v>16</v>
      </c>
    </row>
    <row r="5413" spans="1:19" x14ac:dyDescent="0.35">
      <c r="A5413">
        <v>7951</v>
      </c>
      <c r="B5413" t="s">
        <v>25056</v>
      </c>
      <c r="C5413" t="s">
        <v>20</v>
      </c>
      <c r="D5413" t="s">
        <v>25057</v>
      </c>
      <c r="E5413" t="s">
        <v>25058</v>
      </c>
      <c r="F5413" t="s">
        <v>25059</v>
      </c>
      <c r="G5413" t="s">
        <v>25060</v>
      </c>
      <c r="H5413" t="s">
        <v>25061</v>
      </c>
      <c r="I5413" t="s">
        <v>25062</v>
      </c>
      <c r="J5413" t="s">
        <v>25063</v>
      </c>
      <c r="L5413" t="s">
        <v>25064</v>
      </c>
      <c r="M5413" t="s">
        <v>63</v>
      </c>
      <c r="N5413" t="s">
        <v>25065</v>
      </c>
      <c r="O5413" t="s">
        <v>25066</v>
      </c>
      <c r="P5413" t="s">
        <v>25065</v>
      </c>
      <c r="Q5413" t="s">
        <v>25067</v>
      </c>
      <c r="R5413">
        <v>15</v>
      </c>
      <c r="S5413">
        <v>16</v>
      </c>
    </row>
    <row r="5414" spans="1:19" x14ac:dyDescent="0.35">
      <c r="A5414">
        <v>5234</v>
      </c>
      <c r="B5414" t="s">
        <v>25025</v>
      </c>
      <c r="C5414" t="s">
        <v>42</v>
      </c>
      <c r="D5414" t="s">
        <v>25068</v>
      </c>
      <c r="E5414" t="e" cm="1">
        <f t="array" ref="E5414">- BETAMETHASONE DIPROPIONATE. GENTAMICIN SULFATE</f>
        <v>#NAME?</v>
      </c>
      <c r="F5414" t="s">
        <v>25069</v>
      </c>
      <c r="G5414" t="s">
        <v>19513</v>
      </c>
      <c r="H5414" t="s">
        <v>25028</v>
      </c>
      <c r="I5414" t="s">
        <v>25070</v>
      </c>
      <c r="J5414" t="s">
        <v>7123</v>
      </c>
      <c r="K5414" t="s">
        <v>25030</v>
      </c>
      <c r="L5414" t="s">
        <v>25071</v>
      </c>
      <c r="M5414" t="s">
        <v>1029</v>
      </c>
      <c r="N5414" t="s">
        <v>19781</v>
      </c>
      <c r="O5414" t="s">
        <v>25032</v>
      </c>
      <c r="P5414" t="s">
        <v>25033</v>
      </c>
      <c r="Q5414" t="s">
        <v>25034</v>
      </c>
      <c r="R5414">
        <v>15</v>
      </c>
      <c r="S5414">
        <v>16</v>
      </c>
    </row>
    <row r="5415" spans="1:19" x14ac:dyDescent="0.35">
      <c r="A5415">
        <v>5235</v>
      </c>
      <c r="B5415" t="s">
        <v>25025</v>
      </c>
      <c r="C5415" t="s">
        <v>42</v>
      </c>
      <c r="D5415" t="s">
        <v>25068</v>
      </c>
      <c r="E5415" t="e" cm="1">
        <f t="array" ref="E5415">- BETAMETHASONE DIPROPIONATE. GENTAMICIN SULFATE</f>
        <v>#NAME?</v>
      </c>
      <c r="F5415" t="s">
        <v>25069</v>
      </c>
      <c r="G5415" t="s">
        <v>19513</v>
      </c>
      <c r="H5415" t="s">
        <v>25028</v>
      </c>
      <c r="I5415" t="s">
        <v>25070</v>
      </c>
      <c r="J5415" t="s">
        <v>7123</v>
      </c>
      <c r="K5415" t="s">
        <v>25030</v>
      </c>
      <c r="L5415" t="s">
        <v>25071</v>
      </c>
      <c r="M5415" t="s">
        <v>1029</v>
      </c>
      <c r="N5415" t="s">
        <v>19781</v>
      </c>
      <c r="O5415" t="s">
        <v>25032</v>
      </c>
      <c r="P5415" t="s">
        <v>25033</v>
      </c>
      <c r="Q5415" t="s">
        <v>25034</v>
      </c>
      <c r="R5415">
        <v>15</v>
      </c>
      <c r="S5415">
        <v>16</v>
      </c>
    </row>
    <row r="5416" spans="1:19" x14ac:dyDescent="0.35">
      <c r="A5416">
        <v>5236</v>
      </c>
      <c r="B5416" t="s">
        <v>25072</v>
      </c>
      <c r="C5416" t="s">
        <v>42</v>
      </c>
      <c r="D5416" t="s">
        <v>25073</v>
      </c>
      <c r="E5416" t="e" cm="1">
        <f t="array" ref="E5416">- MICONAZOLE NITRATE</f>
        <v>#NAME?</v>
      </c>
      <c r="F5416" t="s">
        <v>25074</v>
      </c>
      <c r="G5416" t="s">
        <v>25075</v>
      </c>
      <c r="H5416" t="s">
        <v>25076</v>
      </c>
      <c r="I5416" t="s">
        <v>25077</v>
      </c>
      <c r="J5416" t="s">
        <v>1684</v>
      </c>
      <c r="K5416" t="s">
        <v>25078</v>
      </c>
      <c r="L5416" t="s">
        <v>25079</v>
      </c>
      <c r="M5416" t="s">
        <v>1289</v>
      </c>
      <c r="N5416" t="s">
        <v>9389</v>
      </c>
      <c r="O5416" t="s">
        <v>25080</v>
      </c>
      <c r="P5416" t="s">
        <v>25081</v>
      </c>
      <c r="Q5416" t="s">
        <v>25082</v>
      </c>
      <c r="R5416">
        <v>15</v>
      </c>
      <c r="S5416">
        <v>16</v>
      </c>
    </row>
    <row r="5417" spans="1:19" x14ac:dyDescent="0.35">
      <c r="A5417">
        <v>1052</v>
      </c>
      <c r="B5417" t="s">
        <v>25083</v>
      </c>
      <c r="C5417" t="s">
        <v>42</v>
      </c>
      <c r="D5417" t="s">
        <v>25084</v>
      </c>
      <c r="E5417" t="e" cm="1">
        <f t="array" ref="E5417">- PARACETAMOL. CHLORPHENAMINE MALEATE. GUAIFENESIN</f>
        <v>#NAME?</v>
      </c>
      <c r="F5417" t="s">
        <v>25085</v>
      </c>
      <c r="G5417" t="s">
        <v>2241</v>
      </c>
      <c r="H5417" t="s">
        <v>25086</v>
      </c>
      <c r="I5417" t="s">
        <v>25087</v>
      </c>
      <c r="J5417" t="s">
        <v>334</v>
      </c>
      <c r="K5417" t="s">
        <v>3952</v>
      </c>
      <c r="L5417" t="s">
        <v>25088</v>
      </c>
      <c r="M5417" t="s">
        <v>271</v>
      </c>
      <c r="N5417" t="s">
        <v>15461</v>
      </c>
      <c r="O5417" t="s">
        <v>25089</v>
      </c>
      <c r="P5417" t="s">
        <v>25090</v>
      </c>
      <c r="Q5417" t="s">
        <v>25091</v>
      </c>
      <c r="R5417">
        <v>15</v>
      </c>
      <c r="S5417">
        <v>16</v>
      </c>
    </row>
    <row r="5418" spans="1:19" x14ac:dyDescent="0.35">
      <c r="A5418">
        <v>3001</v>
      </c>
      <c r="B5418" t="s">
        <v>25092</v>
      </c>
      <c r="C5418" t="s">
        <v>42</v>
      </c>
      <c r="D5418" t="s">
        <v>25093</v>
      </c>
      <c r="E5418" t="e" cm="1">
        <f t="array" ref="E5418">- PARACETAMOL</f>
        <v>#NAME?</v>
      </c>
      <c r="F5418" t="s">
        <v>25094</v>
      </c>
      <c r="G5418" t="s">
        <v>6310</v>
      </c>
      <c r="H5418" t="s">
        <v>25095</v>
      </c>
      <c r="I5418" t="s">
        <v>25096</v>
      </c>
      <c r="J5418" t="s">
        <v>743</v>
      </c>
      <c r="K5418" t="s">
        <v>25097</v>
      </c>
      <c r="L5418" t="s">
        <v>25098</v>
      </c>
      <c r="M5418" t="s">
        <v>824</v>
      </c>
      <c r="N5418" t="s">
        <v>584</v>
      </c>
      <c r="O5418" t="s">
        <v>25099</v>
      </c>
      <c r="P5418" t="s">
        <v>25100</v>
      </c>
      <c r="Q5418" t="s">
        <v>25101</v>
      </c>
      <c r="R5418">
        <v>15</v>
      </c>
      <c r="S5418">
        <v>16</v>
      </c>
    </row>
    <row r="5419" spans="1:19" x14ac:dyDescent="0.35">
      <c r="A5419">
        <v>8074</v>
      </c>
      <c r="B5419" t="s">
        <v>551</v>
      </c>
      <c r="C5419" t="s">
        <v>42</v>
      </c>
      <c r="D5419" t="s">
        <v>25102</v>
      </c>
      <c r="E5419" t="e" cm="1">
        <f t="array" ref="E5419">- POVIDONE-IODINE</f>
        <v>#NAME?</v>
      </c>
      <c r="F5419" t="s">
        <v>1080</v>
      </c>
      <c r="G5419" t="s">
        <v>25103</v>
      </c>
      <c r="I5419" t="s">
        <v>25104</v>
      </c>
      <c r="J5419" t="s">
        <v>25105</v>
      </c>
      <c r="L5419" t="s">
        <v>9649</v>
      </c>
      <c r="M5419" t="s">
        <v>554</v>
      </c>
      <c r="N5419" t="s">
        <v>555</v>
      </c>
      <c r="O5419" t="s">
        <v>25106</v>
      </c>
      <c r="P5419" t="s">
        <v>25107</v>
      </c>
      <c r="Q5419" t="s">
        <v>25108</v>
      </c>
      <c r="R5419">
        <v>15</v>
      </c>
      <c r="S5419">
        <v>16</v>
      </c>
    </row>
    <row r="5420" spans="1:19" x14ac:dyDescent="0.35">
      <c r="A5420">
        <v>8075</v>
      </c>
      <c r="B5420" t="s">
        <v>551</v>
      </c>
      <c r="C5420" t="s">
        <v>42</v>
      </c>
      <c r="D5420" t="s">
        <v>25102</v>
      </c>
      <c r="E5420" t="e" cm="1">
        <f t="array" ref="E5420">- POVIDONE-IODINE</f>
        <v>#NAME?</v>
      </c>
      <c r="F5420" t="s">
        <v>1080</v>
      </c>
      <c r="G5420" t="s">
        <v>25103</v>
      </c>
      <c r="I5420" t="s">
        <v>25104</v>
      </c>
      <c r="J5420" t="s">
        <v>25105</v>
      </c>
      <c r="L5420" t="s">
        <v>9649</v>
      </c>
      <c r="M5420" t="s">
        <v>554</v>
      </c>
      <c r="N5420" t="s">
        <v>555</v>
      </c>
      <c r="O5420" t="s">
        <v>25106</v>
      </c>
      <c r="P5420" t="s">
        <v>25107</v>
      </c>
      <c r="Q5420" t="s">
        <v>25108</v>
      </c>
      <c r="R5420">
        <v>15</v>
      </c>
      <c r="S5420">
        <v>16</v>
      </c>
    </row>
    <row r="5421" spans="1:19" x14ac:dyDescent="0.35">
      <c r="A5421">
        <v>412</v>
      </c>
      <c r="B5421" t="s">
        <v>25109</v>
      </c>
      <c r="C5421" t="s">
        <v>20</v>
      </c>
      <c r="D5421" t="s">
        <v>25110</v>
      </c>
      <c r="E5421" t="s">
        <v>25111</v>
      </c>
      <c r="F5421" t="s">
        <v>25112</v>
      </c>
      <c r="G5421" t="s">
        <v>2241</v>
      </c>
      <c r="H5421" t="s">
        <v>25113</v>
      </c>
      <c r="I5421" t="s">
        <v>25114</v>
      </c>
      <c r="J5421" t="s">
        <v>75</v>
      </c>
      <c r="M5421" t="s">
        <v>38</v>
      </c>
      <c r="N5421" t="s">
        <v>25115</v>
      </c>
      <c r="O5421" t="s">
        <v>25116</v>
      </c>
      <c r="P5421" t="s">
        <v>25117</v>
      </c>
      <c r="Q5421" t="s">
        <v>25118</v>
      </c>
      <c r="R5421">
        <v>15</v>
      </c>
      <c r="S5421">
        <v>16</v>
      </c>
    </row>
    <row r="5422" spans="1:19" x14ac:dyDescent="0.35">
      <c r="A5422">
        <v>4166</v>
      </c>
      <c r="B5422" t="s">
        <v>25119</v>
      </c>
      <c r="C5422" t="s">
        <v>42</v>
      </c>
      <c r="D5422" t="s">
        <v>25120</v>
      </c>
      <c r="E5422" t="e" cm="1">
        <f t="array" ref="E5422">- CHLORPHENAMINE MALEATE</f>
        <v>#NAME?</v>
      </c>
      <c r="F5422" t="s">
        <v>25121</v>
      </c>
      <c r="G5422" t="s">
        <v>737</v>
      </c>
      <c r="H5422" t="s">
        <v>25122</v>
      </c>
      <c r="I5422" t="s">
        <v>25123</v>
      </c>
      <c r="J5422" t="s">
        <v>8495</v>
      </c>
      <c r="K5422" t="s">
        <v>25124</v>
      </c>
      <c r="L5422" t="s">
        <v>25125</v>
      </c>
      <c r="M5422" t="s">
        <v>291</v>
      </c>
      <c r="N5422" t="s">
        <v>1354</v>
      </c>
      <c r="O5422" t="s">
        <v>25126</v>
      </c>
      <c r="P5422" t="s">
        <v>25127</v>
      </c>
      <c r="Q5422" t="s">
        <v>25128</v>
      </c>
      <c r="R5422">
        <v>15</v>
      </c>
      <c r="S5422">
        <v>16</v>
      </c>
    </row>
    <row r="5423" spans="1:19" x14ac:dyDescent="0.35">
      <c r="A5423">
        <v>3399</v>
      </c>
      <c r="B5423" t="s">
        <v>25129</v>
      </c>
      <c r="C5423" t="s">
        <v>42</v>
      </c>
      <c r="D5423" t="s">
        <v>25130</v>
      </c>
      <c r="E5423" t="e" cm="1">
        <f t="array" ref="E5423">- OMEPRAZOLE</f>
        <v>#NAME?</v>
      </c>
      <c r="F5423" t="s">
        <v>25131</v>
      </c>
      <c r="G5423" t="s">
        <v>25132</v>
      </c>
      <c r="H5423" t="s">
        <v>25133</v>
      </c>
      <c r="I5423" t="s">
        <v>25134</v>
      </c>
      <c r="J5423" t="s">
        <v>10304</v>
      </c>
      <c r="L5423" t="s">
        <v>25135</v>
      </c>
      <c r="M5423" t="s">
        <v>38</v>
      </c>
      <c r="N5423" t="s">
        <v>14738</v>
      </c>
      <c r="O5423" t="s">
        <v>25136</v>
      </c>
      <c r="P5423" t="s">
        <v>25137</v>
      </c>
      <c r="Q5423" t="s">
        <v>25138</v>
      </c>
      <c r="R5423">
        <v>15</v>
      </c>
      <c r="S5423">
        <v>16</v>
      </c>
    </row>
    <row r="5424" spans="1:19" x14ac:dyDescent="0.35">
      <c r="A5424">
        <v>4306</v>
      </c>
      <c r="B5424" t="s">
        <v>21758</v>
      </c>
      <c r="C5424" t="s">
        <v>850</v>
      </c>
      <c r="D5424" t="s">
        <v>25139</v>
      </c>
      <c r="E5424" t="e" cm="1">
        <f t="array" ref="E5424">- Balsamum Peruvianum natural</f>
        <v>#NAME?</v>
      </c>
      <c r="F5424" t="s">
        <v>25140</v>
      </c>
      <c r="G5424" t="s">
        <v>25141</v>
      </c>
      <c r="H5424" t="s">
        <v>21762</v>
      </c>
      <c r="I5424" t="s">
        <v>25142</v>
      </c>
      <c r="J5424" t="s">
        <v>25143</v>
      </c>
      <c r="K5424" t="s">
        <v>3952</v>
      </c>
      <c r="L5424" t="s">
        <v>25144</v>
      </c>
      <c r="N5424" t="s">
        <v>21766</v>
      </c>
      <c r="O5424" t="s">
        <v>25145</v>
      </c>
      <c r="P5424" t="s">
        <v>21768</v>
      </c>
      <c r="Q5424" t="s">
        <v>25146</v>
      </c>
      <c r="R5424">
        <v>15</v>
      </c>
      <c r="S5424">
        <v>16</v>
      </c>
    </row>
    <row r="5425" spans="1:19" x14ac:dyDescent="0.35">
      <c r="A5425">
        <v>1059</v>
      </c>
      <c r="B5425" t="s">
        <v>25147</v>
      </c>
      <c r="C5425" t="s">
        <v>42</v>
      </c>
      <c r="D5425" t="s">
        <v>25148</v>
      </c>
      <c r="E5425" t="e" cm="1">
        <f t="array" ref="E5425">- BROMHEXINE HYDROCHLORIDE</f>
        <v>#NAME?</v>
      </c>
      <c r="F5425" t="s">
        <v>25149</v>
      </c>
      <c r="G5425" t="s">
        <v>1691</v>
      </c>
      <c r="H5425" t="s">
        <v>25150</v>
      </c>
      <c r="I5425" t="s">
        <v>25151</v>
      </c>
      <c r="J5425" t="s">
        <v>10124</v>
      </c>
      <c r="K5425" t="s">
        <v>24475</v>
      </c>
      <c r="L5425" t="s">
        <v>25152</v>
      </c>
      <c r="M5425" t="s">
        <v>271</v>
      </c>
      <c r="N5425" t="s">
        <v>1342</v>
      </c>
      <c r="O5425" t="s">
        <v>25153</v>
      </c>
      <c r="P5425" t="s">
        <v>25154</v>
      </c>
      <c r="Q5425" t="s">
        <v>25155</v>
      </c>
      <c r="R5425">
        <v>15</v>
      </c>
      <c r="S5425">
        <v>16</v>
      </c>
    </row>
    <row r="5426" spans="1:19" x14ac:dyDescent="0.35">
      <c r="A5426">
        <v>4859</v>
      </c>
      <c r="B5426" t="s">
        <v>25156</v>
      </c>
      <c r="C5426" t="s">
        <v>42</v>
      </c>
      <c r="D5426" t="s">
        <v>25157</v>
      </c>
      <c r="E5426" t="e" cm="1">
        <f t="array" ref="E5426">- TIMOLOL MALEATE</f>
        <v>#NAME?</v>
      </c>
      <c r="F5426" s="1">
        <v>36300</v>
      </c>
      <c r="G5426" t="s">
        <v>25158</v>
      </c>
      <c r="H5426" t="s">
        <v>18993</v>
      </c>
      <c r="I5426" t="s">
        <v>25159</v>
      </c>
      <c r="J5426" t="s">
        <v>25160</v>
      </c>
      <c r="K5426" t="s">
        <v>25161</v>
      </c>
      <c r="L5426" t="s">
        <v>25162</v>
      </c>
      <c r="M5426" t="s">
        <v>824</v>
      </c>
      <c r="N5426" t="s">
        <v>6219</v>
      </c>
      <c r="O5426" t="s">
        <v>25163</v>
      </c>
      <c r="P5426" t="s">
        <v>25164</v>
      </c>
      <c r="Q5426" t="s">
        <v>25165</v>
      </c>
      <c r="R5426">
        <v>15</v>
      </c>
      <c r="S5426">
        <v>16</v>
      </c>
    </row>
    <row r="5427" spans="1:19" x14ac:dyDescent="0.35">
      <c r="A5427">
        <v>4075</v>
      </c>
      <c r="B5427" t="s">
        <v>25166</v>
      </c>
      <c r="C5427" t="s">
        <v>42</v>
      </c>
      <c r="D5427" t="s">
        <v>25167</v>
      </c>
      <c r="E5427" t="e" cm="1">
        <f t="array" ref="E5427">- CETIRIZINE HYDROCHLORIDE</f>
        <v>#NAME?</v>
      </c>
      <c r="F5427" t="s">
        <v>25168</v>
      </c>
      <c r="G5427" t="s">
        <v>16021</v>
      </c>
      <c r="H5427" t="s">
        <v>1498</v>
      </c>
      <c r="I5427" t="s">
        <v>21036</v>
      </c>
      <c r="J5427" t="s">
        <v>1389</v>
      </c>
      <c r="K5427" t="s">
        <v>16653</v>
      </c>
      <c r="L5427" t="s">
        <v>16654</v>
      </c>
      <c r="M5427" t="s">
        <v>824</v>
      </c>
      <c r="N5427" t="s">
        <v>1390</v>
      </c>
      <c r="O5427" t="s">
        <v>21038</v>
      </c>
      <c r="P5427" t="s">
        <v>25169</v>
      </c>
      <c r="Q5427" t="s">
        <v>25170</v>
      </c>
      <c r="R5427">
        <v>15</v>
      </c>
      <c r="S5427">
        <v>16</v>
      </c>
    </row>
    <row r="5428" spans="1:19" x14ac:dyDescent="0.35">
      <c r="A5428">
        <v>4092</v>
      </c>
      <c r="B5428" t="s">
        <v>25171</v>
      </c>
      <c r="C5428" t="s">
        <v>42</v>
      </c>
      <c r="D5428" t="s">
        <v>25172</v>
      </c>
      <c r="E5428" t="e" cm="1">
        <f t="array" ref="E5428">- FEXOFENADINE HYDROCHLORIDE</f>
        <v>#NAME?</v>
      </c>
      <c r="F5428" t="s">
        <v>25173</v>
      </c>
      <c r="G5428" t="s">
        <v>25174</v>
      </c>
      <c r="H5428" t="s">
        <v>25175</v>
      </c>
      <c r="I5428" t="s">
        <v>25176</v>
      </c>
      <c r="J5428" t="s">
        <v>6476</v>
      </c>
      <c r="K5428" t="s">
        <v>7921</v>
      </c>
      <c r="L5428" t="s">
        <v>25177</v>
      </c>
      <c r="M5428" t="s">
        <v>46</v>
      </c>
      <c r="N5428" t="s">
        <v>3563</v>
      </c>
      <c r="O5428" t="s">
        <v>25178</v>
      </c>
      <c r="P5428" t="s">
        <v>16554</v>
      </c>
      <c r="Q5428" t="s">
        <v>25179</v>
      </c>
      <c r="R5428">
        <v>15</v>
      </c>
      <c r="S5428">
        <v>16</v>
      </c>
    </row>
    <row r="5429" spans="1:19" x14ac:dyDescent="0.35">
      <c r="A5429">
        <v>4093</v>
      </c>
      <c r="B5429" t="s">
        <v>25171</v>
      </c>
      <c r="C5429" t="s">
        <v>42</v>
      </c>
      <c r="D5429" t="s">
        <v>25172</v>
      </c>
      <c r="E5429" t="e" cm="1">
        <f t="array" ref="E5429">- FEXOFENADINE HYDROCHLORIDE</f>
        <v>#NAME?</v>
      </c>
      <c r="F5429" t="s">
        <v>25173</v>
      </c>
      <c r="G5429" t="s">
        <v>25174</v>
      </c>
      <c r="H5429" t="s">
        <v>25175</v>
      </c>
      <c r="I5429" t="s">
        <v>25176</v>
      </c>
      <c r="J5429" t="s">
        <v>6476</v>
      </c>
      <c r="K5429" t="s">
        <v>7921</v>
      </c>
      <c r="L5429" t="s">
        <v>25177</v>
      </c>
      <c r="M5429" t="s">
        <v>46</v>
      </c>
      <c r="N5429" t="s">
        <v>3563</v>
      </c>
      <c r="O5429" t="s">
        <v>25178</v>
      </c>
      <c r="P5429" t="s">
        <v>16554</v>
      </c>
      <c r="Q5429" t="s">
        <v>25179</v>
      </c>
      <c r="R5429">
        <v>15</v>
      </c>
      <c r="S5429">
        <v>16</v>
      </c>
    </row>
    <row r="5430" spans="1:19" x14ac:dyDescent="0.35">
      <c r="A5430">
        <v>3420</v>
      </c>
      <c r="B5430" t="s">
        <v>25003</v>
      </c>
      <c r="C5430" t="s">
        <v>42</v>
      </c>
      <c r="D5430" t="s">
        <v>25004</v>
      </c>
      <c r="E5430" t="e" cm="1">
        <f t="array" ref="E5430">- REBAMIPIDE</f>
        <v>#NAME?</v>
      </c>
      <c r="F5430" t="s">
        <v>25005</v>
      </c>
      <c r="G5430" t="s">
        <v>60</v>
      </c>
      <c r="H5430" t="s">
        <v>389</v>
      </c>
      <c r="I5430" t="s">
        <v>25006</v>
      </c>
      <c r="J5430" t="s">
        <v>45</v>
      </c>
      <c r="K5430" t="s">
        <v>2858</v>
      </c>
      <c r="L5430" t="s">
        <v>25007</v>
      </c>
      <c r="M5430" t="s">
        <v>46</v>
      </c>
      <c r="N5430" t="s">
        <v>390</v>
      </c>
      <c r="O5430" t="s">
        <v>25008</v>
      </c>
      <c r="P5430" t="s">
        <v>25009</v>
      </c>
      <c r="Q5430" t="s">
        <v>25010</v>
      </c>
      <c r="R5430">
        <v>15</v>
      </c>
      <c r="S5430">
        <v>16</v>
      </c>
    </row>
    <row r="5431" spans="1:19" x14ac:dyDescent="0.35">
      <c r="A5431">
        <v>4094</v>
      </c>
      <c r="B5431" t="s">
        <v>25171</v>
      </c>
      <c r="C5431" t="s">
        <v>42</v>
      </c>
      <c r="D5431" t="s">
        <v>25172</v>
      </c>
      <c r="E5431" t="e" cm="1">
        <f t="array" ref="E5431">- FEXOFENADINE HYDROCHLORIDE</f>
        <v>#NAME?</v>
      </c>
      <c r="F5431" t="s">
        <v>25173</v>
      </c>
      <c r="G5431" t="s">
        <v>25174</v>
      </c>
      <c r="H5431" t="s">
        <v>25175</v>
      </c>
      <c r="I5431" t="s">
        <v>25176</v>
      </c>
      <c r="J5431" t="s">
        <v>6476</v>
      </c>
      <c r="K5431" t="s">
        <v>7921</v>
      </c>
      <c r="L5431" t="s">
        <v>25177</v>
      </c>
      <c r="M5431" t="s">
        <v>46</v>
      </c>
      <c r="N5431" t="s">
        <v>3563</v>
      </c>
      <c r="O5431" t="s">
        <v>25178</v>
      </c>
      <c r="P5431" t="s">
        <v>16554</v>
      </c>
      <c r="Q5431" t="s">
        <v>25179</v>
      </c>
      <c r="R5431">
        <v>15</v>
      </c>
      <c r="S5431">
        <v>16</v>
      </c>
    </row>
    <row r="5432" spans="1:19" x14ac:dyDescent="0.35">
      <c r="A5432">
        <v>7653</v>
      </c>
      <c r="B5432" t="s">
        <v>25180</v>
      </c>
      <c r="C5432" t="s">
        <v>20</v>
      </c>
      <c r="D5432" t="s">
        <v>25181</v>
      </c>
      <c r="E5432" t="s">
        <v>25182</v>
      </c>
      <c r="F5432" t="s">
        <v>25183</v>
      </c>
      <c r="G5432" t="s">
        <v>25184</v>
      </c>
      <c r="H5432" t="s">
        <v>25185</v>
      </c>
      <c r="I5432" t="s">
        <v>25186</v>
      </c>
      <c r="J5432" t="s">
        <v>25187</v>
      </c>
      <c r="L5432" t="s">
        <v>25188</v>
      </c>
      <c r="M5432" t="s">
        <v>63</v>
      </c>
      <c r="N5432" t="s">
        <v>25189</v>
      </c>
      <c r="O5432" t="s">
        <v>25190</v>
      </c>
      <c r="P5432" t="s">
        <v>25189</v>
      </c>
      <c r="Q5432" t="s">
        <v>25191</v>
      </c>
      <c r="R5432">
        <v>15</v>
      </c>
      <c r="S5432">
        <v>16</v>
      </c>
    </row>
    <row r="5433" spans="1:19" x14ac:dyDescent="0.35">
      <c r="A5433">
        <v>3002</v>
      </c>
      <c r="B5433" t="s">
        <v>25092</v>
      </c>
      <c r="C5433" t="s">
        <v>42</v>
      </c>
      <c r="D5433" t="s">
        <v>25093</v>
      </c>
      <c r="E5433" t="e" cm="1">
        <f t="array" ref="E5433">- PARACETAMOL</f>
        <v>#NAME?</v>
      </c>
      <c r="F5433" t="s">
        <v>25094</v>
      </c>
      <c r="G5433" t="s">
        <v>6310</v>
      </c>
      <c r="H5433" t="s">
        <v>25095</v>
      </c>
      <c r="I5433" t="s">
        <v>25096</v>
      </c>
      <c r="J5433" t="s">
        <v>743</v>
      </c>
      <c r="K5433" t="s">
        <v>25097</v>
      </c>
      <c r="L5433" t="s">
        <v>25098</v>
      </c>
      <c r="M5433" t="s">
        <v>824</v>
      </c>
      <c r="N5433" t="s">
        <v>584</v>
      </c>
      <c r="O5433" t="s">
        <v>25099</v>
      </c>
      <c r="P5433" t="s">
        <v>25100</v>
      </c>
      <c r="Q5433" t="s">
        <v>25101</v>
      </c>
      <c r="R5433">
        <v>15</v>
      </c>
      <c r="S5433">
        <v>16</v>
      </c>
    </row>
    <row r="5434" spans="1:19" x14ac:dyDescent="0.35">
      <c r="A5434">
        <v>4848</v>
      </c>
      <c r="B5434" t="s">
        <v>25192</v>
      </c>
      <c r="C5434" t="s">
        <v>42</v>
      </c>
      <c r="D5434" t="s">
        <v>25193</v>
      </c>
      <c r="E5434" t="e" cm="1">
        <f t="array" ref="E5434">- NAPHAZOLINE HYDROCHLORIDE</f>
        <v>#NAME?</v>
      </c>
      <c r="F5434" t="s">
        <v>25194</v>
      </c>
      <c r="G5434" t="s">
        <v>25195</v>
      </c>
      <c r="H5434" t="s">
        <v>25196</v>
      </c>
      <c r="I5434" t="s">
        <v>25197</v>
      </c>
      <c r="J5434" t="s">
        <v>9310</v>
      </c>
      <c r="K5434" t="s">
        <v>25198</v>
      </c>
      <c r="L5434" t="s">
        <v>25199</v>
      </c>
      <c r="M5434" t="s">
        <v>824</v>
      </c>
      <c r="N5434" t="s">
        <v>10250</v>
      </c>
      <c r="O5434" t="s">
        <v>25200</v>
      </c>
      <c r="P5434" t="s">
        <v>25201</v>
      </c>
      <c r="Q5434" t="s">
        <v>25202</v>
      </c>
      <c r="R5434">
        <v>15</v>
      </c>
      <c r="S5434">
        <v>16</v>
      </c>
    </row>
    <row r="5435" spans="1:19" x14ac:dyDescent="0.35">
      <c r="A5435">
        <v>7921</v>
      </c>
      <c r="B5435" t="s">
        <v>25203</v>
      </c>
      <c r="C5435" t="s">
        <v>20</v>
      </c>
      <c r="D5435" t="s">
        <v>25204</v>
      </c>
      <c r="E5435" t="s">
        <v>25205</v>
      </c>
      <c r="F5435" t="s">
        <v>25206</v>
      </c>
      <c r="G5435" t="s">
        <v>5866</v>
      </c>
      <c r="H5435" t="s">
        <v>25207</v>
      </c>
      <c r="I5435" t="s">
        <v>25208</v>
      </c>
      <c r="J5435" t="s">
        <v>25209</v>
      </c>
      <c r="L5435" t="s">
        <v>25210</v>
      </c>
      <c r="N5435" t="s">
        <v>25211</v>
      </c>
      <c r="O5435" t="s">
        <v>25212</v>
      </c>
      <c r="P5435" t="s">
        <v>25213</v>
      </c>
      <c r="Q5435" t="s">
        <v>25214</v>
      </c>
      <c r="R5435">
        <v>15</v>
      </c>
      <c r="S5435">
        <v>16</v>
      </c>
    </row>
    <row r="5436" spans="1:19" x14ac:dyDescent="0.35">
      <c r="A5436">
        <v>4061</v>
      </c>
      <c r="B5436" t="s">
        <v>25215</v>
      </c>
      <c r="C5436" t="s">
        <v>42</v>
      </c>
      <c r="D5436" t="s">
        <v>25216</v>
      </c>
      <c r="E5436" t="e" cm="1">
        <f t="array" ref="E5436">- FEXOFENADINE HYDROCHLORIDE</f>
        <v>#NAME?</v>
      </c>
      <c r="F5436" t="s">
        <v>25217</v>
      </c>
      <c r="G5436" t="s">
        <v>25174</v>
      </c>
      <c r="H5436" t="s">
        <v>25218</v>
      </c>
      <c r="I5436" t="s">
        <v>25176</v>
      </c>
      <c r="J5436" t="s">
        <v>1756</v>
      </c>
      <c r="K5436" t="s">
        <v>25219</v>
      </c>
      <c r="L5436" t="s">
        <v>25220</v>
      </c>
      <c r="M5436" t="s">
        <v>46</v>
      </c>
      <c r="N5436" t="s">
        <v>3563</v>
      </c>
      <c r="O5436" t="s">
        <v>25178</v>
      </c>
      <c r="P5436" t="s">
        <v>16554</v>
      </c>
      <c r="Q5436" t="s">
        <v>25179</v>
      </c>
      <c r="R5436">
        <v>15</v>
      </c>
      <c r="S5436">
        <v>16</v>
      </c>
    </row>
    <row r="5437" spans="1:19" x14ac:dyDescent="0.35">
      <c r="A5437">
        <v>7654</v>
      </c>
      <c r="B5437" t="s">
        <v>25180</v>
      </c>
      <c r="C5437" t="s">
        <v>20</v>
      </c>
      <c r="D5437" t="s">
        <v>25221</v>
      </c>
      <c r="E5437" t="s">
        <v>25182</v>
      </c>
      <c r="F5437" t="s">
        <v>25222</v>
      </c>
      <c r="H5437" t="s">
        <v>25185</v>
      </c>
      <c r="I5437" t="s">
        <v>25186</v>
      </c>
      <c r="J5437" t="s">
        <v>11120</v>
      </c>
      <c r="M5437" t="s">
        <v>63</v>
      </c>
      <c r="N5437" t="s">
        <v>25189</v>
      </c>
      <c r="O5437" t="s">
        <v>25190</v>
      </c>
      <c r="P5437" t="s">
        <v>25189</v>
      </c>
      <c r="Q5437" t="s">
        <v>25191</v>
      </c>
      <c r="R5437">
        <v>15</v>
      </c>
      <c r="S5437">
        <v>16</v>
      </c>
    </row>
    <row r="5438" spans="1:19" x14ac:dyDescent="0.35">
      <c r="A5438">
        <v>7482</v>
      </c>
      <c r="B5438" t="s">
        <v>25223</v>
      </c>
      <c r="C5438" t="s">
        <v>20</v>
      </c>
      <c r="D5438" t="s">
        <v>25224</v>
      </c>
      <c r="E5438" t="s">
        <v>25225</v>
      </c>
      <c r="F5438" t="s">
        <v>25226</v>
      </c>
      <c r="G5438" t="s">
        <v>4649</v>
      </c>
      <c r="H5438" t="s">
        <v>25227</v>
      </c>
      <c r="I5438" t="s">
        <v>25228</v>
      </c>
      <c r="J5438" t="s">
        <v>19195</v>
      </c>
      <c r="M5438" t="s">
        <v>38</v>
      </c>
      <c r="N5438" t="s">
        <v>25229</v>
      </c>
      <c r="O5438" t="s">
        <v>25230</v>
      </c>
      <c r="P5438" t="s">
        <v>25231</v>
      </c>
      <c r="Q5438" t="s">
        <v>25232</v>
      </c>
      <c r="R5438">
        <v>15</v>
      </c>
      <c r="S5438">
        <v>16</v>
      </c>
    </row>
    <row r="5439" spans="1:19" x14ac:dyDescent="0.35">
      <c r="A5439">
        <v>7655</v>
      </c>
      <c r="B5439" t="s">
        <v>25233</v>
      </c>
      <c r="C5439" t="s">
        <v>20</v>
      </c>
      <c r="D5439" t="s">
        <v>25234</v>
      </c>
      <c r="E5439" t="s">
        <v>25235</v>
      </c>
      <c r="F5439" t="s">
        <v>25236</v>
      </c>
      <c r="G5439" t="s">
        <v>25184</v>
      </c>
      <c r="H5439" t="s">
        <v>25185</v>
      </c>
      <c r="I5439" t="s">
        <v>25186</v>
      </c>
      <c r="J5439" t="s">
        <v>13487</v>
      </c>
      <c r="L5439" t="s">
        <v>25188</v>
      </c>
      <c r="M5439" t="s">
        <v>63</v>
      </c>
      <c r="N5439" t="s">
        <v>25237</v>
      </c>
      <c r="O5439" t="s">
        <v>25190</v>
      </c>
      <c r="P5439" t="s">
        <v>25237</v>
      </c>
      <c r="Q5439" t="s">
        <v>25238</v>
      </c>
      <c r="R5439">
        <v>15</v>
      </c>
      <c r="S5439">
        <v>16</v>
      </c>
    </row>
    <row r="5440" spans="1:19" x14ac:dyDescent="0.35">
      <c r="A5440">
        <v>4356</v>
      </c>
      <c r="B5440" t="s">
        <v>25239</v>
      </c>
      <c r="C5440" t="s">
        <v>42</v>
      </c>
      <c r="D5440" t="s">
        <v>25240</v>
      </c>
      <c r="E5440" t="e" cm="1">
        <f t="array" ref="E5440">- OFLOXACIN</f>
        <v>#NAME?</v>
      </c>
      <c r="F5440" t="s">
        <v>25241</v>
      </c>
      <c r="G5440" t="s">
        <v>25242</v>
      </c>
      <c r="H5440" t="s">
        <v>25243</v>
      </c>
      <c r="I5440" t="s">
        <v>25244</v>
      </c>
      <c r="J5440" t="s">
        <v>9310</v>
      </c>
      <c r="K5440" t="s">
        <v>25245</v>
      </c>
      <c r="L5440" t="s">
        <v>25246</v>
      </c>
      <c r="M5440" t="s">
        <v>824</v>
      </c>
      <c r="N5440" t="s">
        <v>1640</v>
      </c>
      <c r="O5440" t="s">
        <v>25247</v>
      </c>
      <c r="P5440" t="s">
        <v>25248</v>
      </c>
      <c r="Q5440" t="s">
        <v>25249</v>
      </c>
      <c r="R5440">
        <v>15</v>
      </c>
      <c r="S5440">
        <v>16</v>
      </c>
    </row>
    <row r="5441" spans="1:19" x14ac:dyDescent="0.35">
      <c r="A5441">
        <v>559</v>
      </c>
      <c r="B5441" t="s">
        <v>25250</v>
      </c>
      <c r="C5441" t="s">
        <v>42</v>
      </c>
      <c r="D5441" t="s">
        <v>25251</v>
      </c>
      <c r="E5441" t="e" cm="1">
        <f t="array" ref="E5441">- TIOTROPIUM BROMIDE</f>
        <v>#NAME?</v>
      </c>
      <c r="F5441" t="s">
        <v>25252</v>
      </c>
      <c r="G5441" t="s">
        <v>25253</v>
      </c>
      <c r="H5441" t="s">
        <v>25254</v>
      </c>
      <c r="I5441" t="s">
        <v>25255</v>
      </c>
      <c r="J5441" t="s">
        <v>25256</v>
      </c>
      <c r="K5441" t="s">
        <v>25257</v>
      </c>
      <c r="L5441" t="s">
        <v>25258</v>
      </c>
      <c r="M5441" t="s">
        <v>1280</v>
      </c>
      <c r="N5441" t="s">
        <v>25259</v>
      </c>
      <c r="O5441" t="s">
        <v>25260</v>
      </c>
      <c r="P5441" t="s">
        <v>25261</v>
      </c>
      <c r="Q5441" t="s">
        <v>25262</v>
      </c>
      <c r="R5441">
        <v>15</v>
      </c>
      <c r="S5441">
        <v>16</v>
      </c>
    </row>
    <row r="5442" spans="1:19" x14ac:dyDescent="0.35">
      <c r="A5442">
        <v>1057</v>
      </c>
      <c r="B5442" t="s">
        <v>25263</v>
      </c>
      <c r="C5442" t="s">
        <v>42</v>
      </c>
      <c r="D5442" t="s">
        <v>25264</v>
      </c>
      <c r="E5442" t="e" cm="1">
        <f t="array" ref="E5442">- GUAIFENESIN. DEXTROMETHORPHAN HYDROBROMIDE. BROMHEXINE HYDROCHLORIDE</f>
        <v>#NAME?</v>
      </c>
      <c r="F5442" s="1">
        <v>14900</v>
      </c>
      <c r="G5442" t="s">
        <v>2241</v>
      </c>
      <c r="H5442" t="s">
        <v>25265</v>
      </c>
      <c r="I5442" t="s">
        <v>25266</v>
      </c>
      <c r="J5442" t="s">
        <v>846</v>
      </c>
      <c r="M5442" t="s">
        <v>271</v>
      </c>
      <c r="N5442" t="s">
        <v>25267</v>
      </c>
      <c r="O5442" t="s">
        <v>25268</v>
      </c>
      <c r="P5442" t="s">
        <v>25269</v>
      </c>
      <c r="Q5442" t="s">
        <v>25270</v>
      </c>
      <c r="R5442">
        <v>15</v>
      </c>
      <c r="S5442">
        <v>16</v>
      </c>
    </row>
    <row r="5443" spans="1:19" x14ac:dyDescent="0.35">
      <c r="A5443">
        <v>606</v>
      </c>
      <c r="B5443" t="s">
        <v>25271</v>
      </c>
      <c r="C5443" t="s">
        <v>42</v>
      </c>
      <c r="D5443" t="s">
        <v>25272</v>
      </c>
      <c r="E5443" t="e" cm="1">
        <f t="array" ref="E5443">- TERBUTALINE SULFATE</f>
        <v>#NAME?</v>
      </c>
      <c r="F5443" s="1">
        <v>187500</v>
      </c>
      <c r="G5443" t="s">
        <v>6310</v>
      </c>
      <c r="H5443" t="s">
        <v>25273</v>
      </c>
      <c r="I5443" t="s">
        <v>25274</v>
      </c>
      <c r="J5443" t="s">
        <v>25275</v>
      </c>
      <c r="L5443" t="s">
        <v>25276</v>
      </c>
      <c r="M5443" t="s">
        <v>1280</v>
      </c>
      <c r="N5443" t="s">
        <v>4594</v>
      </c>
      <c r="O5443" t="s">
        <v>25277</v>
      </c>
      <c r="P5443" t="s">
        <v>25278</v>
      </c>
      <c r="Q5443" t="s">
        <v>25279</v>
      </c>
      <c r="R5443">
        <v>15</v>
      </c>
      <c r="S5443">
        <v>16</v>
      </c>
    </row>
    <row r="5444" spans="1:19" x14ac:dyDescent="0.35">
      <c r="A5444">
        <v>4165</v>
      </c>
      <c r="B5444" t="s">
        <v>25119</v>
      </c>
      <c r="C5444" t="s">
        <v>42</v>
      </c>
      <c r="D5444" t="s">
        <v>25120</v>
      </c>
      <c r="E5444" t="e" cm="1">
        <f t="array" ref="E5444">- CHLORPHENAMINE MALEATE</f>
        <v>#NAME?</v>
      </c>
      <c r="F5444" t="s">
        <v>25121</v>
      </c>
      <c r="G5444" t="s">
        <v>737</v>
      </c>
      <c r="H5444" t="s">
        <v>25122</v>
      </c>
      <c r="I5444" t="s">
        <v>25123</v>
      </c>
      <c r="J5444" t="s">
        <v>8495</v>
      </c>
      <c r="K5444" t="s">
        <v>25124</v>
      </c>
      <c r="L5444" t="s">
        <v>25125</v>
      </c>
      <c r="M5444" t="s">
        <v>291</v>
      </c>
      <c r="N5444" t="s">
        <v>1354</v>
      </c>
      <c r="O5444" t="s">
        <v>25126</v>
      </c>
      <c r="P5444" t="s">
        <v>25127</v>
      </c>
      <c r="Q5444" t="s">
        <v>25128</v>
      </c>
      <c r="R5444">
        <v>15</v>
      </c>
      <c r="S5444">
        <v>16</v>
      </c>
    </row>
    <row r="5445" spans="1:19" x14ac:dyDescent="0.35">
      <c r="A5445">
        <v>4392</v>
      </c>
      <c r="B5445" t="s">
        <v>25280</v>
      </c>
      <c r="C5445" t="s">
        <v>42</v>
      </c>
      <c r="D5445" t="s">
        <v>25281</v>
      </c>
      <c r="E5445" t="e" cm="1">
        <f t="array" ref="E5445">- FLUDROCORTISONE ACETATE</f>
        <v>#NAME?</v>
      </c>
      <c r="F5445" s="1">
        <v>38400</v>
      </c>
      <c r="G5445" t="s">
        <v>25282</v>
      </c>
      <c r="H5445" t="s">
        <v>16579</v>
      </c>
      <c r="I5445" t="s">
        <v>25283</v>
      </c>
      <c r="J5445" t="s">
        <v>24117</v>
      </c>
      <c r="K5445" t="s">
        <v>3952</v>
      </c>
      <c r="L5445" t="s">
        <v>25284</v>
      </c>
      <c r="M5445" t="s">
        <v>824</v>
      </c>
      <c r="N5445" t="s">
        <v>12970</v>
      </c>
      <c r="O5445" t="s">
        <v>25285</v>
      </c>
      <c r="P5445" t="s">
        <v>25286</v>
      </c>
      <c r="Q5445" t="s">
        <v>25287</v>
      </c>
      <c r="R5445">
        <v>15</v>
      </c>
      <c r="S5445">
        <v>16</v>
      </c>
    </row>
    <row r="5446" spans="1:19" x14ac:dyDescent="0.35">
      <c r="A5446">
        <v>7656</v>
      </c>
      <c r="B5446" t="s">
        <v>25233</v>
      </c>
      <c r="C5446" t="s">
        <v>20</v>
      </c>
      <c r="D5446" t="s">
        <v>25234</v>
      </c>
      <c r="E5446" t="s">
        <v>25235</v>
      </c>
      <c r="F5446" t="s">
        <v>25236</v>
      </c>
      <c r="G5446" t="s">
        <v>25184</v>
      </c>
      <c r="H5446" t="s">
        <v>25185</v>
      </c>
      <c r="I5446" t="s">
        <v>25186</v>
      </c>
      <c r="J5446" t="s">
        <v>13487</v>
      </c>
      <c r="L5446" t="s">
        <v>25188</v>
      </c>
      <c r="M5446" t="s">
        <v>63</v>
      </c>
      <c r="N5446" t="s">
        <v>25237</v>
      </c>
      <c r="O5446" t="s">
        <v>25190</v>
      </c>
      <c r="P5446" t="s">
        <v>25237</v>
      </c>
      <c r="Q5446" t="s">
        <v>25238</v>
      </c>
      <c r="R5446">
        <v>15</v>
      </c>
      <c r="S5446">
        <v>16</v>
      </c>
    </row>
    <row r="5447" spans="1:19" x14ac:dyDescent="0.35">
      <c r="A5447">
        <v>3423</v>
      </c>
      <c r="B5447" t="s">
        <v>14731</v>
      </c>
      <c r="C5447" t="s">
        <v>42</v>
      </c>
      <c r="D5447" t="s">
        <v>14732</v>
      </c>
      <c r="E5447" t="s">
        <v>10299</v>
      </c>
      <c r="F5447" s="1">
        <v>20400</v>
      </c>
      <c r="G5447" t="s">
        <v>14733</v>
      </c>
      <c r="H5447" t="s">
        <v>2724</v>
      </c>
      <c r="I5447" t="s">
        <v>14734</v>
      </c>
      <c r="J5447" t="s">
        <v>14735</v>
      </c>
      <c r="K5447" t="s">
        <v>14736</v>
      </c>
      <c r="L5447" t="s">
        <v>14737</v>
      </c>
      <c r="M5447" t="s">
        <v>38</v>
      </c>
      <c r="N5447" t="s">
        <v>10306</v>
      </c>
      <c r="O5447" t="s">
        <v>14739</v>
      </c>
      <c r="P5447" t="s">
        <v>14740</v>
      </c>
      <c r="Q5447" t="s">
        <v>25288</v>
      </c>
      <c r="R5447">
        <v>15</v>
      </c>
      <c r="S5447">
        <v>16</v>
      </c>
    </row>
    <row r="5448" spans="1:19" x14ac:dyDescent="0.35">
      <c r="A5448">
        <v>5251</v>
      </c>
      <c r="B5448" t="s">
        <v>25289</v>
      </c>
      <c r="C5448" t="s">
        <v>42</v>
      </c>
      <c r="D5448" t="s">
        <v>25290</v>
      </c>
      <c r="E5448" t="e" cm="1">
        <f t="array" ref="E5448">- CHLORAMPHENICOL</f>
        <v>#NAME?</v>
      </c>
      <c r="F5448" t="s">
        <v>25291</v>
      </c>
      <c r="G5448" t="s">
        <v>25292</v>
      </c>
      <c r="H5448" t="s">
        <v>25293</v>
      </c>
      <c r="I5448" t="s">
        <v>25294</v>
      </c>
      <c r="J5448" t="s">
        <v>2049</v>
      </c>
      <c r="K5448" t="s">
        <v>25295</v>
      </c>
      <c r="L5448" t="s">
        <v>25296</v>
      </c>
      <c r="M5448" t="s">
        <v>1289</v>
      </c>
      <c r="N5448" t="s">
        <v>1188</v>
      </c>
      <c r="O5448" t="s">
        <v>25297</v>
      </c>
      <c r="P5448" t="s">
        <v>25298</v>
      </c>
      <c r="Q5448" t="s">
        <v>25299</v>
      </c>
      <c r="R5448">
        <v>15</v>
      </c>
      <c r="S5448">
        <v>16</v>
      </c>
    </row>
    <row r="5449" spans="1:19" x14ac:dyDescent="0.35">
      <c r="A5449">
        <v>1073</v>
      </c>
      <c r="B5449" t="s">
        <v>25300</v>
      </c>
      <c r="C5449" t="s">
        <v>42</v>
      </c>
      <c r="D5449" t="s">
        <v>25301</v>
      </c>
      <c r="E5449" t="e" cm="1">
        <f t="array" ref="E5449">- CHLORPHENAMINE MALEATE</f>
        <v>#NAME?</v>
      </c>
      <c r="F5449" t="s">
        <v>25302</v>
      </c>
      <c r="G5449" t="s">
        <v>2241</v>
      </c>
      <c r="H5449" t="s">
        <v>25303</v>
      </c>
      <c r="I5449" t="s">
        <v>25304</v>
      </c>
      <c r="J5449" t="s">
        <v>4657</v>
      </c>
      <c r="K5449" t="s">
        <v>25305</v>
      </c>
      <c r="L5449" t="s">
        <v>25306</v>
      </c>
      <c r="M5449" t="s">
        <v>291</v>
      </c>
      <c r="N5449" t="s">
        <v>1354</v>
      </c>
      <c r="O5449" t="s">
        <v>25307</v>
      </c>
      <c r="P5449" t="s">
        <v>14835</v>
      </c>
      <c r="Q5449" t="s">
        <v>25308</v>
      </c>
      <c r="R5449">
        <v>15</v>
      </c>
      <c r="S5449">
        <v>16</v>
      </c>
    </row>
    <row r="5450" spans="1:19" x14ac:dyDescent="0.35">
      <c r="A5450">
        <v>8885</v>
      </c>
      <c r="B5450" t="s">
        <v>25309</v>
      </c>
      <c r="C5450" t="s">
        <v>42</v>
      </c>
      <c r="D5450" t="s">
        <v>25310</v>
      </c>
      <c r="E5450" t="e" cm="1">
        <f t="array" ref="E5450">- INSULIN DETEMIR</f>
        <v>#NAME?</v>
      </c>
      <c r="F5450" t="s">
        <v>25311</v>
      </c>
      <c r="G5450" t="s">
        <v>25312</v>
      </c>
      <c r="H5450" t="s">
        <v>25313</v>
      </c>
      <c r="I5450" t="s">
        <v>25314</v>
      </c>
      <c r="J5450" t="s">
        <v>8611</v>
      </c>
      <c r="K5450" t="s">
        <v>25315</v>
      </c>
      <c r="L5450" t="s">
        <v>25316</v>
      </c>
      <c r="M5450" t="s">
        <v>2403</v>
      </c>
      <c r="N5450" t="s">
        <v>25317</v>
      </c>
      <c r="O5450" t="s">
        <v>25318</v>
      </c>
      <c r="P5450" t="s">
        <v>25319</v>
      </c>
      <c r="Q5450" t="s">
        <v>25320</v>
      </c>
      <c r="R5450">
        <v>15</v>
      </c>
      <c r="S5450">
        <v>16</v>
      </c>
    </row>
    <row r="5451" spans="1:19" x14ac:dyDescent="0.35">
      <c r="A5451">
        <v>4095</v>
      </c>
      <c r="B5451" t="s">
        <v>25171</v>
      </c>
      <c r="C5451" t="s">
        <v>42</v>
      </c>
      <c r="D5451" t="s">
        <v>25172</v>
      </c>
      <c r="E5451" t="e" cm="1">
        <f t="array" ref="E5451">- FEXOFENADINE HYDROCHLORIDE</f>
        <v>#NAME?</v>
      </c>
      <c r="F5451" t="s">
        <v>25173</v>
      </c>
      <c r="G5451" t="s">
        <v>25174</v>
      </c>
      <c r="H5451" t="s">
        <v>25175</v>
      </c>
      <c r="I5451" t="s">
        <v>25176</v>
      </c>
      <c r="J5451" t="s">
        <v>6476</v>
      </c>
      <c r="K5451" t="s">
        <v>7921</v>
      </c>
      <c r="L5451" t="s">
        <v>25177</v>
      </c>
      <c r="M5451" t="s">
        <v>46</v>
      </c>
      <c r="N5451" t="s">
        <v>3563</v>
      </c>
      <c r="O5451" t="s">
        <v>25178</v>
      </c>
      <c r="P5451" t="s">
        <v>16554</v>
      </c>
      <c r="Q5451" t="s">
        <v>25179</v>
      </c>
      <c r="R5451">
        <v>15</v>
      </c>
      <c r="S5451">
        <v>16</v>
      </c>
    </row>
    <row r="5452" spans="1:19" x14ac:dyDescent="0.35">
      <c r="A5452">
        <v>3522</v>
      </c>
      <c r="B5452" t="s">
        <v>25321</v>
      </c>
      <c r="C5452" t="s">
        <v>42</v>
      </c>
      <c r="D5452" t="s">
        <v>25322</v>
      </c>
      <c r="E5452" t="e" cm="1">
        <f t="array" ref="E5452">- DOMPERIDONE</f>
        <v>#NAME?</v>
      </c>
      <c r="F5452" t="s">
        <v>25323</v>
      </c>
      <c r="G5452" t="s">
        <v>8205</v>
      </c>
      <c r="H5452" t="s">
        <v>1589</v>
      </c>
      <c r="I5452" t="s">
        <v>24493</v>
      </c>
      <c r="J5452" t="s">
        <v>25324</v>
      </c>
      <c r="K5452" t="s">
        <v>25325</v>
      </c>
      <c r="L5452" t="s">
        <v>24496</v>
      </c>
      <c r="M5452" t="s">
        <v>46</v>
      </c>
      <c r="N5452" t="s">
        <v>341</v>
      </c>
      <c r="O5452" t="s">
        <v>24497</v>
      </c>
      <c r="P5452" t="s">
        <v>10381</v>
      </c>
      <c r="Q5452" t="s">
        <v>25326</v>
      </c>
      <c r="R5452">
        <v>15</v>
      </c>
      <c r="S5452">
        <v>16</v>
      </c>
    </row>
    <row r="5453" spans="1:19" x14ac:dyDescent="0.35">
      <c r="A5453">
        <v>3525</v>
      </c>
      <c r="B5453" t="s">
        <v>25327</v>
      </c>
      <c r="C5453" t="s">
        <v>42</v>
      </c>
      <c r="D5453" t="s">
        <v>25328</v>
      </c>
      <c r="E5453" t="e" cm="1">
        <f t="array" ref="E5453">- HYOSCINE BUTYLBROMIDE</f>
        <v>#NAME?</v>
      </c>
      <c r="F5453" t="s">
        <v>25329</v>
      </c>
      <c r="G5453" t="s">
        <v>3098</v>
      </c>
      <c r="H5453" t="s">
        <v>25330</v>
      </c>
      <c r="I5453" t="s">
        <v>25331</v>
      </c>
      <c r="J5453" t="s">
        <v>25332</v>
      </c>
      <c r="K5453" t="s">
        <v>25333</v>
      </c>
      <c r="L5453" t="s">
        <v>25334</v>
      </c>
      <c r="M5453" t="s">
        <v>46</v>
      </c>
      <c r="N5453" t="s">
        <v>23642</v>
      </c>
      <c r="O5453" t="s">
        <v>25335</v>
      </c>
      <c r="P5453" t="s">
        <v>25336</v>
      </c>
      <c r="Q5453" t="s">
        <v>25337</v>
      </c>
      <c r="R5453">
        <v>15</v>
      </c>
      <c r="S5453">
        <v>16</v>
      </c>
    </row>
    <row r="5454" spans="1:19" x14ac:dyDescent="0.35">
      <c r="A5454">
        <v>3982</v>
      </c>
      <c r="B5454" t="s">
        <v>25338</v>
      </c>
      <c r="C5454" t="s">
        <v>42</v>
      </c>
      <c r="D5454" t="s">
        <v>25339</v>
      </c>
      <c r="E5454" t="e" cm="1">
        <f t="array" ref="E5454">- FLUOCORTOLONE PIVALATE</f>
        <v>#NAME?</v>
      </c>
      <c r="F5454" t="s">
        <v>25340</v>
      </c>
      <c r="G5454" t="s">
        <v>8714</v>
      </c>
      <c r="H5454" t="s">
        <v>25341</v>
      </c>
      <c r="I5454" t="s">
        <v>25342</v>
      </c>
      <c r="J5454" t="s">
        <v>22733</v>
      </c>
      <c r="K5454" t="s">
        <v>25343</v>
      </c>
      <c r="L5454" t="s">
        <v>25344</v>
      </c>
      <c r="M5454" t="s">
        <v>720</v>
      </c>
      <c r="N5454" t="s">
        <v>25345</v>
      </c>
      <c r="O5454" t="s">
        <v>25346</v>
      </c>
      <c r="P5454" t="s">
        <v>25347</v>
      </c>
      <c r="Q5454" t="s">
        <v>25348</v>
      </c>
      <c r="R5454">
        <v>15</v>
      </c>
      <c r="S5454">
        <v>16</v>
      </c>
    </row>
    <row r="5455" spans="1:19" x14ac:dyDescent="0.35">
      <c r="A5455">
        <v>4096</v>
      </c>
      <c r="B5455" t="s">
        <v>25171</v>
      </c>
      <c r="C5455" t="s">
        <v>42</v>
      </c>
      <c r="D5455" t="s">
        <v>25172</v>
      </c>
      <c r="E5455" t="e" cm="1">
        <f t="array" ref="E5455">- FEXOFENADINE HYDROCHLORIDE</f>
        <v>#NAME?</v>
      </c>
      <c r="F5455" t="s">
        <v>25173</v>
      </c>
      <c r="G5455" t="s">
        <v>25174</v>
      </c>
      <c r="H5455" t="s">
        <v>25175</v>
      </c>
      <c r="I5455" t="s">
        <v>25176</v>
      </c>
      <c r="J5455" t="s">
        <v>6476</v>
      </c>
      <c r="K5455" t="s">
        <v>7921</v>
      </c>
      <c r="L5455" t="s">
        <v>25177</v>
      </c>
      <c r="M5455" t="s">
        <v>46</v>
      </c>
      <c r="N5455" t="s">
        <v>3563</v>
      </c>
      <c r="O5455" t="s">
        <v>25178</v>
      </c>
      <c r="P5455" t="s">
        <v>16554</v>
      </c>
      <c r="Q5455" t="s">
        <v>25179</v>
      </c>
      <c r="R5455">
        <v>15</v>
      </c>
      <c r="S5455">
        <v>16</v>
      </c>
    </row>
    <row r="5456" spans="1:19" x14ac:dyDescent="0.35">
      <c r="A5456">
        <v>8084</v>
      </c>
      <c r="B5456" t="s">
        <v>551</v>
      </c>
      <c r="C5456" t="s">
        <v>42</v>
      </c>
      <c r="D5456" t="s">
        <v>24987</v>
      </c>
      <c r="E5456" t="e" cm="1">
        <f t="array" ref="E5456">- POVIDONE-IODINE</f>
        <v>#NAME?</v>
      </c>
      <c r="F5456" t="s">
        <v>24988</v>
      </c>
      <c r="G5456" t="s">
        <v>21481</v>
      </c>
      <c r="H5456" t="s">
        <v>1322</v>
      </c>
      <c r="I5456" t="s">
        <v>24561</v>
      </c>
      <c r="J5456" t="s">
        <v>24989</v>
      </c>
      <c r="M5456" t="s">
        <v>554</v>
      </c>
      <c r="N5456" t="s">
        <v>555</v>
      </c>
      <c r="O5456" t="s">
        <v>24563</v>
      </c>
      <c r="P5456" t="s">
        <v>24990</v>
      </c>
      <c r="Q5456" t="s">
        <v>24991</v>
      </c>
      <c r="R5456">
        <v>15</v>
      </c>
      <c r="S5456">
        <v>16</v>
      </c>
    </row>
    <row r="5457" spans="1:19" x14ac:dyDescent="0.35">
      <c r="A5457">
        <v>5136</v>
      </c>
      <c r="B5457" t="s">
        <v>22050</v>
      </c>
      <c r="C5457" t="s">
        <v>42</v>
      </c>
      <c r="D5457" t="s">
        <v>22051</v>
      </c>
      <c r="E5457" t="e" cm="1">
        <f t="array" ref="E5457">- BETAMETHASONE DIPROPIONATE</f>
        <v>#NAME?</v>
      </c>
      <c r="F5457" t="s">
        <v>22052</v>
      </c>
      <c r="G5457" t="s">
        <v>22053</v>
      </c>
      <c r="H5457" t="s">
        <v>8886</v>
      </c>
      <c r="I5457" t="s">
        <v>22054</v>
      </c>
      <c r="J5457" t="s">
        <v>5475</v>
      </c>
      <c r="K5457" t="s">
        <v>22055</v>
      </c>
      <c r="L5457" t="s">
        <v>11858</v>
      </c>
      <c r="M5457" t="s">
        <v>1289</v>
      </c>
      <c r="N5457" t="s">
        <v>2685</v>
      </c>
      <c r="O5457" t="s">
        <v>22056</v>
      </c>
      <c r="P5457" t="s">
        <v>22057</v>
      </c>
      <c r="Q5457" t="s">
        <v>25349</v>
      </c>
      <c r="R5457">
        <v>15</v>
      </c>
      <c r="S5457">
        <v>16</v>
      </c>
    </row>
    <row r="5458" spans="1:19" x14ac:dyDescent="0.35">
      <c r="A5458">
        <v>8364</v>
      </c>
      <c r="B5458" t="s">
        <v>551</v>
      </c>
      <c r="C5458" t="s">
        <v>42</v>
      </c>
      <c r="D5458" t="s">
        <v>25350</v>
      </c>
      <c r="E5458" t="e" cm="1">
        <f t="array" ref="E5458">- POVIDONE-IODINE</f>
        <v>#NAME?</v>
      </c>
      <c r="F5458" t="s">
        <v>25351</v>
      </c>
      <c r="I5458" t="s">
        <v>24440</v>
      </c>
      <c r="J5458" t="s">
        <v>12405</v>
      </c>
      <c r="M5458" t="s">
        <v>554</v>
      </c>
      <c r="N5458" t="s">
        <v>555</v>
      </c>
      <c r="O5458" t="s">
        <v>24441</v>
      </c>
      <c r="P5458" t="s">
        <v>25352</v>
      </c>
      <c r="Q5458" t="s">
        <v>25353</v>
      </c>
      <c r="R5458">
        <v>15</v>
      </c>
      <c r="S5458">
        <v>16</v>
      </c>
    </row>
    <row r="5459" spans="1:19" x14ac:dyDescent="0.35">
      <c r="A5459">
        <v>8371</v>
      </c>
      <c r="B5459" t="s">
        <v>551</v>
      </c>
      <c r="C5459" t="s">
        <v>42</v>
      </c>
      <c r="D5459" t="s">
        <v>25354</v>
      </c>
      <c r="E5459" t="e" cm="1">
        <f t="array" ref="E5459">- POVIDONE-IODINE</f>
        <v>#NAME?</v>
      </c>
      <c r="F5459" t="s">
        <v>25355</v>
      </c>
      <c r="I5459" t="s">
        <v>24440</v>
      </c>
      <c r="J5459" t="s">
        <v>12405</v>
      </c>
      <c r="M5459" t="s">
        <v>554</v>
      </c>
      <c r="N5459" t="s">
        <v>555</v>
      </c>
      <c r="O5459" t="s">
        <v>24441</v>
      </c>
      <c r="P5459" t="s">
        <v>25356</v>
      </c>
      <c r="Q5459" t="s">
        <v>25357</v>
      </c>
      <c r="R5459">
        <v>15</v>
      </c>
      <c r="S5459">
        <v>16</v>
      </c>
    </row>
    <row r="5460" spans="1:19" x14ac:dyDescent="0.35">
      <c r="A5460">
        <v>8370</v>
      </c>
      <c r="B5460" t="s">
        <v>551</v>
      </c>
      <c r="C5460" t="s">
        <v>42</v>
      </c>
      <c r="D5460" t="s">
        <v>25354</v>
      </c>
      <c r="E5460" t="e" cm="1">
        <f t="array" ref="E5460">- POVIDONE-IODINE</f>
        <v>#NAME?</v>
      </c>
      <c r="F5460" t="s">
        <v>25355</v>
      </c>
      <c r="I5460" t="s">
        <v>24440</v>
      </c>
      <c r="J5460" t="s">
        <v>12405</v>
      </c>
      <c r="M5460" t="s">
        <v>554</v>
      </c>
      <c r="N5460" t="s">
        <v>555</v>
      </c>
      <c r="O5460" t="s">
        <v>24441</v>
      </c>
      <c r="P5460" t="s">
        <v>25356</v>
      </c>
      <c r="Q5460" t="s">
        <v>25357</v>
      </c>
      <c r="R5460">
        <v>15</v>
      </c>
      <c r="S5460">
        <v>16</v>
      </c>
    </row>
    <row r="5461" spans="1:19" x14ac:dyDescent="0.35">
      <c r="A5461">
        <v>5135</v>
      </c>
      <c r="B5461" t="s">
        <v>22050</v>
      </c>
      <c r="C5461" t="s">
        <v>42</v>
      </c>
      <c r="D5461" t="s">
        <v>22051</v>
      </c>
      <c r="E5461" t="e" cm="1">
        <f t="array" ref="E5461">- BETAMETHASONE DIPROPIONATE</f>
        <v>#NAME?</v>
      </c>
      <c r="F5461" t="s">
        <v>22052</v>
      </c>
      <c r="G5461" t="s">
        <v>22053</v>
      </c>
      <c r="H5461" t="s">
        <v>8886</v>
      </c>
      <c r="I5461" t="s">
        <v>22054</v>
      </c>
      <c r="J5461" t="s">
        <v>5475</v>
      </c>
      <c r="K5461" t="s">
        <v>22055</v>
      </c>
      <c r="L5461" t="s">
        <v>11858</v>
      </c>
      <c r="M5461" t="s">
        <v>1289</v>
      </c>
      <c r="N5461" t="s">
        <v>2685</v>
      </c>
      <c r="O5461" t="s">
        <v>22056</v>
      </c>
      <c r="P5461" t="s">
        <v>22057</v>
      </c>
      <c r="Q5461" t="s">
        <v>25349</v>
      </c>
      <c r="R5461">
        <v>15</v>
      </c>
      <c r="S5461">
        <v>16</v>
      </c>
    </row>
    <row r="5462" spans="1:19" x14ac:dyDescent="0.35">
      <c r="A5462">
        <v>8369</v>
      </c>
      <c r="B5462" t="s">
        <v>551</v>
      </c>
      <c r="C5462" t="s">
        <v>42</v>
      </c>
      <c r="D5462" t="s">
        <v>25358</v>
      </c>
      <c r="E5462" t="e" cm="1">
        <f t="array" ref="E5462">- POVIDONE-IODINE</f>
        <v>#NAME?</v>
      </c>
      <c r="F5462" t="s">
        <v>25359</v>
      </c>
      <c r="I5462" t="s">
        <v>24440</v>
      </c>
      <c r="J5462" t="s">
        <v>12405</v>
      </c>
      <c r="M5462" t="s">
        <v>554</v>
      </c>
      <c r="N5462" t="s">
        <v>555</v>
      </c>
      <c r="O5462" t="s">
        <v>24441</v>
      </c>
      <c r="P5462" t="s">
        <v>25360</v>
      </c>
      <c r="Q5462" t="s">
        <v>25361</v>
      </c>
      <c r="R5462">
        <v>15</v>
      </c>
      <c r="S5462">
        <v>16</v>
      </c>
    </row>
    <row r="5463" spans="1:19" x14ac:dyDescent="0.35">
      <c r="A5463">
        <v>8706</v>
      </c>
      <c r="B5463" t="s">
        <v>24720</v>
      </c>
      <c r="C5463" t="s">
        <v>42</v>
      </c>
      <c r="D5463" t="s">
        <v>24721</v>
      </c>
      <c r="E5463" t="e" cm="1">
        <f t="array" ref="E5463">- GLIPIZIDE</f>
        <v>#NAME?</v>
      </c>
      <c r="F5463" t="s">
        <v>24722</v>
      </c>
      <c r="G5463" t="s">
        <v>24594</v>
      </c>
      <c r="H5463" t="s">
        <v>24723</v>
      </c>
      <c r="I5463" t="s">
        <v>24596</v>
      </c>
      <c r="J5463" t="s">
        <v>24724</v>
      </c>
      <c r="K5463" t="s">
        <v>24598</v>
      </c>
    </row>
    <row r="5464" spans="1:19" x14ac:dyDescent="0.35">
      <c r="A5464">
        <v>3527</v>
      </c>
      <c r="B5464" t="s">
        <v>24679</v>
      </c>
      <c r="C5464" t="s">
        <v>42</v>
      </c>
      <c r="D5464" t="s">
        <v>24680</v>
      </c>
      <c r="E5464" t="e" cm="1">
        <f t="array" ref="E5464">- ONDANSETRON HYDROCHLORIDE DIHYDRATE</f>
        <v>#NAME?</v>
      </c>
      <c r="F5464" t="s">
        <v>24681</v>
      </c>
      <c r="G5464" t="s">
        <v>12424</v>
      </c>
      <c r="H5464" t="s">
        <v>24682</v>
      </c>
      <c r="I5464" t="s">
        <v>24683</v>
      </c>
      <c r="J5464" t="s">
        <v>24684</v>
      </c>
      <c r="L5464" t="s">
        <v>2537</v>
      </c>
      <c r="M5464" t="s">
        <v>46</v>
      </c>
      <c r="N5464" t="s">
        <v>14087</v>
      </c>
      <c r="O5464" t="s">
        <v>24685</v>
      </c>
      <c r="P5464" t="s">
        <v>19940</v>
      </c>
      <c r="Q5464" t="s">
        <v>24686</v>
      </c>
      <c r="R5464">
        <v>15</v>
      </c>
      <c r="S5464">
        <v>16</v>
      </c>
    </row>
    <row r="5465" spans="1:19" x14ac:dyDescent="0.35">
      <c r="A5465">
        <v>8368</v>
      </c>
      <c r="B5465" t="s">
        <v>551</v>
      </c>
      <c r="C5465" t="s">
        <v>42</v>
      </c>
      <c r="D5465" t="s">
        <v>25358</v>
      </c>
      <c r="E5465" t="e" cm="1">
        <f t="array" ref="E5465">- POVIDONE-IODINE</f>
        <v>#NAME?</v>
      </c>
      <c r="F5465" t="s">
        <v>25359</v>
      </c>
      <c r="I5465" t="s">
        <v>24440</v>
      </c>
      <c r="J5465" t="s">
        <v>12405</v>
      </c>
      <c r="M5465" t="s">
        <v>554</v>
      </c>
      <c r="N5465" t="s">
        <v>555</v>
      </c>
      <c r="O5465" t="s">
        <v>24441</v>
      </c>
      <c r="P5465" t="s">
        <v>25360</v>
      </c>
      <c r="Q5465" t="s">
        <v>25361</v>
      </c>
      <c r="R5465">
        <v>15</v>
      </c>
      <c r="S5465">
        <v>16</v>
      </c>
    </row>
    <row r="5466" spans="1:19" x14ac:dyDescent="0.35">
      <c r="A5466">
        <v>8365</v>
      </c>
      <c r="B5466" t="s">
        <v>551</v>
      </c>
      <c r="C5466" t="s">
        <v>42</v>
      </c>
      <c r="D5466" t="s">
        <v>25350</v>
      </c>
      <c r="E5466" t="e" cm="1">
        <f t="array" ref="E5466">- POVIDONE-IODINE</f>
        <v>#NAME?</v>
      </c>
      <c r="F5466" t="s">
        <v>25351</v>
      </c>
      <c r="I5466" t="s">
        <v>24440</v>
      </c>
      <c r="J5466" t="s">
        <v>12405</v>
      </c>
      <c r="M5466" t="s">
        <v>554</v>
      </c>
      <c r="N5466" t="s">
        <v>555</v>
      </c>
      <c r="O5466" t="s">
        <v>24441</v>
      </c>
      <c r="P5466" t="s">
        <v>25352</v>
      </c>
      <c r="Q5466" t="s">
        <v>25353</v>
      </c>
      <c r="R5466">
        <v>15</v>
      </c>
      <c r="S5466">
        <v>16</v>
      </c>
    </row>
    <row r="5467" spans="1:19" x14ac:dyDescent="0.35">
      <c r="A5467">
        <v>4393</v>
      </c>
      <c r="B5467" t="s">
        <v>25280</v>
      </c>
      <c r="C5467" t="s">
        <v>42</v>
      </c>
      <c r="D5467" t="s">
        <v>25281</v>
      </c>
      <c r="E5467" t="e" cm="1">
        <f t="array" ref="E5467">- FLUDROCORTISONE ACETATE</f>
        <v>#NAME?</v>
      </c>
      <c r="F5467" s="1">
        <v>38400</v>
      </c>
      <c r="G5467" t="s">
        <v>25282</v>
      </c>
      <c r="H5467" t="s">
        <v>16579</v>
      </c>
      <c r="I5467" t="s">
        <v>25283</v>
      </c>
      <c r="J5467" t="s">
        <v>24117</v>
      </c>
      <c r="K5467" t="s">
        <v>3952</v>
      </c>
      <c r="L5467" t="s">
        <v>25284</v>
      </c>
      <c r="M5467" t="s">
        <v>824</v>
      </c>
      <c r="N5467" t="s">
        <v>12970</v>
      </c>
      <c r="O5467" t="s">
        <v>25285</v>
      </c>
      <c r="P5467" t="s">
        <v>25286</v>
      </c>
      <c r="Q5467" t="s">
        <v>25287</v>
      </c>
      <c r="R5467">
        <v>15</v>
      </c>
      <c r="S5467">
        <v>16</v>
      </c>
    </row>
    <row r="5468" spans="1:19" x14ac:dyDescent="0.35">
      <c r="A5468">
        <v>8409</v>
      </c>
      <c r="B5468" t="s">
        <v>551</v>
      </c>
      <c r="C5468" t="s">
        <v>42</v>
      </c>
      <c r="D5468" t="s">
        <v>25362</v>
      </c>
      <c r="E5468" t="e" cm="1">
        <f t="array" ref="E5468">- POVIDONE-IODINE</f>
        <v>#NAME?</v>
      </c>
      <c r="F5468" t="s">
        <v>25363</v>
      </c>
      <c r="G5468" t="s">
        <v>25364</v>
      </c>
      <c r="H5468" t="s">
        <v>9647</v>
      </c>
      <c r="I5468" t="s">
        <v>25365</v>
      </c>
      <c r="J5468" t="s">
        <v>25366</v>
      </c>
      <c r="M5468" t="s">
        <v>554</v>
      </c>
      <c r="N5468" t="s">
        <v>555</v>
      </c>
      <c r="O5468" t="s">
        <v>25367</v>
      </c>
      <c r="P5468" t="s">
        <v>25368</v>
      </c>
      <c r="Q5468" t="s">
        <v>25369</v>
      </c>
      <c r="R5468">
        <v>15</v>
      </c>
      <c r="S5468">
        <v>16</v>
      </c>
    </row>
    <row r="5469" spans="1:19" x14ac:dyDescent="0.35">
      <c r="A5469">
        <v>4327</v>
      </c>
      <c r="B5469" t="s">
        <v>25370</v>
      </c>
      <c r="C5469" t="s">
        <v>20</v>
      </c>
      <c r="D5469" t="s">
        <v>25371</v>
      </c>
      <c r="E5469" t="s">
        <v>25372</v>
      </c>
      <c r="F5469" t="s">
        <v>25373</v>
      </c>
      <c r="G5469" t="s">
        <v>25374</v>
      </c>
      <c r="H5469" t="s">
        <v>25375</v>
      </c>
      <c r="I5469" t="s">
        <v>25376</v>
      </c>
      <c r="J5469" t="s">
        <v>25377</v>
      </c>
      <c r="L5469" t="s">
        <v>20261</v>
      </c>
      <c r="M5469" t="s">
        <v>46</v>
      </c>
      <c r="N5469" t="s">
        <v>25378</v>
      </c>
      <c r="O5469" t="s">
        <v>25379</v>
      </c>
      <c r="P5469" t="s">
        <v>25380</v>
      </c>
      <c r="Q5469" t="s">
        <v>25381</v>
      </c>
      <c r="R5469">
        <v>15</v>
      </c>
      <c r="S5469">
        <v>16</v>
      </c>
    </row>
    <row r="5470" spans="1:19" x14ac:dyDescent="0.35">
      <c r="A5470">
        <v>5248</v>
      </c>
      <c r="B5470" t="s">
        <v>25382</v>
      </c>
      <c r="C5470" t="s">
        <v>42</v>
      </c>
      <c r="D5470" t="s">
        <v>25383</v>
      </c>
      <c r="E5470" t="e" cm="1">
        <f t="array" ref="E5470">- BETAMETHASONE VALERATE</f>
        <v>#NAME?</v>
      </c>
      <c r="F5470" t="s">
        <v>25384</v>
      </c>
      <c r="G5470" t="s">
        <v>7120</v>
      </c>
      <c r="H5470" t="s">
        <v>9718</v>
      </c>
      <c r="I5470" t="s">
        <v>25385</v>
      </c>
      <c r="J5470" t="s">
        <v>2040</v>
      </c>
      <c r="K5470" t="s">
        <v>23464</v>
      </c>
      <c r="L5470" t="s">
        <v>25386</v>
      </c>
      <c r="M5470" t="s">
        <v>1289</v>
      </c>
      <c r="N5470" t="s">
        <v>2059</v>
      </c>
      <c r="O5470" t="s">
        <v>25387</v>
      </c>
      <c r="P5470" t="s">
        <v>25388</v>
      </c>
      <c r="Q5470" t="s">
        <v>25389</v>
      </c>
      <c r="R5470">
        <v>15</v>
      </c>
      <c r="S5470">
        <v>16</v>
      </c>
    </row>
    <row r="5471" spans="1:19" x14ac:dyDescent="0.35">
      <c r="A5471">
        <v>8407</v>
      </c>
      <c r="B5471" t="s">
        <v>551</v>
      </c>
      <c r="C5471" t="s">
        <v>42</v>
      </c>
      <c r="D5471" t="s">
        <v>25390</v>
      </c>
      <c r="E5471" t="e" cm="1">
        <f t="array" ref="E5471">- POVIDONE-IODINE</f>
        <v>#NAME?</v>
      </c>
      <c r="F5471" t="s">
        <v>25391</v>
      </c>
      <c r="I5471" t="s">
        <v>25365</v>
      </c>
      <c r="J5471" t="s">
        <v>5484</v>
      </c>
      <c r="M5471" t="s">
        <v>554</v>
      </c>
      <c r="N5471" t="s">
        <v>555</v>
      </c>
      <c r="O5471" t="s">
        <v>25367</v>
      </c>
      <c r="P5471" t="s">
        <v>25392</v>
      </c>
      <c r="Q5471" t="s">
        <v>25393</v>
      </c>
      <c r="R5471">
        <v>15</v>
      </c>
      <c r="S5471">
        <v>16</v>
      </c>
    </row>
    <row r="5472" spans="1:19" x14ac:dyDescent="0.35">
      <c r="A5472">
        <v>4872</v>
      </c>
      <c r="B5472" t="s">
        <v>25394</v>
      </c>
      <c r="C5472" t="s">
        <v>42</v>
      </c>
      <c r="D5472" t="s">
        <v>25395</v>
      </c>
      <c r="E5472" t="e" cm="1">
        <f t="array" ref="E5472">- DEXAMETHASONE SODIUM PHOSPHATE</f>
        <v>#NAME?</v>
      </c>
      <c r="F5472" t="s">
        <v>25396</v>
      </c>
      <c r="G5472" t="s">
        <v>19078</v>
      </c>
      <c r="H5472" t="s">
        <v>25397</v>
      </c>
      <c r="I5472" t="s">
        <v>25398</v>
      </c>
      <c r="J5472" t="s">
        <v>25399</v>
      </c>
      <c r="K5472" t="s">
        <v>25400</v>
      </c>
      <c r="L5472" t="s">
        <v>25401</v>
      </c>
      <c r="M5472" t="s">
        <v>824</v>
      </c>
      <c r="N5472" t="s">
        <v>25402</v>
      </c>
      <c r="O5472" t="s">
        <v>25403</v>
      </c>
      <c r="P5472" t="s">
        <v>25404</v>
      </c>
      <c r="Q5472" t="s">
        <v>25405</v>
      </c>
      <c r="R5472">
        <v>15</v>
      </c>
      <c r="S5472">
        <v>16</v>
      </c>
    </row>
    <row r="5473" spans="1:19" x14ac:dyDescent="0.35">
      <c r="A5473">
        <v>7894</v>
      </c>
      <c r="B5473" t="s">
        <v>25406</v>
      </c>
      <c r="C5473" t="s">
        <v>20</v>
      </c>
      <c r="D5473" t="s">
        <v>25407</v>
      </c>
      <c r="E5473" t="s">
        <v>25408</v>
      </c>
      <c r="F5473" t="s">
        <v>25409</v>
      </c>
      <c r="G5473" t="s">
        <v>2241</v>
      </c>
      <c r="H5473" t="s">
        <v>25410</v>
      </c>
      <c r="I5473" t="s">
        <v>25411</v>
      </c>
      <c r="J5473" t="s">
        <v>70</v>
      </c>
      <c r="M5473" t="s">
        <v>38</v>
      </c>
      <c r="N5473" t="s">
        <v>25412</v>
      </c>
      <c r="O5473" t="s">
        <v>25413</v>
      </c>
      <c r="P5473" t="s">
        <v>25414</v>
      </c>
      <c r="Q5473" t="s">
        <v>25415</v>
      </c>
      <c r="R5473">
        <v>15</v>
      </c>
      <c r="S5473">
        <v>16</v>
      </c>
    </row>
    <row r="5474" spans="1:19" x14ac:dyDescent="0.35">
      <c r="A5474">
        <v>411</v>
      </c>
      <c r="B5474" t="s">
        <v>25109</v>
      </c>
      <c r="C5474" t="s">
        <v>20</v>
      </c>
      <c r="D5474" t="s">
        <v>25110</v>
      </c>
      <c r="E5474" t="s">
        <v>25111</v>
      </c>
      <c r="F5474" t="s">
        <v>25112</v>
      </c>
      <c r="G5474" t="s">
        <v>2241</v>
      </c>
      <c r="H5474" t="s">
        <v>25113</v>
      </c>
      <c r="I5474" t="s">
        <v>25114</v>
      </c>
      <c r="J5474" t="s">
        <v>75</v>
      </c>
      <c r="M5474" t="s">
        <v>38</v>
      </c>
      <c r="N5474" t="s">
        <v>25115</v>
      </c>
      <c r="O5474" t="s">
        <v>25116</v>
      </c>
      <c r="P5474" t="s">
        <v>25117</v>
      </c>
      <c r="Q5474" t="s">
        <v>25118</v>
      </c>
      <c r="R5474">
        <v>15</v>
      </c>
      <c r="S5474">
        <v>16</v>
      </c>
    </row>
    <row r="5475" spans="1:19" x14ac:dyDescent="0.35">
      <c r="A5475">
        <v>7985</v>
      </c>
      <c r="B5475" t="s">
        <v>25416</v>
      </c>
      <c r="C5475" t="s">
        <v>20</v>
      </c>
      <c r="D5475" t="s">
        <v>25417</v>
      </c>
      <c r="E5475" t="s">
        <v>25418</v>
      </c>
      <c r="F5475" t="s">
        <v>25419</v>
      </c>
      <c r="H5475" t="s">
        <v>25420</v>
      </c>
    </row>
    <row r="5476" spans="1:19" x14ac:dyDescent="0.35">
      <c r="A5476">
        <v>3086</v>
      </c>
      <c r="B5476" t="s">
        <v>25421</v>
      </c>
      <c r="C5476" t="s">
        <v>42</v>
      </c>
      <c r="D5476" t="s">
        <v>25422</v>
      </c>
      <c r="E5476" t="e" cm="1">
        <f t="array" ref="E5476">- PANTOPRAZOLE SODIUM</f>
        <v>#NAME?</v>
      </c>
      <c r="F5476" t="s">
        <v>25423</v>
      </c>
      <c r="G5476" t="s">
        <v>25424</v>
      </c>
      <c r="H5476" t="s">
        <v>25425</v>
      </c>
      <c r="I5476" t="s">
        <v>25426</v>
      </c>
      <c r="J5476" t="s">
        <v>25427</v>
      </c>
      <c r="K5476" t="s">
        <v>25428</v>
      </c>
      <c r="L5476" t="s">
        <v>25429</v>
      </c>
      <c r="M5476" t="s">
        <v>46</v>
      </c>
      <c r="N5476" t="s">
        <v>1757</v>
      </c>
      <c r="O5476" t="s">
        <v>25430</v>
      </c>
      <c r="P5476" t="s">
        <v>15705</v>
      </c>
      <c r="Q5476" t="s">
        <v>25431</v>
      </c>
      <c r="R5476">
        <v>15</v>
      </c>
      <c r="S5476">
        <v>16</v>
      </c>
    </row>
    <row r="5477" spans="1:19" x14ac:dyDescent="0.35">
      <c r="A5477">
        <v>8402</v>
      </c>
      <c r="B5477" t="s">
        <v>551</v>
      </c>
      <c r="C5477" t="s">
        <v>42</v>
      </c>
      <c r="D5477" t="s">
        <v>25432</v>
      </c>
      <c r="E5477" t="e" cm="1">
        <f t="array" ref="E5477">- POVIDONE-IODINE</f>
        <v>#NAME?</v>
      </c>
      <c r="F5477" s="1">
        <v>29700</v>
      </c>
      <c r="G5477" t="s">
        <v>25364</v>
      </c>
      <c r="I5477" t="s">
        <v>25365</v>
      </c>
      <c r="J5477" t="s">
        <v>25433</v>
      </c>
      <c r="M5477" t="s">
        <v>554</v>
      </c>
      <c r="N5477" t="s">
        <v>555</v>
      </c>
      <c r="O5477" t="s">
        <v>25367</v>
      </c>
      <c r="P5477" t="s">
        <v>25434</v>
      </c>
      <c r="Q5477" t="s">
        <v>25435</v>
      </c>
      <c r="R5477">
        <v>15</v>
      </c>
      <c r="S5477">
        <v>16</v>
      </c>
    </row>
    <row r="5478" spans="1:19" x14ac:dyDescent="0.35">
      <c r="A5478">
        <v>8786</v>
      </c>
      <c r="B5478" t="s">
        <v>2388</v>
      </c>
      <c r="C5478" t="s">
        <v>42</v>
      </c>
      <c r="D5478" t="s">
        <v>25436</v>
      </c>
      <c r="E5478" t="e" cm="1">
        <f t="array" ref="E5478">- PIOGLITAZONE HYDROCHLORIDE</f>
        <v>#NAME?</v>
      </c>
      <c r="F5478" t="s">
        <v>25437</v>
      </c>
      <c r="G5478" t="s">
        <v>16042</v>
      </c>
      <c r="H5478" t="s">
        <v>1322</v>
      </c>
      <c r="I5478" t="s">
        <v>25438</v>
      </c>
      <c r="J5478" t="s">
        <v>16044</v>
      </c>
      <c r="L5478" t="s">
        <v>16045</v>
      </c>
      <c r="M5478" t="s">
        <v>46</v>
      </c>
      <c r="N5478" t="s">
        <v>2389</v>
      </c>
      <c r="O5478" t="s">
        <v>25439</v>
      </c>
      <c r="P5478" t="s">
        <v>25440</v>
      </c>
      <c r="Q5478" t="s">
        <v>25441</v>
      </c>
      <c r="R5478">
        <v>15</v>
      </c>
      <c r="S5478">
        <v>16</v>
      </c>
    </row>
    <row r="5479" spans="1:19" x14ac:dyDescent="0.35">
      <c r="A5479">
        <v>8785</v>
      </c>
      <c r="B5479" t="s">
        <v>2388</v>
      </c>
      <c r="C5479" t="s">
        <v>42</v>
      </c>
      <c r="D5479" t="s">
        <v>25442</v>
      </c>
      <c r="E5479" t="e" cm="1">
        <f t="array" ref="E5479">- PIOGLITAZONE HYDROCHLORIDE</f>
        <v>#NAME?</v>
      </c>
      <c r="F5479" s="1">
        <v>145500</v>
      </c>
      <c r="G5479" t="s">
        <v>25443</v>
      </c>
      <c r="H5479" t="s">
        <v>25444</v>
      </c>
      <c r="I5479" t="s">
        <v>25445</v>
      </c>
      <c r="J5479" t="s">
        <v>5484</v>
      </c>
      <c r="M5479" t="s">
        <v>46</v>
      </c>
      <c r="N5479" t="s">
        <v>2389</v>
      </c>
      <c r="O5479" t="s">
        <v>25446</v>
      </c>
      <c r="P5479" t="s">
        <v>25447</v>
      </c>
      <c r="Q5479" t="s">
        <v>25448</v>
      </c>
      <c r="R5479">
        <v>15</v>
      </c>
      <c r="S5479">
        <v>16</v>
      </c>
    </row>
    <row r="5480" spans="1:19" x14ac:dyDescent="0.35">
      <c r="A5480">
        <v>8877</v>
      </c>
      <c r="B5480" t="s">
        <v>25449</v>
      </c>
      <c r="C5480" t="s">
        <v>42</v>
      </c>
      <c r="D5480" t="s">
        <v>25450</v>
      </c>
      <c r="E5480" t="e" cm="1">
        <f t="array" ref="E5480">- INSULIN</f>
        <v>#NAME?</v>
      </c>
      <c r="F5480" t="s">
        <v>25451</v>
      </c>
      <c r="G5480" t="s">
        <v>25452</v>
      </c>
      <c r="H5480" t="s">
        <v>25453</v>
      </c>
      <c r="I5480" t="s">
        <v>25314</v>
      </c>
      <c r="J5480" t="s">
        <v>25454</v>
      </c>
      <c r="K5480" t="s">
        <v>8612</v>
      </c>
      <c r="L5480" t="s">
        <v>25455</v>
      </c>
    </row>
    <row r="5481" spans="1:19" x14ac:dyDescent="0.35">
      <c r="A5481">
        <v>1166</v>
      </c>
      <c r="B5481" t="s">
        <v>25456</v>
      </c>
      <c r="C5481" t="s">
        <v>42</v>
      </c>
      <c r="D5481" t="s">
        <v>25457</v>
      </c>
      <c r="E5481" t="e" cm="1">
        <f t="array" ref="E5481">- LEVODROPROPIZINE</f>
        <v>#NAME?</v>
      </c>
      <c r="F5481" t="s">
        <v>25458</v>
      </c>
      <c r="G5481" t="s">
        <v>737</v>
      </c>
      <c r="H5481" t="s">
        <v>25459</v>
      </c>
      <c r="I5481" t="s">
        <v>25460</v>
      </c>
      <c r="J5481" t="s">
        <v>1144</v>
      </c>
      <c r="M5481" t="s">
        <v>271</v>
      </c>
      <c r="N5481" t="s">
        <v>459</v>
      </c>
      <c r="O5481" t="s">
        <v>25461</v>
      </c>
      <c r="P5481" t="s">
        <v>25462</v>
      </c>
      <c r="Q5481" t="s">
        <v>25463</v>
      </c>
      <c r="R5481">
        <v>15</v>
      </c>
      <c r="S5481">
        <v>16</v>
      </c>
    </row>
    <row r="5482" spans="1:19" x14ac:dyDescent="0.35">
      <c r="A5482">
        <v>8884</v>
      </c>
      <c r="B5482" t="s">
        <v>25309</v>
      </c>
      <c r="C5482" t="s">
        <v>42</v>
      </c>
      <c r="D5482" t="s">
        <v>25310</v>
      </c>
      <c r="E5482" t="e" cm="1">
        <f t="array" ref="E5482">- INSULIN DETEMIR</f>
        <v>#NAME?</v>
      </c>
      <c r="F5482" t="s">
        <v>25311</v>
      </c>
      <c r="G5482" t="s">
        <v>25312</v>
      </c>
      <c r="H5482" t="s">
        <v>25313</v>
      </c>
      <c r="I5482" t="s">
        <v>25314</v>
      </c>
      <c r="J5482" t="s">
        <v>8611</v>
      </c>
      <c r="K5482" t="s">
        <v>25315</v>
      </c>
      <c r="L5482" t="s">
        <v>25316</v>
      </c>
      <c r="M5482" t="s">
        <v>2403</v>
      </c>
      <c r="N5482" t="s">
        <v>25317</v>
      </c>
      <c r="O5482" t="s">
        <v>25318</v>
      </c>
      <c r="P5482" t="s">
        <v>25319</v>
      </c>
      <c r="Q5482" t="s">
        <v>25320</v>
      </c>
      <c r="R5482">
        <v>15</v>
      </c>
      <c r="S5482">
        <v>16</v>
      </c>
    </row>
    <row r="5483" spans="1:19" x14ac:dyDescent="0.35">
      <c r="A5483">
        <v>8783</v>
      </c>
      <c r="B5483" t="s">
        <v>2388</v>
      </c>
      <c r="C5483" t="s">
        <v>42</v>
      </c>
      <c r="D5483" t="s">
        <v>25464</v>
      </c>
      <c r="E5483" t="e" cm="1">
        <f t="array" ref="E5483">- PIOGLITAZONE HYDROCHLORIDE</f>
        <v>#NAME?</v>
      </c>
      <c r="F5483" s="1">
        <v>711500</v>
      </c>
      <c r="I5483" t="s">
        <v>25465</v>
      </c>
      <c r="J5483" t="s">
        <v>13954</v>
      </c>
      <c r="M5483" t="s">
        <v>46</v>
      </c>
      <c r="N5483" t="s">
        <v>2389</v>
      </c>
      <c r="O5483" t="s">
        <v>25466</v>
      </c>
      <c r="P5483" t="s">
        <v>25467</v>
      </c>
      <c r="Q5483" t="s">
        <v>25468</v>
      </c>
      <c r="R5483">
        <v>15</v>
      </c>
      <c r="S5483">
        <v>16</v>
      </c>
    </row>
    <row r="5484" spans="1:19" x14ac:dyDescent="0.35">
      <c r="A5484">
        <v>8408</v>
      </c>
      <c r="B5484" t="s">
        <v>551</v>
      </c>
      <c r="C5484" t="s">
        <v>42</v>
      </c>
      <c r="D5484" t="s">
        <v>25362</v>
      </c>
      <c r="E5484" t="e" cm="1">
        <f t="array" ref="E5484">- POVIDONE-IODINE</f>
        <v>#NAME?</v>
      </c>
      <c r="F5484" t="s">
        <v>25363</v>
      </c>
      <c r="G5484" t="s">
        <v>25364</v>
      </c>
      <c r="H5484" t="s">
        <v>9647</v>
      </c>
      <c r="I5484" t="s">
        <v>25365</v>
      </c>
      <c r="J5484" t="s">
        <v>25366</v>
      </c>
      <c r="M5484" t="s">
        <v>554</v>
      </c>
      <c r="N5484" t="s">
        <v>555</v>
      </c>
      <c r="O5484" t="s">
        <v>25367</v>
      </c>
      <c r="P5484" t="s">
        <v>25368</v>
      </c>
      <c r="Q5484" t="s">
        <v>25369</v>
      </c>
      <c r="R5484">
        <v>15</v>
      </c>
      <c r="S5484">
        <v>16</v>
      </c>
    </row>
    <row r="5485" spans="1:19" x14ac:dyDescent="0.35">
      <c r="A5485">
        <v>5247</v>
      </c>
      <c r="B5485" t="s">
        <v>25469</v>
      </c>
      <c r="C5485" t="s">
        <v>42</v>
      </c>
      <c r="D5485" t="s">
        <v>25470</v>
      </c>
      <c r="E5485" t="e" cm="1">
        <f t="array" ref="E5485">- BETAMETHASONE DIPROPIONATE</f>
        <v>#NAME?</v>
      </c>
      <c r="F5485" s="1">
        <v>63300</v>
      </c>
      <c r="G5485" t="s">
        <v>25471</v>
      </c>
      <c r="H5485" t="s">
        <v>25472</v>
      </c>
      <c r="I5485" t="s">
        <v>25473</v>
      </c>
      <c r="J5485" t="s">
        <v>7123</v>
      </c>
      <c r="K5485" t="s">
        <v>25474</v>
      </c>
      <c r="L5485" t="s">
        <v>25475</v>
      </c>
      <c r="M5485" t="s">
        <v>1289</v>
      </c>
      <c r="N5485" t="s">
        <v>2685</v>
      </c>
      <c r="O5485" t="s">
        <v>25476</v>
      </c>
      <c r="P5485" t="s">
        <v>25477</v>
      </c>
      <c r="Q5485" t="s">
        <v>25478</v>
      </c>
      <c r="R5485">
        <v>15</v>
      </c>
      <c r="S5485">
        <v>16</v>
      </c>
    </row>
    <row r="5486" spans="1:19" x14ac:dyDescent="0.35">
      <c r="A5486">
        <v>8406</v>
      </c>
      <c r="B5486" t="s">
        <v>551</v>
      </c>
      <c r="C5486" t="s">
        <v>42</v>
      </c>
      <c r="D5486" t="s">
        <v>25390</v>
      </c>
      <c r="E5486" t="e" cm="1">
        <f t="array" ref="E5486">- POVIDONE-IODINE</f>
        <v>#NAME?</v>
      </c>
      <c r="F5486" t="s">
        <v>25391</v>
      </c>
      <c r="I5486" t="s">
        <v>25365</v>
      </c>
      <c r="J5486" t="s">
        <v>5484</v>
      </c>
      <c r="M5486" t="s">
        <v>554</v>
      </c>
      <c r="N5486" t="s">
        <v>555</v>
      </c>
      <c r="O5486" t="s">
        <v>25367</v>
      </c>
      <c r="P5486" t="s">
        <v>25392</v>
      </c>
      <c r="Q5486" t="s">
        <v>25393</v>
      </c>
      <c r="R5486">
        <v>15</v>
      </c>
      <c r="S5486">
        <v>16</v>
      </c>
    </row>
    <row r="5487" spans="1:19" x14ac:dyDescent="0.35">
      <c r="A5487">
        <v>8403</v>
      </c>
      <c r="B5487" t="s">
        <v>551</v>
      </c>
      <c r="C5487" t="s">
        <v>42</v>
      </c>
      <c r="D5487" t="s">
        <v>25432</v>
      </c>
      <c r="E5487" t="e" cm="1">
        <f t="array" ref="E5487">- POVIDONE-IODINE</f>
        <v>#NAME?</v>
      </c>
      <c r="F5487" s="1">
        <v>29700</v>
      </c>
      <c r="G5487" t="s">
        <v>25364</v>
      </c>
      <c r="I5487" t="s">
        <v>25365</v>
      </c>
      <c r="J5487" t="s">
        <v>25433</v>
      </c>
      <c r="M5487" t="s">
        <v>554</v>
      </c>
      <c r="N5487" t="s">
        <v>555</v>
      </c>
      <c r="O5487" t="s">
        <v>25367</v>
      </c>
      <c r="P5487" t="s">
        <v>25434</v>
      </c>
      <c r="Q5487" t="s">
        <v>25435</v>
      </c>
      <c r="R5487">
        <v>15</v>
      </c>
      <c r="S5487">
        <v>16</v>
      </c>
    </row>
    <row r="5488" spans="1:19" x14ac:dyDescent="0.35">
      <c r="A5488">
        <v>2222</v>
      </c>
      <c r="B5488" t="s">
        <v>16051</v>
      </c>
      <c r="C5488" t="s">
        <v>42</v>
      </c>
      <c r="D5488" t="s">
        <v>16052</v>
      </c>
      <c r="E5488" t="e" cm="1">
        <f t="array" ref="E5488">- IBUPROFEN. THIAMINE MONONITRATE. PYRIDOXINE HYDROCHLORIDE. CYANOCOBALAMIN</f>
        <v>#NAME?</v>
      </c>
      <c r="F5488" t="s">
        <v>16053</v>
      </c>
      <c r="G5488" t="s">
        <v>4649</v>
      </c>
      <c r="H5488" t="s">
        <v>16054</v>
      </c>
      <c r="I5488" t="s">
        <v>16055</v>
      </c>
      <c r="J5488" t="s">
        <v>16056</v>
      </c>
      <c r="K5488" t="s">
        <v>16057</v>
      </c>
      <c r="L5488" t="s">
        <v>16058</v>
      </c>
      <c r="M5488" t="s">
        <v>291</v>
      </c>
      <c r="N5488" t="s">
        <v>25479</v>
      </c>
      <c r="O5488" t="s">
        <v>16059</v>
      </c>
      <c r="P5488" t="s">
        <v>16060</v>
      </c>
      <c r="Q5488" t="s">
        <v>25480</v>
      </c>
      <c r="R5488">
        <v>16</v>
      </c>
      <c r="S5488">
        <v>32</v>
      </c>
    </row>
    <row r="5489" spans="1:19" x14ac:dyDescent="0.35">
      <c r="A5489">
        <v>2230</v>
      </c>
      <c r="B5489" t="s">
        <v>25481</v>
      </c>
      <c r="C5489" t="s">
        <v>42</v>
      </c>
      <c r="D5489" t="s">
        <v>25482</v>
      </c>
      <c r="E5489" t="e" cm="1">
        <f t="array" ref="E5489">- DICLOFENAC SODIUM</f>
        <v>#NAME?</v>
      </c>
      <c r="F5489" t="s">
        <v>25483</v>
      </c>
      <c r="G5489" t="s">
        <v>22321</v>
      </c>
      <c r="H5489" t="s">
        <v>25484</v>
      </c>
      <c r="I5489" t="s">
        <v>25485</v>
      </c>
      <c r="J5489" t="s">
        <v>25486</v>
      </c>
      <c r="K5489" t="s">
        <v>25487</v>
      </c>
      <c r="L5489" t="s">
        <v>25488</v>
      </c>
      <c r="M5489" t="s">
        <v>87</v>
      </c>
      <c r="N5489" t="s">
        <v>2597</v>
      </c>
      <c r="O5489" t="s">
        <v>25489</v>
      </c>
      <c r="P5489" t="s">
        <v>25490</v>
      </c>
      <c r="Q5489" t="s">
        <v>25491</v>
      </c>
      <c r="R5489">
        <v>16</v>
      </c>
      <c r="S5489">
        <v>32</v>
      </c>
    </row>
    <row r="5490" spans="1:19" x14ac:dyDescent="0.35">
      <c r="A5490">
        <v>5890</v>
      </c>
      <c r="B5490" t="s">
        <v>25492</v>
      </c>
      <c r="C5490" t="s">
        <v>42</v>
      </c>
      <c r="D5490" t="s">
        <v>25493</v>
      </c>
      <c r="E5490" t="e" cm="1">
        <f t="array" ref="E5490">- THIAMPHENICOL</f>
        <v>#NAME?</v>
      </c>
      <c r="F5490" t="s">
        <v>25494</v>
      </c>
      <c r="G5490" t="s">
        <v>5568</v>
      </c>
      <c r="H5490" t="s">
        <v>25495</v>
      </c>
      <c r="I5490" t="s">
        <v>25496</v>
      </c>
      <c r="J5490" t="s">
        <v>334</v>
      </c>
      <c r="K5490" t="s">
        <v>9339</v>
      </c>
      <c r="L5490" t="s">
        <v>25497</v>
      </c>
      <c r="M5490" t="s">
        <v>271</v>
      </c>
      <c r="N5490" t="s">
        <v>272</v>
      </c>
      <c r="O5490" t="s">
        <v>25498</v>
      </c>
      <c r="P5490" t="s">
        <v>9342</v>
      </c>
      <c r="Q5490" t="s">
        <v>25499</v>
      </c>
      <c r="R5490">
        <v>16</v>
      </c>
      <c r="S5490">
        <v>32</v>
      </c>
    </row>
    <row r="5491" spans="1:19" x14ac:dyDescent="0.35">
      <c r="A5491">
        <v>5889</v>
      </c>
      <c r="B5491" t="s">
        <v>25500</v>
      </c>
      <c r="C5491" t="s">
        <v>42</v>
      </c>
      <c r="D5491" t="s">
        <v>25501</v>
      </c>
      <c r="E5491" t="e" cm="1">
        <f t="array" ref="E5491">- THIAMPHENICOL</f>
        <v>#NAME?</v>
      </c>
      <c r="F5491" t="s">
        <v>25502</v>
      </c>
      <c r="G5491" t="s">
        <v>737</v>
      </c>
      <c r="H5491" t="s">
        <v>5662</v>
      </c>
      <c r="I5491" t="s">
        <v>25496</v>
      </c>
      <c r="J5491" t="s">
        <v>19066</v>
      </c>
      <c r="K5491" t="s">
        <v>9339</v>
      </c>
      <c r="L5491" t="s">
        <v>5664</v>
      </c>
      <c r="M5491" t="s">
        <v>38</v>
      </c>
      <c r="N5491" t="s">
        <v>272</v>
      </c>
      <c r="O5491" t="s">
        <v>25498</v>
      </c>
      <c r="P5491" t="s">
        <v>9342</v>
      </c>
      <c r="Q5491" t="s">
        <v>25503</v>
      </c>
      <c r="R5491">
        <v>16</v>
      </c>
      <c r="S5491">
        <v>32</v>
      </c>
    </row>
    <row r="5492" spans="1:19" x14ac:dyDescent="0.35">
      <c r="A5492">
        <v>717</v>
      </c>
      <c r="B5492" t="s">
        <v>25504</v>
      </c>
      <c r="C5492" t="s">
        <v>20</v>
      </c>
      <c r="D5492" t="s">
        <v>25505</v>
      </c>
      <c r="E5492" t="s">
        <v>25506</v>
      </c>
      <c r="F5492" t="s">
        <v>25507</v>
      </c>
      <c r="G5492" t="s">
        <v>25508</v>
      </c>
      <c r="H5492" t="s">
        <v>1322</v>
      </c>
      <c r="I5492" t="e" cm="1">
        <f t="array" ref="I5492">- Membantu memberikan rasa hangat pada tubuh bayi - Membantu meredakan perut kembung - Membantu menghindari gigitan nyamuk</f>
        <v>#NAME?</v>
      </c>
      <c r="J5492" t="s">
        <v>16652</v>
      </c>
      <c r="M5492" t="s">
        <v>2115</v>
      </c>
      <c r="N5492" t="s">
        <v>25509</v>
      </c>
      <c r="O5492" t="e" cm="1">
        <f t="array" ref="O5492">- Membantu hangat tubuh bayi - Membantu meredakan perut kembung - Membantu menghindari gigitan nyamuk</f>
        <v>#NAME?</v>
      </c>
      <c r="P5492" t="s">
        <v>25509</v>
      </c>
      <c r="Q5492" t="s">
        <v>25510</v>
      </c>
      <c r="R5492">
        <v>16</v>
      </c>
      <c r="S5492">
        <v>32</v>
      </c>
    </row>
    <row r="5493" spans="1:19" x14ac:dyDescent="0.35">
      <c r="A5493">
        <v>2447</v>
      </c>
      <c r="B5493" t="s">
        <v>25511</v>
      </c>
      <c r="C5493" t="s">
        <v>42</v>
      </c>
      <c r="D5493" t="s">
        <v>25512</v>
      </c>
      <c r="E5493" t="e" cm="1">
        <f t="array" ref="E5493">- PARACETAMOL</f>
        <v>#NAME?</v>
      </c>
      <c r="F5493" t="s">
        <v>25513</v>
      </c>
      <c r="G5493" t="s">
        <v>4362</v>
      </c>
      <c r="H5493" t="s">
        <v>9708</v>
      </c>
      <c r="I5493" t="s">
        <v>25514</v>
      </c>
      <c r="J5493" t="s">
        <v>9710</v>
      </c>
      <c r="K5493" t="s">
        <v>9711</v>
      </c>
      <c r="L5493" t="s">
        <v>9712</v>
      </c>
      <c r="M5493" t="s">
        <v>291</v>
      </c>
      <c r="N5493" t="s">
        <v>584</v>
      </c>
      <c r="O5493" t="s">
        <v>25515</v>
      </c>
      <c r="P5493" t="s">
        <v>25516</v>
      </c>
      <c r="Q5493" t="s">
        <v>25517</v>
      </c>
      <c r="R5493">
        <v>16</v>
      </c>
      <c r="S5493">
        <v>32</v>
      </c>
    </row>
    <row r="5494" spans="1:19" x14ac:dyDescent="0.35">
      <c r="A5494">
        <v>2197</v>
      </c>
      <c r="B5494" t="s">
        <v>25518</v>
      </c>
      <c r="C5494" t="s">
        <v>42</v>
      </c>
      <c r="D5494" t="s">
        <v>25519</v>
      </c>
      <c r="E5494" t="e" cm="1">
        <f t="array" ref="E5494">- IBUPROFEN</f>
        <v>#NAME?</v>
      </c>
      <c r="F5494" t="s">
        <v>25520</v>
      </c>
      <c r="G5494" t="s">
        <v>2241</v>
      </c>
      <c r="H5494" t="s">
        <v>25521</v>
      </c>
      <c r="I5494" t="s">
        <v>25522</v>
      </c>
      <c r="J5494" t="s">
        <v>25523</v>
      </c>
      <c r="K5494" t="s">
        <v>25524</v>
      </c>
      <c r="L5494" t="s">
        <v>25525</v>
      </c>
      <c r="M5494" t="s">
        <v>46</v>
      </c>
      <c r="N5494" t="s">
        <v>383</v>
      </c>
      <c r="O5494" t="s">
        <v>25526</v>
      </c>
      <c r="P5494" t="s">
        <v>25527</v>
      </c>
      <c r="Q5494" t="s">
        <v>25528</v>
      </c>
      <c r="R5494">
        <v>16</v>
      </c>
      <c r="S5494">
        <v>32</v>
      </c>
    </row>
    <row r="5495" spans="1:19" x14ac:dyDescent="0.35">
      <c r="A5495">
        <v>2211</v>
      </c>
      <c r="B5495" t="s">
        <v>25529</v>
      </c>
      <c r="C5495" t="s">
        <v>42</v>
      </c>
      <c r="D5495" t="s">
        <v>25530</v>
      </c>
      <c r="E5495" t="e" cm="1">
        <f t="array" ref="E5495">- PARACETAMOL</f>
        <v>#NAME?</v>
      </c>
      <c r="F5495" t="s">
        <v>25531</v>
      </c>
      <c r="G5495" t="s">
        <v>4362</v>
      </c>
      <c r="H5495" t="s">
        <v>9708</v>
      </c>
      <c r="I5495" t="s">
        <v>25514</v>
      </c>
      <c r="J5495" t="s">
        <v>25532</v>
      </c>
      <c r="K5495" t="s">
        <v>9711</v>
      </c>
      <c r="L5495" t="s">
        <v>9712</v>
      </c>
      <c r="M5495" t="s">
        <v>46</v>
      </c>
      <c r="N5495" t="s">
        <v>584</v>
      </c>
      <c r="O5495" t="s">
        <v>25515</v>
      </c>
      <c r="P5495" t="s">
        <v>25533</v>
      </c>
      <c r="Q5495" t="s">
        <v>25534</v>
      </c>
      <c r="R5495">
        <v>16</v>
      </c>
      <c r="S5495">
        <v>32</v>
      </c>
    </row>
    <row r="5496" spans="1:19" x14ac:dyDescent="0.35">
      <c r="A5496">
        <v>8353</v>
      </c>
      <c r="B5496" t="s">
        <v>551</v>
      </c>
      <c r="C5496" t="s">
        <v>42</v>
      </c>
      <c r="D5496" t="s">
        <v>25535</v>
      </c>
      <c r="E5496" t="e" cm="1">
        <f t="array" ref="E5496">- POVIDONE-IODINE</f>
        <v>#NAME?</v>
      </c>
      <c r="F5496" s="1">
        <v>115500</v>
      </c>
      <c r="G5496" t="s">
        <v>25536</v>
      </c>
      <c r="I5496" t="s">
        <v>25537</v>
      </c>
      <c r="J5496" t="s">
        <v>25538</v>
      </c>
      <c r="L5496" t="s">
        <v>17959</v>
      </c>
      <c r="M5496" t="s">
        <v>554</v>
      </c>
      <c r="N5496" t="s">
        <v>555</v>
      </c>
      <c r="O5496" t="s">
        <v>25539</v>
      </c>
      <c r="P5496" t="s">
        <v>25540</v>
      </c>
      <c r="Q5496" t="s">
        <v>25541</v>
      </c>
      <c r="R5496">
        <v>16</v>
      </c>
      <c r="S5496">
        <v>32</v>
      </c>
    </row>
    <row r="5497" spans="1:19" x14ac:dyDescent="0.35">
      <c r="A5497">
        <v>8352</v>
      </c>
      <c r="B5497" t="s">
        <v>551</v>
      </c>
      <c r="C5497" t="s">
        <v>42</v>
      </c>
      <c r="D5497" t="s">
        <v>25535</v>
      </c>
      <c r="E5497" t="e" cm="1">
        <f t="array" ref="E5497">- POVIDONE-IODINE</f>
        <v>#NAME?</v>
      </c>
      <c r="F5497" s="1">
        <v>115500</v>
      </c>
      <c r="G5497" t="s">
        <v>25536</v>
      </c>
      <c r="I5497" t="s">
        <v>25537</v>
      </c>
      <c r="J5497" t="s">
        <v>25538</v>
      </c>
      <c r="L5497" t="s">
        <v>17959</v>
      </c>
      <c r="M5497" t="s">
        <v>554</v>
      </c>
      <c r="N5497" t="s">
        <v>555</v>
      </c>
      <c r="O5497" t="s">
        <v>25539</v>
      </c>
      <c r="P5497" t="s">
        <v>25540</v>
      </c>
      <c r="Q5497" t="s">
        <v>25541</v>
      </c>
      <c r="R5497">
        <v>16</v>
      </c>
      <c r="S5497">
        <v>32</v>
      </c>
    </row>
    <row r="5498" spans="1:19" x14ac:dyDescent="0.35">
      <c r="A5498">
        <v>2193</v>
      </c>
      <c r="B5498" t="s">
        <v>25518</v>
      </c>
      <c r="C5498" t="s">
        <v>42</v>
      </c>
      <c r="D5498" t="s">
        <v>25519</v>
      </c>
      <c r="E5498" t="e" cm="1">
        <f t="array" ref="E5498">- IBUPROFEN</f>
        <v>#NAME?</v>
      </c>
      <c r="F5498" t="s">
        <v>25520</v>
      </c>
      <c r="G5498" t="s">
        <v>2241</v>
      </c>
      <c r="H5498" t="s">
        <v>25521</v>
      </c>
      <c r="I5498" t="s">
        <v>25522</v>
      </c>
      <c r="J5498" t="s">
        <v>25523</v>
      </c>
      <c r="K5498" t="s">
        <v>25524</v>
      </c>
      <c r="L5498" t="s">
        <v>25525</v>
      </c>
      <c r="M5498" t="s">
        <v>46</v>
      </c>
      <c r="N5498" t="s">
        <v>383</v>
      </c>
      <c r="O5498" t="s">
        <v>25526</v>
      </c>
      <c r="P5498" t="s">
        <v>25527</v>
      </c>
      <c r="Q5498" t="s">
        <v>25528</v>
      </c>
      <c r="R5498">
        <v>16</v>
      </c>
      <c r="S5498">
        <v>32</v>
      </c>
    </row>
    <row r="5499" spans="1:19" x14ac:dyDescent="0.35">
      <c r="A5499">
        <v>6884</v>
      </c>
      <c r="B5499" t="s">
        <v>25542</v>
      </c>
      <c r="C5499" t="s">
        <v>20</v>
      </c>
      <c r="D5499" t="s">
        <v>25543</v>
      </c>
      <c r="E5499" t="s">
        <v>25544</v>
      </c>
      <c r="F5499" t="s">
        <v>25545</v>
      </c>
      <c r="G5499" t="s">
        <v>25546</v>
      </c>
      <c r="H5499" t="s">
        <v>25547</v>
      </c>
      <c r="I5499" t="s">
        <v>7630</v>
      </c>
      <c r="J5499" t="s">
        <v>11120</v>
      </c>
      <c r="L5499" t="s">
        <v>25548</v>
      </c>
      <c r="M5499" t="s">
        <v>63</v>
      </c>
      <c r="N5499" t="s">
        <v>25549</v>
      </c>
      <c r="O5499" t="s">
        <v>7633</v>
      </c>
      <c r="P5499" t="s">
        <v>25550</v>
      </c>
      <c r="Q5499" t="s">
        <v>25551</v>
      </c>
      <c r="R5499">
        <v>16</v>
      </c>
      <c r="S5499">
        <v>32</v>
      </c>
    </row>
    <row r="5500" spans="1:19" x14ac:dyDescent="0.35">
      <c r="A5500">
        <v>2194</v>
      </c>
      <c r="B5500" t="s">
        <v>25518</v>
      </c>
      <c r="C5500" t="s">
        <v>42</v>
      </c>
      <c r="D5500" t="s">
        <v>25519</v>
      </c>
      <c r="E5500" t="e" cm="1">
        <f t="array" ref="E5500">- IBUPROFEN</f>
        <v>#NAME?</v>
      </c>
      <c r="F5500" t="s">
        <v>25520</v>
      </c>
      <c r="G5500" t="s">
        <v>2241</v>
      </c>
      <c r="H5500" t="s">
        <v>25521</v>
      </c>
      <c r="I5500" t="s">
        <v>25522</v>
      </c>
      <c r="J5500" t="s">
        <v>25523</v>
      </c>
      <c r="K5500" t="s">
        <v>25524</v>
      </c>
      <c r="L5500" t="s">
        <v>25525</v>
      </c>
      <c r="M5500" t="s">
        <v>46</v>
      </c>
      <c r="N5500" t="s">
        <v>383</v>
      </c>
      <c r="O5500" t="s">
        <v>25526</v>
      </c>
      <c r="P5500" t="s">
        <v>25527</v>
      </c>
      <c r="Q5500" t="s">
        <v>25528</v>
      </c>
      <c r="R5500">
        <v>16</v>
      </c>
      <c r="S5500">
        <v>32</v>
      </c>
    </row>
    <row r="5501" spans="1:19" x14ac:dyDescent="0.35">
      <c r="A5501">
        <v>2195</v>
      </c>
      <c r="B5501" t="s">
        <v>25518</v>
      </c>
      <c r="C5501" t="s">
        <v>42</v>
      </c>
      <c r="D5501" t="s">
        <v>25519</v>
      </c>
      <c r="E5501" t="e" cm="1">
        <f t="array" ref="E5501">- IBUPROFEN</f>
        <v>#NAME?</v>
      </c>
      <c r="F5501" t="s">
        <v>25520</v>
      </c>
      <c r="G5501" t="s">
        <v>2241</v>
      </c>
      <c r="H5501" t="s">
        <v>25521</v>
      </c>
      <c r="I5501" t="s">
        <v>25522</v>
      </c>
      <c r="J5501" t="s">
        <v>25523</v>
      </c>
      <c r="K5501" t="s">
        <v>25524</v>
      </c>
      <c r="L5501" t="s">
        <v>25525</v>
      </c>
      <c r="M5501" t="s">
        <v>46</v>
      </c>
      <c r="N5501" t="s">
        <v>383</v>
      </c>
      <c r="O5501" t="s">
        <v>25526</v>
      </c>
      <c r="P5501" t="s">
        <v>25527</v>
      </c>
      <c r="Q5501" t="s">
        <v>25528</v>
      </c>
      <c r="R5501">
        <v>16</v>
      </c>
      <c r="S5501">
        <v>32</v>
      </c>
    </row>
    <row r="5502" spans="1:19" x14ac:dyDescent="0.35">
      <c r="A5502">
        <v>2196</v>
      </c>
      <c r="B5502" t="s">
        <v>25518</v>
      </c>
      <c r="C5502" t="s">
        <v>42</v>
      </c>
      <c r="D5502" t="s">
        <v>25519</v>
      </c>
      <c r="E5502" t="e" cm="1">
        <f t="array" ref="E5502">- IBUPROFEN</f>
        <v>#NAME?</v>
      </c>
      <c r="F5502" t="s">
        <v>25520</v>
      </c>
      <c r="G5502" t="s">
        <v>2241</v>
      </c>
      <c r="H5502" t="s">
        <v>25521</v>
      </c>
      <c r="I5502" t="s">
        <v>25522</v>
      </c>
      <c r="J5502" t="s">
        <v>25523</v>
      </c>
      <c r="K5502" t="s">
        <v>25524</v>
      </c>
      <c r="L5502" t="s">
        <v>25525</v>
      </c>
      <c r="M5502" t="s">
        <v>46</v>
      </c>
      <c r="N5502" t="s">
        <v>383</v>
      </c>
      <c r="O5502" t="s">
        <v>25526</v>
      </c>
      <c r="P5502" t="s">
        <v>25527</v>
      </c>
      <c r="Q5502" t="s">
        <v>25528</v>
      </c>
      <c r="R5502">
        <v>16</v>
      </c>
      <c r="S5502">
        <v>32</v>
      </c>
    </row>
    <row r="5503" spans="1:19" x14ac:dyDescent="0.35">
      <c r="A5503">
        <v>694</v>
      </c>
      <c r="B5503" t="s">
        <v>25552</v>
      </c>
      <c r="C5503" t="s">
        <v>850</v>
      </c>
      <c r="D5503" t="s">
        <v>25553</v>
      </c>
      <c r="E5503" t="e" cm="1">
        <f t="array" ref="E5503">- Menthol</f>
        <v>#NAME?</v>
      </c>
      <c r="F5503" t="s">
        <v>25554</v>
      </c>
      <c r="G5503" t="s">
        <v>25555</v>
      </c>
      <c r="H5503" t="s">
        <v>16968</v>
      </c>
      <c r="I5503" t="s">
        <v>25556</v>
      </c>
      <c r="J5503" t="s">
        <v>21644</v>
      </c>
      <c r="M5503" t="s">
        <v>2115</v>
      </c>
      <c r="N5503" t="s">
        <v>2034</v>
      </c>
      <c r="O5503" t="s">
        <v>25557</v>
      </c>
      <c r="P5503" t="s">
        <v>25558</v>
      </c>
      <c r="Q5503" t="s">
        <v>25559</v>
      </c>
      <c r="R5503">
        <v>16</v>
      </c>
      <c r="S5503">
        <v>32</v>
      </c>
    </row>
    <row r="5504" spans="1:19" x14ac:dyDescent="0.35">
      <c r="A5504">
        <v>7723</v>
      </c>
      <c r="B5504" t="s">
        <v>25560</v>
      </c>
      <c r="C5504" t="s">
        <v>20</v>
      </c>
      <c r="D5504" t="s">
        <v>25561</v>
      </c>
      <c r="E5504" t="s">
        <v>25562</v>
      </c>
      <c r="F5504" t="s">
        <v>25563</v>
      </c>
      <c r="G5504" t="s">
        <v>2241</v>
      </c>
      <c r="H5504" t="s">
        <v>25564</v>
      </c>
      <c r="I5504" t="s">
        <v>25565</v>
      </c>
      <c r="J5504" t="s">
        <v>15976</v>
      </c>
      <c r="M5504" t="s">
        <v>46</v>
      </c>
      <c r="N5504" t="s">
        <v>25566</v>
      </c>
      <c r="O5504" t="s">
        <v>25567</v>
      </c>
      <c r="P5504" t="s">
        <v>25566</v>
      </c>
      <c r="Q5504" t="s">
        <v>25568</v>
      </c>
      <c r="R5504">
        <v>16</v>
      </c>
      <c r="S5504">
        <v>32</v>
      </c>
    </row>
    <row r="5505" spans="1:19" x14ac:dyDescent="0.35">
      <c r="A5505">
        <v>5734</v>
      </c>
      <c r="B5505" t="s">
        <v>25569</v>
      </c>
      <c r="C5505" t="s">
        <v>42</v>
      </c>
      <c r="D5505" t="s">
        <v>25570</v>
      </c>
      <c r="E5505" t="e" cm="1">
        <f t="array" ref="E5505">- CLARITHROMYCIN</f>
        <v>#NAME?</v>
      </c>
      <c r="F5505" t="s">
        <v>25571</v>
      </c>
      <c r="G5505" t="s">
        <v>2241</v>
      </c>
      <c r="H5505" t="s">
        <v>25572</v>
      </c>
      <c r="I5505" t="s">
        <v>24317</v>
      </c>
      <c r="J5505" t="s">
        <v>25573</v>
      </c>
      <c r="K5505" t="s">
        <v>2726</v>
      </c>
      <c r="L5505" t="s">
        <v>24324</v>
      </c>
      <c r="M5505" t="s">
        <v>271</v>
      </c>
      <c r="N5505" t="s">
        <v>985</v>
      </c>
      <c r="O5505" t="s">
        <v>24319</v>
      </c>
      <c r="P5505" t="s">
        <v>25574</v>
      </c>
      <c r="Q5505" t="s">
        <v>25575</v>
      </c>
      <c r="R5505">
        <v>16</v>
      </c>
      <c r="S5505">
        <v>32</v>
      </c>
    </row>
    <row r="5506" spans="1:19" x14ac:dyDescent="0.35">
      <c r="A5506">
        <v>5735</v>
      </c>
      <c r="B5506" t="s">
        <v>25569</v>
      </c>
      <c r="C5506" t="s">
        <v>42</v>
      </c>
      <c r="D5506" t="s">
        <v>25570</v>
      </c>
      <c r="E5506" t="e" cm="1">
        <f t="array" ref="E5506">- CLARITHROMYCIN</f>
        <v>#NAME?</v>
      </c>
      <c r="F5506" t="s">
        <v>25571</v>
      </c>
      <c r="G5506" t="s">
        <v>2241</v>
      </c>
      <c r="H5506" t="s">
        <v>25572</v>
      </c>
      <c r="I5506" t="s">
        <v>24317</v>
      </c>
      <c r="J5506" t="s">
        <v>25573</v>
      </c>
      <c r="K5506" t="s">
        <v>2726</v>
      </c>
      <c r="L5506" t="s">
        <v>24324</v>
      </c>
      <c r="M5506" t="s">
        <v>271</v>
      </c>
      <c r="N5506" t="s">
        <v>985</v>
      </c>
      <c r="O5506" t="s">
        <v>24319</v>
      </c>
      <c r="P5506" t="s">
        <v>25574</v>
      </c>
      <c r="Q5506" t="s">
        <v>25575</v>
      </c>
      <c r="R5506">
        <v>16</v>
      </c>
      <c r="S5506">
        <v>32</v>
      </c>
    </row>
    <row r="5507" spans="1:19" x14ac:dyDescent="0.35">
      <c r="A5507">
        <v>4745</v>
      </c>
      <c r="B5507" t="s">
        <v>25576</v>
      </c>
      <c r="C5507" t="s">
        <v>42</v>
      </c>
      <c r="D5507" t="s">
        <v>25577</v>
      </c>
      <c r="E5507" t="e" cm="1">
        <f t="array" ref="E5507">- CHLORAMPHENICOL</f>
        <v>#NAME?</v>
      </c>
      <c r="F5507" t="s">
        <v>25578</v>
      </c>
      <c r="G5507" t="s">
        <v>25579</v>
      </c>
      <c r="H5507" t="s">
        <v>25580</v>
      </c>
      <c r="I5507" t="s">
        <v>25581</v>
      </c>
      <c r="J5507" t="s">
        <v>25582</v>
      </c>
      <c r="K5507" t="s">
        <v>2726</v>
      </c>
      <c r="L5507" t="s">
        <v>25583</v>
      </c>
      <c r="M5507" t="s">
        <v>1029</v>
      </c>
      <c r="N5507" t="s">
        <v>1188</v>
      </c>
      <c r="O5507" t="s">
        <v>25584</v>
      </c>
      <c r="P5507" t="s">
        <v>25585</v>
      </c>
      <c r="Q5507" t="s">
        <v>25586</v>
      </c>
      <c r="R5507">
        <v>16</v>
      </c>
      <c r="S5507">
        <v>32</v>
      </c>
    </row>
    <row r="5508" spans="1:19" x14ac:dyDescent="0.35">
      <c r="A5508">
        <v>4746</v>
      </c>
      <c r="B5508" t="s">
        <v>25576</v>
      </c>
      <c r="C5508" t="s">
        <v>42</v>
      </c>
      <c r="D5508" t="s">
        <v>25577</v>
      </c>
      <c r="E5508" t="e" cm="1">
        <f t="array" ref="E5508">- CHLORAMPHENICOL</f>
        <v>#NAME?</v>
      </c>
      <c r="F5508" t="s">
        <v>25578</v>
      </c>
      <c r="G5508" t="s">
        <v>25579</v>
      </c>
      <c r="H5508" t="s">
        <v>25580</v>
      </c>
      <c r="I5508" t="s">
        <v>25581</v>
      </c>
      <c r="J5508" t="s">
        <v>25582</v>
      </c>
      <c r="K5508" t="s">
        <v>2726</v>
      </c>
      <c r="L5508" t="s">
        <v>25583</v>
      </c>
      <c r="M5508" t="s">
        <v>1029</v>
      </c>
      <c r="N5508" t="s">
        <v>1188</v>
      </c>
      <c r="O5508" t="s">
        <v>25584</v>
      </c>
      <c r="P5508" t="s">
        <v>25585</v>
      </c>
      <c r="Q5508" t="s">
        <v>25586</v>
      </c>
      <c r="R5508">
        <v>16</v>
      </c>
      <c r="S5508">
        <v>32</v>
      </c>
    </row>
    <row r="5509" spans="1:19" x14ac:dyDescent="0.35">
      <c r="A5509">
        <v>3448</v>
      </c>
      <c r="B5509" t="s">
        <v>25587</v>
      </c>
      <c r="C5509" t="s">
        <v>42</v>
      </c>
      <c r="D5509" t="s">
        <v>25588</v>
      </c>
      <c r="E5509" t="e" cm="1">
        <f t="array" ref="E5509">- FAMOTIDINE</f>
        <v>#NAME?</v>
      </c>
      <c r="F5509" t="s">
        <v>25589</v>
      </c>
      <c r="G5509" t="s">
        <v>60</v>
      </c>
      <c r="H5509" t="s">
        <v>25590</v>
      </c>
      <c r="I5509" t="s">
        <v>25591</v>
      </c>
      <c r="J5509" t="s">
        <v>20350</v>
      </c>
      <c r="K5509" t="s">
        <v>25592</v>
      </c>
      <c r="L5509" t="s">
        <v>25593</v>
      </c>
      <c r="M5509" t="s">
        <v>46</v>
      </c>
      <c r="N5509" t="s">
        <v>10675</v>
      </c>
      <c r="O5509" t="s">
        <v>25594</v>
      </c>
      <c r="P5509" t="s">
        <v>25595</v>
      </c>
      <c r="Q5509" t="s">
        <v>25596</v>
      </c>
      <c r="R5509">
        <v>16</v>
      </c>
      <c r="S5509">
        <v>32</v>
      </c>
    </row>
    <row r="5510" spans="1:19" x14ac:dyDescent="0.35">
      <c r="A5510">
        <v>2210</v>
      </c>
      <c r="B5510" t="s">
        <v>25529</v>
      </c>
      <c r="C5510" t="s">
        <v>42</v>
      </c>
      <c r="D5510" t="s">
        <v>25530</v>
      </c>
      <c r="E5510" t="e" cm="1">
        <f t="array" ref="E5510">- PARACETAMOL</f>
        <v>#NAME?</v>
      </c>
      <c r="F5510" t="s">
        <v>25531</v>
      </c>
      <c r="G5510" t="s">
        <v>4362</v>
      </c>
      <c r="H5510" t="s">
        <v>9708</v>
      </c>
      <c r="I5510" t="s">
        <v>25514</v>
      </c>
      <c r="J5510" t="s">
        <v>25532</v>
      </c>
      <c r="K5510" t="s">
        <v>9711</v>
      </c>
      <c r="L5510" t="s">
        <v>9712</v>
      </c>
      <c r="M5510" t="s">
        <v>46</v>
      </c>
      <c r="N5510" t="s">
        <v>584</v>
      </c>
      <c r="O5510" t="s">
        <v>25515</v>
      </c>
      <c r="P5510" t="s">
        <v>25533</v>
      </c>
      <c r="Q5510" t="s">
        <v>25534</v>
      </c>
      <c r="R5510">
        <v>16</v>
      </c>
      <c r="S5510">
        <v>32</v>
      </c>
    </row>
    <row r="5511" spans="1:19" x14ac:dyDescent="0.35">
      <c r="A5511">
        <v>2448</v>
      </c>
      <c r="B5511" t="s">
        <v>25511</v>
      </c>
      <c r="C5511" t="s">
        <v>42</v>
      </c>
      <c r="D5511" t="s">
        <v>25512</v>
      </c>
      <c r="E5511" t="e" cm="1">
        <f t="array" ref="E5511">- PARACETAMOL</f>
        <v>#NAME?</v>
      </c>
      <c r="F5511" t="s">
        <v>25513</v>
      </c>
      <c r="G5511" t="s">
        <v>4362</v>
      </c>
      <c r="H5511" t="s">
        <v>9708</v>
      </c>
      <c r="I5511" t="s">
        <v>25514</v>
      </c>
      <c r="J5511" t="s">
        <v>9710</v>
      </c>
      <c r="K5511" t="s">
        <v>9711</v>
      </c>
      <c r="L5511" t="s">
        <v>9712</v>
      </c>
      <c r="M5511" t="s">
        <v>291</v>
      </c>
      <c r="N5511" t="s">
        <v>584</v>
      </c>
      <c r="O5511" t="s">
        <v>25515</v>
      </c>
      <c r="P5511" t="s">
        <v>25516</v>
      </c>
      <c r="Q5511" t="s">
        <v>25517</v>
      </c>
      <c r="R5511">
        <v>16</v>
      </c>
      <c r="S5511">
        <v>32</v>
      </c>
    </row>
    <row r="5512" spans="1:19" x14ac:dyDescent="0.35">
      <c r="A5512">
        <v>5747</v>
      </c>
      <c r="B5512" t="s">
        <v>19824</v>
      </c>
      <c r="C5512" t="s">
        <v>42</v>
      </c>
      <c r="D5512" t="s">
        <v>19825</v>
      </c>
      <c r="E5512" t="s">
        <v>25597</v>
      </c>
      <c r="F5512" t="s">
        <v>19826</v>
      </c>
      <c r="G5512" t="s">
        <v>5568</v>
      </c>
      <c r="H5512" t="s">
        <v>19827</v>
      </c>
      <c r="I5512" t="s">
        <v>19828</v>
      </c>
      <c r="J5512" t="s">
        <v>19829</v>
      </c>
      <c r="K5512" t="s">
        <v>19830</v>
      </c>
      <c r="L5512" t="s">
        <v>19831</v>
      </c>
      <c r="M5512" t="s">
        <v>271</v>
      </c>
      <c r="N5512" t="s">
        <v>25598</v>
      </c>
      <c r="O5512" t="s">
        <v>19832</v>
      </c>
      <c r="P5512" t="s">
        <v>19833</v>
      </c>
      <c r="Q5512" t="s">
        <v>25599</v>
      </c>
      <c r="R5512">
        <v>16</v>
      </c>
      <c r="S5512">
        <v>32</v>
      </c>
    </row>
    <row r="5513" spans="1:19" x14ac:dyDescent="0.35">
      <c r="A5513">
        <v>5823</v>
      </c>
      <c r="B5513" t="s">
        <v>25600</v>
      </c>
      <c r="C5513" t="s">
        <v>42</v>
      </c>
      <c r="D5513" t="s">
        <v>25601</v>
      </c>
      <c r="E5513" t="e" cm="1">
        <f t="array" ref="E5513">- CLARITHROMYCIN</f>
        <v>#NAME?</v>
      </c>
      <c r="F5513" s="1">
        <v>675500</v>
      </c>
      <c r="G5513" t="s">
        <v>2241</v>
      </c>
      <c r="H5513" t="s">
        <v>25602</v>
      </c>
      <c r="I5513" t="s">
        <v>24317</v>
      </c>
      <c r="J5513" t="s">
        <v>25603</v>
      </c>
      <c r="K5513" t="s">
        <v>2726</v>
      </c>
      <c r="L5513" t="s">
        <v>24318</v>
      </c>
      <c r="M5513" t="s">
        <v>46</v>
      </c>
      <c r="N5513" t="s">
        <v>985</v>
      </c>
      <c r="O5513" t="s">
        <v>24319</v>
      </c>
      <c r="P5513" t="s">
        <v>25604</v>
      </c>
      <c r="Q5513" t="s">
        <v>25605</v>
      </c>
      <c r="R5513">
        <v>16</v>
      </c>
      <c r="S5513">
        <v>32</v>
      </c>
    </row>
    <row r="5514" spans="1:19" x14ac:dyDescent="0.35">
      <c r="A5514">
        <v>4765</v>
      </c>
      <c r="B5514" t="s">
        <v>25606</v>
      </c>
      <c r="C5514" t="s">
        <v>42</v>
      </c>
      <c r="D5514" t="s">
        <v>25607</v>
      </c>
      <c r="E5514" t="e" cm="1">
        <f t="array" ref="E5514">- DIBEKACIN SULFATE</f>
        <v>#NAME?</v>
      </c>
      <c r="F5514" t="s">
        <v>25608</v>
      </c>
      <c r="G5514" t="s">
        <v>25609</v>
      </c>
      <c r="H5514" t="s">
        <v>25610</v>
      </c>
      <c r="I5514" t="s">
        <v>25611</v>
      </c>
      <c r="J5514" t="s">
        <v>14533</v>
      </c>
      <c r="K5514" t="s">
        <v>25612</v>
      </c>
      <c r="L5514" t="s">
        <v>25613</v>
      </c>
      <c r="M5514" t="s">
        <v>824</v>
      </c>
      <c r="N5514" t="s">
        <v>25614</v>
      </c>
      <c r="O5514" t="s">
        <v>25615</v>
      </c>
      <c r="P5514" t="s">
        <v>25616</v>
      </c>
      <c r="Q5514" t="s">
        <v>25617</v>
      </c>
      <c r="R5514">
        <v>16</v>
      </c>
      <c r="S5514">
        <v>32</v>
      </c>
    </row>
    <row r="5515" spans="1:19" x14ac:dyDescent="0.35">
      <c r="A5515">
        <v>2374</v>
      </c>
      <c r="B5515" t="s">
        <v>25618</v>
      </c>
      <c r="C5515" t="s">
        <v>42</v>
      </c>
      <c r="D5515" t="s">
        <v>25619</v>
      </c>
      <c r="E5515" t="e" cm="1">
        <f t="array" ref="E5515">- MELOXICAM</f>
        <v>#NAME?</v>
      </c>
      <c r="F5515" t="s">
        <v>25620</v>
      </c>
      <c r="H5515" t="s">
        <v>25621</v>
      </c>
    </row>
    <row r="5516" spans="1:19" x14ac:dyDescent="0.35">
      <c r="A5516">
        <v>2373</v>
      </c>
      <c r="B5516" t="s">
        <v>25618</v>
      </c>
      <c r="C5516" t="s">
        <v>42</v>
      </c>
      <c r="D5516" t="s">
        <v>25619</v>
      </c>
      <c r="E5516" t="e" cm="1">
        <f t="array" ref="E5516">- MELOXICAM</f>
        <v>#NAME?</v>
      </c>
      <c r="F5516" t="s">
        <v>25620</v>
      </c>
      <c r="H5516" t="s">
        <v>25621</v>
      </c>
    </row>
    <row r="5517" spans="1:19" x14ac:dyDescent="0.35">
      <c r="A5517">
        <v>8302</v>
      </c>
      <c r="B5517" t="s">
        <v>551</v>
      </c>
      <c r="C5517" t="s">
        <v>42</v>
      </c>
      <c r="D5517" t="s">
        <v>25622</v>
      </c>
      <c r="E5517" t="e" cm="1">
        <f t="array" ref="E5517">- POVIDONE-IODINE</f>
        <v>#NAME?</v>
      </c>
      <c r="F5517" t="s">
        <v>25623</v>
      </c>
      <c r="G5517" t="s">
        <v>25624</v>
      </c>
      <c r="I5517" t="s">
        <v>25625</v>
      </c>
      <c r="J5517" t="s">
        <v>11963</v>
      </c>
      <c r="M5517" t="s">
        <v>554</v>
      </c>
      <c r="N5517" t="s">
        <v>555</v>
      </c>
      <c r="O5517" t="s">
        <v>25626</v>
      </c>
      <c r="P5517" t="s">
        <v>25627</v>
      </c>
      <c r="Q5517" t="s">
        <v>25628</v>
      </c>
      <c r="R5517">
        <v>16</v>
      </c>
      <c r="S5517">
        <v>32</v>
      </c>
    </row>
    <row r="5518" spans="1:19" x14ac:dyDescent="0.35">
      <c r="A5518">
        <v>8303</v>
      </c>
      <c r="B5518" t="s">
        <v>551</v>
      </c>
      <c r="C5518" t="s">
        <v>42</v>
      </c>
      <c r="D5518" t="s">
        <v>25622</v>
      </c>
      <c r="E5518" t="e" cm="1">
        <f t="array" ref="E5518">- POVIDONE-IODINE</f>
        <v>#NAME?</v>
      </c>
      <c r="F5518" t="s">
        <v>25623</v>
      </c>
      <c r="G5518" t="s">
        <v>25624</v>
      </c>
      <c r="I5518" t="s">
        <v>25625</v>
      </c>
      <c r="J5518" t="s">
        <v>11963</v>
      </c>
      <c r="M5518" t="s">
        <v>554</v>
      </c>
      <c r="N5518" t="s">
        <v>555</v>
      </c>
      <c r="O5518" t="s">
        <v>25626</v>
      </c>
      <c r="P5518" t="s">
        <v>25627</v>
      </c>
      <c r="Q5518" t="s">
        <v>25628</v>
      </c>
      <c r="R5518">
        <v>16</v>
      </c>
      <c r="S5518">
        <v>32</v>
      </c>
    </row>
    <row r="5519" spans="1:19" x14ac:dyDescent="0.35">
      <c r="A5519">
        <v>2363</v>
      </c>
      <c r="B5519" t="s">
        <v>25629</v>
      </c>
      <c r="C5519" t="s">
        <v>42</v>
      </c>
      <c r="D5519" t="s">
        <v>25630</v>
      </c>
      <c r="E5519" t="e" cm="1">
        <f t="array" ref="E5519">- PARACETAMOL</f>
        <v>#NAME?</v>
      </c>
      <c r="F5519" t="s">
        <v>16086</v>
      </c>
      <c r="H5519" t="s">
        <v>22336</v>
      </c>
      <c r="I5519" t="s">
        <v>25631</v>
      </c>
      <c r="J5519" t="s">
        <v>381</v>
      </c>
      <c r="M5519" t="s">
        <v>291</v>
      </c>
      <c r="N5519" t="s">
        <v>584</v>
      </c>
      <c r="O5519" t="s">
        <v>25515</v>
      </c>
      <c r="P5519" t="s">
        <v>18452</v>
      </c>
      <c r="Q5519" t="s">
        <v>25632</v>
      </c>
      <c r="R5519">
        <v>16</v>
      </c>
      <c r="S5519">
        <v>32</v>
      </c>
    </row>
    <row r="5520" spans="1:19" x14ac:dyDescent="0.35">
      <c r="A5520">
        <v>2362</v>
      </c>
      <c r="B5520" t="s">
        <v>25629</v>
      </c>
      <c r="C5520" t="s">
        <v>42</v>
      </c>
      <c r="D5520" t="s">
        <v>25630</v>
      </c>
      <c r="E5520" t="e" cm="1">
        <f t="array" ref="E5520">- PARACETAMOL</f>
        <v>#NAME?</v>
      </c>
      <c r="F5520" t="s">
        <v>16086</v>
      </c>
      <c r="H5520" t="s">
        <v>22336</v>
      </c>
      <c r="I5520" t="s">
        <v>25631</v>
      </c>
      <c r="J5520" t="s">
        <v>381</v>
      </c>
      <c r="M5520" t="s">
        <v>291</v>
      </c>
      <c r="N5520" t="s">
        <v>584</v>
      </c>
      <c r="O5520" t="s">
        <v>25515</v>
      </c>
      <c r="P5520" t="s">
        <v>18452</v>
      </c>
      <c r="Q5520" t="s">
        <v>25632</v>
      </c>
      <c r="R5520">
        <v>16</v>
      </c>
      <c r="S5520">
        <v>32</v>
      </c>
    </row>
    <row r="5521" spans="1:19" x14ac:dyDescent="0.35">
      <c r="A5521">
        <v>2361</v>
      </c>
      <c r="B5521" t="s">
        <v>25629</v>
      </c>
      <c r="C5521" t="s">
        <v>42</v>
      </c>
      <c r="D5521" t="s">
        <v>25630</v>
      </c>
      <c r="E5521" t="e" cm="1">
        <f t="array" ref="E5521">- PARACETAMOL</f>
        <v>#NAME?</v>
      </c>
      <c r="F5521" t="s">
        <v>16086</v>
      </c>
      <c r="H5521" t="s">
        <v>22336</v>
      </c>
      <c r="I5521" t="s">
        <v>25631</v>
      </c>
      <c r="J5521" t="s">
        <v>381</v>
      </c>
      <c r="M5521" t="s">
        <v>291</v>
      </c>
      <c r="N5521" t="s">
        <v>584</v>
      </c>
      <c r="O5521" t="s">
        <v>25515</v>
      </c>
      <c r="P5521" t="s">
        <v>18452</v>
      </c>
      <c r="Q5521" t="s">
        <v>25632</v>
      </c>
      <c r="R5521">
        <v>16</v>
      </c>
      <c r="S5521">
        <v>32</v>
      </c>
    </row>
    <row r="5522" spans="1:19" x14ac:dyDescent="0.35">
      <c r="A5522">
        <v>2360</v>
      </c>
      <c r="B5522" t="s">
        <v>25633</v>
      </c>
      <c r="C5522" t="s">
        <v>42</v>
      </c>
      <c r="D5522" t="s">
        <v>25634</v>
      </c>
      <c r="E5522" t="e" cm="1">
        <f t="array" ref="E5522">- METAMIZOLE SODIUM. THIAMINE HYDROCHLORIDE. PYRIDOXINE HYDROCHLORIDE. CYANOCOBALAMIN</f>
        <v>#NAME?</v>
      </c>
      <c r="F5522" t="s">
        <v>25635</v>
      </c>
      <c r="G5522" t="s">
        <v>2241</v>
      </c>
      <c r="H5522" t="s">
        <v>25636</v>
      </c>
      <c r="I5522" t="s">
        <v>25637</v>
      </c>
      <c r="J5522" t="s">
        <v>1578</v>
      </c>
      <c r="M5522" t="s">
        <v>291</v>
      </c>
      <c r="N5522" t="s">
        <v>8689</v>
      </c>
      <c r="O5522" t="s">
        <v>25638</v>
      </c>
      <c r="P5522" t="s">
        <v>25639</v>
      </c>
      <c r="Q5522" t="s">
        <v>25640</v>
      </c>
      <c r="R5522">
        <v>16</v>
      </c>
      <c r="S5522">
        <v>32</v>
      </c>
    </row>
    <row r="5523" spans="1:19" x14ac:dyDescent="0.35">
      <c r="A5523">
        <v>2359</v>
      </c>
      <c r="B5523" t="s">
        <v>25641</v>
      </c>
      <c r="C5523" t="s">
        <v>42</v>
      </c>
      <c r="D5523" t="s">
        <v>25642</v>
      </c>
      <c r="E5523" t="e" cm="1">
        <f t="array" ref="E5523">- PARACETAMOL</f>
        <v>#NAME?</v>
      </c>
      <c r="F5523" t="s">
        <v>25643</v>
      </c>
      <c r="G5523" t="s">
        <v>1691</v>
      </c>
      <c r="H5523" t="s">
        <v>9708</v>
      </c>
      <c r="I5523" t="s">
        <v>25644</v>
      </c>
      <c r="J5523" t="s">
        <v>25645</v>
      </c>
      <c r="K5523" t="s">
        <v>16223</v>
      </c>
      <c r="L5523" t="s">
        <v>25646</v>
      </c>
      <c r="M5523" t="s">
        <v>291</v>
      </c>
      <c r="N5523" t="s">
        <v>584</v>
      </c>
      <c r="O5523" t="s">
        <v>25647</v>
      </c>
      <c r="P5523" t="s">
        <v>25648</v>
      </c>
      <c r="Q5523" t="s">
        <v>25649</v>
      </c>
      <c r="R5523">
        <v>16</v>
      </c>
      <c r="S5523">
        <v>32</v>
      </c>
    </row>
    <row r="5524" spans="1:19" x14ac:dyDescent="0.35">
      <c r="A5524">
        <v>1349</v>
      </c>
      <c r="B5524" t="s">
        <v>18530</v>
      </c>
      <c r="C5524" t="s">
        <v>42</v>
      </c>
      <c r="D5524" t="s">
        <v>18531</v>
      </c>
      <c r="E5524" t="e" cm="1">
        <f t="array" ref="E5524">- PHENYLPROPANOLAMINE HYDROCHLORIDE. CHLORPHENAMINE MALEATE. GUAIFENESIN. PARACETAMOL</f>
        <v>#NAME?</v>
      </c>
      <c r="F5524" t="s">
        <v>18532</v>
      </c>
      <c r="G5524" t="s">
        <v>60</v>
      </c>
      <c r="H5524" t="s">
        <v>18533</v>
      </c>
      <c r="I5524" t="s">
        <v>18534</v>
      </c>
      <c r="J5524" t="s">
        <v>3167</v>
      </c>
      <c r="K5524" t="s">
        <v>18535</v>
      </c>
      <c r="L5524" t="s">
        <v>18536</v>
      </c>
      <c r="M5524" t="s">
        <v>271</v>
      </c>
      <c r="N5524" t="s">
        <v>25650</v>
      </c>
      <c r="O5524" t="s">
        <v>18537</v>
      </c>
      <c r="P5524" t="s">
        <v>18538</v>
      </c>
      <c r="Q5524" t="s">
        <v>25651</v>
      </c>
      <c r="R5524">
        <v>16</v>
      </c>
      <c r="S5524">
        <v>32</v>
      </c>
    </row>
    <row r="5525" spans="1:19" x14ac:dyDescent="0.35">
      <c r="A5525">
        <v>6986</v>
      </c>
      <c r="B5525" t="s">
        <v>1803</v>
      </c>
      <c r="C5525" t="s">
        <v>42</v>
      </c>
      <c r="D5525" t="s">
        <v>25652</v>
      </c>
      <c r="E5525" t="e" cm="1">
        <f t="array" ref="E5525">- TIZANIDINE HYDROCHLORIDE</f>
        <v>#NAME?</v>
      </c>
      <c r="F5525" t="s">
        <v>25653</v>
      </c>
      <c r="G5525" t="s">
        <v>24286</v>
      </c>
      <c r="I5525" t="s">
        <v>24287</v>
      </c>
      <c r="J5525" t="s">
        <v>4166</v>
      </c>
      <c r="M5525" t="s">
        <v>46</v>
      </c>
      <c r="N5525" t="s">
        <v>1806</v>
      </c>
      <c r="O5525" t="s">
        <v>24288</v>
      </c>
      <c r="P5525" t="s">
        <v>25654</v>
      </c>
      <c r="Q5525" t="s">
        <v>25655</v>
      </c>
      <c r="R5525">
        <v>16</v>
      </c>
      <c r="S5525">
        <v>32</v>
      </c>
    </row>
    <row r="5526" spans="1:19" x14ac:dyDescent="0.35">
      <c r="A5526">
        <v>2355</v>
      </c>
      <c r="B5526" t="s">
        <v>25656</v>
      </c>
      <c r="C5526" t="s">
        <v>42</v>
      </c>
      <c r="D5526" t="s">
        <v>25657</v>
      </c>
      <c r="E5526" t="e" cm="1">
        <f t="array" ref="E5526">- DICLOFENAC SODIUM</f>
        <v>#NAME?</v>
      </c>
      <c r="F5526" t="s">
        <v>25658</v>
      </c>
      <c r="G5526" t="s">
        <v>25659</v>
      </c>
      <c r="H5526" t="s">
        <v>25660</v>
      </c>
      <c r="I5526" t="s">
        <v>25661</v>
      </c>
      <c r="J5526" t="s">
        <v>25662</v>
      </c>
      <c r="K5526" t="s">
        <v>2726</v>
      </c>
      <c r="L5526" t="s">
        <v>8264</v>
      </c>
      <c r="M5526" t="s">
        <v>87</v>
      </c>
      <c r="N5526" t="s">
        <v>2597</v>
      </c>
      <c r="O5526" t="s">
        <v>25663</v>
      </c>
      <c r="P5526" t="s">
        <v>25664</v>
      </c>
      <c r="Q5526" t="s">
        <v>25665</v>
      </c>
      <c r="R5526">
        <v>16</v>
      </c>
      <c r="S5526">
        <v>32</v>
      </c>
    </row>
    <row r="5527" spans="1:19" x14ac:dyDescent="0.35">
      <c r="A5527">
        <v>2298</v>
      </c>
      <c r="B5527" t="s">
        <v>25666</v>
      </c>
      <c r="C5527" t="s">
        <v>42</v>
      </c>
      <c r="D5527" t="s">
        <v>25667</v>
      </c>
      <c r="E5527" t="e" cm="1">
        <f t="array" ref="E5527">- PARACETAMOL</f>
        <v>#NAME?</v>
      </c>
      <c r="F5527" t="s">
        <v>25668</v>
      </c>
      <c r="G5527" t="s">
        <v>4362</v>
      </c>
      <c r="H5527" t="s">
        <v>9708</v>
      </c>
      <c r="I5527" t="s">
        <v>25514</v>
      </c>
      <c r="J5527" t="s">
        <v>9710</v>
      </c>
      <c r="K5527" t="s">
        <v>9711</v>
      </c>
      <c r="L5527" t="s">
        <v>9712</v>
      </c>
      <c r="M5527" t="s">
        <v>291</v>
      </c>
      <c r="N5527" t="s">
        <v>584</v>
      </c>
      <c r="O5527" t="s">
        <v>25515</v>
      </c>
      <c r="P5527" t="s">
        <v>20508</v>
      </c>
      <c r="Q5527" t="s">
        <v>25669</v>
      </c>
      <c r="R5527">
        <v>16</v>
      </c>
      <c r="S5527">
        <v>32</v>
      </c>
    </row>
    <row r="5528" spans="1:19" x14ac:dyDescent="0.35">
      <c r="A5528">
        <v>2299</v>
      </c>
      <c r="B5528" t="s">
        <v>25666</v>
      </c>
      <c r="C5528" t="s">
        <v>42</v>
      </c>
      <c r="D5528" t="s">
        <v>25667</v>
      </c>
      <c r="E5528" t="e" cm="1">
        <f t="array" ref="E5528">- PARACETAMOL</f>
        <v>#NAME?</v>
      </c>
      <c r="F5528" t="s">
        <v>25668</v>
      </c>
      <c r="G5528" t="s">
        <v>4362</v>
      </c>
      <c r="H5528" t="s">
        <v>9708</v>
      </c>
      <c r="I5528" t="s">
        <v>25514</v>
      </c>
      <c r="J5528" t="s">
        <v>9710</v>
      </c>
      <c r="K5528" t="s">
        <v>9711</v>
      </c>
      <c r="L5528" t="s">
        <v>9712</v>
      </c>
      <c r="M5528" t="s">
        <v>291</v>
      </c>
      <c r="N5528" t="s">
        <v>584</v>
      </c>
      <c r="O5528" t="s">
        <v>25515</v>
      </c>
      <c r="P5528" t="s">
        <v>20508</v>
      </c>
      <c r="Q5528" t="s">
        <v>25669</v>
      </c>
      <c r="R5528">
        <v>16</v>
      </c>
      <c r="S5528">
        <v>32</v>
      </c>
    </row>
    <row r="5529" spans="1:19" x14ac:dyDescent="0.35">
      <c r="A5529">
        <v>2354</v>
      </c>
      <c r="B5529" t="s">
        <v>25656</v>
      </c>
      <c r="C5529" t="s">
        <v>42</v>
      </c>
      <c r="D5529" t="s">
        <v>25657</v>
      </c>
      <c r="E5529" t="e" cm="1">
        <f t="array" ref="E5529">- DICLOFENAC DIETHYLAMINE</f>
        <v>#NAME?</v>
      </c>
      <c r="F5529" t="s">
        <v>25658</v>
      </c>
      <c r="G5529" t="s">
        <v>25659</v>
      </c>
      <c r="H5529" t="s">
        <v>25660</v>
      </c>
      <c r="I5529" t="s">
        <v>25661</v>
      </c>
      <c r="J5529" t="s">
        <v>25662</v>
      </c>
      <c r="K5529" t="s">
        <v>2726</v>
      </c>
      <c r="L5529" t="s">
        <v>8264</v>
      </c>
      <c r="M5529" t="s">
        <v>87</v>
      </c>
      <c r="N5529" t="s">
        <v>1958</v>
      </c>
      <c r="O5529" t="s">
        <v>25663</v>
      </c>
      <c r="P5529" t="s">
        <v>25664</v>
      </c>
      <c r="Q5529" t="s">
        <v>25670</v>
      </c>
      <c r="R5529">
        <v>16</v>
      </c>
      <c r="S5529">
        <v>32</v>
      </c>
    </row>
    <row r="5530" spans="1:19" x14ac:dyDescent="0.35">
      <c r="A5530">
        <v>2353</v>
      </c>
      <c r="B5530" t="s">
        <v>25656</v>
      </c>
      <c r="C5530" t="s">
        <v>42</v>
      </c>
      <c r="D5530" t="s">
        <v>25657</v>
      </c>
      <c r="E5530" t="e" cm="1">
        <f t="array" ref="E5530">- DICLOFENAC DIETHYLAMINE</f>
        <v>#NAME?</v>
      </c>
      <c r="F5530" t="s">
        <v>25658</v>
      </c>
      <c r="G5530" t="s">
        <v>25659</v>
      </c>
      <c r="H5530" t="s">
        <v>25660</v>
      </c>
      <c r="I5530" t="s">
        <v>25661</v>
      </c>
      <c r="J5530" t="s">
        <v>25662</v>
      </c>
      <c r="K5530" t="s">
        <v>2726</v>
      </c>
      <c r="L5530" t="s">
        <v>8264</v>
      </c>
      <c r="M5530" t="s">
        <v>87</v>
      </c>
      <c r="N5530" t="s">
        <v>1958</v>
      </c>
      <c r="O5530" t="s">
        <v>25663</v>
      </c>
      <c r="P5530" t="s">
        <v>25664</v>
      </c>
      <c r="Q5530" t="s">
        <v>25670</v>
      </c>
      <c r="R5530">
        <v>16</v>
      </c>
      <c r="S5530">
        <v>32</v>
      </c>
    </row>
    <row r="5531" spans="1:19" x14ac:dyDescent="0.35">
      <c r="A5531">
        <v>5265</v>
      </c>
      <c r="B5531" t="s">
        <v>25671</v>
      </c>
      <c r="C5531" t="s">
        <v>42</v>
      </c>
      <c r="D5531" t="s">
        <v>25672</v>
      </c>
      <c r="E5531" t="e" cm="1">
        <f t="array" ref="E5531">- BETAMETHASONE DIPROPIONATE. GENTAMICIN SULFATE</f>
        <v>#NAME?</v>
      </c>
      <c r="F5531" t="s">
        <v>25673</v>
      </c>
      <c r="G5531" t="s">
        <v>19513</v>
      </c>
      <c r="H5531" t="s">
        <v>25028</v>
      </c>
      <c r="I5531" t="s">
        <v>25674</v>
      </c>
      <c r="J5531" t="s">
        <v>1684</v>
      </c>
      <c r="K5531" t="s">
        <v>25675</v>
      </c>
      <c r="L5531" t="s">
        <v>25031</v>
      </c>
      <c r="M5531" t="s">
        <v>1289</v>
      </c>
      <c r="N5531" t="s">
        <v>19781</v>
      </c>
      <c r="O5531" t="s">
        <v>25676</v>
      </c>
      <c r="P5531" t="s">
        <v>25677</v>
      </c>
      <c r="Q5531" t="s">
        <v>25678</v>
      </c>
      <c r="R5531">
        <v>16</v>
      </c>
      <c r="S5531">
        <v>32</v>
      </c>
    </row>
    <row r="5532" spans="1:19" x14ac:dyDescent="0.35">
      <c r="A5532">
        <v>3526</v>
      </c>
      <c r="B5532" t="s">
        <v>25679</v>
      </c>
      <c r="C5532" t="s">
        <v>42</v>
      </c>
      <c r="D5532" t="s">
        <v>25680</v>
      </c>
      <c r="E5532" t="e" cm="1">
        <f t="array" ref="E5532">- HYOSCINE BUTYLBROMIDE</f>
        <v>#NAME?</v>
      </c>
      <c r="F5532" t="s">
        <v>25681</v>
      </c>
      <c r="G5532" t="s">
        <v>20347</v>
      </c>
      <c r="H5532" t="s">
        <v>25682</v>
      </c>
      <c r="I5532" t="s">
        <v>25683</v>
      </c>
      <c r="J5532" t="s">
        <v>727</v>
      </c>
      <c r="K5532" t="s">
        <v>25684</v>
      </c>
      <c r="L5532" t="s">
        <v>25685</v>
      </c>
      <c r="M5532" t="s">
        <v>291</v>
      </c>
      <c r="N5532" t="s">
        <v>23642</v>
      </c>
      <c r="O5532" t="s">
        <v>25686</v>
      </c>
      <c r="P5532" t="s">
        <v>25687</v>
      </c>
      <c r="Q5532" t="s">
        <v>25688</v>
      </c>
      <c r="R5532">
        <v>16</v>
      </c>
      <c r="S5532">
        <v>32</v>
      </c>
    </row>
    <row r="5533" spans="1:19" x14ac:dyDescent="0.35">
      <c r="A5533">
        <v>2304</v>
      </c>
      <c r="B5533" t="s">
        <v>12976</v>
      </c>
      <c r="C5533" t="s">
        <v>42</v>
      </c>
      <c r="D5533" t="s">
        <v>12977</v>
      </c>
      <c r="E5533" t="e" cm="1">
        <f t="array" ref="E5533">- DICLOFENAC SODIUM. THIAMINE MONONITRATE. PYRIDOXINE HYDROCHLORIDE. CYANOCOBALAMIN</f>
        <v>#NAME?</v>
      </c>
      <c r="F5533" t="s">
        <v>12978</v>
      </c>
      <c r="G5533" t="s">
        <v>12979</v>
      </c>
      <c r="H5533" t="s">
        <v>12980</v>
      </c>
      <c r="I5533" t="s">
        <v>12981</v>
      </c>
      <c r="J5533" t="s">
        <v>12982</v>
      </c>
      <c r="K5533" t="s">
        <v>12983</v>
      </c>
      <c r="L5533" t="s">
        <v>12984</v>
      </c>
      <c r="M5533" t="s">
        <v>46</v>
      </c>
      <c r="N5533" t="s">
        <v>25689</v>
      </c>
      <c r="O5533" t="s">
        <v>12985</v>
      </c>
      <c r="P5533" t="s">
        <v>12986</v>
      </c>
      <c r="Q5533" t="s">
        <v>25690</v>
      </c>
      <c r="R5533">
        <v>16</v>
      </c>
      <c r="S5533">
        <v>32</v>
      </c>
    </row>
    <row r="5534" spans="1:19" x14ac:dyDescent="0.35">
      <c r="A5534">
        <v>5828</v>
      </c>
      <c r="B5534" t="s">
        <v>25691</v>
      </c>
      <c r="C5534" t="s">
        <v>42</v>
      </c>
      <c r="D5534" t="s">
        <v>25692</v>
      </c>
      <c r="E5534" t="e" cm="1">
        <f t="array" ref="E5534">- AMOXICILLIN TRIHYDRATE</f>
        <v>#NAME?</v>
      </c>
      <c r="F5534" t="s">
        <v>25693</v>
      </c>
      <c r="G5534" t="s">
        <v>1691</v>
      </c>
      <c r="H5534" t="s">
        <v>24299</v>
      </c>
      <c r="I5534" t="s">
        <v>24300</v>
      </c>
      <c r="J5534" t="s">
        <v>24301</v>
      </c>
      <c r="K5534" t="s">
        <v>24302</v>
      </c>
      <c r="L5534" t="s">
        <v>24303</v>
      </c>
      <c r="M5534" t="s">
        <v>271</v>
      </c>
      <c r="N5534" t="s">
        <v>1523</v>
      </c>
      <c r="O5534" t="s">
        <v>24304</v>
      </c>
      <c r="P5534" t="s">
        <v>25694</v>
      </c>
      <c r="Q5534" t="s">
        <v>25695</v>
      </c>
      <c r="R5534">
        <v>16</v>
      </c>
      <c r="S5534">
        <v>32</v>
      </c>
    </row>
    <row r="5535" spans="1:19" x14ac:dyDescent="0.35">
      <c r="A5535">
        <v>9298</v>
      </c>
      <c r="B5535" t="s">
        <v>25696</v>
      </c>
      <c r="C5535" t="s">
        <v>42</v>
      </c>
      <c r="D5535" t="s">
        <v>25697</v>
      </c>
      <c r="E5535" t="e" cm="1">
        <f t="array" ref="E5535">- TERAZOSIN HYDROCHLORIDE</f>
        <v>#NAME?</v>
      </c>
      <c r="F5535" t="s">
        <v>25698</v>
      </c>
      <c r="G5535" t="s">
        <v>25699</v>
      </c>
      <c r="H5535" t="s">
        <v>25700</v>
      </c>
      <c r="I5535" t="s">
        <v>25701</v>
      </c>
      <c r="J5535" t="s">
        <v>754</v>
      </c>
      <c r="K5535" t="s">
        <v>25702</v>
      </c>
      <c r="L5535" t="s">
        <v>25703</v>
      </c>
      <c r="M5535" t="s">
        <v>46</v>
      </c>
      <c r="N5535" t="s">
        <v>13842</v>
      </c>
      <c r="O5535" t="s">
        <v>25704</v>
      </c>
      <c r="P5535" t="s">
        <v>25705</v>
      </c>
      <c r="Q5535" t="s">
        <v>25706</v>
      </c>
      <c r="R5535">
        <v>16</v>
      </c>
      <c r="S5535">
        <v>32</v>
      </c>
    </row>
    <row r="5536" spans="1:19" x14ac:dyDescent="0.35">
      <c r="A5536">
        <v>9297</v>
      </c>
      <c r="B5536" t="s">
        <v>25696</v>
      </c>
      <c r="C5536" t="s">
        <v>42</v>
      </c>
      <c r="D5536" t="s">
        <v>25697</v>
      </c>
      <c r="E5536" t="e" cm="1">
        <f t="array" ref="E5536">- TERAZOSIN HYDROCHLORIDE</f>
        <v>#NAME?</v>
      </c>
      <c r="F5536" t="s">
        <v>25698</v>
      </c>
      <c r="G5536" t="s">
        <v>25699</v>
      </c>
      <c r="H5536" t="s">
        <v>25700</v>
      </c>
      <c r="I5536" t="s">
        <v>25701</v>
      </c>
      <c r="J5536" t="s">
        <v>754</v>
      </c>
      <c r="K5536" t="s">
        <v>25702</v>
      </c>
      <c r="L5536" t="s">
        <v>25703</v>
      </c>
      <c r="M5536" t="s">
        <v>46</v>
      </c>
      <c r="N5536" t="s">
        <v>13842</v>
      </c>
      <c r="O5536" t="s">
        <v>25704</v>
      </c>
      <c r="P5536" t="s">
        <v>25705</v>
      </c>
      <c r="Q5536" t="s">
        <v>25706</v>
      </c>
      <c r="R5536">
        <v>16</v>
      </c>
      <c r="S5536">
        <v>32</v>
      </c>
    </row>
    <row r="5537" spans="1:19" x14ac:dyDescent="0.35">
      <c r="A5537">
        <v>9296</v>
      </c>
      <c r="B5537" t="s">
        <v>25696</v>
      </c>
      <c r="C5537" t="s">
        <v>42</v>
      </c>
      <c r="D5537" t="s">
        <v>25697</v>
      </c>
      <c r="E5537" t="e" cm="1">
        <f t="array" ref="E5537">- TERAZOSIN HYDROCHLORIDE</f>
        <v>#NAME?</v>
      </c>
      <c r="F5537" t="s">
        <v>25698</v>
      </c>
      <c r="G5537" t="s">
        <v>25699</v>
      </c>
      <c r="H5537" t="s">
        <v>25700</v>
      </c>
      <c r="I5537" t="s">
        <v>25701</v>
      </c>
      <c r="J5537" t="s">
        <v>754</v>
      </c>
      <c r="K5537" t="s">
        <v>25702</v>
      </c>
      <c r="L5537" t="s">
        <v>25703</v>
      </c>
      <c r="M5537" t="s">
        <v>46</v>
      </c>
      <c r="N5537" t="s">
        <v>13842</v>
      </c>
      <c r="O5537" t="s">
        <v>25704</v>
      </c>
      <c r="P5537" t="s">
        <v>25705</v>
      </c>
      <c r="Q5537" t="s">
        <v>25706</v>
      </c>
      <c r="R5537">
        <v>16</v>
      </c>
      <c r="S5537">
        <v>32</v>
      </c>
    </row>
    <row r="5538" spans="1:19" x14ac:dyDescent="0.35">
      <c r="A5538">
        <v>2313</v>
      </c>
      <c r="B5538" t="s">
        <v>25707</v>
      </c>
      <c r="C5538" t="s">
        <v>42</v>
      </c>
      <c r="D5538" t="s">
        <v>25708</v>
      </c>
      <c r="E5538" t="e" cm="1">
        <f t="array" ref="E5538">- ETORICOXIB</f>
        <v>#NAME?</v>
      </c>
      <c r="F5538" s="1">
        <v>96500</v>
      </c>
      <c r="G5538" t="s">
        <v>8512</v>
      </c>
      <c r="H5538" t="s">
        <v>25709</v>
      </c>
      <c r="I5538" t="s">
        <v>25710</v>
      </c>
      <c r="J5538" t="s">
        <v>2100</v>
      </c>
      <c r="K5538" t="s">
        <v>25711</v>
      </c>
      <c r="L5538" t="s">
        <v>25712</v>
      </c>
      <c r="M5538" t="s">
        <v>46</v>
      </c>
      <c r="N5538" t="s">
        <v>47</v>
      </c>
      <c r="O5538" t="s">
        <v>25713</v>
      </c>
      <c r="P5538" t="s">
        <v>24175</v>
      </c>
      <c r="Q5538" t="s">
        <v>25714</v>
      </c>
      <c r="R5538">
        <v>16</v>
      </c>
      <c r="S5538">
        <v>32</v>
      </c>
    </row>
    <row r="5539" spans="1:19" x14ac:dyDescent="0.35">
      <c r="A5539">
        <v>5822</v>
      </c>
      <c r="B5539" t="s">
        <v>25600</v>
      </c>
      <c r="C5539" t="s">
        <v>42</v>
      </c>
      <c r="D5539" t="s">
        <v>25601</v>
      </c>
      <c r="E5539" t="e" cm="1">
        <f t="array" ref="E5539">- CLARITHROMYCIN</f>
        <v>#NAME?</v>
      </c>
      <c r="F5539" s="1">
        <v>675500</v>
      </c>
      <c r="G5539" t="s">
        <v>2241</v>
      </c>
      <c r="H5539" t="s">
        <v>25602</v>
      </c>
      <c r="I5539" t="s">
        <v>24317</v>
      </c>
      <c r="J5539" t="s">
        <v>25603</v>
      </c>
      <c r="K5539" t="s">
        <v>2726</v>
      </c>
      <c r="L5539" t="s">
        <v>24318</v>
      </c>
      <c r="M5539" t="s">
        <v>46</v>
      </c>
      <c r="N5539" t="s">
        <v>985</v>
      </c>
      <c r="O5539" t="s">
        <v>24319</v>
      </c>
      <c r="P5539" t="s">
        <v>25604</v>
      </c>
      <c r="Q5539" t="s">
        <v>25605</v>
      </c>
      <c r="R5539">
        <v>16</v>
      </c>
      <c r="S5539">
        <v>32</v>
      </c>
    </row>
    <row r="5540" spans="1:19" x14ac:dyDescent="0.35">
      <c r="A5540">
        <v>2375</v>
      </c>
      <c r="B5540" t="s">
        <v>25715</v>
      </c>
      <c r="C5540" t="s">
        <v>42</v>
      </c>
      <c r="D5540" t="s">
        <v>25716</v>
      </c>
      <c r="E5540" t="e" cm="1">
        <f t="array" ref="E5540">- MELOXICAM</f>
        <v>#NAME?</v>
      </c>
      <c r="F5540" t="s">
        <v>25717</v>
      </c>
      <c r="G5540" t="s">
        <v>20876</v>
      </c>
      <c r="H5540" t="s">
        <v>25718</v>
      </c>
      <c r="I5540" t="s">
        <v>25719</v>
      </c>
    </row>
    <row r="5541" spans="1:19" x14ac:dyDescent="0.35">
      <c r="A5541">
        <v>5748</v>
      </c>
      <c r="B5541" t="s">
        <v>19824</v>
      </c>
      <c r="C5541" t="s">
        <v>42</v>
      </c>
      <c r="D5541" t="s">
        <v>19825</v>
      </c>
      <c r="E5541" t="s">
        <v>25597</v>
      </c>
      <c r="F5541" t="s">
        <v>19826</v>
      </c>
      <c r="G5541" t="s">
        <v>5568</v>
      </c>
      <c r="H5541" t="s">
        <v>19827</v>
      </c>
      <c r="I5541" t="s">
        <v>19828</v>
      </c>
      <c r="J5541" t="s">
        <v>19829</v>
      </c>
      <c r="K5541" t="s">
        <v>19830</v>
      </c>
      <c r="L5541" t="s">
        <v>19831</v>
      </c>
      <c r="M5541" t="s">
        <v>271</v>
      </c>
      <c r="N5541" t="s">
        <v>25598</v>
      </c>
      <c r="O5541" t="s">
        <v>19832</v>
      </c>
      <c r="P5541" t="s">
        <v>19833</v>
      </c>
      <c r="Q5541" t="s">
        <v>25599</v>
      </c>
      <c r="R5541">
        <v>16</v>
      </c>
      <c r="S5541">
        <v>32</v>
      </c>
    </row>
    <row r="5542" spans="1:19" x14ac:dyDescent="0.35">
      <c r="A5542">
        <v>2376</v>
      </c>
      <c r="B5542" t="s">
        <v>25715</v>
      </c>
      <c r="C5542" t="s">
        <v>42</v>
      </c>
      <c r="D5542" t="s">
        <v>25716</v>
      </c>
      <c r="E5542" t="e" cm="1">
        <f t="array" ref="E5542">- MELOXICAM</f>
        <v>#NAME?</v>
      </c>
      <c r="F5542" t="s">
        <v>25717</v>
      </c>
      <c r="G5542" t="s">
        <v>20876</v>
      </c>
      <c r="H5542" t="s">
        <v>25718</v>
      </c>
      <c r="I5542" t="s">
        <v>25719</v>
      </c>
    </row>
    <row r="5543" spans="1:19" x14ac:dyDescent="0.35">
      <c r="A5543">
        <v>3547</v>
      </c>
      <c r="B5543" t="s">
        <v>25720</v>
      </c>
      <c r="C5543" t="s">
        <v>42</v>
      </c>
      <c r="D5543" t="s">
        <v>25721</v>
      </c>
      <c r="E5543" t="e" cm="1">
        <f t="array" ref="E5543">- DOMPERIDONE MALEATE</f>
        <v>#NAME?</v>
      </c>
      <c r="F5543" t="s">
        <v>25722</v>
      </c>
      <c r="G5543" t="s">
        <v>8205</v>
      </c>
      <c r="H5543" t="s">
        <v>1589</v>
      </c>
      <c r="I5543" t="s">
        <v>24493</v>
      </c>
      <c r="J5543" t="s">
        <v>20983</v>
      </c>
      <c r="K5543" t="s">
        <v>25723</v>
      </c>
      <c r="L5543" t="s">
        <v>24496</v>
      </c>
      <c r="M5543" t="s">
        <v>291</v>
      </c>
      <c r="N5543" t="s">
        <v>1609</v>
      </c>
      <c r="O5543" t="s">
        <v>24497</v>
      </c>
      <c r="P5543" t="s">
        <v>25724</v>
      </c>
      <c r="Q5543" t="s">
        <v>25725</v>
      </c>
      <c r="R5543">
        <v>16</v>
      </c>
      <c r="S5543">
        <v>32</v>
      </c>
    </row>
    <row r="5544" spans="1:19" x14ac:dyDescent="0.35">
      <c r="A5544">
        <v>2435</v>
      </c>
      <c r="B5544" t="s">
        <v>25726</v>
      </c>
      <c r="C5544" t="s">
        <v>42</v>
      </c>
      <c r="D5544" t="s">
        <v>25727</v>
      </c>
      <c r="E5544" t="e" cm="1">
        <f t="array" ref="E5544">- PARACETAMOL</f>
        <v>#NAME?</v>
      </c>
      <c r="F5544" s="1">
        <v>2500</v>
      </c>
      <c r="G5544" t="s">
        <v>4362</v>
      </c>
      <c r="H5544" t="s">
        <v>9708</v>
      </c>
      <c r="I5544" t="s">
        <v>25514</v>
      </c>
      <c r="J5544" t="s">
        <v>381</v>
      </c>
      <c r="K5544" t="s">
        <v>9711</v>
      </c>
      <c r="L5544" t="s">
        <v>9712</v>
      </c>
      <c r="M5544" t="s">
        <v>46</v>
      </c>
      <c r="N5544" t="s">
        <v>584</v>
      </c>
      <c r="O5544" t="s">
        <v>25515</v>
      </c>
      <c r="P5544" t="s">
        <v>25728</v>
      </c>
      <c r="Q5544" t="s">
        <v>25729</v>
      </c>
      <c r="R5544">
        <v>16</v>
      </c>
      <c r="S5544">
        <v>32</v>
      </c>
    </row>
    <row r="5545" spans="1:19" x14ac:dyDescent="0.35">
      <c r="A5545">
        <v>2434</v>
      </c>
      <c r="B5545" t="s">
        <v>25726</v>
      </c>
      <c r="C5545" t="s">
        <v>42</v>
      </c>
      <c r="D5545" t="s">
        <v>25727</v>
      </c>
      <c r="E5545" t="e" cm="1">
        <f t="array" ref="E5545">- PARACETAMOL</f>
        <v>#NAME?</v>
      </c>
      <c r="F5545" s="1">
        <v>2500</v>
      </c>
      <c r="G5545" t="s">
        <v>4362</v>
      </c>
      <c r="H5545" t="s">
        <v>9708</v>
      </c>
      <c r="I5545" t="s">
        <v>25514</v>
      </c>
      <c r="J5545" t="s">
        <v>381</v>
      </c>
      <c r="K5545" t="s">
        <v>9711</v>
      </c>
      <c r="L5545" t="s">
        <v>9712</v>
      </c>
      <c r="M5545" t="s">
        <v>46</v>
      </c>
      <c r="N5545" t="s">
        <v>584</v>
      </c>
      <c r="O5545" t="s">
        <v>25515</v>
      </c>
      <c r="P5545" t="s">
        <v>25728</v>
      </c>
      <c r="Q5545" t="s">
        <v>25729</v>
      </c>
      <c r="R5545">
        <v>16</v>
      </c>
      <c r="S5545">
        <v>32</v>
      </c>
    </row>
    <row r="5546" spans="1:19" x14ac:dyDescent="0.35">
      <c r="A5546">
        <v>1076</v>
      </c>
      <c r="B5546" t="s">
        <v>25730</v>
      </c>
      <c r="C5546" t="s">
        <v>42</v>
      </c>
      <c r="D5546" t="s">
        <v>25731</v>
      </c>
      <c r="E5546" t="e" cm="1">
        <f t="array" ref="E5546">- CHLORPHENAMINE MALEATE</f>
        <v>#NAME?</v>
      </c>
      <c r="F5546" t="s">
        <v>25732</v>
      </c>
      <c r="G5546" t="s">
        <v>60</v>
      </c>
      <c r="H5546" t="s">
        <v>25733</v>
      </c>
      <c r="I5546" t="s">
        <v>25734</v>
      </c>
      <c r="J5546" t="s">
        <v>334</v>
      </c>
      <c r="K5546" t="s">
        <v>24548</v>
      </c>
    </row>
    <row r="5547" spans="1:19" x14ac:dyDescent="0.35">
      <c r="A5547">
        <v>5879</v>
      </c>
      <c r="B5547" t="s">
        <v>25735</v>
      </c>
      <c r="C5547" t="s">
        <v>42</v>
      </c>
      <c r="D5547" t="s">
        <v>25736</v>
      </c>
      <c r="E5547" t="e" cm="1">
        <f t="array" ref="E5547">- CLARITHROMYCIN</f>
        <v>#NAME?</v>
      </c>
      <c r="F5547" t="s">
        <v>25737</v>
      </c>
      <c r="G5547" t="s">
        <v>1691</v>
      </c>
      <c r="H5547" t="s">
        <v>25738</v>
      </c>
      <c r="I5547" t="s">
        <v>25739</v>
      </c>
      <c r="J5547" t="s">
        <v>20629</v>
      </c>
      <c r="L5547" t="s">
        <v>25740</v>
      </c>
      <c r="M5547" t="s">
        <v>291</v>
      </c>
      <c r="N5547" t="s">
        <v>985</v>
      </c>
      <c r="O5547" t="s">
        <v>25741</v>
      </c>
      <c r="P5547" t="s">
        <v>25742</v>
      </c>
      <c r="Q5547" t="s">
        <v>25743</v>
      </c>
      <c r="R5547">
        <v>16</v>
      </c>
      <c r="S5547">
        <v>32</v>
      </c>
    </row>
    <row r="5548" spans="1:19" x14ac:dyDescent="0.35">
      <c r="A5548">
        <v>5878</v>
      </c>
      <c r="B5548" t="s">
        <v>25735</v>
      </c>
      <c r="C5548" t="s">
        <v>42</v>
      </c>
      <c r="D5548" t="s">
        <v>25736</v>
      </c>
      <c r="E5548" t="e" cm="1">
        <f t="array" ref="E5548">- CLARITHROMYCIN</f>
        <v>#NAME?</v>
      </c>
      <c r="F5548" t="s">
        <v>25737</v>
      </c>
      <c r="G5548" t="s">
        <v>1691</v>
      </c>
      <c r="H5548" t="s">
        <v>25738</v>
      </c>
      <c r="I5548" t="s">
        <v>25739</v>
      </c>
      <c r="J5548" t="s">
        <v>20629</v>
      </c>
      <c r="L5548" t="s">
        <v>25740</v>
      </c>
      <c r="M5548" t="s">
        <v>291</v>
      </c>
      <c r="N5548" t="s">
        <v>985</v>
      </c>
      <c r="O5548" t="s">
        <v>25741</v>
      </c>
      <c r="P5548" t="s">
        <v>25742</v>
      </c>
      <c r="Q5548" t="s">
        <v>25743</v>
      </c>
      <c r="R5548">
        <v>16</v>
      </c>
      <c r="S5548">
        <v>32</v>
      </c>
    </row>
    <row r="5549" spans="1:19" x14ac:dyDescent="0.35">
      <c r="A5549">
        <v>5877</v>
      </c>
      <c r="B5549" t="s">
        <v>25744</v>
      </c>
      <c r="C5549" t="s">
        <v>42</v>
      </c>
      <c r="D5549" t="s">
        <v>25745</v>
      </c>
      <c r="E5549" t="e" cm="1">
        <f t="array" ref="E5549">- CLARITHROMYCIN</f>
        <v>#NAME?</v>
      </c>
      <c r="F5549" t="s">
        <v>25746</v>
      </c>
      <c r="G5549" t="s">
        <v>1691</v>
      </c>
      <c r="H5549" t="s">
        <v>25738</v>
      </c>
      <c r="I5549" t="s">
        <v>25739</v>
      </c>
      <c r="J5549" t="s">
        <v>25747</v>
      </c>
      <c r="K5549" t="s">
        <v>2726</v>
      </c>
      <c r="L5549" t="s">
        <v>25740</v>
      </c>
      <c r="M5549" t="s">
        <v>291</v>
      </c>
      <c r="N5549" t="s">
        <v>985</v>
      </c>
      <c r="O5549" t="s">
        <v>25741</v>
      </c>
      <c r="P5549" t="s">
        <v>25742</v>
      </c>
      <c r="Q5549" t="s">
        <v>25743</v>
      </c>
      <c r="R5549">
        <v>16</v>
      </c>
      <c r="S5549">
        <v>32</v>
      </c>
    </row>
    <row r="5550" spans="1:19" x14ac:dyDescent="0.35">
      <c r="A5550">
        <v>5876</v>
      </c>
      <c r="B5550" t="s">
        <v>25744</v>
      </c>
      <c r="C5550" t="s">
        <v>42</v>
      </c>
      <c r="D5550" t="s">
        <v>25745</v>
      </c>
      <c r="E5550" t="e" cm="1">
        <f t="array" ref="E5550">- CLARITHROMYCIN</f>
        <v>#NAME?</v>
      </c>
      <c r="F5550" t="s">
        <v>25746</v>
      </c>
      <c r="G5550" t="s">
        <v>1691</v>
      </c>
      <c r="H5550" t="s">
        <v>25738</v>
      </c>
      <c r="I5550" t="s">
        <v>25739</v>
      </c>
      <c r="J5550" t="s">
        <v>25747</v>
      </c>
      <c r="K5550" t="s">
        <v>2726</v>
      </c>
      <c r="L5550" t="s">
        <v>25740</v>
      </c>
      <c r="M5550" t="s">
        <v>291</v>
      </c>
      <c r="N5550" t="s">
        <v>985</v>
      </c>
      <c r="O5550" t="s">
        <v>25741</v>
      </c>
      <c r="P5550" t="s">
        <v>25742</v>
      </c>
      <c r="Q5550" t="s">
        <v>25743</v>
      </c>
      <c r="R5550">
        <v>16</v>
      </c>
      <c r="S5550">
        <v>32</v>
      </c>
    </row>
    <row r="5551" spans="1:19" x14ac:dyDescent="0.35">
      <c r="A5551">
        <v>9245</v>
      </c>
      <c r="B5551" t="s">
        <v>25748</v>
      </c>
      <c r="C5551" t="s">
        <v>42</v>
      </c>
      <c r="D5551" t="s">
        <v>25749</v>
      </c>
      <c r="E5551" t="e" cm="1">
        <f t="array" ref="E5551">- HYDROCHLOROTHIAZIDE</f>
        <v>#NAME?</v>
      </c>
      <c r="F5551" t="s">
        <v>25750</v>
      </c>
      <c r="G5551" t="s">
        <v>14113</v>
      </c>
      <c r="H5551" t="s">
        <v>25751</v>
      </c>
      <c r="I5551" t="s">
        <v>25752</v>
      </c>
      <c r="J5551" t="s">
        <v>25753</v>
      </c>
      <c r="K5551" t="s">
        <v>25754</v>
      </c>
    </row>
    <row r="5552" spans="1:19" x14ac:dyDescent="0.35">
      <c r="A5552">
        <v>5759</v>
      </c>
      <c r="B5552" t="s">
        <v>25755</v>
      </c>
      <c r="C5552" t="s">
        <v>42</v>
      </c>
      <c r="D5552" t="s">
        <v>25756</v>
      </c>
      <c r="E5552" t="e" cm="1">
        <f t="array" ref="E5552">- CEFADROXIL MONOHYDRATE</f>
        <v>#NAME?</v>
      </c>
      <c r="F5552" t="s">
        <v>25757</v>
      </c>
      <c r="G5552" t="s">
        <v>2241</v>
      </c>
      <c r="H5552" t="s">
        <v>21352</v>
      </c>
      <c r="I5552" t="s">
        <v>21353</v>
      </c>
      <c r="J5552" t="s">
        <v>4201</v>
      </c>
      <c r="M5552" t="s">
        <v>1280</v>
      </c>
      <c r="N5552" t="s">
        <v>1777</v>
      </c>
      <c r="O5552" t="s">
        <v>21358</v>
      </c>
      <c r="P5552" t="s">
        <v>25758</v>
      </c>
      <c r="Q5552" t="s">
        <v>25759</v>
      </c>
      <c r="R5552">
        <v>16</v>
      </c>
      <c r="S5552">
        <v>32</v>
      </c>
    </row>
    <row r="5553" spans="1:19" x14ac:dyDescent="0.35">
      <c r="A5553">
        <v>2422</v>
      </c>
      <c r="B5553" t="s">
        <v>25760</v>
      </c>
      <c r="C5553" t="s">
        <v>42</v>
      </c>
      <c r="D5553" t="s">
        <v>25761</v>
      </c>
      <c r="E5553" t="e" cm="1">
        <f t="array" ref="E5553">- DICLOFENAC POTASSIUM</f>
        <v>#NAME?</v>
      </c>
      <c r="F5553" t="s">
        <v>25762</v>
      </c>
      <c r="G5553" t="s">
        <v>25763</v>
      </c>
      <c r="H5553" t="s">
        <v>25764</v>
      </c>
      <c r="I5553" t="s">
        <v>25765</v>
      </c>
      <c r="J5553" t="s">
        <v>571</v>
      </c>
      <c r="K5553" t="s">
        <v>21257</v>
      </c>
      <c r="L5553" t="s">
        <v>25766</v>
      </c>
    </row>
    <row r="5554" spans="1:19" x14ac:dyDescent="0.35">
      <c r="A5554">
        <v>1590</v>
      </c>
      <c r="B5554" t="s">
        <v>25767</v>
      </c>
      <c r="C5554" t="s">
        <v>42</v>
      </c>
      <c r="D5554" t="s">
        <v>25768</v>
      </c>
      <c r="E5554" t="e" cm="1">
        <f t="array" ref="E5554">- CHLORPHENAMINE MALEATE</f>
        <v>#NAME?</v>
      </c>
      <c r="F5554" t="s">
        <v>25769</v>
      </c>
      <c r="G5554" t="s">
        <v>60</v>
      </c>
      <c r="H5554" t="s">
        <v>25770</v>
      </c>
      <c r="I5554" t="s">
        <v>25771</v>
      </c>
      <c r="J5554" t="s">
        <v>727</v>
      </c>
      <c r="K5554" t="s">
        <v>25772</v>
      </c>
      <c r="L5554" t="s">
        <v>25773</v>
      </c>
      <c r="M5554" t="s">
        <v>291</v>
      </c>
      <c r="N5554" t="s">
        <v>1354</v>
      </c>
      <c r="O5554" t="s">
        <v>25774</v>
      </c>
      <c r="P5554" t="s">
        <v>25775</v>
      </c>
      <c r="Q5554" t="s">
        <v>25776</v>
      </c>
      <c r="R5554">
        <v>16</v>
      </c>
      <c r="S5554">
        <v>32</v>
      </c>
    </row>
    <row r="5555" spans="1:19" x14ac:dyDescent="0.35">
      <c r="A5555">
        <v>695</v>
      </c>
      <c r="B5555" t="s">
        <v>25552</v>
      </c>
      <c r="C5555" t="s">
        <v>850</v>
      </c>
      <c r="D5555" t="s">
        <v>25777</v>
      </c>
      <c r="E5555" t="e" cm="1">
        <f t="array" ref="E5555">- Menthol</f>
        <v>#NAME?</v>
      </c>
      <c r="F5555" t="s">
        <v>25778</v>
      </c>
      <c r="G5555" t="s">
        <v>25779</v>
      </c>
      <c r="H5555" t="s">
        <v>16968</v>
      </c>
      <c r="I5555" t="s">
        <v>25556</v>
      </c>
      <c r="J5555" t="s">
        <v>846</v>
      </c>
      <c r="M5555" t="s">
        <v>2115</v>
      </c>
      <c r="N5555" t="s">
        <v>2034</v>
      </c>
      <c r="O5555" t="s">
        <v>25557</v>
      </c>
      <c r="P5555" t="s">
        <v>25558</v>
      </c>
      <c r="Q5555" t="s">
        <v>25559</v>
      </c>
      <c r="R5555">
        <v>16</v>
      </c>
      <c r="S5555">
        <v>32</v>
      </c>
    </row>
    <row r="5556" spans="1:19" x14ac:dyDescent="0.35">
      <c r="A5556">
        <v>9362</v>
      </c>
      <c r="B5556" t="s">
        <v>6301</v>
      </c>
      <c r="C5556" t="s">
        <v>42</v>
      </c>
      <c r="D5556" t="s">
        <v>25780</v>
      </c>
      <c r="E5556" t="s">
        <v>6303</v>
      </c>
      <c r="F5556" s="1">
        <v>756000</v>
      </c>
      <c r="H5556" t="s">
        <v>1322</v>
      </c>
      <c r="I5556" t="s">
        <v>25781</v>
      </c>
      <c r="J5556" t="s">
        <v>12837</v>
      </c>
      <c r="M5556" t="s">
        <v>46</v>
      </c>
      <c r="N5556" t="s">
        <v>6304</v>
      </c>
      <c r="O5556" t="s">
        <v>25782</v>
      </c>
      <c r="P5556" t="s">
        <v>25783</v>
      </c>
      <c r="Q5556" t="s">
        <v>25784</v>
      </c>
      <c r="R5556">
        <v>16</v>
      </c>
      <c r="S5556">
        <v>32</v>
      </c>
    </row>
    <row r="5557" spans="1:19" x14ac:dyDescent="0.35">
      <c r="A5557">
        <v>7652</v>
      </c>
      <c r="B5557" t="s">
        <v>25785</v>
      </c>
      <c r="C5557" t="s">
        <v>20</v>
      </c>
      <c r="D5557" t="s">
        <v>25786</v>
      </c>
      <c r="E5557" t="s">
        <v>25787</v>
      </c>
      <c r="F5557" t="s">
        <v>25788</v>
      </c>
      <c r="G5557" t="s">
        <v>25184</v>
      </c>
      <c r="H5557" t="s">
        <v>25185</v>
      </c>
      <c r="I5557" t="s">
        <v>25186</v>
      </c>
      <c r="J5557" t="s">
        <v>13487</v>
      </c>
      <c r="L5557" t="s">
        <v>25188</v>
      </c>
      <c r="N5557" t="s">
        <v>25789</v>
      </c>
      <c r="O5557" t="s">
        <v>25190</v>
      </c>
      <c r="P5557" t="s">
        <v>25790</v>
      </c>
      <c r="Q5557" t="s">
        <v>25791</v>
      </c>
      <c r="R5557">
        <v>16</v>
      </c>
      <c r="S5557">
        <v>32</v>
      </c>
    </row>
    <row r="5558" spans="1:19" x14ac:dyDescent="0.35">
      <c r="A5558">
        <v>2312</v>
      </c>
      <c r="B5558" t="s">
        <v>25707</v>
      </c>
      <c r="C5558" t="s">
        <v>42</v>
      </c>
      <c r="D5558" t="s">
        <v>25708</v>
      </c>
      <c r="E5558" t="e" cm="1">
        <f t="array" ref="E5558">- ETORICOXIB</f>
        <v>#NAME?</v>
      </c>
      <c r="F5558" s="1">
        <v>96500</v>
      </c>
      <c r="G5558" t="s">
        <v>8512</v>
      </c>
      <c r="H5558" t="s">
        <v>25709</v>
      </c>
      <c r="I5558" t="s">
        <v>25710</v>
      </c>
      <c r="J5558" t="s">
        <v>2100</v>
      </c>
      <c r="K5558" t="s">
        <v>25711</v>
      </c>
      <c r="L5558" t="s">
        <v>25712</v>
      </c>
      <c r="M5558" t="s">
        <v>46</v>
      </c>
      <c r="N5558" t="s">
        <v>47</v>
      </c>
      <c r="O5558" t="s">
        <v>25713</v>
      </c>
      <c r="P5558" t="s">
        <v>24175</v>
      </c>
      <c r="Q5558" t="s">
        <v>25714</v>
      </c>
      <c r="R5558">
        <v>16</v>
      </c>
      <c r="S5558">
        <v>32</v>
      </c>
    </row>
    <row r="5559" spans="1:19" x14ac:dyDescent="0.35">
      <c r="A5559">
        <v>543</v>
      </c>
      <c r="B5559" t="s">
        <v>25792</v>
      </c>
      <c r="C5559" t="s">
        <v>42</v>
      </c>
      <c r="D5559" t="s">
        <v>25793</v>
      </c>
      <c r="E5559" t="e" cm="1">
        <f t="array" ref="E5559">- TERBUTALINE SULFATE</f>
        <v>#NAME?</v>
      </c>
      <c r="F5559" t="s">
        <v>25794</v>
      </c>
      <c r="G5559" t="s">
        <v>60</v>
      </c>
      <c r="H5559" t="s">
        <v>25795</v>
      </c>
      <c r="I5559" t="s">
        <v>25796</v>
      </c>
      <c r="J5559" t="s">
        <v>15454</v>
      </c>
      <c r="K5559" t="s">
        <v>25797</v>
      </c>
      <c r="L5559" t="s">
        <v>25798</v>
      </c>
      <c r="M5559" t="s">
        <v>291</v>
      </c>
      <c r="N5559" t="s">
        <v>4594</v>
      </c>
      <c r="O5559" t="s">
        <v>25799</v>
      </c>
      <c r="P5559" t="s">
        <v>25800</v>
      </c>
      <c r="Q5559" t="s">
        <v>25801</v>
      </c>
      <c r="R5559">
        <v>16</v>
      </c>
      <c r="S5559">
        <v>32</v>
      </c>
    </row>
    <row r="5560" spans="1:19" x14ac:dyDescent="0.35">
      <c r="A5560">
        <v>2382</v>
      </c>
      <c r="B5560" t="s">
        <v>25802</v>
      </c>
      <c r="C5560" t="s">
        <v>42</v>
      </c>
      <c r="D5560" t="s">
        <v>25803</v>
      </c>
      <c r="E5560" t="e" cm="1">
        <f t="array" ref="E5560">- PARACETAMOL. IBUPROFEN</f>
        <v>#NAME?</v>
      </c>
      <c r="F5560" t="s">
        <v>25804</v>
      </c>
      <c r="G5560" t="s">
        <v>2241</v>
      </c>
      <c r="H5560" t="s">
        <v>25805</v>
      </c>
      <c r="I5560" t="s">
        <v>25806</v>
      </c>
      <c r="J5560" t="s">
        <v>727</v>
      </c>
      <c r="M5560" t="s">
        <v>291</v>
      </c>
      <c r="N5560" t="s">
        <v>20695</v>
      </c>
      <c r="O5560" t="s">
        <v>25807</v>
      </c>
      <c r="P5560" t="s">
        <v>25808</v>
      </c>
      <c r="Q5560" t="s">
        <v>25809</v>
      </c>
      <c r="R5560">
        <v>16</v>
      </c>
      <c r="S5560">
        <v>32</v>
      </c>
    </row>
    <row r="5561" spans="1:19" x14ac:dyDescent="0.35">
      <c r="A5561">
        <v>5858</v>
      </c>
      <c r="B5561" t="s">
        <v>25810</v>
      </c>
      <c r="C5561" t="s">
        <v>42</v>
      </c>
      <c r="D5561" t="s">
        <v>25811</v>
      </c>
      <c r="E5561" t="e" cm="1">
        <f t="array" ref="E5561">- CLINDAMYCIN HYDROCHLORIDE</f>
        <v>#NAME?</v>
      </c>
      <c r="F5561" s="1">
        <v>42500</v>
      </c>
      <c r="G5561" t="s">
        <v>2241</v>
      </c>
      <c r="H5561" t="s">
        <v>25812</v>
      </c>
      <c r="I5561" t="s">
        <v>25813</v>
      </c>
      <c r="J5561" t="s">
        <v>25814</v>
      </c>
      <c r="K5561" t="s">
        <v>25815</v>
      </c>
      <c r="L5561" t="s">
        <v>25816</v>
      </c>
      <c r="M5561" t="s">
        <v>38</v>
      </c>
      <c r="N5561" t="s">
        <v>23622</v>
      </c>
      <c r="O5561" t="s">
        <v>25817</v>
      </c>
      <c r="P5561" t="s">
        <v>25818</v>
      </c>
      <c r="Q5561" t="s">
        <v>25819</v>
      </c>
      <c r="R5561">
        <v>16</v>
      </c>
      <c r="S5561">
        <v>32</v>
      </c>
    </row>
    <row r="5562" spans="1:19" x14ac:dyDescent="0.35">
      <c r="A5562">
        <v>5857</v>
      </c>
      <c r="B5562" t="s">
        <v>25810</v>
      </c>
      <c r="C5562" t="s">
        <v>42</v>
      </c>
      <c r="D5562" t="s">
        <v>25811</v>
      </c>
      <c r="E5562" t="e" cm="1">
        <f t="array" ref="E5562">- CLINDAMYCIN HYDROCHLORIDE</f>
        <v>#NAME?</v>
      </c>
      <c r="F5562" s="1">
        <v>42500</v>
      </c>
      <c r="G5562" t="s">
        <v>2241</v>
      </c>
      <c r="H5562" t="s">
        <v>25812</v>
      </c>
      <c r="I5562" t="s">
        <v>25813</v>
      </c>
      <c r="J5562" t="s">
        <v>25814</v>
      </c>
      <c r="K5562" t="s">
        <v>25815</v>
      </c>
      <c r="L5562" t="s">
        <v>25816</v>
      </c>
      <c r="M5562" t="s">
        <v>38</v>
      </c>
      <c r="N5562" t="s">
        <v>23622</v>
      </c>
      <c r="O5562" t="s">
        <v>25817</v>
      </c>
      <c r="P5562" t="s">
        <v>25818</v>
      </c>
      <c r="Q5562" t="s">
        <v>25819</v>
      </c>
      <c r="R5562">
        <v>16</v>
      </c>
      <c r="S5562">
        <v>32</v>
      </c>
    </row>
    <row r="5563" spans="1:19" x14ac:dyDescent="0.35">
      <c r="A5563">
        <v>5854</v>
      </c>
      <c r="B5563" t="s">
        <v>25820</v>
      </c>
      <c r="C5563" t="s">
        <v>42</v>
      </c>
      <c r="D5563" t="s">
        <v>25821</v>
      </c>
      <c r="E5563" t="e" cm="1">
        <f t="array" ref="E5563">- CEFADROXIL MONOHYDRATE</f>
        <v>#NAME?</v>
      </c>
      <c r="F5563" t="s">
        <v>25822</v>
      </c>
      <c r="G5563" t="s">
        <v>2241</v>
      </c>
      <c r="H5563" t="s">
        <v>21352</v>
      </c>
      <c r="I5563" t="s">
        <v>21353</v>
      </c>
      <c r="J5563" t="s">
        <v>334</v>
      </c>
      <c r="K5563" t="s">
        <v>21355</v>
      </c>
      <c r="L5563" t="s">
        <v>21356</v>
      </c>
      <c r="M5563" t="s">
        <v>271</v>
      </c>
      <c r="N5563" t="s">
        <v>1777</v>
      </c>
      <c r="O5563" t="s">
        <v>21358</v>
      </c>
      <c r="P5563" t="s">
        <v>25823</v>
      </c>
      <c r="Q5563" t="s">
        <v>25824</v>
      </c>
      <c r="R5563">
        <v>16</v>
      </c>
      <c r="S5563">
        <v>32</v>
      </c>
    </row>
    <row r="5564" spans="1:19" x14ac:dyDescent="0.35">
      <c r="A5564">
        <v>4842</v>
      </c>
      <c r="B5564" t="s">
        <v>25825</v>
      </c>
      <c r="C5564" t="s">
        <v>42</v>
      </c>
      <c r="D5564" t="s">
        <v>25826</v>
      </c>
      <c r="E5564" t="e" cm="1">
        <f t="array" ref="E5564">- NAPHAZOLINE HYDROCHLORIDE</f>
        <v>#NAME?</v>
      </c>
      <c r="F5564" t="s">
        <v>25827</v>
      </c>
      <c r="G5564" t="s">
        <v>7569</v>
      </c>
      <c r="H5564" t="s">
        <v>25828</v>
      </c>
      <c r="I5564" t="s">
        <v>25829</v>
      </c>
      <c r="J5564" t="s">
        <v>11321</v>
      </c>
      <c r="K5564" t="s">
        <v>19224</v>
      </c>
      <c r="L5564" t="s">
        <v>25830</v>
      </c>
      <c r="M5564" t="s">
        <v>824</v>
      </c>
      <c r="N5564" t="s">
        <v>10250</v>
      </c>
      <c r="O5564" t="s">
        <v>25831</v>
      </c>
      <c r="P5564" t="s">
        <v>25832</v>
      </c>
      <c r="Q5564" t="s">
        <v>25833</v>
      </c>
      <c r="R5564">
        <v>16</v>
      </c>
      <c r="S5564">
        <v>32</v>
      </c>
    </row>
    <row r="5565" spans="1:19" x14ac:dyDescent="0.35">
      <c r="A5565">
        <v>927</v>
      </c>
      <c r="B5565" t="s">
        <v>16997</v>
      </c>
      <c r="C5565" t="s">
        <v>42</v>
      </c>
      <c r="D5565" t="s">
        <v>16998</v>
      </c>
      <c r="E5565" t="e" cm="1">
        <f t="array" ref="E5565">- PSEUDOEPHEDRINE HYDROCHLORIDE. CHLORPHENAMINE MALEATE. DEXTROMETHORPHAN HYDROBROMIDE</f>
        <v>#NAME?</v>
      </c>
      <c r="F5565" t="s">
        <v>16999</v>
      </c>
      <c r="G5565" t="s">
        <v>2453</v>
      </c>
      <c r="H5565" t="s">
        <v>17000</v>
      </c>
      <c r="I5565" t="s">
        <v>17001</v>
      </c>
      <c r="J5565" t="s">
        <v>334</v>
      </c>
      <c r="K5565" t="s">
        <v>17002</v>
      </c>
      <c r="L5565" t="s">
        <v>17003</v>
      </c>
      <c r="M5565" t="s">
        <v>271</v>
      </c>
      <c r="N5565" t="s">
        <v>25834</v>
      </c>
      <c r="O5565" t="s">
        <v>17004</v>
      </c>
      <c r="P5565" t="s">
        <v>17005</v>
      </c>
      <c r="Q5565" t="s">
        <v>25835</v>
      </c>
      <c r="R5565">
        <v>16</v>
      </c>
      <c r="S5565">
        <v>32</v>
      </c>
    </row>
    <row r="5566" spans="1:19" x14ac:dyDescent="0.35">
      <c r="A5566">
        <v>5853</v>
      </c>
      <c r="B5566" t="s">
        <v>25820</v>
      </c>
      <c r="C5566" t="s">
        <v>42</v>
      </c>
      <c r="D5566" t="s">
        <v>25821</v>
      </c>
      <c r="E5566" t="e" cm="1">
        <f t="array" ref="E5566">- CEFADROXIL MONOHYDRATE</f>
        <v>#NAME?</v>
      </c>
      <c r="F5566" t="s">
        <v>25822</v>
      </c>
      <c r="G5566" t="s">
        <v>2241</v>
      </c>
      <c r="H5566" t="s">
        <v>21352</v>
      </c>
      <c r="I5566" t="s">
        <v>21353</v>
      </c>
      <c r="J5566" t="s">
        <v>334</v>
      </c>
      <c r="K5566" t="s">
        <v>21355</v>
      </c>
      <c r="L5566" t="s">
        <v>21356</v>
      </c>
      <c r="M5566" t="s">
        <v>340</v>
      </c>
      <c r="N5566" t="s">
        <v>1777</v>
      </c>
      <c r="O5566" t="s">
        <v>21358</v>
      </c>
      <c r="P5566" t="s">
        <v>25823</v>
      </c>
      <c r="Q5566" t="s">
        <v>25836</v>
      </c>
      <c r="R5566">
        <v>16</v>
      </c>
      <c r="S5566">
        <v>32</v>
      </c>
    </row>
    <row r="5567" spans="1:19" x14ac:dyDescent="0.35">
      <c r="A5567">
        <v>5782</v>
      </c>
      <c r="B5567" t="s">
        <v>25837</v>
      </c>
      <c r="C5567" t="s">
        <v>42</v>
      </c>
      <c r="D5567" t="s">
        <v>25838</v>
      </c>
      <c r="E5567" t="e" cm="1">
        <f t="array" ref="E5567">- AMOXICILLIN TRIHYDRATE</f>
        <v>#NAME?</v>
      </c>
      <c r="F5567" t="s">
        <v>25839</v>
      </c>
      <c r="G5567" t="s">
        <v>25840</v>
      </c>
      <c r="H5567" t="s">
        <v>25841</v>
      </c>
      <c r="I5567" t="s">
        <v>25842</v>
      </c>
      <c r="J5567" t="s">
        <v>25843</v>
      </c>
      <c r="K5567" t="s">
        <v>14288</v>
      </c>
      <c r="L5567" t="s">
        <v>25844</v>
      </c>
      <c r="M5567" t="s">
        <v>291</v>
      </c>
      <c r="N5567" t="s">
        <v>1523</v>
      </c>
      <c r="O5567" t="s">
        <v>25845</v>
      </c>
      <c r="P5567" t="s">
        <v>25846</v>
      </c>
      <c r="Q5567" t="s">
        <v>25847</v>
      </c>
      <c r="R5567">
        <v>16</v>
      </c>
      <c r="S5567">
        <v>32</v>
      </c>
    </row>
    <row r="5568" spans="1:19" x14ac:dyDescent="0.35">
      <c r="A5568">
        <v>5783</v>
      </c>
      <c r="B5568" t="s">
        <v>25837</v>
      </c>
      <c r="C5568" t="s">
        <v>42</v>
      </c>
      <c r="D5568" t="s">
        <v>25838</v>
      </c>
      <c r="E5568" t="e" cm="1">
        <f t="array" ref="E5568">- AMOXICILLIN TRIHYDRATE</f>
        <v>#NAME?</v>
      </c>
      <c r="F5568" t="s">
        <v>25839</v>
      </c>
      <c r="G5568" t="s">
        <v>25840</v>
      </c>
      <c r="H5568" t="s">
        <v>25841</v>
      </c>
      <c r="I5568" t="s">
        <v>25842</v>
      </c>
      <c r="J5568" t="s">
        <v>25843</v>
      </c>
      <c r="K5568" t="s">
        <v>14288</v>
      </c>
      <c r="L5568" t="s">
        <v>25844</v>
      </c>
      <c r="M5568" t="s">
        <v>291</v>
      </c>
      <c r="N5568" t="s">
        <v>1523</v>
      </c>
      <c r="O5568" t="s">
        <v>25845</v>
      </c>
      <c r="P5568" t="s">
        <v>25846</v>
      </c>
      <c r="Q5568" t="s">
        <v>25847</v>
      </c>
      <c r="R5568">
        <v>16</v>
      </c>
      <c r="S5568">
        <v>32</v>
      </c>
    </row>
    <row r="5569" spans="1:19" x14ac:dyDescent="0.35">
      <c r="A5569">
        <v>3546</v>
      </c>
      <c r="B5569" t="s">
        <v>25720</v>
      </c>
      <c r="C5569" t="s">
        <v>42</v>
      </c>
      <c r="D5569" t="s">
        <v>25721</v>
      </c>
      <c r="E5569" t="e" cm="1">
        <f t="array" ref="E5569">- DOMPERIDONE MALEATE</f>
        <v>#NAME?</v>
      </c>
      <c r="F5569" t="s">
        <v>25722</v>
      </c>
      <c r="G5569" t="s">
        <v>8205</v>
      </c>
      <c r="H5569" t="s">
        <v>1589</v>
      </c>
      <c r="I5569" t="s">
        <v>24493</v>
      </c>
      <c r="J5569" t="s">
        <v>20983</v>
      </c>
      <c r="K5569" t="s">
        <v>25723</v>
      </c>
      <c r="L5569" t="s">
        <v>24496</v>
      </c>
      <c r="M5569" t="s">
        <v>291</v>
      </c>
      <c r="N5569" t="s">
        <v>1609</v>
      </c>
      <c r="O5569" t="s">
        <v>24497</v>
      </c>
      <c r="P5569" t="s">
        <v>25724</v>
      </c>
      <c r="Q5569" t="s">
        <v>25725</v>
      </c>
      <c r="R5569">
        <v>16</v>
      </c>
      <c r="S5569">
        <v>32</v>
      </c>
    </row>
    <row r="5570" spans="1:19" x14ac:dyDescent="0.35">
      <c r="A5570">
        <v>3604</v>
      </c>
      <c r="B5570" t="s">
        <v>25848</v>
      </c>
      <c r="C5570" t="s">
        <v>42</v>
      </c>
      <c r="D5570" t="s">
        <v>25849</v>
      </c>
      <c r="E5570" t="e" cm="1">
        <f t="array" ref="E5570">- ONDANSETRON HYDROCHLORIDE DIHYDRATE</f>
        <v>#NAME?</v>
      </c>
      <c r="F5570" t="s">
        <v>25850</v>
      </c>
      <c r="G5570" t="s">
        <v>60</v>
      </c>
      <c r="H5570" t="s">
        <v>25851</v>
      </c>
    </row>
    <row r="5571" spans="1:19" x14ac:dyDescent="0.35">
      <c r="A5571">
        <v>5264</v>
      </c>
      <c r="B5571" t="s">
        <v>25671</v>
      </c>
      <c r="C5571" t="s">
        <v>42</v>
      </c>
      <c r="D5571" t="s">
        <v>25672</v>
      </c>
      <c r="E5571" t="e" cm="1">
        <f t="array" ref="E5571">- BETAMETHASONE DIPROPIONATE. GENTAMICIN SULFATE</f>
        <v>#NAME?</v>
      </c>
      <c r="F5571" t="s">
        <v>25673</v>
      </c>
      <c r="G5571" t="s">
        <v>19513</v>
      </c>
      <c r="H5571" t="s">
        <v>25028</v>
      </c>
      <c r="I5571" t="s">
        <v>25674</v>
      </c>
      <c r="J5571" t="s">
        <v>1684</v>
      </c>
      <c r="K5571" t="s">
        <v>25675</v>
      </c>
      <c r="L5571" t="s">
        <v>25031</v>
      </c>
      <c r="M5571" t="s">
        <v>1289</v>
      </c>
      <c r="N5571" t="s">
        <v>19781</v>
      </c>
      <c r="O5571" t="s">
        <v>25676</v>
      </c>
      <c r="P5571" t="s">
        <v>25677</v>
      </c>
      <c r="Q5571" t="s">
        <v>25678</v>
      </c>
      <c r="R5571">
        <v>16</v>
      </c>
      <c r="S5571">
        <v>32</v>
      </c>
    </row>
    <row r="5572" spans="1:19" x14ac:dyDescent="0.35">
      <c r="A5572">
        <v>3613</v>
      </c>
      <c r="B5572" t="s">
        <v>25852</v>
      </c>
      <c r="C5572" t="s">
        <v>42</v>
      </c>
      <c r="D5572" t="s">
        <v>25853</v>
      </c>
      <c r="E5572" t="e" cm="1">
        <f t="array" ref="E5572">- ONDANSETRON HYDROCHLORIDE DIHYDRATE</f>
        <v>#NAME?</v>
      </c>
      <c r="F5572" t="s">
        <v>25854</v>
      </c>
      <c r="G5572" t="s">
        <v>60</v>
      </c>
      <c r="H5572" t="s">
        <v>25855</v>
      </c>
      <c r="I5572" t="s">
        <v>25856</v>
      </c>
      <c r="J5572" t="s">
        <v>334</v>
      </c>
      <c r="K5572" t="s">
        <v>25857</v>
      </c>
      <c r="L5572" t="s">
        <v>2537</v>
      </c>
      <c r="M5572" t="s">
        <v>271</v>
      </c>
      <c r="N5572" t="s">
        <v>14087</v>
      </c>
      <c r="O5572" t="s">
        <v>25858</v>
      </c>
      <c r="P5572" t="s">
        <v>18211</v>
      </c>
      <c r="Q5572" t="s">
        <v>25859</v>
      </c>
      <c r="R5572">
        <v>16</v>
      </c>
      <c r="S5572">
        <v>32</v>
      </c>
    </row>
    <row r="5573" spans="1:19" x14ac:dyDescent="0.35">
      <c r="A5573">
        <v>4416</v>
      </c>
      <c r="B5573" t="s">
        <v>22441</v>
      </c>
      <c r="C5573" t="s">
        <v>42</v>
      </c>
      <c r="D5573" t="s">
        <v>25860</v>
      </c>
      <c r="E5573" t="e" cm="1">
        <f t="array" ref="E5573">- DEQUALINIUM CHLORIDE</f>
        <v>#NAME?</v>
      </c>
      <c r="F5573" t="s">
        <v>25861</v>
      </c>
      <c r="G5573" t="s">
        <v>25862</v>
      </c>
      <c r="H5573" t="s">
        <v>22314</v>
      </c>
      <c r="I5573" t="s">
        <v>19733</v>
      </c>
      <c r="J5573" t="s">
        <v>25863</v>
      </c>
      <c r="K5573" t="s">
        <v>25864</v>
      </c>
      <c r="L5573" t="s">
        <v>22316</v>
      </c>
      <c r="M5573" t="s">
        <v>46</v>
      </c>
      <c r="N5573" t="s">
        <v>10495</v>
      </c>
      <c r="O5573" t="s">
        <v>19735</v>
      </c>
      <c r="P5573" t="s">
        <v>22444</v>
      </c>
      <c r="Q5573" t="s">
        <v>25865</v>
      </c>
      <c r="R5573">
        <v>16</v>
      </c>
      <c r="S5573">
        <v>32</v>
      </c>
    </row>
    <row r="5574" spans="1:19" x14ac:dyDescent="0.35">
      <c r="A5574">
        <v>6195</v>
      </c>
      <c r="B5574" t="s">
        <v>23606</v>
      </c>
      <c r="C5574" t="s">
        <v>42</v>
      </c>
      <c r="D5574" t="s">
        <v>23607</v>
      </c>
      <c r="E5574" t="e" cm="1">
        <f t="array" ref="E5574">- SULFAMETHOXAZOLE. TRIMETHOPRIM</f>
        <v>#NAME?</v>
      </c>
      <c r="F5574" t="s">
        <v>23608</v>
      </c>
      <c r="G5574" t="s">
        <v>11706</v>
      </c>
      <c r="H5574" t="s">
        <v>21015</v>
      </c>
      <c r="I5574" t="s">
        <v>23609</v>
      </c>
      <c r="J5574" t="s">
        <v>4472</v>
      </c>
      <c r="K5574" t="s">
        <v>23610</v>
      </c>
      <c r="L5574" t="s">
        <v>23611</v>
      </c>
      <c r="M5574" t="s">
        <v>46</v>
      </c>
      <c r="N5574" t="s">
        <v>1379</v>
      </c>
      <c r="O5574" t="s">
        <v>23612</v>
      </c>
      <c r="P5574" t="s">
        <v>23613</v>
      </c>
      <c r="Q5574" t="s">
        <v>25866</v>
      </c>
      <c r="R5574">
        <v>16</v>
      </c>
      <c r="S5574">
        <v>32</v>
      </c>
    </row>
    <row r="5575" spans="1:19" x14ac:dyDescent="0.35">
      <c r="A5575">
        <v>6199</v>
      </c>
      <c r="B5575" t="s">
        <v>25867</v>
      </c>
      <c r="C5575" t="s">
        <v>42</v>
      </c>
      <c r="D5575" t="s">
        <v>25868</v>
      </c>
      <c r="E5575" t="e" cm="1">
        <f t="array" ref="E5575">- AMOXICILLIN TRIHYDRATE</f>
        <v>#NAME?</v>
      </c>
      <c r="F5575" t="s">
        <v>25869</v>
      </c>
      <c r="G5575" t="s">
        <v>1691</v>
      </c>
      <c r="H5575" t="s">
        <v>25870</v>
      </c>
      <c r="I5575" t="s">
        <v>25871</v>
      </c>
      <c r="J5575" t="s">
        <v>22905</v>
      </c>
      <c r="K5575" t="s">
        <v>25872</v>
      </c>
      <c r="L5575" t="s">
        <v>25873</v>
      </c>
      <c r="M5575" t="s">
        <v>38</v>
      </c>
      <c r="N5575" t="s">
        <v>1523</v>
      </c>
      <c r="O5575" t="s">
        <v>25874</v>
      </c>
      <c r="P5575" t="s">
        <v>25875</v>
      </c>
      <c r="Q5575" t="s">
        <v>25876</v>
      </c>
      <c r="R5575">
        <v>16</v>
      </c>
      <c r="S5575">
        <v>32</v>
      </c>
    </row>
    <row r="5576" spans="1:19" x14ac:dyDescent="0.35">
      <c r="A5576">
        <v>6200</v>
      </c>
      <c r="B5576" t="s">
        <v>25877</v>
      </c>
      <c r="C5576" t="s">
        <v>42</v>
      </c>
      <c r="D5576" t="s">
        <v>25878</v>
      </c>
      <c r="E5576" t="e" cm="1">
        <f t="array" ref="E5576">- AMOXICILLIN TRIHYDRATE</f>
        <v>#NAME?</v>
      </c>
      <c r="F5576" t="s">
        <v>25879</v>
      </c>
      <c r="G5576" t="s">
        <v>2241</v>
      </c>
      <c r="H5576" t="s">
        <v>25880</v>
      </c>
      <c r="I5576" t="s">
        <v>25871</v>
      </c>
      <c r="J5576" t="s">
        <v>334</v>
      </c>
      <c r="K5576" t="s">
        <v>25872</v>
      </c>
      <c r="L5576" t="s">
        <v>25873</v>
      </c>
      <c r="M5576" t="s">
        <v>271</v>
      </c>
      <c r="N5576" t="s">
        <v>1523</v>
      </c>
      <c r="O5576" t="s">
        <v>25874</v>
      </c>
      <c r="P5576" t="s">
        <v>25875</v>
      </c>
      <c r="Q5576" t="s">
        <v>25881</v>
      </c>
      <c r="R5576">
        <v>16</v>
      </c>
      <c r="S5576">
        <v>32</v>
      </c>
    </row>
    <row r="5577" spans="1:19" x14ac:dyDescent="0.35">
      <c r="A5577">
        <v>4013</v>
      </c>
      <c r="B5577" t="s">
        <v>25882</v>
      </c>
      <c r="C5577" t="s">
        <v>20</v>
      </c>
      <c r="D5577" t="s">
        <v>25883</v>
      </c>
      <c r="E5577" t="s">
        <v>25884</v>
      </c>
      <c r="F5577" t="s">
        <v>25885</v>
      </c>
      <c r="G5577" t="s">
        <v>24625</v>
      </c>
      <c r="H5577" t="s">
        <v>24626</v>
      </c>
      <c r="I5577" t="s">
        <v>4003</v>
      </c>
      <c r="J5577" t="s">
        <v>24627</v>
      </c>
      <c r="M5577" t="s">
        <v>63</v>
      </c>
      <c r="N5577" t="s">
        <v>25886</v>
      </c>
      <c r="O5577" t="s">
        <v>4005</v>
      </c>
      <c r="P5577" t="s">
        <v>25887</v>
      </c>
      <c r="Q5577" t="s">
        <v>25888</v>
      </c>
      <c r="R5577">
        <v>16</v>
      </c>
      <c r="S5577">
        <v>32</v>
      </c>
    </row>
    <row r="5578" spans="1:19" x14ac:dyDescent="0.35">
      <c r="A5578">
        <v>4014</v>
      </c>
      <c r="B5578" t="s">
        <v>25882</v>
      </c>
      <c r="C5578" t="s">
        <v>20</v>
      </c>
      <c r="D5578" t="s">
        <v>25883</v>
      </c>
      <c r="E5578" t="s">
        <v>25884</v>
      </c>
      <c r="F5578" t="s">
        <v>25885</v>
      </c>
      <c r="G5578" t="s">
        <v>24625</v>
      </c>
      <c r="H5578" t="s">
        <v>24626</v>
      </c>
      <c r="I5578" t="s">
        <v>4003</v>
      </c>
      <c r="J5578" t="s">
        <v>24627</v>
      </c>
      <c r="M5578" t="s">
        <v>63</v>
      </c>
      <c r="N5578" t="s">
        <v>25886</v>
      </c>
      <c r="O5578" t="s">
        <v>4005</v>
      </c>
      <c r="P5578" t="s">
        <v>25887</v>
      </c>
      <c r="Q5578" t="s">
        <v>25888</v>
      </c>
      <c r="R5578">
        <v>16</v>
      </c>
      <c r="S5578">
        <v>32</v>
      </c>
    </row>
    <row r="5579" spans="1:19" x14ac:dyDescent="0.35">
      <c r="A5579">
        <v>16</v>
      </c>
      <c r="B5579" t="s">
        <v>2902</v>
      </c>
      <c r="C5579" t="s">
        <v>42</v>
      </c>
      <c r="D5579" t="s">
        <v>25889</v>
      </c>
      <c r="E5579" t="e" cm="1">
        <f t="array" ref="E5579">- SILDENAFIL CITRATE</f>
        <v>#NAME?</v>
      </c>
      <c r="F5579" t="s">
        <v>25890</v>
      </c>
      <c r="G5579" t="s">
        <v>25891</v>
      </c>
      <c r="I5579" t="s">
        <v>25892</v>
      </c>
      <c r="J5579" t="s">
        <v>25893</v>
      </c>
      <c r="M5579" t="s">
        <v>46</v>
      </c>
      <c r="N5579" t="s">
        <v>2519</v>
      </c>
      <c r="O5579" t="s">
        <v>25894</v>
      </c>
      <c r="P5579" t="s">
        <v>25895</v>
      </c>
      <c r="Q5579" t="s">
        <v>25896</v>
      </c>
      <c r="R5579">
        <v>16</v>
      </c>
      <c r="S5579">
        <v>32</v>
      </c>
    </row>
    <row r="5580" spans="1:19" x14ac:dyDescent="0.35">
      <c r="A5580">
        <v>4385</v>
      </c>
      <c r="B5580" t="s">
        <v>1637</v>
      </c>
      <c r="C5580" t="s">
        <v>42</v>
      </c>
      <c r="D5580" t="s">
        <v>25897</v>
      </c>
      <c r="E5580" t="e" cm="1">
        <f t="array" ref="E5580">- OFLOXACIN</f>
        <v>#NAME?</v>
      </c>
      <c r="F5580" s="1">
        <v>191600</v>
      </c>
      <c r="I5580" t="s">
        <v>25898</v>
      </c>
      <c r="J5580" t="s">
        <v>743</v>
      </c>
      <c r="M5580" t="s">
        <v>824</v>
      </c>
      <c r="N5580" t="s">
        <v>1640</v>
      </c>
      <c r="O5580" t="s">
        <v>25899</v>
      </c>
      <c r="P5580" t="s">
        <v>25900</v>
      </c>
      <c r="Q5580" t="s">
        <v>25901</v>
      </c>
      <c r="R5580">
        <v>16</v>
      </c>
      <c r="S5580">
        <v>32</v>
      </c>
    </row>
    <row r="5581" spans="1:19" x14ac:dyDescent="0.35">
      <c r="A5581">
        <v>1722</v>
      </c>
      <c r="B5581" t="s">
        <v>25902</v>
      </c>
      <c r="C5581" t="s">
        <v>42</v>
      </c>
      <c r="D5581" t="s">
        <v>25903</v>
      </c>
      <c r="E5581" t="e" cm="1">
        <f t="array" ref="E5581">- FLUTICASONE PROPIONATE</f>
        <v>#NAME?</v>
      </c>
      <c r="F5581" t="s">
        <v>25904</v>
      </c>
      <c r="H5581" t="s">
        <v>25905</v>
      </c>
      <c r="I5581" t="s">
        <v>25906</v>
      </c>
      <c r="J5581" t="s">
        <v>25907</v>
      </c>
      <c r="L5581" t="s">
        <v>25908</v>
      </c>
      <c r="M5581" t="s">
        <v>3453</v>
      </c>
      <c r="N5581" t="s">
        <v>3454</v>
      </c>
      <c r="O5581" t="s">
        <v>25909</v>
      </c>
      <c r="P5581" t="s">
        <v>25910</v>
      </c>
      <c r="Q5581" t="s">
        <v>25911</v>
      </c>
      <c r="R5581">
        <v>16</v>
      </c>
      <c r="S5581">
        <v>32</v>
      </c>
    </row>
    <row r="5582" spans="1:19" x14ac:dyDescent="0.35">
      <c r="A5582">
        <v>1723</v>
      </c>
      <c r="B5582" t="s">
        <v>25902</v>
      </c>
      <c r="C5582" t="s">
        <v>42</v>
      </c>
      <c r="D5582" t="s">
        <v>25903</v>
      </c>
      <c r="E5582" t="e" cm="1">
        <f t="array" ref="E5582">- FLUTICASONE PROPIONATE</f>
        <v>#NAME?</v>
      </c>
      <c r="F5582" t="s">
        <v>25904</v>
      </c>
      <c r="H5582" t="s">
        <v>25905</v>
      </c>
      <c r="I5582" t="s">
        <v>25906</v>
      </c>
      <c r="J5582" t="s">
        <v>25907</v>
      </c>
      <c r="L5582" t="s">
        <v>25908</v>
      </c>
      <c r="M5582" t="s">
        <v>3453</v>
      </c>
      <c r="N5582" t="s">
        <v>3454</v>
      </c>
      <c r="O5582" t="s">
        <v>25909</v>
      </c>
      <c r="P5582" t="s">
        <v>25910</v>
      </c>
      <c r="Q5582" t="s">
        <v>25911</v>
      </c>
      <c r="R5582">
        <v>16</v>
      </c>
      <c r="S5582">
        <v>32</v>
      </c>
    </row>
    <row r="5583" spans="1:19" x14ac:dyDescent="0.35">
      <c r="A5583">
        <v>865</v>
      </c>
      <c r="B5583" t="s">
        <v>25912</v>
      </c>
      <c r="C5583" t="s">
        <v>42</v>
      </c>
      <c r="D5583" t="s">
        <v>25913</v>
      </c>
      <c r="E5583" t="e" cm="1">
        <f t="array" ref="E5583">- CHLORPHENAMINE MALEATE</f>
        <v>#NAME?</v>
      </c>
      <c r="F5583" t="s">
        <v>25914</v>
      </c>
      <c r="G5583" t="s">
        <v>1691</v>
      </c>
      <c r="H5583" t="s">
        <v>25915</v>
      </c>
      <c r="I5583" t="s">
        <v>25916</v>
      </c>
      <c r="J5583" t="s">
        <v>25917</v>
      </c>
      <c r="K5583" t="s">
        <v>25918</v>
      </c>
      <c r="L5583" t="s">
        <v>25919</v>
      </c>
      <c r="M5583" t="s">
        <v>291</v>
      </c>
      <c r="N5583" t="s">
        <v>1354</v>
      </c>
      <c r="O5583" t="s">
        <v>25920</v>
      </c>
      <c r="P5583" t="s">
        <v>11391</v>
      </c>
      <c r="Q5583" t="s">
        <v>25921</v>
      </c>
      <c r="R5583">
        <v>16</v>
      </c>
      <c r="S5583">
        <v>32</v>
      </c>
    </row>
    <row r="5584" spans="1:19" x14ac:dyDescent="0.35">
      <c r="A5584">
        <v>6443</v>
      </c>
      <c r="B5584" t="s">
        <v>25922</v>
      </c>
      <c r="C5584" t="s">
        <v>42</v>
      </c>
      <c r="D5584" t="s">
        <v>25923</v>
      </c>
      <c r="E5584" t="e" cm="1">
        <f t="array" ref="E5584">- CIPROFLOXACIN HYDROCHLORIDE</f>
        <v>#NAME?</v>
      </c>
      <c r="F5584" t="s">
        <v>25924</v>
      </c>
      <c r="G5584" t="s">
        <v>2855</v>
      </c>
      <c r="H5584" t="s">
        <v>1055</v>
      </c>
      <c r="I5584" t="s">
        <v>25925</v>
      </c>
      <c r="J5584" t="s">
        <v>25926</v>
      </c>
      <c r="K5584" t="s">
        <v>2726</v>
      </c>
      <c r="L5584" t="s">
        <v>7256</v>
      </c>
      <c r="M5584" t="s">
        <v>291</v>
      </c>
      <c r="N5584" t="s">
        <v>1624</v>
      </c>
      <c r="O5584" t="s">
        <v>25927</v>
      </c>
      <c r="P5584" t="s">
        <v>25928</v>
      </c>
      <c r="Q5584" t="s">
        <v>25929</v>
      </c>
      <c r="R5584">
        <v>16</v>
      </c>
      <c r="S5584">
        <v>32</v>
      </c>
    </row>
    <row r="5585" spans="1:19" x14ac:dyDescent="0.35">
      <c r="A5585">
        <v>6442</v>
      </c>
      <c r="B5585" t="s">
        <v>25922</v>
      </c>
      <c r="C5585" t="s">
        <v>42</v>
      </c>
      <c r="D5585" t="s">
        <v>25923</v>
      </c>
      <c r="E5585" t="e" cm="1">
        <f t="array" ref="E5585">- CIPROFLOXACIN HYDROCHLORIDE</f>
        <v>#NAME?</v>
      </c>
      <c r="F5585" t="s">
        <v>25924</v>
      </c>
      <c r="G5585" t="s">
        <v>2855</v>
      </c>
      <c r="H5585" t="s">
        <v>1055</v>
      </c>
      <c r="I5585" t="s">
        <v>25925</v>
      </c>
      <c r="J5585" t="s">
        <v>25926</v>
      </c>
      <c r="K5585" t="s">
        <v>2726</v>
      </c>
      <c r="L5585" t="s">
        <v>7256</v>
      </c>
      <c r="M5585" t="s">
        <v>291</v>
      </c>
      <c r="N5585" t="s">
        <v>1624</v>
      </c>
      <c r="O5585" t="s">
        <v>25927</v>
      </c>
      <c r="P5585" t="s">
        <v>25928</v>
      </c>
      <c r="Q5585" t="s">
        <v>25929</v>
      </c>
      <c r="R5585">
        <v>16</v>
      </c>
      <c r="S5585">
        <v>32</v>
      </c>
    </row>
    <row r="5586" spans="1:19" x14ac:dyDescent="0.35">
      <c r="A5586">
        <v>4373</v>
      </c>
      <c r="B5586" t="s">
        <v>1637</v>
      </c>
      <c r="C5586" t="s">
        <v>42</v>
      </c>
      <c r="D5586" t="s">
        <v>25930</v>
      </c>
      <c r="E5586" t="e" cm="1">
        <f t="array" ref="E5586">- OFLOXACIN</f>
        <v>#NAME?</v>
      </c>
      <c r="F5586" t="s">
        <v>25931</v>
      </c>
      <c r="G5586" t="s">
        <v>25932</v>
      </c>
      <c r="H5586" t="s">
        <v>25933</v>
      </c>
      <c r="I5586" t="s">
        <v>25934</v>
      </c>
      <c r="J5586" t="s">
        <v>829</v>
      </c>
      <c r="M5586" t="s">
        <v>824</v>
      </c>
      <c r="N5586" t="s">
        <v>1640</v>
      </c>
      <c r="O5586" t="s">
        <v>25935</v>
      </c>
      <c r="P5586" t="s">
        <v>25936</v>
      </c>
      <c r="Q5586" t="s">
        <v>25937</v>
      </c>
      <c r="R5586">
        <v>16</v>
      </c>
      <c r="S5586">
        <v>32</v>
      </c>
    </row>
    <row r="5587" spans="1:19" x14ac:dyDescent="0.35">
      <c r="A5587">
        <v>860</v>
      </c>
      <c r="B5587" t="s">
        <v>25938</v>
      </c>
      <c r="C5587" t="s">
        <v>42</v>
      </c>
      <c r="D5587" t="s">
        <v>25939</v>
      </c>
      <c r="E5587" t="e" cm="1">
        <f t="array" ref="E5587">- CHLORPHENAMINE MALEATE</f>
        <v>#NAME?</v>
      </c>
      <c r="F5587" t="s">
        <v>25940</v>
      </c>
      <c r="G5587" t="s">
        <v>6869</v>
      </c>
      <c r="H5587" t="s">
        <v>25941</v>
      </c>
      <c r="I5587" t="s">
        <v>25942</v>
      </c>
      <c r="J5587" t="s">
        <v>25943</v>
      </c>
      <c r="K5587" t="s">
        <v>2858</v>
      </c>
      <c r="L5587" t="s">
        <v>25944</v>
      </c>
      <c r="M5587" t="s">
        <v>291</v>
      </c>
      <c r="N5587" t="s">
        <v>1354</v>
      </c>
      <c r="O5587" t="s">
        <v>25945</v>
      </c>
      <c r="P5587" t="s">
        <v>25946</v>
      </c>
      <c r="Q5587" t="s">
        <v>25947</v>
      </c>
      <c r="R5587">
        <v>16</v>
      </c>
      <c r="S5587">
        <v>32</v>
      </c>
    </row>
    <row r="5588" spans="1:19" x14ac:dyDescent="0.35">
      <c r="A5588">
        <v>4417</v>
      </c>
      <c r="B5588" t="s">
        <v>22441</v>
      </c>
      <c r="C5588" t="s">
        <v>42</v>
      </c>
      <c r="D5588" t="s">
        <v>25860</v>
      </c>
      <c r="E5588" t="e" cm="1">
        <f t="array" ref="E5588">- DEQUALINIUM CHLORIDE</f>
        <v>#NAME?</v>
      </c>
      <c r="F5588" t="s">
        <v>25861</v>
      </c>
      <c r="G5588" t="s">
        <v>25862</v>
      </c>
      <c r="H5588" t="s">
        <v>22314</v>
      </c>
      <c r="I5588" t="s">
        <v>19733</v>
      </c>
      <c r="J5588" t="s">
        <v>25863</v>
      </c>
      <c r="K5588" t="s">
        <v>25864</v>
      </c>
      <c r="L5588" t="s">
        <v>22316</v>
      </c>
      <c r="M5588" t="s">
        <v>46</v>
      </c>
      <c r="N5588" t="s">
        <v>10495</v>
      </c>
      <c r="O5588" t="s">
        <v>19735</v>
      </c>
      <c r="P5588" t="s">
        <v>22444</v>
      </c>
      <c r="Q5588" t="s">
        <v>25865</v>
      </c>
      <c r="R5588">
        <v>16</v>
      </c>
      <c r="S5588">
        <v>32</v>
      </c>
    </row>
    <row r="5589" spans="1:19" x14ac:dyDescent="0.35">
      <c r="A5589">
        <v>4368</v>
      </c>
      <c r="B5589" t="s">
        <v>1637</v>
      </c>
      <c r="C5589" t="s">
        <v>42</v>
      </c>
      <c r="D5589" t="s">
        <v>25948</v>
      </c>
      <c r="E5589" t="e" cm="1">
        <f t="array" ref="E5589">- OFLOXACIN</f>
        <v>#NAME?</v>
      </c>
      <c r="F5589" s="1">
        <v>125000</v>
      </c>
      <c r="G5589" t="s">
        <v>25949</v>
      </c>
      <c r="I5589" t="s">
        <v>25950</v>
      </c>
      <c r="J5589" t="s">
        <v>374</v>
      </c>
      <c r="M5589" t="s">
        <v>824</v>
      </c>
      <c r="N5589" t="s">
        <v>1640</v>
      </c>
      <c r="O5589" t="s">
        <v>25951</v>
      </c>
      <c r="P5589" t="s">
        <v>25952</v>
      </c>
      <c r="Q5589" t="s">
        <v>25953</v>
      </c>
      <c r="R5589">
        <v>16</v>
      </c>
      <c r="S5589">
        <v>32</v>
      </c>
    </row>
    <row r="5590" spans="1:19" x14ac:dyDescent="0.35">
      <c r="A5590">
        <v>4418</v>
      </c>
      <c r="B5590" t="s">
        <v>22441</v>
      </c>
      <c r="C5590" t="s">
        <v>42</v>
      </c>
      <c r="D5590" t="s">
        <v>25860</v>
      </c>
      <c r="E5590" t="e" cm="1">
        <f t="array" ref="E5590">- DEQUALINIUM CHLORIDE</f>
        <v>#NAME?</v>
      </c>
      <c r="F5590" t="s">
        <v>25861</v>
      </c>
      <c r="G5590" t="s">
        <v>25862</v>
      </c>
      <c r="H5590" t="s">
        <v>22314</v>
      </c>
      <c r="I5590" t="s">
        <v>19733</v>
      </c>
      <c r="J5590" t="s">
        <v>25863</v>
      </c>
      <c r="K5590" t="s">
        <v>25864</v>
      </c>
      <c r="L5590" t="s">
        <v>22316</v>
      </c>
      <c r="M5590" t="s">
        <v>46</v>
      </c>
      <c r="N5590" t="s">
        <v>10495</v>
      </c>
      <c r="O5590" t="s">
        <v>19735</v>
      </c>
      <c r="P5590" t="s">
        <v>22444</v>
      </c>
      <c r="Q5590" t="s">
        <v>25865</v>
      </c>
      <c r="R5590">
        <v>16</v>
      </c>
      <c r="S5590">
        <v>32</v>
      </c>
    </row>
    <row r="5591" spans="1:19" x14ac:dyDescent="0.35">
      <c r="A5591">
        <v>4420</v>
      </c>
      <c r="B5591" t="s">
        <v>25954</v>
      </c>
      <c r="C5591" t="s">
        <v>42</v>
      </c>
      <c r="D5591" t="s">
        <v>25955</v>
      </c>
      <c r="E5591" t="e" cm="1">
        <f t="array" ref="E5591">- DEQUALINIUM CHLORIDE</f>
        <v>#NAME?</v>
      </c>
      <c r="F5591" t="s">
        <v>25956</v>
      </c>
      <c r="G5591" t="s">
        <v>22304</v>
      </c>
      <c r="H5591" t="s">
        <v>22305</v>
      </c>
      <c r="I5591" t="s">
        <v>19733</v>
      </c>
      <c r="J5591" t="s">
        <v>22307</v>
      </c>
      <c r="K5591" t="s">
        <v>22308</v>
      </c>
      <c r="L5591" t="s">
        <v>22309</v>
      </c>
      <c r="M5591" t="s">
        <v>46</v>
      </c>
      <c r="N5591" t="s">
        <v>10495</v>
      </c>
      <c r="O5591" t="s">
        <v>19735</v>
      </c>
      <c r="P5591" t="s">
        <v>25957</v>
      </c>
      <c r="Q5591" t="s">
        <v>25958</v>
      </c>
      <c r="R5591">
        <v>16</v>
      </c>
      <c r="S5591">
        <v>32</v>
      </c>
    </row>
    <row r="5592" spans="1:19" x14ac:dyDescent="0.35">
      <c r="A5592">
        <v>1878</v>
      </c>
      <c r="B5592" t="s">
        <v>25959</v>
      </c>
      <c r="C5592" t="s">
        <v>42</v>
      </c>
      <c r="D5592" t="s">
        <v>25960</v>
      </c>
      <c r="E5592" t="e" cm="1">
        <f t="array" ref="E5592">- PARACETAMOL. GUAIFENESIN. CHLORPHENAMINE MALEATE</f>
        <v>#NAME?</v>
      </c>
      <c r="F5592" t="s">
        <v>25961</v>
      </c>
      <c r="G5592" t="s">
        <v>2241</v>
      </c>
      <c r="H5592" t="s">
        <v>25962</v>
      </c>
      <c r="I5592" t="s">
        <v>25963</v>
      </c>
      <c r="J5592" t="s">
        <v>334</v>
      </c>
      <c r="K5592" t="s">
        <v>25964</v>
      </c>
      <c r="L5592" t="s">
        <v>25965</v>
      </c>
      <c r="M5592" t="s">
        <v>271</v>
      </c>
      <c r="N5592" t="s">
        <v>5118</v>
      </c>
      <c r="O5592" t="s">
        <v>25966</v>
      </c>
      <c r="P5592" t="s">
        <v>25967</v>
      </c>
      <c r="Q5592" t="s">
        <v>25968</v>
      </c>
      <c r="R5592">
        <v>16</v>
      </c>
      <c r="S5592">
        <v>32</v>
      </c>
    </row>
    <row r="5593" spans="1:19" x14ac:dyDescent="0.35">
      <c r="A5593">
        <v>9929</v>
      </c>
      <c r="B5593" t="s">
        <v>20885</v>
      </c>
      <c r="C5593" t="s">
        <v>42</v>
      </c>
      <c r="D5593" t="s">
        <v>20886</v>
      </c>
      <c r="E5593" t="s">
        <v>25969</v>
      </c>
      <c r="F5593" t="s">
        <v>20887</v>
      </c>
      <c r="G5593" t="s">
        <v>20888</v>
      </c>
      <c r="H5593" t="s">
        <v>20889</v>
      </c>
      <c r="I5593" t="s">
        <v>20890</v>
      </c>
      <c r="J5593" t="s">
        <v>5934</v>
      </c>
      <c r="K5593" t="s">
        <v>20891</v>
      </c>
      <c r="L5593" t="s">
        <v>20892</v>
      </c>
      <c r="M5593" t="s">
        <v>46</v>
      </c>
      <c r="N5593" t="s">
        <v>25970</v>
      </c>
      <c r="O5593" t="s">
        <v>20893</v>
      </c>
      <c r="P5593" t="s">
        <v>20894</v>
      </c>
      <c r="Q5593" t="s">
        <v>25971</v>
      </c>
      <c r="R5593">
        <v>16</v>
      </c>
      <c r="S5593">
        <v>32</v>
      </c>
    </row>
    <row r="5594" spans="1:19" x14ac:dyDescent="0.35">
      <c r="A5594">
        <v>6479</v>
      </c>
      <c r="B5594" t="s">
        <v>25972</v>
      </c>
      <c r="C5594" t="s">
        <v>42</v>
      </c>
      <c r="D5594" t="s">
        <v>25973</v>
      </c>
      <c r="E5594" t="e" cm="1">
        <f t="array" ref="E5594">- AMOXICILLIN TRIHYDRATE</f>
        <v>#NAME?</v>
      </c>
      <c r="F5594" t="s">
        <v>25974</v>
      </c>
      <c r="G5594" t="s">
        <v>6135</v>
      </c>
      <c r="H5594" t="s">
        <v>25975</v>
      </c>
      <c r="I5594" t="s">
        <v>23928</v>
      </c>
      <c r="J5594" t="s">
        <v>810</v>
      </c>
      <c r="K5594" t="s">
        <v>18853</v>
      </c>
      <c r="L5594" t="s">
        <v>23929</v>
      </c>
      <c r="M5594" t="s">
        <v>291</v>
      </c>
      <c r="N5594" t="s">
        <v>1523</v>
      </c>
      <c r="O5594" t="s">
        <v>23930</v>
      </c>
      <c r="P5594" t="s">
        <v>23931</v>
      </c>
      <c r="Q5594" t="s">
        <v>25976</v>
      </c>
      <c r="R5594">
        <v>16</v>
      </c>
      <c r="S5594">
        <v>32</v>
      </c>
    </row>
    <row r="5595" spans="1:19" x14ac:dyDescent="0.35">
      <c r="A5595">
        <v>6476</v>
      </c>
      <c r="B5595" t="s">
        <v>25977</v>
      </c>
      <c r="C5595" t="s">
        <v>42</v>
      </c>
      <c r="D5595" t="s">
        <v>25978</v>
      </c>
      <c r="E5595" t="e" cm="1">
        <f t="array" ref="E5595">- PIPEMIDIC ACID</f>
        <v>#NAME?</v>
      </c>
      <c r="F5595" t="s">
        <v>25979</v>
      </c>
      <c r="G5595" t="s">
        <v>12424</v>
      </c>
      <c r="H5595" t="s">
        <v>25980</v>
      </c>
      <c r="I5595" t="s">
        <v>25981</v>
      </c>
      <c r="J5595" t="s">
        <v>1093</v>
      </c>
      <c r="K5595" t="s">
        <v>25982</v>
      </c>
      <c r="L5595" t="s">
        <v>8847</v>
      </c>
      <c r="M5595" t="s">
        <v>46</v>
      </c>
      <c r="N5595" t="s">
        <v>25983</v>
      </c>
      <c r="O5595" t="s">
        <v>25984</v>
      </c>
      <c r="P5595" t="s">
        <v>25985</v>
      </c>
      <c r="Q5595" t="s">
        <v>25986</v>
      </c>
      <c r="R5595">
        <v>16</v>
      </c>
      <c r="S5595">
        <v>32</v>
      </c>
    </row>
    <row r="5596" spans="1:19" x14ac:dyDescent="0.35">
      <c r="A5596">
        <v>6475</v>
      </c>
      <c r="B5596" t="s">
        <v>25987</v>
      </c>
      <c r="C5596" t="s">
        <v>42</v>
      </c>
      <c r="D5596" t="s">
        <v>25988</v>
      </c>
      <c r="E5596" t="e" cm="1">
        <f t="array" ref="E5596">- THIAMPHENICOL</f>
        <v>#NAME?</v>
      </c>
      <c r="F5596" t="s">
        <v>25989</v>
      </c>
      <c r="G5596" t="s">
        <v>737</v>
      </c>
      <c r="H5596" t="s">
        <v>5662</v>
      </c>
      <c r="I5596" t="s">
        <v>25496</v>
      </c>
      <c r="J5596" t="s">
        <v>13233</v>
      </c>
      <c r="K5596" t="s">
        <v>25990</v>
      </c>
      <c r="L5596" t="s">
        <v>5664</v>
      </c>
      <c r="M5596" t="s">
        <v>38</v>
      </c>
      <c r="N5596" t="s">
        <v>272</v>
      </c>
      <c r="O5596" t="s">
        <v>25498</v>
      </c>
      <c r="P5596" t="s">
        <v>25991</v>
      </c>
      <c r="Q5596" t="s">
        <v>25992</v>
      </c>
      <c r="R5596">
        <v>16</v>
      </c>
      <c r="S5596">
        <v>32</v>
      </c>
    </row>
    <row r="5597" spans="1:19" x14ac:dyDescent="0.35">
      <c r="A5597">
        <v>3981</v>
      </c>
      <c r="B5597" t="s">
        <v>25993</v>
      </c>
      <c r="C5597" t="s">
        <v>42</v>
      </c>
      <c r="D5597" t="s">
        <v>25994</v>
      </c>
      <c r="E5597" t="e" cm="1">
        <f t="array" ref="E5597">- FLUOCORTOLONE PIVALATE</f>
        <v>#NAME?</v>
      </c>
      <c r="F5597" t="s">
        <v>25995</v>
      </c>
      <c r="G5597" t="s">
        <v>25996</v>
      </c>
      <c r="H5597" t="s">
        <v>25997</v>
      </c>
      <c r="I5597" t="s">
        <v>25342</v>
      </c>
      <c r="J5597" t="s">
        <v>2167</v>
      </c>
      <c r="K5597" t="s">
        <v>25998</v>
      </c>
      <c r="L5597" t="s">
        <v>25999</v>
      </c>
      <c r="M5597" t="s">
        <v>1289</v>
      </c>
      <c r="N5597" t="s">
        <v>25345</v>
      </c>
      <c r="O5597" t="s">
        <v>25346</v>
      </c>
      <c r="P5597" t="s">
        <v>26000</v>
      </c>
      <c r="Q5597" t="s">
        <v>26001</v>
      </c>
      <c r="R5597">
        <v>16</v>
      </c>
      <c r="S5597">
        <v>32</v>
      </c>
    </row>
    <row r="5598" spans="1:19" x14ac:dyDescent="0.35">
      <c r="A5598">
        <v>4426</v>
      </c>
      <c r="B5598" t="s">
        <v>25954</v>
      </c>
      <c r="C5598" t="s">
        <v>42</v>
      </c>
      <c r="D5598" t="s">
        <v>26002</v>
      </c>
      <c r="E5598" t="e" cm="1">
        <f t="array" ref="E5598">- DEQUALINIUM CHLORIDE</f>
        <v>#NAME?</v>
      </c>
      <c r="F5598" t="s">
        <v>26003</v>
      </c>
      <c r="G5598" t="s">
        <v>25862</v>
      </c>
      <c r="H5598" t="s">
        <v>22314</v>
      </c>
      <c r="I5598" t="s">
        <v>19733</v>
      </c>
      <c r="J5598" t="s">
        <v>25863</v>
      </c>
      <c r="K5598" t="s">
        <v>25864</v>
      </c>
      <c r="L5598" t="s">
        <v>22316</v>
      </c>
      <c r="M5598" t="s">
        <v>46</v>
      </c>
      <c r="N5598" t="s">
        <v>10495</v>
      </c>
      <c r="O5598" t="s">
        <v>19735</v>
      </c>
      <c r="P5598" t="s">
        <v>25957</v>
      </c>
      <c r="Q5598" t="s">
        <v>25958</v>
      </c>
      <c r="R5598">
        <v>16</v>
      </c>
      <c r="S5598">
        <v>32</v>
      </c>
    </row>
    <row r="5599" spans="1:19" x14ac:dyDescent="0.35">
      <c r="A5599">
        <v>4425</v>
      </c>
      <c r="B5599" t="s">
        <v>25954</v>
      </c>
      <c r="C5599" t="s">
        <v>42</v>
      </c>
      <c r="D5599" t="s">
        <v>26002</v>
      </c>
      <c r="E5599" t="e" cm="1">
        <f t="array" ref="E5599">- DEQUALINIUM CHLORIDE</f>
        <v>#NAME?</v>
      </c>
      <c r="F5599" t="s">
        <v>26003</v>
      </c>
      <c r="G5599" t="s">
        <v>25862</v>
      </c>
      <c r="H5599" t="s">
        <v>22314</v>
      </c>
      <c r="I5599" t="s">
        <v>19733</v>
      </c>
      <c r="J5599" t="s">
        <v>25863</v>
      </c>
      <c r="K5599" t="s">
        <v>25864</v>
      </c>
      <c r="L5599" t="s">
        <v>22316</v>
      </c>
      <c r="M5599" t="s">
        <v>46</v>
      </c>
      <c r="N5599" t="s">
        <v>10495</v>
      </c>
      <c r="O5599" t="s">
        <v>19735</v>
      </c>
      <c r="P5599" t="s">
        <v>25957</v>
      </c>
      <c r="Q5599" t="s">
        <v>25958</v>
      </c>
      <c r="R5599">
        <v>16</v>
      </c>
      <c r="S5599">
        <v>32</v>
      </c>
    </row>
    <row r="5600" spans="1:19" x14ac:dyDescent="0.35">
      <c r="A5600">
        <v>9933</v>
      </c>
      <c r="B5600" t="s">
        <v>26004</v>
      </c>
      <c r="C5600" t="s">
        <v>42</v>
      </c>
      <c r="D5600" t="s">
        <v>26005</v>
      </c>
      <c r="E5600" t="e" cm="1">
        <f t="array" ref="E5600">- CILOSTAZOL</f>
        <v>#NAME?</v>
      </c>
      <c r="F5600" t="s">
        <v>26006</v>
      </c>
      <c r="G5600" t="s">
        <v>26007</v>
      </c>
      <c r="H5600" t="s">
        <v>26008</v>
      </c>
      <c r="I5600" t="s">
        <v>26009</v>
      </c>
      <c r="J5600" t="s">
        <v>754</v>
      </c>
      <c r="K5600" t="s">
        <v>26010</v>
      </c>
      <c r="L5600" t="s">
        <v>26011</v>
      </c>
      <c r="M5600" t="s">
        <v>46</v>
      </c>
      <c r="N5600" t="s">
        <v>20904</v>
      </c>
      <c r="O5600" t="s">
        <v>26012</v>
      </c>
      <c r="P5600" t="s">
        <v>20904</v>
      </c>
      <c r="Q5600" t="s">
        <v>26013</v>
      </c>
      <c r="R5600">
        <v>16</v>
      </c>
      <c r="S5600">
        <v>32</v>
      </c>
    </row>
    <row r="5601" spans="1:19" x14ac:dyDescent="0.35">
      <c r="A5601">
        <v>4424</v>
      </c>
      <c r="B5601" t="s">
        <v>25954</v>
      </c>
      <c r="C5601" t="s">
        <v>42</v>
      </c>
      <c r="D5601" t="s">
        <v>26002</v>
      </c>
      <c r="E5601" t="e" cm="1">
        <f t="array" ref="E5601">- DEQUALINIUM CHLORIDE</f>
        <v>#NAME?</v>
      </c>
      <c r="F5601" t="s">
        <v>26003</v>
      </c>
      <c r="G5601" t="s">
        <v>25862</v>
      </c>
      <c r="H5601" t="s">
        <v>22314</v>
      </c>
      <c r="I5601" t="s">
        <v>19733</v>
      </c>
      <c r="J5601" t="s">
        <v>25863</v>
      </c>
      <c r="K5601" t="s">
        <v>25864</v>
      </c>
      <c r="L5601" t="s">
        <v>22316</v>
      </c>
      <c r="M5601" t="s">
        <v>46</v>
      </c>
      <c r="N5601" t="s">
        <v>10495</v>
      </c>
      <c r="O5601" t="s">
        <v>19735</v>
      </c>
      <c r="P5601" t="s">
        <v>25957</v>
      </c>
      <c r="Q5601" t="s">
        <v>25958</v>
      </c>
      <c r="R5601">
        <v>16</v>
      </c>
      <c r="S5601">
        <v>32</v>
      </c>
    </row>
    <row r="5602" spans="1:19" x14ac:dyDescent="0.35">
      <c r="A5602">
        <v>9934</v>
      </c>
      <c r="B5602" t="s">
        <v>26004</v>
      </c>
      <c r="C5602" t="s">
        <v>42</v>
      </c>
      <c r="D5602" t="s">
        <v>26005</v>
      </c>
      <c r="E5602" t="e" cm="1">
        <f t="array" ref="E5602">- CILOSTAZOL</f>
        <v>#NAME?</v>
      </c>
      <c r="F5602" t="s">
        <v>26006</v>
      </c>
      <c r="G5602" t="s">
        <v>26007</v>
      </c>
      <c r="H5602" t="s">
        <v>26008</v>
      </c>
      <c r="I5602" t="s">
        <v>26009</v>
      </c>
      <c r="J5602" t="s">
        <v>754</v>
      </c>
      <c r="K5602" t="s">
        <v>26010</v>
      </c>
      <c r="L5602" t="s">
        <v>26011</v>
      </c>
      <c r="M5602" t="s">
        <v>46</v>
      </c>
      <c r="N5602" t="s">
        <v>20904</v>
      </c>
      <c r="O5602" t="s">
        <v>26012</v>
      </c>
      <c r="P5602" t="s">
        <v>20904</v>
      </c>
      <c r="Q5602" t="s">
        <v>26013</v>
      </c>
      <c r="R5602">
        <v>16</v>
      </c>
      <c r="S5602">
        <v>32</v>
      </c>
    </row>
    <row r="5603" spans="1:19" x14ac:dyDescent="0.35">
      <c r="A5603">
        <v>4423</v>
      </c>
      <c r="B5603" t="s">
        <v>25954</v>
      </c>
      <c r="C5603" t="s">
        <v>42</v>
      </c>
      <c r="D5603" t="s">
        <v>26002</v>
      </c>
      <c r="E5603" t="e" cm="1">
        <f t="array" ref="E5603">- DEQUALINIUM CHLORIDE</f>
        <v>#NAME?</v>
      </c>
      <c r="F5603" t="s">
        <v>26003</v>
      </c>
      <c r="G5603" t="s">
        <v>25862</v>
      </c>
      <c r="H5603" t="s">
        <v>22314</v>
      </c>
      <c r="I5603" t="s">
        <v>19733</v>
      </c>
      <c r="J5603" t="s">
        <v>25863</v>
      </c>
      <c r="K5603" t="s">
        <v>25864</v>
      </c>
      <c r="L5603" t="s">
        <v>22316</v>
      </c>
      <c r="M5603" t="s">
        <v>46</v>
      </c>
      <c r="N5603" t="s">
        <v>10495</v>
      </c>
      <c r="O5603" t="s">
        <v>19735</v>
      </c>
      <c r="P5603" t="s">
        <v>25957</v>
      </c>
      <c r="Q5603" t="s">
        <v>25958</v>
      </c>
      <c r="R5603">
        <v>16</v>
      </c>
      <c r="S5603">
        <v>32</v>
      </c>
    </row>
    <row r="5604" spans="1:19" x14ac:dyDescent="0.35">
      <c r="A5604">
        <v>9935</v>
      </c>
      <c r="B5604" t="s">
        <v>26004</v>
      </c>
      <c r="C5604" t="s">
        <v>42</v>
      </c>
      <c r="D5604" t="s">
        <v>26005</v>
      </c>
      <c r="E5604" t="e" cm="1">
        <f t="array" ref="E5604">- CILOSTAZOL</f>
        <v>#NAME?</v>
      </c>
      <c r="F5604" t="s">
        <v>26006</v>
      </c>
      <c r="G5604" t="s">
        <v>26007</v>
      </c>
      <c r="H5604" t="s">
        <v>26008</v>
      </c>
      <c r="I5604" t="s">
        <v>26009</v>
      </c>
      <c r="J5604" t="s">
        <v>754</v>
      </c>
      <c r="K5604" t="s">
        <v>26010</v>
      </c>
      <c r="L5604" t="s">
        <v>26011</v>
      </c>
      <c r="M5604" t="s">
        <v>46</v>
      </c>
      <c r="N5604" t="s">
        <v>20904</v>
      </c>
      <c r="O5604" t="s">
        <v>26012</v>
      </c>
      <c r="P5604" t="s">
        <v>20904</v>
      </c>
      <c r="Q5604" t="s">
        <v>26013</v>
      </c>
      <c r="R5604">
        <v>16</v>
      </c>
      <c r="S5604">
        <v>32</v>
      </c>
    </row>
    <row r="5605" spans="1:19" x14ac:dyDescent="0.35">
      <c r="A5605">
        <v>4422</v>
      </c>
      <c r="B5605" t="s">
        <v>25954</v>
      </c>
      <c r="C5605" t="s">
        <v>42</v>
      </c>
      <c r="D5605" t="s">
        <v>25955</v>
      </c>
      <c r="E5605" t="e" cm="1">
        <f t="array" ref="E5605">- DEQUALINIUM CHLORIDE</f>
        <v>#NAME?</v>
      </c>
      <c r="F5605" t="s">
        <v>25956</v>
      </c>
      <c r="G5605" t="s">
        <v>22304</v>
      </c>
      <c r="H5605" t="s">
        <v>22305</v>
      </c>
      <c r="I5605" t="s">
        <v>19733</v>
      </c>
      <c r="J5605" t="s">
        <v>22307</v>
      </c>
      <c r="K5605" t="s">
        <v>22308</v>
      </c>
      <c r="L5605" t="s">
        <v>22309</v>
      </c>
      <c r="M5605" t="s">
        <v>46</v>
      </c>
      <c r="N5605" t="s">
        <v>10495</v>
      </c>
      <c r="O5605" t="s">
        <v>19735</v>
      </c>
      <c r="P5605" t="s">
        <v>25957</v>
      </c>
      <c r="Q5605" t="s">
        <v>25958</v>
      </c>
      <c r="R5605">
        <v>16</v>
      </c>
      <c r="S5605">
        <v>32</v>
      </c>
    </row>
    <row r="5606" spans="1:19" x14ac:dyDescent="0.35">
      <c r="A5606">
        <v>4421</v>
      </c>
      <c r="B5606" t="s">
        <v>25954</v>
      </c>
      <c r="C5606" t="s">
        <v>42</v>
      </c>
      <c r="D5606" t="s">
        <v>25955</v>
      </c>
      <c r="E5606" t="e" cm="1">
        <f t="array" ref="E5606">- DEQUALINIUM CHLORIDE</f>
        <v>#NAME?</v>
      </c>
      <c r="F5606" t="s">
        <v>25956</v>
      </c>
      <c r="G5606" t="s">
        <v>22304</v>
      </c>
      <c r="H5606" t="s">
        <v>22305</v>
      </c>
      <c r="I5606" t="s">
        <v>19733</v>
      </c>
      <c r="J5606" t="s">
        <v>22307</v>
      </c>
      <c r="K5606" t="s">
        <v>22308</v>
      </c>
      <c r="L5606" t="s">
        <v>22309</v>
      </c>
      <c r="M5606" t="s">
        <v>46</v>
      </c>
      <c r="N5606" t="s">
        <v>10495</v>
      </c>
      <c r="O5606" t="s">
        <v>19735</v>
      </c>
      <c r="P5606" t="s">
        <v>25957</v>
      </c>
      <c r="Q5606" t="s">
        <v>25958</v>
      </c>
      <c r="R5606">
        <v>16</v>
      </c>
      <c r="S5606">
        <v>32</v>
      </c>
    </row>
    <row r="5607" spans="1:19" x14ac:dyDescent="0.35">
      <c r="A5607">
        <v>4419</v>
      </c>
      <c r="B5607" t="s">
        <v>25954</v>
      </c>
      <c r="C5607" t="s">
        <v>42</v>
      </c>
      <c r="D5607" t="s">
        <v>25955</v>
      </c>
      <c r="E5607" t="e" cm="1">
        <f t="array" ref="E5607">- DEQUALINIUM CHLORIDE</f>
        <v>#NAME?</v>
      </c>
      <c r="F5607" t="s">
        <v>25956</v>
      </c>
      <c r="G5607" t="s">
        <v>22304</v>
      </c>
      <c r="H5607" t="s">
        <v>22305</v>
      </c>
      <c r="I5607" t="s">
        <v>19733</v>
      </c>
      <c r="J5607" t="s">
        <v>22307</v>
      </c>
      <c r="K5607" t="s">
        <v>22308</v>
      </c>
      <c r="L5607" t="s">
        <v>22309</v>
      </c>
      <c r="M5607" t="s">
        <v>46</v>
      </c>
      <c r="N5607" t="s">
        <v>10495</v>
      </c>
      <c r="O5607" t="s">
        <v>19735</v>
      </c>
      <c r="P5607" t="s">
        <v>25957</v>
      </c>
      <c r="Q5607" t="s">
        <v>25958</v>
      </c>
      <c r="R5607">
        <v>16</v>
      </c>
      <c r="S5607">
        <v>32</v>
      </c>
    </row>
    <row r="5608" spans="1:19" x14ac:dyDescent="0.35">
      <c r="A5608">
        <v>4367</v>
      </c>
      <c r="B5608" t="s">
        <v>1637</v>
      </c>
      <c r="C5608" t="s">
        <v>42</v>
      </c>
      <c r="D5608" t="s">
        <v>26014</v>
      </c>
      <c r="E5608" t="e" cm="1">
        <f t="array" ref="E5608">- OFLOXACIN</f>
        <v>#NAME?</v>
      </c>
      <c r="F5608" s="1">
        <v>154000</v>
      </c>
      <c r="G5608" t="s">
        <v>25932</v>
      </c>
      <c r="H5608" t="s">
        <v>26015</v>
      </c>
      <c r="I5608" t="s">
        <v>25934</v>
      </c>
      <c r="J5608" t="s">
        <v>3856</v>
      </c>
      <c r="M5608" t="s">
        <v>824</v>
      </c>
      <c r="N5608" t="s">
        <v>1640</v>
      </c>
      <c r="O5608" t="s">
        <v>25935</v>
      </c>
      <c r="P5608" t="s">
        <v>26016</v>
      </c>
      <c r="Q5608" t="s">
        <v>26017</v>
      </c>
      <c r="R5608">
        <v>16</v>
      </c>
      <c r="S5608">
        <v>32</v>
      </c>
    </row>
    <row r="5609" spans="1:19" x14ac:dyDescent="0.35">
      <c r="A5609">
        <v>6425</v>
      </c>
      <c r="B5609" t="s">
        <v>26018</v>
      </c>
      <c r="C5609" t="s">
        <v>42</v>
      </c>
      <c r="D5609" t="s">
        <v>26019</v>
      </c>
      <c r="E5609" t="e" cm="1">
        <f t="array" ref="E5609">- ISONIAZID</f>
        <v>#NAME?</v>
      </c>
      <c r="F5609" t="s">
        <v>25769</v>
      </c>
      <c r="G5609" t="s">
        <v>2948</v>
      </c>
      <c r="H5609" t="s">
        <v>26020</v>
      </c>
      <c r="I5609" t="s">
        <v>26021</v>
      </c>
      <c r="J5609" t="s">
        <v>381</v>
      </c>
      <c r="K5609" t="s">
        <v>26022</v>
      </c>
      <c r="L5609" t="s">
        <v>26023</v>
      </c>
      <c r="M5609" t="s">
        <v>46</v>
      </c>
      <c r="N5609" t="s">
        <v>1699</v>
      </c>
      <c r="O5609" t="s">
        <v>26024</v>
      </c>
      <c r="P5609" t="s">
        <v>26025</v>
      </c>
      <c r="Q5609" t="s">
        <v>26026</v>
      </c>
      <c r="R5609">
        <v>16</v>
      </c>
      <c r="S5609">
        <v>32</v>
      </c>
    </row>
    <row r="5610" spans="1:19" x14ac:dyDescent="0.35">
      <c r="A5610">
        <v>7911</v>
      </c>
      <c r="B5610" t="s">
        <v>26027</v>
      </c>
      <c r="C5610" t="s">
        <v>20</v>
      </c>
      <c r="D5610" t="s">
        <v>26028</v>
      </c>
      <c r="E5610" t="s">
        <v>26029</v>
      </c>
      <c r="F5610" t="s">
        <v>26030</v>
      </c>
      <c r="G5610" t="s">
        <v>5746</v>
      </c>
      <c r="H5610" t="s">
        <v>10699</v>
      </c>
      <c r="I5610" t="s">
        <v>26031</v>
      </c>
      <c r="J5610" t="s">
        <v>614</v>
      </c>
      <c r="M5610" t="s">
        <v>271</v>
      </c>
      <c r="N5610" t="s">
        <v>26032</v>
      </c>
      <c r="O5610" t="s">
        <v>26033</v>
      </c>
      <c r="P5610" t="s">
        <v>26034</v>
      </c>
      <c r="Q5610" t="s">
        <v>26035</v>
      </c>
      <c r="R5610">
        <v>16</v>
      </c>
      <c r="S5610">
        <v>32</v>
      </c>
    </row>
    <row r="5611" spans="1:19" x14ac:dyDescent="0.35">
      <c r="A5611">
        <v>8016</v>
      </c>
      <c r="B5611" t="s">
        <v>26036</v>
      </c>
      <c r="C5611" t="s">
        <v>20</v>
      </c>
      <c r="D5611" t="s">
        <v>26037</v>
      </c>
      <c r="E5611" t="s">
        <v>26038</v>
      </c>
      <c r="F5611" t="s">
        <v>26039</v>
      </c>
      <c r="G5611" t="s">
        <v>26040</v>
      </c>
      <c r="H5611" t="s">
        <v>26041</v>
      </c>
      <c r="I5611" t="s">
        <v>26042</v>
      </c>
      <c r="J5611" t="s">
        <v>7072</v>
      </c>
      <c r="L5611" t="s">
        <v>13303</v>
      </c>
      <c r="M5611" t="s">
        <v>2374</v>
      </c>
      <c r="N5611" t="s">
        <v>26043</v>
      </c>
      <c r="O5611" t="s">
        <v>26044</v>
      </c>
      <c r="P5611" t="s">
        <v>26045</v>
      </c>
      <c r="Q5611" t="s">
        <v>26046</v>
      </c>
      <c r="R5611">
        <v>16</v>
      </c>
      <c r="S5611">
        <v>32</v>
      </c>
    </row>
    <row r="5612" spans="1:19" x14ac:dyDescent="0.35">
      <c r="A5612">
        <v>8015</v>
      </c>
      <c r="B5612" t="s">
        <v>26036</v>
      </c>
      <c r="C5612" t="s">
        <v>20</v>
      </c>
      <c r="D5612" t="s">
        <v>26037</v>
      </c>
      <c r="E5612" t="s">
        <v>26038</v>
      </c>
      <c r="F5612" t="s">
        <v>26039</v>
      </c>
      <c r="G5612" t="s">
        <v>26040</v>
      </c>
      <c r="H5612" t="s">
        <v>26041</v>
      </c>
      <c r="I5612" t="s">
        <v>26042</v>
      </c>
      <c r="J5612" t="s">
        <v>7072</v>
      </c>
      <c r="L5612" t="s">
        <v>13303</v>
      </c>
      <c r="M5612" t="s">
        <v>2374</v>
      </c>
      <c r="N5612" t="s">
        <v>26043</v>
      </c>
      <c r="O5612" t="s">
        <v>26044</v>
      </c>
      <c r="P5612" t="s">
        <v>26045</v>
      </c>
      <c r="Q5612" t="s">
        <v>26046</v>
      </c>
      <c r="R5612">
        <v>16</v>
      </c>
      <c r="S5612">
        <v>32</v>
      </c>
    </row>
    <row r="5613" spans="1:19" x14ac:dyDescent="0.35">
      <c r="A5613">
        <v>8014</v>
      </c>
      <c r="B5613" t="s">
        <v>26036</v>
      </c>
      <c r="C5613" t="s">
        <v>20</v>
      </c>
      <c r="D5613" t="s">
        <v>26047</v>
      </c>
      <c r="E5613" t="s">
        <v>26038</v>
      </c>
      <c r="F5613" t="s">
        <v>26048</v>
      </c>
      <c r="G5613" t="s">
        <v>26040</v>
      </c>
      <c r="H5613" t="s">
        <v>26041</v>
      </c>
      <c r="I5613" t="s">
        <v>26042</v>
      </c>
      <c r="J5613" t="s">
        <v>13302</v>
      </c>
      <c r="L5613" t="s">
        <v>13303</v>
      </c>
      <c r="M5613" t="s">
        <v>2374</v>
      </c>
      <c r="N5613" t="s">
        <v>26043</v>
      </c>
      <c r="O5613" t="s">
        <v>26044</v>
      </c>
      <c r="P5613" t="s">
        <v>26045</v>
      </c>
      <c r="Q5613" t="s">
        <v>26046</v>
      </c>
      <c r="R5613">
        <v>16</v>
      </c>
      <c r="S5613">
        <v>32</v>
      </c>
    </row>
    <row r="5614" spans="1:19" x14ac:dyDescent="0.35">
      <c r="A5614">
        <v>8013</v>
      </c>
      <c r="B5614" t="s">
        <v>26036</v>
      </c>
      <c r="C5614" t="s">
        <v>20</v>
      </c>
      <c r="D5614" t="s">
        <v>26047</v>
      </c>
      <c r="E5614" t="s">
        <v>26038</v>
      </c>
      <c r="F5614" t="s">
        <v>26048</v>
      </c>
      <c r="G5614" t="s">
        <v>26040</v>
      </c>
      <c r="H5614" t="s">
        <v>26041</v>
      </c>
      <c r="I5614" t="s">
        <v>26042</v>
      </c>
      <c r="J5614" t="s">
        <v>13302</v>
      </c>
      <c r="L5614" t="s">
        <v>13303</v>
      </c>
      <c r="M5614" t="s">
        <v>2374</v>
      </c>
      <c r="N5614" t="s">
        <v>26043</v>
      </c>
      <c r="O5614" t="s">
        <v>26044</v>
      </c>
      <c r="P5614" t="s">
        <v>26045</v>
      </c>
      <c r="Q5614" t="s">
        <v>26046</v>
      </c>
      <c r="R5614">
        <v>16</v>
      </c>
      <c r="S5614">
        <v>32</v>
      </c>
    </row>
    <row r="5615" spans="1:19" x14ac:dyDescent="0.35">
      <c r="A5615">
        <v>4162</v>
      </c>
      <c r="B5615" t="s">
        <v>26049</v>
      </c>
      <c r="C5615" t="s">
        <v>42</v>
      </c>
      <c r="D5615" t="s">
        <v>26050</v>
      </c>
      <c r="E5615" t="e" cm="1">
        <f t="array" ref="E5615">- LEVOCETIRIZINE DIHYDROCHLORIDE</f>
        <v>#NAME?</v>
      </c>
      <c r="F5615" s="1">
        <v>101800</v>
      </c>
      <c r="G5615" t="s">
        <v>2241</v>
      </c>
      <c r="H5615" t="s">
        <v>26051</v>
      </c>
      <c r="I5615" t="s">
        <v>26052</v>
      </c>
      <c r="J5615" t="s">
        <v>26053</v>
      </c>
      <c r="K5615" t="s">
        <v>26054</v>
      </c>
      <c r="L5615" t="s">
        <v>26055</v>
      </c>
      <c r="M5615" t="s">
        <v>291</v>
      </c>
      <c r="N5615" t="s">
        <v>3746</v>
      </c>
      <c r="O5615" t="s">
        <v>26056</v>
      </c>
      <c r="P5615" t="s">
        <v>26057</v>
      </c>
      <c r="Q5615" t="s">
        <v>26058</v>
      </c>
      <c r="R5615">
        <v>16</v>
      </c>
      <c r="S5615">
        <v>32</v>
      </c>
    </row>
    <row r="5616" spans="1:19" x14ac:dyDescent="0.35">
      <c r="A5616">
        <v>4163</v>
      </c>
      <c r="B5616" t="s">
        <v>26049</v>
      </c>
      <c r="C5616" t="s">
        <v>42</v>
      </c>
      <c r="D5616" t="s">
        <v>26050</v>
      </c>
      <c r="E5616" t="e" cm="1">
        <f t="array" ref="E5616">- LEVOCETIRIZINE HYDROCHLORIDE</f>
        <v>#NAME?</v>
      </c>
      <c r="F5616" s="1">
        <v>101800</v>
      </c>
      <c r="G5616" t="s">
        <v>2241</v>
      </c>
      <c r="H5616" t="s">
        <v>26051</v>
      </c>
      <c r="I5616" t="s">
        <v>26052</v>
      </c>
      <c r="J5616" t="s">
        <v>26053</v>
      </c>
      <c r="K5616" t="s">
        <v>26054</v>
      </c>
      <c r="L5616" t="s">
        <v>26055</v>
      </c>
      <c r="M5616" t="s">
        <v>291</v>
      </c>
      <c r="N5616" t="s">
        <v>3619</v>
      </c>
      <c r="O5616" t="s">
        <v>26056</v>
      </c>
      <c r="P5616" t="s">
        <v>26057</v>
      </c>
      <c r="Q5616" t="s">
        <v>26059</v>
      </c>
      <c r="R5616">
        <v>16</v>
      </c>
      <c r="S5616">
        <v>32</v>
      </c>
    </row>
    <row r="5617" spans="1:19" x14ac:dyDescent="0.35">
      <c r="A5617">
        <v>4197</v>
      </c>
      <c r="B5617" t="s">
        <v>26060</v>
      </c>
      <c r="C5617" t="s">
        <v>42</v>
      </c>
      <c r="D5617" t="s">
        <v>26061</v>
      </c>
      <c r="E5617" t="e" cm="1">
        <f t="array" ref="E5617">- DEXAMETHASONE. DEXCHLORPHENIRAMINE MALEATE</f>
        <v>#NAME?</v>
      </c>
      <c r="F5617" t="s">
        <v>26062</v>
      </c>
      <c r="G5617" t="s">
        <v>26063</v>
      </c>
      <c r="H5617" t="s">
        <v>26064</v>
      </c>
      <c r="I5617" t="s">
        <v>26065</v>
      </c>
      <c r="J5617" t="s">
        <v>381</v>
      </c>
      <c r="K5617" t="s">
        <v>26066</v>
      </c>
      <c r="L5617" t="s">
        <v>26067</v>
      </c>
      <c r="M5617" t="s">
        <v>46</v>
      </c>
      <c r="N5617" t="s">
        <v>9152</v>
      </c>
      <c r="O5617" t="s">
        <v>26068</v>
      </c>
      <c r="P5617" t="s">
        <v>26069</v>
      </c>
      <c r="Q5617" t="s">
        <v>26070</v>
      </c>
      <c r="R5617">
        <v>16</v>
      </c>
      <c r="S5617">
        <v>32</v>
      </c>
    </row>
    <row r="5618" spans="1:19" x14ac:dyDescent="0.35">
      <c r="A5618">
        <v>7970</v>
      </c>
      <c r="B5618" t="s">
        <v>26071</v>
      </c>
      <c r="C5618" t="s">
        <v>20</v>
      </c>
      <c r="D5618" t="s">
        <v>26072</v>
      </c>
      <c r="E5618" t="s">
        <v>3222</v>
      </c>
      <c r="F5618" t="s">
        <v>26073</v>
      </c>
      <c r="G5618" t="s">
        <v>26074</v>
      </c>
      <c r="H5618" t="s">
        <v>26075</v>
      </c>
      <c r="I5618" t="s">
        <v>26076</v>
      </c>
      <c r="J5618" t="s">
        <v>26077</v>
      </c>
      <c r="M5618" t="s">
        <v>2374</v>
      </c>
      <c r="N5618" t="s">
        <v>3225</v>
      </c>
      <c r="O5618" t="s">
        <v>26078</v>
      </c>
      <c r="P5618" t="s">
        <v>3225</v>
      </c>
      <c r="Q5618" t="s">
        <v>26079</v>
      </c>
      <c r="R5618">
        <v>16</v>
      </c>
      <c r="S5618">
        <v>32</v>
      </c>
    </row>
    <row r="5619" spans="1:19" x14ac:dyDescent="0.35">
      <c r="A5619">
        <v>7972</v>
      </c>
      <c r="B5619" t="s">
        <v>26080</v>
      </c>
      <c r="C5619" t="s">
        <v>20</v>
      </c>
      <c r="D5619" t="s">
        <v>26081</v>
      </c>
      <c r="E5619" t="s">
        <v>26082</v>
      </c>
      <c r="F5619" s="1">
        <v>59000</v>
      </c>
      <c r="G5619" t="s">
        <v>21520</v>
      </c>
      <c r="H5619" t="s">
        <v>26083</v>
      </c>
      <c r="I5619" t="s">
        <v>4422</v>
      </c>
      <c r="J5619" t="s">
        <v>26084</v>
      </c>
      <c r="L5619" t="s">
        <v>26085</v>
      </c>
      <c r="M5619" t="s">
        <v>2374</v>
      </c>
      <c r="N5619" t="s">
        <v>26086</v>
      </c>
      <c r="O5619" t="s">
        <v>3396</v>
      </c>
      <c r="P5619" t="s">
        <v>26087</v>
      </c>
      <c r="Q5619" t="s">
        <v>26088</v>
      </c>
      <c r="R5619">
        <v>16</v>
      </c>
      <c r="S5619">
        <v>32</v>
      </c>
    </row>
    <row r="5620" spans="1:19" x14ac:dyDescent="0.35">
      <c r="A5620">
        <v>6341</v>
      </c>
      <c r="B5620" t="s">
        <v>26089</v>
      </c>
      <c r="C5620" t="s">
        <v>42</v>
      </c>
      <c r="D5620" t="s">
        <v>26090</v>
      </c>
      <c r="E5620" t="e" cm="1">
        <f t="array" ref="E5620">- CEFADROXIL MONOHYDRATE</f>
        <v>#NAME?</v>
      </c>
      <c r="F5620" t="s">
        <v>26091</v>
      </c>
      <c r="G5620" t="s">
        <v>2241</v>
      </c>
      <c r="H5620" t="s">
        <v>21352</v>
      </c>
      <c r="I5620" t="s">
        <v>21353</v>
      </c>
      <c r="J5620" t="s">
        <v>945</v>
      </c>
      <c r="K5620" t="s">
        <v>21355</v>
      </c>
      <c r="L5620" t="s">
        <v>21356</v>
      </c>
      <c r="M5620" t="s">
        <v>271</v>
      </c>
      <c r="N5620" t="s">
        <v>1777</v>
      </c>
      <c r="O5620" t="s">
        <v>21358</v>
      </c>
      <c r="P5620" t="s">
        <v>26092</v>
      </c>
      <c r="Q5620" t="s">
        <v>26093</v>
      </c>
      <c r="R5620">
        <v>16</v>
      </c>
      <c r="S5620">
        <v>32</v>
      </c>
    </row>
    <row r="5621" spans="1:19" x14ac:dyDescent="0.35">
      <c r="A5621">
        <v>6342</v>
      </c>
      <c r="B5621" t="s">
        <v>26089</v>
      </c>
      <c r="C5621" t="s">
        <v>42</v>
      </c>
      <c r="D5621" t="s">
        <v>26090</v>
      </c>
      <c r="E5621" t="e" cm="1">
        <f t="array" ref="E5621">- CEFADROXIL MONOHYDRATE</f>
        <v>#NAME?</v>
      </c>
      <c r="F5621" t="s">
        <v>26091</v>
      </c>
      <c r="G5621" t="s">
        <v>2241</v>
      </c>
      <c r="H5621" t="s">
        <v>21352</v>
      </c>
      <c r="I5621" t="s">
        <v>21353</v>
      </c>
      <c r="J5621" t="s">
        <v>945</v>
      </c>
      <c r="K5621" t="s">
        <v>21355</v>
      </c>
      <c r="L5621" t="s">
        <v>21356</v>
      </c>
      <c r="M5621" t="s">
        <v>271</v>
      </c>
      <c r="N5621" t="s">
        <v>1777</v>
      </c>
      <c r="O5621" t="s">
        <v>21358</v>
      </c>
      <c r="P5621" t="s">
        <v>26092</v>
      </c>
      <c r="Q5621" t="s">
        <v>26093</v>
      </c>
      <c r="R5621">
        <v>16</v>
      </c>
      <c r="S5621">
        <v>32</v>
      </c>
    </row>
    <row r="5622" spans="1:19" x14ac:dyDescent="0.35">
      <c r="A5622">
        <v>4200</v>
      </c>
      <c r="B5622" t="s">
        <v>22408</v>
      </c>
      <c r="C5622" t="s">
        <v>42</v>
      </c>
      <c r="D5622" t="s">
        <v>22409</v>
      </c>
      <c r="E5622" t="e" cm="1">
        <f t="array" ref="E5622">- BETAMETHASONE. DEXCHLORPHENIRAMINE MALEATE</f>
        <v>#NAME?</v>
      </c>
      <c r="F5622" s="1">
        <v>35600</v>
      </c>
      <c r="G5622" t="s">
        <v>5301</v>
      </c>
      <c r="H5622" t="s">
        <v>22410</v>
      </c>
      <c r="I5622" t="s">
        <v>22411</v>
      </c>
      <c r="J5622" t="s">
        <v>846</v>
      </c>
      <c r="K5622" t="s">
        <v>22412</v>
      </c>
      <c r="L5622" t="s">
        <v>22413</v>
      </c>
      <c r="M5622" t="s">
        <v>271</v>
      </c>
      <c r="N5622" t="s">
        <v>3200</v>
      </c>
      <c r="O5622" t="s">
        <v>22414</v>
      </c>
      <c r="P5622" t="s">
        <v>22415</v>
      </c>
      <c r="Q5622" t="s">
        <v>26094</v>
      </c>
      <c r="R5622">
        <v>16</v>
      </c>
      <c r="S5622">
        <v>32</v>
      </c>
    </row>
    <row r="5623" spans="1:19" x14ac:dyDescent="0.35">
      <c r="A5623">
        <v>398</v>
      </c>
      <c r="B5623" t="s">
        <v>26095</v>
      </c>
      <c r="C5623" t="s">
        <v>20</v>
      </c>
      <c r="D5623" t="s">
        <v>26096</v>
      </c>
      <c r="E5623" t="s">
        <v>26097</v>
      </c>
      <c r="F5623" s="1">
        <v>29300</v>
      </c>
      <c r="G5623" t="s">
        <v>4649</v>
      </c>
      <c r="H5623" t="s">
        <v>26098</v>
      </c>
      <c r="I5623" t="s">
        <v>26099</v>
      </c>
      <c r="J5623" t="s">
        <v>26100</v>
      </c>
      <c r="K5623" t="s">
        <v>4677</v>
      </c>
      <c r="L5623" t="s">
        <v>26101</v>
      </c>
      <c r="M5623" t="s">
        <v>38</v>
      </c>
      <c r="N5623" t="s">
        <v>26102</v>
      </c>
      <c r="O5623" t="s">
        <v>26103</v>
      </c>
      <c r="P5623" t="s">
        <v>26104</v>
      </c>
      <c r="Q5623" t="s">
        <v>26105</v>
      </c>
      <c r="R5623">
        <v>16</v>
      </c>
      <c r="S5623">
        <v>32</v>
      </c>
    </row>
    <row r="5624" spans="1:19" x14ac:dyDescent="0.35">
      <c r="A5624">
        <v>399</v>
      </c>
      <c r="B5624" t="s">
        <v>26095</v>
      </c>
      <c r="C5624" t="s">
        <v>20</v>
      </c>
      <c r="D5624" t="s">
        <v>26096</v>
      </c>
      <c r="E5624" t="s">
        <v>26097</v>
      </c>
      <c r="F5624" s="1">
        <v>29300</v>
      </c>
      <c r="G5624" t="s">
        <v>4649</v>
      </c>
      <c r="H5624" t="s">
        <v>26098</v>
      </c>
      <c r="I5624" t="s">
        <v>26099</v>
      </c>
      <c r="J5624" t="s">
        <v>26100</v>
      </c>
      <c r="K5624" t="s">
        <v>4677</v>
      </c>
      <c r="L5624" t="s">
        <v>26101</v>
      </c>
      <c r="M5624" t="s">
        <v>38</v>
      </c>
      <c r="N5624" t="s">
        <v>26102</v>
      </c>
      <c r="O5624" t="s">
        <v>26103</v>
      </c>
      <c r="P5624" t="s">
        <v>26104</v>
      </c>
      <c r="Q5624" t="s">
        <v>26105</v>
      </c>
      <c r="R5624">
        <v>16</v>
      </c>
      <c r="S5624">
        <v>32</v>
      </c>
    </row>
    <row r="5625" spans="1:19" x14ac:dyDescent="0.35">
      <c r="A5625">
        <v>4232</v>
      </c>
      <c r="B5625" t="s">
        <v>26106</v>
      </c>
      <c r="C5625" t="s">
        <v>42</v>
      </c>
      <c r="D5625" t="s">
        <v>26107</v>
      </c>
      <c r="E5625" t="e" cm="1">
        <f t="array" ref="E5625">- CYPROHEPTADINE HYDROCHLORIDE SESQUIHYDRATE</f>
        <v>#NAME?</v>
      </c>
      <c r="F5625" t="s">
        <v>26108</v>
      </c>
      <c r="H5625" t="s">
        <v>319</v>
      </c>
      <c r="I5625" t="s">
        <v>26109</v>
      </c>
    </row>
    <row r="5626" spans="1:19" x14ac:dyDescent="0.35">
      <c r="A5626">
        <v>10021</v>
      </c>
      <c r="B5626" t="s">
        <v>26110</v>
      </c>
      <c r="C5626" t="s">
        <v>42</v>
      </c>
      <c r="D5626" t="s">
        <v>26111</v>
      </c>
      <c r="E5626" t="e" cm="1">
        <f t="array" ref="E5626">- ASPARTATE MAGNESIUM</f>
        <v>#NAME?</v>
      </c>
      <c r="F5626" t="s">
        <v>26112</v>
      </c>
      <c r="G5626" t="s">
        <v>835</v>
      </c>
      <c r="H5626" t="s">
        <v>389</v>
      </c>
      <c r="I5626" t="s">
        <v>26113</v>
      </c>
      <c r="J5626" t="s">
        <v>5221</v>
      </c>
      <c r="K5626" t="s">
        <v>26114</v>
      </c>
      <c r="L5626" t="s">
        <v>26115</v>
      </c>
      <c r="M5626" t="s">
        <v>291</v>
      </c>
      <c r="N5626" t="s">
        <v>26116</v>
      </c>
      <c r="O5626" t="s">
        <v>26117</v>
      </c>
      <c r="P5626" t="s">
        <v>26118</v>
      </c>
      <c r="Q5626" t="s">
        <v>26119</v>
      </c>
      <c r="R5626">
        <v>16</v>
      </c>
      <c r="S5626">
        <v>32</v>
      </c>
    </row>
    <row r="5627" spans="1:19" x14ac:dyDescent="0.35">
      <c r="A5627">
        <v>8017</v>
      </c>
      <c r="B5627" t="s">
        <v>26036</v>
      </c>
      <c r="C5627" t="s">
        <v>20</v>
      </c>
      <c r="D5627" t="s">
        <v>26120</v>
      </c>
      <c r="E5627" t="s">
        <v>26038</v>
      </c>
      <c r="F5627" t="s">
        <v>26121</v>
      </c>
      <c r="G5627" t="s">
        <v>26040</v>
      </c>
      <c r="H5627" t="s">
        <v>26041</v>
      </c>
      <c r="I5627" t="s">
        <v>26042</v>
      </c>
      <c r="J5627" t="s">
        <v>13470</v>
      </c>
      <c r="L5627" t="s">
        <v>13303</v>
      </c>
      <c r="M5627" t="s">
        <v>2374</v>
      </c>
      <c r="N5627" t="s">
        <v>26043</v>
      </c>
      <c r="O5627" t="s">
        <v>26044</v>
      </c>
      <c r="P5627" t="s">
        <v>26045</v>
      </c>
      <c r="Q5627" t="s">
        <v>26046</v>
      </c>
      <c r="R5627">
        <v>16</v>
      </c>
      <c r="S5627">
        <v>32</v>
      </c>
    </row>
    <row r="5628" spans="1:19" x14ac:dyDescent="0.35">
      <c r="A5628">
        <v>8018</v>
      </c>
      <c r="B5628" t="s">
        <v>26036</v>
      </c>
      <c r="C5628" t="s">
        <v>20</v>
      </c>
      <c r="D5628" t="s">
        <v>26120</v>
      </c>
      <c r="E5628" t="s">
        <v>26038</v>
      </c>
      <c r="F5628" t="s">
        <v>26121</v>
      </c>
      <c r="G5628" t="s">
        <v>26040</v>
      </c>
      <c r="H5628" t="s">
        <v>26041</v>
      </c>
      <c r="I5628" t="s">
        <v>26042</v>
      </c>
      <c r="J5628" t="s">
        <v>13470</v>
      </c>
      <c r="L5628" t="s">
        <v>13303</v>
      </c>
      <c r="M5628" t="s">
        <v>2374</v>
      </c>
      <c r="N5628" t="s">
        <v>26043</v>
      </c>
      <c r="O5628" t="s">
        <v>26044</v>
      </c>
      <c r="P5628" t="s">
        <v>26045</v>
      </c>
      <c r="Q5628" t="s">
        <v>26046</v>
      </c>
      <c r="R5628">
        <v>16</v>
      </c>
      <c r="S5628">
        <v>32</v>
      </c>
    </row>
    <row r="5629" spans="1:19" x14ac:dyDescent="0.35">
      <c r="A5629">
        <v>1119</v>
      </c>
      <c r="B5629" t="s">
        <v>26122</v>
      </c>
      <c r="C5629" t="s">
        <v>42</v>
      </c>
      <c r="D5629" t="s">
        <v>26123</v>
      </c>
      <c r="E5629" t="e" cm="1">
        <f t="array" ref="E5629">- ISOTHIPENDYL HYDROCHLORIDE</f>
        <v>#NAME?</v>
      </c>
      <c r="F5629" s="1">
        <v>105800</v>
      </c>
      <c r="G5629" t="s">
        <v>60</v>
      </c>
      <c r="H5629" t="s">
        <v>26124</v>
      </c>
      <c r="I5629" t="s">
        <v>26125</v>
      </c>
      <c r="J5629" t="s">
        <v>374</v>
      </c>
      <c r="K5629" t="s">
        <v>26126</v>
      </c>
      <c r="L5629" t="s">
        <v>26127</v>
      </c>
      <c r="M5629" t="s">
        <v>271</v>
      </c>
      <c r="N5629" t="s">
        <v>26128</v>
      </c>
      <c r="O5629" t="s">
        <v>26129</v>
      </c>
      <c r="P5629" t="s">
        <v>26130</v>
      </c>
      <c r="Q5629" t="s">
        <v>26131</v>
      </c>
      <c r="R5629">
        <v>16</v>
      </c>
      <c r="S5629">
        <v>32</v>
      </c>
    </row>
    <row r="5630" spans="1:19" x14ac:dyDescent="0.35">
      <c r="A5630">
        <v>434</v>
      </c>
      <c r="B5630" t="s">
        <v>26132</v>
      </c>
      <c r="C5630" t="s">
        <v>20</v>
      </c>
      <c r="D5630" t="s">
        <v>26133</v>
      </c>
      <c r="E5630" t="s">
        <v>26134</v>
      </c>
      <c r="F5630" t="s">
        <v>26135</v>
      </c>
      <c r="H5630" t="s">
        <v>4524</v>
      </c>
      <c r="I5630" t="s">
        <v>26136</v>
      </c>
      <c r="J5630" t="s">
        <v>70</v>
      </c>
      <c r="M5630" t="s">
        <v>38</v>
      </c>
      <c r="N5630" t="s">
        <v>26137</v>
      </c>
      <c r="O5630" t="s">
        <v>26138</v>
      </c>
      <c r="P5630" t="s">
        <v>26137</v>
      </c>
      <c r="Q5630" t="s">
        <v>26139</v>
      </c>
      <c r="R5630">
        <v>16</v>
      </c>
      <c r="S5630">
        <v>32</v>
      </c>
    </row>
    <row r="5631" spans="1:19" x14ac:dyDescent="0.35">
      <c r="A5631">
        <v>433</v>
      </c>
      <c r="B5631" t="s">
        <v>26132</v>
      </c>
      <c r="C5631" t="s">
        <v>20</v>
      </c>
      <c r="D5631" t="s">
        <v>26133</v>
      </c>
      <c r="E5631" t="s">
        <v>26134</v>
      </c>
      <c r="F5631" t="s">
        <v>26135</v>
      </c>
      <c r="H5631" t="s">
        <v>4524</v>
      </c>
      <c r="I5631" t="s">
        <v>26136</v>
      </c>
      <c r="J5631" t="s">
        <v>70</v>
      </c>
      <c r="M5631" t="s">
        <v>38</v>
      </c>
      <c r="N5631" t="s">
        <v>26137</v>
      </c>
      <c r="O5631" t="s">
        <v>26138</v>
      </c>
      <c r="P5631" t="s">
        <v>26137</v>
      </c>
      <c r="Q5631" t="s">
        <v>26139</v>
      </c>
      <c r="R5631">
        <v>16</v>
      </c>
      <c r="S5631">
        <v>32</v>
      </c>
    </row>
    <row r="5632" spans="1:19" x14ac:dyDescent="0.35">
      <c r="A5632">
        <v>6266</v>
      </c>
      <c r="B5632" t="s">
        <v>26140</v>
      </c>
      <c r="C5632" t="s">
        <v>42</v>
      </c>
      <c r="D5632" t="s">
        <v>26141</v>
      </c>
      <c r="E5632" t="e" cm="1">
        <f t="array" ref="E5632">- SULFAMETHOXAZOLE</f>
        <v>#NAME?</v>
      </c>
      <c r="F5632" t="s">
        <v>26142</v>
      </c>
      <c r="H5632" t="s">
        <v>26143</v>
      </c>
      <c r="I5632" t="s">
        <v>26144</v>
      </c>
      <c r="J5632" t="s">
        <v>334</v>
      </c>
      <c r="K5632" t="s">
        <v>26145</v>
      </c>
      <c r="L5632" t="s">
        <v>26146</v>
      </c>
      <c r="M5632" t="s">
        <v>340</v>
      </c>
      <c r="N5632" t="s">
        <v>478</v>
      </c>
      <c r="O5632" t="s">
        <v>26147</v>
      </c>
      <c r="P5632" t="s">
        <v>26148</v>
      </c>
      <c r="Q5632" t="s">
        <v>26149</v>
      </c>
      <c r="R5632">
        <v>16</v>
      </c>
      <c r="S5632">
        <v>32</v>
      </c>
    </row>
    <row r="5633" spans="1:19" x14ac:dyDescent="0.35">
      <c r="A5633">
        <v>1794</v>
      </c>
      <c r="B5633" t="s">
        <v>13250</v>
      </c>
      <c r="C5633" t="s">
        <v>850</v>
      </c>
      <c r="D5633" t="s">
        <v>26150</v>
      </c>
      <c r="E5633" t="e" cm="1">
        <f t="array" ref="E5633">- Lemon Oil</f>
        <v>#NAME?</v>
      </c>
      <c r="F5633" s="1">
        <v>78000</v>
      </c>
      <c r="G5633" t="s">
        <v>26151</v>
      </c>
      <c r="I5633" t="s">
        <v>26152</v>
      </c>
      <c r="J5633" t="s">
        <v>26153</v>
      </c>
      <c r="L5633" t="s">
        <v>26154</v>
      </c>
      <c r="N5633" t="s">
        <v>13251</v>
      </c>
      <c r="O5633" t="s">
        <v>26155</v>
      </c>
      <c r="P5633" t="s">
        <v>26156</v>
      </c>
      <c r="Q5633" t="s">
        <v>26157</v>
      </c>
      <c r="R5633">
        <v>16</v>
      </c>
      <c r="S5633">
        <v>32</v>
      </c>
    </row>
    <row r="5634" spans="1:19" x14ac:dyDescent="0.35">
      <c r="A5634">
        <v>1792</v>
      </c>
      <c r="B5634" t="s">
        <v>13250</v>
      </c>
      <c r="C5634" t="s">
        <v>850</v>
      </c>
      <c r="D5634" t="s">
        <v>26158</v>
      </c>
      <c r="E5634" t="e" cm="1">
        <f t="array" ref="E5634">- Lemon Oil</f>
        <v>#NAME?</v>
      </c>
      <c r="F5634" s="1">
        <v>31900</v>
      </c>
      <c r="G5634" t="s">
        <v>26151</v>
      </c>
      <c r="I5634" t="s">
        <v>26152</v>
      </c>
      <c r="J5634" t="s">
        <v>5484</v>
      </c>
      <c r="L5634" t="s">
        <v>26154</v>
      </c>
      <c r="N5634" t="s">
        <v>13251</v>
      </c>
      <c r="O5634" t="s">
        <v>26155</v>
      </c>
      <c r="P5634" t="s">
        <v>26159</v>
      </c>
      <c r="Q5634" t="s">
        <v>26160</v>
      </c>
      <c r="R5634">
        <v>16</v>
      </c>
      <c r="S5634">
        <v>32</v>
      </c>
    </row>
    <row r="5635" spans="1:19" x14ac:dyDescent="0.35">
      <c r="A5635">
        <v>847</v>
      </c>
      <c r="B5635" t="s">
        <v>26161</v>
      </c>
      <c r="C5635" t="s">
        <v>42</v>
      </c>
      <c r="D5635" t="s">
        <v>26162</v>
      </c>
      <c r="E5635" t="e" cm="1">
        <f t="array" ref="E5635">- GUAIFENESIN. CHLORPHENAMINE MALEATE</f>
        <v>#NAME?</v>
      </c>
      <c r="F5635" t="s">
        <v>26163</v>
      </c>
      <c r="G5635" t="s">
        <v>2241</v>
      </c>
      <c r="H5635" t="s">
        <v>26164</v>
      </c>
      <c r="I5635" t="s">
        <v>26165</v>
      </c>
      <c r="J5635" t="s">
        <v>374</v>
      </c>
      <c r="K5635" t="s">
        <v>26166</v>
      </c>
    </row>
    <row r="5636" spans="1:19" x14ac:dyDescent="0.35">
      <c r="A5636">
        <v>846</v>
      </c>
      <c r="B5636" t="s">
        <v>26161</v>
      </c>
      <c r="C5636" t="s">
        <v>42</v>
      </c>
      <c r="D5636" t="s">
        <v>26162</v>
      </c>
      <c r="E5636" t="e" cm="1">
        <f t="array" ref="E5636">- GUAIFENESIN. CHLORPHENAMINE MALEATE</f>
        <v>#NAME?</v>
      </c>
      <c r="F5636" t="s">
        <v>26163</v>
      </c>
      <c r="G5636" t="s">
        <v>2241</v>
      </c>
      <c r="H5636" t="s">
        <v>26164</v>
      </c>
      <c r="I5636" t="s">
        <v>26165</v>
      </c>
      <c r="J5636" t="s">
        <v>374</v>
      </c>
      <c r="K5636" t="s">
        <v>26166</v>
      </c>
    </row>
    <row r="5637" spans="1:19" x14ac:dyDescent="0.35">
      <c r="A5637">
        <v>1879</v>
      </c>
      <c r="B5637" t="s">
        <v>25959</v>
      </c>
      <c r="C5637" t="s">
        <v>42</v>
      </c>
      <c r="D5637" t="s">
        <v>25960</v>
      </c>
      <c r="E5637" t="e" cm="1">
        <f t="array" ref="E5637">- PARACETAMOL. GUAIFENESIN. CHLORPHENAMINE MALEATE</f>
        <v>#NAME?</v>
      </c>
      <c r="F5637" t="s">
        <v>25961</v>
      </c>
      <c r="G5637" t="s">
        <v>2241</v>
      </c>
      <c r="H5637" t="s">
        <v>25962</v>
      </c>
      <c r="I5637" t="s">
        <v>25963</v>
      </c>
      <c r="J5637" t="s">
        <v>334</v>
      </c>
      <c r="K5637" t="s">
        <v>25964</v>
      </c>
      <c r="L5637" t="s">
        <v>25965</v>
      </c>
      <c r="M5637" t="s">
        <v>271</v>
      </c>
      <c r="N5637" t="s">
        <v>5118</v>
      </c>
      <c r="O5637" t="s">
        <v>25966</v>
      </c>
      <c r="P5637" t="s">
        <v>25967</v>
      </c>
      <c r="Q5637" t="s">
        <v>25968</v>
      </c>
      <c r="R5637">
        <v>16</v>
      </c>
      <c r="S5637">
        <v>32</v>
      </c>
    </row>
    <row r="5638" spans="1:19" x14ac:dyDescent="0.35">
      <c r="A5638">
        <v>845</v>
      </c>
      <c r="B5638" t="s">
        <v>26161</v>
      </c>
      <c r="C5638" t="s">
        <v>42</v>
      </c>
      <c r="D5638" t="s">
        <v>26167</v>
      </c>
      <c r="E5638" t="e" cm="1">
        <f t="array" ref="E5638">- GUAIFENESIN. CHLORPHENAMINE MALEATE</f>
        <v>#NAME?</v>
      </c>
      <c r="F5638" t="s">
        <v>26168</v>
      </c>
      <c r="G5638" t="s">
        <v>2241</v>
      </c>
      <c r="H5638" t="s">
        <v>26164</v>
      </c>
      <c r="I5638" t="s">
        <v>26165</v>
      </c>
      <c r="J5638" t="s">
        <v>334</v>
      </c>
      <c r="K5638" t="s">
        <v>26166</v>
      </c>
    </row>
    <row r="5639" spans="1:19" x14ac:dyDescent="0.35">
      <c r="A5639">
        <v>6277</v>
      </c>
      <c r="B5639" t="s">
        <v>26169</v>
      </c>
      <c r="C5639" t="s">
        <v>42</v>
      </c>
      <c r="D5639" t="s">
        <v>26170</v>
      </c>
      <c r="E5639" t="e" cm="1">
        <f t="array" ref="E5639">- CEFADROXIL MONOHYDRATE</f>
        <v>#NAME?</v>
      </c>
      <c r="F5639" t="s">
        <v>26171</v>
      </c>
      <c r="G5639" t="s">
        <v>2241</v>
      </c>
      <c r="H5639" t="s">
        <v>21352</v>
      </c>
      <c r="I5639" t="s">
        <v>21353</v>
      </c>
      <c r="J5639" t="s">
        <v>26172</v>
      </c>
      <c r="K5639" t="s">
        <v>21355</v>
      </c>
      <c r="L5639" t="s">
        <v>21356</v>
      </c>
      <c r="M5639" t="s">
        <v>271</v>
      </c>
      <c r="N5639" t="s">
        <v>1777</v>
      </c>
      <c r="O5639" t="s">
        <v>21358</v>
      </c>
      <c r="P5639" t="s">
        <v>26173</v>
      </c>
      <c r="Q5639" t="s">
        <v>26174</v>
      </c>
      <c r="R5639">
        <v>16</v>
      </c>
      <c r="S5639">
        <v>32</v>
      </c>
    </row>
    <row r="5640" spans="1:19" x14ac:dyDescent="0.35">
      <c r="A5640">
        <v>6278</v>
      </c>
      <c r="B5640" t="s">
        <v>26169</v>
      </c>
      <c r="C5640" t="s">
        <v>42</v>
      </c>
      <c r="D5640" t="s">
        <v>26170</v>
      </c>
      <c r="E5640" t="e" cm="1">
        <f t="array" ref="E5640">- CEFADROXIL MONOHYDRATE</f>
        <v>#NAME?</v>
      </c>
      <c r="F5640" t="s">
        <v>26171</v>
      </c>
      <c r="G5640" t="s">
        <v>2241</v>
      </c>
      <c r="H5640" t="s">
        <v>21352</v>
      </c>
      <c r="I5640" t="s">
        <v>21353</v>
      </c>
      <c r="J5640" t="s">
        <v>26172</v>
      </c>
      <c r="K5640" t="s">
        <v>21355</v>
      </c>
      <c r="L5640" t="s">
        <v>21356</v>
      </c>
      <c r="M5640" t="s">
        <v>271</v>
      </c>
      <c r="N5640" t="s">
        <v>1777</v>
      </c>
      <c r="O5640" t="s">
        <v>21358</v>
      </c>
      <c r="P5640" t="s">
        <v>26173</v>
      </c>
      <c r="Q5640" t="s">
        <v>26174</v>
      </c>
      <c r="R5640">
        <v>16</v>
      </c>
      <c r="S5640">
        <v>32</v>
      </c>
    </row>
    <row r="5641" spans="1:19" x14ac:dyDescent="0.35">
      <c r="A5641">
        <v>844</v>
      </c>
      <c r="B5641" t="s">
        <v>26161</v>
      </c>
      <c r="C5641" t="s">
        <v>42</v>
      </c>
      <c r="D5641" t="s">
        <v>26167</v>
      </c>
      <c r="E5641" t="e" cm="1">
        <f t="array" ref="E5641">- GUAIFENESIN. CHLORPHENAMINE MALEATE</f>
        <v>#NAME?</v>
      </c>
      <c r="F5641" t="s">
        <v>26168</v>
      </c>
      <c r="G5641" t="s">
        <v>2241</v>
      </c>
      <c r="H5641" t="s">
        <v>26164</v>
      </c>
      <c r="I5641" t="s">
        <v>26165</v>
      </c>
      <c r="J5641" t="s">
        <v>334</v>
      </c>
      <c r="K5641" t="s">
        <v>26166</v>
      </c>
    </row>
    <row r="5642" spans="1:19" x14ac:dyDescent="0.35">
      <c r="A5642">
        <v>4326</v>
      </c>
      <c r="B5642" t="s">
        <v>26175</v>
      </c>
      <c r="C5642" t="s">
        <v>850</v>
      </c>
      <c r="D5642" t="s">
        <v>26176</v>
      </c>
      <c r="E5642" t="e" cm="1">
        <f t="array" ref="E5642">- Acidum Salycilicum</f>
        <v>#NAME?</v>
      </c>
      <c r="F5642" t="s">
        <v>19906</v>
      </c>
      <c r="G5642" t="s">
        <v>26177</v>
      </c>
      <c r="H5642" t="s">
        <v>26178</v>
      </c>
      <c r="I5642" t="s">
        <v>26179</v>
      </c>
      <c r="J5642" t="s">
        <v>19568</v>
      </c>
      <c r="N5642" t="s">
        <v>26180</v>
      </c>
      <c r="O5642" t="s">
        <v>26181</v>
      </c>
      <c r="P5642" t="s">
        <v>26182</v>
      </c>
      <c r="Q5642" t="s">
        <v>26183</v>
      </c>
      <c r="R5642">
        <v>16</v>
      </c>
      <c r="S5642">
        <v>32</v>
      </c>
    </row>
    <row r="5643" spans="1:19" x14ac:dyDescent="0.35">
      <c r="A5643">
        <v>6286</v>
      </c>
      <c r="B5643" t="s">
        <v>26184</v>
      </c>
      <c r="C5643" t="s">
        <v>42</v>
      </c>
      <c r="D5643" t="s">
        <v>26185</v>
      </c>
      <c r="E5643" t="e" cm="1">
        <f t="array" ref="E5643">- AMOXICILLIN TRIHYDRATE</f>
        <v>#NAME?</v>
      </c>
      <c r="F5643" t="s">
        <v>26186</v>
      </c>
      <c r="G5643" t="s">
        <v>835</v>
      </c>
      <c r="H5643" t="s">
        <v>26187</v>
      </c>
      <c r="I5643" t="s">
        <v>26188</v>
      </c>
      <c r="J5643" t="s">
        <v>381</v>
      </c>
      <c r="K5643" t="s">
        <v>26189</v>
      </c>
      <c r="L5643" t="s">
        <v>26190</v>
      </c>
      <c r="M5643" t="s">
        <v>46</v>
      </c>
      <c r="N5643" t="s">
        <v>1523</v>
      </c>
      <c r="O5643" t="s">
        <v>26191</v>
      </c>
      <c r="P5643" t="s">
        <v>26192</v>
      </c>
      <c r="Q5643" t="s">
        <v>26193</v>
      </c>
      <c r="R5643">
        <v>16</v>
      </c>
      <c r="S5643">
        <v>32</v>
      </c>
    </row>
    <row r="5644" spans="1:19" x14ac:dyDescent="0.35">
      <c r="A5644">
        <v>6287</v>
      </c>
      <c r="B5644" t="s">
        <v>26184</v>
      </c>
      <c r="C5644" t="s">
        <v>42</v>
      </c>
      <c r="D5644" t="s">
        <v>26185</v>
      </c>
      <c r="E5644" t="e" cm="1">
        <f t="array" ref="E5644">- AMOXICILLIN TRIHYDRATE</f>
        <v>#NAME?</v>
      </c>
      <c r="F5644" t="s">
        <v>26186</v>
      </c>
      <c r="G5644" t="s">
        <v>835</v>
      </c>
      <c r="H5644" t="s">
        <v>26187</v>
      </c>
      <c r="I5644" t="s">
        <v>26188</v>
      </c>
      <c r="J5644" t="s">
        <v>381</v>
      </c>
      <c r="K5644" t="s">
        <v>26189</v>
      </c>
      <c r="L5644" t="s">
        <v>26190</v>
      </c>
      <c r="M5644" t="s">
        <v>46</v>
      </c>
      <c r="N5644" t="s">
        <v>1523</v>
      </c>
      <c r="O5644" t="s">
        <v>26191</v>
      </c>
      <c r="P5644" t="s">
        <v>26192</v>
      </c>
      <c r="Q5644" t="s">
        <v>26193</v>
      </c>
      <c r="R5644">
        <v>16</v>
      </c>
      <c r="S5644">
        <v>32</v>
      </c>
    </row>
    <row r="5645" spans="1:19" x14ac:dyDescent="0.35">
      <c r="A5645">
        <v>841</v>
      </c>
      <c r="B5645" t="s">
        <v>26194</v>
      </c>
      <c r="C5645" t="s">
        <v>42</v>
      </c>
      <c r="D5645" t="s">
        <v>26195</v>
      </c>
      <c r="E5645" t="e" cm="1">
        <f t="array" ref="E5645">- DEXTROMETHORPHAN HYDROBROMIDE. DIPHENHYDRAMINE HYDROCHLORIDE</f>
        <v>#NAME?</v>
      </c>
      <c r="F5645" t="s">
        <v>26196</v>
      </c>
      <c r="G5645" t="s">
        <v>2241</v>
      </c>
      <c r="H5645" t="s">
        <v>22202</v>
      </c>
      <c r="I5645" t="s">
        <v>21975</v>
      </c>
      <c r="J5645" t="s">
        <v>374</v>
      </c>
      <c r="K5645" t="s">
        <v>26197</v>
      </c>
      <c r="L5645" t="s">
        <v>26198</v>
      </c>
      <c r="M5645" t="s">
        <v>271</v>
      </c>
      <c r="N5645" t="s">
        <v>5000</v>
      </c>
      <c r="O5645" t="s">
        <v>21978</v>
      </c>
      <c r="P5645" t="s">
        <v>21979</v>
      </c>
      <c r="Q5645" t="s">
        <v>26199</v>
      </c>
      <c r="R5645">
        <v>16</v>
      </c>
      <c r="S5645">
        <v>32</v>
      </c>
    </row>
    <row r="5646" spans="1:19" x14ac:dyDescent="0.35">
      <c r="A5646">
        <v>4333</v>
      </c>
      <c r="B5646" t="s">
        <v>26200</v>
      </c>
      <c r="C5646" t="s">
        <v>20</v>
      </c>
      <c r="D5646" t="s">
        <v>26201</v>
      </c>
      <c r="E5646" t="s">
        <v>26202</v>
      </c>
      <c r="F5646" t="s">
        <v>26203</v>
      </c>
      <c r="G5646" t="s">
        <v>26204</v>
      </c>
      <c r="H5646" t="s">
        <v>26205</v>
      </c>
      <c r="I5646" t="s">
        <v>26206</v>
      </c>
      <c r="J5646" t="s">
        <v>26207</v>
      </c>
      <c r="L5646" t="s">
        <v>26208</v>
      </c>
      <c r="M5646" t="s">
        <v>63</v>
      </c>
      <c r="N5646" t="s">
        <v>26209</v>
      </c>
      <c r="O5646" t="s">
        <v>26210</v>
      </c>
      <c r="P5646" t="s">
        <v>26211</v>
      </c>
      <c r="Q5646" t="s">
        <v>26212</v>
      </c>
      <c r="R5646">
        <v>16</v>
      </c>
      <c r="S5646">
        <v>32</v>
      </c>
    </row>
    <row r="5647" spans="1:19" x14ac:dyDescent="0.35">
      <c r="A5647">
        <v>6480</v>
      </c>
      <c r="B5647" t="s">
        <v>25972</v>
      </c>
      <c r="C5647" t="s">
        <v>42</v>
      </c>
      <c r="D5647" t="s">
        <v>25973</v>
      </c>
      <c r="E5647" t="e" cm="1">
        <f t="array" ref="E5647">- AMOXICILLIN TRIHYDRATE</f>
        <v>#NAME?</v>
      </c>
      <c r="F5647" t="s">
        <v>25974</v>
      </c>
      <c r="G5647" t="s">
        <v>6135</v>
      </c>
      <c r="H5647" t="s">
        <v>25975</v>
      </c>
      <c r="I5647" t="s">
        <v>23928</v>
      </c>
      <c r="J5647" t="s">
        <v>810</v>
      </c>
      <c r="K5647" t="s">
        <v>18853</v>
      </c>
      <c r="L5647" t="s">
        <v>23929</v>
      </c>
      <c r="M5647" t="s">
        <v>291</v>
      </c>
      <c r="N5647" t="s">
        <v>1523</v>
      </c>
      <c r="O5647" t="s">
        <v>23930</v>
      </c>
      <c r="P5647" t="s">
        <v>23931</v>
      </c>
      <c r="Q5647" t="s">
        <v>25976</v>
      </c>
      <c r="R5647">
        <v>16</v>
      </c>
      <c r="S5647">
        <v>32</v>
      </c>
    </row>
    <row r="5648" spans="1:19" x14ac:dyDescent="0.35">
      <c r="A5648">
        <v>6481</v>
      </c>
      <c r="B5648" t="s">
        <v>23924</v>
      </c>
      <c r="C5648" t="s">
        <v>42</v>
      </c>
      <c r="D5648" t="s">
        <v>23925</v>
      </c>
      <c r="E5648" t="e" cm="1">
        <f t="array" ref="E5648">- AMOXICILLIN TRIHYDRATE</f>
        <v>#NAME?</v>
      </c>
      <c r="F5648" t="s">
        <v>23926</v>
      </c>
      <c r="G5648" t="s">
        <v>6135</v>
      </c>
      <c r="H5648" t="s">
        <v>23927</v>
      </c>
      <c r="I5648" t="s">
        <v>23928</v>
      </c>
      <c r="J5648" t="s">
        <v>334</v>
      </c>
      <c r="K5648" t="s">
        <v>18853</v>
      </c>
      <c r="L5648" t="s">
        <v>23929</v>
      </c>
      <c r="M5648" t="s">
        <v>271</v>
      </c>
      <c r="N5648" t="s">
        <v>1523</v>
      </c>
      <c r="O5648" t="s">
        <v>23930</v>
      </c>
      <c r="P5648" t="s">
        <v>23931</v>
      </c>
      <c r="Q5648" t="s">
        <v>26213</v>
      </c>
      <c r="R5648">
        <v>16</v>
      </c>
      <c r="S5648">
        <v>32</v>
      </c>
    </row>
    <row r="5649" spans="1:19" x14ac:dyDescent="0.35">
      <c r="A5649">
        <v>6484</v>
      </c>
      <c r="B5649" t="s">
        <v>26214</v>
      </c>
      <c r="C5649" t="s">
        <v>42</v>
      </c>
      <c r="D5649" t="s">
        <v>26215</v>
      </c>
      <c r="E5649" t="e" cm="1">
        <f t="array" ref="E5649">- AMOXICILLIN</f>
        <v>#NAME?</v>
      </c>
      <c r="F5649" t="s">
        <v>26216</v>
      </c>
      <c r="G5649" t="s">
        <v>26217</v>
      </c>
      <c r="H5649" t="s">
        <v>26218</v>
      </c>
      <c r="I5649" t="s">
        <v>26219</v>
      </c>
      <c r="J5649" t="s">
        <v>26220</v>
      </c>
      <c r="K5649" t="s">
        <v>26221</v>
      </c>
      <c r="L5649" t="s">
        <v>26222</v>
      </c>
      <c r="M5649" t="s">
        <v>291</v>
      </c>
      <c r="N5649" t="s">
        <v>505</v>
      </c>
      <c r="O5649" t="s">
        <v>26223</v>
      </c>
      <c r="P5649" t="s">
        <v>26224</v>
      </c>
      <c r="Q5649" t="s">
        <v>26225</v>
      </c>
      <c r="R5649">
        <v>16</v>
      </c>
      <c r="S5649">
        <v>32</v>
      </c>
    </row>
    <row r="5650" spans="1:19" x14ac:dyDescent="0.35">
      <c r="A5650">
        <v>4649</v>
      </c>
      <c r="B5650" t="s">
        <v>19493</v>
      </c>
      <c r="C5650" t="s">
        <v>42</v>
      </c>
      <c r="D5650" t="s">
        <v>19560</v>
      </c>
      <c r="E5650" t="e" cm="1">
        <f t="array" ref="E5650">- PHENYLEPHRINE HYDROCHLORIDE. ZINC SULFATE HEPTAHYDRATE</f>
        <v>#NAME?</v>
      </c>
      <c r="F5650" t="s">
        <v>19561</v>
      </c>
      <c r="H5650" t="s">
        <v>19496</v>
      </c>
      <c r="I5650" t="s">
        <v>19497</v>
      </c>
      <c r="J5650" t="s">
        <v>11321</v>
      </c>
      <c r="L5650" t="s">
        <v>6318</v>
      </c>
      <c r="M5650" t="s">
        <v>824</v>
      </c>
      <c r="N5650" t="s">
        <v>26226</v>
      </c>
      <c r="O5650" t="s">
        <v>19499</v>
      </c>
      <c r="P5650" t="s">
        <v>19500</v>
      </c>
      <c r="Q5650" t="s">
        <v>26227</v>
      </c>
      <c r="R5650">
        <v>16</v>
      </c>
      <c r="S5650">
        <v>32</v>
      </c>
    </row>
    <row r="5651" spans="1:19" x14ac:dyDescent="0.35">
      <c r="A5651">
        <v>4648</v>
      </c>
      <c r="B5651" t="s">
        <v>19493</v>
      </c>
      <c r="C5651" t="s">
        <v>42</v>
      </c>
      <c r="D5651" t="s">
        <v>19560</v>
      </c>
      <c r="E5651" t="e" cm="1">
        <f t="array" ref="E5651">- PHENYLEPHRINE HYDROCHLORIDE. ZINC SULFATE HEPTAHYDRATE</f>
        <v>#NAME?</v>
      </c>
      <c r="F5651" t="s">
        <v>19561</v>
      </c>
      <c r="H5651" t="s">
        <v>19496</v>
      </c>
      <c r="I5651" t="s">
        <v>19497</v>
      </c>
      <c r="J5651" t="s">
        <v>11321</v>
      </c>
      <c r="L5651" t="s">
        <v>6318</v>
      </c>
      <c r="M5651" t="s">
        <v>824</v>
      </c>
      <c r="N5651" t="s">
        <v>26226</v>
      </c>
      <c r="O5651" t="s">
        <v>19499</v>
      </c>
      <c r="P5651" t="s">
        <v>19500</v>
      </c>
      <c r="Q5651" t="s">
        <v>26227</v>
      </c>
      <c r="R5651">
        <v>16</v>
      </c>
      <c r="S5651">
        <v>32</v>
      </c>
    </row>
    <row r="5652" spans="1:19" x14ac:dyDescent="0.35">
      <c r="A5652">
        <v>4647</v>
      </c>
      <c r="B5652" t="s">
        <v>19493</v>
      </c>
      <c r="C5652" t="s">
        <v>42</v>
      </c>
      <c r="D5652" t="s">
        <v>19560</v>
      </c>
      <c r="E5652" t="e" cm="1">
        <f t="array" ref="E5652">- PHENYLEPHRINE HYDROCHLORIDE. ZINC SULFATE HEPTAHYDRATE</f>
        <v>#NAME?</v>
      </c>
      <c r="F5652" t="s">
        <v>19561</v>
      </c>
      <c r="H5652" t="s">
        <v>19496</v>
      </c>
      <c r="I5652" t="s">
        <v>19497</v>
      </c>
      <c r="J5652" t="s">
        <v>11321</v>
      </c>
      <c r="L5652" t="s">
        <v>6318</v>
      </c>
      <c r="M5652" t="s">
        <v>824</v>
      </c>
      <c r="N5652" t="s">
        <v>26226</v>
      </c>
      <c r="O5652" t="s">
        <v>19499</v>
      </c>
      <c r="P5652" t="s">
        <v>19500</v>
      </c>
      <c r="Q5652" t="s">
        <v>26227</v>
      </c>
      <c r="R5652">
        <v>16</v>
      </c>
      <c r="S5652">
        <v>32</v>
      </c>
    </row>
    <row r="5653" spans="1:19" x14ac:dyDescent="0.35">
      <c r="A5653">
        <v>4646</v>
      </c>
      <c r="B5653" t="s">
        <v>19493</v>
      </c>
      <c r="C5653" t="s">
        <v>42</v>
      </c>
      <c r="D5653" t="s">
        <v>19560</v>
      </c>
      <c r="E5653" t="e" cm="1">
        <f t="array" ref="E5653">- PHENYLEPHRINE HYDROCHLORIDE. ZINC SULFATE HEPTAHYDRATE</f>
        <v>#NAME?</v>
      </c>
      <c r="F5653" t="s">
        <v>19561</v>
      </c>
      <c r="H5653" t="s">
        <v>19496</v>
      </c>
      <c r="I5653" t="s">
        <v>19497</v>
      </c>
      <c r="J5653" t="s">
        <v>11321</v>
      </c>
      <c r="L5653" t="s">
        <v>6318</v>
      </c>
      <c r="M5653" t="s">
        <v>824</v>
      </c>
      <c r="N5653" t="s">
        <v>26226</v>
      </c>
      <c r="O5653" t="s">
        <v>19499</v>
      </c>
      <c r="P5653" t="s">
        <v>19500</v>
      </c>
      <c r="Q5653" t="s">
        <v>26227</v>
      </c>
      <c r="R5653">
        <v>16</v>
      </c>
      <c r="S5653">
        <v>32</v>
      </c>
    </row>
    <row r="5654" spans="1:19" x14ac:dyDescent="0.35">
      <c r="A5654">
        <v>4645</v>
      </c>
      <c r="B5654" t="s">
        <v>19493</v>
      </c>
      <c r="C5654" t="s">
        <v>42</v>
      </c>
      <c r="D5654" t="s">
        <v>19560</v>
      </c>
      <c r="E5654" t="e" cm="1">
        <f t="array" ref="E5654">- PHENYLEPHRINE HYDROCHLORIDE. ZINC SULFATE HEPTAHYDRATE</f>
        <v>#NAME?</v>
      </c>
      <c r="F5654" t="s">
        <v>19561</v>
      </c>
      <c r="H5654" t="s">
        <v>19496</v>
      </c>
      <c r="I5654" t="s">
        <v>19497</v>
      </c>
      <c r="J5654" t="s">
        <v>11321</v>
      </c>
      <c r="L5654" t="s">
        <v>6318</v>
      </c>
      <c r="M5654" t="s">
        <v>824</v>
      </c>
      <c r="N5654" t="s">
        <v>26226</v>
      </c>
      <c r="O5654" t="s">
        <v>19499</v>
      </c>
      <c r="P5654" t="s">
        <v>19500</v>
      </c>
      <c r="Q5654" t="s">
        <v>26227</v>
      </c>
      <c r="R5654">
        <v>16</v>
      </c>
      <c r="S5654">
        <v>32</v>
      </c>
    </row>
    <row r="5655" spans="1:19" x14ac:dyDescent="0.35">
      <c r="A5655">
        <v>4644</v>
      </c>
      <c r="B5655" t="s">
        <v>19493</v>
      </c>
      <c r="C5655" t="s">
        <v>42</v>
      </c>
      <c r="D5655" t="s">
        <v>19560</v>
      </c>
      <c r="E5655" t="e" cm="1">
        <f t="array" ref="E5655">- PHENYLEPHRINE HYDROCHLORIDE. ZINC SULFATE HEPTAHYDRATE</f>
        <v>#NAME?</v>
      </c>
      <c r="F5655" t="s">
        <v>19561</v>
      </c>
      <c r="H5655" t="s">
        <v>19496</v>
      </c>
      <c r="I5655" t="s">
        <v>19497</v>
      </c>
      <c r="J5655" t="s">
        <v>11321</v>
      </c>
      <c r="L5655" t="s">
        <v>6318</v>
      </c>
      <c r="M5655" t="s">
        <v>824</v>
      </c>
      <c r="N5655" t="s">
        <v>26226</v>
      </c>
      <c r="O5655" t="s">
        <v>19499</v>
      </c>
      <c r="P5655" t="s">
        <v>19500</v>
      </c>
      <c r="Q5655" t="s">
        <v>26227</v>
      </c>
      <c r="R5655">
        <v>16</v>
      </c>
      <c r="S5655">
        <v>32</v>
      </c>
    </row>
    <row r="5656" spans="1:19" x14ac:dyDescent="0.35">
      <c r="A5656">
        <v>4643</v>
      </c>
      <c r="B5656" t="s">
        <v>19493</v>
      </c>
      <c r="C5656" t="s">
        <v>42</v>
      </c>
      <c r="D5656" t="s">
        <v>19560</v>
      </c>
      <c r="E5656" t="e" cm="1">
        <f t="array" ref="E5656">- PHENYLEPHRINE HYDROCHLORIDE. ZINC SULFATE HEPTAHYDRATE</f>
        <v>#NAME?</v>
      </c>
      <c r="F5656" t="s">
        <v>19561</v>
      </c>
      <c r="H5656" t="s">
        <v>19496</v>
      </c>
      <c r="I5656" t="s">
        <v>19497</v>
      </c>
      <c r="J5656" t="s">
        <v>11321</v>
      </c>
      <c r="L5656" t="s">
        <v>6318</v>
      </c>
      <c r="M5656" t="s">
        <v>824</v>
      </c>
      <c r="N5656" t="s">
        <v>26226</v>
      </c>
      <c r="O5656" t="s">
        <v>19499</v>
      </c>
      <c r="P5656" t="s">
        <v>19500</v>
      </c>
      <c r="Q5656" t="s">
        <v>26227</v>
      </c>
      <c r="R5656">
        <v>16</v>
      </c>
      <c r="S5656">
        <v>32</v>
      </c>
    </row>
    <row r="5657" spans="1:19" x14ac:dyDescent="0.35">
      <c r="A5657">
        <v>4639</v>
      </c>
      <c r="B5657" t="s">
        <v>19493</v>
      </c>
      <c r="C5657" t="s">
        <v>42</v>
      </c>
      <c r="D5657" t="s">
        <v>19494</v>
      </c>
      <c r="E5657" t="e" cm="1">
        <f t="array" ref="E5657">- PHENYLEPHRINE HYDROCHLORIDE. ZINC SULFATE HEPTAHYDRATE</f>
        <v>#NAME?</v>
      </c>
      <c r="F5657" t="s">
        <v>19495</v>
      </c>
      <c r="H5657" t="s">
        <v>19496</v>
      </c>
      <c r="I5657" t="s">
        <v>19497</v>
      </c>
      <c r="J5657" t="s">
        <v>4201</v>
      </c>
      <c r="L5657" t="s">
        <v>6318</v>
      </c>
      <c r="M5657" t="s">
        <v>824</v>
      </c>
      <c r="N5657" t="s">
        <v>26226</v>
      </c>
      <c r="O5657" t="s">
        <v>19499</v>
      </c>
      <c r="P5657" t="s">
        <v>19500</v>
      </c>
      <c r="Q5657" t="s">
        <v>26227</v>
      </c>
      <c r="R5657">
        <v>16</v>
      </c>
      <c r="S5657">
        <v>32</v>
      </c>
    </row>
    <row r="5658" spans="1:19" x14ac:dyDescent="0.35">
      <c r="A5658">
        <v>5991</v>
      </c>
      <c r="B5658" t="s">
        <v>26228</v>
      </c>
      <c r="C5658" t="s">
        <v>42</v>
      </c>
      <c r="D5658" t="s">
        <v>26229</v>
      </c>
      <c r="E5658" t="e" cm="1">
        <f t="array" ref="E5658">- AMOXICILLIN TRIHYDRATE</f>
        <v>#NAME?</v>
      </c>
      <c r="F5658" t="s">
        <v>26230</v>
      </c>
      <c r="H5658" t="s">
        <v>26231</v>
      </c>
      <c r="I5658" t="s">
        <v>26232</v>
      </c>
      <c r="J5658" t="s">
        <v>26233</v>
      </c>
      <c r="K5658" t="s">
        <v>26234</v>
      </c>
      <c r="L5658" t="s">
        <v>26235</v>
      </c>
      <c r="M5658" t="s">
        <v>291</v>
      </c>
      <c r="N5658" t="s">
        <v>1523</v>
      </c>
      <c r="O5658" t="s">
        <v>26236</v>
      </c>
      <c r="P5658" t="s">
        <v>26237</v>
      </c>
      <c r="Q5658" t="s">
        <v>26238</v>
      </c>
      <c r="R5658">
        <v>16</v>
      </c>
      <c r="S5658">
        <v>32</v>
      </c>
    </row>
    <row r="5659" spans="1:19" x14ac:dyDescent="0.35">
      <c r="A5659">
        <v>9754</v>
      </c>
      <c r="B5659" t="s">
        <v>26239</v>
      </c>
      <c r="C5659" t="s">
        <v>42</v>
      </c>
      <c r="D5659" t="s">
        <v>26240</v>
      </c>
      <c r="E5659" t="e" cm="1">
        <f t="array" ref="E5659">- FENOFIBRATE</f>
        <v>#NAME?</v>
      </c>
      <c r="F5659" t="s">
        <v>26241</v>
      </c>
      <c r="G5659" t="s">
        <v>5301</v>
      </c>
      <c r="H5659" t="s">
        <v>26242</v>
      </c>
      <c r="I5659" t="s">
        <v>26243</v>
      </c>
      <c r="J5659" t="s">
        <v>26244</v>
      </c>
      <c r="K5659" t="s">
        <v>26245</v>
      </c>
      <c r="L5659" t="s">
        <v>26246</v>
      </c>
      <c r="M5659" t="s">
        <v>38</v>
      </c>
      <c r="N5659" t="s">
        <v>1137</v>
      </c>
      <c r="O5659" t="s">
        <v>26247</v>
      </c>
      <c r="P5659" t="s">
        <v>26248</v>
      </c>
      <c r="Q5659" t="s">
        <v>26249</v>
      </c>
      <c r="R5659">
        <v>16</v>
      </c>
      <c r="S5659">
        <v>32</v>
      </c>
    </row>
    <row r="5660" spans="1:19" x14ac:dyDescent="0.35">
      <c r="A5660">
        <v>4638</v>
      </c>
      <c r="B5660" t="s">
        <v>19493</v>
      </c>
      <c r="C5660" t="s">
        <v>42</v>
      </c>
      <c r="D5660" t="s">
        <v>19494</v>
      </c>
      <c r="E5660" t="e" cm="1">
        <f t="array" ref="E5660">- PHENYLEPHRINE HYDROCHLORIDE. ZINC SULFATE HEPTAHYDRATE</f>
        <v>#NAME?</v>
      </c>
      <c r="F5660" t="s">
        <v>19495</v>
      </c>
      <c r="H5660" t="s">
        <v>19496</v>
      </c>
      <c r="I5660" t="s">
        <v>19497</v>
      </c>
      <c r="J5660" t="s">
        <v>4201</v>
      </c>
      <c r="L5660" t="s">
        <v>6318</v>
      </c>
      <c r="M5660" t="s">
        <v>824</v>
      </c>
      <c r="N5660" t="s">
        <v>26226</v>
      </c>
      <c r="O5660" t="s">
        <v>19499</v>
      </c>
      <c r="P5660" t="s">
        <v>19500</v>
      </c>
      <c r="Q5660" t="s">
        <v>26227</v>
      </c>
      <c r="R5660">
        <v>16</v>
      </c>
      <c r="S5660">
        <v>32</v>
      </c>
    </row>
    <row r="5661" spans="1:19" x14ac:dyDescent="0.35">
      <c r="A5661">
        <v>4637</v>
      </c>
      <c r="B5661" t="s">
        <v>19493</v>
      </c>
      <c r="C5661" t="s">
        <v>42</v>
      </c>
      <c r="D5661" t="s">
        <v>19494</v>
      </c>
      <c r="E5661" t="e" cm="1">
        <f t="array" ref="E5661">- PHENYLEPHRINE HYDROCHLORIDE. ZINC SULFATE HEPTAHYDRATE</f>
        <v>#NAME?</v>
      </c>
      <c r="F5661" t="s">
        <v>19495</v>
      </c>
      <c r="H5661" t="s">
        <v>19496</v>
      </c>
      <c r="I5661" t="s">
        <v>19497</v>
      </c>
      <c r="J5661" t="s">
        <v>4201</v>
      </c>
      <c r="L5661" t="s">
        <v>6318</v>
      </c>
      <c r="M5661" t="s">
        <v>824</v>
      </c>
      <c r="N5661" t="s">
        <v>26226</v>
      </c>
      <c r="O5661" t="s">
        <v>19499</v>
      </c>
      <c r="P5661" t="s">
        <v>19500</v>
      </c>
      <c r="Q5661" t="s">
        <v>26227</v>
      </c>
      <c r="R5661">
        <v>16</v>
      </c>
      <c r="S5661">
        <v>32</v>
      </c>
    </row>
    <row r="5662" spans="1:19" x14ac:dyDescent="0.35">
      <c r="A5662">
        <v>5999</v>
      </c>
      <c r="B5662" t="s">
        <v>26250</v>
      </c>
      <c r="C5662" t="s">
        <v>42</v>
      </c>
      <c r="D5662" t="s">
        <v>26251</v>
      </c>
      <c r="E5662" t="e" cm="1">
        <f t="array" ref="E5662">- THIAMPHENICOL</f>
        <v>#NAME?</v>
      </c>
      <c r="F5662" s="1">
        <v>16900</v>
      </c>
      <c r="G5662" t="s">
        <v>737</v>
      </c>
      <c r="H5662" t="s">
        <v>5662</v>
      </c>
      <c r="I5662" t="s">
        <v>26252</v>
      </c>
      <c r="J5662" t="s">
        <v>810</v>
      </c>
      <c r="K5662" t="s">
        <v>26253</v>
      </c>
      <c r="L5662" t="s">
        <v>5664</v>
      </c>
      <c r="M5662" t="s">
        <v>38</v>
      </c>
      <c r="N5662" t="s">
        <v>272</v>
      </c>
      <c r="O5662" t="s">
        <v>25498</v>
      </c>
      <c r="P5662" t="s">
        <v>26254</v>
      </c>
      <c r="Q5662" t="s">
        <v>26255</v>
      </c>
      <c r="R5662">
        <v>16</v>
      </c>
      <c r="S5662">
        <v>32</v>
      </c>
    </row>
    <row r="5663" spans="1:19" x14ac:dyDescent="0.35">
      <c r="A5663">
        <v>4636</v>
      </c>
      <c r="B5663" t="s">
        <v>19493</v>
      </c>
      <c r="C5663" t="s">
        <v>42</v>
      </c>
      <c r="D5663" t="s">
        <v>19494</v>
      </c>
      <c r="E5663" t="e" cm="1">
        <f t="array" ref="E5663">- PHENYLEPHRINE HYDROCHLORIDE. ZINC SULFATE HEPTAHYDRATE</f>
        <v>#NAME?</v>
      </c>
      <c r="F5663" t="s">
        <v>19495</v>
      </c>
      <c r="H5663" t="s">
        <v>19496</v>
      </c>
      <c r="I5663" t="s">
        <v>19497</v>
      </c>
      <c r="J5663" t="s">
        <v>4201</v>
      </c>
      <c r="L5663" t="s">
        <v>6318</v>
      </c>
      <c r="M5663" t="s">
        <v>824</v>
      </c>
      <c r="N5663" t="s">
        <v>26226</v>
      </c>
      <c r="O5663" t="s">
        <v>19499</v>
      </c>
      <c r="P5663" t="s">
        <v>19500</v>
      </c>
      <c r="Q5663" t="s">
        <v>26227</v>
      </c>
      <c r="R5663">
        <v>16</v>
      </c>
      <c r="S5663">
        <v>32</v>
      </c>
    </row>
    <row r="5664" spans="1:19" x14ac:dyDescent="0.35">
      <c r="A5664">
        <v>4635</v>
      </c>
      <c r="B5664" t="s">
        <v>19493</v>
      </c>
      <c r="C5664" t="s">
        <v>42</v>
      </c>
      <c r="D5664" t="s">
        <v>19494</v>
      </c>
      <c r="E5664" t="e" cm="1">
        <f t="array" ref="E5664">- PHENYLEPHRINE HYDROCHLORIDE. ZINC SULFATE HEPTAHYDRATE</f>
        <v>#NAME?</v>
      </c>
      <c r="F5664" t="s">
        <v>19495</v>
      </c>
      <c r="H5664" t="s">
        <v>19496</v>
      </c>
      <c r="I5664" t="s">
        <v>19497</v>
      </c>
      <c r="J5664" t="s">
        <v>4201</v>
      </c>
      <c r="L5664" t="s">
        <v>6318</v>
      </c>
      <c r="M5664" t="s">
        <v>824</v>
      </c>
      <c r="N5664" t="s">
        <v>26226</v>
      </c>
      <c r="O5664" t="s">
        <v>19499</v>
      </c>
      <c r="P5664" t="s">
        <v>19500</v>
      </c>
      <c r="Q5664" t="s">
        <v>26227</v>
      </c>
      <c r="R5664">
        <v>16</v>
      </c>
      <c r="S5664">
        <v>32</v>
      </c>
    </row>
    <row r="5665" spans="1:19" x14ac:dyDescent="0.35">
      <c r="A5665">
        <v>4650</v>
      </c>
      <c r="B5665" t="s">
        <v>19493</v>
      </c>
      <c r="C5665" t="s">
        <v>42</v>
      </c>
      <c r="D5665" t="s">
        <v>19560</v>
      </c>
      <c r="E5665" t="e" cm="1">
        <f t="array" ref="E5665">- PHENYLEPHRINE HYDROCHLORIDE. ZINC SULFATE HEPTAHYDRATE</f>
        <v>#NAME?</v>
      </c>
      <c r="F5665" t="s">
        <v>19561</v>
      </c>
      <c r="H5665" t="s">
        <v>19496</v>
      </c>
      <c r="I5665" t="s">
        <v>19497</v>
      </c>
      <c r="J5665" t="s">
        <v>11321</v>
      </c>
      <c r="L5665" t="s">
        <v>6318</v>
      </c>
      <c r="M5665" t="s">
        <v>824</v>
      </c>
      <c r="N5665" t="s">
        <v>26226</v>
      </c>
      <c r="O5665" t="s">
        <v>19499</v>
      </c>
      <c r="P5665" t="s">
        <v>19500</v>
      </c>
      <c r="Q5665" t="s">
        <v>26227</v>
      </c>
      <c r="R5665">
        <v>16</v>
      </c>
      <c r="S5665">
        <v>32</v>
      </c>
    </row>
    <row r="5666" spans="1:19" x14ac:dyDescent="0.35">
      <c r="A5666">
        <v>3693</v>
      </c>
      <c r="B5666" t="s">
        <v>26256</v>
      </c>
      <c r="C5666" t="s">
        <v>42</v>
      </c>
      <c r="D5666" t="s">
        <v>26257</v>
      </c>
      <c r="E5666" t="e" cm="1">
        <f t="array" ref="E5666">- METOCLOPRAMIDE HYDROCHLORIDE</f>
        <v>#NAME?</v>
      </c>
      <c r="F5666" t="s">
        <v>26258</v>
      </c>
      <c r="G5666" t="s">
        <v>26259</v>
      </c>
      <c r="H5666" t="s">
        <v>26260</v>
      </c>
      <c r="I5666" t="s">
        <v>26261</v>
      </c>
      <c r="J5666" t="s">
        <v>829</v>
      </c>
      <c r="K5666" t="s">
        <v>26262</v>
      </c>
      <c r="L5666" t="s">
        <v>26263</v>
      </c>
      <c r="M5666" t="s">
        <v>271</v>
      </c>
      <c r="N5666" t="s">
        <v>1876</v>
      </c>
      <c r="O5666" t="s">
        <v>26264</v>
      </c>
      <c r="P5666" t="s">
        <v>26265</v>
      </c>
      <c r="Q5666" t="s">
        <v>26266</v>
      </c>
      <c r="R5666">
        <v>16</v>
      </c>
      <c r="S5666">
        <v>32</v>
      </c>
    </row>
    <row r="5667" spans="1:19" x14ac:dyDescent="0.35">
      <c r="A5667">
        <v>3692</v>
      </c>
      <c r="B5667" t="s">
        <v>26267</v>
      </c>
      <c r="C5667" t="s">
        <v>42</v>
      </c>
      <c r="D5667" t="s">
        <v>26268</v>
      </c>
      <c r="E5667" t="e" cm="1">
        <f t="array" ref="E5667">- DOMPERIDONE</f>
        <v>#NAME?</v>
      </c>
      <c r="F5667" s="1">
        <v>66000</v>
      </c>
      <c r="H5667" t="s">
        <v>1589</v>
      </c>
      <c r="I5667" t="s">
        <v>26269</v>
      </c>
      <c r="J5667" t="s">
        <v>26270</v>
      </c>
      <c r="L5667" t="s">
        <v>2711</v>
      </c>
      <c r="M5667" t="s">
        <v>46</v>
      </c>
      <c r="N5667" t="s">
        <v>341</v>
      </c>
      <c r="O5667" t="s">
        <v>24497</v>
      </c>
      <c r="P5667" t="s">
        <v>26271</v>
      </c>
      <c r="Q5667" t="s">
        <v>26272</v>
      </c>
      <c r="R5667">
        <v>16</v>
      </c>
      <c r="S5667">
        <v>32</v>
      </c>
    </row>
    <row r="5668" spans="1:19" x14ac:dyDescent="0.35">
      <c r="A5668">
        <v>3691</v>
      </c>
      <c r="B5668" t="s">
        <v>26267</v>
      </c>
      <c r="C5668" t="s">
        <v>42</v>
      </c>
      <c r="D5668" t="s">
        <v>26268</v>
      </c>
      <c r="E5668" t="e" cm="1">
        <f t="array" ref="E5668">- DOMPERIDONE</f>
        <v>#NAME?</v>
      </c>
      <c r="F5668" s="1">
        <v>66000</v>
      </c>
      <c r="H5668" t="s">
        <v>1589</v>
      </c>
      <c r="I5668" t="s">
        <v>26269</v>
      </c>
      <c r="J5668" t="s">
        <v>26270</v>
      </c>
      <c r="L5668" t="s">
        <v>2711</v>
      </c>
      <c r="M5668" t="s">
        <v>46</v>
      </c>
      <c r="N5668" t="s">
        <v>341</v>
      </c>
      <c r="O5668" t="s">
        <v>24497</v>
      </c>
      <c r="P5668" t="s">
        <v>26271</v>
      </c>
      <c r="Q5668" t="s">
        <v>26272</v>
      </c>
      <c r="R5668">
        <v>16</v>
      </c>
      <c r="S5668">
        <v>32</v>
      </c>
    </row>
    <row r="5669" spans="1:19" x14ac:dyDescent="0.35">
      <c r="A5669">
        <v>3614</v>
      </c>
      <c r="B5669" t="s">
        <v>25852</v>
      </c>
      <c r="C5669" t="s">
        <v>42</v>
      </c>
      <c r="D5669" t="s">
        <v>25853</v>
      </c>
      <c r="E5669" t="e" cm="1">
        <f t="array" ref="E5669">- ONDANSETRON HYDROCHLORIDE DIHYDRATE</f>
        <v>#NAME?</v>
      </c>
      <c r="F5669" t="s">
        <v>25854</v>
      </c>
      <c r="G5669" t="s">
        <v>60</v>
      </c>
      <c r="H5669" t="s">
        <v>25855</v>
      </c>
      <c r="I5669" t="s">
        <v>25856</v>
      </c>
      <c r="J5669" t="s">
        <v>334</v>
      </c>
      <c r="K5669" t="s">
        <v>25857</v>
      </c>
      <c r="L5669" t="s">
        <v>2537</v>
      </c>
      <c r="M5669" t="s">
        <v>271</v>
      </c>
      <c r="N5669" t="s">
        <v>14087</v>
      </c>
      <c r="O5669" t="s">
        <v>25858</v>
      </c>
      <c r="P5669" t="s">
        <v>18211</v>
      </c>
      <c r="Q5669" t="s">
        <v>25859</v>
      </c>
      <c r="R5669">
        <v>16</v>
      </c>
      <c r="S5669">
        <v>32</v>
      </c>
    </row>
    <row r="5670" spans="1:19" x14ac:dyDescent="0.35">
      <c r="A5670">
        <v>3615</v>
      </c>
      <c r="B5670" t="s">
        <v>25852</v>
      </c>
      <c r="C5670" t="s">
        <v>42</v>
      </c>
      <c r="D5670" t="s">
        <v>25853</v>
      </c>
      <c r="E5670" t="e" cm="1">
        <f t="array" ref="E5670">- ONDANSETRON HYDROCHLORIDE DIHYDRATE</f>
        <v>#NAME?</v>
      </c>
      <c r="F5670" t="s">
        <v>25854</v>
      </c>
      <c r="G5670" t="s">
        <v>60</v>
      </c>
      <c r="H5670" t="s">
        <v>25855</v>
      </c>
      <c r="I5670" t="s">
        <v>25856</v>
      </c>
      <c r="J5670" t="s">
        <v>334</v>
      </c>
      <c r="K5670" t="s">
        <v>25857</v>
      </c>
      <c r="L5670" t="s">
        <v>2537</v>
      </c>
      <c r="M5670" t="s">
        <v>271</v>
      </c>
      <c r="N5670" t="s">
        <v>14087</v>
      </c>
      <c r="O5670" t="s">
        <v>25858</v>
      </c>
      <c r="P5670" t="s">
        <v>18211</v>
      </c>
      <c r="Q5670" t="s">
        <v>25859</v>
      </c>
      <c r="R5670">
        <v>16</v>
      </c>
      <c r="S5670">
        <v>32</v>
      </c>
    </row>
    <row r="5671" spans="1:19" x14ac:dyDescent="0.35">
      <c r="A5671">
        <v>3616</v>
      </c>
      <c r="B5671" t="s">
        <v>25852</v>
      </c>
      <c r="C5671" t="s">
        <v>42</v>
      </c>
      <c r="D5671" t="s">
        <v>25853</v>
      </c>
      <c r="E5671" t="e" cm="1">
        <f t="array" ref="E5671">- ONDANSETRON HYDROCHLORIDE DIHYDRATE</f>
        <v>#NAME?</v>
      </c>
      <c r="F5671" t="s">
        <v>25854</v>
      </c>
      <c r="G5671" t="s">
        <v>60</v>
      </c>
      <c r="H5671" t="s">
        <v>25855</v>
      </c>
      <c r="I5671" t="s">
        <v>25856</v>
      </c>
      <c r="J5671" t="s">
        <v>334</v>
      </c>
      <c r="K5671" t="s">
        <v>25857</v>
      </c>
      <c r="L5671" t="s">
        <v>2537</v>
      </c>
      <c r="M5671" t="s">
        <v>271</v>
      </c>
      <c r="N5671" t="s">
        <v>14087</v>
      </c>
      <c r="O5671" t="s">
        <v>25858</v>
      </c>
      <c r="P5671" t="s">
        <v>18211</v>
      </c>
      <c r="Q5671" t="s">
        <v>25859</v>
      </c>
      <c r="R5671">
        <v>16</v>
      </c>
      <c r="S5671">
        <v>32</v>
      </c>
    </row>
    <row r="5672" spans="1:19" x14ac:dyDescent="0.35">
      <c r="A5672">
        <v>3648</v>
      </c>
      <c r="B5672" t="s">
        <v>22832</v>
      </c>
      <c r="C5672" t="s">
        <v>42</v>
      </c>
      <c r="D5672" t="s">
        <v>22833</v>
      </c>
      <c r="E5672" t="e" cm="1">
        <f t="array" ref="E5672">- PYRATHIAZINE THEOCLATE. PYRIDOXINE HYDROCHLORIDE</f>
        <v>#NAME?</v>
      </c>
      <c r="F5672" t="s">
        <v>22834</v>
      </c>
      <c r="G5672" t="s">
        <v>21049</v>
      </c>
      <c r="H5672" t="s">
        <v>21050</v>
      </c>
      <c r="I5672" t="s">
        <v>21051</v>
      </c>
      <c r="J5672" t="s">
        <v>22835</v>
      </c>
      <c r="L5672" t="s">
        <v>14652</v>
      </c>
      <c r="M5672" t="s">
        <v>46</v>
      </c>
      <c r="N5672" t="s">
        <v>23056</v>
      </c>
      <c r="O5672" t="s">
        <v>21053</v>
      </c>
      <c r="P5672" t="s">
        <v>22837</v>
      </c>
      <c r="Q5672" t="s">
        <v>26273</v>
      </c>
      <c r="R5672">
        <v>16</v>
      </c>
      <c r="S5672">
        <v>32</v>
      </c>
    </row>
    <row r="5673" spans="1:19" x14ac:dyDescent="0.35">
      <c r="A5673">
        <v>9667</v>
      </c>
      <c r="B5673" t="s">
        <v>26274</v>
      </c>
      <c r="C5673" t="s">
        <v>42</v>
      </c>
      <c r="D5673" t="s">
        <v>26275</v>
      </c>
      <c r="E5673" t="e" cm="1">
        <f t="array" ref="E5673">- GEMFIBROZIL</f>
        <v>#NAME?</v>
      </c>
      <c r="F5673" t="s">
        <v>26276</v>
      </c>
      <c r="G5673" t="s">
        <v>737</v>
      </c>
      <c r="H5673" t="s">
        <v>26277</v>
      </c>
      <c r="I5673" t="s">
        <v>26278</v>
      </c>
      <c r="J5673" t="s">
        <v>26279</v>
      </c>
      <c r="K5673" t="s">
        <v>26280</v>
      </c>
      <c r="L5673" t="s">
        <v>26281</v>
      </c>
      <c r="M5673" t="s">
        <v>38</v>
      </c>
      <c r="N5673" t="s">
        <v>6255</v>
      </c>
      <c r="O5673" t="s">
        <v>26282</v>
      </c>
      <c r="P5673" t="s">
        <v>6255</v>
      </c>
      <c r="Q5673" t="s">
        <v>26283</v>
      </c>
      <c r="R5673">
        <v>16</v>
      </c>
      <c r="S5673">
        <v>32</v>
      </c>
    </row>
    <row r="5674" spans="1:19" x14ac:dyDescent="0.35">
      <c r="A5674">
        <v>9668</v>
      </c>
      <c r="B5674" t="s">
        <v>26274</v>
      </c>
      <c r="C5674" t="s">
        <v>42</v>
      </c>
      <c r="D5674" t="s">
        <v>26275</v>
      </c>
      <c r="E5674" t="e" cm="1">
        <f t="array" ref="E5674">- GEMFIBROZIL</f>
        <v>#NAME?</v>
      </c>
      <c r="F5674" t="s">
        <v>26276</v>
      </c>
      <c r="G5674" t="s">
        <v>737</v>
      </c>
      <c r="H5674" t="s">
        <v>26277</v>
      </c>
      <c r="I5674" t="s">
        <v>26278</v>
      </c>
      <c r="J5674" t="s">
        <v>26279</v>
      </c>
      <c r="K5674" t="s">
        <v>26280</v>
      </c>
      <c r="L5674" t="s">
        <v>26281</v>
      </c>
      <c r="M5674" t="s">
        <v>38</v>
      </c>
      <c r="N5674" t="s">
        <v>6255</v>
      </c>
      <c r="O5674" t="s">
        <v>26282</v>
      </c>
      <c r="P5674" t="s">
        <v>6255</v>
      </c>
      <c r="Q5674" t="s">
        <v>26283</v>
      </c>
      <c r="R5674">
        <v>16</v>
      </c>
      <c r="S5674">
        <v>32</v>
      </c>
    </row>
    <row r="5675" spans="1:19" x14ac:dyDescent="0.35">
      <c r="A5675">
        <v>2155</v>
      </c>
      <c r="B5675" t="s">
        <v>23570</v>
      </c>
      <c r="C5675" t="s">
        <v>42</v>
      </c>
      <c r="D5675" t="s">
        <v>26284</v>
      </c>
      <c r="E5675" t="e" cm="1">
        <f t="array" ref="E5675">- PARACETAMOL</f>
        <v>#NAME?</v>
      </c>
      <c r="F5675" t="s">
        <v>26285</v>
      </c>
      <c r="G5675" t="s">
        <v>4362</v>
      </c>
      <c r="H5675" t="s">
        <v>9708</v>
      </c>
      <c r="I5675" t="s">
        <v>25514</v>
      </c>
      <c r="J5675" t="s">
        <v>26286</v>
      </c>
      <c r="K5675" t="s">
        <v>9711</v>
      </c>
      <c r="L5675" t="s">
        <v>9712</v>
      </c>
      <c r="M5675" t="s">
        <v>46</v>
      </c>
      <c r="N5675" t="s">
        <v>584</v>
      </c>
      <c r="O5675" t="s">
        <v>25515</v>
      </c>
      <c r="P5675" t="s">
        <v>6854</v>
      </c>
      <c r="Q5675" t="s">
        <v>26287</v>
      </c>
      <c r="R5675">
        <v>16</v>
      </c>
      <c r="S5675">
        <v>32</v>
      </c>
    </row>
    <row r="5676" spans="1:19" x14ac:dyDescent="0.35">
      <c r="A5676">
        <v>4634</v>
      </c>
      <c r="B5676" t="s">
        <v>19493</v>
      </c>
      <c r="C5676" t="s">
        <v>42</v>
      </c>
      <c r="D5676" t="s">
        <v>19494</v>
      </c>
      <c r="E5676" t="e" cm="1">
        <f t="array" ref="E5676">- PHENYLEPHRINE HYDROCHLORIDE. ZINC SULFATE HEPTAHYDRATE</f>
        <v>#NAME?</v>
      </c>
      <c r="F5676" t="s">
        <v>19495</v>
      </c>
      <c r="H5676" t="s">
        <v>19496</v>
      </c>
      <c r="I5676" t="s">
        <v>19497</v>
      </c>
      <c r="J5676" t="s">
        <v>4201</v>
      </c>
      <c r="L5676" t="s">
        <v>6318</v>
      </c>
      <c r="M5676" t="s">
        <v>824</v>
      </c>
      <c r="N5676" t="s">
        <v>26226</v>
      </c>
      <c r="O5676" t="s">
        <v>19499</v>
      </c>
      <c r="P5676" t="s">
        <v>19500</v>
      </c>
      <c r="Q5676" t="s">
        <v>26227</v>
      </c>
      <c r="R5676">
        <v>16</v>
      </c>
      <c r="S5676">
        <v>32</v>
      </c>
    </row>
    <row r="5677" spans="1:19" x14ac:dyDescent="0.35">
      <c r="A5677">
        <v>2154</v>
      </c>
      <c r="B5677" t="s">
        <v>23570</v>
      </c>
      <c r="C5677" t="s">
        <v>42</v>
      </c>
      <c r="D5677" t="s">
        <v>26284</v>
      </c>
      <c r="E5677" t="e" cm="1">
        <f t="array" ref="E5677">- PARACETAMOL</f>
        <v>#NAME?</v>
      </c>
      <c r="F5677" t="s">
        <v>26285</v>
      </c>
      <c r="G5677" t="s">
        <v>4362</v>
      </c>
      <c r="H5677" t="s">
        <v>9708</v>
      </c>
      <c r="I5677" t="s">
        <v>25514</v>
      </c>
      <c r="J5677" t="s">
        <v>26286</v>
      </c>
      <c r="K5677" t="s">
        <v>9711</v>
      </c>
      <c r="L5677" t="s">
        <v>9712</v>
      </c>
      <c r="M5677" t="s">
        <v>46</v>
      </c>
      <c r="N5677" t="s">
        <v>584</v>
      </c>
      <c r="O5677" t="s">
        <v>25515</v>
      </c>
      <c r="P5677" t="s">
        <v>6854</v>
      </c>
      <c r="Q5677" t="s">
        <v>26287</v>
      </c>
      <c r="R5677">
        <v>16</v>
      </c>
      <c r="S5677">
        <v>32</v>
      </c>
    </row>
    <row r="5678" spans="1:19" x14ac:dyDescent="0.35">
      <c r="A5678">
        <v>4689</v>
      </c>
      <c r="B5678" t="s">
        <v>13903</v>
      </c>
      <c r="C5678" t="s">
        <v>42</v>
      </c>
      <c r="D5678" t="s">
        <v>13904</v>
      </c>
      <c r="E5678" t="e" cm="1">
        <f t="array" ref="E5678">- PREDNISOLONE ACETATE. POLYMYXIN B SULFATE. NEOMYCIN SULFATE</f>
        <v>#NAME?</v>
      </c>
      <c r="F5678" t="s">
        <v>13905</v>
      </c>
      <c r="G5678" t="s">
        <v>7569</v>
      </c>
      <c r="H5678" t="s">
        <v>13906</v>
      </c>
      <c r="I5678" t="s">
        <v>13907</v>
      </c>
      <c r="J5678" t="s">
        <v>3847</v>
      </c>
      <c r="K5678" t="s">
        <v>8963</v>
      </c>
      <c r="L5678" t="s">
        <v>270</v>
      </c>
      <c r="M5678" t="s">
        <v>824</v>
      </c>
      <c r="N5678" t="s">
        <v>26288</v>
      </c>
      <c r="O5678" t="s">
        <v>13909</v>
      </c>
      <c r="P5678" t="s">
        <v>13910</v>
      </c>
      <c r="Q5678" t="s">
        <v>26289</v>
      </c>
      <c r="R5678">
        <v>16</v>
      </c>
      <c r="S5678">
        <v>32</v>
      </c>
    </row>
    <row r="5679" spans="1:19" x14ac:dyDescent="0.35">
      <c r="A5679">
        <v>3672</v>
      </c>
      <c r="B5679" t="s">
        <v>24747</v>
      </c>
      <c r="C5679" t="s">
        <v>42</v>
      </c>
      <c r="D5679" t="s">
        <v>24748</v>
      </c>
      <c r="E5679" t="e" cm="1">
        <f t="array" ref="E5679">- ONDANSETRON HYDROCHLORIDE DIHYDRATE</f>
        <v>#NAME?</v>
      </c>
      <c r="F5679" t="s">
        <v>24749</v>
      </c>
      <c r="G5679" t="s">
        <v>2266</v>
      </c>
      <c r="H5679" t="s">
        <v>24750</v>
      </c>
      <c r="I5679" t="s">
        <v>24751</v>
      </c>
      <c r="J5679" t="s">
        <v>24752</v>
      </c>
      <c r="K5679" t="s">
        <v>11602</v>
      </c>
      <c r="L5679" t="s">
        <v>24753</v>
      </c>
      <c r="M5679" t="s">
        <v>46</v>
      </c>
      <c r="N5679" t="s">
        <v>14087</v>
      </c>
      <c r="O5679" t="s">
        <v>24754</v>
      </c>
      <c r="P5679" t="s">
        <v>24755</v>
      </c>
      <c r="Q5679" t="s">
        <v>26290</v>
      </c>
      <c r="R5679">
        <v>16</v>
      </c>
      <c r="S5679">
        <v>32</v>
      </c>
    </row>
    <row r="5680" spans="1:19" x14ac:dyDescent="0.35">
      <c r="A5680">
        <v>4666</v>
      </c>
      <c r="B5680" t="s">
        <v>26291</v>
      </c>
      <c r="C5680" t="s">
        <v>42</v>
      </c>
      <c r="D5680" t="s">
        <v>26292</v>
      </c>
      <c r="E5680" t="e" cm="1">
        <f t="array" ref="E5680">- MEPYRAMINE MALEATE</f>
        <v>#NAME?</v>
      </c>
      <c r="F5680" t="s">
        <v>26293</v>
      </c>
      <c r="H5680" t="s">
        <v>26294</v>
      </c>
      <c r="I5680" t="s">
        <v>26295</v>
      </c>
      <c r="J5680" t="s">
        <v>23073</v>
      </c>
      <c r="L5680" t="s">
        <v>321</v>
      </c>
      <c r="M5680" t="s">
        <v>824</v>
      </c>
      <c r="N5680" t="s">
        <v>26296</v>
      </c>
      <c r="O5680" t="s">
        <v>26297</v>
      </c>
      <c r="P5680" t="s">
        <v>26298</v>
      </c>
      <c r="Q5680" t="s">
        <v>26299</v>
      </c>
      <c r="R5680">
        <v>16</v>
      </c>
      <c r="S5680">
        <v>32</v>
      </c>
    </row>
    <row r="5681" spans="1:19" x14ac:dyDescent="0.35">
      <c r="A5681">
        <v>4665</v>
      </c>
      <c r="B5681" t="s">
        <v>26291</v>
      </c>
      <c r="C5681" t="s">
        <v>42</v>
      </c>
      <c r="D5681" t="s">
        <v>26292</v>
      </c>
      <c r="E5681" t="e" cm="1">
        <f t="array" ref="E5681">- MEPYRAMINE MALEATE</f>
        <v>#NAME?</v>
      </c>
      <c r="F5681" t="s">
        <v>26293</v>
      </c>
      <c r="H5681" t="s">
        <v>26294</v>
      </c>
      <c r="I5681" t="s">
        <v>26295</v>
      </c>
      <c r="J5681" t="s">
        <v>23073</v>
      </c>
      <c r="L5681" t="s">
        <v>321</v>
      </c>
      <c r="M5681" t="s">
        <v>824</v>
      </c>
      <c r="N5681" t="s">
        <v>26296</v>
      </c>
      <c r="O5681" t="s">
        <v>26297</v>
      </c>
      <c r="P5681" t="s">
        <v>26298</v>
      </c>
      <c r="Q5681" t="s">
        <v>26299</v>
      </c>
      <c r="R5681">
        <v>16</v>
      </c>
      <c r="S5681">
        <v>32</v>
      </c>
    </row>
    <row r="5682" spans="1:19" x14ac:dyDescent="0.35">
      <c r="A5682">
        <v>4664</v>
      </c>
      <c r="B5682" t="s">
        <v>26291</v>
      </c>
      <c r="C5682" t="s">
        <v>42</v>
      </c>
      <c r="D5682" t="s">
        <v>26300</v>
      </c>
      <c r="E5682" t="e" cm="1">
        <f t="array" ref="E5682">- MEPYRAMINE MALEATE</f>
        <v>#NAME?</v>
      </c>
      <c r="F5682" t="s">
        <v>26301</v>
      </c>
      <c r="G5682" t="s">
        <v>7569</v>
      </c>
      <c r="H5682" t="s">
        <v>26302</v>
      </c>
      <c r="I5682" t="s">
        <v>26295</v>
      </c>
      <c r="J5682" t="s">
        <v>26303</v>
      </c>
      <c r="L5682" t="s">
        <v>270</v>
      </c>
      <c r="M5682" t="s">
        <v>824</v>
      </c>
      <c r="N5682" t="s">
        <v>26296</v>
      </c>
      <c r="O5682" t="s">
        <v>26297</v>
      </c>
      <c r="P5682" t="s">
        <v>26304</v>
      </c>
      <c r="Q5682" t="s">
        <v>26305</v>
      </c>
      <c r="R5682">
        <v>16</v>
      </c>
      <c r="S5682">
        <v>32</v>
      </c>
    </row>
    <row r="5683" spans="1:19" x14ac:dyDescent="0.35">
      <c r="A5683">
        <v>4663</v>
      </c>
      <c r="B5683" t="s">
        <v>26291</v>
      </c>
      <c r="C5683" t="s">
        <v>42</v>
      </c>
      <c r="D5683" t="s">
        <v>26300</v>
      </c>
      <c r="E5683" t="e" cm="1">
        <f t="array" ref="E5683">- MEPYRAMINE MALEATE</f>
        <v>#NAME?</v>
      </c>
      <c r="F5683" t="s">
        <v>26301</v>
      </c>
      <c r="G5683" t="s">
        <v>7569</v>
      </c>
      <c r="H5683" t="s">
        <v>26302</v>
      </c>
      <c r="I5683" t="s">
        <v>26295</v>
      </c>
      <c r="J5683" t="s">
        <v>26303</v>
      </c>
      <c r="L5683" t="s">
        <v>270</v>
      </c>
      <c r="M5683" t="s">
        <v>824</v>
      </c>
      <c r="N5683" t="s">
        <v>26296</v>
      </c>
      <c r="O5683" t="s">
        <v>26297</v>
      </c>
      <c r="P5683" t="s">
        <v>26304</v>
      </c>
      <c r="Q5683" t="s">
        <v>26305</v>
      </c>
      <c r="R5683">
        <v>16</v>
      </c>
      <c r="S5683">
        <v>32</v>
      </c>
    </row>
    <row r="5684" spans="1:19" x14ac:dyDescent="0.35">
      <c r="A5684">
        <v>3690</v>
      </c>
      <c r="B5684" t="s">
        <v>26306</v>
      </c>
      <c r="C5684" t="s">
        <v>42</v>
      </c>
      <c r="D5684" t="s">
        <v>26307</v>
      </c>
      <c r="E5684" t="e" cm="1">
        <f t="array" ref="E5684">- DOMPERIDONE</f>
        <v>#NAME?</v>
      </c>
      <c r="F5684" t="s">
        <v>26308</v>
      </c>
      <c r="G5684" t="s">
        <v>8205</v>
      </c>
      <c r="H5684" t="s">
        <v>1589</v>
      </c>
      <c r="I5684" t="s">
        <v>24493</v>
      </c>
      <c r="J5684" t="s">
        <v>9710</v>
      </c>
      <c r="K5684" t="s">
        <v>10995</v>
      </c>
      <c r="L5684" t="s">
        <v>24496</v>
      </c>
      <c r="M5684" t="s">
        <v>46</v>
      </c>
      <c r="N5684" t="s">
        <v>341</v>
      </c>
      <c r="O5684" t="s">
        <v>24497</v>
      </c>
      <c r="P5684" t="s">
        <v>26309</v>
      </c>
      <c r="Q5684" t="s">
        <v>26310</v>
      </c>
      <c r="R5684">
        <v>16</v>
      </c>
      <c r="S5684">
        <v>32</v>
      </c>
    </row>
    <row r="5685" spans="1:19" x14ac:dyDescent="0.35">
      <c r="A5685">
        <v>4690</v>
      </c>
      <c r="B5685" t="s">
        <v>13903</v>
      </c>
      <c r="C5685" t="s">
        <v>42</v>
      </c>
      <c r="D5685" t="s">
        <v>13904</v>
      </c>
      <c r="E5685" t="e" cm="1">
        <f t="array" ref="E5685">- PREDNISOLONE ACETATE. POLYMYXIN B SULFATE. NEOMYCIN SULFATE</f>
        <v>#NAME?</v>
      </c>
      <c r="F5685" t="s">
        <v>13905</v>
      </c>
      <c r="G5685" t="s">
        <v>7569</v>
      </c>
      <c r="H5685" t="s">
        <v>13906</v>
      </c>
      <c r="I5685" t="s">
        <v>13907</v>
      </c>
      <c r="J5685" t="s">
        <v>3847</v>
      </c>
      <c r="K5685" t="s">
        <v>8963</v>
      </c>
      <c r="L5685" t="s">
        <v>270</v>
      </c>
      <c r="M5685" t="s">
        <v>824</v>
      </c>
      <c r="N5685" t="s">
        <v>26288</v>
      </c>
      <c r="O5685" t="s">
        <v>13909</v>
      </c>
      <c r="P5685" t="s">
        <v>13910</v>
      </c>
      <c r="Q5685" t="s">
        <v>26289</v>
      </c>
      <c r="R5685">
        <v>16</v>
      </c>
      <c r="S5685">
        <v>32</v>
      </c>
    </row>
    <row r="5686" spans="1:19" x14ac:dyDescent="0.35">
      <c r="A5686">
        <v>3605</v>
      </c>
      <c r="B5686" t="s">
        <v>25848</v>
      </c>
      <c r="C5686" t="s">
        <v>42</v>
      </c>
      <c r="D5686" t="s">
        <v>25849</v>
      </c>
      <c r="E5686" t="e" cm="1">
        <f t="array" ref="E5686">- ONDANSETRON HYDROCHLORIDE DIHYDRATE</f>
        <v>#NAME?</v>
      </c>
      <c r="F5686" t="s">
        <v>25850</v>
      </c>
      <c r="G5686" t="s">
        <v>60</v>
      </c>
      <c r="H5686" t="s">
        <v>25851</v>
      </c>
    </row>
    <row r="5687" spans="1:19" x14ac:dyDescent="0.35">
      <c r="A5687">
        <v>4633</v>
      </c>
      <c r="B5687" t="s">
        <v>19493</v>
      </c>
      <c r="C5687" t="s">
        <v>42</v>
      </c>
      <c r="D5687" t="s">
        <v>19494</v>
      </c>
      <c r="E5687" t="e" cm="1">
        <f t="array" ref="E5687">- PHENYLEPHRINE HYDROCHLORIDE. ZINC SULFATE HEPTAHYDRATE</f>
        <v>#NAME?</v>
      </c>
      <c r="F5687" t="s">
        <v>19495</v>
      </c>
      <c r="H5687" t="s">
        <v>19496</v>
      </c>
      <c r="I5687" t="s">
        <v>19497</v>
      </c>
      <c r="J5687" t="s">
        <v>4201</v>
      </c>
      <c r="L5687" t="s">
        <v>6318</v>
      </c>
      <c r="M5687" t="s">
        <v>824</v>
      </c>
      <c r="N5687" t="s">
        <v>26226</v>
      </c>
      <c r="O5687" t="s">
        <v>19499</v>
      </c>
      <c r="P5687" t="s">
        <v>19500</v>
      </c>
      <c r="Q5687" t="s">
        <v>26227</v>
      </c>
      <c r="R5687">
        <v>16</v>
      </c>
      <c r="S5687">
        <v>32</v>
      </c>
    </row>
    <row r="5688" spans="1:19" x14ac:dyDescent="0.35">
      <c r="A5688">
        <v>6018</v>
      </c>
      <c r="B5688" t="s">
        <v>26311</v>
      </c>
      <c r="C5688" t="s">
        <v>42</v>
      </c>
      <c r="D5688" t="s">
        <v>26312</v>
      </c>
      <c r="E5688" t="e" cm="1">
        <f t="array" ref="E5688">- SULFAMETHOXAZOLE</f>
        <v>#NAME?</v>
      </c>
      <c r="F5688" t="s">
        <v>26313</v>
      </c>
      <c r="G5688" t="s">
        <v>1258</v>
      </c>
      <c r="H5688" t="s">
        <v>26314</v>
      </c>
      <c r="I5688" t="s">
        <v>26315</v>
      </c>
      <c r="J5688" t="s">
        <v>5221</v>
      </c>
      <c r="L5688" t="s">
        <v>26316</v>
      </c>
      <c r="M5688" t="s">
        <v>291</v>
      </c>
      <c r="N5688" t="s">
        <v>478</v>
      </c>
      <c r="O5688" t="s">
        <v>26317</v>
      </c>
      <c r="P5688" t="s">
        <v>26318</v>
      </c>
      <c r="Q5688" t="s">
        <v>26319</v>
      </c>
      <c r="R5688">
        <v>16</v>
      </c>
      <c r="S5688">
        <v>32</v>
      </c>
    </row>
    <row r="5689" spans="1:19" x14ac:dyDescent="0.35">
      <c r="A5689">
        <v>6551</v>
      </c>
      <c r="B5689" t="s">
        <v>26320</v>
      </c>
      <c r="C5689" t="s">
        <v>42</v>
      </c>
      <c r="D5689" t="s">
        <v>26321</v>
      </c>
      <c r="E5689" t="e" cm="1">
        <f t="array" ref="E5689">- FLUCONAZOLE</f>
        <v>#NAME?</v>
      </c>
      <c r="F5689" s="1">
        <v>81700</v>
      </c>
      <c r="G5689" t="s">
        <v>2241</v>
      </c>
      <c r="H5689" t="s">
        <v>26322</v>
      </c>
      <c r="I5689" t="s">
        <v>26323</v>
      </c>
      <c r="J5689" t="s">
        <v>26324</v>
      </c>
      <c r="K5689" t="s">
        <v>26325</v>
      </c>
      <c r="L5689" t="s">
        <v>26326</v>
      </c>
      <c r="M5689" t="s">
        <v>38</v>
      </c>
      <c r="N5689" t="s">
        <v>7992</v>
      </c>
      <c r="O5689" t="s">
        <v>26327</v>
      </c>
      <c r="P5689" t="s">
        <v>26328</v>
      </c>
      <c r="Q5689" t="s">
        <v>26329</v>
      </c>
      <c r="R5689">
        <v>16</v>
      </c>
      <c r="S5689">
        <v>32</v>
      </c>
    </row>
    <row r="5690" spans="1:19" x14ac:dyDescent="0.35">
      <c r="A5690">
        <v>1225</v>
      </c>
      <c r="B5690" t="s">
        <v>22629</v>
      </c>
      <c r="C5690" t="s">
        <v>42</v>
      </c>
      <c r="D5690" t="s">
        <v>22630</v>
      </c>
      <c r="E5690" t="e" cm="1">
        <f t="array" ref="E5690">- PARACETAMOL. PHENYLEPHRINE HYDROCHLORIDE</f>
        <v>#NAME?</v>
      </c>
      <c r="F5690" t="s">
        <v>20462</v>
      </c>
      <c r="G5690" t="s">
        <v>2241</v>
      </c>
      <c r="H5690" t="s">
        <v>22631</v>
      </c>
      <c r="I5690" t="s">
        <v>22632</v>
      </c>
      <c r="J5690" t="s">
        <v>21381</v>
      </c>
      <c r="M5690" t="s">
        <v>291</v>
      </c>
      <c r="N5690" t="s">
        <v>21201</v>
      </c>
      <c r="O5690" t="s">
        <v>22633</v>
      </c>
      <c r="P5690" t="s">
        <v>22634</v>
      </c>
      <c r="Q5690" t="s">
        <v>26330</v>
      </c>
      <c r="R5690">
        <v>16</v>
      </c>
      <c r="S5690">
        <v>32</v>
      </c>
    </row>
    <row r="5691" spans="1:19" x14ac:dyDescent="0.35">
      <c r="A5691">
        <v>6127</v>
      </c>
      <c r="B5691" t="s">
        <v>26331</v>
      </c>
      <c r="C5691" t="s">
        <v>42</v>
      </c>
      <c r="D5691" t="s">
        <v>26332</v>
      </c>
      <c r="E5691" t="e" cm="1">
        <f t="array" ref="E5691">- THIAMPHENICOL</f>
        <v>#NAME?</v>
      </c>
      <c r="F5691" t="s">
        <v>26333</v>
      </c>
      <c r="G5691" t="s">
        <v>737</v>
      </c>
      <c r="H5691" t="s">
        <v>5662</v>
      </c>
      <c r="I5691" t="s">
        <v>25496</v>
      </c>
      <c r="J5691" t="s">
        <v>13233</v>
      </c>
      <c r="K5691" t="s">
        <v>21420</v>
      </c>
      <c r="L5691" t="s">
        <v>5664</v>
      </c>
      <c r="M5691" t="s">
        <v>38</v>
      </c>
      <c r="N5691" t="s">
        <v>272</v>
      </c>
      <c r="O5691" t="s">
        <v>25498</v>
      </c>
      <c r="P5691" t="s">
        <v>21423</v>
      </c>
      <c r="Q5691" t="s">
        <v>26334</v>
      </c>
      <c r="R5691">
        <v>16</v>
      </c>
      <c r="S5691">
        <v>32</v>
      </c>
    </row>
    <row r="5692" spans="1:19" x14ac:dyDescent="0.35">
      <c r="A5692">
        <v>6526</v>
      </c>
      <c r="B5692" t="s">
        <v>23849</v>
      </c>
      <c r="C5692" t="s">
        <v>42</v>
      </c>
      <c r="D5692" t="s">
        <v>23850</v>
      </c>
      <c r="E5692" t="e" cm="1">
        <f t="array" ref="E5692">- SULFAMETHOXAZOLE. TRIMETHOPRIM</f>
        <v>#NAME?</v>
      </c>
      <c r="F5692" t="s">
        <v>6159</v>
      </c>
      <c r="G5692" t="s">
        <v>539</v>
      </c>
      <c r="H5692" t="s">
        <v>269</v>
      </c>
      <c r="I5692" t="s">
        <v>23851</v>
      </c>
      <c r="J5692" t="s">
        <v>2784</v>
      </c>
      <c r="K5692" t="s">
        <v>17594</v>
      </c>
      <c r="L5692" t="s">
        <v>270</v>
      </c>
      <c r="M5692" t="s">
        <v>340</v>
      </c>
      <c r="N5692" t="s">
        <v>1379</v>
      </c>
      <c r="O5692" t="s">
        <v>23852</v>
      </c>
      <c r="P5692" t="s">
        <v>23853</v>
      </c>
      <c r="Q5692" t="s">
        <v>26335</v>
      </c>
      <c r="R5692">
        <v>16</v>
      </c>
      <c r="S5692">
        <v>32</v>
      </c>
    </row>
    <row r="5693" spans="1:19" x14ac:dyDescent="0.35">
      <c r="A5693">
        <v>3948</v>
      </c>
      <c r="B5693" t="s">
        <v>26336</v>
      </c>
      <c r="C5693" t="s">
        <v>20</v>
      </c>
      <c r="D5693" t="s">
        <v>26337</v>
      </c>
      <c r="E5693" t="s">
        <v>26338</v>
      </c>
      <c r="F5693" t="s">
        <v>26339</v>
      </c>
      <c r="G5693" t="s">
        <v>26340</v>
      </c>
      <c r="H5693" t="s">
        <v>26341</v>
      </c>
      <c r="I5693" t="s">
        <v>26342</v>
      </c>
      <c r="J5693" t="s">
        <v>2478</v>
      </c>
      <c r="L5693" t="s">
        <v>4508</v>
      </c>
      <c r="M5693" t="s">
        <v>46</v>
      </c>
      <c r="N5693" t="s">
        <v>26343</v>
      </c>
      <c r="O5693" t="s">
        <v>22591</v>
      </c>
      <c r="P5693" t="s">
        <v>22590</v>
      </c>
      <c r="Q5693" t="s">
        <v>26344</v>
      </c>
      <c r="R5693">
        <v>16</v>
      </c>
      <c r="S5693">
        <v>32</v>
      </c>
    </row>
    <row r="5694" spans="1:19" x14ac:dyDescent="0.35">
      <c r="A5694">
        <v>3949</v>
      </c>
      <c r="B5694" t="s">
        <v>26336</v>
      </c>
      <c r="C5694" t="s">
        <v>20</v>
      </c>
      <c r="D5694" t="s">
        <v>26337</v>
      </c>
      <c r="E5694" t="s">
        <v>26338</v>
      </c>
      <c r="F5694" t="s">
        <v>26339</v>
      </c>
      <c r="G5694" t="s">
        <v>26340</v>
      </c>
      <c r="H5694" t="s">
        <v>26341</v>
      </c>
      <c r="I5694" t="s">
        <v>26342</v>
      </c>
      <c r="J5694" t="s">
        <v>2478</v>
      </c>
      <c r="L5694" t="s">
        <v>4508</v>
      </c>
      <c r="M5694" t="s">
        <v>46</v>
      </c>
      <c r="N5694" t="s">
        <v>26343</v>
      </c>
      <c r="O5694" t="s">
        <v>22591</v>
      </c>
      <c r="P5694" t="s">
        <v>22590</v>
      </c>
      <c r="Q5694" t="s">
        <v>26344</v>
      </c>
      <c r="R5694">
        <v>16</v>
      </c>
      <c r="S5694">
        <v>32</v>
      </c>
    </row>
    <row r="5695" spans="1:19" x14ac:dyDescent="0.35">
      <c r="A5695">
        <v>6501</v>
      </c>
      <c r="B5695" t="s">
        <v>26345</v>
      </c>
      <c r="C5695" t="s">
        <v>42</v>
      </c>
      <c r="D5695" t="s">
        <v>26346</v>
      </c>
      <c r="E5695" t="e" cm="1">
        <f t="array" ref="E5695">- CEFADROXIL MONOHYDRATE</f>
        <v>#NAME?</v>
      </c>
      <c r="F5695" t="s">
        <v>26347</v>
      </c>
      <c r="G5695" t="s">
        <v>2241</v>
      </c>
      <c r="H5695" t="s">
        <v>21352</v>
      </c>
      <c r="I5695" t="s">
        <v>21353</v>
      </c>
      <c r="J5695" t="s">
        <v>334</v>
      </c>
      <c r="K5695" t="s">
        <v>21355</v>
      </c>
      <c r="L5695" t="s">
        <v>21356</v>
      </c>
      <c r="M5695" t="s">
        <v>271</v>
      </c>
      <c r="N5695" t="s">
        <v>1777</v>
      </c>
      <c r="O5695" t="s">
        <v>21358</v>
      </c>
      <c r="P5695" t="s">
        <v>26348</v>
      </c>
      <c r="Q5695" t="s">
        <v>26349</v>
      </c>
      <c r="R5695">
        <v>16</v>
      </c>
      <c r="S5695">
        <v>32</v>
      </c>
    </row>
    <row r="5696" spans="1:19" x14ac:dyDescent="0.35">
      <c r="A5696">
        <v>6500</v>
      </c>
      <c r="B5696" t="s">
        <v>26345</v>
      </c>
      <c r="C5696" t="s">
        <v>42</v>
      </c>
      <c r="D5696" t="s">
        <v>26346</v>
      </c>
      <c r="E5696" t="e" cm="1">
        <f t="array" ref="E5696">- CEFADROXIL MONOHYDRATE</f>
        <v>#NAME?</v>
      </c>
      <c r="F5696" t="s">
        <v>26347</v>
      </c>
      <c r="G5696" t="s">
        <v>2241</v>
      </c>
      <c r="H5696" t="s">
        <v>21352</v>
      </c>
      <c r="I5696" t="s">
        <v>21353</v>
      </c>
      <c r="J5696" t="s">
        <v>334</v>
      </c>
      <c r="K5696" t="s">
        <v>21355</v>
      </c>
      <c r="L5696" t="s">
        <v>21356</v>
      </c>
      <c r="M5696" t="s">
        <v>271</v>
      </c>
      <c r="N5696" t="s">
        <v>1777</v>
      </c>
      <c r="O5696" t="s">
        <v>21358</v>
      </c>
      <c r="P5696" t="s">
        <v>26348</v>
      </c>
      <c r="Q5696" t="s">
        <v>26349</v>
      </c>
      <c r="R5696">
        <v>16</v>
      </c>
      <c r="S5696">
        <v>32</v>
      </c>
    </row>
    <row r="5697" spans="1:19" x14ac:dyDescent="0.35">
      <c r="A5697">
        <v>6499</v>
      </c>
      <c r="B5697" t="s">
        <v>26345</v>
      </c>
      <c r="C5697" t="s">
        <v>42</v>
      </c>
      <c r="D5697" t="s">
        <v>26346</v>
      </c>
      <c r="E5697" t="e" cm="1">
        <f t="array" ref="E5697">- CEFADROXIL MONOHYDRATE</f>
        <v>#NAME?</v>
      </c>
      <c r="F5697" t="s">
        <v>26347</v>
      </c>
      <c r="G5697" t="s">
        <v>2241</v>
      </c>
      <c r="H5697" t="s">
        <v>21352</v>
      </c>
      <c r="I5697" t="s">
        <v>21353</v>
      </c>
      <c r="J5697" t="s">
        <v>334</v>
      </c>
      <c r="K5697" t="s">
        <v>21355</v>
      </c>
      <c r="L5697" t="s">
        <v>21356</v>
      </c>
      <c r="M5697" t="s">
        <v>271</v>
      </c>
      <c r="N5697" t="s">
        <v>1777</v>
      </c>
      <c r="O5697" t="s">
        <v>21358</v>
      </c>
      <c r="P5697" t="s">
        <v>26348</v>
      </c>
      <c r="Q5697" t="s">
        <v>26349</v>
      </c>
      <c r="R5697">
        <v>16</v>
      </c>
      <c r="S5697">
        <v>32</v>
      </c>
    </row>
    <row r="5698" spans="1:19" x14ac:dyDescent="0.35">
      <c r="A5698">
        <v>6490</v>
      </c>
      <c r="B5698" t="s">
        <v>26350</v>
      </c>
      <c r="C5698" t="s">
        <v>42</v>
      </c>
      <c r="D5698" t="s">
        <v>26351</v>
      </c>
      <c r="E5698" t="e" cm="1">
        <f t="array" ref="E5698">- CEFADROXIL MONOHYDRATE</f>
        <v>#NAME?</v>
      </c>
      <c r="F5698" t="s">
        <v>26352</v>
      </c>
      <c r="G5698" t="s">
        <v>2241</v>
      </c>
      <c r="H5698" t="s">
        <v>21352</v>
      </c>
      <c r="I5698" t="s">
        <v>21353</v>
      </c>
      <c r="J5698" t="s">
        <v>334</v>
      </c>
      <c r="K5698" t="s">
        <v>21355</v>
      </c>
      <c r="L5698" t="s">
        <v>21356</v>
      </c>
      <c r="M5698" t="s">
        <v>271</v>
      </c>
      <c r="N5698" t="s">
        <v>1777</v>
      </c>
      <c r="O5698" t="s">
        <v>21358</v>
      </c>
      <c r="P5698" t="s">
        <v>26353</v>
      </c>
      <c r="Q5698" t="s">
        <v>26354</v>
      </c>
      <c r="R5698">
        <v>16</v>
      </c>
      <c r="S5698">
        <v>32</v>
      </c>
    </row>
    <row r="5699" spans="1:19" x14ac:dyDescent="0.35">
      <c r="A5699">
        <v>4445</v>
      </c>
      <c r="B5699" t="s">
        <v>26355</v>
      </c>
      <c r="C5699" t="s">
        <v>20</v>
      </c>
      <c r="D5699" t="s">
        <v>26356</v>
      </c>
      <c r="E5699" t="s">
        <v>26357</v>
      </c>
      <c r="F5699" t="s">
        <v>14946</v>
      </c>
      <c r="H5699" t="s">
        <v>26358</v>
      </c>
      <c r="I5699" t="s">
        <v>26359</v>
      </c>
      <c r="J5699" t="s">
        <v>26360</v>
      </c>
      <c r="M5699" t="s">
        <v>46</v>
      </c>
      <c r="N5699" t="s">
        <v>26361</v>
      </c>
      <c r="O5699" t="s">
        <v>26362</v>
      </c>
      <c r="P5699" t="s">
        <v>26363</v>
      </c>
      <c r="Q5699" t="s">
        <v>26364</v>
      </c>
      <c r="R5699">
        <v>16</v>
      </c>
      <c r="S5699">
        <v>32</v>
      </c>
    </row>
    <row r="5700" spans="1:19" x14ac:dyDescent="0.35">
      <c r="A5700">
        <v>1900</v>
      </c>
      <c r="B5700" t="s">
        <v>26365</v>
      </c>
      <c r="C5700" t="s">
        <v>42</v>
      </c>
      <c r="D5700" t="s">
        <v>26366</v>
      </c>
      <c r="E5700" t="e" cm="1">
        <f t="array" ref="E5700">- AMBROXOL HYDROCHLORIDE</f>
        <v>#NAME?</v>
      </c>
      <c r="F5700" t="s">
        <v>26367</v>
      </c>
      <c r="G5700" t="s">
        <v>2453</v>
      </c>
      <c r="H5700" t="s">
        <v>26368</v>
      </c>
      <c r="I5700" t="s">
        <v>26369</v>
      </c>
      <c r="J5700" t="s">
        <v>4201</v>
      </c>
      <c r="K5700" t="s">
        <v>26370</v>
      </c>
      <c r="L5700" t="s">
        <v>26371</v>
      </c>
      <c r="M5700" t="s">
        <v>824</v>
      </c>
      <c r="N5700" t="s">
        <v>1800</v>
      </c>
      <c r="O5700" t="s">
        <v>26372</v>
      </c>
      <c r="P5700" t="s">
        <v>26373</v>
      </c>
      <c r="Q5700" t="s">
        <v>26374</v>
      </c>
      <c r="R5700">
        <v>16</v>
      </c>
      <c r="S5700">
        <v>32</v>
      </c>
    </row>
    <row r="5701" spans="1:19" x14ac:dyDescent="0.35">
      <c r="A5701">
        <v>1899</v>
      </c>
      <c r="B5701" t="s">
        <v>26365</v>
      </c>
      <c r="C5701" t="s">
        <v>42</v>
      </c>
      <c r="D5701" t="s">
        <v>26366</v>
      </c>
      <c r="E5701" t="e" cm="1">
        <f t="array" ref="E5701">- AMBROXOL HYDROCHLORIDE</f>
        <v>#NAME?</v>
      </c>
      <c r="F5701" t="s">
        <v>26367</v>
      </c>
      <c r="G5701" t="s">
        <v>2453</v>
      </c>
      <c r="H5701" t="s">
        <v>26368</v>
      </c>
      <c r="I5701" t="s">
        <v>26369</v>
      </c>
      <c r="J5701" t="s">
        <v>4201</v>
      </c>
      <c r="K5701" t="s">
        <v>26370</v>
      </c>
      <c r="L5701" t="s">
        <v>26371</v>
      </c>
      <c r="M5701" t="s">
        <v>824</v>
      </c>
      <c r="N5701" t="s">
        <v>1800</v>
      </c>
      <c r="O5701" t="s">
        <v>26372</v>
      </c>
      <c r="P5701" t="s">
        <v>26373</v>
      </c>
      <c r="Q5701" t="s">
        <v>26374</v>
      </c>
      <c r="R5701">
        <v>16</v>
      </c>
      <c r="S5701">
        <v>32</v>
      </c>
    </row>
    <row r="5702" spans="1:19" x14ac:dyDescent="0.35">
      <c r="A5702">
        <v>6158</v>
      </c>
      <c r="B5702" t="s">
        <v>26375</v>
      </c>
      <c r="C5702" t="s">
        <v>42</v>
      </c>
      <c r="D5702" t="s">
        <v>26376</v>
      </c>
      <c r="E5702" t="e" cm="1">
        <f t="array" ref="E5702">- AMOXICILLIN TRIHYDRATE</f>
        <v>#NAME?</v>
      </c>
      <c r="F5702" t="s">
        <v>26377</v>
      </c>
      <c r="G5702" t="s">
        <v>6135</v>
      </c>
      <c r="H5702" t="s">
        <v>26378</v>
      </c>
      <c r="I5702" t="s">
        <v>26379</v>
      </c>
      <c r="J5702" t="s">
        <v>334</v>
      </c>
      <c r="K5702" t="s">
        <v>26380</v>
      </c>
      <c r="L5702" t="s">
        <v>26381</v>
      </c>
      <c r="M5702" t="s">
        <v>271</v>
      </c>
      <c r="N5702" t="s">
        <v>1523</v>
      </c>
      <c r="O5702" t="s">
        <v>26382</v>
      </c>
      <c r="P5702" t="s">
        <v>1913</v>
      </c>
      <c r="Q5702" t="s">
        <v>26383</v>
      </c>
      <c r="R5702">
        <v>16</v>
      </c>
      <c r="S5702">
        <v>32</v>
      </c>
    </row>
    <row r="5703" spans="1:19" x14ac:dyDescent="0.35">
      <c r="A5703">
        <v>6159</v>
      </c>
      <c r="B5703" t="s">
        <v>26375</v>
      </c>
      <c r="C5703" t="s">
        <v>42</v>
      </c>
      <c r="D5703" t="s">
        <v>26376</v>
      </c>
      <c r="E5703" t="e" cm="1">
        <f t="array" ref="E5703">- AMOXICILLIN TRIHYDRATE</f>
        <v>#NAME?</v>
      </c>
      <c r="F5703" t="s">
        <v>26377</v>
      </c>
      <c r="G5703" t="s">
        <v>6135</v>
      </c>
      <c r="H5703" t="s">
        <v>26378</v>
      </c>
      <c r="I5703" t="s">
        <v>26379</v>
      </c>
      <c r="J5703" t="s">
        <v>334</v>
      </c>
      <c r="K5703" t="s">
        <v>26380</v>
      </c>
      <c r="L5703" t="s">
        <v>26381</v>
      </c>
      <c r="M5703" t="s">
        <v>271</v>
      </c>
      <c r="N5703" t="s">
        <v>1523</v>
      </c>
      <c r="O5703" t="s">
        <v>26382</v>
      </c>
      <c r="P5703" t="s">
        <v>1913</v>
      </c>
      <c r="Q5703" t="s">
        <v>26383</v>
      </c>
      <c r="R5703">
        <v>16</v>
      </c>
      <c r="S5703">
        <v>32</v>
      </c>
    </row>
    <row r="5704" spans="1:19" x14ac:dyDescent="0.35">
      <c r="A5704">
        <v>1229</v>
      </c>
      <c r="B5704" t="s">
        <v>26384</v>
      </c>
      <c r="C5704" t="s">
        <v>42</v>
      </c>
      <c r="D5704" t="s">
        <v>26385</v>
      </c>
      <c r="E5704" t="e" cm="1">
        <f t="array" ref="E5704">- DEXTROMETHORPHAN HYDROBROMIDE</f>
        <v>#NAME?</v>
      </c>
      <c r="F5704" t="s">
        <v>26386</v>
      </c>
      <c r="G5704" t="s">
        <v>1691</v>
      </c>
      <c r="H5704" t="s">
        <v>25150</v>
      </c>
      <c r="I5704" t="s">
        <v>26387</v>
      </c>
      <c r="J5704" t="s">
        <v>334</v>
      </c>
      <c r="K5704" t="s">
        <v>26388</v>
      </c>
      <c r="L5704" t="s">
        <v>26389</v>
      </c>
      <c r="M5704" t="s">
        <v>271</v>
      </c>
      <c r="N5704" t="s">
        <v>1376</v>
      </c>
      <c r="O5704" t="s">
        <v>26390</v>
      </c>
      <c r="P5704" t="s">
        <v>26391</v>
      </c>
      <c r="Q5704" t="s">
        <v>26392</v>
      </c>
      <c r="R5704">
        <v>16</v>
      </c>
      <c r="S5704">
        <v>32</v>
      </c>
    </row>
    <row r="5705" spans="1:19" x14ac:dyDescent="0.35">
      <c r="A5705">
        <v>4516</v>
      </c>
      <c r="B5705" t="s">
        <v>6330</v>
      </c>
      <c r="C5705" t="s">
        <v>42</v>
      </c>
      <c r="D5705" t="s">
        <v>26393</v>
      </c>
      <c r="E5705" t="e" cm="1">
        <f t="array" ref="E5705">- HYPROMELLOSE</f>
        <v>#NAME?</v>
      </c>
      <c r="F5705" t="s">
        <v>26394</v>
      </c>
      <c r="G5705" t="s">
        <v>26395</v>
      </c>
      <c r="H5705" t="s">
        <v>6333</v>
      </c>
      <c r="I5705" t="s">
        <v>26396</v>
      </c>
      <c r="J5705" t="s">
        <v>11321</v>
      </c>
      <c r="K5705" t="s">
        <v>16171</v>
      </c>
      <c r="L5705" t="s">
        <v>26397</v>
      </c>
      <c r="M5705" t="s">
        <v>824</v>
      </c>
      <c r="N5705" t="s">
        <v>6336</v>
      </c>
      <c r="O5705" t="s">
        <v>26398</v>
      </c>
      <c r="P5705" t="s">
        <v>26399</v>
      </c>
      <c r="Q5705" t="s">
        <v>26400</v>
      </c>
      <c r="R5705">
        <v>16</v>
      </c>
      <c r="S5705">
        <v>32</v>
      </c>
    </row>
    <row r="5706" spans="1:19" x14ac:dyDescent="0.35">
      <c r="A5706">
        <v>1233</v>
      </c>
      <c r="B5706" t="s">
        <v>26401</v>
      </c>
      <c r="C5706" t="s">
        <v>42</v>
      </c>
      <c r="D5706" t="s">
        <v>26402</v>
      </c>
      <c r="E5706" t="e" cm="1">
        <f t="array" ref="E5706">- BROMHEXINE HYDROCHLORIDE. GUAIFENESIN</f>
        <v>#NAME?</v>
      </c>
      <c r="F5706" t="s">
        <v>26403</v>
      </c>
      <c r="G5706" t="s">
        <v>2241</v>
      </c>
      <c r="H5706" t="s">
        <v>26404</v>
      </c>
      <c r="I5706" t="s">
        <v>26405</v>
      </c>
      <c r="J5706" t="s">
        <v>334</v>
      </c>
      <c r="K5706" t="s">
        <v>26406</v>
      </c>
      <c r="L5706" t="s">
        <v>6681</v>
      </c>
      <c r="M5706" t="s">
        <v>271</v>
      </c>
      <c r="N5706" t="s">
        <v>3917</v>
      </c>
      <c r="O5706" t="s">
        <v>26407</v>
      </c>
      <c r="P5706" t="s">
        <v>26408</v>
      </c>
      <c r="Q5706" t="s">
        <v>26409</v>
      </c>
      <c r="R5706">
        <v>16</v>
      </c>
      <c r="S5706">
        <v>32</v>
      </c>
    </row>
    <row r="5707" spans="1:19" x14ac:dyDescent="0.35">
      <c r="A5707">
        <v>1248</v>
      </c>
      <c r="B5707" t="s">
        <v>26410</v>
      </c>
      <c r="C5707" t="s">
        <v>42</v>
      </c>
      <c r="D5707" t="s">
        <v>26411</v>
      </c>
      <c r="E5707" t="e" cm="1">
        <f t="array" ref="E5707">- BROMHEXINE HYDROCHLORIDE</f>
        <v>#NAME?</v>
      </c>
      <c r="F5707" t="s">
        <v>26412</v>
      </c>
      <c r="G5707" t="s">
        <v>60</v>
      </c>
      <c r="H5707" t="s">
        <v>26413</v>
      </c>
      <c r="I5707" t="s">
        <v>26414</v>
      </c>
      <c r="J5707" t="s">
        <v>26415</v>
      </c>
      <c r="K5707" t="s">
        <v>26416</v>
      </c>
      <c r="L5707" t="s">
        <v>26417</v>
      </c>
      <c r="M5707" t="s">
        <v>554</v>
      </c>
      <c r="N5707" t="s">
        <v>1342</v>
      </c>
      <c r="O5707" t="s">
        <v>26418</v>
      </c>
      <c r="P5707" t="s">
        <v>26419</v>
      </c>
      <c r="Q5707" t="s">
        <v>26420</v>
      </c>
      <c r="R5707">
        <v>16</v>
      </c>
      <c r="S5707">
        <v>32</v>
      </c>
    </row>
    <row r="5708" spans="1:19" x14ac:dyDescent="0.35">
      <c r="A5708">
        <v>6022</v>
      </c>
      <c r="B5708" t="s">
        <v>26421</v>
      </c>
      <c r="C5708" t="s">
        <v>42</v>
      </c>
      <c r="D5708" t="s">
        <v>26422</v>
      </c>
      <c r="E5708" t="e" cm="1">
        <f t="array" ref="E5708">- AMPICILLIN TRIHYDRATE</f>
        <v>#NAME?</v>
      </c>
      <c r="F5708" t="s">
        <v>26423</v>
      </c>
      <c r="G5708" t="s">
        <v>5568</v>
      </c>
      <c r="H5708" t="s">
        <v>26424</v>
      </c>
      <c r="I5708" t="s">
        <v>26425</v>
      </c>
      <c r="J5708" t="s">
        <v>334</v>
      </c>
      <c r="K5708" t="s">
        <v>26426</v>
      </c>
      <c r="L5708" t="s">
        <v>26427</v>
      </c>
      <c r="M5708" t="s">
        <v>271</v>
      </c>
      <c r="N5708" t="s">
        <v>1945</v>
      </c>
      <c r="O5708" t="s">
        <v>26428</v>
      </c>
      <c r="P5708" t="s">
        <v>26429</v>
      </c>
      <c r="Q5708" t="s">
        <v>26430</v>
      </c>
      <c r="R5708">
        <v>16</v>
      </c>
      <c r="S5708">
        <v>32</v>
      </c>
    </row>
    <row r="5709" spans="1:19" x14ac:dyDescent="0.35">
      <c r="A5709">
        <v>4602</v>
      </c>
      <c r="B5709" t="s">
        <v>24885</v>
      </c>
      <c r="C5709" t="s">
        <v>42</v>
      </c>
      <c r="D5709" t="s">
        <v>24886</v>
      </c>
      <c r="E5709" t="s">
        <v>26431</v>
      </c>
      <c r="F5709" s="1">
        <v>77500</v>
      </c>
      <c r="G5709" t="s">
        <v>7569</v>
      </c>
      <c r="H5709" t="s">
        <v>24887</v>
      </c>
      <c r="I5709" t="s">
        <v>24888</v>
      </c>
      <c r="J5709" t="s">
        <v>20526</v>
      </c>
      <c r="M5709" t="s">
        <v>824</v>
      </c>
      <c r="N5709" t="s">
        <v>26432</v>
      </c>
      <c r="O5709" t="s">
        <v>24889</v>
      </c>
      <c r="P5709" t="s">
        <v>24890</v>
      </c>
      <c r="Q5709" t="s">
        <v>26433</v>
      </c>
      <c r="R5709">
        <v>16</v>
      </c>
      <c r="S5709">
        <v>32</v>
      </c>
    </row>
    <row r="5710" spans="1:19" x14ac:dyDescent="0.35">
      <c r="A5710">
        <v>3769</v>
      </c>
      <c r="B5710" t="s">
        <v>24726</v>
      </c>
      <c r="C5710" t="s">
        <v>42</v>
      </c>
      <c r="D5710" t="s">
        <v>24727</v>
      </c>
      <c r="E5710" t="e" cm="1">
        <f t="array" ref="E5710">- PECTIN. KAOLIN</f>
        <v>#NAME?</v>
      </c>
      <c r="F5710" t="s">
        <v>24728</v>
      </c>
      <c r="G5710" t="s">
        <v>24729</v>
      </c>
      <c r="H5710" t="s">
        <v>24730</v>
      </c>
      <c r="I5710" t="s">
        <v>24731</v>
      </c>
      <c r="J5710" t="s">
        <v>334</v>
      </c>
      <c r="K5710" t="s">
        <v>24732</v>
      </c>
      <c r="L5710" t="s">
        <v>24733</v>
      </c>
      <c r="M5710" t="s">
        <v>340</v>
      </c>
      <c r="N5710" t="s">
        <v>12126</v>
      </c>
      <c r="O5710" t="s">
        <v>24734</v>
      </c>
      <c r="P5710" t="s">
        <v>24735</v>
      </c>
      <c r="Q5710" t="s">
        <v>26434</v>
      </c>
      <c r="R5710">
        <v>16</v>
      </c>
      <c r="S5710">
        <v>32</v>
      </c>
    </row>
    <row r="5711" spans="1:19" x14ac:dyDescent="0.35">
      <c r="A5711">
        <v>4572</v>
      </c>
      <c r="B5711" t="s">
        <v>26435</v>
      </c>
      <c r="C5711" t="s">
        <v>42</v>
      </c>
      <c r="D5711" t="s">
        <v>26436</v>
      </c>
      <c r="E5711" t="e" cm="1">
        <f t="array" ref="E5711">- LATANOPROST</f>
        <v>#NAME?</v>
      </c>
      <c r="F5711" t="s">
        <v>26437</v>
      </c>
      <c r="G5711" t="s">
        <v>7569</v>
      </c>
      <c r="H5711" t="s">
        <v>26438</v>
      </c>
      <c r="I5711" t="s">
        <v>26439</v>
      </c>
      <c r="J5711" t="s">
        <v>26440</v>
      </c>
      <c r="K5711" t="s">
        <v>8963</v>
      </c>
      <c r="L5711" t="s">
        <v>321</v>
      </c>
      <c r="M5711" t="s">
        <v>824</v>
      </c>
      <c r="N5711" t="s">
        <v>14727</v>
      </c>
      <c r="O5711" t="s">
        <v>26441</v>
      </c>
      <c r="P5711" t="s">
        <v>26442</v>
      </c>
      <c r="Q5711" t="s">
        <v>26443</v>
      </c>
      <c r="R5711">
        <v>16</v>
      </c>
      <c r="S5711">
        <v>32</v>
      </c>
    </row>
    <row r="5712" spans="1:19" x14ac:dyDescent="0.35">
      <c r="A5712">
        <v>4570</v>
      </c>
      <c r="B5712" t="s">
        <v>26444</v>
      </c>
      <c r="C5712" t="s">
        <v>42</v>
      </c>
      <c r="D5712" t="s">
        <v>26445</v>
      </c>
      <c r="E5712" t="e" cm="1">
        <f t="array" ref="E5712">- LATANOPROST</f>
        <v>#NAME?</v>
      </c>
      <c r="F5712" t="s">
        <v>26446</v>
      </c>
      <c r="G5712" t="s">
        <v>8658</v>
      </c>
      <c r="H5712" t="s">
        <v>26438</v>
      </c>
      <c r="I5712" t="s">
        <v>26439</v>
      </c>
      <c r="J5712" t="s">
        <v>12468</v>
      </c>
      <c r="K5712" t="s">
        <v>2858</v>
      </c>
      <c r="L5712" t="s">
        <v>19404</v>
      </c>
      <c r="M5712" t="s">
        <v>824</v>
      </c>
      <c r="N5712" t="s">
        <v>14727</v>
      </c>
      <c r="O5712" t="s">
        <v>26441</v>
      </c>
      <c r="P5712" t="s">
        <v>26447</v>
      </c>
      <c r="Q5712" t="s">
        <v>26448</v>
      </c>
      <c r="R5712">
        <v>16</v>
      </c>
      <c r="S5712">
        <v>32</v>
      </c>
    </row>
    <row r="5713" spans="1:19" x14ac:dyDescent="0.35">
      <c r="A5713">
        <v>4569</v>
      </c>
      <c r="B5713" t="s">
        <v>26444</v>
      </c>
      <c r="C5713" t="s">
        <v>42</v>
      </c>
      <c r="D5713" t="s">
        <v>26445</v>
      </c>
      <c r="E5713" t="e" cm="1">
        <f t="array" ref="E5713">- LATANOPROST</f>
        <v>#NAME?</v>
      </c>
      <c r="F5713" t="s">
        <v>26446</v>
      </c>
      <c r="G5713" t="s">
        <v>8658</v>
      </c>
      <c r="H5713" t="s">
        <v>26438</v>
      </c>
      <c r="I5713" t="s">
        <v>26439</v>
      </c>
      <c r="J5713" t="s">
        <v>12468</v>
      </c>
      <c r="K5713" t="s">
        <v>2858</v>
      </c>
      <c r="L5713" t="s">
        <v>19404</v>
      </c>
      <c r="M5713" t="s">
        <v>824</v>
      </c>
      <c r="N5713" t="s">
        <v>14727</v>
      </c>
      <c r="O5713" t="s">
        <v>26441</v>
      </c>
      <c r="P5713" t="s">
        <v>26447</v>
      </c>
      <c r="Q5713" t="s">
        <v>26448</v>
      </c>
      <c r="R5713">
        <v>16</v>
      </c>
      <c r="S5713">
        <v>32</v>
      </c>
    </row>
    <row r="5714" spans="1:19" x14ac:dyDescent="0.35">
      <c r="A5714">
        <v>3803</v>
      </c>
      <c r="B5714" t="s">
        <v>26449</v>
      </c>
      <c r="C5714" t="s">
        <v>20</v>
      </c>
      <c r="D5714" t="s">
        <v>26450</v>
      </c>
      <c r="E5714" t="s">
        <v>26451</v>
      </c>
      <c r="F5714" t="s">
        <v>26452</v>
      </c>
      <c r="G5714" t="s">
        <v>20257</v>
      </c>
      <c r="H5714" t="s">
        <v>26453</v>
      </c>
      <c r="I5714" t="s">
        <v>20259</v>
      </c>
      <c r="J5714" t="s">
        <v>7266</v>
      </c>
      <c r="K5714" t="s">
        <v>26454</v>
      </c>
      <c r="L5714" t="s">
        <v>20261</v>
      </c>
      <c r="M5714" t="s">
        <v>271</v>
      </c>
      <c r="N5714" t="s">
        <v>26455</v>
      </c>
      <c r="O5714" t="s">
        <v>20263</v>
      </c>
      <c r="P5714" t="s">
        <v>26456</v>
      </c>
      <c r="Q5714" t="s">
        <v>26457</v>
      </c>
      <c r="R5714">
        <v>16</v>
      </c>
      <c r="S5714">
        <v>32</v>
      </c>
    </row>
    <row r="5715" spans="1:19" x14ac:dyDescent="0.35">
      <c r="A5715">
        <v>2104</v>
      </c>
      <c r="B5715" t="s">
        <v>26458</v>
      </c>
      <c r="C5715" t="s">
        <v>42</v>
      </c>
      <c r="D5715" t="s">
        <v>26459</v>
      </c>
      <c r="E5715" t="e" cm="1">
        <f t="array" ref="E5715">- DEXKETOPROFEN TROMETAMOL</f>
        <v>#NAME?</v>
      </c>
      <c r="F5715" t="s">
        <v>26460</v>
      </c>
      <c r="G5715" t="s">
        <v>26461</v>
      </c>
      <c r="H5715" t="s">
        <v>26462</v>
      </c>
      <c r="I5715" t="s">
        <v>26463</v>
      </c>
      <c r="J5715" t="s">
        <v>571</v>
      </c>
      <c r="K5715" t="s">
        <v>26464</v>
      </c>
      <c r="L5715" t="s">
        <v>26465</v>
      </c>
      <c r="M5715" t="s">
        <v>46</v>
      </c>
      <c r="N5715" t="s">
        <v>2404</v>
      </c>
      <c r="O5715" t="s">
        <v>26466</v>
      </c>
      <c r="P5715" t="s">
        <v>572</v>
      </c>
      <c r="Q5715" t="s">
        <v>26467</v>
      </c>
      <c r="R5715">
        <v>16</v>
      </c>
      <c r="S5715">
        <v>32</v>
      </c>
    </row>
    <row r="5716" spans="1:19" x14ac:dyDescent="0.35">
      <c r="A5716">
        <v>6614</v>
      </c>
      <c r="B5716" t="s">
        <v>26468</v>
      </c>
      <c r="C5716" t="s">
        <v>42</v>
      </c>
      <c r="D5716" t="s">
        <v>26469</v>
      </c>
      <c r="E5716" t="e" cm="1">
        <f t="array" ref="E5716">- FLUCONAZOLE</f>
        <v>#NAME?</v>
      </c>
      <c r="F5716" t="s">
        <v>26470</v>
      </c>
      <c r="G5716" t="s">
        <v>2241</v>
      </c>
      <c r="H5716" t="s">
        <v>26471</v>
      </c>
      <c r="I5716" t="s">
        <v>26472</v>
      </c>
      <c r="J5716" t="s">
        <v>26473</v>
      </c>
      <c r="L5716" t="s">
        <v>270</v>
      </c>
      <c r="M5716" t="s">
        <v>38</v>
      </c>
      <c r="N5716" t="s">
        <v>7992</v>
      </c>
      <c r="O5716" t="s">
        <v>26474</v>
      </c>
      <c r="P5716" t="s">
        <v>26328</v>
      </c>
      <c r="Q5716" t="s">
        <v>26475</v>
      </c>
      <c r="R5716">
        <v>16</v>
      </c>
      <c r="S5716">
        <v>32</v>
      </c>
    </row>
    <row r="5717" spans="1:19" x14ac:dyDescent="0.35">
      <c r="A5717">
        <v>2012</v>
      </c>
      <c r="B5717" t="s">
        <v>26476</v>
      </c>
      <c r="C5717" t="s">
        <v>20</v>
      </c>
      <c r="D5717" t="s">
        <v>26477</v>
      </c>
      <c r="E5717" t="s">
        <v>26478</v>
      </c>
      <c r="F5717" t="s">
        <v>26479</v>
      </c>
      <c r="G5717" t="s">
        <v>5610</v>
      </c>
      <c r="H5717" t="s">
        <v>26480</v>
      </c>
      <c r="I5717" t="s">
        <v>26481</v>
      </c>
      <c r="J5717" t="s">
        <v>26482</v>
      </c>
      <c r="L5717" t="s">
        <v>26483</v>
      </c>
      <c r="M5717" t="s">
        <v>46</v>
      </c>
      <c r="N5717" t="s">
        <v>26484</v>
      </c>
      <c r="O5717" t="s">
        <v>26485</v>
      </c>
      <c r="P5717" t="s">
        <v>26486</v>
      </c>
      <c r="Q5717" t="s">
        <v>26487</v>
      </c>
      <c r="R5717">
        <v>16</v>
      </c>
      <c r="S5717">
        <v>32</v>
      </c>
    </row>
    <row r="5718" spans="1:19" x14ac:dyDescent="0.35">
      <c r="A5718">
        <v>2011</v>
      </c>
      <c r="B5718" t="s">
        <v>26476</v>
      </c>
      <c r="C5718" t="s">
        <v>20</v>
      </c>
      <c r="D5718" t="s">
        <v>26477</v>
      </c>
      <c r="E5718" t="s">
        <v>26478</v>
      </c>
      <c r="F5718" t="s">
        <v>26479</v>
      </c>
      <c r="G5718" t="s">
        <v>5610</v>
      </c>
      <c r="H5718" t="s">
        <v>26480</v>
      </c>
      <c r="I5718" t="s">
        <v>26481</v>
      </c>
      <c r="J5718" t="s">
        <v>26482</v>
      </c>
      <c r="L5718" t="s">
        <v>26483</v>
      </c>
      <c r="M5718" t="s">
        <v>46</v>
      </c>
      <c r="N5718" t="s">
        <v>26484</v>
      </c>
      <c r="O5718" t="s">
        <v>26485</v>
      </c>
      <c r="P5718" t="s">
        <v>26486</v>
      </c>
      <c r="Q5718" t="s">
        <v>26487</v>
      </c>
      <c r="R5718">
        <v>16</v>
      </c>
      <c r="S5718">
        <v>32</v>
      </c>
    </row>
    <row r="5719" spans="1:19" x14ac:dyDescent="0.35">
      <c r="A5719">
        <v>6074</v>
      </c>
      <c r="B5719" t="s">
        <v>26488</v>
      </c>
      <c r="C5719" t="s">
        <v>42</v>
      </c>
      <c r="D5719" t="s">
        <v>26489</v>
      </c>
      <c r="E5719" t="e" cm="1">
        <f t="array" ref="E5719">- THIAMPHENICOL</f>
        <v>#NAME?</v>
      </c>
      <c r="F5719" t="s">
        <v>26490</v>
      </c>
      <c r="G5719" t="s">
        <v>15674</v>
      </c>
      <c r="H5719" t="s">
        <v>26491</v>
      </c>
      <c r="I5719" t="s">
        <v>26492</v>
      </c>
      <c r="J5719" t="s">
        <v>21307</v>
      </c>
      <c r="K5719" t="s">
        <v>26493</v>
      </c>
      <c r="L5719" t="s">
        <v>270</v>
      </c>
      <c r="M5719" t="s">
        <v>271</v>
      </c>
      <c r="N5719" t="s">
        <v>272</v>
      </c>
      <c r="O5719" t="s">
        <v>26494</v>
      </c>
      <c r="P5719" t="s">
        <v>26495</v>
      </c>
      <c r="Q5719" t="s">
        <v>26496</v>
      </c>
      <c r="R5719">
        <v>16</v>
      </c>
      <c r="S5719">
        <v>32</v>
      </c>
    </row>
    <row r="5720" spans="1:19" x14ac:dyDescent="0.35">
      <c r="A5720">
        <v>1274</v>
      </c>
      <c r="B5720" t="s">
        <v>26497</v>
      </c>
      <c r="C5720" t="s">
        <v>42</v>
      </c>
      <c r="D5720" t="s">
        <v>26498</v>
      </c>
      <c r="E5720" t="e" cm="1">
        <f t="array" ref="E5720">- CHLORPHENAMINE MALEATE</f>
        <v>#NAME?</v>
      </c>
      <c r="F5720" t="s">
        <v>26499</v>
      </c>
      <c r="G5720" t="s">
        <v>2241</v>
      </c>
      <c r="H5720" t="s">
        <v>26500</v>
      </c>
      <c r="I5720" t="s">
        <v>26501</v>
      </c>
      <c r="J5720" t="s">
        <v>810</v>
      </c>
      <c r="K5720" t="s">
        <v>26502</v>
      </c>
      <c r="L5720" t="s">
        <v>26503</v>
      </c>
      <c r="M5720" t="s">
        <v>291</v>
      </c>
      <c r="N5720" t="s">
        <v>1354</v>
      </c>
      <c r="O5720" t="s">
        <v>26504</v>
      </c>
      <c r="P5720" t="s">
        <v>26505</v>
      </c>
      <c r="Q5720" t="s">
        <v>26506</v>
      </c>
      <c r="R5720">
        <v>16</v>
      </c>
      <c r="S5720">
        <v>32</v>
      </c>
    </row>
    <row r="5721" spans="1:19" x14ac:dyDescent="0.35">
      <c r="A5721">
        <v>771</v>
      </c>
      <c r="B5721" t="s">
        <v>26507</v>
      </c>
      <c r="C5721" t="s">
        <v>42</v>
      </c>
      <c r="D5721" t="s">
        <v>26508</v>
      </c>
      <c r="E5721" t="e" cm="1">
        <f t="array" ref="E5721">- PSEUDOEPHEDRINE HYDROCHLORIDE</f>
        <v>#NAME?</v>
      </c>
      <c r="F5721" t="s">
        <v>26509</v>
      </c>
      <c r="G5721" t="s">
        <v>5839</v>
      </c>
      <c r="H5721" t="s">
        <v>26510</v>
      </c>
      <c r="I5721" t="s">
        <v>26511</v>
      </c>
      <c r="J5721" t="s">
        <v>334</v>
      </c>
      <c r="K5721" t="s">
        <v>26512</v>
      </c>
      <c r="L5721" t="s">
        <v>26513</v>
      </c>
      <c r="M5721" t="s">
        <v>271</v>
      </c>
      <c r="N5721" t="s">
        <v>8326</v>
      </c>
      <c r="O5721" t="s">
        <v>26514</v>
      </c>
      <c r="P5721" t="s">
        <v>10971</v>
      </c>
      <c r="Q5721" t="s">
        <v>26515</v>
      </c>
      <c r="R5721">
        <v>16</v>
      </c>
      <c r="S5721">
        <v>32</v>
      </c>
    </row>
    <row r="5722" spans="1:19" x14ac:dyDescent="0.35">
      <c r="A5722">
        <v>1265</v>
      </c>
      <c r="B5722" t="s">
        <v>26516</v>
      </c>
      <c r="C5722" t="s">
        <v>42</v>
      </c>
      <c r="D5722" t="s">
        <v>26517</v>
      </c>
      <c r="E5722" t="e" cm="1">
        <f t="array" ref="E5722">- AMMONIUM CHLORIDE</f>
        <v>#NAME?</v>
      </c>
      <c r="F5722" t="s">
        <v>26518</v>
      </c>
      <c r="G5722" t="s">
        <v>2241</v>
      </c>
      <c r="H5722" t="s">
        <v>26519</v>
      </c>
      <c r="I5722" t="s">
        <v>26520</v>
      </c>
      <c r="J5722" t="s">
        <v>945</v>
      </c>
      <c r="K5722" t="s">
        <v>26521</v>
      </c>
      <c r="L5722" t="s">
        <v>26522</v>
      </c>
      <c r="M5722" t="s">
        <v>291</v>
      </c>
      <c r="N5722" t="s">
        <v>1672</v>
      </c>
      <c r="O5722" t="s">
        <v>26523</v>
      </c>
      <c r="P5722" t="s">
        <v>26524</v>
      </c>
      <c r="Q5722" t="s">
        <v>26525</v>
      </c>
      <c r="R5722">
        <v>16</v>
      </c>
      <c r="S5722">
        <v>32</v>
      </c>
    </row>
    <row r="5723" spans="1:19" x14ac:dyDescent="0.35">
      <c r="A5723">
        <v>4536</v>
      </c>
      <c r="B5723" t="s">
        <v>26526</v>
      </c>
      <c r="C5723" t="s">
        <v>42</v>
      </c>
      <c r="D5723" t="s">
        <v>26527</v>
      </c>
      <c r="E5723" t="e" cm="1">
        <f t="array" ref="E5723">- DEXAMETHASONE SODIUM PHOSPHATE</f>
        <v>#NAME?</v>
      </c>
      <c r="F5723" t="s">
        <v>26528</v>
      </c>
      <c r="G5723" t="s">
        <v>7569</v>
      </c>
      <c r="H5723" t="s">
        <v>26529</v>
      </c>
      <c r="I5723" t="s">
        <v>26530</v>
      </c>
      <c r="J5723" t="s">
        <v>26531</v>
      </c>
      <c r="K5723" t="s">
        <v>2858</v>
      </c>
      <c r="L5723" t="s">
        <v>26532</v>
      </c>
      <c r="M5723" t="s">
        <v>824</v>
      </c>
      <c r="N5723" t="s">
        <v>25402</v>
      </c>
      <c r="O5723" t="s">
        <v>26533</v>
      </c>
      <c r="P5723" t="s">
        <v>26534</v>
      </c>
      <c r="Q5723" t="s">
        <v>26535</v>
      </c>
      <c r="R5723">
        <v>16</v>
      </c>
      <c r="S5723">
        <v>32</v>
      </c>
    </row>
    <row r="5724" spans="1:19" x14ac:dyDescent="0.35">
      <c r="A5724">
        <v>3817</v>
      </c>
      <c r="B5724" t="s">
        <v>26536</v>
      </c>
      <c r="C5724" t="s">
        <v>42</v>
      </c>
      <c r="D5724" t="s">
        <v>26537</v>
      </c>
      <c r="E5724" t="e" cm="1">
        <f t="array" ref="E5724">- ZINC SULFATE</f>
        <v>#NAME?</v>
      </c>
      <c r="F5724" t="s">
        <v>26538</v>
      </c>
      <c r="G5724" t="s">
        <v>26539</v>
      </c>
      <c r="H5724" t="s">
        <v>26540</v>
      </c>
      <c r="I5724" t="s">
        <v>26541</v>
      </c>
      <c r="J5724" t="s">
        <v>26542</v>
      </c>
      <c r="K5724" t="s">
        <v>3473</v>
      </c>
      <c r="L5724" t="s">
        <v>26543</v>
      </c>
      <c r="M5724" t="s">
        <v>46</v>
      </c>
      <c r="N5724" t="s">
        <v>16391</v>
      </c>
      <c r="O5724" t="s">
        <v>26544</v>
      </c>
      <c r="P5724" t="s">
        <v>26545</v>
      </c>
      <c r="Q5724" t="s">
        <v>26546</v>
      </c>
      <c r="R5724">
        <v>16</v>
      </c>
      <c r="S5724">
        <v>32</v>
      </c>
    </row>
    <row r="5725" spans="1:19" x14ac:dyDescent="0.35">
      <c r="A5725">
        <v>4632</v>
      </c>
      <c r="B5725" t="s">
        <v>19493</v>
      </c>
      <c r="C5725" t="s">
        <v>42</v>
      </c>
      <c r="D5725" t="s">
        <v>19494</v>
      </c>
      <c r="E5725" t="e" cm="1">
        <f t="array" ref="E5725">- PHENYLEPHRINE HYDROCHLORIDE. ZINC SULFATE HEPTAHYDRATE</f>
        <v>#NAME?</v>
      </c>
      <c r="F5725" t="s">
        <v>19495</v>
      </c>
      <c r="H5725" t="s">
        <v>19496</v>
      </c>
      <c r="I5725" t="s">
        <v>19497</v>
      </c>
      <c r="J5725" t="s">
        <v>4201</v>
      </c>
      <c r="L5725" t="s">
        <v>6318</v>
      </c>
      <c r="M5725" t="s">
        <v>824</v>
      </c>
      <c r="N5725" t="s">
        <v>26226</v>
      </c>
      <c r="O5725" t="s">
        <v>19499</v>
      </c>
      <c r="P5725" t="s">
        <v>19500</v>
      </c>
      <c r="Q5725" t="s">
        <v>26227</v>
      </c>
      <c r="R5725">
        <v>16</v>
      </c>
      <c r="S5725">
        <v>32</v>
      </c>
    </row>
    <row r="5726" spans="1:19" x14ac:dyDescent="0.35">
      <c r="A5726">
        <v>1155</v>
      </c>
      <c r="B5726" t="s">
        <v>26547</v>
      </c>
      <c r="C5726" t="s">
        <v>42</v>
      </c>
      <c r="D5726" t="s">
        <v>26548</v>
      </c>
      <c r="E5726" t="e" cm="1">
        <f t="array" ref="E5726">- CHLORPHENAMINE MALEATE</f>
        <v>#NAME?</v>
      </c>
      <c r="F5726" s="1">
        <v>11500</v>
      </c>
      <c r="G5726" t="s">
        <v>2241</v>
      </c>
      <c r="H5726" t="s">
        <v>16054</v>
      </c>
      <c r="I5726" t="s">
        <v>26549</v>
      </c>
      <c r="J5726" t="s">
        <v>26550</v>
      </c>
      <c r="K5726" t="s">
        <v>2726</v>
      </c>
      <c r="L5726" t="s">
        <v>26551</v>
      </c>
      <c r="M5726" t="s">
        <v>291</v>
      </c>
      <c r="N5726" t="s">
        <v>1354</v>
      </c>
      <c r="O5726" t="s">
        <v>26523</v>
      </c>
      <c r="P5726" t="s">
        <v>8449</v>
      </c>
      <c r="Q5726" t="s">
        <v>26552</v>
      </c>
      <c r="R5726">
        <v>16</v>
      </c>
      <c r="S5726">
        <v>32</v>
      </c>
    </row>
    <row r="5727" spans="1:19" x14ac:dyDescent="0.35">
      <c r="A5727">
        <v>4970</v>
      </c>
      <c r="B5727" t="s">
        <v>26553</v>
      </c>
      <c r="C5727" t="s">
        <v>42</v>
      </c>
      <c r="D5727" t="s">
        <v>26554</v>
      </c>
      <c r="E5727" t="e" cm="1">
        <f t="array" ref="E5727">- DESOXIMETASONE</f>
        <v>#NAME?</v>
      </c>
      <c r="F5727" t="s">
        <v>26555</v>
      </c>
      <c r="G5727" t="s">
        <v>21823</v>
      </c>
      <c r="H5727" t="s">
        <v>21824</v>
      </c>
      <c r="I5727" t="s">
        <v>21825</v>
      </c>
      <c r="J5727" t="s">
        <v>13944</v>
      </c>
      <c r="K5727" t="s">
        <v>21826</v>
      </c>
      <c r="L5727" t="s">
        <v>21827</v>
      </c>
      <c r="M5727" t="s">
        <v>1289</v>
      </c>
      <c r="N5727" t="s">
        <v>8965</v>
      </c>
      <c r="O5727" t="s">
        <v>21828</v>
      </c>
      <c r="P5727" t="s">
        <v>26556</v>
      </c>
      <c r="Q5727" t="s">
        <v>26557</v>
      </c>
      <c r="R5727">
        <v>16</v>
      </c>
      <c r="S5727">
        <v>32</v>
      </c>
    </row>
    <row r="5728" spans="1:19" x14ac:dyDescent="0.35">
      <c r="A5728">
        <v>2859</v>
      </c>
      <c r="B5728" t="s">
        <v>26558</v>
      </c>
      <c r="C5728" t="s">
        <v>42</v>
      </c>
      <c r="D5728" t="s">
        <v>26559</v>
      </c>
      <c r="E5728" t="e" cm="1">
        <f t="array" ref="E5728">- IBUPROFEN</f>
        <v>#NAME?</v>
      </c>
      <c r="F5728" t="s">
        <v>26560</v>
      </c>
      <c r="G5728" t="s">
        <v>26561</v>
      </c>
      <c r="H5728" t="s">
        <v>26562</v>
      </c>
      <c r="I5728" t="s">
        <v>26563</v>
      </c>
      <c r="J5728" t="s">
        <v>26564</v>
      </c>
      <c r="K5728" t="s">
        <v>26565</v>
      </c>
      <c r="L5728" t="s">
        <v>26566</v>
      </c>
      <c r="M5728" t="s">
        <v>340</v>
      </c>
      <c r="N5728" t="s">
        <v>383</v>
      </c>
      <c r="O5728" t="s">
        <v>26567</v>
      </c>
      <c r="P5728" t="s">
        <v>26568</v>
      </c>
      <c r="Q5728" t="s">
        <v>26569</v>
      </c>
      <c r="R5728">
        <v>16</v>
      </c>
      <c r="S5728">
        <v>32</v>
      </c>
    </row>
    <row r="5729" spans="1:19" x14ac:dyDescent="0.35">
      <c r="A5729">
        <v>3094</v>
      </c>
      <c r="B5729" t="s">
        <v>26570</v>
      </c>
      <c r="C5729" t="s">
        <v>42</v>
      </c>
      <c r="D5729" t="s">
        <v>26571</v>
      </c>
      <c r="E5729" t="e" cm="1">
        <f t="array" ref="E5729">- ALUMINIUM HYDROXIDE</f>
        <v>#NAME?</v>
      </c>
      <c r="F5729" t="s">
        <v>26572</v>
      </c>
      <c r="G5729" t="s">
        <v>26573</v>
      </c>
      <c r="H5729" t="s">
        <v>26574</v>
      </c>
      <c r="I5729" t="s">
        <v>26575</v>
      </c>
      <c r="J5729" t="s">
        <v>26576</v>
      </c>
      <c r="K5729" t="s">
        <v>26577</v>
      </c>
      <c r="L5729" t="s">
        <v>26578</v>
      </c>
      <c r="M5729" t="s">
        <v>46</v>
      </c>
      <c r="N5729" t="s">
        <v>1771</v>
      </c>
      <c r="O5729" t="s">
        <v>26579</v>
      </c>
      <c r="P5729" t="s">
        <v>26580</v>
      </c>
      <c r="Q5729" t="s">
        <v>26581</v>
      </c>
      <c r="R5729">
        <v>16</v>
      </c>
      <c r="S5729">
        <v>32</v>
      </c>
    </row>
    <row r="5730" spans="1:19" x14ac:dyDescent="0.35">
      <c r="A5730">
        <v>7349</v>
      </c>
      <c r="B5730" t="s">
        <v>26582</v>
      </c>
      <c r="C5730" t="s">
        <v>850</v>
      </c>
      <c r="D5730" t="s">
        <v>26583</v>
      </c>
      <c r="E5730" t="s">
        <v>26584</v>
      </c>
      <c r="F5730" t="s">
        <v>26585</v>
      </c>
      <c r="G5730" t="s">
        <v>26586</v>
      </c>
      <c r="H5730" t="s">
        <v>26587</v>
      </c>
      <c r="I5730" t="s">
        <v>26588</v>
      </c>
      <c r="J5730" t="s">
        <v>26589</v>
      </c>
      <c r="K5730" t="s">
        <v>10822</v>
      </c>
      <c r="L5730" t="s">
        <v>26590</v>
      </c>
      <c r="M5730" t="s">
        <v>554</v>
      </c>
      <c r="N5730" t="s">
        <v>26591</v>
      </c>
      <c r="O5730" t="s">
        <v>26592</v>
      </c>
      <c r="P5730" t="s">
        <v>26593</v>
      </c>
      <c r="Q5730" t="s">
        <v>26594</v>
      </c>
      <c r="R5730">
        <v>16</v>
      </c>
      <c r="S5730">
        <v>32</v>
      </c>
    </row>
    <row r="5731" spans="1:19" x14ac:dyDescent="0.35">
      <c r="A5731">
        <v>5382</v>
      </c>
      <c r="B5731" t="s">
        <v>26595</v>
      </c>
      <c r="C5731" t="s">
        <v>42</v>
      </c>
      <c r="D5731" t="s">
        <v>26596</v>
      </c>
      <c r="E5731" t="e" cm="1">
        <f t="array" ref="E5731">- KETOCONAZOLE</f>
        <v>#NAME?</v>
      </c>
      <c r="F5731" t="s">
        <v>26597</v>
      </c>
      <c r="H5731" t="s">
        <v>26598</v>
      </c>
      <c r="I5731" t="s">
        <v>26599</v>
      </c>
      <c r="J5731" t="s">
        <v>26600</v>
      </c>
      <c r="K5731" t="s">
        <v>26601</v>
      </c>
      <c r="L5731" t="s">
        <v>11858</v>
      </c>
      <c r="M5731" t="s">
        <v>1289</v>
      </c>
      <c r="N5731" t="s">
        <v>533</v>
      </c>
      <c r="O5731" t="s">
        <v>26602</v>
      </c>
      <c r="P5731" t="s">
        <v>26603</v>
      </c>
      <c r="Q5731" t="s">
        <v>26604</v>
      </c>
      <c r="R5731">
        <v>16</v>
      </c>
      <c r="S5731">
        <v>32</v>
      </c>
    </row>
    <row r="5732" spans="1:19" x14ac:dyDescent="0.35">
      <c r="A5732">
        <v>1534</v>
      </c>
      <c r="B5732" t="s">
        <v>26605</v>
      </c>
      <c r="C5732" t="s">
        <v>42</v>
      </c>
      <c r="D5732" t="s">
        <v>26606</v>
      </c>
      <c r="E5732" t="e" cm="1">
        <f t="array" ref="E5732">- AMMONIUM CHLORIDE</f>
        <v>#NAME?</v>
      </c>
      <c r="F5732" t="s">
        <v>26607</v>
      </c>
      <c r="G5732" t="s">
        <v>5033</v>
      </c>
      <c r="H5732" t="s">
        <v>26608</v>
      </c>
      <c r="I5732" t="s">
        <v>26609</v>
      </c>
      <c r="J5732" t="s">
        <v>26610</v>
      </c>
      <c r="L5732" t="s">
        <v>26611</v>
      </c>
      <c r="M5732" t="s">
        <v>271</v>
      </c>
      <c r="N5732" t="s">
        <v>1672</v>
      </c>
      <c r="O5732" t="s">
        <v>26612</v>
      </c>
      <c r="P5732" t="s">
        <v>26613</v>
      </c>
      <c r="Q5732" t="s">
        <v>26614</v>
      </c>
      <c r="R5732">
        <v>16</v>
      </c>
      <c r="S5732">
        <v>32</v>
      </c>
    </row>
    <row r="5733" spans="1:19" x14ac:dyDescent="0.35">
      <c r="A5733">
        <v>662</v>
      </c>
      <c r="B5733" t="s">
        <v>26615</v>
      </c>
      <c r="C5733" t="s">
        <v>20</v>
      </c>
      <c r="D5733" t="s">
        <v>26616</v>
      </c>
      <c r="E5733" t="s">
        <v>26617</v>
      </c>
      <c r="F5733" t="s">
        <v>26618</v>
      </c>
      <c r="G5733" t="s">
        <v>25779</v>
      </c>
      <c r="H5733" t="s">
        <v>16968</v>
      </c>
      <c r="I5733" t="s">
        <v>26619</v>
      </c>
      <c r="J5733" t="s">
        <v>3275</v>
      </c>
      <c r="L5733" t="s">
        <v>26620</v>
      </c>
      <c r="M5733" t="s">
        <v>2115</v>
      </c>
      <c r="N5733" t="s">
        <v>26621</v>
      </c>
      <c r="O5733" t="s">
        <v>26622</v>
      </c>
      <c r="P5733" t="s">
        <v>26623</v>
      </c>
      <c r="Q5733" t="s">
        <v>26624</v>
      </c>
      <c r="R5733">
        <v>16</v>
      </c>
      <c r="S5733">
        <v>32</v>
      </c>
    </row>
    <row r="5734" spans="1:19" x14ac:dyDescent="0.35">
      <c r="A5734">
        <v>2838</v>
      </c>
      <c r="B5734" t="s">
        <v>26625</v>
      </c>
      <c r="C5734" t="s">
        <v>42</v>
      </c>
      <c r="D5734" t="s">
        <v>26626</v>
      </c>
      <c r="E5734" t="e" cm="1">
        <f t="array" ref="E5734">- PARACETAMOL</f>
        <v>#NAME?</v>
      </c>
      <c r="F5734" t="s">
        <v>26627</v>
      </c>
      <c r="G5734" t="s">
        <v>6869</v>
      </c>
      <c r="H5734" t="s">
        <v>26628</v>
      </c>
      <c r="I5734" t="s">
        <v>26629</v>
      </c>
      <c r="J5734" t="s">
        <v>743</v>
      </c>
      <c r="L5734" t="s">
        <v>26630</v>
      </c>
      <c r="M5734" t="s">
        <v>824</v>
      </c>
      <c r="N5734" t="s">
        <v>584</v>
      </c>
      <c r="O5734" t="s">
        <v>26631</v>
      </c>
      <c r="P5734" t="s">
        <v>26632</v>
      </c>
      <c r="Q5734" t="s">
        <v>26633</v>
      </c>
      <c r="R5734">
        <v>16</v>
      </c>
      <c r="S5734">
        <v>32</v>
      </c>
    </row>
    <row r="5735" spans="1:19" x14ac:dyDescent="0.35">
      <c r="A5735">
        <v>4985</v>
      </c>
      <c r="B5735" t="s">
        <v>24846</v>
      </c>
      <c r="C5735" t="s">
        <v>42</v>
      </c>
      <c r="D5735" t="s">
        <v>26634</v>
      </c>
      <c r="E5735" t="e" cm="1">
        <f t="array" ref="E5735">- DESONIDE</f>
        <v>#NAME?</v>
      </c>
      <c r="F5735" t="s">
        <v>26635</v>
      </c>
      <c r="G5735" t="s">
        <v>21603</v>
      </c>
      <c r="H5735" t="s">
        <v>11084</v>
      </c>
      <c r="I5735" t="s">
        <v>26636</v>
      </c>
      <c r="J5735" t="s">
        <v>852</v>
      </c>
      <c r="K5735" t="s">
        <v>21605</v>
      </c>
      <c r="L5735" t="s">
        <v>26637</v>
      </c>
      <c r="M5735" t="s">
        <v>554</v>
      </c>
      <c r="N5735" t="s">
        <v>1297</v>
      </c>
      <c r="O5735" t="s">
        <v>26638</v>
      </c>
      <c r="P5735" t="s">
        <v>24850</v>
      </c>
      <c r="Q5735" t="s">
        <v>26639</v>
      </c>
      <c r="R5735">
        <v>16</v>
      </c>
      <c r="S5735">
        <v>32</v>
      </c>
    </row>
    <row r="5736" spans="1:19" x14ac:dyDescent="0.35">
      <c r="A5736">
        <v>4986</v>
      </c>
      <c r="B5736" t="s">
        <v>24846</v>
      </c>
      <c r="C5736" t="s">
        <v>42</v>
      </c>
      <c r="D5736" t="s">
        <v>26634</v>
      </c>
      <c r="E5736" t="e" cm="1">
        <f t="array" ref="E5736">- DESONIDE</f>
        <v>#NAME?</v>
      </c>
      <c r="F5736" t="s">
        <v>26635</v>
      </c>
      <c r="G5736" t="s">
        <v>21603</v>
      </c>
      <c r="H5736" t="s">
        <v>11084</v>
      </c>
      <c r="I5736" t="s">
        <v>26636</v>
      </c>
      <c r="J5736" t="s">
        <v>852</v>
      </c>
      <c r="K5736" t="s">
        <v>21605</v>
      </c>
      <c r="L5736" t="s">
        <v>26637</v>
      </c>
      <c r="M5736" t="s">
        <v>554</v>
      </c>
      <c r="N5736" t="s">
        <v>1297</v>
      </c>
      <c r="O5736" t="s">
        <v>26638</v>
      </c>
      <c r="P5736" t="s">
        <v>24850</v>
      </c>
      <c r="Q5736" t="s">
        <v>26639</v>
      </c>
      <c r="R5736">
        <v>16</v>
      </c>
      <c r="S5736">
        <v>32</v>
      </c>
    </row>
    <row r="5737" spans="1:19" x14ac:dyDescent="0.35">
      <c r="A5737">
        <v>4987</v>
      </c>
      <c r="B5737" t="s">
        <v>24846</v>
      </c>
      <c r="C5737" t="s">
        <v>42</v>
      </c>
      <c r="D5737" t="s">
        <v>26634</v>
      </c>
      <c r="E5737" t="e" cm="1">
        <f t="array" ref="E5737">- DESONIDE</f>
        <v>#NAME?</v>
      </c>
      <c r="F5737" t="s">
        <v>26635</v>
      </c>
      <c r="G5737" t="s">
        <v>21603</v>
      </c>
      <c r="H5737" t="s">
        <v>11084</v>
      </c>
      <c r="I5737" t="s">
        <v>26636</v>
      </c>
      <c r="J5737" t="s">
        <v>852</v>
      </c>
      <c r="K5737" t="s">
        <v>21605</v>
      </c>
      <c r="L5737" t="s">
        <v>26637</v>
      </c>
      <c r="M5737" t="s">
        <v>554</v>
      </c>
      <c r="N5737" t="s">
        <v>1297</v>
      </c>
      <c r="O5737" t="s">
        <v>26638</v>
      </c>
      <c r="P5737" t="s">
        <v>24850</v>
      </c>
      <c r="Q5737" t="s">
        <v>26639</v>
      </c>
      <c r="R5737">
        <v>16</v>
      </c>
      <c r="S5737">
        <v>32</v>
      </c>
    </row>
    <row r="5738" spans="1:19" x14ac:dyDescent="0.35">
      <c r="A5738">
        <v>4988</v>
      </c>
      <c r="B5738" t="s">
        <v>24846</v>
      </c>
      <c r="C5738" t="s">
        <v>42</v>
      </c>
      <c r="D5738" t="s">
        <v>26634</v>
      </c>
      <c r="E5738" t="e" cm="1">
        <f t="array" ref="E5738">- DESONIDE</f>
        <v>#NAME?</v>
      </c>
      <c r="F5738" t="s">
        <v>26635</v>
      </c>
      <c r="G5738" t="s">
        <v>21603</v>
      </c>
      <c r="H5738" t="s">
        <v>11084</v>
      </c>
      <c r="I5738" t="s">
        <v>26636</v>
      </c>
      <c r="J5738" t="s">
        <v>852</v>
      </c>
      <c r="K5738" t="s">
        <v>21605</v>
      </c>
      <c r="L5738" t="s">
        <v>26637</v>
      </c>
      <c r="M5738" t="s">
        <v>554</v>
      </c>
      <c r="N5738" t="s">
        <v>1297</v>
      </c>
      <c r="O5738" t="s">
        <v>26638</v>
      </c>
      <c r="P5738" t="s">
        <v>24850</v>
      </c>
      <c r="Q5738" t="s">
        <v>26639</v>
      </c>
      <c r="R5738">
        <v>16</v>
      </c>
      <c r="S5738">
        <v>32</v>
      </c>
    </row>
    <row r="5739" spans="1:19" x14ac:dyDescent="0.35">
      <c r="A5739">
        <v>5391</v>
      </c>
      <c r="B5739" t="s">
        <v>26640</v>
      </c>
      <c r="C5739" t="s">
        <v>42</v>
      </c>
      <c r="D5739" t="s">
        <v>26641</v>
      </c>
      <c r="E5739" t="e" cm="1">
        <f t="array" ref="E5739">- NEOMYCIN SULFATE. POLYMYXIN B SULFATE. BACITRACIN ZINC</f>
        <v>#NAME?</v>
      </c>
      <c r="F5739" t="s">
        <v>26642</v>
      </c>
      <c r="H5739" t="s">
        <v>24091</v>
      </c>
      <c r="I5739" t="s">
        <v>17385</v>
      </c>
      <c r="J5739" t="s">
        <v>1367</v>
      </c>
      <c r="M5739" t="s">
        <v>1029</v>
      </c>
      <c r="N5739" t="s">
        <v>26643</v>
      </c>
      <c r="O5739" t="s">
        <v>17389</v>
      </c>
      <c r="P5739" t="s">
        <v>26644</v>
      </c>
      <c r="Q5739" t="s">
        <v>26645</v>
      </c>
      <c r="R5739">
        <v>16</v>
      </c>
      <c r="S5739">
        <v>32</v>
      </c>
    </row>
    <row r="5740" spans="1:19" x14ac:dyDescent="0.35">
      <c r="A5740">
        <v>661</v>
      </c>
      <c r="B5740" t="s">
        <v>26615</v>
      </c>
      <c r="C5740" t="s">
        <v>20</v>
      </c>
      <c r="D5740" t="s">
        <v>26646</v>
      </c>
      <c r="E5740" t="s">
        <v>26617</v>
      </c>
      <c r="F5740" t="s">
        <v>26647</v>
      </c>
      <c r="G5740" t="s">
        <v>25779</v>
      </c>
      <c r="H5740" t="s">
        <v>16968</v>
      </c>
      <c r="I5740" t="s">
        <v>26619</v>
      </c>
      <c r="J5740" t="s">
        <v>21644</v>
      </c>
      <c r="L5740" t="s">
        <v>26620</v>
      </c>
      <c r="M5740" t="s">
        <v>2115</v>
      </c>
      <c r="N5740" t="s">
        <v>26621</v>
      </c>
      <c r="O5740" t="s">
        <v>26622</v>
      </c>
      <c r="P5740" t="s">
        <v>26623</v>
      </c>
      <c r="Q5740" t="s">
        <v>26624</v>
      </c>
      <c r="R5740">
        <v>16</v>
      </c>
      <c r="S5740">
        <v>32</v>
      </c>
    </row>
    <row r="5741" spans="1:19" x14ac:dyDescent="0.35">
      <c r="A5741">
        <v>985</v>
      </c>
      <c r="B5741" t="s">
        <v>21971</v>
      </c>
      <c r="C5741" t="s">
        <v>42</v>
      </c>
      <c r="D5741" t="s">
        <v>21972</v>
      </c>
      <c r="E5741" t="e" cm="1">
        <f t="array" ref="E5741">- DEXTROMETHORPHAN HYDROBROMIDE. DIPHENHYDRAMINE HYDROCHLORIDE</f>
        <v>#NAME?</v>
      </c>
      <c r="F5741" t="s">
        <v>21973</v>
      </c>
      <c r="G5741" t="s">
        <v>2241</v>
      </c>
      <c r="H5741" t="s">
        <v>21974</v>
      </c>
      <c r="I5741" t="s">
        <v>21975</v>
      </c>
      <c r="J5741" t="s">
        <v>334</v>
      </c>
      <c r="K5741" t="s">
        <v>21976</v>
      </c>
      <c r="L5741" t="s">
        <v>21977</v>
      </c>
      <c r="M5741" t="s">
        <v>271</v>
      </c>
      <c r="N5741" t="s">
        <v>5000</v>
      </c>
      <c r="O5741" t="s">
        <v>21978</v>
      </c>
      <c r="P5741" t="s">
        <v>21979</v>
      </c>
      <c r="Q5741" t="s">
        <v>26199</v>
      </c>
      <c r="R5741">
        <v>16</v>
      </c>
      <c r="S5741">
        <v>32</v>
      </c>
    </row>
    <row r="5742" spans="1:19" x14ac:dyDescent="0.35">
      <c r="A5742">
        <v>660</v>
      </c>
      <c r="B5742" t="s">
        <v>26615</v>
      </c>
      <c r="C5742" t="s">
        <v>20</v>
      </c>
      <c r="D5742" t="s">
        <v>26648</v>
      </c>
      <c r="E5742" t="s">
        <v>26617</v>
      </c>
      <c r="F5742" t="s">
        <v>26649</v>
      </c>
      <c r="G5742" t="s">
        <v>25779</v>
      </c>
      <c r="H5742" t="s">
        <v>16968</v>
      </c>
      <c r="I5742" t="s">
        <v>26619</v>
      </c>
      <c r="J5742" t="s">
        <v>846</v>
      </c>
      <c r="L5742" t="s">
        <v>26620</v>
      </c>
      <c r="M5742" t="s">
        <v>2115</v>
      </c>
      <c r="N5742" t="s">
        <v>26621</v>
      </c>
      <c r="O5742" t="s">
        <v>26622</v>
      </c>
      <c r="P5742" t="s">
        <v>26623</v>
      </c>
      <c r="Q5742" t="s">
        <v>26624</v>
      </c>
      <c r="R5742">
        <v>16</v>
      </c>
      <c r="S5742">
        <v>32</v>
      </c>
    </row>
    <row r="5743" spans="1:19" x14ac:dyDescent="0.35">
      <c r="A5743">
        <v>8458</v>
      </c>
      <c r="B5743" t="s">
        <v>551</v>
      </c>
      <c r="C5743" t="s">
        <v>42</v>
      </c>
      <c r="D5743" t="s">
        <v>26650</v>
      </c>
      <c r="E5743" t="e" cm="1">
        <f t="array" ref="E5743">- POVIDONE-IODINE</f>
        <v>#NAME?</v>
      </c>
      <c r="F5743" s="1">
        <v>1892900</v>
      </c>
      <c r="I5743" t="s">
        <v>26651</v>
      </c>
      <c r="J5743" t="s">
        <v>4132</v>
      </c>
      <c r="M5743" t="s">
        <v>554</v>
      </c>
      <c r="N5743" t="s">
        <v>555</v>
      </c>
      <c r="O5743" t="s">
        <v>26652</v>
      </c>
      <c r="P5743" t="s">
        <v>26653</v>
      </c>
      <c r="Q5743" t="s">
        <v>26654</v>
      </c>
      <c r="R5743">
        <v>16</v>
      </c>
      <c r="S5743">
        <v>32</v>
      </c>
    </row>
    <row r="5744" spans="1:19" x14ac:dyDescent="0.35">
      <c r="A5744">
        <v>5398</v>
      </c>
      <c r="B5744" t="s">
        <v>26655</v>
      </c>
      <c r="C5744" t="s">
        <v>42</v>
      </c>
      <c r="D5744" t="s">
        <v>26656</v>
      </c>
      <c r="E5744" t="e" cm="1">
        <f t="array" ref="E5744">- KETOCONAZOLE</f>
        <v>#NAME?</v>
      </c>
      <c r="F5744" s="1">
        <v>77500</v>
      </c>
      <c r="G5744" t="s">
        <v>26657</v>
      </c>
      <c r="H5744" t="s">
        <v>26658</v>
      </c>
      <c r="I5744" t="s">
        <v>26659</v>
      </c>
      <c r="J5744" t="s">
        <v>829</v>
      </c>
      <c r="K5744" t="s">
        <v>2726</v>
      </c>
      <c r="L5744" t="s">
        <v>26660</v>
      </c>
      <c r="M5744" t="s">
        <v>554</v>
      </c>
      <c r="N5744" t="s">
        <v>533</v>
      </c>
      <c r="O5744" t="s">
        <v>26661</v>
      </c>
      <c r="P5744" t="s">
        <v>26662</v>
      </c>
      <c r="Q5744" t="s">
        <v>26663</v>
      </c>
      <c r="R5744">
        <v>16</v>
      </c>
      <c r="S5744">
        <v>32</v>
      </c>
    </row>
    <row r="5745" spans="1:19" x14ac:dyDescent="0.35">
      <c r="A5745">
        <v>8459</v>
      </c>
      <c r="B5745" t="s">
        <v>551</v>
      </c>
      <c r="C5745" t="s">
        <v>42</v>
      </c>
      <c r="D5745" t="s">
        <v>26650</v>
      </c>
      <c r="E5745" t="e" cm="1">
        <f t="array" ref="E5745">- POVIDONE-IODINE</f>
        <v>#NAME?</v>
      </c>
      <c r="F5745" s="1">
        <v>1892900</v>
      </c>
      <c r="I5745" t="s">
        <v>26651</v>
      </c>
      <c r="J5745" t="s">
        <v>4132</v>
      </c>
      <c r="M5745" t="s">
        <v>554</v>
      </c>
      <c r="N5745" t="s">
        <v>555</v>
      </c>
      <c r="O5745" t="s">
        <v>26652</v>
      </c>
      <c r="P5745" t="s">
        <v>26653</v>
      </c>
      <c r="Q5745" t="s">
        <v>26654</v>
      </c>
      <c r="R5745">
        <v>16</v>
      </c>
      <c r="S5745">
        <v>32</v>
      </c>
    </row>
    <row r="5746" spans="1:19" x14ac:dyDescent="0.35">
      <c r="A5746">
        <v>1397</v>
      </c>
      <c r="B5746" t="s">
        <v>26664</v>
      </c>
      <c r="C5746" t="s">
        <v>42</v>
      </c>
      <c r="D5746" t="s">
        <v>26665</v>
      </c>
      <c r="E5746" t="e" cm="1">
        <f t="array" ref="E5746">- PSEUDOEPHEDRINE HYDROCHLORIDE. DEXTROMETHORPHAN HYDROBROMIDE. CHLORPHENAMINE MALEATE</f>
        <v>#NAME?</v>
      </c>
      <c r="F5746" t="s">
        <v>26666</v>
      </c>
      <c r="G5746" t="s">
        <v>2241</v>
      </c>
      <c r="H5746" t="s">
        <v>26667</v>
      </c>
      <c r="I5746" t="s">
        <v>26668</v>
      </c>
      <c r="J5746" t="s">
        <v>334</v>
      </c>
      <c r="M5746" t="s">
        <v>271</v>
      </c>
      <c r="N5746" t="s">
        <v>26669</v>
      </c>
      <c r="O5746" t="s">
        <v>17004</v>
      </c>
      <c r="P5746" t="s">
        <v>26670</v>
      </c>
      <c r="Q5746" t="s">
        <v>26671</v>
      </c>
      <c r="R5746">
        <v>16</v>
      </c>
      <c r="S5746">
        <v>32</v>
      </c>
    </row>
    <row r="5747" spans="1:19" x14ac:dyDescent="0.35">
      <c r="A5747">
        <v>7328</v>
      </c>
      <c r="B5747" t="s">
        <v>26672</v>
      </c>
      <c r="C5747" t="s">
        <v>42</v>
      </c>
      <c r="D5747" t="s">
        <v>26673</v>
      </c>
      <c r="E5747" t="e" cm="1">
        <f t="array" ref="E5747">- DROSPIRENONE</f>
        <v>#NAME?</v>
      </c>
      <c r="F5747" t="s">
        <v>26674</v>
      </c>
      <c r="G5747" t="s">
        <v>1691</v>
      </c>
      <c r="H5747" t="s">
        <v>26675</v>
      </c>
      <c r="I5747" t="s">
        <v>26676</v>
      </c>
      <c r="J5747" t="s">
        <v>26677</v>
      </c>
      <c r="K5747" t="s">
        <v>26678</v>
      </c>
    </row>
    <row r="5748" spans="1:19" x14ac:dyDescent="0.35">
      <c r="A5748">
        <v>5404</v>
      </c>
      <c r="B5748" t="s">
        <v>26679</v>
      </c>
      <c r="C5748" t="s">
        <v>42</v>
      </c>
      <c r="D5748" t="s">
        <v>26680</v>
      </c>
      <c r="E5748" t="e" cm="1">
        <f t="array" ref="E5748">- ERYTHROMYCIN</f>
        <v>#NAME?</v>
      </c>
      <c r="F5748" t="s">
        <v>26681</v>
      </c>
      <c r="G5748" t="s">
        <v>23256</v>
      </c>
      <c r="H5748" t="s">
        <v>15218</v>
      </c>
      <c r="I5748" t="s">
        <v>26682</v>
      </c>
      <c r="J5748" t="s">
        <v>829</v>
      </c>
      <c r="K5748" t="s">
        <v>3952</v>
      </c>
      <c r="L5748" t="s">
        <v>26683</v>
      </c>
      <c r="M5748" t="s">
        <v>554</v>
      </c>
      <c r="N5748" t="s">
        <v>15222</v>
      </c>
      <c r="O5748" t="s">
        <v>23261</v>
      </c>
      <c r="P5748" t="s">
        <v>26684</v>
      </c>
      <c r="Q5748" t="s">
        <v>26685</v>
      </c>
      <c r="R5748">
        <v>16</v>
      </c>
      <c r="S5748">
        <v>32</v>
      </c>
    </row>
    <row r="5749" spans="1:19" x14ac:dyDescent="0.35">
      <c r="A5749">
        <v>5405</v>
      </c>
      <c r="B5749" t="s">
        <v>26679</v>
      </c>
      <c r="C5749" t="s">
        <v>42</v>
      </c>
      <c r="D5749" t="s">
        <v>26680</v>
      </c>
      <c r="E5749" t="e" cm="1">
        <f t="array" ref="E5749">- ERYTHROMYCIN</f>
        <v>#NAME?</v>
      </c>
      <c r="F5749" t="s">
        <v>26681</v>
      </c>
      <c r="G5749" t="s">
        <v>23256</v>
      </c>
      <c r="H5749" t="s">
        <v>15218</v>
      </c>
      <c r="I5749" t="s">
        <v>26682</v>
      </c>
      <c r="J5749" t="s">
        <v>829</v>
      </c>
      <c r="K5749" t="s">
        <v>3952</v>
      </c>
      <c r="L5749" t="s">
        <v>26683</v>
      </c>
      <c r="M5749" t="s">
        <v>554</v>
      </c>
      <c r="N5749" t="s">
        <v>15222</v>
      </c>
      <c r="O5749" t="s">
        <v>23261</v>
      </c>
      <c r="P5749" t="s">
        <v>26684</v>
      </c>
      <c r="Q5749" t="s">
        <v>26685</v>
      </c>
      <c r="R5749">
        <v>16</v>
      </c>
      <c r="S5749">
        <v>32</v>
      </c>
    </row>
    <row r="5750" spans="1:19" x14ac:dyDescent="0.35">
      <c r="A5750">
        <v>5008</v>
      </c>
      <c r="B5750" t="s">
        <v>26686</v>
      </c>
      <c r="C5750" t="s">
        <v>42</v>
      </c>
      <c r="D5750" t="s">
        <v>26687</v>
      </c>
      <c r="E5750" t="e" cm="1">
        <f t="array" ref="E5750">- HYDROCORTISONE BUTYRATE</f>
        <v>#NAME?</v>
      </c>
      <c r="F5750" t="s">
        <v>26688</v>
      </c>
      <c r="G5750" t="s">
        <v>11887</v>
      </c>
      <c r="H5750" t="s">
        <v>26689</v>
      </c>
      <c r="I5750" t="s">
        <v>26690</v>
      </c>
      <c r="J5750" t="s">
        <v>1367</v>
      </c>
      <c r="L5750" t="s">
        <v>1403</v>
      </c>
      <c r="M5750" t="s">
        <v>1289</v>
      </c>
      <c r="N5750" t="s">
        <v>26691</v>
      </c>
      <c r="O5750" t="s">
        <v>26692</v>
      </c>
      <c r="P5750" t="s">
        <v>26693</v>
      </c>
      <c r="Q5750" t="s">
        <v>26694</v>
      </c>
      <c r="R5750">
        <v>16</v>
      </c>
      <c r="S5750">
        <v>32</v>
      </c>
    </row>
    <row r="5751" spans="1:19" x14ac:dyDescent="0.35">
      <c r="A5751">
        <v>2594</v>
      </c>
      <c r="B5751" t="s">
        <v>13695</v>
      </c>
      <c r="C5751" t="s">
        <v>42</v>
      </c>
      <c r="D5751" t="s">
        <v>13696</v>
      </c>
      <c r="E5751" t="e" cm="1">
        <f t="array" ref="E5751">- CYANOCOBALAMIN. METAMIZOLE SODIUM. PYRIDOXINE HYDROCHLORIDE. THIAMINE HYDROCHLORIDE</f>
        <v>#NAME?</v>
      </c>
      <c r="F5751" t="s">
        <v>13697</v>
      </c>
      <c r="G5751" t="s">
        <v>2241</v>
      </c>
      <c r="H5751" t="s">
        <v>13698</v>
      </c>
      <c r="I5751" t="s">
        <v>13699</v>
      </c>
      <c r="J5751" t="s">
        <v>727</v>
      </c>
      <c r="K5751" t="s">
        <v>12992</v>
      </c>
      <c r="L5751" t="s">
        <v>12993</v>
      </c>
      <c r="M5751" t="s">
        <v>291</v>
      </c>
      <c r="N5751" t="s">
        <v>26695</v>
      </c>
      <c r="O5751" t="s">
        <v>13700</v>
      </c>
      <c r="P5751" t="s">
        <v>13701</v>
      </c>
      <c r="Q5751" t="s">
        <v>26696</v>
      </c>
      <c r="R5751">
        <v>16</v>
      </c>
      <c r="S5751">
        <v>32</v>
      </c>
    </row>
    <row r="5752" spans="1:19" x14ac:dyDescent="0.35">
      <c r="A5752">
        <v>5009</v>
      </c>
      <c r="B5752" t="s">
        <v>26686</v>
      </c>
      <c r="C5752" t="s">
        <v>42</v>
      </c>
      <c r="D5752" t="s">
        <v>26687</v>
      </c>
      <c r="E5752" t="e" cm="1">
        <f t="array" ref="E5752">- HYDROCORTISONE BUTYRATE</f>
        <v>#NAME?</v>
      </c>
      <c r="F5752" t="s">
        <v>26688</v>
      </c>
      <c r="G5752" t="s">
        <v>11887</v>
      </c>
      <c r="H5752" t="s">
        <v>26689</v>
      </c>
      <c r="I5752" t="s">
        <v>26690</v>
      </c>
      <c r="J5752" t="s">
        <v>1367</v>
      </c>
      <c r="L5752" t="s">
        <v>1403</v>
      </c>
      <c r="M5752" t="s">
        <v>1289</v>
      </c>
      <c r="N5752" t="s">
        <v>26691</v>
      </c>
      <c r="O5752" t="s">
        <v>26692</v>
      </c>
      <c r="P5752" t="s">
        <v>26693</v>
      </c>
      <c r="Q5752" t="s">
        <v>26694</v>
      </c>
      <c r="R5752">
        <v>16</v>
      </c>
      <c r="S5752">
        <v>32</v>
      </c>
    </row>
    <row r="5753" spans="1:19" x14ac:dyDescent="0.35">
      <c r="A5753">
        <v>2860</v>
      </c>
      <c r="B5753" t="s">
        <v>26558</v>
      </c>
      <c r="C5753" t="s">
        <v>42</v>
      </c>
      <c r="D5753" t="s">
        <v>26559</v>
      </c>
      <c r="E5753" t="e" cm="1">
        <f t="array" ref="E5753">- IBUPROFEN</f>
        <v>#NAME?</v>
      </c>
      <c r="F5753" t="s">
        <v>26560</v>
      </c>
      <c r="G5753" t="s">
        <v>26561</v>
      </c>
      <c r="H5753" t="s">
        <v>26562</v>
      </c>
      <c r="I5753" t="s">
        <v>26563</v>
      </c>
      <c r="J5753" t="s">
        <v>26564</v>
      </c>
      <c r="K5753" t="s">
        <v>26565</v>
      </c>
      <c r="L5753" t="s">
        <v>26566</v>
      </c>
      <c r="M5753" t="s">
        <v>340</v>
      </c>
      <c r="N5753" t="s">
        <v>383</v>
      </c>
      <c r="O5753" t="s">
        <v>26567</v>
      </c>
      <c r="P5753" t="s">
        <v>26568</v>
      </c>
      <c r="Q5753" t="s">
        <v>26569</v>
      </c>
      <c r="R5753">
        <v>16</v>
      </c>
      <c r="S5753">
        <v>32</v>
      </c>
    </row>
    <row r="5754" spans="1:19" x14ac:dyDescent="0.35">
      <c r="A5754">
        <v>4969</v>
      </c>
      <c r="B5754" t="s">
        <v>26553</v>
      </c>
      <c r="C5754" t="s">
        <v>42</v>
      </c>
      <c r="D5754" t="s">
        <v>26554</v>
      </c>
      <c r="E5754" t="e" cm="1">
        <f t="array" ref="E5754">- DESOXIMETASONE</f>
        <v>#NAME?</v>
      </c>
      <c r="F5754" t="s">
        <v>26555</v>
      </c>
      <c r="G5754" t="s">
        <v>21823</v>
      </c>
      <c r="H5754" t="s">
        <v>21824</v>
      </c>
      <c r="I5754" t="s">
        <v>21825</v>
      </c>
      <c r="J5754" t="s">
        <v>13944</v>
      </c>
      <c r="K5754" t="s">
        <v>21826</v>
      </c>
      <c r="L5754" t="s">
        <v>21827</v>
      </c>
      <c r="M5754" t="s">
        <v>1289</v>
      </c>
      <c r="N5754" t="s">
        <v>8965</v>
      </c>
      <c r="O5754" t="s">
        <v>21828</v>
      </c>
      <c r="P5754" t="s">
        <v>26556</v>
      </c>
      <c r="Q5754" t="s">
        <v>26557</v>
      </c>
      <c r="R5754">
        <v>16</v>
      </c>
      <c r="S5754">
        <v>32</v>
      </c>
    </row>
    <row r="5755" spans="1:19" x14ac:dyDescent="0.35">
      <c r="A5755">
        <v>7130</v>
      </c>
      <c r="B5755" t="s">
        <v>26697</v>
      </c>
      <c r="C5755" t="s">
        <v>850</v>
      </c>
      <c r="D5755" t="s">
        <v>26698</v>
      </c>
      <c r="E5755" t="e" cm="1">
        <f t="array" ref="E5755">- Eugenolum</f>
        <v>#NAME?</v>
      </c>
      <c r="F5755" t="s">
        <v>26699</v>
      </c>
      <c r="G5755" t="s">
        <v>26700</v>
      </c>
      <c r="H5755" t="s">
        <v>26701</v>
      </c>
      <c r="I5755" t="s">
        <v>26702</v>
      </c>
      <c r="J5755" t="s">
        <v>24155</v>
      </c>
      <c r="L5755" t="s">
        <v>26703</v>
      </c>
      <c r="M5755" t="s">
        <v>1289</v>
      </c>
      <c r="N5755" t="s">
        <v>26704</v>
      </c>
      <c r="O5755" t="s">
        <v>26705</v>
      </c>
      <c r="P5755" t="s">
        <v>26706</v>
      </c>
      <c r="Q5755" t="s">
        <v>26707</v>
      </c>
      <c r="R5755">
        <v>16</v>
      </c>
      <c r="S5755">
        <v>32</v>
      </c>
    </row>
    <row r="5756" spans="1:19" x14ac:dyDescent="0.35">
      <c r="A5756">
        <v>2546</v>
      </c>
      <c r="B5756" t="s">
        <v>26708</v>
      </c>
      <c r="C5756" t="s">
        <v>42</v>
      </c>
      <c r="D5756" t="s">
        <v>26709</v>
      </c>
      <c r="E5756" t="e" cm="1">
        <f t="array" ref="E5756">- MELOXICAM</f>
        <v>#NAME?</v>
      </c>
      <c r="F5756" t="s">
        <v>26710</v>
      </c>
      <c r="G5756" t="s">
        <v>60</v>
      </c>
      <c r="H5756" t="s">
        <v>2643</v>
      </c>
      <c r="I5756" t="s">
        <v>26711</v>
      </c>
      <c r="J5756" t="s">
        <v>17146</v>
      </c>
      <c r="K5756" t="s">
        <v>26712</v>
      </c>
      <c r="L5756" t="s">
        <v>26713</v>
      </c>
    </row>
    <row r="5757" spans="1:19" x14ac:dyDescent="0.35">
      <c r="A5757">
        <v>2896</v>
      </c>
      <c r="B5757" t="s">
        <v>26714</v>
      </c>
      <c r="C5757" t="s">
        <v>42</v>
      </c>
      <c r="D5757" t="s">
        <v>26715</v>
      </c>
      <c r="E5757" t="e" cm="1">
        <f t="array" ref="E5757">- PARACETAMOL</f>
        <v>#NAME?</v>
      </c>
      <c r="F5757" t="s">
        <v>26716</v>
      </c>
      <c r="G5757" t="s">
        <v>2241</v>
      </c>
      <c r="H5757" t="s">
        <v>17231</v>
      </c>
      <c r="I5757" t="s">
        <v>25631</v>
      </c>
      <c r="J5757" t="s">
        <v>4201</v>
      </c>
      <c r="K5757" t="s">
        <v>16924</v>
      </c>
      <c r="L5757" t="s">
        <v>16925</v>
      </c>
      <c r="M5757" t="s">
        <v>824</v>
      </c>
      <c r="N5757" t="s">
        <v>584</v>
      </c>
      <c r="O5757" t="s">
        <v>25515</v>
      </c>
      <c r="P5757" t="s">
        <v>25728</v>
      </c>
      <c r="Q5757" t="s">
        <v>26717</v>
      </c>
      <c r="R5757">
        <v>16</v>
      </c>
      <c r="S5757">
        <v>32</v>
      </c>
    </row>
    <row r="5758" spans="1:19" x14ac:dyDescent="0.35">
      <c r="A5758">
        <v>2547</v>
      </c>
      <c r="B5758" t="s">
        <v>26718</v>
      </c>
      <c r="C5758" t="s">
        <v>42</v>
      </c>
      <c r="D5758" t="s">
        <v>26719</v>
      </c>
      <c r="E5758" t="e" cm="1">
        <f t="array" ref="E5758">- PARACETAMOL</f>
        <v>#NAME?</v>
      </c>
      <c r="F5758" s="1">
        <v>7600</v>
      </c>
      <c r="G5758" t="s">
        <v>4362</v>
      </c>
      <c r="H5758" t="s">
        <v>9708</v>
      </c>
      <c r="I5758" t="s">
        <v>25514</v>
      </c>
      <c r="J5758" t="s">
        <v>26720</v>
      </c>
      <c r="K5758" t="s">
        <v>9711</v>
      </c>
      <c r="L5758" t="s">
        <v>9712</v>
      </c>
      <c r="M5758" t="s">
        <v>291</v>
      </c>
      <c r="N5758" t="s">
        <v>584</v>
      </c>
      <c r="O5758" t="s">
        <v>25515</v>
      </c>
      <c r="P5758" t="s">
        <v>26721</v>
      </c>
      <c r="Q5758" t="s">
        <v>26722</v>
      </c>
      <c r="R5758">
        <v>16</v>
      </c>
      <c r="S5758">
        <v>32</v>
      </c>
    </row>
    <row r="5759" spans="1:19" x14ac:dyDescent="0.35">
      <c r="A5759">
        <v>2555</v>
      </c>
      <c r="B5759" t="s">
        <v>26723</v>
      </c>
      <c r="C5759" t="s">
        <v>42</v>
      </c>
      <c r="D5759" t="s">
        <v>26724</v>
      </c>
      <c r="E5759" t="e" cm="1">
        <f t="array" ref="E5759">- MELOXICAM</f>
        <v>#NAME?</v>
      </c>
      <c r="F5759" t="s">
        <v>26725</v>
      </c>
      <c r="G5759" t="s">
        <v>11706</v>
      </c>
      <c r="H5759" t="s">
        <v>2643</v>
      </c>
      <c r="I5759" t="s">
        <v>26726</v>
      </c>
      <c r="J5759" t="s">
        <v>411</v>
      </c>
      <c r="K5759" t="s">
        <v>26727</v>
      </c>
    </row>
    <row r="5760" spans="1:19" x14ac:dyDescent="0.35">
      <c r="A5760">
        <v>1010</v>
      </c>
      <c r="B5760" t="s">
        <v>26728</v>
      </c>
      <c r="C5760" t="s">
        <v>42</v>
      </c>
      <c r="D5760" t="s">
        <v>26729</v>
      </c>
      <c r="E5760" t="e" cm="1">
        <f t="array" ref="E5760">- ISOTHIPENDYL HYDROCHLORIDE</f>
        <v>#NAME?</v>
      </c>
      <c r="F5760" t="s">
        <v>26730</v>
      </c>
      <c r="G5760" t="s">
        <v>60</v>
      </c>
      <c r="H5760" t="s">
        <v>26731</v>
      </c>
      <c r="I5760" t="s">
        <v>26732</v>
      </c>
      <c r="J5760" t="s">
        <v>743</v>
      </c>
      <c r="K5760" t="s">
        <v>26126</v>
      </c>
      <c r="L5760" t="s">
        <v>26733</v>
      </c>
      <c r="M5760" t="s">
        <v>824</v>
      </c>
      <c r="N5760" t="s">
        <v>26128</v>
      </c>
      <c r="O5760" t="s">
        <v>26129</v>
      </c>
      <c r="P5760" t="s">
        <v>26130</v>
      </c>
      <c r="Q5760" t="s">
        <v>26734</v>
      </c>
      <c r="R5760">
        <v>16</v>
      </c>
      <c r="S5760">
        <v>32</v>
      </c>
    </row>
    <row r="5761" spans="1:19" x14ac:dyDescent="0.35">
      <c r="A5761">
        <v>2882</v>
      </c>
      <c r="B5761" t="s">
        <v>26735</v>
      </c>
      <c r="C5761" t="s">
        <v>42</v>
      </c>
      <c r="D5761" t="s">
        <v>26736</v>
      </c>
      <c r="E5761" t="e" cm="1">
        <f t="array" ref="E5761">- PARACETAMOL</f>
        <v>#NAME?</v>
      </c>
      <c r="F5761" t="s">
        <v>26737</v>
      </c>
      <c r="G5761" t="s">
        <v>4545</v>
      </c>
      <c r="H5761" t="s">
        <v>26738</v>
      </c>
      <c r="I5761" t="s">
        <v>26739</v>
      </c>
      <c r="J5761" t="s">
        <v>334</v>
      </c>
      <c r="K5761" t="s">
        <v>9711</v>
      </c>
      <c r="L5761" t="s">
        <v>26740</v>
      </c>
      <c r="M5761" t="s">
        <v>340</v>
      </c>
      <c r="N5761" t="s">
        <v>584</v>
      </c>
      <c r="O5761" t="s">
        <v>26741</v>
      </c>
      <c r="P5761" t="s">
        <v>26742</v>
      </c>
      <c r="Q5761" t="s">
        <v>26743</v>
      </c>
      <c r="R5761">
        <v>16</v>
      </c>
      <c r="S5761">
        <v>32</v>
      </c>
    </row>
    <row r="5762" spans="1:19" x14ac:dyDescent="0.35">
      <c r="A5762">
        <v>3319</v>
      </c>
      <c r="B5762" t="s">
        <v>14204</v>
      </c>
      <c r="C5762" t="s">
        <v>42</v>
      </c>
      <c r="D5762" t="s">
        <v>14205</v>
      </c>
      <c r="E5762" t="s">
        <v>26744</v>
      </c>
      <c r="F5762" t="s">
        <v>14206</v>
      </c>
      <c r="G5762" t="s">
        <v>2241</v>
      </c>
      <c r="H5762" t="s">
        <v>14207</v>
      </c>
      <c r="I5762" t="s">
        <v>14208</v>
      </c>
      <c r="J5762" t="s">
        <v>3926</v>
      </c>
      <c r="K5762" t="s">
        <v>14209</v>
      </c>
      <c r="L5762" t="s">
        <v>14210</v>
      </c>
      <c r="M5762" t="s">
        <v>340</v>
      </c>
      <c r="N5762" t="s">
        <v>26745</v>
      </c>
      <c r="O5762" t="s">
        <v>14212</v>
      </c>
      <c r="P5762" t="s">
        <v>14213</v>
      </c>
      <c r="Q5762" t="s">
        <v>26746</v>
      </c>
      <c r="R5762">
        <v>16</v>
      </c>
      <c r="S5762">
        <v>32</v>
      </c>
    </row>
    <row r="5763" spans="1:19" x14ac:dyDescent="0.35">
      <c r="A5763">
        <v>1040</v>
      </c>
      <c r="B5763" t="s">
        <v>26747</v>
      </c>
      <c r="C5763" t="s">
        <v>42</v>
      </c>
      <c r="D5763" t="s">
        <v>26748</v>
      </c>
      <c r="E5763" t="e" cm="1">
        <f t="array" ref="E5763">- CHLORPHENAMINE MALEATE</f>
        <v>#NAME?</v>
      </c>
      <c r="F5763" t="s">
        <v>26749</v>
      </c>
      <c r="G5763" t="s">
        <v>60</v>
      </c>
      <c r="H5763" t="s">
        <v>26750</v>
      </c>
      <c r="I5763" t="s">
        <v>26751</v>
      </c>
      <c r="J5763" t="s">
        <v>334</v>
      </c>
      <c r="K5763" t="s">
        <v>26752</v>
      </c>
      <c r="L5763" t="s">
        <v>26753</v>
      </c>
      <c r="M5763" t="s">
        <v>271</v>
      </c>
      <c r="N5763" t="s">
        <v>1354</v>
      </c>
      <c r="O5763" t="s">
        <v>26754</v>
      </c>
      <c r="P5763" t="s">
        <v>26755</v>
      </c>
      <c r="Q5763" t="s">
        <v>26756</v>
      </c>
      <c r="R5763">
        <v>16</v>
      </c>
      <c r="S5763">
        <v>32</v>
      </c>
    </row>
    <row r="5764" spans="1:19" x14ac:dyDescent="0.35">
      <c r="A5764">
        <v>8808</v>
      </c>
      <c r="B5764" t="s">
        <v>2388</v>
      </c>
      <c r="C5764" t="s">
        <v>42</v>
      </c>
      <c r="D5764" t="s">
        <v>26757</v>
      </c>
      <c r="E5764" t="e" cm="1">
        <f t="array" ref="E5764">- PIOGLITAZONE HYDROCHLORIDE</f>
        <v>#NAME?</v>
      </c>
      <c r="F5764" t="s">
        <v>26758</v>
      </c>
      <c r="G5764" t="s">
        <v>14992</v>
      </c>
      <c r="H5764" t="s">
        <v>1322</v>
      </c>
      <c r="I5764" t="s">
        <v>25052</v>
      </c>
      <c r="J5764" t="s">
        <v>26759</v>
      </c>
      <c r="M5764" t="s">
        <v>46</v>
      </c>
      <c r="N5764" t="s">
        <v>2389</v>
      </c>
      <c r="O5764" t="s">
        <v>25054</v>
      </c>
      <c r="P5764" t="s">
        <v>26760</v>
      </c>
      <c r="Q5764" t="s">
        <v>26761</v>
      </c>
      <c r="R5764">
        <v>16</v>
      </c>
      <c r="S5764">
        <v>32</v>
      </c>
    </row>
    <row r="5765" spans="1:19" x14ac:dyDescent="0.35">
      <c r="A5765">
        <v>2577</v>
      </c>
      <c r="B5765" t="s">
        <v>26762</v>
      </c>
      <c r="C5765" t="s">
        <v>42</v>
      </c>
      <c r="D5765" t="s">
        <v>26763</v>
      </c>
      <c r="E5765" t="e" cm="1">
        <f t="array" ref="E5765">- MELOXICAM</f>
        <v>#NAME?</v>
      </c>
      <c r="F5765" t="s">
        <v>26764</v>
      </c>
      <c r="G5765" t="s">
        <v>26765</v>
      </c>
      <c r="H5765" t="s">
        <v>26766</v>
      </c>
      <c r="I5765" t="s">
        <v>26767</v>
      </c>
      <c r="J5765" t="s">
        <v>599</v>
      </c>
      <c r="K5765" t="s">
        <v>26768</v>
      </c>
      <c r="L5765" t="s">
        <v>26769</v>
      </c>
      <c r="M5765" t="s">
        <v>46</v>
      </c>
      <c r="N5765" t="s">
        <v>412</v>
      </c>
      <c r="O5765" t="s">
        <v>26770</v>
      </c>
      <c r="P5765" t="s">
        <v>26771</v>
      </c>
      <c r="Q5765" t="s">
        <v>26772</v>
      </c>
      <c r="R5765">
        <v>16</v>
      </c>
      <c r="S5765">
        <v>32</v>
      </c>
    </row>
    <row r="5766" spans="1:19" x14ac:dyDescent="0.35">
      <c r="A5766">
        <v>2578</v>
      </c>
      <c r="B5766" t="s">
        <v>26773</v>
      </c>
      <c r="C5766" t="s">
        <v>42</v>
      </c>
      <c r="D5766" t="s">
        <v>26774</v>
      </c>
      <c r="E5766" t="e" cm="1">
        <f t="array" ref="E5766">- MELOXICAM</f>
        <v>#NAME?</v>
      </c>
      <c r="F5766" t="s">
        <v>26775</v>
      </c>
      <c r="G5766" t="s">
        <v>5970</v>
      </c>
      <c r="H5766" t="s">
        <v>26776</v>
      </c>
      <c r="I5766" t="s">
        <v>26777</v>
      </c>
      <c r="J5766" t="s">
        <v>26778</v>
      </c>
      <c r="K5766" t="s">
        <v>26779</v>
      </c>
      <c r="L5766" t="s">
        <v>26780</v>
      </c>
      <c r="M5766" t="s">
        <v>46</v>
      </c>
      <c r="N5766" t="s">
        <v>412</v>
      </c>
      <c r="O5766" t="s">
        <v>26781</v>
      </c>
      <c r="P5766" t="s">
        <v>26771</v>
      </c>
      <c r="Q5766" t="s">
        <v>26782</v>
      </c>
      <c r="R5766">
        <v>16</v>
      </c>
      <c r="S5766">
        <v>32</v>
      </c>
    </row>
    <row r="5767" spans="1:19" x14ac:dyDescent="0.35">
      <c r="A5767">
        <v>5175</v>
      </c>
      <c r="B5767" t="s">
        <v>26783</v>
      </c>
      <c r="C5767" t="s">
        <v>42</v>
      </c>
      <c r="D5767" t="s">
        <v>26784</v>
      </c>
      <c r="E5767" t="e" cm="1">
        <f t="array" ref="E5767">- KETOCONAZOLE</f>
        <v>#NAME?</v>
      </c>
      <c r="F5767" t="s">
        <v>26785</v>
      </c>
      <c r="G5767" t="s">
        <v>26786</v>
      </c>
      <c r="H5767" t="s">
        <v>26787</v>
      </c>
      <c r="I5767" t="s">
        <v>26788</v>
      </c>
      <c r="J5767" t="s">
        <v>334</v>
      </c>
      <c r="K5767" t="s">
        <v>26789</v>
      </c>
      <c r="L5767" t="s">
        <v>26790</v>
      </c>
      <c r="M5767" t="s">
        <v>554</v>
      </c>
      <c r="N5767" t="s">
        <v>533</v>
      </c>
      <c r="O5767" t="s">
        <v>26791</v>
      </c>
      <c r="P5767" t="s">
        <v>26792</v>
      </c>
      <c r="Q5767" t="s">
        <v>26793</v>
      </c>
      <c r="R5767">
        <v>16</v>
      </c>
      <c r="S5767">
        <v>32</v>
      </c>
    </row>
    <row r="5768" spans="1:19" x14ac:dyDescent="0.35">
      <c r="A5768">
        <v>5348</v>
      </c>
      <c r="B5768" t="s">
        <v>26794</v>
      </c>
      <c r="C5768" t="s">
        <v>42</v>
      </c>
      <c r="D5768" t="s">
        <v>26795</v>
      </c>
      <c r="E5768" t="e" cm="1">
        <f t="array" ref="E5768">- KETOCONAZOLE</f>
        <v>#NAME?</v>
      </c>
      <c r="F5768" t="s">
        <v>26796</v>
      </c>
      <c r="G5768" t="s">
        <v>26797</v>
      </c>
      <c r="H5768" t="s">
        <v>26798</v>
      </c>
      <c r="I5768" t="s">
        <v>26799</v>
      </c>
      <c r="J5768" t="s">
        <v>7114</v>
      </c>
      <c r="L5768" t="s">
        <v>26800</v>
      </c>
      <c r="M5768" t="s">
        <v>1289</v>
      </c>
      <c r="N5768" t="s">
        <v>533</v>
      </c>
      <c r="O5768" t="s">
        <v>26801</v>
      </c>
      <c r="P5768" t="s">
        <v>26802</v>
      </c>
      <c r="Q5768" t="s">
        <v>26803</v>
      </c>
      <c r="R5768">
        <v>16</v>
      </c>
      <c r="S5768">
        <v>32</v>
      </c>
    </row>
    <row r="5769" spans="1:19" x14ac:dyDescent="0.35">
      <c r="A5769">
        <v>5349</v>
      </c>
      <c r="B5769" t="s">
        <v>26794</v>
      </c>
      <c r="C5769" t="s">
        <v>42</v>
      </c>
      <c r="D5769" t="s">
        <v>26795</v>
      </c>
      <c r="E5769" t="e" cm="1">
        <f t="array" ref="E5769">- KETOCONAZOLE</f>
        <v>#NAME?</v>
      </c>
      <c r="F5769" t="s">
        <v>26796</v>
      </c>
      <c r="G5769" t="s">
        <v>26797</v>
      </c>
      <c r="H5769" t="s">
        <v>26798</v>
      </c>
      <c r="I5769" t="s">
        <v>26799</v>
      </c>
      <c r="J5769" t="s">
        <v>7114</v>
      </c>
      <c r="L5769" t="s">
        <v>26800</v>
      </c>
      <c r="M5769" t="s">
        <v>1289</v>
      </c>
      <c r="N5769" t="s">
        <v>533</v>
      </c>
      <c r="O5769" t="s">
        <v>26801</v>
      </c>
      <c r="P5769" t="s">
        <v>26802</v>
      </c>
      <c r="Q5769" t="s">
        <v>26803</v>
      </c>
      <c r="R5769">
        <v>16</v>
      </c>
      <c r="S5769">
        <v>32</v>
      </c>
    </row>
    <row r="5770" spans="1:19" x14ac:dyDescent="0.35">
      <c r="A5770">
        <v>5174</v>
      </c>
      <c r="B5770" t="s">
        <v>26783</v>
      </c>
      <c r="C5770" t="s">
        <v>42</v>
      </c>
      <c r="D5770" t="s">
        <v>26784</v>
      </c>
      <c r="E5770" t="e" cm="1">
        <f t="array" ref="E5770">- KETOCONAZOLE</f>
        <v>#NAME?</v>
      </c>
      <c r="F5770" t="s">
        <v>26785</v>
      </c>
      <c r="G5770" t="s">
        <v>26786</v>
      </c>
      <c r="H5770" t="s">
        <v>26787</v>
      </c>
      <c r="I5770" t="s">
        <v>26788</v>
      </c>
      <c r="J5770" t="s">
        <v>334</v>
      </c>
      <c r="K5770" t="s">
        <v>26789</v>
      </c>
      <c r="L5770" t="s">
        <v>26790</v>
      </c>
      <c r="M5770" t="s">
        <v>554</v>
      </c>
      <c r="N5770" t="s">
        <v>533</v>
      </c>
      <c r="O5770" t="s">
        <v>26791</v>
      </c>
      <c r="P5770" t="s">
        <v>26792</v>
      </c>
      <c r="Q5770" t="s">
        <v>26793</v>
      </c>
      <c r="R5770">
        <v>16</v>
      </c>
      <c r="S5770">
        <v>32</v>
      </c>
    </row>
    <row r="5771" spans="1:19" x14ac:dyDescent="0.35">
      <c r="A5771">
        <v>5356</v>
      </c>
      <c r="B5771" t="s">
        <v>26804</v>
      </c>
      <c r="C5771" t="s">
        <v>42</v>
      </c>
      <c r="D5771" t="s">
        <v>26805</v>
      </c>
      <c r="E5771" t="e" cm="1">
        <f t="array" ref="E5771">- FUSIDIC ACID</f>
        <v>#NAME?</v>
      </c>
      <c r="F5771" t="s">
        <v>26806</v>
      </c>
      <c r="G5771" t="s">
        <v>26807</v>
      </c>
      <c r="H5771" t="s">
        <v>26808</v>
      </c>
      <c r="I5771" t="s">
        <v>26809</v>
      </c>
      <c r="J5771" t="s">
        <v>2040</v>
      </c>
      <c r="K5771" t="s">
        <v>26810</v>
      </c>
      <c r="L5771" t="s">
        <v>26811</v>
      </c>
      <c r="M5771" t="s">
        <v>1289</v>
      </c>
      <c r="N5771" t="s">
        <v>3865</v>
      </c>
      <c r="O5771" t="s">
        <v>26812</v>
      </c>
      <c r="P5771" t="s">
        <v>26813</v>
      </c>
      <c r="Q5771" t="s">
        <v>26814</v>
      </c>
      <c r="R5771">
        <v>16</v>
      </c>
      <c r="S5771">
        <v>32</v>
      </c>
    </row>
    <row r="5772" spans="1:19" x14ac:dyDescent="0.35">
      <c r="A5772">
        <v>3300</v>
      </c>
      <c r="B5772" t="s">
        <v>3546</v>
      </c>
      <c r="C5772" t="s">
        <v>42</v>
      </c>
      <c r="D5772" t="s">
        <v>26815</v>
      </c>
      <c r="E5772" t="e" cm="1">
        <f t="array" ref="E5772">- ALUMINIUM HYDROXIDE</f>
        <v>#NAME?</v>
      </c>
      <c r="F5772" t="s">
        <v>26816</v>
      </c>
      <c r="G5772" t="s">
        <v>26817</v>
      </c>
      <c r="H5772" t="s">
        <v>3549</v>
      </c>
      <c r="I5772" t="s">
        <v>26818</v>
      </c>
      <c r="J5772" t="s">
        <v>26819</v>
      </c>
      <c r="K5772" t="s">
        <v>26820</v>
      </c>
      <c r="L5772" t="s">
        <v>24517</v>
      </c>
      <c r="M5772" t="s">
        <v>340</v>
      </c>
      <c r="N5772" t="s">
        <v>1771</v>
      </c>
      <c r="O5772" t="s">
        <v>26821</v>
      </c>
      <c r="P5772" t="s">
        <v>3551</v>
      </c>
      <c r="Q5772" t="s">
        <v>26822</v>
      </c>
      <c r="R5772">
        <v>16</v>
      </c>
      <c r="S5772">
        <v>32</v>
      </c>
    </row>
    <row r="5773" spans="1:19" x14ac:dyDescent="0.35">
      <c r="A5773">
        <v>8795</v>
      </c>
      <c r="B5773" t="s">
        <v>2388</v>
      </c>
      <c r="C5773" t="s">
        <v>42</v>
      </c>
      <c r="D5773" t="s">
        <v>24711</v>
      </c>
      <c r="E5773" t="e" cm="1">
        <f t="array" ref="E5773">- PIOGLITAZONE HYDROCHLORIDE</f>
        <v>#NAME?</v>
      </c>
      <c r="F5773" t="s">
        <v>24712</v>
      </c>
      <c r="G5773" t="s">
        <v>24713</v>
      </c>
      <c r="I5773" t="s">
        <v>24690</v>
      </c>
      <c r="J5773" t="s">
        <v>19918</v>
      </c>
      <c r="M5773" t="s">
        <v>46</v>
      </c>
      <c r="N5773" t="s">
        <v>2389</v>
      </c>
      <c r="O5773" t="s">
        <v>24693</v>
      </c>
      <c r="P5773" t="s">
        <v>24714</v>
      </c>
      <c r="Q5773" t="s">
        <v>26823</v>
      </c>
      <c r="R5773">
        <v>16</v>
      </c>
      <c r="S5773">
        <v>32</v>
      </c>
    </row>
    <row r="5774" spans="1:19" x14ac:dyDescent="0.35">
      <c r="A5774">
        <v>8794</v>
      </c>
      <c r="B5774" t="s">
        <v>2388</v>
      </c>
      <c r="C5774" t="s">
        <v>42</v>
      </c>
      <c r="D5774" t="s">
        <v>24687</v>
      </c>
      <c r="E5774" t="e" cm="1">
        <f t="array" ref="E5774">- PIOGLITAZONE HYDROCHLORIDE</f>
        <v>#NAME?</v>
      </c>
      <c r="F5774" t="s">
        <v>26824</v>
      </c>
      <c r="G5774" t="s">
        <v>24689</v>
      </c>
      <c r="H5774" t="s">
        <v>1322</v>
      </c>
      <c r="I5774" t="s">
        <v>24690</v>
      </c>
      <c r="J5774" t="s">
        <v>24691</v>
      </c>
      <c r="L5774" t="s">
        <v>24692</v>
      </c>
      <c r="M5774" t="s">
        <v>46</v>
      </c>
      <c r="N5774" t="s">
        <v>2389</v>
      </c>
      <c r="O5774" t="s">
        <v>24693</v>
      </c>
      <c r="P5774" t="s">
        <v>24694</v>
      </c>
      <c r="Q5774" t="s">
        <v>26825</v>
      </c>
      <c r="R5774">
        <v>16</v>
      </c>
      <c r="S5774">
        <v>32</v>
      </c>
    </row>
    <row r="5775" spans="1:19" x14ac:dyDescent="0.35">
      <c r="A5775">
        <v>5604</v>
      </c>
      <c r="B5775" t="s">
        <v>26826</v>
      </c>
      <c r="C5775" t="s">
        <v>42</v>
      </c>
      <c r="D5775" t="s">
        <v>26827</v>
      </c>
      <c r="E5775" t="e" cm="1">
        <f t="array" ref="E5775">- GRAMICIDIN</f>
        <v>#NAME?</v>
      </c>
      <c r="F5775" t="s">
        <v>26828</v>
      </c>
      <c r="G5775" t="s">
        <v>26829</v>
      </c>
      <c r="H5775" t="s">
        <v>26830</v>
      </c>
      <c r="I5775" t="s">
        <v>26831</v>
      </c>
      <c r="J5775" t="s">
        <v>26832</v>
      </c>
      <c r="K5775" t="s">
        <v>26833</v>
      </c>
      <c r="L5775" t="s">
        <v>26834</v>
      </c>
      <c r="M5775" t="s">
        <v>46</v>
      </c>
      <c r="N5775" t="s">
        <v>18065</v>
      </c>
      <c r="O5775" t="s">
        <v>26835</v>
      </c>
      <c r="P5775" t="s">
        <v>26836</v>
      </c>
      <c r="Q5775" t="s">
        <v>26837</v>
      </c>
      <c r="R5775">
        <v>16</v>
      </c>
      <c r="S5775">
        <v>32</v>
      </c>
    </row>
    <row r="5776" spans="1:19" x14ac:dyDescent="0.35">
      <c r="A5776">
        <v>5603</v>
      </c>
      <c r="B5776" t="s">
        <v>26826</v>
      </c>
      <c r="C5776" t="s">
        <v>42</v>
      </c>
      <c r="D5776" t="s">
        <v>26827</v>
      </c>
      <c r="E5776" t="e" cm="1">
        <f t="array" ref="E5776">- GRAMICIDIN</f>
        <v>#NAME?</v>
      </c>
      <c r="F5776" t="s">
        <v>26828</v>
      </c>
      <c r="G5776" t="s">
        <v>26829</v>
      </c>
      <c r="H5776" t="s">
        <v>26830</v>
      </c>
      <c r="I5776" t="s">
        <v>26831</v>
      </c>
      <c r="J5776" t="s">
        <v>26832</v>
      </c>
      <c r="K5776" t="s">
        <v>26833</v>
      </c>
      <c r="L5776" t="s">
        <v>26834</v>
      </c>
      <c r="M5776" t="s">
        <v>46</v>
      </c>
      <c r="N5776" t="s">
        <v>18065</v>
      </c>
      <c r="O5776" t="s">
        <v>26835</v>
      </c>
      <c r="P5776" t="s">
        <v>26836</v>
      </c>
      <c r="Q5776" t="s">
        <v>26837</v>
      </c>
      <c r="R5776">
        <v>16</v>
      </c>
      <c r="S5776">
        <v>32</v>
      </c>
    </row>
    <row r="5777" spans="1:19" x14ac:dyDescent="0.35">
      <c r="A5777">
        <v>4968</v>
      </c>
      <c r="B5777" t="s">
        <v>26553</v>
      </c>
      <c r="C5777" t="s">
        <v>42</v>
      </c>
      <c r="D5777" t="s">
        <v>26554</v>
      </c>
      <c r="E5777" t="e" cm="1">
        <f t="array" ref="E5777">- DESOXIMETASONE</f>
        <v>#NAME?</v>
      </c>
      <c r="F5777" t="s">
        <v>26555</v>
      </c>
      <c r="G5777" t="s">
        <v>21823</v>
      </c>
      <c r="H5777" t="s">
        <v>21824</v>
      </c>
      <c r="I5777" t="s">
        <v>21825</v>
      </c>
      <c r="J5777" t="s">
        <v>13944</v>
      </c>
      <c r="K5777" t="s">
        <v>21826</v>
      </c>
      <c r="L5777" t="s">
        <v>21827</v>
      </c>
      <c r="M5777" t="s">
        <v>1289</v>
      </c>
      <c r="N5777" t="s">
        <v>8965</v>
      </c>
      <c r="O5777" t="s">
        <v>21828</v>
      </c>
      <c r="P5777" t="s">
        <v>26556</v>
      </c>
      <c r="Q5777" t="s">
        <v>26557</v>
      </c>
      <c r="R5777">
        <v>16</v>
      </c>
      <c r="S5777">
        <v>32</v>
      </c>
    </row>
    <row r="5778" spans="1:19" x14ac:dyDescent="0.35">
      <c r="A5778">
        <v>1002</v>
      </c>
      <c r="B5778" t="s">
        <v>26838</v>
      </c>
      <c r="C5778" t="s">
        <v>42</v>
      </c>
      <c r="D5778" t="s">
        <v>26839</v>
      </c>
      <c r="E5778" t="e" cm="1">
        <f t="array" ref="E5778">- CHLORPHENAMINE MALEATE</f>
        <v>#NAME?</v>
      </c>
      <c r="F5778" s="1">
        <v>29300</v>
      </c>
      <c r="G5778" t="s">
        <v>60</v>
      </c>
      <c r="H5778" t="s">
        <v>26840</v>
      </c>
      <c r="I5778" t="s">
        <v>26841</v>
      </c>
      <c r="J5778" t="s">
        <v>8495</v>
      </c>
      <c r="K5778" t="s">
        <v>26842</v>
      </c>
      <c r="L5778" t="s">
        <v>26843</v>
      </c>
      <c r="M5778" t="s">
        <v>46</v>
      </c>
      <c r="N5778" t="s">
        <v>1354</v>
      </c>
      <c r="O5778" t="s">
        <v>26844</v>
      </c>
      <c r="P5778" t="s">
        <v>26845</v>
      </c>
      <c r="Q5778" t="s">
        <v>26846</v>
      </c>
      <c r="R5778">
        <v>16</v>
      </c>
      <c r="S5778">
        <v>32</v>
      </c>
    </row>
    <row r="5779" spans="1:19" x14ac:dyDescent="0.35">
      <c r="A5779">
        <v>7572</v>
      </c>
      <c r="B5779" t="s">
        <v>26847</v>
      </c>
      <c r="C5779" t="s">
        <v>42</v>
      </c>
      <c r="D5779" t="s">
        <v>26848</v>
      </c>
      <c r="E5779" t="e" cm="1">
        <f t="array" ref="E5779">- FERROUS FUMARATE</f>
        <v>#NAME?</v>
      </c>
      <c r="F5779" t="s">
        <v>26849</v>
      </c>
      <c r="G5779" t="s">
        <v>26850</v>
      </c>
      <c r="H5779" t="s">
        <v>26851</v>
      </c>
      <c r="I5779" t="s">
        <v>26852</v>
      </c>
      <c r="J5779" t="s">
        <v>10764</v>
      </c>
      <c r="K5779" t="s">
        <v>26853</v>
      </c>
      <c r="L5779" t="s">
        <v>26854</v>
      </c>
      <c r="M5779" t="s">
        <v>46</v>
      </c>
      <c r="N5779" t="s">
        <v>26855</v>
      </c>
      <c r="O5779" t="s">
        <v>26856</v>
      </c>
      <c r="P5779" t="s">
        <v>26857</v>
      </c>
      <c r="Q5779" t="s">
        <v>26858</v>
      </c>
      <c r="R5779">
        <v>16</v>
      </c>
      <c r="S5779">
        <v>32</v>
      </c>
    </row>
    <row r="5780" spans="1:19" x14ac:dyDescent="0.35">
      <c r="A5780">
        <v>946</v>
      </c>
      <c r="B5780" t="s">
        <v>9750</v>
      </c>
      <c r="C5780" t="s">
        <v>42</v>
      </c>
      <c r="D5780" t="s">
        <v>26859</v>
      </c>
      <c r="E5780" t="e" cm="1">
        <f t="array" ref="E5780">- CHLORPHENAMINE MALEATE</f>
        <v>#NAME?</v>
      </c>
      <c r="F5780" t="s">
        <v>26860</v>
      </c>
      <c r="G5780" t="s">
        <v>2241</v>
      </c>
      <c r="H5780" t="s">
        <v>26861</v>
      </c>
      <c r="I5780" t="s">
        <v>26862</v>
      </c>
      <c r="J5780" t="s">
        <v>26863</v>
      </c>
      <c r="K5780" t="s">
        <v>9755</v>
      </c>
      <c r="L5780" t="s">
        <v>26864</v>
      </c>
      <c r="M5780" t="s">
        <v>291</v>
      </c>
      <c r="N5780" t="s">
        <v>1354</v>
      </c>
      <c r="O5780" t="s">
        <v>26865</v>
      </c>
      <c r="P5780" t="s">
        <v>9758</v>
      </c>
      <c r="Q5780" t="s">
        <v>26866</v>
      </c>
      <c r="R5780">
        <v>16</v>
      </c>
      <c r="S5780">
        <v>32</v>
      </c>
    </row>
    <row r="5781" spans="1:19" x14ac:dyDescent="0.35">
      <c r="A5781">
        <v>5122</v>
      </c>
      <c r="B5781" t="s">
        <v>26867</v>
      </c>
      <c r="C5781" t="s">
        <v>42</v>
      </c>
      <c r="D5781" t="s">
        <v>26868</v>
      </c>
      <c r="E5781" t="e" cm="1">
        <f t="array" ref="E5781">- MOMETASONE FUROATE</f>
        <v>#NAME?</v>
      </c>
      <c r="F5781" t="s">
        <v>26869</v>
      </c>
      <c r="G5781" t="s">
        <v>19614</v>
      </c>
      <c r="H5781" t="s">
        <v>6538</v>
      </c>
      <c r="I5781" t="s">
        <v>24588</v>
      </c>
      <c r="J5781" t="s">
        <v>13798</v>
      </c>
      <c r="K5781" t="s">
        <v>26870</v>
      </c>
      <c r="L5781" t="s">
        <v>26871</v>
      </c>
      <c r="M5781" t="s">
        <v>1289</v>
      </c>
      <c r="N5781" t="s">
        <v>13785</v>
      </c>
      <c r="O5781" t="s">
        <v>24589</v>
      </c>
      <c r="P5781" t="s">
        <v>26872</v>
      </c>
      <c r="Q5781" t="s">
        <v>26873</v>
      </c>
      <c r="R5781">
        <v>16</v>
      </c>
      <c r="S5781">
        <v>32</v>
      </c>
    </row>
    <row r="5782" spans="1:19" x14ac:dyDescent="0.35">
      <c r="A5782">
        <v>2705</v>
      </c>
      <c r="B5782" t="s">
        <v>26874</v>
      </c>
      <c r="C5782" t="s">
        <v>42</v>
      </c>
      <c r="D5782" t="s">
        <v>26875</v>
      </c>
      <c r="E5782" t="e" cm="1">
        <f t="array" ref="E5782">- CAFFEINE</f>
        <v>#NAME?</v>
      </c>
      <c r="F5782" t="s">
        <v>26876</v>
      </c>
      <c r="G5782" t="s">
        <v>14388</v>
      </c>
      <c r="H5782" t="s">
        <v>26877</v>
      </c>
      <c r="I5782" t="s">
        <v>26878</v>
      </c>
      <c r="J5782" t="s">
        <v>26879</v>
      </c>
      <c r="K5782" t="s">
        <v>26880</v>
      </c>
      <c r="L5782" t="s">
        <v>26881</v>
      </c>
      <c r="M5782" t="s">
        <v>46</v>
      </c>
      <c r="N5782" t="s">
        <v>2359</v>
      </c>
      <c r="O5782" t="s">
        <v>26882</v>
      </c>
      <c r="P5782" t="s">
        <v>26883</v>
      </c>
      <c r="Q5782" t="s">
        <v>26884</v>
      </c>
      <c r="R5782">
        <v>16</v>
      </c>
      <c r="S5782">
        <v>32</v>
      </c>
    </row>
    <row r="5783" spans="1:19" x14ac:dyDescent="0.35">
      <c r="A5783">
        <v>7570</v>
      </c>
      <c r="B5783" t="s">
        <v>26847</v>
      </c>
      <c r="C5783" t="s">
        <v>42</v>
      </c>
      <c r="D5783" t="s">
        <v>26848</v>
      </c>
      <c r="E5783" t="e" cm="1">
        <f t="array" ref="E5783">- FERROUS FUMARATE</f>
        <v>#NAME?</v>
      </c>
      <c r="F5783" t="s">
        <v>26849</v>
      </c>
      <c r="G5783" t="s">
        <v>26850</v>
      </c>
      <c r="H5783" t="s">
        <v>26851</v>
      </c>
      <c r="I5783" t="s">
        <v>26852</v>
      </c>
      <c r="J5783" t="s">
        <v>10764</v>
      </c>
      <c r="K5783" t="s">
        <v>26853</v>
      </c>
      <c r="L5783" t="s">
        <v>26854</v>
      </c>
      <c r="M5783" t="s">
        <v>46</v>
      </c>
      <c r="N5783" t="s">
        <v>26855</v>
      </c>
      <c r="O5783" t="s">
        <v>26856</v>
      </c>
      <c r="P5783" t="s">
        <v>26857</v>
      </c>
      <c r="Q5783" t="s">
        <v>26858</v>
      </c>
      <c r="R5783">
        <v>16</v>
      </c>
      <c r="S5783">
        <v>32</v>
      </c>
    </row>
    <row r="5784" spans="1:19" x14ac:dyDescent="0.35">
      <c r="A5784">
        <v>5114</v>
      </c>
      <c r="B5784" t="s">
        <v>26885</v>
      </c>
      <c r="C5784" t="s">
        <v>42</v>
      </c>
      <c r="D5784" t="s">
        <v>26886</v>
      </c>
      <c r="E5784" t="e" cm="1">
        <f t="array" ref="E5784">- MOMETASONE FUROATE</f>
        <v>#NAME?</v>
      </c>
      <c r="F5784" t="s">
        <v>26887</v>
      </c>
      <c r="G5784" t="s">
        <v>17127</v>
      </c>
      <c r="H5784" t="s">
        <v>6538</v>
      </c>
      <c r="I5784" t="s">
        <v>24588</v>
      </c>
      <c r="J5784" t="s">
        <v>7114</v>
      </c>
      <c r="K5784" t="s">
        <v>26888</v>
      </c>
      <c r="L5784" t="s">
        <v>26889</v>
      </c>
      <c r="M5784" t="s">
        <v>1289</v>
      </c>
      <c r="N5784" t="s">
        <v>13785</v>
      </c>
      <c r="O5784" t="s">
        <v>24589</v>
      </c>
      <c r="P5784" t="s">
        <v>26890</v>
      </c>
      <c r="Q5784" t="s">
        <v>26891</v>
      </c>
      <c r="R5784">
        <v>16</v>
      </c>
      <c r="S5784">
        <v>32</v>
      </c>
    </row>
    <row r="5785" spans="1:19" x14ac:dyDescent="0.35">
      <c r="A5785">
        <v>8497</v>
      </c>
      <c r="B5785" t="s">
        <v>551</v>
      </c>
      <c r="C5785" t="s">
        <v>42</v>
      </c>
      <c r="D5785" t="s">
        <v>26892</v>
      </c>
      <c r="E5785" t="e" cm="1">
        <f t="array" ref="E5785">- POVIDONE-IODINE</f>
        <v>#NAME?</v>
      </c>
      <c r="F5785" t="s">
        <v>26893</v>
      </c>
      <c r="I5785" t="s">
        <v>26894</v>
      </c>
      <c r="J5785" t="s">
        <v>26895</v>
      </c>
      <c r="M5785" t="s">
        <v>554</v>
      </c>
      <c r="N5785" t="s">
        <v>555</v>
      </c>
      <c r="O5785" t="s">
        <v>26896</v>
      </c>
      <c r="P5785" t="s">
        <v>26897</v>
      </c>
      <c r="Q5785" t="s">
        <v>26898</v>
      </c>
      <c r="R5785">
        <v>16</v>
      </c>
      <c r="S5785">
        <v>32</v>
      </c>
    </row>
    <row r="5786" spans="1:19" x14ac:dyDescent="0.35">
      <c r="A5786">
        <v>8504</v>
      </c>
      <c r="B5786" t="s">
        <v>551</v>
      </c>
      <c r="C5786" t="s">
        <v>42</v>
      </c>
      <c r="D5786" t="s">
        <v>26899</v>
      </c>
      <c r="E5786" t="e" cm="1">
        <f t="array" ref="E5786">- POVIDONE-IODINE</f>
        <v>#NAME?</v>
      </c>
      <c r="F5786" t="s">
        <v>26900</v>
      </c>
      <c r="I5786" t="s">
        <v>26651</v>
      </c>
      <c r="J5786" t="s">
        <v>4132</v>
      </c>
      <c r="M5786" t="s">
        <v>554</v>
      </c>
      <c r="N5786" t="s">
        <v>555</v>
      </c>
      <c r="O5786" t="s">
        <v>26652</v>
      </c>
      <c r="P5786" t="s">
        <v>26901</v>
      </c>
      <c r="Q5786" t="s">
        <v>26902</v>
      </c>
      <c r="R5786">
        <v>16</v>
      </c>
      <c r="S5786">
        <v>32</v>
      </c>
    </row>
    <row r="5787" spans="1:19" x14ac:dyDescent="0.35">
      <c r="A5787">
        <v>8505</v>
      </c>
      <c r="B5787" t="s">
        <v>551</v>
      </c>
      <c r="C5787" t="s">
        <v>42</v>
      </c>
      <c r="D5787" t="s">
        <v>26899</v>
      </c>
      <c r="E5787" t="e" cm="1">
        <f t="array" ref="E5787">- POVIDONE-IODINE</f>
        <v>#NAME?</v>
      </c>
      <c r="F5787" t="s">
        <v>26900</v>
      </c>
      <c r="I5787" t="s">
        <v>26651</v>
      </c>
      <c r="J5787" t="s">
        <v>4132</v>
      </c>
      <c r="M5787" t="s">
        <v>554</v>
      </c>
      <c r="N5787" t="s">
        <v>555</v>
      </c>
      <c r="O5787" t="s">
        <v>26652</v>
      </c>
      <c r="P5787" t="s">
        <v>26901</v>
      </c>
      <c r="Q5787" t="s">
        <v>26902</v>
      </c>
      <c r="R5787">
        <v>16</v>
      </c>
      <c r="S5787">
        <v>32</v>
      </c>
    </row>
    <row r="5788" spans="1:19" x14ac:dyDescent="0.35">
      <c r="A5788">
        <v>2721</v>
      </c>
      <c r="B5788" t="s">
        <v>26903</v>
      </c>
      <c r="C5788" t="s">
        <v>42</v>
      </c>
      <c r="D5788" t="s">
        <v>26904</v>
      </c>
      <c r="E5788" t="e" cm="1">
        <f t="array" ref="E5788">- DEXKETOPROFEN TROMETAMOL</f>
        <v>#NAME?</v>
      </c>
      <c r="F5788" t="s">
        <v>26905</v>
      </c>
      <c r="G5788" t="s">
        <v>2241</v>
      </c>
      <c r="H5788" t="s">
        <v>26906</v>
      </c>
      <c r="I5788" t="s">
        <v>26907</v>
      </c>
      <c r="J5788" t="s">
        <v>26908</v>
      </c>
      <c r="K5788" t="s">
        <v>26909</v>
      </c>
      <c r="L5788" t="s">
        <v>26910</v>
      </c>
      <c r="M5788" t="s">
        <v>46</v>
      </c>
      <c r="N5788" t="s">
        <v>2404</v>
      </c>
      <c r="O5788" t="s">
        <v>26911</v>
      </c>
      <c r="P5788" t="s">
        <v>26912</v>
      </c>
      <c r="Q5788" t="s">
        <v>26913</v>
      </c>
      <c r="R5788">
        <v>16</v>
      </c>
      <c r="S5788">
        <v>32</v>
      </c>
    </row>
    <row r="5789" spans="1:19" x14ac:dyDescent="0.35">
      <c r="A5789">
        <v>5495</v>
      </c>
      <c r="B5789" t="s">
        <v>17380</v>
      </c>
      <c r="C5789" t="s">
        <v>42</v>
      </c>
      <c r="D5789" t="s">
        <v>17381</v>
      </c>
      <c r="E5789" t="e" cm="1">
        <f t="array" ref="E5789">- BETAMETHASONE DIPROPIONATE. NEOMYCIN SULFATE. BACITRACIN ZINC</f>
        <v>#NAME?</v>
      </c>
      <c r="F5789" t="s">
        <v>17382</v>
      </c>
      <c r="G5789" t="s">
        <v>17383</v>
      </c>
      <c r="H5789" t="s">
        <v>17384</v>
      </c>
      <c r="I5789" t="s">
        <v>17385</v>
      </c>
      <c r="J5789" t="s">
        <v>17386</v>
      </c>
      <c r="K5789" t="s">
        <v>17387</v>
      </c>
      <c r="L5789" t="s">
        <v>17388</v>
      </c>
      <c r="M5789" t="s">
        <v>1289</v>
      </c>
      <c r="N5789" t="s">
        <v>26914</v>
      </c>
      <c r="O5789" t="s">
        <v>17389</v>
      </c>
      <c r="P5789" t="s">
        <v>17390</v>
      </c>
      <c r="Q5789" t="s">
        <v>26915</v>
      </c>
      <c r="R5789">
        <v>16</v>
      </c>
      <c r="S5789">
        <v>32</v>
      </c>
    </row>
    <row r="5790" spans="1:19" x14ac:dyDescent="0.35">
      <c r="A5790">
        <v>2722</v>
      </c>
      <c r="B5790" t="s">
        <v>26903</v>
      </c>
      <c r="C5790" t="s">
        <v>42</v>
      </c>
      <c r="D5790" t="s">
        <v>26904</v>
      </c>
      <c r="E5790" t="e" cm="1">
        <f t="array" ref="E5790">- DEXKETOPROFEN TROMETAMOL</f>
        <v>#NAME?</v>
      </c>
      <c r="F5790" t="s">
        <v>26905</v>
      </c>
      <c r="G5790" t="s">
        <v>2241</v>
      </c>
      <c r="H5790" t="s">
        <v>26906</v>
      </c>
      <c r="I5790" t="s">
        <v>26907</v>
      </c>
      <c r="J5790" t="s">
        <v>26908</v>
      </c>
      <c r="K5790" t="s">
        <v>26909</v>
      </c>
      <c r="L5790" t="s">
        <v>26910</v>
      </c>
      <c r="M5790" t="s">
        <v>46</v>
      </c>
      <c r="N5790" t="s">
        <v>2404</v>
      </c>
      <c r="O5790" t="s">
        <v>26911</v>
      </c>
      <c r="P5790" t="s">
        <v>26912</v>
      </c>
      <c r="Q5790" t="s">
        <v>26913</v>
      </c>
      <c r="R5790">
        <v>16</v>
      </c>
      <c r="S5790">
        <v>32</v>
      </c>
    </row>
    <row r="5791" spans="1:19" x14ac:dyDescent="0.35">
      <c r="A5791">
        <v>5492</v>
      </c>
      <c r="B5791" t="s">
        <v>26916</v>
      </c>
      <c r="C5791" t="s">
        <v>42</v>
      </c>
      <c r="D5791" t="s">
        <v>26917</v>
      </c>
      <c r="E5791" t="e" cm="1">
        <f t="array" ref="E5791">- GENTAMICIN SULFATE</f>
        <v>#NAME?</v>
      </c>
      <c r="F5791" t="s">
        <v>26918</v>
      </c>
      <c r="G5791" t="s">
        <v>7210</v>
      </c>
      <c r="H5791" t="s">
        <v>11913</v>
      </c>
      <c r="I5791" t="s">
        <v>26919</v>
      </c>
      <c r="J5791" t="s">
        <v>2040</v>
      </c>
      <c r="K5791" t="s">
        <v>26920</v>
      </c>
      <c r="L5791" t="s">
        <v>26921</v>
      </c>
      <c r="M5791" t="s">
        <v>1289</v>
      </c>
      <c r="N5791" t="s">
        <v>6119</v>
      </c>
      <c r="O5791" t="s">
        <v>26922</v>
      </c>
      <c r="P5791" t="s">
        <v>26923</v>
      </c>
      <c r="Q5791" t="s">
        <v>26924</v>
      </c>
      <c r="R5791">
        <v>16</v>
      </c>
      <c r="S5791">
        <v>32</v>
      </c>
    </row>
    <row r="5792" spans="1:19" x14ac:dyDescent="0.35">
      <c r="A5792">
        <v>8506</v>
      </c>
      <c r="B5792" t="s">
        <v>551</v>
      </c>
      <c r="C5792" t="s">
        <v>42</v>
      </c>
      <c r="D5792" t="s">
        <v>26925</v>
      </c>
      <c r="E5792" t="e" cm="1">
        <f t="array" ref="E5792">- POVIDONE-IODINE</f>
        <v>#NAME?</v>
      </c>
      <c r="F5792" t="s">
        <v>26926</v>
      </c>
      <c r="I5792" t="s">
        <v>26651</v>
      </c>
      <c r="J5792" t="s">
        <v>4132</v>
      </c>
      <c r="M5792" t="s">
        <v>554</v>
      </c>
      <c r="N5792" t="s">
        <v>555</v>
      </c>
      <c r="O5792" t="s">
        <v>26652</v>
      </c>
      <c r="P5792" t="s">
        <v>26901</v>
      </c>
      <c r="Q5792" t="s">
        <v>26902</v>
      </c>
      <c r="R5792">
        <v>16</v>
      </c>
      <c r="S5792">
        <v>32</v>
      </c>
    </row>
    <row r="5793" spans="1:19" x14ac:dyDescent="0.35">
      <c r="A5793">
        <v>8507</v>
      </c>
      <c r="B5793" t="s">
        <v>551</v>
      </c>
      <c r="C5793" t="s">
        <v>42</v>
      </c>
      <c r="D5793" t="s">
        <v>26925</v>
      </c>
      <c r="E5793" t="e" cm="1">
        <f t="array" ref="E5793">- POVIDONE-IODINE</f>
        <v>#NAME?</v>
      </c>
      <c r="F5793" t="s">
        <v>26926</v>
      </c>
      <c r="I5793" t="s">
        <v>26651</v>
      </c>
      <c r="J5793" t="s">
        <v>4132</v>
      </c>
      <c r="M5793" t="s">
        <v>554</v>
      </c>
      <c r="N5793" t="s">
        <v>555</v>
      </c>
      <c r="O5793" t="s">
        <v>26652</v>
      </c>
      <c r="P5793" t="s">
        <v>26901</v>
      </c>
      <c r="Q5793" t="s">
        <v>26902</v>
      </c>
      <c r="R5793">
        <v>16</v>
      </c>
      <c r="S5793">
        <v>32</v>
      </c>
    </row>
    <row r="5794" spans="1:19" x14ac:dyDescent="0.35">
      <c r="A5794">
        <v>8508</v>
      </c>
      <c r="B5794" t="s">
        <v>551</v>
      </c>
      <c r="C5794" t="s">
        <v>42</v>
      </c>
      <c r="D5794" t="s">
        <v>26927</v>
      </c>
      <c r="E5794" t="e" cm="1">
        <f t="array" ref="E5794">- POVIDONE-IODINE</f>
        <v>#NAME?</v>
      </c>
      <c r="F5794" t="s">
        <v>26928</v>
      </c>
      <c r="I5794" t="s">
        <v>26651</v>
      </c>
      <c r="J5794" t="s">
        <v>4132</v>
      </c>
      <c r="M5794" t="s">
        <v>554</v>
      </c>
      <c r="N5794" t="s">
        <v>555</v>
      </c>
      <c r="O5794" t="s">
        <v>26652</v>
      </c>
      <c r="P5794" t="s">
        <v>26901</v>
      </c>
      <c r="Q5794" t="s">
        <v>26902</v>
      </c>
      <c r="R5794">
        <v>16</v>
      </c>
      <c r="S5794">
        <v>32</v>
      </c>
    </row>
    <row r="5795" spans="1:19" x14ac:dyDescent="0.35">
      <c r="A5795">
        <v>8558</v>
      </c>
      <c r="B5795" t="s">
        <v>26929</v>
      </c>
      <c r="C5795" t="s">
        <v>42</v>
      </c>
      <c r="D5795" t="s">
        <v>26930</v>
      </c>
      <c r="E5795" t="e" cm="1">
        <f t="array" ref="E5795">- GLICLAZIDE</f>
        <v>#NAME?</v>
      </c>
      <c r="F5795" t="s">
        <v>26931</v>
      </c>
      <c r="G5795" t="s">
        <v>26932</v>
      </c>
      <c r="I5795" t="s">
        <v>26933</v>
      </c>
      <c r="J5795" t="s">
        <v>26934</v>
      </c>
      <c r="L5795" t="s">
        <v>26935</v>
      </c>
      <c r="M5795" t="s">
        <v>46</v>
      </c>
      <c r="N5795" t="s">
        <v>1268</v>
      </c>
      <c r="O5795" t="s">
        <v>26936</v>
      </c>
      <c r="P5795" t="s">
        <v>26937</v>
      </c>
      <c r="Q5795" t="s">
        <v>26938</v>
      </c>
      <c r="R5795">
        <v>16</v>
      </c>
      <c r="S5795">
        <v>32</v>
      </c>
    </row>
    <row r="5796" spans="1:19" x14ac:dyDescent="0.35">
      <c r="A5796">
        <v>3166</v>
      </c>
      <c r="B5796" t="s">
        <v>26939</v>
      </c>
      <c r="C5796" t="s">
        <v>42</v>
      </c>
      <c r="D5796" t="s">
        <v>26940</v>
      </c>
      <c r="E5796" t="e" cm="1">
        <f t="array" ref="E5796">- SUCRALFATE</f>
        <v>#NAME?</v>
      </c>
      <c r="F5796" t="s">
        <v>26941</v>
      </c>
      <c r="G5796" t="s">
        <v>26942</v>
      </c>
      <c r="H5796" t="s">
        <v>26943</v>
      </c>
      <c r="I5796" t="s">
        <v>26944</v>
      </c>
      <c r="J5796" t="s">
        <v>26945</v>
      </c>
      <c r="K5796" t="s">
        <v>7921</v>
      </c>
      <c r="L5796" t="s">
        <v>26946</v>
      </c>
      <c r="M5796" t="s">
        <v>340</v>
      </c>
      <c r="N5796" t="s">
        <v>375</v>
      </c>
      <c r="O5796" t="s">
        <v>26947</v>
      </c>
      <c r="P5796" t="s">
        <v>26948</v>
      </c>
      <c r="Q5796" t="s">
        <v>26949</v>
      </c>
      <c r="R5796">
        <v>16</v>
      </c>
      <c r="S5796">
        <v>32</v>
      </c>
    </row>
    <row r="5797" spans="1:19" x14ac:dyDescent="0.35">
      <c r="A5797">
        <v>8509</v>
      </c>
      <c r="B5797" t="s">
        <v>551</v>
      </c>
      <c r="C5797" t="s">
        <v>42</v>
      </c>
      <c r="D5797" t="s">
        <v>26927</v>
      </c>
      <c r="E5797" t="e" cm="1">
        <f t="array" ref="E5797">- POVIDONE-IODINE</f>
        <v>#NAME?</v>
      </c>
      <c r="F5797" t="s">
        <v>26928</v>
      </c>
      <c r="I5797" t="s">
        <v>26651</v>
      </c>
      <c r="J5797" t="s">
        <v>4132</v>
      </c>
      <c r="M5797" t="s">
        <v>554</v>
      </c>
      <c r="N5797" t="s">
        <v>555</v>
      </c>
      <c r="O5797" t="s">
        <v>26652</v>
      </c>
      <c r="P5797" t="s">
        <v>26901</v>
      </c>
      <c r="Q5797" t="s">
        <v>26902</v>
      </c>
      <c r="R5797">
        <v>16</v>
      </c>
      <c r="S5797">
        <v>32</v>
      </c>
    </row>
    <row r="5798" spans="1:19" x14ac:dyDescent="0.35">
      <c r="A5798">
        <v>3167</v>
      </c>
      <c r="B5798" t="s">
        <v>26939</v>
      </c>
      <c r="C5798" t="s">
        <v>42</v>
      </c>
      <c r="D5798" t="s">
        <v>26950</v>
      </c>
      <c r="E5798" t="e" cm="1">
        <f t="array" ref="E5798">- SUCRALFATE</f>
        <v>#NAME?</v>
      </c>
      <c r="F5798" t="s">
        <v>26951</v>
      </c>
      <c r="G5798" t="s">
        <v>26942</v>
      </c>
      <c r="H5798" t="s">
        <v>26943</v>
      </c>
      <c r="I5798" t="s">
        <v>26952</v>
      </c>
      <c r="J5798" t="s">
        <v>26953</v>
      </c>
      <c r="K5798" t="s">
        <v>7921</v>
      </c>
      <c r="L5798" t="s">
        <v>26946</v>
      </c>
      <c r="M5798" t="s">
        <v>340</v>
      </c>
      <c r="N5798" t="s">
        <v>375</v>
      </c>
      <c r="O5798" t="s">
        <v>26947</v>
      </c>
      <c r="P5798" t="s">
        <v>26948</v>
      </c>
      <c r="Q5798" t="s">
        <v>26949</v>
      </c>
      <c r="R5798">
        <v>16</v>
      </c>
      <c r="S5798">
        <v>32</v>
      </c>
    </row>
    <row r="5799" spans="1:19" x14ac:dyDescent="0.35">
      <c r="A5799">
        <v>5481</v>
      </c>
      <c r="B5799" t="s">
        <v>26954</v>
      </c>
      <c r="C5799" t="s">
        <v>850</v>
      </c>
      <c r="D5799" t="s">
        <v>26955</v>
      </c>
      <c r="E5799" t="e" cm="1">
        <f t="array" ref="E5799">- Asam Benzoat</f>
        <v>#NAME?</v>
      </c>
      <c r="F5799" s="1">
        <v>6700</v>
      </c>
      <c r="G5799" t="s">
        <v>11887</v>
      </c>
      <c r="H5799" t="s">
        <v>26956</v>
      </c>
      <c r="I5799" t="s">
        <v>26957</v>
      </c>
      <c r="J5799" t="s">
        <v>26958</v>
      </c>
      <c r="K5799" t="s">
        <v>26959</v>
      </c>
      <c r="L5799" t="s">
        <v>26960</v>
      </c>
      <c r="N5799" t="s">
        <v>19475</v>
      </c>
      <c r="O5799" t="s">
        <v>26961</v>
      </c>
      <c r="P5799" t="s">
        <v>26962</v>
      </c>
      <c r="Q5799" t="s">
        <v>26963</v>
      </c>
      <c r="R5799">
        <v>16</v>
      </c>
      <c r="S5799">
        <v>32</v>
      </c>
    </row>
    <row r="5800" spans="1:19" x14ac:dyDescent="0.35">
      <c r="A5800">
        <v>1484</v>
      </c>
      <c r="B5800" t="s">
        <v>26964</v>
      </c>
      <c r="C5800" t="s">
        <v>42</v>
      </c>
      <c r="D5800" t="s">
        <v>26965</v>
      </c>
      <c r="E5800" t="e" cm="1">
        <f t="array" ref="E5800">- AMBROXOL HYDROCHLORIDE</f>
        <v>#NAME?</v>
      </c>
      <c r="F5800" t="s">
        <v>26966</v>
      </c>
      <c r="G5800" t="s">
        <v>4649</v>
      </c>
      <c r="H5800" t="s">
        <v>26967</v>
      </c>
      <c r="I5800" t="s">
        <v>26968</v>
      </c>
      <c r="J5800" t="s">
        <v>26969</v>
      </c>
      <c r="K5800" t="s">
        <v>26970</v>
      </c>
      <c r="L5800" t="s">
        <v>8847</v>
      </c>
      <c r="M5800" t="s">
        <v>271</v>
      </c>
      <c r="N5800" t="s">
        <v>1800</v>
      </c>
      <c r="O5800" t="s">
        <v>26971</v>
      </c>
      <c r="P5800" t="s">
        <v>26972</v>
      </c>
      <c r="Q5800" t="s">
        <v>26973</v>
      </c>
      <c r="R5800">
        <v>16</v>
      </c>
      <c r="S5800">
        <v>32</v>
      </c>
    </row>
    <row r="5801" spans="1:19" x14ac:dyDescent="0.35">
      <c r="A5801">
        <v>1483</v>
      </c>
      <c r="B5801" t="s">
        <v>26964</v>
      </c>
      <c r="C5801" t="s">
        <v>42</v>
      </c>
      <c r="D5801" t="s">
        <v>26965</v>
      </c>
      <c r="E5801" t="e" cm="1">
        <f t="array" ref="E5801">- AMBROXOL HYDROCHLORIDE</f>
        <v>#NAME?</v>
      </c>
      <c r="F5801" t="s">
        <v>26966</v>
      </c>
      <c r="G5801" t="s">
        <v>4649</v>
      </c>
      <c r="H5801" t="s">
        <v>26967</v>
      </c>
      <c r="I5801" t="s">
        <v>26968</v>
      </c>
      <c r="J5801" t="s">
        <v>26969</v>
      </c>
      <c r="K5801" t="s">
        <v>26970</v>
      </c>
      <c r="L5801" t="s">
        <v>8847</v>
      </c>
      <c r="M5801" t="s">
        <v>271</v>
      </c>
      <c r="N5801" t="s">
        <v>1800</v>
      </c>
      <c r="O5801" t="s">
        <v>26971</v>
      </c>
      <c r="P5801" t="s">
        <v>26972</v>
      </c>
      <c r="Q5801" t="s">
        <v>26973</v>
      </c>
      <c r="R5801">
        <v>16</v>
      </c>
      <c r="S5801">
        <v>32</v>
      </c>
    </row>
    <row r="5802" spans="1:19" x14ac:dyDescent="0.35">
      <c r="A5802">
        <v>5062</v>
      </c>
      <c r="B5802" t="s">
        <v>26974</v>
      </c>
      <c r="C5802" t="s">
        <v>42</v>
      </c>
      <c r="D5802" t="s">
        <v>26975</v>
      </c>
      <c r="E5802" t="e" cm="1">
        <f t="array" ref="E5802">- CLOBETASOL PROPIONATE</f>
        <v>#NAME?</v>
      </c>
      <c r="F5802" t="s">
        <v>26976</v>
      </c>
      <c r="G5802" t="s">
        <v>17290</v>
      </c>
      <c r="H5802" t="s">
        <v>26977</v>
      </c>
      <c r="I5802" t="s">
        <v>26978</v>
      </c>
      <c r="J5802" t="s">
        <v>1367</v>
      </c>
      <c r="K5802" t="s">
        <v>26979</v>
      </c>
      <c r="L5802" t="s">
        <v>26980</v>
      </c>
      <c r="M5802" t="s">
        <v>1029</v>
      </c>
      <c r="N5802" t="s">
        <v>3588</v>
      </c>
      <c r="O5802" t="s">
        <v>26981</v>
      </c>
      <c r="P5802" t="s">
        <v>26982</v>
      </c>
      <c r="Q5802" t="s">
        <v>26983</v>
      </c>
      <c r="R5802">
        <v>16</v>
      </c>
      <c r="S5802">
        <v>32</v>
      </c>
    </row>
    <row r="5803" spans="1:19" x14ac:dyDescent="0.35">
      <c r="A5803">
        <v>5063</v>
      </c>
      <c r="B5803" t="s">
        <v>26974</v>
      </c>
      <c r="C5803" t="s">
        <v>42</v>
      </c>
      <c r="D5803" t="s">
        <v>26975</v>
      </c>
      <c r="E5803" t="e" cm="1">
        <f t="array" ref="E5803">- CLOBETASOL PROPIONATE</f>
        <v>#NAME?</v>
      </c>
      <c r="F5803" t="s">
        <v>26976</v>
      </c>
      <c r="G5803" t="s">
        <v>17290</v>
      </c>
      <c r="H5803" t="s">
        <v>26977</v>
      </c>
      <c r="I5803" t="s">
        <v>26978</v>
      </c>
      <c r="J5803" t="s">
        <v>1367</v>
      </c>
      <c r="K5803" t="s">
        <v>26979</v>
      </c>
      <c r="L5803" t="s">
        <v>26980</v>
      </c>
      <c r="M5803" t="s">
        <v>1029</v>
      </c>
      <c r="N5803" t="s">
        <v>3588</v>
      </c>
      <c r="O5803" t="s">
        <v>26981</v>
      </c>
      <c r="P5803" t="s">
        <v>26982</v>
      </c>
      <c r="Q5803" t="s">
        <v>26983</v>
      </c>
      <c r="R5803">
        <v>16</v>
      </c>
      <c r="S5803">
        <v>32</v>
      </c>
    </row>
    <row r="5804" spans="1:19" x14ac:dyDescent="0.35">
      <c r="A5804">
        <v>1482</v>
      </c>
      <c r="B5804" t="s">
        <v>26984</v>
      </c>
      <c r="C5804" t="s">
        <v>42</v>
      </c>
      <c r="D5804" t="s">
        <v>26985</v>
      </c>
      <c r="E5804" t="e" cm="1">
        <f t="array" ref="E5804">- AMBROXOL HYDROCHLORIDE</f>
        <v>#NAME?</v>
      </c>
      <c r="F5804" t="s">
        <v>26986</v>
      </c>
      <c r="G5804" t="s">
        <v>4649</v>
      </c>
      <c r="H5804" t="s">
        <v>26987</v>
      </c>
      <c r="I5804" t="s">
        <v>26968</v>
      </c>
      <c r="J5804" t="s">
        <v>26988</v>
      </c>
      <c r="K5804" t="s">
        <v>26970</v>
      </c>
      <c r="L5804" t="s">
        <v>8847</v>
      </c>
      <c r="M5804" t="s">
        <v>46</v>
      </c>
      <c r="N5804" t="s">
        <v>1800</v>
      </c>
      <c r="O5804" t="s">
        <v>26971</v>
      </c>
      <c r="P5804" t="s">
        <v>26972</v>
      </c>
      <c r="Q5804" t="s">
        <v>26989</v>
      </c>
      <c r="R5804">
        <v>16</v>
      </c>
      <c r="S5804">
        <v>32</v>
      </c>
    </row>
    <row r="5805" spans="1:19" x14ac:dyDescent="0.35">
      <c r="A5805">
        <v>7571</v>
      </c>
      <c r="B5805" t="s">
        <v>26847</v>
      </c>
      <c r="C5805" t="s">
        <v>42</v>
      </c>
      <c r="D5805" t="s">
        <v>26848</v>
      </c>
      <c r="E5805" t="e" cm="1">
        <f t="array" ref="E5805">- FERROUS FUMARATE</f>
        <v>#NAME?</v>
      </c>
      <c r="F5805" t="s">
        <v>26849</v>
      </c>
      <c r="G5805" t="s">
        <v>26850</v>
      </c>
      <c r="H5805" t="s">
        <v>26851</v>
      </c>
      <c r="I5805" t="s">
        <v>26852</v>
      </c>
      <c r="J5805" t="s">
        <v>10764</v>
      </c>
      <c r="K5805" t="s">
        <v>26853</v>
      </c>
      <c r="L5805" t="s">
        <v>26854</v>
      </c>
      <c r="M5805" t="s">
        <v>46</v>
      </c>
      <c r="N5805" t="s">
        <v>26855</v>
      </c>
      <c r="O5805" t="s">
        <v>26856</v>
      </c>
      <c r="P5805" t="s">
        <v>26857</v>
      </c>
      <c r="Q5805" t="s">
        <v>26858</v>
      </c>
      <c r="R5805">
        <v>16</v>
      </c>
      <c r="S5805">
        <v>32</v>
      </c>
    </row>
    <row r="5806" spans="1:19" x14ac:dyDescent="0.35">
      <c r="A5806">
        <v>7320</v>
      </c>
      <c r="B5806" t="s">
        <v>26990</v>
      </c>
      <c r="C5806" t="s">
        <v>42</v>
      </c>
      <c r="D5806" t="s">
        <v>26991</v>
      </c>
      <c r="E5806" t="e" cm="1">
        <f t="array" ref="E5806">- CYPROTERONE ACETATE</f>
        <v>#NAME?</v>
      </c>
      <c r="F5806" t="s">
        <v>26992</v>
      </c>
      <c r="G5806" t="s">
        <v>60</v>
      </c>
      <c r="H5806" t="s">
        <v>26993</v>
      </c>
      <c r="I5806" t="s">
        <v>26994</v>
      </c>
      <c r="J5806" t="s">
        <v>26995</v>
      </c>
      <c r="K5806" t="s">
        <v>26996</v>
      </c>
      <c r="L5806" t="s">
        <v>26997</v>
      </c>
      <c r="M5806" t="s">
        <v>46</v>
      </c>
      <c r="N5806" t="s">
        <v>26998</v>
      </c>
      <c r="O5806" t="s">
        <v>26999</v>
      </c>
      <c r="P5806" t="s">
        <v>27000</v>
      </c>
      <c r="Q5806" t="s">
        <v>27001</v>
      </c>
      <c r="R5806">
        <v>16</v>
      </c>
      <c r="S5806">
        <v>32</v>
      </c>
    </row>
    <row r="5807" spans="1:19" x14ac:dyDescent="0.35">
      <c r="A5807">
        <v>5033</v>
      </c>
      <c r="B5807" t="s">
        <v>27002</v>
      </c>
      <c r="C5807" t="s">
        <v>42</v>
      </c>
      <c r="D5807" t="s">
        <v>27003</v>
      </c>
      <c r="E5807" t="e" cm="1">
        <f t="array" ref="E5807">- CLOBETASOL PROPIONATE</f>
        <v>#NAME?</v>
      </c>
      <c r="F5807" t="s">
        <v>27004</v>
      </c>
      <c r="G5807" t="s">
        <v>27005</v>
      </c>
      <c r="H5807" t="s">
        <v>15768</v>
      </c>
      <c r="I5807" t="s">
        <v>27006</v>
      </c>
      <c r="J5807" t="s">
        <v>7159</v>
      </c>
      <c r="K5807" t="s">
        <v>27007</v>
      </c>
    </row>
    <row r="5808" spans="1:19" x14ac:dyDescent="0.35">
      <c r="A5808">
        <v>5032</v>
      </c>
      <c r="B5808" t="s">
        <v>27002</v>
      </c>
      <c r="C5808" t="s">
        <v>42</v>
      </c>
      <c r="D5808" t="s">
        <v>27003</v>
      </c>
      <c r="E5808" t="e" cm="1">
        <f t="array" ref="E5808">- CLOBETASOL PROPIONATE</f>
        <v>#NAME?</v>
      </c>
      <c r="F5808" t="s">
        <v>27004</v>
      </c>
      <c r="G5808" t="s">
        <v>27005</v>
      </c>
      <c r="H5808" t="s">
        <v>15768</v>
      </c>
      <c r="I5808" t="s">
        <v>27006</v>
      </c>
      <c r="J5808" t="s">
        <v>7159</v>
      </c>
      <c r="K5808" t="s">
        <v>27007</v>
      </c>
    </row>
    <row r="5809" spans="1:19" x14ac:dyDescent="0.35">
      <c r="A5809">
        <v>947</v>
      </c>
      <c r="B5809" t="s">
        <v>9750</v>
      </c>
      <c r="C5809" t="s">
        <v>42</v>
      </c>
      <c r="D5809" t="s">
        <v>26859</v>
      </c>
      <c r="E5809" t="e" cm="1">
        <f t="array" ref="E5809">- CHLORPHENAMINE MALEATE</f>
        <v>#NAME?</v>
      </c>
      <c r="F5809" t="s">
        <v>26860</v>
      </c>
      <c r="G5809" t="s">
        <v>2241</v>
      </c>
      <c r="H5809" t="s">
        <v>26861</v>
      </c>
      <c r="I5809" t="s">
        <v>26862</v>
      </c>
      <c r="J5809" t="s">
        <v>26863</v>
      </c>
      <c r="K5809" t="s">
        <v>9755</v>
      </c>
      <c r="L5809" t="s">
        <v>26864</v>
      </c>
      <c r="M5809" t="s">
        <v>291</v>
      </c>
      <c r="N5809" t="s">
        <v>1354</v>
      </c>
      <c r="O5809" t="s">
        <v>26865</v>
      </c>
      <c r="P5809" t="s">
        <v>9758</v>
      </c>
      <c r="Q5809" t="s">
        <v>26866</v>
      </c>
      <c r="R5809">
        <v>16</v>
      </c>
      <c r="S5809">
        <v>32</v>
      </c>
    </row>
    <row r="5810" spans="1:19" x14ac:dyDescent="0.35">
      <c r="A5810">
        <v>7230</v>
      </c>
      <c r="B5810" t="s">
        <v>27008</v>
      </c>
      <c r="C5810" t="s">
        <v>20</v>
      </c>
      <c r="D5810" t="s">
        <v>27009</v>
      </c>
      <c r="E5810" t="s">
        <v>27010</v>
      </c>
      <c r="F5810" t="s">
        <v>27011</v>
      </c>
      <c r="G5810" t="s">
        <v>27012</v>
      </c>
      <c r="H5810" t="s">
        <v>13586</v>
      </c>
      <c r="I5810" t="s">
        <v>27013</v>
      </c>
      <c r="J5810" t="s">
        <v>829</v>
      </c>
      <c r="K5810" t="s">
        <v>2858</v>
      </c>
      <c r="L5810" t="s">
        <v>27014</v>
      </c>
      <c r="M5810" t="s">
        <v>2115</v>
      </c>
      <c r="N5810" t="s">
        <v>27015</v>
      </c>
      <c r="O5810" t="s">
        <v>27016</v>
      </c>
      <c r="P5810" t="s">
        <v>27017</v>
      </c>
      <c r="Q5810" t="s">
        <v>27018</v>
      </c>
      <c r="R5810">
        <v>16</v>
      </c>
      <c r="S5810">
        <v>32</v>
      </c>
    </row>
    <row r="5811" spans="1:19" x14ac:dyDescent="0.35">
      <c r="A5811">
        <v>5121</v>
      </c>
      <c r="B5811" t="s">
        <v>26867</v>
      </c>
      <c r="C5811" t="s">
        <v>42</v>
      </c>
      <c r="D5811" t="s">
        <v>26868</v>
      </c>
      <c r="E5811" t="e" cm="1">
        <f t="array" ref="E5811">- MOMETASONE FUROATE</f>
        <v>#NAME?</v>
      </c>
      <c r="F5811" t="s">
        <v>26869</v>
      </c>
      <c r="G5811" t="s">
        <v>19614</v>
      </c>
      <c r="H5811" t="s">
        <v>6538</v>
      </c>
      <c r="I5811" t="s">
        <v>24588</v>
      </c>
      <c r="J5811" t="s">
        <v>13798</v>
      </c>
      <c r="K5811" t="s">
        <v>26870</v>
      </c>
      <c r="L5811" t="s">
        <v>26871</v>
      </c>
      <c r="M5811" t="s">
        <v>1289</v>
      </c>
      <c r="N5811" t="s">
        <v>13785</v>
      </c>
      <c r="O5811" t="s">
        <v>24589</v>
      </c>
      <c r="P5811" t="s">
        <v>26872</v>
      </c>
      <c r="Q5811" t="s">
        <v>26873</v>
      </c>
      <c r="R5811">
        <v>16</v>
      </c>
      <c r="S5811">
        <v>32</v>
      </c>
    </row>
    <row r="5812" spans="1:19" x14ac:dyDescent="0.35">
      <c r="A5812">
        <v>9024</v>
      </c>
      <c r="B5812" t="s">
        <v>22162</v>
      </c>
      <c r="C5812" t="s">
        <v>42</v>
      </c>
      <c r="D5812" t="s">
        <v>22163</v>
      </c>
      <c r="E5812" t="e" cm="1">
        <f t="array" ref="E5812">- CANDESARTAN CILEXETIL. HYDROCHLOROTHIAZIDE</f>
        <v>#NAME?</v>
      </c>
      <c r="F5812" s="1">
        <v>146500</v>
      </c>
      <c r="G5812" t="s">
        <v>6869</v>
      </c>
      <c r="H5812" t="s">
        <v>2643</v>
      </c>
      <c r="I5812" t="s">
        <v>22164</v>
      </c>
      <c r="J5812" t="s">
        <v>22165</v>
      </c>
      <c r="K5812" t="s">
        <v>22166</v>
      </c>
      <c r="L5812" t="s">
        <v>22167</v>
      </c>
      <c r="M5812" t="s">
        <v>46</v>
      </c>
      <c r="N5812" t="s">
        <v>27019</v>
      </c>
      <c r="O5812" t="s">
        <v>22169</v>
      </c>
      <c r="P5812" t="s">
        <v>22170</v>
      </c>
      <c r="Q5812" t="s">
        <v>27020</v>
      </c>
      <c r="R5812">
        <v>16</v>
      </c>
      <c r="S5812">
        <v>32</v>
      </c>
    </row>
    <row r="5813" spans="1:19" x14ac:dyDescent="0.35">
      <c r="A5813">
        <v>9025</v>
      </c>
      <c r="B5813" t="s">
        <v>22162</v>
      </c>
      <c r="C5813" t="s">
        <v>42</v>
      </c>
      <c r="D5813" t="s">
        <v>22163</v>
      </c>
      <c r="E5813" t="e" cm="1">
        <f t="array" ref="E5813">- CANDESARTAN CILEXETIL. HYDROCHLOROTHIAZIDE</f>
        <v>#NAME?</v>
      </c>
      <c r="F5813" s="1">
        <v>146500</v>
      </c>
      <c r="G5813" t="s">
        <v>6869</v>
      </c>
      <c r="H5813" t="s">
        <v>2643</v>
      </c>
      <c r="I5813" t="s">
        <v>22164</v>
      </c>
      <c r="J5813" t="s">
        <v>22165</v>
      </c>
      <c r="K5813" t="s">
        <v>22166</v>
      </c>
      <c r="L5813" t="s">
        <v>22167</v>
      </c>
      <c r="M5813" t="s">
        <v>46</v>
      </c>
      <c r="N5813" t="s">
        <v>27019</v>
      </c>
      <c r="O5813" t="s">
        <v>22169</v>
      </c>
      <c r="P5813" t="s">
        <v>22170</v>
      </c>
      <c r="Q5813" t="s">
        <v>27020</v>
      </c>
      <c r="R5813">
        <v>16</v>
      </c>
      <c r="S5813">
        <v>32</v>
      </c>
    </row>
    <row r="5814" spans="1:19" x14ac:dyDescent="0.35">
      <c r="A5814">
        <v>3255</v>
      </c>
      <c r="B5814" t="s">
        <v>27021</v>
      </c>
      <c r="C5814" t="s">
        <v>42</v>
      </c>
      <c r="D5814" t="s">
        <v>27022</v>
      </c>
      <c r="E5814" t="e" cm="1">
        <f t="array" ref="E5814">- ESOMEPRAZOLE MAGNESIUM</f>
        <v>#NAME?</v>
      </c>
      <c r="F5814" s="1">
        <v>117300</v>
      </c>
      <c r="G5814" t="s">
        <v>27023</v>
      </c>
      <c r="H5814" t="s">
        <v>27024</v>
      </c>
      <c r="I5814" t="s">
        <v>27025</v>
      </c>
      <c r="J5814" t="s">
        <v>27026</v>
      </c>
      <c r="K5814" t="s">
        <v>27027</v>
      </c>
      <c r="L5814" t="s">
        <v>27028</v>
      </c>
      <c r="M5814" t="s">
        <v>46</v>
      </c>
      <c r="N5814" t="s">
        <v>1978</v>
      </c>
      <c r="O5814" t="s">
        <v>27029</v>
      </c>
      <c r="P5814" t="s">
        <v>2148</v>
      </c>
      <c r="Q5814" t="s">
        <v>27030</v>
      </c>
      <c r="R5814">
        <v>16</v>
      </c>
      <c r="S5814">
        <v>32</v>
      </c>
    </row>
    <row r="5815" spans="1:19" x14ac:dyDescent="0.35">
      <c r="A5815">
        <v>5417</v>
      </c>
      <c r="B5815" t="s">
        <v>27031</v>
      </c>
      <c r="C5815" t="s">
        <v>42</v>
      </c>
      <c r="D5815" t="s">
        <v>27032</v>
      </c>
      <c r="E5815" t="e" cm="1">
        <f t="array" ref="E5815">- FLUOCINOLONE ACETONIDE</f>
        <v>#NAME?</v>
      </c>
      <c r="F5815" t="s">
        <v>27033</v>
      </c>
      <c r="G5815" t="s">
        <v>27034</v>
      </c>
      <c r="H5815" t="s">
        <v>9718</v>
      </c>
      <c r="I5815" t="s">
        <v>27035</v>
      </c>
      <c r="J5815" t="s">
        <v>9720</v>
      </c>
      <c r="K5815" t="s">
        <v>27036</v>
      </c>
      <c r="L5815" t="s">
        <v>27037</v>
      </c>
      <c r="M5815" t="s">
        <v>1029</v>
      </c>
      <c r="N5815" t="s">
        <v>2766</v>
      </c>
      <c r="O5815" t="s">
        <v>27038</v>
      </c>
      <c r="P5815" t="s">
        <v>27039</v>
      </c>
      <c r="Q5815" t="s">
        <v>27040</v>
      </c>
      <c r="R5815">
        <v>16</v>
      </c>
      <c r="S5815">
        <v>32</v>
      </c>
    </row>
    <row r="5816" spans="1:19" x14ac:dyDescent="0.35">
      <c r="A5816">
        <v>5538</v>
      </c>
      <c r="B5816" t="s">
        <v>24123</v>
      </c>
      <c r="C5816" t="s">
        <v>42</v>
      </c>
      <c r="D5816" t="s">
        <v>24124</v>
      </c>
      <c r="E5816" t="e" cm="1">
        <f t="array" ref="E5816">- LIDOCAINE. PRILOCAINE</f>
        <v>#NAME?</v>
      </c>
      <c r="F5816" t="s">
        <v>24125</v>
      </c>
      <c r="G5816" t="s">
        <v>24126</v>
      </c>
      <c r="H5816" t="s">
        <v>24127</v>
      </c>
      <c r="I5816" t="s">
        <v>24128</v>
      </c>
      <c r="J5816" t="s">
        <v>1684</v>
      </c>
      <c r="K5816" t="s">
        <v>24129</v>
      </c>
      <c r="L5816" t="s">
        <v>24130</v>
      </c>
    </row>
    <row r="5817" spans="1:19" x14ac:dyDescent="0.35">
      <c r="A5817">
        <v>1406</v>
      </c>
      <c r="B5817" t="s">
        <v>27041</v>
      </c>
      <c r="C5817" t="s">
        <v>42</v>
      </c>
      <c r="D5817" t="s">
        <v>27042</v>
      </c>
      <c r="E5817" t="e" cm="1">
        <f t="array" ref="E5817">- BROMHEXINE HYDROCHLORIDE</f>
        <v>#NAME?</v>
      </c>
      <c r="F5817" t="s">
        <v>26572</v>
      </c>
      <c r="G5817" t="s">
        <v>2241</v>
      </c>
      <c r="H5817" t="s">
        <v>27043</v>
      </c>
      <c r="I5817" t="s">
        <v>24784</v>
      </c>
      <c r="J5817" t="s">
        <v>334</v>
      </c>
      <c r="L5817" t="s">
        <v>270</v>
      </c>
      <c r="M5817" t="s">
        <v>554</v>
      </c>
      <c r="N5817" t="s">
        <v>1342</v>
      </c>
      <c r="O5817" t="s">
        <v>24786</v>
      </c>
      <c r="P5817" t="s">
        <v>27044</v>
      </c>
      <c r="Q5817" t="s">
        <v>27045</v>
      </c>
      <c r="R5817">
        <v>16</v>
      </c>
      <c r="S5817">
        <v>32</v>
      </c>
    </row>
    <row r="5818" spans="1:19" x14ac:dyDescent="0.35">
      <c r="A5818">
        <v>5536</v>
      </c>
      <c r="B5818" t="s">
        <v>22911</v>
      </c>
      <c r="C5818" t="s">
        <v>42</v>
      </c>
      <c r="D5818" t="s">
        <v>22912</v>
      </c>
      <c r="E5818" t="e" cm="1">
        <f t="array" ref="E5818">- HEPARIN SODIUM. BENZYL Nicotinate</f>
        <v>#NAME?</v>
      </c>
      <c r="F5818" t="s">
        <v>22913</v>
      </c>
      <c r="G5818" t="s">
        <v>17269</v>
      </c>
      <c r="H5818" t="s">
        <v>22914</v>
      </c>
      <c r="I5818" t="s">
        <v>22915</v>
      </c>
      <c r="J5818" t="s">
        <v>7187</v>
      </c>
      <c r="K5818" t="s">
        <v>8963</v>
      </c>
      <c r="L5818" t="s">
        <v>17273</v>
      </c>
      <c r="M5818" t="s">
        <v>1029</v>
      </c>
      <c r="N5818" t="s">
        <v>27046</v>
      </c>
      <c r="O5818" t="s">
        <v>22917</v>
      </c>
      <c r="P5818" t="s">
        <v>22918</v>
      </c>
      <c r="Q5818" t="s">
        <v>27047</v>
      </c>
      <c r="R5818">
        <v>16</v>
      </c>
      <c r="S5818">
        <v>32</v>
      </c>
    </row>
    <row r="5819" spans="1:19" x14ac:dyDescent="0.35">
      <c r="A5819">
        <v>2671</v>
      </c>
      <c r="B5819" t="s">
        <v>27048</v>
      </c>
      <c r="C5819" t="s">
        <v>42</v>
      </c>
      <c r="D5819" t="s">
        <v>27049</v>
      </c>
      <c r="E5819" t="e" cm="1">
        <f t="array" ref="E5819">- PARACETAMOL</f>
        <v>#NAME?</v>
      </c>
      <c r="F5819" t="s">
        <v>27050</v>
      </c>
      <c r="H5819" t="s">
        <v>27051</v>
      </c>
      <c r="I5819" t="s">
        <v>27052</v>
      </c>
      <c r="J5819" t="s">
        <v>945</v>
      </c>
      <c r="M5819" t="s">
        <v>271</v>
      </c>
      <c r="N5819" t="s">
        <v>584</v>
      </c>
      <c r="O5819" t="s">
        <v>27053</v>
      </c>
      <c r="P5819" t="s">
        <v>12548</v>
      </c>
      <c r="Q5819" t="s">
        <v>27054</v>
      </c>
      <c r="R5819">
        <v>16</v>
      </c>
      <c r="S5819">
        <v>32</v>
      </c>
    </row>
    <row r="5820" spans="1:19" x14ac:dyDescent="0.35">
      <c r="A5820">
        <v>2897</v>
      </c>
      <c r="B5820" t="s">
        <v>27055</v>
      </c>
      <c r="C5820" t="s">
        <v>42</v>
      </c>
      <c r="D5820" t="s">
        <v>27056</v>
      </c>
      <c r="E5820" t="e" cm="1">
        <f t="array" ref="E5820">- PARACETAMOL</f>
        <v>#NAME?</v>
      </c>
      <c r="F5820" t="s">
        <v>27057</v>
      </c>
      <c r="G5820" t="s">
        <v>2241</v>
      </c>
      <c r="H5820" t="s">
        <v>17209</v>
      </c>
      <c r="I5820" t="s">
        <v>25631</v>
      </c>
      <c r="J5820" t="s">
        <v>846</v>
      </c>
      <c r="K5820" t="s">
        <v>16924</v>
      </c>
      <c r="L5820" t="s">
        <v>16925</v>
      </c>
      <c r="M5820" t="s">
        <v>271</v>
      </c>
      <c r="N5820" t="s">
        <v>584</v>
      </c>
      <c r="O5820" t="s">
        <v>25515</v>
      </c>
      <c r="P5820" t="s">
        <v>25728</v>
      </c>
      <c r="Q5820" t="s">
        <v>27058</v>
      </c>
      <c r="R5820">
        <v>16</v>
      </c>
      <c r="S5820">
        <v>32</v>
      </c>
    </row>
    <row r="5821" spans="1:19" x14ac:dyDescent="0.35">
      <c r="A5821">
        <v>2672</v>
      </c>
      <c r="B5821" t="s">
        <v>27048</v>
      </c>
      <c r="C5821" t="s">
        <v>42</v>
      </c>
      <c r="D5821" t="s">
        <v>27049</v>
      </c>
      <c r="E5821" t="e" cm="1">
        <f t="array" ref="E5821">- PARACETAMOL</f>
        <v>#NAME?</v>
      </c>
      <c r="F5821" t="s">
        <v>27050</v>
      </c>
      <c r="H5821" t="s">
        <v>27051</v>
      </c>
      <c r="I5821" t="s">
        <v>27052</v>
      </c>
      <c r="J5821" t="s">
        <v>945</v>
      </c>
      <c r="M5821" t="s">
        <v>271</v>
      </c>
      <c r="N5821" t="s">
        <v>584</v>
      </c>
      <c r="O5821" t="s">
        <v>27053</v>
      </c>
      <c r="P5821" t="s">
        <v>12548</v>
      </c>
      <c r="Q5821" t="s">
        <v>27054</v>
      </c>
      <c r="R5821">
        <v>16</v>
      </c>
      <c r="S5821">
        <v>32</v>
      </c>
    </row>
    <row r="5822" spans="1:19" x14ac:dyDescent="0.35">
      <c r="A5822">
        <v>2674</v>
      </c>
      <c r="B5822" t="s">
        <v>27048</v>
      </c>
      <c r="C5822" t="s">
        <v>42</v>
      </c>
      <c r="D5822" t="s">
        <v>27049</v>
      </c>
      <c r="E5822" t="e" cm="1">
        <f t="array" ref="E5822">- PARACETAMOL</f>
        <v>#NAME?</v>
      </c>
      <c r="F5822" t="s">
        <v>27050</v>
      </c>
      <c r="H5822" t="s">
        <v>27051</v>
      </c>
      <c r="I5822" t="s">
        <v>27052</v>
      </c>
      <c r="J5822" t="s">
        <v>945</v>
      </c>
      <c r="M5822" t="s">
        <v>271</v>
      </c>
      <c r="N5822" t="s">
        <v>584</v>
      </c>
      <c r="O5822" t="s">
        <v>27053</v>
      </c>
      <c r="P5822" t="s">
        <v>12548</v>
      </c>
      <c r="Q5822" t="s">
        <v>27054</v>
      </c>
      <c r="R5822">
        <v>16</v>
      </c>
      <c r="S5822">
        <v>32</v>
      </c>
    </row>
    <row r="5823" spans="1:19" x14ac:dyDescent="0.35">
      <c r="A5823">
        <v>966</v>
      </c>
      <c r="B5823" t="s">
        <v>27059</v>
      </c>
      <c r="C5823" t="s">
        <v>42</v>
      </c>
      <c r="D5823" t="s">
        <v>27060</v>
      </c>
      <c r="E5823" t="e" cm="1">
        <f t="array" ref="E5823">- CHLORPHENAMINE MALEATE</f>
        <v>#NAME?</v>
      </c>
      <c r="F5823" t="s">
        <v>6858</v>
      </c>
      <c r="G5823" t="s">
        <v>2241</v>
      </c>
      <c r="H5823" t="s">
        <v>27061</v>
      </c>
      <c r="I5823" t="s">
        <v>27062</v>
      </c>
      <c r="J5823" t="s">
        <v>23421</v>
      </c>
      <c r="K5823" t="s">
        <v>22973</v>
      </c>
      <c r="L5823" t="s">
        <v>27063</v>
      </c>
      <c r="M5823" t="s">
        <v>291</v>
      </c>
      <c r="N5823" t="s">
        <v>1354</v>
      </c>
      <c r="O5823" t="s">
        <v>27064</v>
      </c>
      <c r="P5823" t="s">
        <v>27065</v>
      </c>
      <c r="Q5823" t="s">
        <v>27066</v>
      </c>
      <c r="R5823">
        <v>16</v>
      </c>
      <c r="S5823">
        <v>32</v>
      </c>
    </row>
    <row r="5824" spans="1:19" x14ac:dyDescent="0.35">
      <c r="A5824">
        <v>2675</v>
      </c>
      <c r="B5824" t="s">
        <v>27067</v>
      </c>
      <c r="C5824" t="s">
        <v>42</v>
      </c>
      <c r="D5824" t="s">
        <v>27068</v>
      </c>
      <c r="E5824" t="e" cm="1">
        <f t="array" ref="E5824">- PARACETAMOL</f>
        <v>#NAME?</v>
      </c>
      <c r="F5824" t="s">
        <v>27069</v>
      </c>
      <c r="G5824" t="s">
        <v>4362</v>
      </c>
      <c r="H5824" t="s">
        <v>9708</v>
      </c>
      <c r="I5824" t="s">
        <v>25514</v>
      </c>
      <c r="J5824" t="s">
        <v>17253</v>
      </c>
      <c r="L5824" t="s">
        <v>18419</v>
      </c>
      <c r="M5824" t="s">
        <v>46</v>
      </c>
      <c r="N5824" t="s">
        <v>584</v>
      </c>
      <c r="O5824" t="s">
        <v>25515</v>
      </c>
      <c r="P5824" t="s">
        <v>12462</v>
      </c>
      <c r="Q5824" t="s">
        <v>27070</v>
      </c>
      <c r="R5824">
        <v>16</v>
      </c>
      <c r="S5824">
        <v>32</v>
      </c>
    </row>
    <row r="5825" spans="1:19" x14ac:dyDescent="0.35">
      <c r="A5825">
        <v>2676</v>
      </c>
      <c r="B5825" t="s">
        <v>27067</v>
      </c>
      <c r="C5825" t="s">
        <v>42</v>
      </c>
      <c r="D5825" t="s">
        <v>27068</v>
      </c>
      <c r="E5825" t="e" cm="1">
        <f t="array" ref="E5825">- PARACETAMOL</f>
        <v>#NAME?</v>
      </c>
      <c r="F5825" t="s">
        <v>27069</v>
      </c>
      <c r="G5825" t="s">
        <v>4362</v>
      </c>
      <c r="H5825" t="s">
        <v>9708</v>
      </c>
      <c r="I5825" t="s">
        <v>25514</v>
      </c>
      <c r="J5825" t="s">
        <v>17253</v>
      </c>
      <c r="L5825" t="s">
        <v>18419</v>
      </c>
      <c r="M5825" t="s">
        <v>46</v>
      </c>
      <c r="N5825" t="s">
        <v>584</v>
      </c>
      <c r="O5825" t="s">
        <v>25515</v>
      </c>
      <c r="P5825" t="s">
        <v>12462</v>
      </c>
      <c r="Q5825" t="s">
        <v>27070</v>
      </c>
      <c r="R5825">
        <v>16</v>
      </c>
      <c r="S5825">
        <v>32</v>
      </c>
    </row>
    <row r="5826" spans="1:19" x14ac:dyDescent="0.35">
      <c r="A5826">
        <v>2677</v>
      </c>
      <c r="B5826" t="s">
        <v>27067</v>
      </c>
      <c r="C5826" t="s">
        <v>42</v>
      </c>
      <c r="D5826" t="s">
        <v>27068</v>
      </c>
      <c r="E5826" t="e" cm="1">
        <f t="array" ref="E5826">- PARACETAMOL</f>
        <v>#NAME?</v>
      </c>
      <c r="F5826" t="s">
        <v>27069</v>
      </c>
      <c r="G5826" t="s">
        <v>4362</v>
      </c>
      <c r="H5826" t="s">
        <v>9708</v>
      </c>
      <c r="I5826" t="s">
        <v>25514</v>
      </c>
      <c r="J5826" t="s">
        <v>17253</v>
      </c>
      <c r="L5826" t="s">
        <v>18419</v>
      </c>
      <c r="M5826" t="s">
        <v>46</v>
      </c>
      <c r="N5826" t="s">
        <v>584</v>
      </c>
      <c r="O5826" t="s">
        <v>25515</v>
      </c>
      <c r="P5826" t="s">
        <v>12462</v>
      </c>
      <c r="Q5826" t="s">
        <v>27070</v>
      </c>
      <c r="R5826">
        <v>16</v>
      </c>
      <c r="S5826">
        <v>32</v>
      </c>
    </row>
    <row r="5827" spans="1:19" x14ac:dyDescent="0.35">
      <c r="A5827">
        <v>5517</v>
      </c>
      <c r="B5827" t="s">
        <v>27071</v>
      </c>
      <c r="C5827" t="s">
        <v>42</v>
      </c>
      <c r="D5827" t="s">
        <v>27072</v>
      </c>
      <c r="E5827" t="e" cm="1">
        <f t="array" ref="E5827">- HYDROCORTISONE ACETATE</f>
        <v>#NAME?</v>
      </c>
      <c r="F5827" t="s">
        <v>27073</v>
      </c>
      <c r="H5827" t="s">
        <v>27074</v>
      </c>
      <c r="I5827" t="s">
        <v>27075</v>
      </c>
      <c r="J5827" t="s">
        <v>23091</v>
      </c>
      <c r="K5827" t="s">
        <v>27076</v>
      </c>
      <c r="L5827" t="s">
        <v>27077</v>
      </c>
      <c r="M5827" t="s">
        <v>1289</v>
      </c>
      <c r="N5827" t="s">
        <v>7168</v>
      </c>
      <c r="O5827" t="s">
        <v>27078</v>
      </c>
      <c r="P5827" t="s">
        <v>27079</v>
      </c>
      <c r="Q5827" t="s">
        <v>27080</v>
      </c>
      <c r="R5827">
        <v>16</v>
      </c>
      <c r="S5827">
        <v>32</v>
      </c>
    </row>
    <row r="5828" spans="1:19" x14ac:dyDescent="0.35">
      <c r="A5828">
        <v>2696</v>
      </c>
      <c r="B5828" t="s">
        <v>27081</v>
      </c>
      <c r="C5828" t="s">
        <v>42</v>
      </c>
      <c r="D5828" t="s">
        <v>27082</v>
      </c>
      <c r="E5828" t="e" cm="1">
        <f t="array" ref="E5828">- PIROXICAM</f>
        <v>#NAME?</v>
      </c>
      <c r="F5828" t="s">
        <v>27083</v>
      </c>
      <c r="G5828" t="s">
        <v>2241</v>
      </c>
      <c r="H5828" t="s">
        <v>27084</v>
      </c>
      <c r="I5828" t="s">
        <v>27085</v>
      </c>
      <c r="J5828" t="s">
        <v>810</v>
      </c>
      <c r="K5828" t="s">
        <v>27086</v>
      </c>
      <c r="M5828" t="s">
        <v>38</v>
      </c>
      <c r="N5828" t="s">
        <v>605</v>
      </c>
      <c r="O5828" t="s">
        <v>27087</v>
      </c>
      <c r="P5828" t="s">
        <v>27088</v>
      </c>
      <c r="Q5828" t="s">
        <v>27089</v>
      </c>
      <c r="R5828">
        <v>16</v>
      </c>
      <c r="S5828">
        <v>32</v>
      </c>
    </row>
    <row r="5829" spans="1:19" x14ac:dyDescent="0.35">
      <c r="A5829">
        <v>2697</v>
      </c>
      <c r="B5829" t="s">
        <v>27081</v>
      </c>
      <c r="C5829" t="s">
        <v>42</v>
      </c>
      <c r="D5829" t="s">
        <v>27082</v>
      </c>
      <c r="E5829" t="e" cm="1">
        <f t="array" ref="E5829">- PIROXICAM</f>
        <v>#NAME?</v>
      </c>
      <c r="F5829" t="s">
        <v>27083</v>
      </c>
      <c r="G5829" t="s">
        <v>2241</v>
      </c>
      <c r="H5829" t="s">
        <v>27084</v>
      </c>
      <c r="I5829" t="s">
        <v>27085</v>
      </c>
      <c r="J5829" t="s">
        <v>810</v>
      </c>
      <c r="K5829" t="s">
        <v>27086</v>
      </c>
      <c r="M5829" t="s">
        <v>38</v>
      </c>
      <c r="N5829" t="s">
        <v>605</v>
      </c>
      <c r="O5829" t="s">
        <v>27087</v>
      </c>
      <c r="P5829" t="s">
        <v>27088</v>
      </c>
      <c r="Q5829" t="s">
        <v>27089</v>
      </c>
      <c r="R5829">
        <v>16</v>
      </c>
      <c r="S5829">
        <v>32</v>
      </c>
    </row>
    <row r="5830" spans="1:19" x14ac:dyDescent="0.35">
      <c r="A5830">
        <v>967</v>
      </c>
      <c r="B5830" t="s">
        <v>27059</v>
      </c>
      <c r="C5830" t="s">
        <v>42</v>
      </c>
      <c r="D5830" t="s">
        <v>27060</v>
      </c>
      <c r="E5830" t="e" cm="1">
        <f t="array" ref="E5830">- CHLORPHENAMINE MALEATE</f>
        <v>#NAME?</v>
      </c>
      <c r="F5830" t="s">
        <v>6858</v>
      </c>
      <c r="G5830" t="s">
        <v>2241</v>
      </c>
      <c r="H5830" t="s">
        <v>27061</v>
      </c>
      <c r="I5830" t="s">
        <v>27062</v>
      </c>
      <c r="J5830" t="s">
        <v>23421</v>
      </c>
      <c r="K5830" t="s">
        <v>22973</v>
      </c>
      <c r="L5830" t="s">
        <v>27063</v>
      </c>
      <c r="M5830" t="s">
        <v>291</v>
      </c>
      <c r="N5830" t="s">
        <v>1354</v>
      </c>
      <c r="O5830" t="s">
        <v>27064</v>
      </c>
      <c r="P5830" t="s">
        <v>27065</v>
      </c>
      <c r="Q5830" t="s">
        <v>27066</v>
      </c>
      <c r="R5830">
        <v>16</v>
      </c>
      <c r="S5830">
        <v>32</v>
      </c>
    </row>
    <row r="5831" spans="1:19" x14ac:dyDescent="0.35">
      <c r="A5831">
        <v>968</v>
      </c>
      <c r="B5831" t="s">
        <v>27059</v>
      </c>
      <c r="C5831" t="s">
        <v>42</v>
      </c>
      <c r="D5831" t="s">
        <v>27060</v>
      </c>
      <c r="E5831" t="e" cm="1">
        <f t="array" ref="E5831">- CHLORPHENAMINE MALEATE</f>
        <v>#NAME?</v>
      </c>
      <c r="F5831" t="s">
        <v>6858</v>
      </c>
      <c r="G5831" t="s">
        <v>2241</v>
      </c>
      <c r="H5831" t="s">
        <v>27061</v>
      </c>
      <c r="I5831" t="s">
        <v>27062</v>
      </c>
      <c r="J5831" t="s">
        <v>23421</v>
      </c>
      <c r="K5831" t="s">
        <v>22973</v>
      </c>
      <c r="L5831" t="s">
        <v>27063</v>
      </c>
      <c r="M5831" t="s">
        <v>291</v>
      </c>
      <c r="N5831" t="s">
        <v>1354</v>
      </c>
      <c r="O5831" t="s">
        <v>27064</v>
      </c>
      <c r="P5831" t="s">
        <v>27065</v>
      </c>
      <c r="Q5831" t="s">
        <v>27066</v>
      </c>
      <c r="R5831">
        <v>16</v>
      </c>
      <c r="S5831">
        <v>32</v>
      </c>
    </row>
    <row r="5832" spans="1:19" x14ac:dyDescent="0.35">
      <c r="A5832">
        <v>8496</v>
      </c>
      <c r="B5832" t="s">
        <v>551</v>
      </c>
      <c r="C5832" t="s">
        <v>42</v>
      </c>
      <c r="D5832" t="s">
        <v>26892</v>
      </c>
      <c r="E5832" t="e" cm="1">
        <f t="array" ref="E5832">- POVIDONE-IODINE</f>
        <v>#NAME?</v>
      </c>
      <c r="F5832" t="s">
        <v>26893</v>
      </c>
      <c r="I5832" t="s">
        <v>26894</v>
      </c>
      <c r="J5832" t="s">
        <v>26895</v>
      </c>
      <c r="M5832" t="s">
        <v>554</v>
      </c>
      <c r="N5832" t="s">
        <v>555</v>
      </c>
      <c r="O5832" t="s">
        <v>26896</v>
      </c>
      <c r="P5832" t="s">
        <v>26897</v>
      </c>
      <c r="Q5832" t="s">
        <v>26898</v>
      </c>
      <c r="R5832">
        <v>16</v>
      </c>
      <c r="S5832">
        <v>32</v>
      </c>
    </row>
    <row r="5833" spans="1:19" x14ac:dyDescent="0.35">
      <c r="A5833">
        <v>2673</v>
      </c>
      <c r="B5833" t="s">
        <v>27048</v>
      </c>
      <c r="C5833" t="s">
        <v>42</v>
      </c>
      <c r="D5833" t="s">
        <v>27049</v>
      </c>
      <c r="E5833" t="e" cm="1">
        <f t="array" ref="E5833">- PARACETAMOL</f>
        <v>#NAME?</v>
      </c>
      <c r="F5833" t="s">
        <v>27050</v>
      </c>
      <c r="H5833" t="s">
        <v>27051</v>
      </c>
      <c r="I5833" t="s">
        <v>27052</v>
      </c>
      <c r="J5833" t="s">
        <v>945</v>
      </c>
      <c r="M5833" t="s">
        <v>271</v>
      </c>
      <c r="N5833" t="s">
        <v>584</v>
      </c>
      <c r="O5833" t="s">
        <v>27053</v>
      </c>
      <c r="P5833" t="s">
        <v>12548</v>
      </c>
      <c r="Q5833" t="s">
        <v>27054</v>
      </c>
      <c r="R5833">
        <v>16</v>
      </c>
      <c r="S5833">
        <v>32</v>
      </c>
    </row>
    <row r="5834" spans="1:19" x14ac:dyDescent="0.35">
      <c r="A5834">
        <v>3331</v>
      </c>
      <c r="B5834" t="s">
        <v>27090</v>
      </c>
      <c r="C5834" t="s">
        <v>42</v>
      </c>
      <c r="D5834" t="s">
        <v>27091</v>
      </c>
      <c r="E5834" t="e" cm="1">
        <f t="array" ref="E5834">- DRIED ALUMINIUM HYDROXIDE GEL</f>
        <v>#NAME?</v>
      </c>
      <c r="F5834" t="s">
        <v>27092</v>
      </c>
      <c r="G5834" t="s">
        <v>27093</v>
      </c>
      <c r="H5834" t="s">
        <v>27094</v>
      </c>
      <c r="I5834" t="s">
        <v>27095</v>
      </c>
      <c r="J5834" t="s">
        <v>27096</v>
      </c>
      <c r="K5834" t="s">
        <v>27097</v>
      </c>
      <c r="L5834" t="s">
        <v>27098</v>
      </c>
      <c r="M5834" t="s">
        <v>46</v>
      </c>
      <c r="N5834" t="s">
        <v>4172</v>
      </c>
      <c r="O5834" t="s">
        <v>27099</v>
      </c>
      <c r="P5834" t="s">
        <v>27100</v>
      </c>
      <c r="Q5834" t="s">
        <v>27101</v>
      </c>
      <c r="R5834">
        <v>16</v>
      </c>
      <c r="S5834">
        <v>32</v>
      </c>
    </row>
    <row r="5835" spans="1:19" x14ac:dyDescent="0.35">
      <c r="A5835">
        <v>1481</v>
      </c>
      <c r="B5835" t="s">
        <v>26984</v>
      </c>
      <c r="C5835" t="s">
        <v>42</v>
      </c>
      <c r="D5835" t="s">
        <v>26985</v>
      </c>
      <c r="E5835" t="e" cm="1">
        <f t="array" ref="E5835">- AMBROXOL HYDROCHLORIDE</f>
        <v>#NAME?</v>
      </c>
      <c r="F5835" t="s">
        <v>26986</v>
      </c>
      <c r="G5835" t="s">
        <v>4649</v>
      </c>
      <c r="H5835" t="s">
        <v>26987</v>
      </c>
      <c r="I5835" t="s">
        <v>26968</v>
      </c>
      <c r="J5835" t="s">
        <v>26988</v>
      </c>
      <c r="K5835" t="s">
        <v>26970</v>
      </c>
      <c r="L5835" t="s">
        <v>8847</v>
      </c>
      <c r="M5835" t="s">
        <v>46</v>
      </c>
      <c r="N5835" t="s">
        <v>1800</v>
      </c>
      <c r="O5835" t="s">
        <v>26971</v>
      </c>
      <c r="P5835" t="s">
        <v>26972</v>
      </c>
      <c r="Q5835" t="s">
        <v>26989</v>
      </c>
      <c r="R5835">
        <v>16</v>
      </c>
      <c r="S5835">
        <v>32</v>
      </c>
    </row>
    <row r="5836" spans="1:19" x14ac:dyDescent="0.35">
      <c r="A5836">
        <v>1048</v>
      </c>
      <c r="B5836" t="s">
        <v>27102</v>
      </c>
      <c r="C5836" t="s">
        <v>42</v>
      </c>
      <c r="D5836" t="s">
        <v>27103</v>
      </c>
      <c r="E5836" t="e" cm="1">
        <f t="array" ref="E5836">- PSEUDOEPHEDRINE HYDROCHLORIDE. DIPHENHYDRAMINE HYDROCHLORIDE. SODIUM CITRATE DIHYDRATE. GUAIFENESIN</f>
        <v>#NAME?</v>
      </c>
      <c r="F5836" t="s">
        <v>27104</v>
      </c>
      <c r="G5836" t="s">
        <v>2241</v>
      </c>
      <c r="H5836" t="s">
        <v>27105</v>
      </c>
    </row>
    <row r="5837" spans="1:19" x14ac:dyDescent="0.35">
      <c r="A5837">
        <v>4905</v>
      </c>
      <c r="B5837" t="s">
        <v>27106</v>
      </c>
      <c r="C5837" t="s">
        <v>42</v>
      </c>
      <c r="D5837" t="s">
        <v>27107</v>
      </c>
      <c r="E5837" t="e" cm="1">
        <f t="array" ref="E5837">- TRETINOIN</f>
        <v>#NAME?</v>
      </c>
      <c r="F5837" t="s">
        <v>27108</v>
      </c>
      <c r="G5837" t="s">
        <v>27109</v>
      </c>
      <c r="H5837" t="s">
        <v>27110</v>
      </c>
      <c r="I5837" t="s">
        <v>27111</v>
      </c>
      <c r="J5837" t="s">
        <v>13944</v>
      </c>
      <c r="K5837" t="s">
        <v>7176</v>
      </c>
      <c r="L5837" t="s">
        <v>7177</v>
      </c>
      <c r="M5837" t="s">
        <v>1289</v>
      </c>
      <c r="N5837" t="s">
        <v>6243</v>
      </c>
      <c r="O5837" t="s">
        <v>27112</v>
      </c>
      <c r="P5837" t="s">
        <v>6245</v>
      </c>
      <c r="Q5837" t="s">
        <v>27113</v>
      </c>
      <c r="R5837">
        <v>16</v>
      </c>
      <c r="S5837">
        <v>32</v>
      </c>
    </row>
    <row r="5838" spans="1:19" x14ac:dyDescent="0.35">
      <c r="A5838">
        <v>5189</v>
      </c>
      <c r="B5838" t="s">
        <v>27114</v>
      </c>
      <c r="C5838" t="s">
        <v>42</v>
      </c>
      <c r="D5838" t="s">
        <v>27115</v>
      </c>
      <c r="E5838" t="e" cm="1">
        <f t="array" ref="E5838">- HYDROCORTISONE</f>
        <v>#NAME?</v>
      </c>
      <c r="F5838" t="s">
        <v>27116</v>
      </c>
      <c r="G5838" t="s">
        <v>27117</v>
      </c>
      <c r="H5838" t="s">
        <v>27118</v>
      </c>
      <c r="I5838" t="s">
        <v>27119</v>
      </c>
      <c r="J5838" t="s">
        <v>2040</v>
      </c>
      <c r="K5838" t="s">
        <v>27120</v>
      </c>
      <c r="L5838" t="s">
        <v>27121</v>
      </c>
      <c r="M5838" t="s">
        <v>1289</v>
      </c>
      <c r="N5838" t="s">
        <v>27122</v>
      </c>
      <c r="O5838" t="s">
        <v>27123</v>
      </c>
      <c r="P5838" t="s">
        <v>27124</v>
      </c>
      <c r="Q5838" t="s">
        <v>27125</v>
      </c>
      <c r="R5838">
        <v>16</v>
      </c>
      <c r="S5838">
        <v>32</v>
      </c>
    </row>
    <row r="5839" spans="1:19" x14ac:dyDescent="0.35">
      <c r="A5839">
        <v>5668</v>
      </c>
      <c r="B5839" t="s">
        <v>27126</v>
      </c>
      <c r="C5839" t="s">
        <v>42</v>
      </c>
      <c r="D5839" t="s">
        <v>27127</v>
      </c>
      <c r="E5839" t="e" cm="1">
        <f t="array" ref="E5839">- CLINDAMYCIN HYDROCHLORIDE</f>
        <v>#NAME?</v>
      </c>
      <c r="F5839" t="s">
        <v>27128</v>
      </c>
      <c r="G5839" t="s">
        <v>2241</v>
      </c>
      <c r="H5839" t="s">
        <v>27129</v>
      </c>
      <c r="I5839" t="s">
        <v>25981</v>
      </c>
      <c r="J5839" t="s">
        <v>14775</v>
      </c>
      <c r="K5839" t="s">
        <v>27130</v>
      </c>
      <c r="L5839" t="s">
        <v>27131</v>
      </c>
      <c r="M5839" t="s">
        <v>38</v>
      </c>
      <c r="N5839" t="s">
        <v>23622</v>
      </c>
      <c r="O5839" t="s">
        <v>25984</v>
      </c>
      <c r="P5839" t="s">
        <v>7223</v>
      </c>
      <c r="Q5839" t="s">
        <v>27132</v>
      </c>
      <c r="R5839">
        <v>16</v>
      </c>
      <c r="S5839">
        <v>32</v>
      </c>
    </row>
    <row r="5840" spans="1:19" x14ac:dyDescent="0.35">
      <c r="A5840">
        <v>7418</v>
      </c>
      <c r="B5840" t="s">
        <v>18383</v>
      </c>
      <c r="C5840" t="s">
        <v>42</v>
      </c>
      <c r="D5840" t="s">
        <v>18384</v>
      </c>
      <c r="E5840" t="e" cm="1">
        <f t="array" ref="E5840">- THIAMINE DISULFIDE. PYRIDOXINE HYDROCHLORIDE. CYANOCOBALAMIN</f>
        <v>#NAME?</v>
      </c>
      <c r="F5840" t="s">
        <v>18385</v>
      </c>
      <c r="G5840" t="s">
        <v>18386</v>
      </c>
      <c r="H5840" t="s">
        <v>18387</v>
      </c>
      <c r="I5840" t="s">
        <v>18388</v>
      </c>
      <c r="J5840" t="s">
        <v>777</v>
      </c>
      <c r="K5840" t="s">
        <v>2858</v>
      </c>
      <c r="L5840" t="s">
        <v>18389</v>
      </c>
      <c r="M5840" t="s">
        <v>46</v>
      </c>
      <c r="N5840" t="s">
        <v>27133</v>
      </c>
      <c r="O5840" t="s">
        <v>18390</v>
      </c>
      <c r="P5840" t="s">
        <v>18391</v>
      </c>
      <c r="Q5840" t="s">
        <v>27134</v>
      </c>
      <c r="R5840">
        <v>16</v>
      </c>
      <c r="S5840">
        <v>32</v>
      </c>
    </row>
    <row r="5841" spans="1:19" x14ac:dyDescent="0.35">
      <c r="A5841">
        <v>2478</v>
      </c>
      <c r="B5841" t="s">
        <v>22175</v>
      </c>
      <c r="C5841" t="s">
        <v>42</v>
      </c>
      <c r="D5841" t="s">
        <v>22176</v>
      </c>
      <c r="E5841" t="e" cm="1">
        <f t="array" ref="E5841">- FLUNARIZINE HYDROCHLORIDE</f>
        <v>#NAME?</v>
      </c>
      <c r="F5841" t="s">
        <v>22177</v>
      </c>
      <c r="G5841" t="s">
        <v>2266</v>
      </c>
      <c r="H5841" t="s">
        <v>22178</v>
      </c>
      <c r="I5841" t="s">
        <v>22179</v>
      </c>
      <c r="J5841" t="s">
        <v>22180</v>
      </c>
      <c r="K5841" t="s">
        <v>22181</v>
      </c>
      <c r="L5841" t="s">
        <v>321</v>
      </c>
      <c r="M5841" t="s">
        <v>46</v>
      </c>
      <c r="N5841" t="s">
        <v>4516</v>
      </c>
      <c r="O5841" t="s">
        <v>22182</v>
      </c>
      <c r="P5841" t="s">
        <v>2623</v>
      </c>
      <c r="Q5841" t="s">
        <v>27135</v>
      </c>
      <c r="R5841">
        <v>16</v>
      </c>
      <c r="S5841">
        <v>32</v>
      </c>
    </row>
    <row r="5842" spans="1:19" x14ac:dyDescent="0.35">
      <c r="A5842">
        <v>590</v>
      </c>
      <c r="B5842" t="s">
        <v>27136</v>
      </c>
      <c r="C5842" t="s">
        <v>42</v>
      </c>
      <c r="D5842" t="s">
        <v>27137</v>
      </c>
      <c r="E5842" t="e" cm="1">
        <f t="array" ref="E5842">- SALMETEROL XINAFOATE. FLUTICASONE PROPIONAT</f>
        <v>#NAME?</v>
      </c>
      <c r="F5842" t="s">
        <v>27138</v>
      </c>
      <c r="G5842" t="s">
        <v>22279</v>
      </c>
      <c r="H5842" t="s">
        <v>22280</v>
      </c>
      <c r="I5842" t="s">
        <v>27139</v>
      </c>
      <c r="J5842" t="s">
        <v>27140</v>
      </c>
      <c r="K5842" t="s">
        <v>19599</v>
      </c>
      <c r="L5842" t="s">
        <v>19404</v>
      </c>
      <c r="M5842" t="s">
        <v>3423</v>
      </c>
      <c r="N5842" t="s">
        <v>27141</v>
      </c>
      <c r="O5842" t="s">
        <v>22283</v>
      </c>
      <c r="P5842" t="s">
        <v>27142</v>
      </c>
      <c r="Q5842" t="s">
        <v>27143</v>
      </c>
      <c r="R5842">
        <v>16</v>
      </c>
      <c r="S5842">
        <v>32</v>
      </c>
    </row>
    <row r="5843" spans="1:19" x14ac:dyDescent="0.35">
      <c r="A5843">
        <v>4897</v>
      </c>
      <c r="B5843" t="s">
        <v>27144</v>
      </c>
      <c r="C5843" t="s">
        <v>42</v>
      </c>
      <c r="D5843" t="s">
        <v>27145</v>
      </c>
      <c r="E5843" t="e" cm="1">
        <f t="array" ref="E5843">- LATANOPROST</f>
        <v>#NAME?</v>
      </c>
      <c r="F5843" t="s">
        <v>27146</v>
      </c>
      <c r="G5843" t="s">
        <v>23079</v>
      </c>
      <c r="H5843" t="s">
        <v>269</v>
      </c>
      <c r="I5843" t="s">
        <v>27147</v>
      </c>
      <c r="J5843" t="s">
        <v>18074</v>
      </c>
      <c r="L5843" t="s">
        <v>27148</v>
      </c>
      <c r="M5843" t="s">
        <v>824</v>
      </c>
      <c r="N5843" t="s">
        <v>14727</v>
      </c>
      <c r="O5843" t="s">
        <v>27149</v>
      </c>
      <c r="P5843" t="s">
        <v>27150</v>
      </c>
      <c r="Q5843" t="s">
        <v>27151</v>
      </c>
      <c r="R5843">
        <v>16</v>
      </c>
      <c r="S5843">
        <v>32</v>
      </c>
    </row>
    <row r="5844" spans="1:19" x14ac:dyDescent="0.35">
      <c r="A5844">
        <v>8876</v>
      </c>
      <c r="B5844" t="s">
        <v>25449</v>
      </c>
      <c r="C5844" t="s">
        <v>42</v>
      </c>
      <c r="D5844" t="s">
        <v>25450</v>
      </c>
      <c r="E5844" t="e" cm="1">
        <f t="array" ref="E5844">- INSULIN GLARGINE</f>
        <v>#NAME?</v>
      </c>
      <c r="F5844" t="s">
        <v>25451</v>
      </c>
      <c r="G5844" t="s">
        <v>25452</v>
      </c>
      <c r="H5844" t="s">
        <v>25453</v>
      </c>
      <c r="I5844" t="s">
        <v>25314</v>
      </c>
      <c r="J5844" t="s">
        <v>25454</v>
      </c>
      <c r="K5844" t="s">
        <v>8612</v>
      </c>
      <c r="L5844" t="s">
        <v>25455</v>
      </c>
    </row>
    <row r="5845" spans="1:19" x14ac:dyDescent="0.35">
      <c r="A5845">
        <v>1049</v>
      </c>
      <c r="B5845" t="s">
        <v>27102</v>
      </c>
      <c r="C5845" t="s">
        <v>42</v>
      </c>
      <c r="D5845" t="s">
        <v>27103</v>
      </c>
      <c r="E5845" t="e" cm="1">
        <f t="array" ref="E5845">- PSEUDOEPHEDRINE HYDROCHLORIDE. DIPHENHYDRAMINE HYDROCHLORIDE. SODIUM CITRATE DIHYDRATE. GUAIFENESIN</f>
        <v>#NAME?</v>
      </c>
      <c r="F5845" t="s">
        <v>27104</v>
      </c>
      <c r="G5845" t="s">
        <v>2241</v>
      </c>
      <c r="H5845" t="s">
        <v>27105</v>
      </c>
    </row>
    <row r="5846" spans="1:19" x14ac:dyDescent="0.35">
      <c r="A5846">
        <v>5242</v>
      </c>
      <c r="B5846" t="s">
        <v>27152</v>
      </c>
      <c r="C5846" t="s">
        <v>42</v>
      </c>
      <c r="D5846" t="s">
        <v>27153</v>
      </c>
      <c r="E5846" t="e" cm="1">
        <f t="array" ref="E5846">- BACITRACIN</f>
        <v>#NAME?</v>
      </c>
      <c r="F5846" t="s">
        <v>27154</v>
      </c>
      <c r="G5846" t="s">
        <v>27155</v>
      </c>
      <c r="H5846" t="s">
        <v>27156</v>
      </c>
      <c r="I5846" t="s">
        <v>27157</v>
      </c>
      <c r="J5846" t="s">
        <v>11086</v>
      </c>
      <c r="K5846" t="s">
        <v>27158</v>
      </c>
      <c r="L5846" t="s">
        <v>27159</v>
      </c>
      <c r="M5846" t="s">
        <v>1029</v>
      </c>
      <c r="N5846" t="s">
        <v>27160</v>
      </c>
      <c r="O5846" t="s">
        <v>27161</v>
      </c>
      <c r="P5846" t="s">
        <v>27162</v>
      </c>
      <c r="Q5846" t="s">
        <v>27163</v>
      </c>
      <c r="R5846">
        <v>16</v>
      </c>
      <c r="S5846">
        <v>32</v>
      </c>
    </row>
    <row r="5847" spans="1:19" x14ac:dyDescent="0.35">
      <c r="A5847">
        <v>592</v>
      </c>
      <c r="B5847" t="s">
        <v>27164</v>
      </c>
      <c r="C5847" t="s">
        <v>42</v>
      </c>
      <c r="D5847" t="s">
        <v>27165</v>
      </c>
      <c r="E5847" t="e" cm="1">
        <f t="array" ref="E5847">- BUDESONIDE</f>
        <v>#NAME?</v>
      </c>
      <c r="F5847" t="s">
        <v>27166</v>
      </c>
      <c r="G5847" t="s">
        <v>19260</v>
      </c>
      <c r="H5847" t="s">
        <v>27167</v>
      </c>
      <c r="I5847" t="s">
        <v>27168</v>
      </c>
      <c r="J5847" t="s">
        <v>27169</v>
      </c>
      <c r="K5847" t="s">
        <v>3952</v>
      </c>
      <c r="L5847" t="s">
        <v>27170</v>
      </c>
      <c r="M5847" t="s">
        <v>1280</v>
      </c>
      <c r="N5847" t="s">
        <v>1281</v>
      </c>
      <c r="O5847" t="s">
        <v>27171</v>
      </c>
      <c r="P5847" t="s">
        <v>27172</v>
      </c>
      <c r="Q5847" t="s">
        <v>27173</v>
      </c>
      <c r="R5847">
        <v>16</v>
      </c>
      <c r="S5847">
        <v>32</v>
      </c>
    </row>
    <row r="5848" spans="1:19" x14ac:dyDescent="0.35">
      <c r="A5848">
        <v>2535</v>
      </c>
      <c r="B5848" t="s">
        <v>27174</v>
      </c>
      <c r="C5848" t="s">
        <v>42</v>
      </c>
      <c r="D5848" t="s">
        <v>27175</v>
      </c>
      <c r="E5848" t="e" cm="1">
        <f t="array" ref="E5848">- PIROXICAM</f>
        <v>#NAME?</v>
      </c>
      <c r="F5848" t="s">
        <v>27176</v>
      </c>
      <c r="G5848" t="s">
        <v>5866</v>
      </c>
      <c r="H5848" t="s">
        <v>27177</v>
      </c>
      <c r="I5848" t="s">
        <v>27178</v>
      </c>
      <c r="J5848" t="s">
        <v>27179</v>
      </c>
      <c r="K5848" t="s">
        <v>27180</v>
      </c>
      <c r="L5848" t="s">
        <v>27181</v>
      </c>
      <c r="M5848" t="s">
        <v>38</v>
      </c>
      <c r="N5848" t="s">
        <v>605</v>
      </c>
      <c r="O5848" t="s">
        <v>27182</v>
      </c>
      <c r="P5848" t="s">
        <v>27183</v>
      </c>
      <c r="Q5848" t="s">
        <v>27184</v>
      </c>
      <c r="R5848">
        <v>16</v>
      </c>
      <c r="S5848">
        <v>32</v>
      </c>
    </row>
    <row r="5849" spans="1:19" x14ac:dyDescent="0.35">
      <c r="A5849">
        <v>5262</v>
      </c>
      <c r="B5849" t="s">
        <v>25671</v>
      </c>
      <c r="C5849" t="s">
        <v>42</v>
      </c>
      <c r="D5849" t="s">
        <v>27185</v>
      </c>
      <c r="E5849" t="e" cm="1">
        <f t="array" ref="E5849">- BETAMETHASONE DIPROPIONATE. GENTAMICIN SULFATE</f>
        <v>#NAME?</v>
      </c>
      <c r="F5849" t="s">
        <v>27186</v>
      </c>
      <c r="G5849" t="s">
        <v>19513</v>
      </c>
      <c r="H5849" t="s">
        <v>25028</v>
      </c>
      <c r="I5849" t="s">
        <v>25070</v>
      </c>
      <c r="J5849" t="s">
        <v>2167</v>
      </c>
      <c r="K5849" t="s">
        <v>25030</v>
      </c>
      <c r="L5849" t="s">
        <v>25031</v>
      </c>
      <c r="M5849" t="s">
        <v>1289</v>
      </c>
      <c r="N5849" t="s">
        <v>19781</v>
      </c>
      <c r="O5849" t="s">
        <v>25032</v>
      </c>
      <c r="P5849" t="s">
        <v>25677</v>
      </c>
      <c r="Q5849" t="s">
        <v>27187</v>
      </c>
      <c r="R5849">
        <v>16</v>
      </c>
      <c r="S5849">
        <v>32</v>
      </c>
    </row>
    <row r="5850" spans="1:19" x14ac:dyDescent="0.35">
      <c r="A5850">
        <v>2488</v>
      </c>
      <c r="B5850" t="s">
        <v>27188</v>
      </c>
      <c r="C5850" t="s">
        <v>42</v>
      </c>
      <c r="D5850" t="s">
        <v>27189</v>
      </c>
      <c r="E5850" t="e" cm="1">
        <f t="array" ref="E5850">- PARACETAMOL</f>
        <v>#NAME?</v>
      </c>
      <c r="F5850" t="s">
        <v>27190</v>
      </c>
      <c r="G5850" t="s">
        <v>4362</v>
      </c>
      <c r="H5850" t="s">
        <v>9708</v>
      </c>
      <c r="I5850" t="s">
        <v>25514</v>
      </c>
      <c r="J5850" t="s">
        <v>727</v>
      </c>
      <c r="K5850" t="s">
        <v>9711</v>
      </c>
      <c r="L5850" t="s">
        <v>9712</v>
      </c>
      <c r="M5850" t="s">
        <v>291</v>
      </c>
      <c r="N5850" t="s">
        <v>584</v>
      </c>
      <c r="O5850" t="s">
        <v>25515</v>
      </c>
      <c r="P5850" t="s">
        <v>12296</v>
      </c>
      <c r="Q5850" t="s">
        <v>27191</v>
      </c>
      <c r="R5850">
        <v>16</v>
      </c>
      <c r="S5850">
        <v>32</v>
      </c>
    </row>
    <row r="5851" spans="1:19" x14ac:dyDescent="0.35">
      <c r="A5851">
        <v>8891</v>
      </c>
      <c r="B5851" t="s">
        <v>27192</v>
      </c>
      <c r="C5851" t="s">
        <v>42</v>
      </c>
      <c r="D5851" t="s">
        <v>27193</v>
      </c>
      <c r="E5851" t="e" cm="1">
        <f t="array" ref="E5851">- INSULIN LISPRO</f>
        <v>#NAME?</v>
      </c>
      <c r="F5851" t="s">
        <v>27194</v>
      </c>
      <c r="G5851" t="s">
        <v>27195</v>
      </c>
      <c r="H5851" t="s">
        <v>27196</v>
      </c>
      <c r="I5851" t="s">
        <v>27197</v>
      </c>
      <c r="J5851" t="s">
        <v>27198</v>
      </c>
      <c r="K5851" t="s">
        <v>27199</v>
      </c>
      <c r="L5851" t="s">
        <v>27200</v>
      </c>
      <c r="M5851" t="s">
        <v>2403</v>
      </c>
      <c r="N5851" t="s">
        <v>27201</v>
      </c>
      <c r="O5851" t="s">
        <v>27202</v>
      </c>
      <c r="P5851" t="s">
        <v>27203</v>
      </c>
      <c r="Q5851" t="s">
        <v>27204</v>
      </c>
      <c r="R5851">
        <v>16</v>
      </c>
      <c r="S5851">
        <v>32</v>
      </c>
    </row>
    <row r="5852" spans="1:19" x14ac:dyDescent="0.35">
      <c r="A5852">
        <v>3394</v>
      </c>
      <c r="B5852" t="s">
        <v>27205</v>
      </c>
      <c r="C5852" t="s">
        <v>42</v>
      </c>
      <c r="D5852" t="s">
        <v>27206</v>
      </c>
      <c r="E5852" t="e" cm="1">
        <f t="array" ref="E5852">- OMEPRAZOLE</f>
        <v>#NAME?</v>
      </c>
      <c r="F5852" t="s">
        <v>27207</v>
      </c>
      <c r="G5852" t="s">
        <v>10301</v>
      </c>
      <c r="H5852" t="s">
        <v>27208</v>
      </c>
      <c r="I5852" t="s">
        <v>27209</v>
      </c>
      <c r="J5852" t="s">
        <v>27210</v>
      </c>
      <c r="K5852" t="s">
        <v>2726</v>
      </c>
      <c r="L5852" t="s">
        <v>27211</v>
      </c>
      <c r="M5852" t="s">
        <v>38</v>
      </c>
      <c r="N5852" t="s">
        <v>14738</v>
      </c>
      <c r="O5852" t="s">
        <v>27212</v>
      </c>
      <c r="P5852" t="s">
        <v>27213</v>
      </c>
      <c r="Q5852" t="s">
        <v>27214</v>
      </c>
      <c r="R5852">
        <v>16</v>
      </c>
      <c r="S5852">
        <v>32</v>
      </c>
    </row>
    <row r="5853" spans="1:19" x14ac:dyDescent="0.35">
      <c r="A5853">
        <v>1051</v>
      </c>
      <c r="B5853" t="s">
        <v>27102</v>
      </c>
      <c r="C5853" t="s">
        <v>42</v>
      </c>
      <c r="D5853" t="s">
        <v>27215</v>
      </c>
      <c r="E5853" t="e" cm="1">
        <f t="array" ref="E5853">- PSEUDOEPHEDRINE HYDROCHLORIDE. DIPHENHYDRAMINE HYDROCHLORIDE. SODIUM CITRATE DIHYDRATE. GUAIFENESIN</f>
        <v>#NAME?</v>
      </c>
      <c r="F5853" t="s">
        <v>27216</v>
      </c>
      <c r="G5853" t="s">
        <v>2241</v>
      </c>
      <c r="H5853" t="s">
        <v>27105</v>
      </c>
    </row>
    <row r="5854" spans="1:19" x14ac:dyDescent="0.35">
      <c r="A5854">
        <v>1375</v>
      </c>
      <c r="B5854" t="s">
        <v>2074</v>
      </c>
      <c r="C5854" t="s">
        <v>42</v>
      </c>
      <c r="D5854" t="s">
        <v>25930</v>
      </c>
      <c r="E5854" t="e" cm="1">
        <f t="array" ref="E5854">- GUAIFENESIN</f>
        <v>#NAME?</v>
      </c>
      <c r="F5854" t="s">
        <v>25931</v>
      </c>
      <c r="G5854" t="s">
        <v>25932</v>
      </c>
      <c r="H5854" t="s">
        <v>25933</v>
      </c>
      <c r="I5854" t="s">
        <v>25934</v>
      </c>
      <c r="J5854" t="s">
        <v>829</v>
      </c>
      <c r="M5854" t="s">
        <v>46</v>
      </c>
      <c r="N5854" t="s">
        <v>361</v>
      </c>
      <c r="O5854" t="s">
        <v>25935</v>
      </c>
      <c r="P5854" t="s">
        <v>25936</v>
      </c>
      <c r="Q5854" t="s">
        <v>27217</v>
      </c>
      <c r="R5854">
        <v>16</v>
      </c>
      <c r="S5854">
        <v>32</v>
      </c>
    </row>
    <row r="5855" spans="1:19" x14ac:dyDescent="0.35">
      <c r="A5855">
        <v>5201</v>
      </c>
      <c r="B5855" t="s">
        <v>27218</v>
      </c>
      <c r="C5855" t="s">
        <v>42</v>
      </c>
      <c r="D5855" t="s">
        <v>27219</v>
      </c>
      <c r="E5855" t="e" cm="1">
        <f t="array" ref="E5855">- FUSIDIC ACID</f>
        <v>#NAME?</v>
      </c>
      <c r="F5855" t="s">
        <v>27220</v>
      </c>
      <c r="G5855" t="s">
        <v>27221</v>
      </c>
      <c r="H5855" t="s">
        <v>27222</v>
      </c>
      <c r="I5855" t="s">
        <v>27223</v>
      </c>
      <c r="J5855" t="s">
        <v>9739</v>
      </c>
      <c r="K5855" t="s">
        <v>10822</v>
      </c>
      <c r="L5855" t="s">
        <v>27224</v>
      </c>
      <c r="M5855" t="s">
        <v>1289</v>
      </c>
      <c r="N5855" t="s">
        <v>3865</v>
      </c>
      <c r="O5855" t="s">
        <v>27225</v>
      </c>
      <c r="P5855" t="s">
        <v>27226</v>
      </c>
      <c r="Q5855" t="s">
        <v>27227</v>
      </c>
      <c r="R5855">
        <v>16</v>
      </c>
      <c r="S5855">
        <v>32</v>
      </c>
    </row>
    <row r="5856" spans="1:19" x14ac:dyDescent="0.35">
      <c r="A5856">
        <v>5200</v>
      </c>
      <c r="B5856" t="s">
        <v>27218</v>
      </c>
      <c r="C5856" t="s">
        <v>42</v>
      </c>
      <c r="D5856" t="s">
        <v>27219</v>
      </c>
      <c r="E5856" t="e" cm="1">
        <f t="array" ref="E5856">- FUSIDIC ACID</f>
        <v>#NAME?</v>
      </c>
      <c r="F5856" t="s">
        <v>27220</v>
      </c>
      <c r="G5856" t="s">
        <v>27221</v>
      </c>
      <c r="H5856" t="s">
        <v>27222</v>
      </c>
      <c r="I5856" t="s">
        <v>27223</v>
      </c>
      <c r="J5856" t="s">
        <v>9739</v>
      </c>
      <c r="K5856" t="s">
        <v>10822</v>
      </c>
      <c r="L5856" t="s">
        <v>27224</v>
      </c>
      <c r="M5856" t="s">
        <v>1289</v>
      </c>
      <c r="N5856" t="s">
        <v>3865</v>
      </c>
      <c r="O5856" t="s">
        <v>27225</v>
      </c>
      <c r="P5856" t="s">
        <v>27226</v>
      </c>
      <c r="Q5856" t="s">
        <v>27227</v>
      </c>
      <c r="R5856">
        <v>16</v>
      </c>
      <c r="S5856">
        <v>32</v>
      </c>
    </row>
    <row r="5857" spans="1:19" x14ac:dyDescent="0.35">
      <c r="A5857">
        <v>2908</v>
      </c>
      <c r="B5857" t="s">
        <v>27228</v>
      </c>
      <c r="C5857" t="s">
        <v>42</v>
      </c>
      <c r="D5857" t="s">
        <v>27229</v>
      </c>
      <c r="E5857" t="e" cm="1">
        <f t="array" ref="E5857">- PARACETAMOL</f>
        <v>#NAME?</v>
      </c>
      <c r="F5857" t="s">
        <v>27230</v>
      </c>
      <c r="G5857" t="s">
        <v>2241</v>
      </c>
      <c r="H5857" t="s">
        <v>27231</v>
      </c>
      <c r="I5857" t="s">
        <v>23309</v>
      </c>
      <c r="J5857" t="s">
        <v>334</v>
      </c>
      <c r="K5857" t="s">
        <v>20527</v>
      </c>
      <c r="L5857" t="s">
        <v>27232</v>
      </c>
      <c r="M5857" t="s">
        <v>271</v>
      </c>
      <c r="N5857" t="s">
        <v>584</v>
      </c>
      <c r="O5857" t="s">
        <v>23311</v>
      </c>
      <c r="P5857" t="s">
        <v>17875</v>
      </c>
      <c r="Q5857" t="s">
        <v>27233</v>
      </c>
      <c r="R5857">
        <v>16</v>
      </c>
      <c r="S5857">
        <v>32</v>
      </c>
    </row>
    <row r="5858" spans="1:19" x14ac:dyDescent="0.35">
      <c r="A5858">
        <v>1050</v>
      </c>
      <c r="B5858" t="s">
        <v>27102</v>
      </c>
      <c r="C5858" t="s">
        <v>42</v>
      </c>
      <c r="D5858" t="s">
        <v>27215</v>
      </c>
      <c r="E5858" t="e" cm="1">
        <f t="array" ref="E5858">- PSEUDOEPHEDRINE HYDROCHLORIDE. DIPHENHYDRAMINE HYDROCHLORIDE. SODIUM CITRATE DIHYDRATE. GUAIFENESIN</f>
        <v>#NAME?</v>
      </c>
      <c r="F5858" t="s">
        <v>27216</v>
      </c>
      <c r="G5858" t="s">
        <v>2241</v>
      </c>
      <c r="H5858" t="s">
        <v>27105</v>
      </c>
    </row>
    <row r="5859" spans="1:19" x14ac:dyDescent="0.35">
      <c r="A5859">
        <v>8888</v>
      </c>
      <c r="B5859" t="s">
        <v>27234</v>
      </c>
      <c r="C5859" t="s">
        <v>42</v>
      </c>
      <c r="D5859" t="s">
        <v>27235</v>
      </c>
      <c r="E5859" t="e" cm="1">
        <f t="array" ref="E5859">- INSULIN HUMAN</f>
        <v>#NAME?</v>
      </c>
      <c r="F5859" t="s">
        <v>27236</v>
      </c>
      <c r="G5859" t="s">
        <v>27237</v>
      </c>
      <c r="H5859" t="s">
        <v>27238</v>
      </c>
      <c r="I5859" t="s">
        <v>27239</v>
      </c>
      <c r="J5859" t="s">
        <v>8611</v>
      </c>
      <c r="K5859" t="s">
        <v>18367</v>
      </c>
      <c r="L5859" t="s">
        <v>27240</v>
      </c>
      <c r="M5859" t="s">
        <v>2403</v>
      </c>
      <c r="N5859" t="s">
        <v>18369</v>
      </c>
      <c r="O5859" t="s">
        <v>27241</v>
      </c>
      <c r="P5859" t="s">
        <v>27242</v>
      </c>
      <c r="Q5859" t="s">
        <v>27243</v>
      </c>
      <c r="R5859">
        <v>16</v>
      </c>
      <c r="S5859">
        <v>32</v>
      </c>
    </row>
    <row r="5860" spans="1:19" x14ac:dyDescent="0.35">
      <c r="A5860">
        <v>683</v>
      </c>
      <c r="B5860" t="s">
        <v>27244</v>
      </c>
      <c r="C5860" t="s">
        <v>20</v>
      </c>
      <c r="D5860" t="s">
        <v>27245</v>
      </c>
      <c r="E5860" t="s">
        <v>27246</v>
      </c>
      <c r="F5860" t="s">
        <v>27247</v>
      </c>
      <c r="G5860" t="s">
        <v>27248</v>
      </c>
      <c r="H5860" t="s">
        <v>27249</v>
      </c>
      <c r="I5860" t="s">
        <v>27250</v>
      </c>
      <c r="J5860" t="s">
        <v>11903</v>
      </c>
      <c r="M5860" t="s">
        <v>2115</v>
      </c>
      <c r="N5860" t="s">
        <v>27251</v>
      </c>
      <c r="O5860" t="s">
        <v>27252</v>
      </c>
      <c r="P5860" t="s">
        <v>27253</v>
      </c>
      <c r="Q5860" t="s">
        <v>27254</v>
      </c>
      <c r="R5860">
        <v>16</v>
      </c>
      <c r="S5860">
        <v>32</v>
      </c>
    </row>
    <row r="5861" spans="1:19" x14ac:dyDescent="0.35">
      <c r="A5861">
        <v>684</v>
      </c>
      <c r="B5861" t="s">
        <v>27244</v>
      </c>
      <c r="C5861" t="s">
        <v>20</v>
      </c>
      <c r="D5861" t="s">
        <v>27255</v>
      </c>
      <c r="E5861" t="s">
        <v>27246</v>
      </c>
      <c r="F5861" t="s">
        <v>27256</v>
      </c>
      <c r="G5861" t="s">
        <v>27248</v>
      </c>
      <c r="H5861" t="s">
        <v>27249</v>
      </c>
      <c r="I5861" t="s">
        <v>27250</v>
      </c>
      <c r="J5861" t="s">
        <v>27257</v>
      </c>
      <c r="M5861" t="s">
        <v>2115</v>
      </c>
      <c r="N5861" t="s">
        <v>27251</v>
      </c>
      <c r="O5861" t="s">
        <v>27252</v>
      </c>
      <c r="P5861" t="s">
        <v>27253</v>
      </c>
      <c r="Q5861" t="s">
        <v>27254</v>
      </c>
      <c r="R5861">
        <v>16</v>
      </c>
      <c r="S5861">
        <v>32</v>
      </c>
    </row>
    <row r="5862" spans="1:19" x14ac:dyDescent="0.35">
      <c r="A5862">
        <v>5666</v>
      </c>
      <c r="B5862" t="s">
        <v>27126</v>
      </c>
      <c r="C5862" t="s">
        <v>42</v>
      </c>
      <c r="D5862" t="s">
        <v>27127</v>
      </c>
      <c r="E5862" t="e" cm="1">
        <f t="array" ref="E5862">- CLINDAMYCIN HYDROCHLORIDE</f>
        <v>#NAME?</v>
      </c>
      <c r="F5862" t="s">
        <v>27128</v>
      </c>
      <c r="G5862" t="s">
        <v>2241</v>
      </c>
      <c r="H5862" t="s">
        <v>27129</v>
      </c>
      <c r="I5862" t="s">
        <v>25981</v>
      </c>
      <c r="J5862" t="s">
        <v>14775</v>
      </c>
      <c r="K5862" t="s">
        <v>27130</v>
      </c>
      <c r="L5862" t="s">
        <v>27131</v>
      </c>
      <c r="M5862" t="s">
        <v>38</v>
      </c>
      <c r="N5862" t="s">
        <v>23622</v>
      </c>
      <c r="O5862" t="s">
        <v>25984</v>
      </c>
      <c r="P5862" t="s">
        <v>7223</v>
      </c>
      <c r="Q5862" t="s">
        <v>27132</v>
      </c>
      <c r="R5862">
        <v>16</v>
      </c>
      <c r="S5862">
        <v>32</v>
      </c>
    </row>
    <row r="5863" spans="1:19" x14ac:dyDescent="0.35">
      <c r="A5863">
        <v>2471</v>
      </c>
      <c r="B5863" t="s">
        <v>27258</v>
      </c>
      <c r="C5863" t="s">
        <v>42</v>
      </c>
      <c r="D5863" t="s">
        <v>27259</v>
      </c>
      <c r="E5863" t="e" cm="1">
        <f t="array" ref="E5863">- DEXKETOPROFEN</f>
        <v>#NAME?</v>
      </c>
      <c r="F5863" t="s">
        <v>23381</v>
      </c>
      <c r="G5863" t="s">
        <v>27260</v>
      </c>
      <c r="H5863" t="s">
        <v>27261</v>
      </c>
      <c r="I5863" t="s">
        <v>27262</v>
      </c>
      <c r="J5863" t="s">
        <v>45</v>
      </c>
      <c r="K5863" t="s">
        <v>2858</v>
      </c>
      <c r="L5863" t="s">
        <v>27263</v>
      </c>
    </row>
    <row r="5864" spans="1:19" x14ac:dyDescent="0.35">
      <c r="A5864">
        <v>5667</v>
      </c>
      <c r="B5864" t="s">
        <v>27126</v>
      </c>
      <c r="C5864" t="s">
        <v>42</v>
      </c>
      <c r="D5864" t="s">
        <v>27127</v>
      </c>
      <c r="E5864" t="e" cm="1">
        <f t="array" ref="E5864">- CLINDAMYCIN HYDROCHLORIDE</f>
        <v>#NAME?</v>
      </c>
      <c r="F5864" t="s">
        <v>27128</v>
      </c>
      <c r="G5864" t="s">
        <v>2241</v>
      </c>
      <c r="H5864" t="s">
        <v>27129</v>
      </c>
      <c r="I5864" t="s">
        <v>25981</v>
      </c>
      <c r="J5864" t="s">
        <v>14775</v>
      </c>
      <c r="K5864" t="s">
        <v>27130</v>
      </c>
      <c r="L5864" t="s">
        <v>27131</v>
      </c>
      <c r="M5864" t="s">
        <v>38</v>
      </c>
      <c r="N5864" t="s">
        <v>23622</v>
      </c>
      <c r="O5864" t="s">
        <v>25984</v>
      </c>
      <c r="P5864" t="s">
        <v>7223</v>
      </c>
      <c r="Q5864" t="s">
        <v>27132</v>
      </c>
      <c r="R5864">
        <v>16</v>
      </c>
      <c r="S5864">
        <v>32</v>
      </c>
    </row>
    <row r="5865" spans="1:19" x14ac:dyDescent="0.35">
      <c r="A5865">
        <v>5711</v>
      </c>
      <c r="B5865" t="s">
        <v>27264</v>
      </c>
      <c r="C5865" t="s">
        <v>42</v>
      </c>
      <c r="D5865" t="s">
        <v>27265</v>
      </c>
      <c r="E5865" t="e" cm="1">
        <f t="array" ref="E5865">- ERYTHROMYCIN STEARATE</f>
        <v>#NAME?</v>
      </c>
      <c r="F5865" t="s">
        <v>27266</v>
      </c>
      <c r="G5865" t="s">
        <v>27267</v>
      </c>
      <c r="H5865" t="s">
        <v>27268</v>
      </c>
    </row>
    <row r="5866" spans="1:19" x14ac:dyDescent="0.35">
      <c r="A5866">
        <v>8875</v>
      </c>
      <c r="B5866" t="s">
        <v>25449</v>
      </c>
      <c r="C5866" t="s">
        <v>42</v>
      </c>
      <c r="D5866" t="s">
        <v>25450</v>
      </c>
      <c r="E5866" t="e" cm="1">
        <f t="array" ref="E5866">- INSULIN GLARGINE</f>
        <v>#NAME?</v>
      </c>
      <c r="F5866" t="s">
        <v>25451</v>
      </c>
      <c r="G5866" t="s">
        <v>25452</v>
      </c>
      <c r="H5866" t="s">
        <v>25453</v>
      </c>
      <c r="I5866" t="s">
        <v>25314</v>
      </c>
      <c r="J5866" t="s">
        <v>25454</v>
      </c>
      <c r="K5866" t="s">
        <v>8612</v>
      </c>
      <c r="L5866" t="s">
        <v>25455</v>
      </c>
    </row>
    <row r="5867" spans="1:19" x14ac:dyDescent="0.35">
      <c r="A5867">
        <v>7431</v>
      </c>
      <c r="B5867" t="s">
        <v>27269</v>
      </c>
      <c r="C5867" t="s">
        <v>42</v>
      </c>
      <c r="D5867" t="s">
        <v>27270</v>
      </c>
      <c r="E5867" t="e" cm="1">
        <f t="array" ref="E5867">- THIAMINE NITRATE. PYRIDOXINE HYDROCHLORIDE. CYANOCOBALAMIN</f>
        <v>#NAME?</v>
      </c>
      <c r="F5867" t="s">
        <v>27271</v>
      </c>
      <c r="G5867" t="s">
        <v>2241</v>
      </c>
      <c r="H5867" t="s">
        <v>7658</v>
      </c>
      <c r="I5867" t="s">
        <v>27272</v>
      </c>
      <c r="J5867" t="s">
        <v>727</v>
      </c>
      <c r="M5867" t="s">
        <v>291</v>
      </c>
      <c r="N5867" t="s">
        <v>5479</v>
      </c>
      <c r="O5867" t="s">
        <v>27273</v>
      </c>
      <c r="P5867" t="s">
        <v>27274</v>
      </c>
      <c r="Q5867" t="s">
        <v>27275</v>
      </c>
      <c r="R5867">
        <v>16</v>
      </c>
      <c r="S5867">
        <v>32</v>
      </c>
    </row>
    <row r="5868" spans="1:19" x14ac:dyDescent="0.35">
      <c r="A5868">
        <v>5642</v>
      </c>
      <c r="B5868" t="s">
        <v>27276</v>
      </c>
      <c r="C5868" t="s">
        <v>42</v>
      </c>
      <c r="D5868" t="s">
        <v>27277</v>
      </c>
      <c r="E5868" t="e" cm="1">
        <f t="array" ref="E5868">- CLINDAMYCIN HYDROCHLORIDE</f>
        <v>#NAME?</v>
      </c>
      <c r="F5868" t="s">
        <v>27278</v>
      </c>
      <c r="G5868" t="s">
        <v>27279</v>
      </c>
      <c r="H5868" t="s">
        <v>27280</v>
      </c>
      <c r="I5868" t="s">
        <v>27281</v>
      </c>
      <c r="J5868" t="s">
        <v>810</v>
      </c>
      <c r="K5868" t="s">
        <v>27282</v>
      </c>
      <c r="L5868" t="s">
        <v>27283</v>
      </c>
      <c r="M5868" t="s">
        <v>38</v>
      </c>
      <c r="N5868" t="s">
        <v>23622</v>
      </c>
      <c r="O5868" t="s">
        <v>27284</v>
      </c>
      <c r="P5868" t="s">
        <v>27285</v>
      </c>
      <c r="Q5868" t="s">
        <v>27286</v>
      </c>
      <c r="R5868">
        <v>16</v>
      </c>
      <c r="S5868">
        <v>32</v>
      </c>
    </row>
    <row r="5869" spans="1:19" x14ac:dyDescent="0.35">
      <c r="A5869">
        <v>5219</v>
      </c>
      <c r="B5869" t="s">
        <v>27287</v>
      </c>
      <c r="C5869" t="s">
        <v>42</v>
      </c>
      <c r="D5869" t="s">
        <v>27288</v>
      </c>
      <c r="E5869" t="e" cm="1">
        <f t="array" ref="E5869">- MICONAZOLE NITRATE</f>
        <v>#NAME?</v>
      </c>
      <c r="F5869" t="s">
        <v>27289</v>
      </c>
      <c r="G5869" t="s">
        <v>19614</v>
      </c>
      <c r="H5869" t="s">
        <v>27290</v>
      </c>
      <c r="I5869" t="s">
        <v>27291</v>
      </c>
      <c r="J5869" t="s">
        <v>7187</v>
      </c>
      <c r="K5869" t="s">
        <v>2858</v>
      </c>
      <c r="L5869" t="s">
        <v>14128</v>
      </c>
      <c r="M5869" t="s">
        <v>1289</v>
      </c>
      <c r="N5869" t="s">
        <v>9389</v>
      </c>
      <c r="O5869" t="s">
        <v>27292</v>
      </c>
      <c r="P5869" t="s">
        <v>27293</v>
      </c>
      <c r="Q5869" t="s">
        <v>27294</v>
      </c>
      <c r="R5869">
        <v>16</v>
      </c>
      <c r="S5869">
        <v>32</v>
      </c>
    </row>
    <row r="5870" spans="1:19" x14ac:dyDescent="0.35">
      <c r="A5870">
        <v>4906</v>
      </c>
      <c r="B5870" t="s">
        <v>27106</v>
      </c>
      <c r="C5870" t="s">
        <v>42</v>
      </c>
      <c r="D5870" t="s">
        <v>27107</v>
      </c>
      <c r="E5870" t="e" cm="1">
        <f t="array" ref="E5870">- TRETINOIN</f>
        <v>#NAME?</v>
      </c>
      <c r="F5870" t="s">
        <v>27108</v>
      </c>
      <c r="G5870" t="s">
        <v>27109</v>
      </c>
      <c r="H5870" t="s">
        <v>27110</v>
      </c>
      <c r="I5870" t="s">
        <v>27111</v>
      </c>
      <c r="J5870" t="s">
        <v>13944</v>
      </c>
      <c r="K5870" t="s">
        <v>7176</v>
      </c>
      <c r="L5870" t="s">
        <v>7177</v>
      </c>
      <c r="M5870" t="s">
        <v>1289</v>
      </c>
      <c r="N5870" t="s">
        <v>6243</v>
      </c>
      <c r="O5870" t="s">
        <v>27112</v>
      </c>
      <c r="P5870" t="s">
        <v>6245</v>
      </c>
      <c r="Q5870" t="s">
        <v>27113</v>
      </c>
      <c r="R5870">
        <v>16</v>
      </c>
      <c r="S5870">
        <v>32</v>
      </c>
    </row>
    <row r="5871" spans="1:19" x14ac:dyDescent="0.35">
      <c r="A5871">
        <v>5645</v>
      </c>
      <c r="B5871" t="s">
        <v>27295</v>
      </c>
      <c r="C5871" t="s">
        <v>42</v>
      </c>
      <c r="D5871" t="s">
        <v>27296</v>
      </c>
      <c r="E5871" t="e" cm="1">
        <f t="array" ref="E5871">- PIPEMIDIC ACID</f>
        <v>#NAME?</v>
      </c>
      <c r="F5871" t="s">
        <v>27297</v>
      </c>
      <c r="G5871" t="s">
        <v>60</v>
      </c>
      <c r="H5871" t="s">
        <v>27298</v>
      </c>
      <c r="I5871" t="s">
        <v>27299</v>
      </c>
      <c r="J5871" t="s">
        <v>8311</v>
      </c>
      <c r="K5871" t="s">
        <v>27300</v>
      </c>
      <c r="L5871" t="s">
        <v>27301</v>
      </c>
      <c r="M5871" t="s">
        <v>38</v>
      </c>
      <c r="N5871" t="s">
        <v>25983</v>
      </c>
      <c r="O5871" t="s">
        <v>27302</v>
      </c>
      <c r="P5871" t="s">
        <v>27303</v>
      </c>
      <c r="Q5871" t="s">
        <v>27304</v>
      </c>
      <c r="R5871">
        <v>16</v>
      </c>
      <c r="S5871">
        <v>32</v>
      </c>
    </row>
    <row r="5872" spans="1:19" x14ac:dyDescent="0.35">
      <c r="A5872">
        <v>5649</v>
      </c>
      <c r="B5872" t="s">
        <v>27305</v>
      </c>
      <c r="C5872" t="s">
        <v>42</v>
      </c>
      <c r="D5872" t="s">
        <v>27306</v>
      </c>
      <c r="E5872" t="e" cm="1">
        <f t="array" ref="E5872">- ERYTHROMYCIN STEARATE</f>
        <v>#NAME?</v>
      </c>
      <c r="F5872" t="s">
        <v>27307</v>
      </c>
      <c r="G5872" t="s">
        <v>5568</v>
      </c>
      <c r="H5872" t="s">
        <v>27308</v>
      </c>
      <c r="I5872" t="s">
        <v>27309</v>
      </c>
      <c r="J5872" t="s">
        <v>810</v>
      </c>
      <c r="K5872" t="s">
        <v>2726</v>
      </c>
      <c r="L5872" t="s">
        <v>27310</v>
      </c>
      <c r="M5872" t="s">
        <v>291</v>
      </c>
      <c r="N5872" t="s">
        <v>2985</v>
      </c>
      <c r="O5872" t="s">
        <v>27311</v>
      </c>
      <c r="P5872" t="s">
        <v>27312</v>
      </c>
      <c r="Q5872" t="s">
        <v>27313</v>
      </c>
      <c r="R5872">
        <v>16</v>
      </c>
      <c r="S5872">
        <v>32</v>
      </c>
    </row>
    <row r="5873" spans="1:19" x14ac:dyDescent="0.35">
      <c r="A5873">
        <v>5644</v>
      </c>
      <c r="B5873" t="s">
        <v>27276</v>
      </c>
      <c r="C5873" t="s">
        <v>42</v>
      </c>
      <c r="D5873" t="s">
        <v>27277</v>
      </c>
      <c r="E5873" t="e" cm="1">
        <f t="array" ref="E5873">- CLINDAMYCIN HYDROCHLORIDE</f>
        <v>#NAME?</v>
      </c>
      <c r="F5873" t="s">
        <v>27278</v>
      </c>
      <c r="G5873" t="s">
        <v>27279</v>
      </c>
      <c r="H5873" t="s">
        <v>27280</v>
      </c>
      <c r="I5873" t="s">
        <v>27281</v>
      </c>
      <c r="J5873" t="s">
        <v>810</v>
      </c>
      <c r="K5873" t="s">
        <v>27282</v>
      </c>
      <c r="L5873" t="s">
        <v>27283</v>
      </c>
      <c r="M5873" t="s">
        <v>38</v>
      </c>
      <c r="N5873" t="s">
        <v>23622</v>
      </c>
      <c r="O5873" t="s">
        <v>27284</v>
      </c>
      <c r="P5873" t="s">
        <v>27285</v>
      </c>
      <c r="Q5873" t="s">
        <v>27286</v>
      </c>
      <c r="R5873">
        <v>16</v>
      </c>
      <c r="S5873">
        <v>32</v>
      </c>
    </row>
    <row r="5874" spans="1:19" x14ac:dyDescent="0.35">
      <c r="A5874">
        <v>5643</v>
      </c>
      <c r="B5874" t="s">
        <v>27276</v>
      </c>
      <c r="C5874" t="s">
        <v>42</v>
      </c>
      <c r="D5874" t="s">
        <v>27277</v>
      </c>
      <c r="E5874" t="e" cm="1">
        <f t="array" ref="E5874">- CLINDAMYCIN HYDROCHLORIDE</f>
        <v>#NAME?</v>
      </c>
      <c r="F5874" t="s">
        <v>27278</v>
      </c>
      <c r="G5874" t="s">
        <v>27279</v>
      </c>
      <c r="H5874" t="s">
        <v>27280</v>
      </c>
      <c r="I5874" t="s">
        <v>27281</v>
      </c>
      <c r="J5874" t="s">
        <v>810</v>
      </c>
      <c r="K5874" t="s">
        <v>27282</v>
      </c>
      <c r="L5874" t="s">
        <v>27283</v>
      </c>
      <c r="M5874" t="s">
        <v>38</v>
      </c>
      <c r="N5874" t="s">
        <v>23622</v>
      </c>
      <c r="O5874" t="s">
        <v>27284</v>
      </c>
      <c r="P5874" t="s">
        <v>27285</v>
      </c>
      <c r="Q5874" t="s">
        <v>27286</v>
      </c>
      <c r="R5874">
        <v>16</v>
      </c>
      <c r="S5874">
        <v>32</v>
      </c>
    </row>
    <row r="5875" spans="1:19" x14ac:dyDescent="0.35">
      <c r="A5875">
        <v>1369</v>
      </c>
      <c r="B5875" t="s">
        <v>2074</v>
      </c>
      <c r="C5875" t="s">
        <v>42</v>
      </c>
      <c r="D5875" t="s">
        <v>26014</v>
      </c>
      <c r="E5875" t="e" cm="1">
        <f t="array" ref="E5875">- GUAIFENESIN</f>
        <v>#NAME?</v>
      </c>
      <c r="F5875" s="1">
        <v>154000</v>
      </c>
      <c r="G5875" t="s">
        <v>25932</v>
      </c>
      <c r="H5875" t="s">
        <v>26015</v>
      </c>
      <c r="I5875" t="s">
        <v>25934</v>
      </c>
      <c r="J5875" t="s">
        <v>3856</v>
      </c>
      <c r="M5875" t="s">
        <v>46</v>
      </c>
      <c r="N5875" t="s">
        <v>361</v>
      </c>
      <c r="O5875" t="s">
        <v>25935</v>
      </c>
      <c r="P5875" t="s">
        <v>26016</v>
      </c>
      <c r="Q5875" t="s">
        <v>27314</v>
      </c>
      <c r="R5875">
        <v>16</v>
      </c>
      <c r="S5875">
        <v>32</v>
      </c>
    </row>
    <row r="5876" spans="1:19" x14ac:dyDescent="0.35">
      <c r="A5876">
        <v>1441</v>
      </c>
      <c r="B5876" t="s">
        <v>27315</v>
      </c>
      <c r="C5876" t="s">
        <v>42</v>
      </c>
      <c r="D5876" t="s">
        <v>27316</v>
      </c>
      <c r="E5876" t="e" cm="1">
        <f t="array" ref="E5876">- CHLORPHENAMINE MALEATE</f>
        <v>#NAME?</v>
      </c>
      <c r="F5876" s="1">
        <v>33300</v>
      </c>
      <c r="G5876" t="s">
        <v>60</v>
      </c>
      <c r="H5876" t="s">
        <v>27317</v>
      </c>
      <c r="I5876" t="s">
        <v>25771</v>
      </c>
      <c r="J5876" t="s">
        <v>3167</v>
      </c>
      <c r="K5876" t="s">
        <v>25772</v>
      </c>
      <c r="L5876" t="s">
        <v>27318</v>
      </c>
      <c r="M5876" t="s">
        <v>271</v>
      </c>
      <c r="N5876" t="s">
        <v>1354</v>
      </c>
      <c r="O5876" t="s">
        <v>25774</v>
      </c>
      <c r="P5876" t="s">
        <v>26845</v>
      </c>
      <c r="Q5876" t="s">
        <v>27319</v>
      </c>
      <c r="R5876">
        <v>16</v>
      </c>
      <c r="S5876">
        <v>32</v>
      </c>
    </row>
    <row r="5877" spans="1:19" x14ac:dyDescent="0.35">
      <c r="A5877">
        <v>5330</v>
      </c>
      <c r="B5877" t="s">
        <v>7148</v>
      </c>
      <c r="C5877" t="s">
        <v>42</v>
      </c>
      <c r="D5877" t="s">
        <v>27320</v>
      </c>
      <c r="E5877" t="e" cm="1">
        <f t="array" ref="E5877">- SULFADIAZINE SILVER</f>
        <v>#NAME?</v>
      </c>
      <c r="F5877" s="1">
        <v>559300</v>
      </c>
      <c r="G5877" t="s">
        <v>27321</v>
      </c>
      <c r="H5877" t="s">
        <v>27322</v>
      </c>
      <c r="I5877" t="s">
        <v>27323</v>
      </c>
      <c r="J5877" t="s">
        <v>27324</v>
      </c>
      <c r="M5877" t="s">
        <v>1289</v>
      </c>
      <c r="N5877" t="s">
        <v>2849</v>
      </c>
      <c r="O5877" t="s">
        <v>27325</v>
      </c>
      <c r="P5877" t="s">
        <v>27326</v>
      </c>
      <c r="Q5877" t="s">
        <v>27327</v>
      </c>
      <c r="R5877">
        <v>16</v>
      </c>
      <c r="S5877">
        <v>32</v>
      </c>
    </row>
    <row r="5878" spans="1:19" x14ac:dyDescent="0.35">
      <c r="A5878">
        <v>7061</v>
      </c>
      <c r="B5878" t="s">
        <v>1803</v>
      </c>
      <c r="C5878" t="s">
        <v>42</v>
      </c>
      <c r="D5878" t="s">
        <v>27328</v>
      </c>
      <c r="E5878" t="e" cm="1">
        <f t="array" ref="E5878">- TIZANIDINE HYDROCHLORIDE</f>
        <v>#NAME?</v>
      </c>
      <c r="F5878" t="s">
        <v>27329</v>
      </c>
      <c r="H5878" t="s">
        <v>1322</v>
      </c>
      <c r="I5878" t="s">
        <v>27330</v>
      </c>
      <c r="J5878" t="s">
        <v>27331</v>
      </c>
      <c r="M5878" t="s">
        <v>46</v>
      </c>
      <c r="N5878" t="s">
        <v>1806</v>
      </c>
      <c r="O5878" t="s">
        <v>27332</v>
      </c>
      <c r="P5878" t="s">
        <v>27333</v>
      </c>
      <c r="Q5878" t="s">
        <v>27334</v>
      </c>
      <c r="R5878">
        <v>16</v>
      </c>
      <c r="S5878">
        <v>32</v>
      </c>
    </row>
    <row r="5879" spans="1:19" x14ac:dyDescent="0.35">
      <c r="A5879">
        <v>1452</v>
      </c>
      <c r="B5879" t="s">
        <v>22509</v>
      </c>
      <c r="C5879" t="s">
        <v>42</v>
      </c>
      <c r="D5879" t="s">
        <v>22510</v>
      </c>
      <c r="E5879" t="e" cm="1">
        <f t="array" ref="E5879">- PSEUDOEPHEDRINE HYDROCHLORIDE. TRIPROLIDINE HYDROCHLORIDE</f>
        <v>#NAME?</v>
      </c>
      <c r="F5879" t="s">
        <v>22511</v>
      </c>
      <c r="G5879" t="s">
        <v>9114</v>
      </c>
      <c r="H5879" t="s">
        <v>22512</v>
      </c>
    </row>
    <row r="5880" spans="1:19" x14ac:dyDescent="0.35">
      <c r="A5880">
        <v>5329</v>
      </c>
      <c r="B5880" t="s">
        <v>7148</v>
      </c>
      <c r="C5880" t="s">
        <v>42</v>
      </c>
      <c r="D5880" t="s">
        <v>27320</v>
      </c>
      <c r="E5880" t="e" cm="1">
        <f t="array" ref="E5880">- SULFADIAZINE SILVER</f>
        <v>#NAME?</v>
      </c>
      <c r="F5880" s="1">
        <v>559300</v>
      </c>
      <c r="G5880" t="s">
        <v>27321</v>
      </c>
      <c r="H5880" t="s">
        <v>27322</v>
      </c>
      <c r="I5880" t="s">
        <v>27323</v>
      </c>
      <c r="J5880" t="s">
        <v>27324</v>
      </c>
      <c r="M5880" t="s">
        <v>1289</v>
      </c>
      <c r="N5880" t="s">
        <v>2849</v>
      </c>
      <c r="O5880" t="s">
        <v>27325</v>
      </c>
      <c r="P5880" t="s">
        <v>27326</v>
      </c>
      <c r="Q5880" t="s">
        <v>27327</v>
      </c>
      <c r="R5880">
        <v>16</v>
      </c>
      <c r="S5880">
        <v>32</v>
      </c>
    </row>
    <row r="5881" spans="1:19" x14ac:dyDescent="0.35">
      <c r="A5881">
        <v>8930</v>
      </c>
      <c r="B5881" t="s">
        <v>23345</v>
      </c>
      <c r="C5881" t="s">
        <v>42</v>
      </c>
      <c r="D5881" t="s">
        <v>23346</v>
      </c>
      <c r="E5881" t="e" cm="1">
        <f t="array" ref="E5881">- NEBIVOLOL HYDROCHLORIDE</f>
        <v>#NAME?</v>
      </c>
      <c r="F5881" t="s">
        <v>23347</v>
      </c>
      <c r="G5881" t="s">
        <v>23348</v>
      </c>
      <c r="H5881" t="s">
        <v>23349</v>
      </c>
      <c r="I5881" t="s">
        <v>23350</v>
      </c>
      <c r="J5881" t="s">
        <v>23351</v>
      </c>
      <c r="K5881" t="s">
        <v>23352</v>
      </c>
    </row>
    <row r="5882" spans="1:19" x14ac:dyDescent="0.35">
      <c r="A5882">
        <v>5653</v>
      </c>
      <c r="B5882" t="s">
        <v>27335</v>
      </c>
      <c r="C5882" t="s">
        <v>42</v>
      </c>
      <c r="D5882" t="s">
        <v>27336</v>
      </c>
      <c r="E5882" t="e" cm="1">
        <f t="array" ref="E5882">- CEFADROXIL MONOHYDRATE</f>
        <v>#NAME?</v>
      </c>
      <c r="F5882" t="s">
        <v>27337</v>
      </c>
      <c r="G5882" t="s">
        <v>2241</v>
      </c>
      <c r="H5882" t="s">
        <v>21352</v>
      </c>
      <c r="I5882" t="s">
        <v>21353</v>
      </c>
      <c r="J5882" t="s">
        <v>334</v>
      </c>
      <c r="K5882" t="s">
        <v>21355</v>
      </c>
      <c r="L5882" t="s">
        <v>21356</v>
      </c>
      <c r="M5882" t="s">
        <v>271</v>
      </c>
      <c r="N5882" t="s">
        <v>1777</v>
      </c>
      <c r="O5882" t="s">
        <v>21358</v>
      </c>
      <c r="P5882" t="s">
        <v>27338</v>
      </c>
      <c r="Q5882" t="s">
        <v>27339</v>
      </c>
      <c r="R5882">
        <v>16</v>
      </c>
      <c r="S5882">
        <v>32</v>
      </c>
    </row>
    <row r="5883" spans="1:19" x14ac:dyDescent="0.35">
      <c r="A5883">
        <v>2487</v>
      </c>
      <c r="B5883" t="s">
        <v>27188</v>
      </c>
      <c r="C5883" t="s">
        <v>42</v>
      </c>
      <c r="D5883" t="s">
        <v>27189</v>
      </c>
      <c r="E5883" t="e" cm="1">
        <f t="array" ref="E5883">- PARACETAMOL</f>
        <v>#NAME?</v>
      </c>
      <c r="F5883" t="s">
        <v>27190</v>
      </c>
      <c r="G5883" t="s">
        <v>4362</v>
      </c>
      <c r="H5883" t="s">
        <v>9708</v>
      </c>
      <c r="I5883" t="s">
        <v>25514</v>
      </c>
      <c r="J5883" t="s">
        <v>727</v>
      </c>
      <c r="K5883" t="s">
        <v>9711</v>
      </c>
      <c r="L5883" t="s">
        <v>9712</v>
      </c>
      <c r="M5883" t="s">
        <v>291</v>
      </c>
      <c r="N5883" t="s">
        <v>584</v>
      </c>
      <c r="O5883" t="s">
        <v>25515</v>
      </c>
      <c r="P5883" t="s">
        <v>12296</v>
      </c>
      <c r="Q5883" t="s">
        <v>27191</v>
      </c>
      <c r="R5883">
        <v>16</v>
      </c>
      <c r="S5883">
        <v>32</v>
      </c>
    </row>
    <row r="5884" spans="1:19" x14ac:dyDescent="0.35">
      <c r="A5884">
        <v>1370</v>
      </c>
      <c r="B5884" t="s">
        <v>2074</v>
      </c>
      <c r="C5884" t="s">
        <v>42</v>
      </c>
      <c r="D5884" t="s">
        <v>25948</v>
      </c>
      <c r="E5884" t="e" cm="1">
        <f t="array" ref="E5884">- GUAIFENESIN</f>
        <v>#NAME?</v>
      </c>
      <c r="F5884" s="1">
        <v>125000</v>
      </c>
      <c r="G5884" t="s">
        <v>25949</v>
      </c>
      <c r="I5884" t="s">
        <v>25950</v>
      </c>
      <c r="J5884" t="s">
        <v>374</v>
      </c>
      <c r="M5884" t="s">
        <v>46</v>
      </c>
      <c r="N5884" t="s">
        <v>361</v>
      </c>
      <c r="O5884" t="s">
        <v>25951</v>
      </c>
      <c r="P5884" t="s">
        <v>25952</v>
      </c>
      <c r="Q5884" t="s">
        <v>27340</v>
      </c>
      <c r="R5884">
        <v>16</v>
      </c>
      <c r="S5884">
        <v>32</v>
      </c>
    </row>
    <row r="5885" spans="1:19" x14ac:dyDescent="0.35">
      <c r="A5885">
        <v>2898</v>
      </c>
      <c r="B5885" t="s">
        <v>27055</v>
      </c>
      <c r="C5885" t="s">
        <v>42</v>
      </c>
      <c r="D5885" t="s">
        <v>27056</v>
      </c>
      <c r="E5885" t="e" cm="1">
        <f t="array" ref="E5885">- PARACETAMOL</f>
        <v>#NAME?</v>
      </c>
      <c r="F5885" t="s">
        <v>27057</v>
      </c>
      <c r="G5885" t="s">
        <v>2241</v>
      </c>
      <c r="H5885" t="s">
        <v>17209</v>
      </c>
      <c r="I5885" t="s">
        <v>25631</v>
      </c>
      <c r="J5885" t="s">
        <v>846</v>
      </c>
      <c r="K5885" t="s">
        <v>16924</v>
      </c>
      <c r="L5885" t="s">
        <v>16925</v>
      </c>
      <c r="M5885" t="s">
        <v>271</v>
      </c>
      <c r="N5885" t="s">
        <v>584</v>
      </c>
      <c r="O5885" t="s">
        <v>25515</v>
      </c>
      <c r="P5885" t="s">
        <v>25728</v>
      </c>
      <c r="Q5885" t="s">
        <v>27058</v>
      </c>
      <c r="R5885">
        <v>16</v>
      </c>
      <c r="S5885">
        <v>32</v>
      </c>
    </row>
    <row r="5886" spans="1:19" x14ac:dyDescent="0.35">
      <c r="A5886">
        <v>7604</v>
      </c>
      <c r="B5886" t="s">
        <v>24672</v>
      </c>
      <c r="C5886" t="s">
        <v>42</v>
      </c>
      <c r="D5886" t="s">
        <v>24673</v>
      </c>
      <c r="E5886" t="e" cm="1">
        <f t="array" ref="E5886">- IRON (III) HYDROXIDE POLYMALTOSE COMPLEX</f>
        <v>#NAME?</v>
      </c>
      <c r="F5886" t="s">
        <v>24674</v>
      </c>
      <c r="G5886" t="s">
        <v>1691</v>
      </c>
      <c r="H5886" t="s">
        <v>24675</v>
      </c>
      <c r="I5886" t="s">
        <v>24676</v>
      </c>
      <c r="J5886" t="s">
        <v>1162</v>
      </c>
      <c r="K5886" t="s">
        <v>24539</v>
      </c>
      <c r="L5886" t="s">
        <v>5416</v>
      </c>
      <c r="M5886" t="s">
        <v>271</v>
      </c>
      <c r="N5886" t="s">
        <v>27341</v>
      </c>
      <c r="O5886" t="s">
        <v>24677</v>
      </c>
      <c r="P5886" t="s">
        <v>24542</v>
      </c>
      <c r="Q5886" t="s">
        <v>27342</v>
      </c>
      <c r="R5886">
        <v>16</v>
      </c>
      <c r="S5886">
        <v>32</v>
      </c>
    </row>
    <row r="5887" spans="1:19" x14ac:dyDescent="0.35">
      <c r="A5887">
        <v>7479</v>
      </c>
      <c r="B5887" t="s">
        <v>27343</v>
      </c>
      <c r="C5887" t="s">
        <v>20</v>
      </c>
      <c r="D5887" t="s">
        <v>27344</v>
      </c>
      <c r="E5887" t="s">
        <v>27345</v>
      </c>
      <c r="F5887" t="s">
        <v>27346</v>
      </c>
      <c r="G5887" t="s">
        <v>2453</v>
      </c>
      <c r="H5887" t="s">
        <v>27347</v>
      </c>
      <c r="I5887" t="s">
        <v>27348</v>
      </c>
      <c r="J5887" t="s">
        <v>14775</v>
      </c>
      <c r="K5887" t="s">
        <v>27349</v>
      </c>
      <c r="L5887" t="s">
        <v>27350</v>
      </c>
      <c r="M5887" t="s">
        <v>38</v>
      </c>
      <c r="N5887" t="s">
        <v>27351</v>
      </c>
      <c r="O5887" t="s">
        <v>27352</v>
      </c>
      <c r="P5887" t="s">
        <v>27351</v>
      </c>
      <c r="Q5887" t="s">
        <v>27353</v>
      </c>
      <c r="R5887">
        <v>16</v>
      </c>
      <c r="S5887">
        <v>32</v>
      </c>
    </row>
    <row r="5888" spans="1:19" x14ac:dyDescent="0.35">
      <c r="A5888">
        <v>5654</v>
      </c>
      <c r="B5888" t="s">
        <v>27335</v>
      </c>
      <c r="C5888" t="s">
        <v>42</v>
      </c>
      <c r="D5888" t="s">
        <v>27336</v>
      </c>
      <c r="E5888" t="e" cm="1">
        <f t="array" ref="E5888">- CEFADROXIL MONOHYDRATE</f>
        <v>#NAME?</v>
      </c>
      <c r="F5888" t="s">
        <v>27337</v>
      </c>
      <c r="G5888" t="s">
        <v>2241</v>
      </c>
      <c r="H5888" t="s">
        <v>21352</v>
      </c>
      <c r="I5888" t="s">
        <v>21353</v>
      </c>
      <c r="J5888" t="s">
        <v>334</v>
      </c>
      <c r="K5888" t="s">
        <v>21355</v>
      </c>
      <c r="L5888" t="s">
        <v>21356</v>
      </c>
      <c r="M5888" t="s">
        <v>271</v>
      </c>
      <c r="N5888" t="s">
        <v>1777</v>
      </c>
      <c r="O5888" t="s">
        <v>21358</v>
      </c>
      <c r="P5888" t="s">
        <v>27338</v>
      </c>
      <c r="Q5888" t="s">
        <v>27339</v>
      </c>
      <c r="R5888">
        <v>16</v>
      </c>
      <c r="S5888">
        <v>32</v>
      </c>
    </row>
    <row r="5889" spans="1:19" x14ac:dyDescent="0.35">
      <c r="A5889">
        <v>5220</v>
      </c>
      <c r="B5889" t="s">
        <v>27287</v>
      </c>
      <c r="C5889" t="s">
        <v>42</v>
      </c>
      <c r="D5889" t="s">
        <v>27288</v>
      </c>
      <c r="E5889" t="e" cm="1">
        <f t="array" ref="E5889">- MICONAZOLE NITRATE</f>
        <v>#NAME?</v>
      </c>
      <c r="F5889" t="s">
        <v>27289</v>
      </c>
      <c r="G5889" t="s">
        <v>19614</v>
      </c>
      <c r="H5889" t="s">
        <v>27290</v>
      </c>
      <c r="I5889" t="s">
        <v>27291</v>
      </c>
      <c r="J5889" t="s">
        <v>7187</v>
      </c>
      <c r="K5889" t="s">
        <v>2858</v>
      </c>
      <c r="L5889" t="s">
        <v>14128</v>
      </c>
      <c r="M5889" t="s">
        <v>1289</v>
      </c>
      <c r="N5889" t="s">
        <v>9389</v>
      </c>
      <c r="O5889" t="s">
        <v>27292</v>
      </c>
      <c r="P5889" t="s">
        <v>27293</v>
      </c>
      <c r="Q5889" t="s">
        <v>27294</v>
      </c>
      <c r="R5889">
        <v>16</v>
      </c>
      <c r="S5889">
        <v>32</v>
      </c>
    </row>
    <row r="5890" spans="1:19" x14ac:dyDescent="0.35">
      <c r="A5890">
        <v>5263</v>
      </c>
      <c r="B5890" t="s">
        <v>25671</v>
      </c>
      <c r="C5890" t="s">
        <v>42</v>
      </c>
      <c r="D5890" t="s">
        <v>27185</v>
      </c>
      <c r="E5890" t="e" cm="1">
        <f t="array" ref="E5890">- BETAMETHASONE DIPROPIONATE. GENTAMICIN SULFATE</f>
        <v>#NAME?</v>
      </c>
      <c r="F5890" t="s">
        <v>27186</v>
      </c>
      <c r="G5890" t="s">
        <v>19513</v>
      </c>
      <c r="H5890" t="s">
        <v>25028</v>
      </c>
      <c r="I5890" t="s">
        <v>25070</v>
      </c>
      <c r="J5890" t="s">
        <v>2167</v>
      </c>
      <c r="K5890" t="s">
        <v>25030</v>
      </c>
      <c r="L5890" t="s">
        <v>25031</v>
      </c>
      <c r="M5890" t="s">
        <v>1289</v>
      </c>
      <c r="N5890" t="s">
        <v>19781</v>
      </c>
      <c r="O5890" t="s">
        <v>25032</v>
      </c>
      <c r="P5890" t="s">
        <v>25677</v>
      </c>
      <c r="Q5890" t="s">
        <v>27187</v>
      </c>
      <c r="R5890">
        <v>16</v>
      </c>
      <c r="S5890">
        <v>32</v>
      </c>
    </row>
    <row r="5891" spans="1:19" x14ac:dyDescent="0.35">
      <c r="A5891">
        <v>5222</v>
      </c>
      <c r="B5891" t="s">
        <v>27287</v>
      </c>
      <c r="C5891" t="s">
        <v>42</v>
      </c>
      <c r="D5891" t="s">
        <v>27354</v>
      </c>
      <c r="E5891" t="e" cm="1">
        <f t="array" ref="E5891">- MICONAZOLE NITRATE</f>
        <v>#NAME?</v>
      </c>
      <c r="F5891" t="s">
        <v>27355</v>
      </c>
      <c r="H5891" t="s">
        <v>27356</v>
      </c>
      <c r="I5891" t="s">
        <v>27357</v>
      </c>
      <c r="J5891" t="s">
        <v>19233</v>
      </c>
      <c r="L5891" t="s">
        <v>27358</v>
      </c>
      <c r="M5891" t="s">
        <v>1289</v>
      </c>
      <c r="N5891" t="s">
        <v>9389</v>
      </c>
      <c r="O5891" t="s">
        <v>27359</v>
      </c>
      <c r="P5891" t="s">
        <v>27360</v>
      </c>
      <c r="Q5891" t="s">
        <v>27361</v>
      </c>
      <c r="R5891">
        <v>17</v>
      </c>
      <c r="S5891">
        <v>32</v>
      </c>
    </row>
    <row r="5892" spans="1:19" x14ac:dyDescent="0.35">
      <c r="A5892">
        <v>6521</v>
      </c>
      <c r="B5892" t="s">
        <v>27362</v>
      </c>
      <c r="C5892" t="s">
        <v>42</v>
      </c>
      <c r="D5892" t="s">
        <v>27363</v>
      </c>
      <c r="E5892" t="e" cm="1">
        <f t="array" ref="E5892">- AZITHROMYCIN DIHYDRATE</f>
        <v>#NAME?</v>
      </c>
      <c r="F5892" t="s">
        <v>27364</v>
      </c>
      <c r="G5892" t="s">
        <v>27365</v>
      </c>
      <c r="I5892" t="s">
        <v>27366</v>
      </c>
      <c r="J5892" t="s">
        <v>2573</v>
      </c>
      <c r="K5892" t="s">
        <v>27367</v>
      </c>
      <c r="L5892" t="s">
        <v>27368</v>
      </c>
      <c r="M5892" t="s">
        <v>291</v>
      </c>
      <c r="N5892" t="s">
        <v>13005</v>
      </c>
      <c r="O5892" t="s">
        <v>27369</v>
      </c>
      <c r="P5892" t="s">
        <v>27370</v>
      </c>
      <c r="Q5892" t="s">
        <v>27371</v>
      </c>
      <c r="R5892">
        <v>17</v>
      </c>
      <c r="S5892">
        <v>32</v>
      </c>
    </row>
    <row r="5893" spans="1:19" x14ac:dyDescent="0.35">
      <c r="A5893">
        <v>4488</v>
      </c>
      <c r="B5893" t="s">
        <v>27372</v>
      </c>
      <c r="C5893" t="s">
        <v>42</v>
      </c>
      <c r="D5893" t="s">
        <v>27373</v>
      </c>
      <c r="E5893" t="e" cm="1">
        <f t="array" ref="E5893">- SODIUM HYALURONATE</f>
        <v>#NAME?</v>
      </c>
      <c r="F5893" t="s">
        <v>27374</v>
      </c>
      <c r="G5893" t="s">
        <v>14062</v>
      </c>
      <c r="H5893" t="s">
        <v>27375</v>
      </c>
      <c r="I5893" t="s">
        <v>25898</v>
      </c>
      <c r="J5893" t="s">
        <v>27376</v>
      </c>
      <c r="K5893" t="s">
        <v>3952</v>
      </c>
      <c r="L5893" t="s">
        <v>27377</v>
      </c>
      <c r="M5893" t="s">
        <v>824</v>
      </c>
      <c r="N5893" t="s">
        <v>27378</v>
      </c>
      <c r="O5893" t="s">
        <v>25899</v>
      </c>
      <c r="P5893" t="s">
        <v>27379</v>
      </c>
      <c r="Q5893" t="s">
        <v>27380</v>
      </c>
      <c r="R5893">
        <v>17</v>
      </c>
      <c r="S5893">
        <v>32</v>
      </c>
    </row>
    <row r="5894" spans="1:19" x14ac:dyDescent="0.35">
      <c r="A5894">
        <v>4483</v>
      </c>
      <c r="B5894" t="s">
        <v>27372</v>
      </c>
      <c r="C5894" t="s">
        <v>42</v>
      </c>
      <c r="D5894" t="s">
        <v>27373</v>
      </c>
      <c r="E5894" t="e" cm="1">
        <f t="array" ref="E5894">- SODIUM HYALURONATE</f>
        <v>#NAME?</v>
      </c>
      <c r="F5894" t="s">
        <v>27374</v>
      </c>
      <c r="G5894" t="s">
        <v>14062</v>
      </c>
      <c r="H5894" t="s">
        <v>27375</v>
      </c>
      <c r="I5894" t="s">
        <v>25898</v>
      </c>
      <c r="J5894" t="s">
        <v>27376</v>
      </c>
      <c r="K5894" t="s">
        <v>3952</v>
      </c>
      <c r="L5894" t="s">
        <v>27377</v>
      </c>
      <c r="M5894" t="s">
        <v>824</v>
      </c>
      <c r="N5894" t="s">
        <v>27378</v>
      </c>
      <c r="O5894" t="s">
        <v>25899</v>
      </c>
      <c r="P5894" t="s">
        <v>27379</v>
      </c>
      <c r="Q5894" t="s">
        <v>27380</v>
      </c>
      <c r="R5894">
        <v>17</v>
      </c>
      <c r="S5894">
        <v>32</v>
      </c>
    </row>
    <row r="5895" spans="1:19" x14ac:dyDescent="0.35">
      <c r="A5895">
        <v>5105</v>
      </c>
      <c r="B5895" t="s">
        <v>27381</v>
      </c>
      <c r="C5895" t="s">
        <v>42</v>
      </c>
      <c r="D5895" t="s">
        <v>27382</v>
      </c>
      <c r="E5895" t="e" cm="1">
        <f t="array" ref="E5895">- CLOBETASOL PROPIONATE</f>
        <v>#NAME?</v>
      </c>
      <c r="F5895" t="s">
        <v>27383</v>
      </c>
      <c r="H5895" t="s">
        <v>27384</v>
      </c>
      <c r="I5895" t="s">
        <v>27385</v>
      </c>
      <c r="J5895" t="s">
        <v>27386</v>
      </c>
      <c r="K5895" t="s">
        <v>27387</v>
      </c>
    </row>
    <row r="5896" spans="1:19" x14ac:dyDescent="0.35">
      <c r="A5896">
        <v>5278</v>
      </c>
      <c r="B5896" t="s">
        <v>27388</v>
      </c>
      <c r="C5896" t="s">
        <v>42</v>
      </c>
      <c r="D5896" t="s">
        <v>27389</v>
      </c>
      <c r="E5896" t="e" cm="1">
        <f t="array" ref="E5896">- GENTAMICIN SULFATE</f>
        <v>#NAME?</v>
      </c>
      <c r="F5896" t="s">
        <v>27390</v>
      </c>
      <c r="G5896" t="s">
        <v>27391</v>
      </c>
      <c r="H5896" t="s">
        <v>27392</v>
      </c>
      <c r="I5896" t="s">
        <v>27393</v>
      </c>
      <c r="J5896" t="s">
        <v>21853</v>
      </c>
      <c r="K5896" t="s">
        <v>3473</v>
      </c>
      <c r="L5896" t="s">
        <v>27394</v>
      </c>
      <c r="M5896" t="s">
        <v>1029</v>
      </c>
      <c r="N5896" t="s">
        <v>6119</v>
      </c>
      <c r="O5896" t="s">
        <v>27395</v>
      </c>
      <c r="P5896" t="s">
        <v>27396</v>
      </c>
      <c r="Q5896" t="s">
        <v>27397</v>
      </c>
      <c r="R5896">
        <v>17</v>
      </c>
      <c r="S5896">
        <v>32</v>
      </c>
    </row>
    <row r="5897" spans="1:19" x14ac:dyDescent="0.35">
      <c r="A5897">
        <v>4487</v>
      </c>
      <c r="B5897" t="s">
        <v>27372</v>
      </c>
      <c r="C5897" t="s">
        <v>42</v>
      </c>
      <c r="D5897" t="s">
        <v>27373</v>
      </c>
      <c r="E5897" t="e" cm="1">
        <f t="array" ref="E5897">- SODIUM HYALURONATE</f>
        <v>#NAME?</v>
      </c>
      <c r="F5897" t="s">
        <v>27374</v>
      </c>
      <c r="G5897" t="s">
        <v>14062</v>
      </c>
      <c r="H5897" t="s">
        <v>27375</v>
      </c>
      <c r="I5897" t="s">
        <v>25898</v>
      </c>
      <c r="J5897" t="s">
        <v>27376</v>
      </c>
      <c r="K5897" t="s">
        <v>3952</v>
      </c>
      <c r="L5897" t="s">
        <v>27377</v>
      </c>
      <c r="M5897" t="s">
        <v>824</v>
      </c>
      <c r="N5897" t="s">
        <v>27378</v>
      </c>
      <c r="O5897" t="s">
        <v>25899</v>
      </c>
      <c r="P5897" t="s">
        <v>27379</v>
      </c>
      <c r="Q5897" t="s">
        <v>27380</v>
      </c>
      <c r="R5897">
        <v>17</v>
      </c>
      <c r="S5897">
        <v>32</v>
      </c>
    </row>
    <row r="5898" spans="1:19" x14ac:dyDescent="0.35">
      <c r="A5898">
        <v>4194</v>
      </c>
      <c r="B5898" t="s">
        <v>27398</v>
      </c>
      <c r="C5898" t="s">
        <v>42</v>
      </c>
      <c r="D5898" t="s">
        <v>27399</v>
      </c>
      <c r="E5898" t="e" cm="1">
        <f t="array" ref="E5898">- DESLORATADINE</f>
        <v>#NAME?</v>
      </c>
      <c r="F5898" t="s">
        <v>27400</v>
      </c>
      <c r="G5898" t="s">
        <v>539</v>
      </c>
      <c r="H5898" t="s">
        <v>27401</v>
      </c>
      <c r="I5898" t="s">
        <v>27402</v>
      </c>
      <c r="J5898" t="s">
        <v>27403</v>
      </c>
      <c r="L5898" t="s">
        <v>270</v>
      </c>
      <c r="M5898" t="s">
        <v>46</v>
      </c>
      <c r="N5898" t="s">
        <v>1107</v>
      </c>
      <c r="O5898" t="s">
        <v>27404</v>
      </c>
      <c r="P5898" t="s">
        <v>27405</v>
      </c>
      <c r="Q5898" t="s">
        <v>27406</v>
      </c>
      <c r="R5898">
        <v>17</v>
      </c>
      <c r="S5898">
        <v>32</v>
      </c>
    </row>
    <row r="5899" spans="1:19" x14ac:dyDescent="0.35">
      <c r="A5899">
        <v>4485</v>
      </c>
      <c r="B5899" t="s">
        <v>27372</v>
      </c>
      <c r="C5899" t="s">
        <v>42</v>
      </c>
      <c r="D5899" t="s">
        <v>27373</v>
      </c>
      <c r="E5899" t="e" cm="1">
        <f t="array" ref="E5899">- SODIUM HYALURONATE</f>
        <v>#NAME?</v>
      </c>
      <c r="F5899" t="s">
        <v>27374</v>
      </c>
      <c r="G5899" t="s">
        <v>14062</v>
      </c>
      <c r="H5899" t="s">
        <v>27375</v>
      </c>
      <c r="I5899" t="s">
        <v>25898</v>
      </c>
      <c r="J5899" t="s">
        <v>27376</v>
      </c>
      <c r="K5899" t="s">
        <v>3952</v>
      </c>
      <c r="L5899" t="s">
        <v>27377</v>
      </c>
      <c r="M5899" t="s">
        <v>824</v>
      </c>
      <c r="N5899" t="s">
        <v>27378</v>
      </c>
      <c r="O5899" t="s">
        <v>25899</v>
      </c>
      <c r="P5899" t="s">
        <v>27379</v>
      </c>
      <c r="Q5899" t="s">
        <v>27380</v>
      </c>
      <c r="R5899">
        <v>17</v>
      </c>
      <c r="S5899">
        <v>32</v>
      </c>
    </row>
    <row r="5900" spans="1:19" x14ac:dyDescent="0.35">
      <c r="A5900">
        <v>4193</v>
      </c>
      <c r="B5900" t="s">
        <v>27398</v>
      </c>
      <c r="C5900" t="s">
        <v>42</v>
      </c>
      <c r="D5900" t="s">
        <v>27399</v>
      </c>
      <c r="E5900" t="e" cm="1">
        <f t="array" ref="E5900">- DESLORATADINE</f>
        <v>#NAME?</v>
      </c>
      <c r="F5900" t="s">
        <v>27400</v>
      </c>
      <c r="G5900" t="s">
        <v>539</v>
      </c>
      <c r="H5900" t="s">
        <v>27401</v>
      </c>
      <c r="I5900" t="s">
        <v>27402</v>
      </c>
      <c r="J5900" t="s">
        <v>27403</v>
      </c>
      <c r="L5900" t="s">
        <v>270</v>
      </c>
      <c r="M5900" t="s">
        <v>46</v>
      </c>
      <c r="N5900" t="s">
        <v>1107</v>
      </c>
      <c r="O5900" t="s">
        <v>27404</v>
      </c>
      <c r="P5900" t="s">
        <v>27405</v>
      </c>
      <c r="Q5900" t="s">
        <v>27406</v>
      </c>
      <c r="R5900">
        <v>17</v>
      </c>
      <c r="S5900">
        <v>32</v>
      </c>
    </row>
    <row r="5901" spans="1:19" x14ac:dyDescent="0.35">
      <c r="A5901">
        <v>174</v>
      </c>
      <c r="B5901" t="s">
        <v>2902</v>
      </c>
      <c r="C5901" t="s">
        <v>42</v>
      </c>
      <c r="D5901" t="s">
        <v>27407</v>
      </c>
      <c r="E5901" t="e" cm="1">
        <f t="array" ref="E5901">- SILDENAFIL CITRATE</f>
        <v>#NAME?</v>
      </c>
      <c r="F5901" t="s">
        <v>27408</v>
      </c>
      <c r="H5901" t="s">
        <v>1322</v>
      </c>
      <c r="I5901" t="s">
        <v>27409</v>
      </c>
      <c r="J5901" t="s">
        <v>8106</v>
      </c>
      <c r="L5901" t="s">
        <v>27410</v>
      </c>
      <c r="M5901" t="s">
        <v>46</v>
      </c>
      <c r="N5901" t="s">
        <v>2519</v>
      </c>
      <c r="O5901" t="s">
        <v>27411</v>
      </c>
      <c r="P5901" t="s">
        <v>27412</v>
      </c>
      <c r="Q5901" t="s">
        <v>27413</v>
      </c>
      <c r="R5901">
        <v>17</v>
      </c>
      <c r="S5901">
        <v>32</v>
      </c>
    </row>
    <row r="5902" spans="1:19" x14ac:dyDescent="0.35">
      <c r="A5902">
        <v>5250</v>
      </c>
      <c r="B5902" t="s">
        <v>25289</v>
      </c>
      <c r="C5902" t="s">
        <v>42</v>
      </c>
      <c r="D5902" t="s">
        <v>25290</v>
      </c>
      <c r="E5902" t="e" cm="1">
        <f t="array" ref="E5902">- HYDROCORTISONE ACETATE. CHLORAMPHENICOL</f>
        <v>#NAME?</v>
      </c>
      <c r="F5902" t="s">
        <v>25291</v>
      </c>
      <c r="G5902" t="s">
        <v>25292</v>
      </c>
      <c r="H5902" t="s">
        <v>25293</v>
      </c>
      <c r="I5902" t="s">
        <v>25294</v>
      </c>
      <c r="J5902" t="s">
        <v>2049</v>
      </c>
      <c r="K5902" t="s">
        <v>25295</v>
      </c>
      <c r="L5902" t="s">
        <v>25296</v>
      </c>
      <c r="M5902" t="s">
        <v>1289</v>
      </c>
      <c r="N5902" t="s">
        <v>27414</v>
      </c>
      <c r="O5902" t="s">
        <v>25297</v>
      </c>
      <c r="P5902" t="s">
        <v>25298</v>
      </c>
      <c r="Q5902" t="s">
        <v>27415</v>
      </c>
      <c r="R5902">
        <v>17</v>
      </c>
      <c r="S5902">
        <v>32</v>
      </c>
    </row>
    <row r="5903" spans="1:19" x14ac:dyDescent="0.35">
      <c r="A5903">
        <v>1914</v>
      </c>
      <c r="B5903" t="s">
        <v>27416</v>
      </c>
      <c r="C5903" t="s">
        <v>20</v>
      </c>
      <c r="D5903" t="s">
        <v>27417</v>
      </c>
      <c r="E5903" t="s">
        <v>27418</v>
      </c>
      <c r="F5903" t="s">
        <v>27419</v>
      </c>
      <c r="G5903" t="s">
        <v>27420</v>
      </c>
      <c r="H5903" t="s">
        <v>27421</v>
      </c>
      <c r="I5903" t="s">
        <v>27422</v>
      </c>
      <c r="J5903" t="s">
        <v>13487</v>
      </c>
      <c r="K5903" t="s">
        <v>27423</v>
      </c>
      <c r="L5903" t="s">
        <v>27424</v>
      </c>
      <c r="M5903" t="s">
        <v>63</v>
      </c>
      <c r="N5903" t="s">
        <v>27425</v>
      </c>
      <c r="O5903" t="s">
        <v>27426</v>
      </c>
      <c r="P5903" t="s">
        <v>27425</v>
      </c>
      <c r="Q5903" t="s">
        <v>27427</v>
      </c>
      <c r="R5903">
        <v>17</v>
      </c>
      <c r="S5903">
        <v>32</v>
      </c>
    </row>
    <row r="5904" spans="1:19" x14ac:dyDescent="0.35">
      <c r="A5904">
        <v>4187</v>
      </c>
      <c r="B5904" t="s">
        <v>27428</v>
      </c>
      <c r="C5904" t="s">
        <v>42</v>
      </c>
      <c r="D5904" t="s">
        <v>27429</v>
      </c>
      <c r="E5904" t="e" cm="1">
        <f t="array" ref="E5904">- LORATADINE</f>
        <v>#NAME?</v>
      </c>
      <c r="F5904" t="s">
        <v>27430</v>
      </c>
      <c r="H5904" t="s">
        <v>9221</v>
      </c>
      <c r="I5904" t="s">
        <v>27431</v>
      </c>
      <c r="J5904" t="s">
        <v>381</v>
      </c>
      <c r="K5904" t="s">
        <v>2726</v>
      </c>
      <c r="L5904" t="s">
        <v>27432</v>
      </c>
      <c r="M5904" t="s">
        <v>46</v>
      </c>
      <c r="N5904" t="s">
        <v>9225</v>
      </c>
      <c r="O5904" t="s">
        <v>27433</v>
      </c>
      <c r="P5904" t="s">
        <v>27434</v>
      </c>
      <c r="Q5904" t="s">
        <v>27435</v>
      </c>
      <c r="R5904">
        <v>17</v>
      </c>
      <c r="S5904">
        <v>32</v>
      </c>
    </row>
    <row r="5905" spans="1:19" x14ac:dyDescent="0.35">
      <c r="A5905">
        <v>4484</v>
      </c>
      <c r="B5905" t="s">
        <v>27372</v>
      </c>
      <c r="C5905" t="s">
        <v>42</v>
      </c>
      <c r="D5905" t="s">
        <v>27373</v>
      </c>
      <c r="E5905" t="e" cm="1">
        <f t="array" ref="E5905">- SODIUM HYALURONATE</f>
        <v>#NAME?</v>
      </c>
      <c r="F5905" t="s">
        <v>27374</v>
      </c>
      <c r="G5905" t="s">
        <v>14062</v>
      </c>
      <c r="H5905" t="s">
        <v>27375</v>
      </c>
      <c r="I5905" t="s">
        <v>25898</v>
      </c>
      <c r="J5905" t="s">
        <v>27376</v>
      </c>
      <c r="K5905" t="s">
        <v>3952</v>
      </c>
      <c r="L5905" t="s">
        <v>27377</v>
      </c>
      <c r="M5905" t="s">
        <v>824</v>
      </c>
      <c r="N5905" t="s">
        <v>27378</v>
      </c>
      <c r="O5905" t="s">
        <v>25899</v>
      </c>
      <c r="P5905" t="s">
        <v>27379</v>
      </c>
      <c r="Q5905" t="s">
        <v>27380</v>
      </c>
      <c r="R5905">
        <v>17</v>
      </c>
      <c r="S5905">
        <v>32</v>
      </c>
    </row>
    <row r="5906" spans="1:19" x14ac:dyDescent="0.35">
      <c r="A5906">
        <v>4186</v>
      </c>
      <c r="B5906" t="s">
        <v>27428</v>
      </c>
      <c r="C5906" t="s">
        <v>42</v>
      </c>
      <c r="D5906" t="s">
        <v>27429</v>
      </c>
      <c r="E5906" t="e" cm="1">
        <f t="array" ref="E5906">- LORATADINE</f>
        <v>#NAME?</v>
      </c>
      <c r="F5906" t="s">
        <v>27430</v>
      </c>
      <c r="H5906" t="s">
        <v>9221</v>
      </c>
      <c r="I5906" t="s">
        <v>27431</v>
      </c>
      <c r="J5906" t="s">
        <v>381</v>
      </c>
      <c r="K5906" t="s">
        <v>2726</v>
      </c>
      <c r="L5906" t="s">
        <v>27432</v>
      </c>
      <c r="M5906" t="s">
        <v>46</v>
      </c>
      <c r="N5906" t="s">
        <v>9225</v>
      </c>
      <c r="O5906" t="s">
        <v>27433</v>
      </c>
      <c r="P5906" t="s">
        <v>27434</v>
      </c>
      <c r="Q5906" t="s">
        <v>27435</v>
      </c>
      <c r="R5906">
        <v>17</v>
      </c>
      <c r="S5906">
        <v>32</v>
      </c>
    </row>
    <row r="5907" spans="1:19" x14ac:dyDescent="0.35">
      <c r="A5907">
        <v>1906</v>
      </c>
      <c r="B5907" t="s">
        <v>27436</v>
      </c>
      <c r="C5907" t="s">
        <v>20</v>
      </c>
      <c r="D5907" t="s">
        <v>27437</v>
      </c>
      <c r="E5907" t="s">
        <v>27418</v>
      </c>
      <c r="F5907" t="s">
        <v>27438</v>
      </c>
      <c r="G5907" t="s">
        <v>27439</v>
      </c>
      <c r="H5907" t="s">
        <v>27440</v>
      </c>
      <c r="I5907" t="s">
        <v>27441</v>
      </c>
      <c r="J5907" t="s">
        <v>11120</v>
      </c>
      <c r="K5907" t="s">
        <v>27423</v>
      </c>
      <c r="L5907" t="s">
        <v>27442</v>
      </c>
      <c r="M5907" t="s">
        <v>63</v>
      </c>
      <c r="N5907" t="s">
        <v>27425</v>
      </c>
      <c r="O5907" t="s">
        <v>27443</v>
      </c>
      <c r="P5907" t="s">
        <v>27425</v>
      </c>
      <c r="Q5907" t="s">
        <v>27444</v>
      </c>
      <c r="R5907">
        <v>17</v>
      </c>
      <c r="S5907">
        <v>32</v>
      </c>
    </row>
    <row r="5908" spans="1:19" x14ac:dyDescent="0.35">
      <c r="A5908">
        <v>6369</v>
      </c>
      <c r="B5908" t="s">
        <v>27445</v>
      </c>
      <c r="C5908" t="s">
        <v>42</v>
      </c>
      <c r="D5908" t="s">
        <v>27446</v>
      </c>
      <c r="E5908" t="e" cm="1">
        <f t="array" ref="E5908">- ETHAMBUTOL HYDROCHLORIDE. PYRAZINAMIDE. ISONIAZID. RIFAMPICIN</f>
        <v>#NAME?</v>
      </c>
      <c r="F5908" t="s">
        <v>27447</v>
      </c>
      <c r="G5908" t="s">
        <v>737</v>
      </c>
      <c r="H5908" t="s">
        <v>319</v>
      </c>
      <c r="I5908" t="s">
        <v>27448</v>
      </c>
      <c r="J5908" t="s">
        <v>27449</v>
      </c>
      <c r="K5908" t="s">
        <v>27450</v>
      </c>
      <c r="L5908" t="s">
        <v>382</v>
      </c>
      <c r="M5908" t="s">
        <v>291</v>
      </c>
      <c r="N5908" t="s">
        <v>27451</v>
      </c>
      <c r="O5908" t="s">
        <v>27452</v>
      </c>
      <c r="P5908" t="s">
        <v>27453</v>
      </c>
      <c r="Q5908" t="s">
        <v>27454</v>
      </c>
      <c r="R5908">
        <v>17</v>
      </c>
      <c r="S5908">
        <v>32</v>
      </c>
    </row>
    <row r="5909" spans="1:19" x14ac:dyDescent="0.35">
      <c r="A5909">
        <v>1913</v>
      </c>
      <c r="B5909" t="s">
        <v>27416</v>
      </c>
      <c r="C5909" t="s">
        <v>20</v>
      </c>
      <c r="D5909" t="s">
        <v>27417</v>
      </c>
      <c r="E5909" t="s">
        <v>27418</v>
      </c>
      <c r="F5909" t="s">
        <v>27419</v>
      </c>
      <c r="G5909" t="s">
        <v>27420</v>
      </c>
      <c r="H5909" t="s">
        <v>27421</v>
      </c>
      <c r="I5909" t="s">
        <v>27422</v>
      </c>
      <c r="J5909" t="s">
        <v>13487</v>
      </c>
      <c r="K5909" t="s">
        <v>27423</v>
      </c>
      <c r="L5909" t="s">
        <v>27424</v>
      </c>
      <c r="M5909" t="s">
        <v>63</v>
      </c>
      <c r="N5909" t="s">
        <v>27425</v>
      </c>
      <c r="O5909" t="s">
        <v>27426</v>
      </c>
      <c r="P5909" t="s">
        <v>27425</v>
      </c>
      <c r="Q5909" t="s">
        <v>27427</v>
      </c>
      <c r="R5909">
        <v>17</v>
      </c>
      <c r="S5909">
        <v>32</v>
      </c>
    </row>
    <row r="5910" spans="1:19" x14ac:dyDescent="0.35">
      <c r="A5910">
        <v>5295</v>
      </c>
      <c r="B5910" t="s">
        <v>27455</v>
      </c>
      <c r="C5910" t="s">
        <v>850</v>
      </c>
      <c r="D5910" t="s">
        <v>27456</v>
      </c>
      <c r="E5910" t="s">
        <v>2069</v>
      </c>
      <c r="F5910" t="s">
        <v>27457</v>
      </c>
      <c r="G5910" t="s">
        <v>27458</v>
      </c>
      <c r="H5910" t="s">
        <v>27459</v>
      </c>
      <c r="I5910" t="s">
        <v>27460</v>
      </c>
      <c r="J5910" t="s">
        <v>27461</v>
      </c>
      <c r="K5910" t="s">
        <v>27462</v>
      </c>
      <c r="L5910" t="s">
        <v>27463</v>
      </c>
      <c r="N5910" t="s">
        <v>2071</v>
      </c>
      <c r="O5910" t="s">
        <v>27464</v>
      </c>
      <c r="P5910" t="s">
        <v>9779</v>
      </c>
      <c r="Q5910" t="s">
        <v>27465</v>
      </c>
      <c r="R5910">
        <v>17</v>
      </c>
      <c r="S5910">
        <v>32</v>
      </c>
    </row>
    <row r="5911" spans="1:19" x14ac:dyDescent="0.35">
      <c r="A5911">
        <v>5296</v>
      </c>
      <c r="B5911" t="s">
        <v>27455</v>
      </c>
      <c r="C5911" t="s">
        <v>850</v>
      </c>
      <c r="D5911" t="s">
        <v>27456</v>
      </c>
      <c r="E5911" t="s">
        <v>2069</v>
      </c>
      <c r="F5911" t="s">
        <v>27457</v>
      </c>
      <c r="G5911" t="s">
        <v>27458</v>
      </c>
      <c r="H5911" t="s">
        <v>27459</v>
      </c>
      <c r="I5911" t="s">
        <v>27460</v>
      </c>
      <c r="J5911" t="s">
        <v>27461</v>
      </c>
      <c r="K5911" t="s">
        <v>27462</v>
      </c>
      <c r="L5911" t="s">
        <v>27463</v>
      </c>
      <c r="N5911" t="s">
        <v>2071</v>
      </c>
      <c r="O5911" t="s">
        <v>27464</v>
      </c>
      <c r="P5911" t="s">
        <v>9779</v>
      </c>
      <c r="Q5911" t="s">
        <v>27465</v>
      </c>
      <c r="R5911">
        <v>17</v>
      </c>
      <c r="S5911">
        <v>32</v>
      </c>
    </row>
    <row r="5912" spans="1:19" x14ac:dyDescent="0.35">
      <c r="A5912">
        <v>6522</v>
      </c>
      <c r="B5912" t="s">
        <v>27362</v>
      </c>
      <c r="C5912" t="s">
        <v>42</v>
      </c>
      <c r="D5912" t="s">
        <v>27363</v>
      </c>
      <c r="E5912" t="e" cm="1">
        <f t="array" ref="E5912">- AZITHROMYCIN DIHYDRATE</f>
        <v>#NAME?</v>
      </c>
      <c r="F5912" t="s">
        <v>27364</v>
      </c>
      <c r="G5912" t="s">
        <v>27365</v>
      </c>
      <c r="I5912" t="s">
        <v>27366</v>
      </c>
      <c r="J5912" t="s">
        <v>2573</v>
      </c>
      <c r="K5912" t="s">
        <v>27367</v>
      </c>
      <c r="L5912" t="s">
        <v>27368</v>
      </c>
      <c r="M5912" t="s">
        <v>291</v>
      </c>
      <c r="N5912" t="s">
        <v>13005</v>
      </c>
      <c r="O5912" t="s">
        <v>27369</v>
      </c>
      <c r="P5912" t="s">
        <v>27370</v>
      </c>
      <c r="Q5912" t="s">
        <v>27371</v>
      </c>
      <c r="R5912">
        <v>17</v>
      </c>
      <c r="S5912">
        <v>32</v>
      </c>
    </row>
    <row r="5913" spans="1:19" x14ac:dyDescent="0.35">
      <c r="A5913">
        <v>4266</v>
      </c>
      <c r="B5913" t="s">
        <v>27466</v>
      </c>
      <c r="C5913" t="s">
        <v>42</v>
      </c>
      <c r="D5913" t="s">
        <v>27467</v>
      </c>
      <c r="E5913" t="e" cm="1">
        <f t="array" ref="E5913">- DEXAMETHASONE</f>
        <v>#NAME?</v>
      </c>
      <c r="F5913" t="s">
        <v>1479</v>
      </c>
      <c r="G5913" t="s">
        <v>11294</v>
      </c>
      <c r="H5913" t="s">
        <v>27468</v>
      </c>
      <c r="I5913" t="s">
        <v>27469</v>
      </c>
      <c r="J5913" t="s">
        <v>12734</v>
      </c>
      <c r="K5913" t="s">
        <v>27470</v>
      </c>
      <c r="L5913" t="s">
        <v>27471</v>
      </c>
      <c r="M5913" t="s">
        <v>291</v>
      </c>
      <c r="N5913" t="s">
        <v>3779</v>
      </c>
      <c r="O5913" t="s">
        <v>27472</v>
      </c>
      <c r="P5913" t="s">
        <v>27473</v>
      </c>
      <c r="Q5913" t="s">
        <v>27474</v>
      </c>
      <c r="R5913">
        <v>17</v>
      </c>
      <c r="S5913">
        <v>32</v>
      </c>
    </row>
    <row r="5914" spans="1:19" x14ac:dyDescent="0.35">
      <c r="A5914">
        <v>4486</v>
      </c>
      <c r="B5914" t="s">
        <v>27372</v>
      </c>
      <c r="C5914" t="s">
        <v>42</v>
      </c>
      <c r="D5914" t="s">
        <v>27373</v>
      </c>
      <c r="E5914" t="e" cm="1">
        <f t="array" ref="E5914">- SODIUM HYALURONATE</f>
        <v>#NAME?</v>
      </c>
      <c r="F5914" t="s">
        <v>27374</v>
      </c>
      <c r="G5914" t="s">
        <v>14062</v>
      </c>
      <c r="H5914" t="s">
        <v>27375</v>
      </c>
      <c r="I5914" t="s">
        <v>25898</v>
      </c>
      <c r="J5914" t="s">
        <v>27376</v>
      </c>
      <c r="K5914" t="s">
        <v>3952</v>
      </c>
      <c r="L5914" t="s">
        <v>27377</v>
      </c>
      <c r="M5914" t="s">
        <v>824</v>
      </c>
      <c r="N5914" t="s">
        <v>27378</v>
      </c>
      <c r="O5914" t="s">
        <v>25899</v>
      </c>
      <c r="P5914" t="s">
        <v>27379</v>
      </c>
      <c r="Q5914" t="s">
        <v>27380</v>
      </c>
      <c r="R5914">
        <v>17</v>
      </c>
      <c r="S5914">
        <v>32</v>
      </c>
    </row>
    <row r="5915" spans="1:19" x14ac:dyDescent="0.35">
      <c r="A5915">
        <v>4348</v>
      </c>
      <c r="B5915" t="s">
        <v>12962</v>
      </c>
      <c r="C5915" t="s">
        <v>42</v>
      </c>
      <c r="D5915" t="s">
        <v>12963</v>
      </c>
      <c r="E5915" t="e" cm="1">
        <f t="array" ref="E5915">- POLYMYXIN B SULFATE. NEOMYCIN SULFATE. FLUDROCORTISONE ACETATE. LIDOCAINE HYDROCHLORIDE</f>
        <v>#NAME?</v>
      </c>
      <c r="F5915" t="s">
        <v>12964</v>
      </c>
      <c r="G5915" t="s">
        <v>12844</v>
      </c>
      <c r="H5915" t="s">
        <v>12965</v>
      </c>
      <c r="I5915" t="s">
        <v>12966</v>
      </c>
      <c r="J5915" t="s">
        <v>12967</v>
      </c>
      <c r="K5915" t="s">
        <v>12968</v>
      </c>
      <c r="L5915" t="s">
        <v>12969</v>
      </c>
      <c r="M5915" t="s">
        <v>824</v>
      </c>
      <c r="N5915" t="s">
        <v>27475</v>
      </c>
      <c r="O5915" t="s">
        <v>12971</v>
      </c>
      <c r="P5915" t="s">
        <v>12972</v>
      </c>
      <c r="Q5915" t="s">
        <v>27476</v>
      </c>
      <c r="R5915">
        <v>17</v>
      </c>
      <c r="S5915">
        <v>32</v>
      </c>
    </row>
    <row r="5916" spans="1:19" x14ac:dyDescent="0.35">
      <c r="A5916">
        <v>8114</v>
      </c>
      <c r="B5916" t="s">
        <v>551</v>
      </c>
      <c r="C5916" t="s">
        <v>42</v>
      </c>
      <c r="D5916" t="s">
        <v>27477</v>
      </c>
      <c r="E5916" t="e" cm="1">
        <f t="array" ref="E5916">- POVIDONE-IODINE</f>
        <v>#NAME?</v>
      </c>
      <c r="F5916" t="s">
        <v>27478</v>
      </c>
      <c r="G5916" t="s">
        <v>25624</v>
      </c>
      <c r="I5916" t="s">
        <v>25625</v>
      </c>
      <c r="J5916" t="s">
        <v>27479</v>
      </c>
      <c r="M5916" t="s">
        <v>554</v>
      </c>
      <c r="N5916" t="s">
        <v>555</v>
      </c>
      <c r="O5916" t="s">
        <v>25626</v>
      </c>
      <c r="P5916" t="s">
        <v>27480</v>
      </c>
      <c r="Q5916" t="s">
        <v>27481</v>
      </c>
      <c r="R5916">
        <v>17</v>
      </c>
      <c r="S5916">
        <v>32</v>
      </c>
    </row>
    <row r="5917" spans="1:19" x14ac:dyDescent="0.35">
      <c r="A5917">
        <v>1744</v>
      </c>
      <c r="B5917" t="s">
        <v>27482</v>
      </c>
      <c r="C5917" t="s">
        <v>850</v>
      </c>
      <c r="D5917" t="s">
        <v>27483</v>
      </c>
      <c r="E5917" t="e" cm="1">
        <f t="array" ref="E5917">- Camphor</f>
        <v>#NAME?</v>
      </c>
      <c r="F5917" t="s">
        <v>27484</v>
      </c>
      <c r="G5917" t="s">
        <v>27485</v>
      </c>
      <c r="H5917" t="s">
        <v>1322</v>
      </c>
      <c r="I5917" t="s">
        <v>27486</v>
      </c>
      <c r="J5917" t="s">
        <v>1647</v>
      </c>
      <c r="K5917" t="s">
        <v>2858</v>
      </c>
      <c r="L5917" t="s">
        <v>27487</v>
      </c>
      <c r="M5917" t="s">
        <v>3338</v>
      </c>
      <c r="N5917" t="s">
        <v>853</v>
      </c>
      <c r="O5917" t="s">
        <v>27488</v>
      </c>
      <c r="P5917" t="s">
        <v>27489</v>
      </c>
      <c r="Q5917" t="s">
        <v>27490</v>
      </c>
      <c r="R5917">
        <v>17</v>
      </c>
      <c r="S5917">
        <v>32</v>
      </c>
    </row>
    <row r="5918" spans="1:19" x14ac:dyDescent="0.35">
      <c r="A5918">
        <v>3879</v>
      </c>
      <c r="B5918" t="s">
        <v>27491</v>
      </c>
      <c r="C5918" t="s">
        <v>42</v>
      </c>
      <c r="D5918" t="s">
        <v>27492</v>
      </c>
      <c r="E5918" t="e" cm="1">
        <f t="array" ref="E5918">- MEBENDAZOLE</f>
        <v>#NAME?</v>
      </c>
      <c r="F5918" t="s">
        <v>27493</v>
      </c>
      <c r="G5918" t="s">
        <v>27494</v>
      </c>
      <c r="H5918" t="s">
        <v>27495</v>
      </c>
      <c r="I5918" t="s">
        <v>27496</v>
      </c>
      <c r="J5918" t="s">
        <v>27497</v>
      </c>
      <c r="K5918" t="s">
        <v>27498</v>
      </c>
      <c r="L5918" t="s">
        <v>27499</v>
      </c>
      <c r="M5918" t="s">
        <v>46</v>
      </c>
      <c r="N5918" t="s">
        <v>1169</v>
      </c>
      <c r="O5918" t="s">
        <v>27500</v>
      </c>
      <c r="P5918" t="s">
        <v>27501</v>
      </c>
      <c r="Q5918" t="s">
        <v>27502</v>
      </c>
      <c r="R5918">
        <v>17</v>
      </c>
      <c r="S5918">
        <v>32</v>
      </c>
    </row>
    <row r="5919" spans="1:19" x14ac:dyDescent="0.35">
      <c r="A5919">
        <v>3878</v>
      </c>
      <c r="B5919" t="s">
        <v>27491</v>
      </c>
      <c r="C5919" t="s">
        <v>42</v>
      </c>
      <c r="D5919" t="s">
        <v>27492</v>
      </c>
      <c r="E5919" t="e" cm="1">
        <f t="array" ref="E5919">- MEBENDAZOLE</f>
        <v>#NAME?</v>
      </c>
      <c r="F5919" t="s">
        <v>27493</v>
      </c>
      <c r="G5919" t="s">
        <v>27494</v>
      </c>
      <c r="H5919" t="s">
        <v>27495</v>
      </c>
      <c r="I5919" t="s">
        <v>27496</v>
      </c>
      <c r="J5919" t="s">
        <v>27497</v>
      </c>
      <c r="K5919" t="s">
        <v>27498</v>
      </c>
      <c r="L5919" t="s">
        <v>27499</v>
      </c>
      <c r="M5919" t="s">
        <v>46</v>
      </c>
      <c r="N5919" t="s">
        <v>1169</v>
      </c>
      <c r="O5919" t="s">
        <v>27500</v>
      </c>
      <c r="P5919" t="s">
        <v>27501</v>
      </c>
      <c r="Q5919" t="s">
        <v>27502</v>
      </c>
      <c r="R5919">
        <v>17</v>
      </c>
      <c r="S5919">
        <v>32</v>
      </c>
    </row>
    <row r="5920" spans="1:19" x14ac:dyDescent="0.35">
      <c r="A5920">
        <v>9079</v>
      </c>
      <c r="B5920" t="s">
        <v>23276</v>
      </c>
      <c r="C5920" t="s">
        <v>42</v>
      </c>
      <c r="D5920" t="s">
        <v>23277</v>
      </c>
      <c r="E5920" t="e" cm="1">
        <f t="array" ref="E5920">- BISOPROLOL FUMARATE. AMLODIPINE BESILATE</f>
        <v>#NAME?</v>
      </c>
      <c r="F5920" s="1">
        <v>155100</v>
      </c>
      <c r="G5920" t="s">
        <v>23278</v>
      </c>
      <c r="H5920" t="s">
        <v>23279</v>
      </c>
      <c r="I5920" t="s">
        <v>23280</v>
      </c>
      <c r="J5920" t="s">
        <v>2478</v>
      </c>
      <c r="K5920" t="s">
        <v>23281</v>
      </c>
    </row>
    <row r="5921" spans="1:19" x14ac:dyDescent="0.35">
      <c r="A5921">
        <v>3178</v>
      </c>
      <c r="B5921" t="s">
        <v>27503</v>
      </c>
      <c r="C5921" t="s">
        <v>42</v>
      </c>
      <c r="D5921" t="s">
        <v>27504</v>
      </c>
      <c r="E5921" t="e" cm="1">
        <f t="array" ref="E5921">- RABEPRAZOLE SODIUM</f>
        <v>#NAME?</v>
      </c>
      <c r="F5921" t="s">
        <v>27505</v>
      </c>
      <c r="G5921" t="s">
        <v>27506</v>
      </c>
      <c r="H5921" t="s">
        <v>27507</v>
      </c>
      <c r="I5921" t="s">
        <v>27508</v>
      </c>
      <c r="J5921" t="s">
        <v>27509</v>
      </c>
      <c r="K5921" t="s">
        <v>27510</v>
      </c>
      <c r="L5921" t="s">
        <v>27511</v>
      </c>
      <c r="M5921" t="s">
        <v>46</v>
      </c>
      <c r="N5921" t="s">
        <v>27512</v>
      </c>
      <c r="O5921" t="s">
        <v>27513</v>
      </c>
      <c r="P5921" t="s">
        <v>27514</v>
      </c>
      <c r="Q5921" t="s">
        <v>27515</v>
      </c>
      <c r="R5921">
        <v>17</v>
      </c>
      <c r="S5921">
        <v>32</v>
      </c>
    </row>
    <row r="5922" spans="1:19" x14ac:dyDescent="0.35">
      <c r="A5922">
        <v>9081</v>
      </c>
      <c r="B5922" t="s">
        <v>27516</v>
      </c>
      <c r="C5922" t="s">
        <v>42</v>
      </c>
      <c r="D5922" t="s">
        <v>27517</v>
      </c>
      <c r="E5922" t="e" cm="1">
        <f t="array" ref="E5922">- BISOPROLOL FUMARATE. AMLODIPINE BESILATE</f>
        <v>#NAME?</v>
      </c>
      <c r="F5922" t="s">
        <v>27518</v>
      </c>
      <c r="G5922" t="s">
        <v>23278</v>
      </c>
      <c r="H5922" t="s">
        <v>23279</v>
      </c>
      <c r="I5922" t="s">
        <v>23280</v>
      </c>
      <c r="J5922" t="s">
        <v>2478</v>
      </c>
      <c r="K5922" t="s">
        <v>23281</v>
      </c>
    </row>
    <row r="5923" spans="1:19" x14ac:dyDescent="0.35">
      <c r="A5923">
        <v>4539</v>
      </c>
      <c r="B5923" t="s">
        <v>26526</v>
      </c>
      <c r="C5923" t="s">
        <v>42</v>
      </c>
      <c r="D5923" t="s">
        <v>27519</v>
      </c>
      <c r="E5923" t="e" cm="1">
        <f t="array" ref="E5923">- DEXAMETHASONE SODIUM PHOSPHATE</f>
        <v>#NAME?</v>
      </c>
      <c r="F5923" t="s">
        <v>27520</v>
      </c>
      <c r="G5923" t="s">
        <v>27521</v>
      </c>
      <c r="H5923" t="s">
        <v>26529</v>
      </c>
      <c r="I5923" t="s">
        <v>27522</v>
      </c>
      <c r="J5923" t="s">
        <v>18334</v>
      </c>
      <c r="K5923" t="s">
        <v>2726</v>
      </c>
      <c r="L5923" t="s">
        <v>19404</v>
      </c>
      <c r="M5923" t="s">
        <v>824</v>
      </c>
      <c r="N5923" t="s">
        <v>25402</v>
      </c>
      <c r="O5923" t="s">
        <v>26533</v>
      </c>
      <c r="P5923" t="s">
        <v>27523</v>
      </c>
      <c r="Q5923" t="s">
        <v>27524</v>
      </c>
      <c r="R5923">
        <v>17</v>
      </c>
      <c r="S5923">
        <v>32</v>
      </c>
    </row>
    <row r="5924" spans="1:19" x14ac:dyDescent="0.35">
      <c r="A5924">
        <v>7293</v>
      </c>
      <c r="B5924" t="s">
        <v>27525</v>
      </c>
      <c r="C5924" t="s">
        <v>850</v>
      </c>
      <c r="D5924" t="s">
        <v>27526</v>
      </c>
      <c r="E5924" t="e" cm="1">
        <f t="array" ref="E5924">- Camphora</f>
        <v>#NAME?</v>
      </c>
      <c r="F5924" t="s">
        <v>27527</v>
      </c>
      <c r="I5924" t="s">
        <v>27528</v>
      </c>
      <c r="J5924" t="s">
        <v>27529</v>
      </c>
      <c r="L5924" t="s">
        <v>27530</v>
      </c>
      <c r="M5924" t="s">
        <v>3632</v>
      </c>
      <c r="N5924" t="s">
        <v>3633</v>
      </c>
      <c r="O5924" t="s">
        <v>27531</v>
      </c>
      <c r="P5924" t="s">
        <v>27532</v>
      </c>
      <c r="Q5924" t="s">
        <v>27533</v>
      </c>
      <c r="R5924">
        <v>17</v>
      </c>
      <c r="S5924">
        <v>32</v>
      </c>
    </row>
    <row r="5925" spans="1:19" x14ac:dyDescent="0.35">
      <c r="A5925">
        <v>8160</v>
      </c>
      <c r="B5925" t="s">
        <v>551</v>
      </c>
      <c r="C5925" t="s">
        <v>42</v>
      </c>
      <c r="D5925" t="s">
        <v>27534</v>
      </c>
      <c r="E5925" t="e" cm="1">
        <f t="array" ref="E5925">- POVIDONE-IODINE</f>
        <v>#NAME?</v>
      </c>
      <c r="F5925" t="s">
        <v>27535</v>
      </c>
      <c r="G5925" t="s">
        <v>20050</v>
      </c>
      <c r="H5925" t="s">
        <v>13198</v>
      </c>
      <c r="I5925" t="s">
        <v>27536</v>
      </c>
      <c r="J5925" t="s">
        <v>27537</v>
      </c>
      <c r="L5925" t="s">
        <v>20053</v>
      </c>
      <c r="M5925" t="s">
        <v>554</v>
      </c>
      <c r="N5925" t="s">
        <v>555</v>
      </c>
      <c r="O5925" t="s">
        <v>27538</v>
      </c>
      <c r="P5925" t="s">
        <v>27539</v>
      </c>
      <c r="Q5925" t="s">
        <v>27540</v>
      </c>
      <c r="R5925">
        <v>17</v>
      </c>
      <c r="S5925">
        <v>32</v>
      </c>
    </row>
    <row r="5926" spans="1:19" x14ac:dyDescent="0.35">
      <c r="A5926">
        <v>7290</v>
      </c>
      <c r="B5926" t="s">
        <v>27541</v>
      </c>
      <c r="C5926" t="s">
        <v>850</v>
      </c>
      <c r="D5926" t="s">
        <v>27542</v>
      </c>
      <c r="E5926" t="e" cm="1">
        <f t="array" ref="E5926">- Camphor</f>
        <v>#NAME?</v>
      </c>
      <c r="F5926" t="s">
        <v>27543</v>
      </c>
      <c r="G5926" t="s">
        <v>27544</v>
      </c>
      <c r="H5926" t="s">
        <v>1322</v>
      </c>
      <c r="I5926" t="s">
        <v>27545</v>
      </c>
      <c r="J5926" t="s">
        <v>13510</v>
      </c>
      <c r="M5926" t="s">
        <v>2115</v>
      </c>
      <c r="N5926" t="s">
        <v>853</v>
      </c>
      <c r="O5926" t="s">
        <v>27546</v>
      </c>
      <c r="P5926" t="s">
        <v>27547</v>
      </c>
      <c r="Q5926" t="s">
        <v>27548</v>
      </c>
      <c r="R5926">
        <v>17</v>
      </c>
      <c r="S5926">
        <v>32</v>
      </c>
    </row>
    <row r="5927" spans="1:19" x14ac:dyDescent="0.35">
      <c r="A5927">
        <v>5078</v>
      </c>
      <c r="B5927" t="s">
        <v>27549</v>
      </c>
      <c r="C5927" t="s">
        <v>42</v>
      </c>
      <c r="D5927" t="s">
        <v>27550</v>
      </c>
      <c r="E5927" t="e" cm="1">
        <f t="array" ref="E5927">- CLOBETASOL PROPIONATE</f>
        <v>#NAME?</v>
      </c>
      <c r="F5927" t="s">
        <v>27551</v>
      </c>
      <c r="G5927" t="s">
        <v>7210</v>
      </c>
      <c r="H5927" t="s">
        <v>27552</v>
      </c>
      <c r="I5927" t="s">
        <v>27553</v>
      </c>
      <c r="J5927" t="s">
        <v>27554</v>
      </c>
      <c r="K5927" t="s">
        <v>27555</v>
      </c>
      <c r="L5927" t="s">
        <v>27556</v>
      </c>
      <c r="M5927" t="s">
        <v>1029</v>
      </c>
      <c r="N5927" t="s">
        <v>3588</v>
      </c>
      <c r="O5927" t="s">
        <v>27557</v>
      </c>
      <c r="P5927" t="s">
        <v>27558</v>
      </c>
      <c r="Q5927" t="s">
        <v>27559</v>
      </c>
      <c r="R5927">
        <v>17</v>
      </c>
      <c r="S5927">
        <v>32</v>
      </c>
    </row>
    <row r="5928" spans="1:19" x14ac:dyDescent="0.35">
      <c r="A5928">
        <v>4548</v>
      </c>
      <c r="B5928" t="s">
        <v>11524</v>
      </c>
      <c r="C5928" t="s">
        <v>42</v>
      </c>
      <c r="D5928" t="s">
        <v>27560</v>
      </c>
      <c r="E5928" t="e" cm="1">
        <f t="array" ref="E5928">- TETRAHYDROZOLINE HYDROCHLORIDE</f>
        <v>#NAME?</v>
      </c>
      <c r="F5928" t="s">
        <v>27561</v>
      </c>
      <c r="G5928" t="s">
        <v>11527</v>
      </c>
      <c r="H5928" t="s">
        <v>27562</v>
      </c>
      <c r="I5928" t="s">
        <v>27563</v>
      </c>
      <c r="J5928" t="s">
        <v>8661</v>
      </c>
      <c r="K5928" t="s">
        <v>27564</v>
      </c>
      <c r="L5928" t="s">
        <v>27565</v>
      </c>
      <c r="M5928" t="s">
        <v>824</v>
      </c>
      <c r="N5928" t="s">
        <v>3512</v>
      </c>
      <c r="O5928" t="s">
        <v>27566</v>
      </c>
      <c r="P5928" t="s">
        <v>11533</v>
      </c>
      <c r="Q5928" t="s">
        <v>27567</v>
      </c>
      <c r="R5928">
        <v>17</v>
      </c>
      <c r="S5928">
        <v>32</v>
      </c>
    </row>
    <row r="5929" spans="1:19" x14ac:dyDescent="0.35">
      <c r="A5929">
        <v>4211</v>
      </c>
      <c r="B5929" t="s">
        <v>27568</v>
      </c>
      <c r="C5929" t="s">
        <v>42</v>
      </c>
      <c r="D5929" t="s">
        <v>27569</v>
      </c>
      <c r="E5929" t="e" cm="1">
        <f t="array" ref="E5929">- CETIRIZINE HYDROCHLORIDE</f>
        <v>#NAME?</v>
      </c>
      <c r="F5929" t="s">
        <v>27570</v>
      </c>
      <c r="G5929" t="s">
        <v>60</v>
      </c>
      <c r="H5929" t="s">
        <v>1498</v>
      </c>
      <c r="I5929" t="s">
        <v>27571</v>
      </c>
      <c r="J5929" t="s">
        <v>20754</v>
      </c>
      <c r="L5929" t="s">
        <v>1616</v>
      </c>
      <c r="M5929" t="s">
        <v>46</v>
      </c>
      <c r="N5929" t="s">
        <v>1390</v>
      </c>
      <c r="O5929" t="s">
        <v>27572</v>
      </c>
      <c r="P5929" t="s">
        <v>27573</v>
      </c>
      <c r="Q5929" t="s">
        <v>27574</v>
      </c>
      <c r="R5929">
        <v>17</v>
      </c>
      <c r="S5929">
        <v>32</v>
      </c>
    </row>
    <row r="5930" spans="1:19" x14ac:dyDescent="0.35">
      <c r="A5930">
        <v>4212</v>
      </c>
      <c r="B5930" t="s">
        <v>27568</v>
      </c>
      <c r="C5930" t="s">
        <v>42</v>
      </c>
      <c r="D5930" t="s">
        <v>27569</v>
      </c>
      <c r="E5930" t="e" cm="1">
        <f t="array" ref="E5930">- CETIRIZINE HYDROCHLORIDE</f>
        <v>#NAME?</v>
      </c>
      <c r="F5930" t="s">
        <v>27570</v>
      </c>
      <c r="G5930" t="s">
        <v>60</v>
      </c>
      <c r="H5930" t="s">
        <v>1498</v>
      </c>
      <c r="I5930" t="s">
        <v>27571</v>
      </c>
      <c r="J5930" t="s">
        <v>20754</v>
      </c>
      <c r="L5930" t="s">
        <v>1616</v>
      </c>
      <c r="M5930" t="s">
        <v>46</v>
      </c>
      <c r="N5930" t="s">
        <v>1390</v>
      </c>
      <c r="O5930" t="s">
        <v>27572</v>
      </c>
      <c r="P5930" t="s">
        <v>27573</v>
      </c>
      <c r="Q5930" t="s">
        <v>27574</v>
      </c>
      <c r="R5930">
        <v>17</v>
      </c>
      <c r="S5930">
        <v>32</v>
      </c>
    </row>
    <row r="5931" spans="1:19" x14ac:dyDescent="0.35">
      <c r="A5931">
        <v>5077</v>
      </c>
      <c r="B5931" t="s">
        <v>27549</v>
      </c>
      <c r="C5931" t="s">
        <v>42</v>
      </c>
      <c r="D5931" t="s">
        <v>27550</v>
      </c>
      <c r="E5931" t="e" cm="1">
        <f t="array" ref="E5931">- CLOBETASOL PROPIONATE</f>
        <v>#NAME?</v>
      </c>
      <c r="F5931" t="s">
        <v>27551</v>
      </c>
      <c r="G5931" t="s">
        <v>7210</v>
      </c>
      <c r="H5931" t="s">
        <v>27552</v>
      </c>
      <c r="I5931" t="s">
        <v>27553</v>
      </c>
      <c r="J5931" t="s">
        <v>27554</v>
      </c>
      <c r="K5931" t="s">
        <v>27555</v>
      </c>
      <c r="L5931" t="s">
        <v>27556</v>
      </c>
      <c r="M5931" t="s">
        <v>1029</v>
      </c>
      <c r="N5931" t="s">
        <v>3588</v>
      </c>
      <c r="O5931" t="s">
        <v>27557</v>
      </c>
      <c r="P5931" t="s">
        <v>27558</v>
      </c>
      <c r="Q5931" t="s">
        <v>27559</v>
      </c>
      <c r="R5931">
        <v>17</v>
      </c>
      <c r="S5931">
        <v>32</v>
      </c>
    </row>
    <row r="5932" spans="1:19" x14ac:dyDescent="0.35">
      <c r="A5932">
        <v>6582</v>
      </c>
      <c r="B5932" t="s">
        <v>27575</v>
      </c>
      <c r="C5932" t="s">
        <v>42</v>
      </c>
      <c r="D5932" t="s">
        <v>27576</v>
      </c>
      <c r="E5932" t="e" cm="1">
        <f t="array" ref="E5932">- FLUCONAZOLE</f>
        <v>#NAME?</v>
      </c>
      <c r="F5932" s="1">
        <v>106700</v>
      </c>
      <c r="G5932" t="s">
        <v>6310</v>
      </c>
      <c r="H5932" t="s">
        <v>27577</v>
      </c>
      <c r="I5932" t="s">
        <v>27578</v>
      </c>
      <c r="J5932" t="s">
        <v>27579</v>
      </c>
      <c r="L5932" t="s">
        <v>27580</v>
      </c>
      <c r="M5932" t="s">
        <v>38</v>
      </c>
      <c r="N5932" t="s">
        <v>7992</v>
      </c>
      <c r="O5932" t="s">
        <v>27581</v>
      </c>
      <c r="P5932" t="s">
        <v>27582</v>
      </c>
      <c r="Q5932" t="s">
        <v>27583</v>
      </c>
      <c r="R5932">
        <v>17</v>
      </c>
      <c r="S5932">
        <v>32</v>
      </c>
    </row>
    <row r="5933" spans="1:19" x14ac:dyDescent="0.35">
      <c r="A5933">
        <v>4549</v>
      </c>
      <c r="B5933" t="s">
        <v>11524</v>
      </c>
      <c r="C5933" t="s">
        <v>42</v>
      </c>
      <c r="D5933" t="s">
        <v>27560</v>
      </c>
      <c r="E5933" t="e" cm="1">
        <f t="array" ref="E5933">- TETRAHYDROZOLINE HYDROCHLORIDE</f>
        <v>#NAME?</v>
      </c>
      <c r="F5933" t="s">
        <v>27561</v>
      </c>
      <c r="G5933" t="s">
        <v>11527</v>
      </c>
      <c r="H5933" t="s">
        <v>27562</v>
      </c>
      <c r="I5933" t="s">
        <v>27563</v>
      </c>
      <c r="J5933" t="s">
        <v>8661</v>
      </c>
      <c r="K5933" t="s">
        <v>27564</v>
      </c>
      <c r="L5933" t="s">
        <v>27565</v>
      </c>
      <c r="M5933" t="s">
        <v>824</v>
      </c>
      <c r="N5933" t="s">
        <v>3512</v>
      </c>
      <c r="O5933" t="s">
        <v>27566</v>
      </c>
      <c r="P5933" t="s">
        <v>11533</v>
      </c>
      <c r="Q5933" t="s">
        <v>27567</v>
      </c>
      <c r="R5933">
        <v>17</v>
      </c>
      <c r="S5933">
        <v>32</v>
      </c>
    </row>
    <row r="5934" spans="1:19" x14ac:dyDescent="0.35">
      <c r="A5934">
        <v>4550</v>
      </c>
      <c r="B5934" t="s">
        <v>11524</v>
      </c>
      <c r="C5934" t="s">
        <v>42</v>
      </c>
      <c r="D5934" t="s">
        <v>27560</v>
      </c>
      <c r="E5934" t="e" cm="1">
        <f t="array" ref="E5934">- TETRAHYDROZOLINE HYDROCHLORIDE</f>
        <v>#NAME?</v>
      </c>
      <c r="F5934" t="s">
        <v>27561</v>
      </c>
      <c r="G5934" t="s">
        <v>11527</v>
      </c>
      <c r="H5934" t="s">
        <v>27562</v>
      </c>
      <c r="I5934" t="s">
        <v>27563</v>
      </c>
      <c r="J5934" t="s">
        <v>8661</v>
      </c>
      <c r="K5934" t="s">
        <v>27564</v>
      </c>
      <c r="L5934" t="s">
        <v>27565</v>
      </c>
      <c r="M5934" t="s">
        <v>824</v>
      </c>
      <c r="N5934" t="s">
        <v>3512</v>
      </c>
      <c r="O5934" t="s">
        <v>27566</v>
      </c>
      <c r="P5934" t="s">
        <v>11533</v>
      </c>
      <c r="Q5934" t="s">
        <v>27567</v>
      </c>
      <c r="R5934">
        <v>17</v>
      </c>
      <c r="S5934">
        <v>32</v>
      </c>
    </row>
    <row r="5935" spans="1:19" x14ac:dyDescent="0.35">
      <c r="A5935">
        <v>4551</v>
      </c>
      <c r="B5935" t="s">
        <v>11524</v>
      </c>
      <c r="C5935" t="s">
        <v>42</v>
      </c>
      <c r="D5935" t="s">
        <v>27560</v>
      </c>
      <c r="E5935" t="e" cm="1">
        <f t="array" ref="E5935">- TETRAHYDROZOLINE HYDROCHLORIDE</f>
        <v>#NAME?</v>
      </c>
      <c r="F5935" t="s">
        <v>27561</v>
      </c>
      <c r="G5935" t="s">
        <v>11527</v>
      </c>
      <c r="H5935" t="s">
        <v>27562</v>
      </c>
      <c r="I5935" t="s">
        <v>27563</v>
      </c>
      <c r="J5935" t="s">
        <v>8661</v>
      </c>
      <c r="K5935" t="s">
        <v>27564</v>
      </c>
      <c r="L5935" t="s">
        <v>27565</v>
      </c>
      <c r="M5935" t="s">
        <v>824</v>
      </c>
      <c r="N5935" t="s">
        <v>3512</v>
      </c>
      <c r="O5935" t="s">
        <v>27566</v>
      </c>
      <c r="P5935" t="s">
        <v>11533</v>
      </c>
      <c r="Q5935" t="s">
        <v>27567</v>
      </c>
      <c r="R5935">
        <v>17</v>
      </c>
      <c r="S5935">
        <v>32</v>
      </c>
    </row>
    <row r="5936" spans="1:19" x14ac:dyDescent="0.35">
      <c r="A5936">
        <v>4552</v>
      </c>
      <c r="B5936" t="s">
        <v>11524</v>
      </c>
      <c r="C5936" t="s">
        <v>42</v>
      </c>
      <c r="D5936" t="s">
        <v>27560</v>
      </c>
      <c r="E5936" t="e" cm="1">
        <f t="array" ref="E5936">- TETRAHYDROZOLINE HYDROCHLORIDE</f>
        <v>#NAME?</v>
      </c>
      <c r="F5936" t="s">
        <v>27561</v>
      </c>
      <c r="G5936" t="s">
        <v>11527</v>
      </c>
      <c r="H5936" t="s">
        <v>27562</v>
      </c>
      <c r="I5936" t="s">
        <v>27563</v>
      </c>
      <c r="J5936" t="s">
        <v>8661</v>
      </c>
      <c r="K5936" t="s">
        <v>27564</v>
      </c>
      <c r="L5936" t="s">
        <v>27565</v>
      </c>
      <c r="M5936" t="s">
        <v>824</v>
      </c>
      <c r="N5936" t="s">
        <v>3512</v>
      </c>
      <c r="O5936" t="s">
        <v>27566</v>
      </c>
      <c r="P5936" t="s">
        <v>11533</v>
      </c>
      <c r="Q5936" t="s">
        <v>27567</v>
      </c>
      <c r="R5936">
        <v>17</v>
      </c>
      <c r="S5936">
        <v>32</v>
      </c>
    </row>
    <row r="5937" spans="1:19" x14ac:dyDescent="0.35">
      <c r="A5937">
        <v>4553</v>
      </c>
      <c r="B5937" t="s">
        <v>11524</v>
      </c>
      <c r="C5937" t="s">
        <v>42</v>
      </c>
      <c r="D5937" t="s">
        <v>27560</v>
      </c>
      <c r="E5937" t="e" cm="1">
        <f t="array" ref="E5937">- TETRAHYDROZOLINE HYDROCHLORIDE</f>
        <v>#NAME?</v>
      </c>
      <c r="F5937" t="s">
        <v>27561</v>
      </c>
      <c r="G5937" t="s">
        <v>11527</v>
      </c>
      <c r="H5937" t="s">
        <v>27562</v>
      </c>
      <c r="I5937" t="s">
        <v>27563</v>
      </c>
      <c r="J5937" t="s">
        <v>8661</v>
      </c>
      <c r="K5937" t="s">
        <v>27564</v>
      </c>
      <c r="L5937" t="s">
        <v>27565</v>
      </c>
      <c r="M5937" t="s">
        <v>824</v>
      </c>
      <c r="N5937" t="s">
        <v>3512</v>
      </c>
      <c r="O5937" t="s">
        <v>27566</v>
      </c>
      <c r="P5937" t="s">
        <v>11533</v>
      </c>
      <c r="Q5937" t="s">
        <v>27567</v>
      </c>
      <c r="R5937">
        <v>17</v>
      </c>
      <c r="S5937">
        <v>32</v>
      </c>
    </row>
    <row r="5938" spans="1:19" x14ac:dyDescent="0.35">
      <c r="A5938">
        <v>4554</v>
      </c>
      <c r="B5938" t="s">
        <v>11524</v>
      </c>
      <c r="C5938" t="s">
        <v>42</v>
      </c>
      <c r="D5938" t="s">
        <v>27560</v>
      </c>
      <c r="E5938" t="e" cm="1">
        <f t="array" ref="E5938">- TETRYZOLINE HYDROCHLORIDE</f>
        <v>#NAME?</v>
      </c>
      <c r="F5938" t="s">
        <v>27561</v>
      </c>
      <c r="G5938" t="s">
        <v>11527</v>
      </c>
      <c r="H5938" t="s">
        <v>27562</v>
      </c>
      <c r="I5938" t="s">
        <v>27563</v>
      </c>
      <c r="J5938" t="s">
        <v>8661</v>
      </c>
      <c r="K5938" t="s">
        <v>27564</v>
      </c>
      <c r="L5938" t="s">
        <v>27565</v>
      </c>
      <c r="M5938" t="s">
        <v>824</v>
      </c>
      <c r="N5938" t="s">
        <v>11713</v>
      </c>
      <c r="O5938" t="s">
        <v>27566</v>
      </c>
      <c r="P5938" t="s">
        <v>11533</v>
      </c>
      <c r="Q5938" t="s">
        <v>27584</v>
      </c>
      <c r="R5938">
        <v>17</v>
      </c>
      <c r="S5938">
        <v>32</v>
      </c>
    </row>
    <row r="5939" spans="1:19" x14ac:dyDescent="0.35">
      <c r="A5939">
        <v>7977</v>
      </c>
      <c r="B5939" t="s">
        <v>27585</v>
      </c>
      <c r="C5939" t="s">
        <v>20</v>
      </c>
      <c r="D5939" t="s">
        <v>27586</v>
      </c>
      <c r="E5939" t="s">
        <v>27587</v>
      </c>
      <c r="F5939" t="s">
        <v>27588</v>
      </c>
      <c r="G5939" t="s">
        <v>27589</v>
      </c>
      <c r="H5939" t="s">
        <v>2821</v>
      </c>
      <c r="I5939" t="s">
        <v>27590</v>
      </c>
      <c r="J5939" t="s">
        <v>14748</v>
      </c>
      <c r="M5939" t="s">
        <v>2374</v>
      </c>
      <c r="N5939" t="s">
        <v>27591</v>
      </c>
      <c r="O5939" t="s">
        <v>27592</v>
      </c>
      <c r="P5939" t="s">
        <v>27591</v>
      </c>
      <c r="Q5939" t="s">
        <v>27593</v>
      </c>
      <c r="R5939">
        <v>17</v>
      </c>
      <c r="S5939">
        <v>32</v>
      </c>
    </row>
    <row r="5940" spans="1:19" x14ac:dyDescent="0.35">
      <c r="A5940">
        <v>1239</v>
      </c>
      <c r="B5940" t="s">
        <v>27594</v>
      </c>
      <c r="C5940" t="s">
        <v>42</v>
      </c>
      <c r="D5940" t="s">
        <v>27595</v>
      </c>
      <c r="E5940" t="e" cm="1">
        <f t="array" ref="E5940">- BROMHEXINE HYDROCHLORIDE</f>
        <v>#NAME?</v>
      </c>
      <c r="F5940" t="s">
        <v>27596</v>
      </c>
      <c r="G5940" t="s">
        <v>4649</v>
      </c>
      <c r="H5940" t="s">
        <v>27597</v>
      </c>
      <c r="I5940" t="s">
        <v>27598</v>
      </c>
      <c r="J5940" t="s">
        <v>334</v>
      </c>
      <c r="L5940" t="s">
        <v>27599</v>
      </c>
      <c r="M5940" t="s">
        <v>554</v>
      </c>
      <c r="N5940" t="s">
        <v>1342</v>
      </c>
      <c r="O5940" t="s">
        <v>27600</v>
      </c>
      <c r="P5940" t="s">
        <v>27601</v>
      </c>
      <c r="Q5940" t="s">
        <v>27602</v>
      </c>
      <c r="R5940">
        <v>17</v>
      </c>
      <c r="S5940">
        <v>32</v>
      </c>
    </row>
    <row r="5941" spans="1:19" x14ac:dyDescent="0.35">
      <c r="A5941">
        <v>1238</v>
      </c>
      <c r="B5941" t="s">
        <v>27594</v>
      </c>
      <c r="C5941" t="s">
        <v>42</v>
      </c>
      <c r="D5941" t="s">
        <v>27595</v>
      </c>
      <c r="E5941" t="e" cm="1">
        <f t="array" ref="E5941">- BROMHEXINE HYDROCHLORIDE</f>
        <v>#NAME?</v>
      </c>
      <c r="F5941" t="s">
        <v>27596</v>
      </c>
      <c r="G5941" t="s">
        <v>4649</v>
      </c>
      <c r="H5941" t="s">
        <v>27597</v>
      </c>
      <c r="I5941" t="s">
        <v>27598</v>
      </c>
      <c r="J5941" t="s">
        <v>334</v>
      </c>
      <c r="L5941" t="s">
        <v>27599</v>
      </c>
      <c r="M5941" t="s">
        <v>554</v>
      </c>
      <c r="N5941" t="s">
        <v>1342</v>
      </c>
      <c r="O5941" t="s">
        <v>27600</v>
      </c>
      <c r="P5941" t="s">
        <v>27601</v>
      </c>
      <c r="Q5941" t="s">
        <v>27602</v>
      </c>
      <c r="R5941">
        <v>17</v>
      </c>
      <c r="S5941">
        <v>32</v>
      </c>
    </row>
    <row r="5942" spans="1:19" x14ac:dyDescent="0.35">
      <c r="A5942">
        <v>3177</v>
      </c>
      <c r="B5942" t="s">
        <v>27503</v>
      </c>
      <c r="C5942" t="s">
        <v>42</v>
      </c>
      <c r="D5942" t="s">
        <v>27504</v>
      </c>
      <c r="E5942" t="e" cm="1">
        <f t="array" ref="E5942">- RABEPRAZOLE SODIUM</f>
        <v>#NAME?</v>
      </c>
      <c r="F5942" t="s">
        <v>27505</v>
      </c>
      <c r="G5942" t="s">
        <v>27506</v>
      </c>
      <c r="H5942" t="s">
        <v>27507</v>
      </c>
      <c r="I5942" t="s">
        <v>27508</v>
      </c>
      <c r="J5942" t="s">
        <v>27509</v>
      </c>
      <c r="K5942" t="s">
        <v>27510</v>
      </c>
      <c r="L5942" t="s">
        <v>27511</v>
      </c>
      <c r="M5942" t="s">
        <v>46</v>
      </c>
      <c r="N5942" t="s">
        <v>27512</v>
      </c>
      <c r="O5942" t="s">
        <v>27513</v>
      </c>
      <c r="P5942" t="s">
        <v>27514</v>
      </c>
      <c r="Q5942" t="s">
        <v>27515</v>
      </c>
      <c r="R5942">
        <v>17</v>
      </c>
      <c r="S5942">
        <v>32</v>
      </c>
    </row>
    <row r="5943" spans="1:19" x14ac:dyDescent="0.35">
      <c r="A5943">
        <v>1743</v>
      </c>
      <c r="B5943" t="s">
        <v>27482</v>
      </c>
      <c r="C5943" t="s">
        <v>850</v>
      </c>
      <c r="D5943" t="s">
        <v>27483</v>
      </c>
      <c r="E5943" t="s">
        <v>2069</v>
      </c>
      <c r="F5943" t="s">
        <v>27484</v>
      </c>
      <c r="G5943" t="s">
        <v>27485</v>
      </c>
      <c r="H5943" t="s">
        <v>1322</v>
      </c>
      <c r="I5943" t="s">
        <v>27486</v>
      </c>
      <c r="J5943" t="s">
        <v>1647</v>
      </c>
      <c r="K5943" t="s">
        <v>2858</v>
      </c>
      <c r="L5943" t="s">
        <v>27487</v>
      </c>
      <c r="M5943" t="s">
        <v>3338</v>
      </c>
      <c r="N5943" t="s">
        <v>2071</v>
      </c>
      <c r="O5943" t="s">
        <v>27488</v>
      </c>
      <c r="P5943" t="s">
        <v>27489</v>
      </c>
      <c r="Q5943" t="s">
        <v>27603</v>
      </c>
      <c r="R5943">
        <v>17</v>
      </c>
      <c r="S5943">
        <v>32</v>
      </c>
    </row>
    <row r="5944" spans="1:19" x14ac:dyDescent="0.35">
      <c r="A5944">
        <v>4240</v>
      </c>
      <c r="B5944" t="s">
        <v>27604</v>
      </c>
      <c r="C5944" t="s">
        <v>42</v>
      </c>
      <c r="D5944" t="s">
        <v>27605</v>
      </c>
      <c r="E5944" t="e" cm="1">
        <f t="array" ref="E5944">- DEXAMETHASONE</f>
        <v>#NAME?</v>
      </c>
      <c r="F5944" t="s">
        <v>27606</v>
      </c>
      <c r="G5944" t="s">
        <v>11294</v>
      </c>
      <c r="H5944" t="s">
        <v>27468</v>
      </c>
      <c r="I5944" t="s">
        <v>27469</v>
      </c>
      <c r="J5944" t="s">
        <v>727</v>
      </c>
      <c r="K5944" t="s">
        <v>27470</v>
      </c>
      <c r="L5944" t="s">
        <v>27471</v>
      </c>
      <c r="M5944" t="s">
        <v>291</v>
      </c>
      <c r="N5944" t="s">
        <v>3779</v>
      </c>
      <c r="O5944" t="s">
        <v>27472</v>
      </c>
      <c r="P5944" t="s">
        <v>27607</v>
      </c>
      <c r="Q5944" t="s">
        <v>27608</v>
      </c>
      <c r="R5944">
        <v>17</v>
      </c>
      <c r="S5944">
        <v>32</v>
      </c>
    </row>
    <row r="5945" spans="1:19" x14ac:dyDescent="0.35">
      <c r="A5945">
        <v>5104</v>
      </c>
      <c r="B5945" t="s">
        <v>27381</v>
      </c>
      <c r="C5945" t="s">
        <v>42</v>
      </c>
      <c r="D5945" t="s">
        <v>27382</v>
      </c>
      <c r="E5945" t="e" cm="1">
        <f t="array" ref="E5945">- CLOBETASOL PROPIONATE</f>
        <v>#NAME?</v>
      </c>
      <c r="F5945" t="s">
        <v>27383</v>
      </c>
      <c r="H5945" t="s">
        <v>27384</v>
      </c>
      <c r="I5945" t="s">
        <v>27385</v>
      </c>
      <c r="J5945" t="s">
        <v>27386</v>
      </c>
      <c r="K5945" t="s">
        <v>27387</v>
      </c>
    </row>
    <row r="5946" spans="1:19" x14ac:dyDescent="0.35">
      <c r="A5946">
        <v>8112</v>
      </c>
      <c r="B5946" t="s">
        <v>551</v>
      </c>
      <c r="C5946" t="s">
        <v>42</v>
      </c>
      <c r="D5946" t="s">
        <v>27609</v>
      </c>
      <c r="E5946" t="e" cm="1">
        <f t="array" ref="E5946">- POVIDONE-IODINE</f>
        <v>#NAME?</v>
      </c>
      <c r="F5946" s="1">
        <v>21400</v>
      </c>
      <c r="I5946" t="s">
        <v>25625</v>
      </c>
      <c r="J5946" t="s">
        <v>27479</v>
      </c>
      <c r="M5946" t="s">
        <v>554</v>
      </c>
      <c r="N5946" t="s">
        <v>555</v>
      </c>
      <c r="O5946" t="s">
        <v>25626</v>
      </c>
      <c r="P5946" t="s">
        <v>27480</v>
      </c>
      <c r="Q5946" t="s">
        <v>27481</v>
      </c>
      <c r="R5946">
        <v>17</v>
      </c>
      <c r="S5946">
        <v>32</v>
      </c>
    </row>
    <row r="5947" spans="1:19" x14ac:dyDescent="0.35">
      <c r="A5947">
        <v>8113</v>
      </c>
      <c r="B5947" t="s">
        <v>551</v>
      </c>
      <c r="C5947" t="s">
        <v>42</v>
      </c>
      <c r="D5947" t="s">
        <v>27609</v>
      </c>
      <c r="E5947" t="e" cm="1">
        <f t="array" ref="E5947">- POVIDONE-IODINE</f>
        <v>#NAME?</v>
      </c>
      <c r="F5947" s="1">
        <v>21400</v>
      </c>
      <c r="I5947" t="s">
        <v>25625</v>
      </c>
      <c r="J5947" t="s">
        <v>27479</v>
      </c>
      <c r="M5947" t="s">
        <v>554</v>
      </c>
      <c r="N5947" t="s">
        <v>555</v>
      </c>
      <c r="O5947" t="s">
        <v>25626</v>
      </c>
      <c r="P5947" t="s">
        <v>27480</v>
      </c>
      <c r="Q5947" t="s">
        <v>27481</v>
      </c>
      <c r="R5947">
        <v>17</v>
      </c>
      <c r="S5947">
        <v>32</v>
      </c>
    </row>
    <row r="5948" spans="1:19" x14ac:dyDescent="0.35">
      <c r="A5948">
        <v>4482</v>
      </c>
      <c r="B5948" t="s">
        <v>27372</v>
      </c>
      <c r="C5948" t="s">
        <v>42</v>
      </c>
      <c r="D5948" t="s">
        <v>27373</v>
      </c>
      <c r="E5948" t="e" cm="1">
        <f t="array" ref="E5948">- SODIUM HYALURONATE</f>
        <v>#NAME?</v>
      </c>
      <c r="F5948" t="s">
        <v>27374</v>
      </c>
      <c r="G5948" t="s">
        <v>14062</v>
      </c>
      <c r="H5948" t="s">
        <v>27375</v>
      </c>
      <c r="I5948" t="s">
        <v>25898</v>
      </c>
      <c r="J5948" t="s">
        <v>27376</v>
      </c>
      <c r="K5948" t="s">
        <v>3952</v>
      </c>
      <c r="L5948" t="s">
        <v>27377</v>
      </c>
      <c r="M5948" t="s">
        <v>824</v>
      </c>
      <c r="N5948" t="s">
        <v>27378</v>
      </c>
      <c r="O5948" t="s">
        <v>25899</v>
      </c>
      <c r="P5948" t="s">
        <v>27379</v>
      </c>
      <c r="Q5948" t="s">
        <v>27380</v>
      </c>
      <c r="R5948">
        <v>17</v>
      </c>
      <c r="S5948">
        <v>32</v>
      </c>
    </row>
    <row r="5949" spans="1:19" x14ac:dyDescent="0.35">
      <c r="A5949">
        <v>8115</v>
      </c>
      <c r="B5949" t="s">
        <v>551</v>
      </c>
      <c r="C5949" t="s">
        <v>42</v>
      </c>
      <c r="D5949" t="s">
        <v>27477</v>
      </c>
      <c r="E5949" t="e" cm="1">
        <f t="array" ref="E5949">- POVIDONE-IODINE</f>
        <v>#NAME?</v>
      </c>
      <c r="F5949" t="s">
        <v>27478</v>
      </c>
      <c r="G5949" t="s">
        <v>25624</v>
      </c>
      <c r="I5949" t="s">
        <v>25625</v>
      </c>
      <c r="J5949" t="s">
        <v>27479</v>
      </c>
      <c r="M5949" t="s">
        <v>554</v>
      </c>
      <c r="N5949" t="s">
        <v>555</v>
      </c>
      <c r="O5949" t="s">
        <v>25626</v>
      </c>
      <c r="P5949" t="s">
        <v>27480</v>
      </c>
      <c r="Q5949" t="s">
        <v>27481</v>
      </c>
      <c r="R5949">
        <v>17</v>
      </c>
      <c r="S5949">
        <v>32</v>
      </c>
    </row>
    <row r="5950" spans="1:19" x14ac:dyDescent="0.35">
      <c r="A5950">
        <v>7319</v>
      </c>
      <c r="B5950" t="s">
        <v>26990</v>
      </c>
      <c r="C5950" t="s">
        <v>42</v>
      </c>
      <c r="D5950" t="s">
        <v>26991</v>
      </c>
      <c r="E5950" t="e" cm="1">
        <f t="array" ref="E5950">- CYPROTERONE ACETATE. ETHINYLESTRADIOL</f>
        <v>#NAME?</v>
      </c>
      <c r="F5950" t="s">
        <v>26992</v>
      </c>
      <c r="G5950" t="s">
        <v>60</v>
      </c>
      <c r="H5950" t="s">
        <v>26993</v>
      </c>
      <c r="I5950" t="s">
        <v>26994</v>
      </c>
      <c r="J5950" t="s">
        <v>26995</v>
      </c>
      <c r="K5950" t="s">
        <v>26996</v>
      </c>
      <c r="L5950" t="s">
        <v>26997</v>
      </c>
      <c r="M5950" t="s">
        <v>46</v>
      </c>
      <c r="N5950" t="s">
        <v>27610</v>
      </c>
      <c r="O5950" t="s">
        <v>26999</v>
      </c>
      <c r="P5950" t="s">
        <v>27000</v>
      </c>
      <c r="Q5950" t="s">
        <v>27611</v>
      </c>
      <c r="R5950">
        <v>17</v>
      </c>
      <c r="S5950">
        <v>32</v>
      </c>
    </row>
    <row r="5951" spans="1:19" x14ac:dyDescent="0.35">
      <c r="A5951">
        <v>5439</v>
      </c>
      <c r="B5951" t="s">
        <v>27612</v>
      </c>
      <c r="C5951" t="s">
        <v>42</v>
      </c>
      <c r="D5951" t="s">
        <v>27613</v>
      </c>
      <c r="E5951" t="e" cm="1">
        <f t="array" ref="E5951">- GENTAMICIN SULFATE</f>
        <v>#NAME?</v>
      </c>
      <c r="F5951" t="s">
        <v>27614</v>
      </c>
      <c r="G5951" t="s">
        <v>27615</v>
      </c>
      <c r="H5951" t="s">
        <v>21717</v>
      </c>
      <c r="I5951" t="s">
        <v>27616</v>
      </c>
      <c r="J5951" t="s">
        <v>1684</v>
      </c>
      <c r="K5951" t="s">
        <v>27617</v>
      </c>
      <c r="L5951" t="s">
        <v>1403</v>
      </c>
      <c r="M5951" t="s">
        <v>1289</v>
      </c>
      <c r="N5951" t="s">
        <v>6119</v>
      </c>
      <c r="O5951" t="s">
        <v>27618</v>
      </c>
      <c r="P5951" t="s">
        <v>27619</v>
      </c>
      <c r="Q5951" t="s">
        <v>27620</v>
      </c>
      <c r="R5951">
        <v>17</v>
      </c>
      <c r="S5951">
        <v>32</v>
      </c>
    </row>
    <row r="5952" spans="1:19" x14ac:dyDescent="0.35">
      <c r="A5952">
        <v>615</v>
      </c>
      <c r="B5952" t="s">
        <v>27621</v>
      </c>
      <c r="C5952" t="s">
        <v>42</v>
      </c>
      <c r="D5952" t="s">
        <v>27622</v>
      </c>
      <c r="E5952" t="e" cm="1">
        <f t="array" ref="E5952">- TIOTROPIUM BROMIDE</f>
        <v>#NAME?</v>
      </c>
      <c r="F5952" s="1">
        <v>1332100</v>
      </c>
      <c r="G5952" t="s">
        <v>27623</v>
      </c>
      <c r="H5952" t="s">
        <v>27624</v>
      </c>
      <c r="I5952" t="s">
        <v>27625</v>
      </c>
      <c r="J5952" t="s">
        <v>27626</v>
      </c>
      <c r="K5952" t="s">
        <v>25257</v>
      </c>
      <c r="L5952" t="s">
        <v>27627</v>
      </c>
      <c r="M5952" t="s">
        <v>3423</v>
      </c>
      <c r="N5952" t="s">
        <v>25259</v>
      </c>
      <c r="O5952" t="s">
        <v>27628</v>
      </c>
      <c r="P5952" t="s">
        <v>27629</v>
      </c>
      <c r="Q5952" t="s">
        <v>27630</v>
      </c>
      <c r="R5952">
        <v>17</v>
      </c>
      <c r="S5952">
        <v>32</v>
      </c>
    </row>
    <row r="5953" spans="1:19" x14ac:dyDescent="0.35">
      <c r="A5953">
        <v>10050</v>
      </c>
      <c r="B5953" t="s">
        <v>27631</v>
      </c>
      <c r="C5953" t="s">
        <v>20</v>
      </c>
      <c r="D5953" t="s">
        <v>27632</v>
      </c>
      <c r="E5953" t="s">
        <v>27633</v>
      </c>
      <c r="F5953" t="s">
        <v>27634</v>
      </c>
      <c r="G5953" t="s">
        <v>27635</v>
      </c>
      <c r="I5953" t="s">
        <v>27636</v>
      </c>
      <c r="J5953" t="s">
        <v>107</v>
      </c>
      <c r="M5953" t="s">
        <v>38</v>
      </c>
      <c r="N5953" t="s">
        <v>27637</v>
      </c>
      <c r="O5953" t="s">
        <v>27638</v>
      </c>
      <c r="P5953" t="s">
        <v>27637</v>
      </c>
      <c r="Q5953" t="s">
        <v>27639</v>
      </c>
      <c r="R5953">
        <v>17</v>
      </c>
      <c r="S5953">
        <v>32</v>
      </c>
    </row>
    <row r="5954" spans="1:19" x14ac:dyDescent="0.35">
      <c r="A5954">
        <v>1934</v>
      </c>
      <c r="B5954" t="s">
        <v>27640</v>
      </c>
      <c r="C5954" t="s">
        <v>20</v>
      </c>
      <c r="D5954" t="s">
        <v>27641</v>
      </c>
      <c r="E5954" t="s">
        <v>27642</v>
      </c>
      <c r="F5954" t="s">
        <v>27643</v>
      </c>
      <c r="G5954" t="s">
        <v>4649</v>
      </c>
      <c r="H5954" t="s">
        <v>27644</v>
      </c>
    </row>
    <row r="5955" spans="1:19" x14ac:dyDescent="0.35">
      <c r="A5955">
        <v>1936</v>
      </c>
      <c r="B5955" t="s">
        <v>27640</v>
      </c>
      <c r="C5955" t="s">
        <v>20</v>
      </c>
      <c r="D5955" t="s">
        <v>27641</v>
      </c>
      <c r="E5955" t="s">
        <v>27642</v>
      </c>
      <c r="F5955" t="s">
        <v>27643</v>
      </c>
      <c r="G5955" t="s">
        <v>4649</v>
      </c>
      <c r="H5955" t="s">
        <v>27644</v>
      </c>
    </row>
    <row r="5956" spans="1:19" x14ac:dyDescent="0.35">
      <c r="A5956">
        <v>616</v>
      </c>
      <c r="B5956" t="s">
        <v>27621</v>
      </c>
      <c r="C5956" t="s">
        <v>42</v>
      </c>
      <c r="D5956" t="s">
        <v>27622</v>
      </c>
      <c r="E5956" t="e" cm="1">
        <f t="array" ref="E5956">- TIOTROPIUM BROMIDE</f>
        <v>#NAME?</v>
      </c>
      <c r="F5956" s="1">
        <v>1332100</v>
      </c>
      <c r="G5956" t="s">
        <v>27623</v>
      </c>
      <c r="H5956" t="s">
        <v>27624</v>
      </c>
      <c r="I5956" t="s">
        <v>27625</v>
      </c>
      <c r="J5956" t="s">
        <v>27626</v>
      </c>
      <c r="K5956" t="s">
        <v>25257</v>
      </c>
      <c r="L5956" t="s">
        <v>27627</v>
      </c>
      <c r="M5956" t="s">
        <v>3423</v>
      </c>
      <c r="N5956" t="s">
        <v>25259</v>
      </c>
      <c r="O5956" t="s">
        <v>27628</v>
      </c>
      <c r="P5956" t="s">
        <v>27629</v>
      </c>
      <c r="Q5956" t="s">
        <v>27630</v>
      </c>
      <c r="R5956">
        <v>17</v>
      </c>
      <c r="S5956">
        <v>32</v>
      </c>
    </row>
    <row r="5957" spans="1:19" x14ac:dyDescent="0.35">
      <c r="A5957">
        <v>6560</v>
      </c>
      <c r="B5957" t="s">
        <v>18879</v>
      </c>
      <c r="C5957" t="s">
        <v>42</v>
      </c>
      <c r="D5957" t="s">
        <v>18880</v>
      </c>
      <c r="E5957" t="s">
        <v>27645</v>
      </c>
      <c r="F5957" t="s">
        <v>18881</v>
      </c>
      <c r="G5957" t="s">
        <v>5506</v>
      </c>
      <c r="H5957" t="s">
        <v>18882</v>
      </c>
      <c r="I5957" t="s">
        <v>18883</v>
      </c>
      <c r="J5957" t="s">
        <v>7989</v>
      </c>
      <c r="K5957" t="s">
        <v>18884</v>
      </c>
      <c r="L5957" t="s">
        <v>18885</v>
      </c>
      <c r="M5957" t="s">
        <v>38</v>
      </c>
      <c r="N5957" t="s">
        <v>27646</v>
      </c>
      <c r="O5957" t="s">
        <v>18886</v>
      </c>
      <c r="P5957" t="s">
        <v>18887</v>
      </c>
      <c r="Q5957" t="s">
        <v>27647</v>
      </c>
      <c r="R5957">
        <v>17</v>
      </c>
      <c r="S5957">
        <v>32</v>
      </c>
    </row>
    <row r="5958" spans="1:19" x14ac:dyDescent="0.35">
      <c r="A5958">
        <v>4513</v>
      </c>
      <c r="B5958" t="s">
        <v>6330</v>
      </c>
      <c r="C5958" t="s">
        <v>42</v>
      </c>
      <c r="D5958" t="s">
        <v>26393</v>
      </c>
      <c r="E5958" t="e" cm="1">
        <f t="array" ref="E5958">- OXYMETAZOLINE HYDROCHLORIDE</f>
        <v>#NAME?</v>
      </c>
      <c r="F5958" t="s">
        <v>26394</v>
      </c>
      <c r="G5958" t="s">
        <v>26395</v>
      </c>
      <c r="H5958" t="s">
        <v>6333</v>
      </c>
      <c r="I5958" t="s">
        <v>26396</v>
      </c>
      <c r="J5958" t="s">
        <v>11321</v>
      </c>
      <c r="K5958" t="s">
        <v>16171</v>
      </c>
      <c r="L5958" t="s">
        <v>26397</v>
      </c>
      <c r="M5958" t="s">
        <v>824</v>
      </c>
      <c r="N5958" t="s">
        <v>7577</v>
      </c>
      <c r="O5958" t="s">
        <v>26398</v>
      </c>
      <c r="P5958" t="s">
        <v>26399</v>
      </c>
      <c r="Q5958" t="s">
        <v>27648</v>
      </c>
      <c r="R5958">
        <v>17</v>
      </c>
      <c r="S5958">
        <v>32</v>
      </c>
    </row>
    <row r="5959" spans="1:19" x14ac:dyDescent="0.35">
      <c r="A5959">
        <v>4514</v>
      </c>
      <c r="B5959" t="s">
        <v>6330</v>
      </c>
      <c r="C5959" t="s">
        <v>42</v>
      </c>
      <c r="D5959" t="s">
        <v>26393</v>
      </c>
      <c r="E5959" t="e" cm="1">
        <f t="array" ref="E5959">- OXYMETAZOLINE HYDROCHLORIDE</f>
        <v>#NAME?</v>
      </c>
      <c r="F5959" t="s">
        <v>26394</v>
      </c>
      <c r="G5959" t="s">
        <v>26395</v>
      </c>
      <c r="H5959" t="s">
        <v>6333</v>
      </c>
      <c r="I5959" t="s">
        <v>26396</v>
      </c>
      <c r="J5959" t="s">
        <v>11321</v>
      </c>
      <c r="K5959" t="s">
        <v>16171</v>
      </c>
      <c r="L5959" t="s">
        <v>26397</v>
      </c>
      <c r="M5959" t="s">
        <v>824</v>
      </c>
      <c r="N5959" t="s">
        <v>7577</v>
      </c>
      <c r="O5959" t="s">
        <v>26398</v>
      </c>
      <c r="P5959" t="s">
        <v>26399</v>
      </c>
      <c r="Q5959" t="s">
        <v>27648</v>
      </c>
      <c r="R5959">
        <v>17</v>
      </c>
      <c r="S5959">
        <v>32</v>
      </c>
    </row>
    <row r="5960" spans="1:19" x14ac:dyDescent="0.35">
      <c r="A5960">
        <v>4515</v>
      </c>
      <c r="B5960" t="s">
        <v>6330</v>
      </c>
      <c r="C5960" t="s">
        <v>42</v>
      </c>
      <c r="D5960" t="s">
        <v>26393</v>
      </c>
      <c r="E5960" t="e" cm="1">
        <f t="array" ref="E5960">- OXYMETAZOLINE HYDROCHLORIDE</f>
        <v>#NAME?</v>
      </c>
      <c r="F5960" t="s">
        <v>26394</v>
      </c>
      <c r="G5960" t="s">
        <v>26395</v>
      </c>
      <c r="H5960" t="s">
        <v>6333</v>
      </c>
      <c r="I5960" t="s">
        <v>26396</v>
      </c>
      <c r="J5960" t="s">
        <v>11321</v>
      </c>
      <c r="K5960" t="s">
        <v>16171</v>
      </c>
      <c r="L5960" t="s">
        <v>26397</v>
      </c>
      <c r="M5960" t="s">
        <v>824</v>
      </c>
      <c r="N5960" t="s">
        <v>7577</v>
      </c>
      <c r="O5960" t="s">
        <v>26398</v>
      </c>
      <c r="P5960" t="s">
        <v>26399</v>
      </c>
      <c r="Q5960" t="s">
        <v>27648</v>
      </c>
      <c r="R5960">
        <v>17</v>
      </c>
      <c r="S5960">
        <v>32</v>
      </c>
    </row>
    <row r="5961" spans="1:19" x14ac:dyDescent="0.35">
      <c r="A5961">
        <v>3175</v>
      </c>
      <c r="B5961" t="s">
        <v>27503</v>
      </c>
      <c r="C5961" t="s">
        <v>42</v>
      </c>
      <c r="D5961" t="s">
        <v>27504</v>
      </c>
      <c r="E5961" t="e" cm="1">
        <f t="array" ref="E5961">- RABEPRAZOLE SODIUM</f>
        <v>#NAME?</v>
      </c>
      <c r="F5961" t="s">
        <v>27505</v>
      </c>
      <c r="G5961" t="s">
        <v>27506</v>
      </c>
      <c r="H5961" t="s">
        <v>27507</v>
      </c>
      <c r="I5961" t="s">
        <v>27508</v>
      </c>
      <c r="J5961" t="s">
        <v>27509</v>
      </c>
      <c r="K5961" t="s">
        <v>27510</v>
      </c>
      <c r="L5961" t="s">
        <v>27511</v>
      </c>
      <c r="M5961" t="s">
        <v>46</v>
      </c>
      <c r="N5961" t="s">
        <v>27512</v>
      </c>
      <c r="O5961" t="s">
        <v>27513</v>
      </c>
      <c r="P5961" t="s">
        <v>27514</v>
      </c>
      <c r="Q5961" t="s">
        <v>27515</v>
      </c>
      <c r="R5961">
        <v>17</v>
      </c>
      <c r="S5961">
        <v>32</v>
      </c>
    </row>
    <row r="5962" spans="1:19" x14ac:dyDescent="0.35">
      <c r="A5962">
        <v>9077</v>
      </c>
      <c r="B5962" t="s">
        <v>23469</v>
      </c>
      <c r="C5962" t="s">
        <v>42</v>
      </c>
      <c r="D5962" t="s">
        <v>23470</v>
      </c>
      <c r="E5962" t="e" cm="1">
        <f t="array" ref="E5962">- BISOPROLOL FUMARATE. AMLODIPINE BESILATE</f>
        <v>#NAME?</v>
      </c>
      <c r="F5962" t="s">
        <v>23471</v>
      </c>
      <c r="G5962" t="s">
        <v>23278</v>
      </c>
      <c r="H5962" t="s">
        <v>23279</v>
      </c>
      <c r="I5962" t="s">
        <v>23280</v>
      </c>
      <c r="J5962" t="s">
        <v>2478</v>
      </c>
      <c r="K5962" t="s">
        <v>23281</v>
      </c>
    </row>
    <row r="5963" spans="1:19" x14ac:dyDescent="0.35">
      <c r="A5963">
        <v>3176</v>
      </c>
      <c r="B5963" t="s">
        <v>27503</v>
      </c>
      <c r="C5963" t="s">
        <v>42</v>
      </c>
      <c r="D5963" t="s">
        <v>27504</v>
      </c>
      <c r="E5963" t="e" cm="1">
        <f t="array" ref="E5963">- RABEPRAZOLE SODIUM</f>
        <v>#NAME?</v>
      </c>
      <c r="F5963" t="s">
        <v>27505</v>
      </c>
      <c r="G5963" t="s">
        <v>27506</v>
      </c>
      <c r="H5963" t="s">
        <v>27507</v>
      </c>
      <c r="I5963" t="s">
        <v>27508</v>
      </c>
      <c r="J5963" t="s">
        <v>27509</v>
      </c>
      <c r="K5963" t="s">
        <v>27510</v>
      </c>
      <c r="L5963" t="s">
        <v>27511</v>
      </c>
      <c r="M5963" t="s">
        <v>46</v>
      </c>
      <c r="N5963" t="s">
        <v>27512</v>
      </c>
      <c r="O5963" t="s">
        <v>27513</v>
      </c>
      <c r="P5963" t="s">
        <v>27514</v>
      </c>
      <c r="Q5963" t="s">
        <v>27515</v>
      </c>
      <c r="R5963">
        <v>17</v>
      </c>
      <c r="S5963">
        <v>32</v>
      </c>
    </row>
    <row r="5964" spans="1:19" x14ac:dyDescent="0.35">
      <c r="A5964">
        <v>6569</v>
      </c>
      <c r="B5964" t="s">
        <v>27649</v>
      </c>
      <c r="C5964" t="s">
        <v>42</v>
      </c>
      <c r="D5964" t="s">
        <v>27650</v>
      </c>
      <c r="E5964" t="e" cm="1">
        <f t="array" ref="E5964">- FLUCONAZOLE</f>
        <v>#NAME?</v>
      </c>
      <c r="F5964" t="s">
        <v>27651</v>
      </c>
      <c r="G5964" t="s">
        <v>6310</v>
      </c>
      <c r="H5964" t="s">
        <v>27652</v>
      </c>
      <c r="I5964" t="s">
        <v>27653</v>
      </c>
      <c r="J5964" t="s">
        <v>27654</v>
      </c>
      <c r="L5964" t="s">
        <v>27655</v>
      </c>
      <c r="M5964" t="s">
        <v>46</v>
      </c>
      <c r="N5964" t="s">
        <v>7992</v>
      </c>
      <c r="O5964" t="s">
        <v>27656</v>
      </c>
      <c r="P5964" t="s">
        <v>27657</v>
      </c>
      <c r="Q5964" t="s">
        <v>27658</v>
      </c>
      <c r="R5964">
        <v>17</v>
      </c>
      <c r="S5964">
        <v>32</v>
      </c>
    </row>
    <row r="5965" spans="1:19" x14ac:dyDescent="0.35">
      <c r="A5965">
        <v>4239</v>
      </c>
      <c r="B5965" t="s">
        <v>27659</v>
      </c>
      <c r="C5965" t="s">
        <v>42</v>
      </c>
      <c r="D5965" t="s">
        <v>27660</v>
      </c>
      <c r="E5965" t="e" cm="1">
        <f t="array" ref="E5965">- DEXAMETHASONE</f>
        <v>#NAME?</v>
      </c>
      <c r="F5965" t="s">
        <v>27661</v>
      </c>
      <c r="G5965" t="s">
        <v>4045</v>
      </c>
      <c r="H5965" t="s">
        <v>27662</v>
      </c>
      <c r="I5965" t="s">
        <v>27469</v>
      </c>
      <c r="J5965" t="s">
        <v>727</v>
      </c>
      <c r="K5965" t="s">
        <v>27663</v>
      </c>
      <c r="L5965" t="s">
        <v>27664</v>
      </c>
      <c r="M5965" t="s">
        <v>291</v>
      </c>
      <c r="N5965" t="s">
        <v>3779</v>
      </c>
      <c r="O5965" t="s">
        <v>27472</v>
      </c>
      <c r="P5965" t="s">
        <v>27665</v>
      </c>
      <c r="Q5965" t="s">
        <v>27666</v>
      </c>
      <c r="R5965">
        <v>17</v>
      </c>
      <c r="S5965">
        <v>32</v>
      </c>
    </row>
    <row r="5966" spans="1:19" x14ac:dyDescent="0.35">
      <c r="A5966">
        <v>377</v>
      </c>
      <c r="B5966" t="s">
        <v>27667</v>
      </c>
      <c r="C5966" t="s">
        <v>42</v>
      </c>
      <c r="D5966" t="s">
        <v>27668</v>
      </c>
      <c r="E5966" t="e" cm="1">
        <f t="array" ref="E5966">- POVIDONE-IODINE</f>
        <v>#NAME?</v>
      </c>
      <c r="F5966" t="s">
        <v>27669</v>
      </c>
      <c r="G5966" t="s">
        <v>27670</v>
      </c>
      <c r="H5966" t="s">
        <v>27671</v>
      </c>
      <c r="I5966" t="s">
        <v>27672</v>
      </c>
    </row>
    <row r="5967" spans="1:19" x14ac:dyDescent="0.35">
      <c r="A5967">
        <v>9008</v>
      </c>
      <c r="B5967" t="s">
        <v>27673</v>
      </c>
      <c r="C5967" t="s">
        <v>42</v>
      </c>
      <c r="D5967" t="s">
        <v>27674</v>
      </c>
      <c r="E5967" t="e" cm="1">
        <f t="array" ref="E5967">- PERINDOPRIL</f>
        <v>#NAME?</v>
      </c>
      <c r="F5967" t="s">
        <v>27675</v>
      </c>
      <c r="G5967" t="s">
        <v>27676</v>
      </c>
      <c r="H5967" t="s">
        <v>27677</v>
      </c>
      <c r="I5967" t="s">
        <v>27678</v>
      </c>
      <c r="J5967" t="s">
        <v>27679</v>
      </c>
      <c r="K5967" t="s">
        <v>27680</v>
      </c>
      <c r="L5967" t="s">
        <v>27681</v>
      </c>
      <c r="M5967" t="s">
        <v>46</v>
      </c>
      <c r="N5967" t="s">
        <v>27682</v>
      </c>
      <c r="O5967" t="s">
        <v>27683</v>
      </c>
      <c r="P5967" t="s">
        <v>27684</v>
      </c>
      <c r="Q5967" t="s">
        <v>27685</v>
      </c>
      <c r="R5967">
        <v>17</v>
      </c>
      <c r="S5967">
        <v>32</v>
      </c>
    </row>
    <row r="5968" spans="1:19" x14ac:dyDescent="0.35">
      <c r="A5968">
        <v>5424</v>
      </c>
      <c r="B5968" t="s">
        <v>27686</v>
      </c>
      <c r="C5968" t="s">
        <v>42</v>
      </c>
      <c r="D5968" t="s">
        <v>27687</v>
      </c>
      <c r="E5968" t="e" cm="1">
        <f t="array" ref="E5968">- KETOCONAZOLE</f>
        <v>#NAME?</v>
      </c>
      <c r="F5968" t="s">
        <v>27688</v>
      </c>
      <c r="G5968" t="s">
        <v>27689</v>
      </c>
      <c r="H5968" t="s">
        <v>27690</v>
      </c>
    </row>
    <row r="5969" spans="1:19" x14ac:dyDescent="0.35">
      <c r="A5969">
        <v>582</v>
      </c>
      <c r="B5969" t="s">
        <v>27691</v>
      </c>
      <c r="C5969" t="s">
        <v>42</v>
      </c>
      <c r="D5969" t="s">
        <v>27692</v>
      </c>
      <c r="E5969" t="e" cm="1">
        <f t="array" ref="E5969">- IPRATROPIUM BROMIDE. SALBUTAMOL SULFATE</f>
        <v>#NAME?</v>
      </c>
      <c r="F5969" t="s">
        <v>27693</v>
      </c>
      <c r="G5969" t="s">
        <v>4673</v>
      </c>
      <c r="H5969" t="s">
        <v>27694</v>
      </c>
      <c r="I5969" t="s">
        <v>27695</v>
      </c>
      <c r="J5969" t="s">
        <v>27696</v>
      </c>
      <c r="K5969" t="s">
        <v>27697</v>
      </c>
      <c r="L5969" t="s">
        <v>27698</v>
      </c>
      <c r="M5969" t="s">
        <v>3423</v>
      </c>
      <c r="N5969" t="s">
        <v>27699</v>
      </c>
      <c r="O5969" t="s">
        <v>27700</v>
      </c>
      <c r="P5969" t="s">
        <v>27701</v>
      </c>
      <c r="Q5969" t="s">
        <v>27702</v>
      </c>
      <c r="R5969">
        <v>17</v>
      </c>
      <c r="S5969">
        <v>32</v>
      </c>
    </row>
    <row r="5970" spans="1:19" x14ac:dyDescent="0.35">
      <c r="A5970">
        <v>8076</v>
      </c>
      <c r="B5970" t="s">
        <v>551</v>
      </c>
      <c r="C5970" t="s">
        <v>42</v>
      </c>
      <c r="D5970" t="s">
        <v>27703</v>
      </c>
      <c r="E5970" t="e" cm="1">
        <f t="array" ref="E5970">- POVIDONE-IODINE</f>
        <v>#NAME?</v>
      </c>
      <c r="F5970" t="s">
        <v>10093</v>
      </c>
      <c r="G5970" t="s">
        <v>25624</v>
      </c>
      <c r="I5970" t="s">
        <v>25625</v>
      </c>
      <c r="J5970" t="s">
        <v>27479</v>
      </c>
      <c r="M5970" t="s">
        <v>554</v>
      </c>
      <c r="N5970" t="s">
        <v>555</v>
      </c>
      <c r="O5970" t="s">
        <v>25626</v>
      </c>
      <c r="P5970" t="s">
        <v>27480</v>
      </c>
      <c r="Q5970" t="s">
        <v>27481</v>
      </c>
      <c r="R5970">
        <v>17</v>
      </c>
      <c r="S5970">
        <v>32</v>
      </c>
    </row>
    <row r="5971" spans="1:19" x14ac:dyDescent="0.35">
      <c r="A5971">
        <v>8077</v>
      </c>
      <c r="B5971" t="s">
        <v>551</v>
      </c>
      <c r="C5971" t="s">
        <v>42</v>
      </c>
      <c r="D5971" t="s">
        <v>27703</v>
      </c>
      <c r="E5971" t="e" cm="1">
        <f t="array" ref="E5971">- POVIDONE-IODINE</f>
        <v>#NAME?</v>
      </c>
      <c r="F5971" t="s">
        <v>10093</v>
      </c>
      <c r="G5971" t="s">
        <v>25624</v>
      </c>
      <c r="I5971" t="s">
        <v>25625</v>
      </c>
      <c r="J5971" t="s">
        <v>27479</v>
      </c>
      <c r="M5971" t="s">
        <v>554</v>
      </c>
      <c r="N5971" t="s">
        <v>555</v>
      </c>
      <c r="O5971" t="s">
        <v>25626</v>
      </c>
      <c r="P5971" t="s">
        <v>27480</v>
      </c>
      <c r="Q5971" t="s">
        <v>27481</v>
      </c>
      <c r="R5971">
        <v>17</v>
      </c>
      <c r="S5971">
        <v>32</v>
      </c>
    </row>
    <row r="5972" spans="1:19" x14ac:dyDescent="0.35">
      <c r="A5972">
        <v>8800</v>
      </c>
      <c r="B5972" t="s">
        <v>2388</v>
      </c>
      <c r="C5972" t="s">
        <v>42</v>
      </c>
      <c r="D5972" t="s">
        <v>27704</v>
      </c>
      <c r="E5972" t="e" cm="1">
        <f t="array" ref="E5972">- PIOGLITAZONE HYDROCHLORIDE</f>
        <v>#NAME?</v>
      </c>
      <c r="F5972" s="1">
        <v>145700</v>
      </c>
      <c r="G5972" t="s">
        <v>27705</v>
      </c>
      <c r="I5972" t="s">
        <v>27706</v>
      </c>
      <c r="J5972" t="s">
        <v>27707</v>
      </c>
      <c r="M5972" t="s">
        <v>46</v>
      </c>
      <c r="N5972" t="s">
        <v>2389</v>
      </c>
      <c r="O5972" t="s">
        <v>27708</v>
      </c>
      <c r="P5972" t="s">
        <v>27709</v>
      </c>
      <c r="Q5972" t="s">
        <v>27710</v>
      </c>
      <c r="R5972">
        <v>17</v>
      </c>
      <c r="S5972">
        <v>32</v>
      </c>
    </row>
    <row r="5973" spans="1:19" x14ac:dyDescent="0.35">
      <c r="A5973">
        <v>7927</v>
      </c>
      <c r="B5973" t="s">
        <v>27711</v>
      </c>
      <c r="C5973" t="s">
        <v>20</v>
      </c>
      <c r="D5973" t="s">
        <v>27712</v>
      </c>
      <c r="E5973" t="s">
        <v>27713</v>
      </c>
      <c r="F5973" t="s">
        <v>27714</v>
      </c>
      <c r="H5973" t="s">
        <v>27715</v>
      </c>
      <c r="I5973" t="s">
        <v>27716</v>
      </c>
      <c r="J5973" t="s">
        <v>107</v>
      </c>
      <c r="L5973" t="s">
        <v>10885</v>
      </c>
      <c r="M5973" t="s">
        <v>38</v>
      </c>
      <c r="N5973" t="s">
        <v>27717</v>
      </c>
      <c r="O5973" t="s">
        <v>27718</v>
      </c>
      <c r="P5973" t="s">
        <v>27719</v>
      </c>
      <c r="Q5973" t="s">
        <v>27720</v>
      </c>
      <c r="R5973">
        <v>17</v>
      </c>
      <c r="S5973">
        <v>32</v>
      </c>
    </row>
    <row r="5974" spans="1:19" x14ac:dyDescent="0.35">
      <c r="A5974">
        <v>5324</v>
      </c>
      <c r="B5974" t="s">
        <v>7148</v>
      </c>
      <c r="C5974" t="s">
        <v>42</v>
      </c>
      <c r="D5974" t="s">
        <v>27721</v>
      </c>
      <c r="E5974" t="e" cm="1">
        <f t="array" ref="E5974">- SULFADIAZINE SILVER</f>
        <v>#NAME?</v>
      </c>
      <c r="F5974" t="s">
        <v>27722</v>
      </c>
      <c r="G5974" t="s">
        <v>27723</v>
      </c>
      <c r="H5974" t="s">
        <v>27724</v>
      </c>
      <c r="I5974" t="s">
        <v>27725</v>
      </c>
      <c r="J5974" t="s">
        <v>1684</v>
      </c>
      <c r="L5974" t="s">
        <v>27726</v>
      </c>
      <c r="M5974" t="s">
        <v>1289</v>
      </c>
      <c r="N5974" t="s">
        <v>2849</v>
      </c>
      <c r="O5974" t="s">
        <v>27727</v>
      </c>
      <c r="P5974" t="s">
        <v>27728</v>
      </c>
      <c r="Q5974" t="s">
        <v>27729</v>
      </c>
      <c r="R5974">
        <v>17</v>
      </c>
      <c r="S5974">
        <v>32</v>
      </c>
    </row>
    <row r="5975" spans="1:19" x14ac:dyDescent="0.35">
      <c r="A5975">
        <v>9952</v>
      </c>
      <c r="B5975" t="s">
        <v>27730</v>
      </c>
      <c r="C5975" t="s">
        <v>42</v>
      </c>
      <c r="D5975" t="s">
        <v>27731</v>
      </c>
      <c r="E5975" t="e" cm="1">
        <f t="array" ref="E5975">- BEZAFIBRATE</f>
        <v>#NAME?</v>
      </c>
      <c r="F5975" t="s">
        <v>27732</v>
      </c>
      <c r="G5975" t="s">
        <v>2241</v>
      </c>
      <c r="H5975" t="s">
        <v>27733</v>
      </c>
      <c r="I5975" t="s">
        <v>27734</v>
      </c>
      <c r="J5975" t="s">
        <v>2978</v>
      </c>
      <c r="K5975" t="s">
        <v>27735</v>
      </c>
      <c r="L5975" t="s">
        <v>27736</v>
      </c>
      <c r="M5975" t="s">
        <v>46</v>
      </c>
      <c r="N5975" t="s">
        <v>27737</v>
      </c>
      <c r="O5975" t="s">
        <v>27738</v>
      </c>
      <c r="P5975" t="s">
        <v>27739</v>
      </c>
      <c r="Q5975" t="s">
        <v>27740</v>
      </c>
      <c r="R5975">
        <v>17</v>
      </c>
      <c r="S5975">
        <v>32</v>
      </c>
    </row>
    <row r="5976" spans="1:19" x14ac:dyDescent="0.35">
      <c r="A5976">
        <v>5362</v>
      </c>
      <c r="B5976" t="s">
        <v>2794</v>
      </c>
      <c r="C5976" t="s">
        <v>42</v>
      </c>
      <c r="D5976" t="s">
        <v>27741</v>
      </c>
      <c r="E5976" t="e" cm="1">
        <f t="array" ref="E5976">- BETAMETHASONE VALERATE</f>
        <v>#NAME?</v>
      </c>
      <c r="F5976" t="s">
        <v>27742</v>
      </c>
      <c r="H5976" t="s">
        <v>19393</v>
      </c>
      <c r="I5976" t="s">
        <v>27743</v>
      </c>
      <c r="J5976" t="s">
        <v>1367</v>
      </c>
      <c r="K5976" t="s">
        <v>27744</v>
      </c>
      <c r="L5976" t="s">
        <v>321</v>
      </c>
      <c r="M5976" t="s">
        <v>1289</v>
      </c>
      <c r="N5976" t="s">
        <v>2059</v>
      </c>
      <c r="O5976" t="s">
        <v>27745</v>
      </c>
      <c r="P5976" t="s">
        <v>2797</v>
      </c>
      <c r="Q5976" t="s">
        <v>27746</v>
      </c>
      <c r="R5976">
        <v>17</v>
      </c>
      <c r="S5976">
        <v>32</v>
      </c>
    </row>
    <row r="5977" spans="1:19" x14ac:dyDescent="0.35">
      <c r="A5977">
        <v>451</v>
      </c>
      <c r="B5977" t="s">
        <v>27747</v>
      </c>
      <c r="C5977" t="s">
        <v>20</v>
      </c>
      <c r="D5977" t="s">
        <v>27748</v>
      </c>
      <c r="E5977" t="s">
        <v>27749</v>
      </c>
      <c r="F5977" t="s">
        <v>27750</v>
      </c>
      <c r="H5977" t="s">
        <v>4524</v>
      </c>
      <c r="I5977" t="s">
        <v>27751</v>
      </c>
      <c r="J5977" t="s">
        <v>27752</v>
      </c>
      <c r="M5977" t="s">
        <v>38</v>
      </c>
      <c r="N5977" t="s">
        <v>27753</v>
      </c>
      <c r="O5977" t="s">
        <v>27754</v>
      </c>
      <c r="P5977" t="s">
        <v>27755</v>
      </c>
      <c r="Q5977" t="s">
        <v>27756</v>
      </c>
      <c r="R5977">
        <v>17</v>
      </c>
      <c r="S5977">
        <v>32</v>
      </c>
    </row>
    <row r="5978" spans="1:19" x14ac:dyDescent="0.35">
      <c r="A5978">
        <v>5355</v>
      </c>
      <c r="B5978" t="s">
        <v>26804</v>
      </c>
      <c r="C5978" t="s">
        <v>42</v>
      </c>
      <c r="D5978" t="s">
        <v>27757</v>
      </c>
      <c r="E5978" t="e" cm="1">
        <f t="array" ref="E5978">- FUSIDIC ACID</f>
        <v>#NAME?</v>
      </c>
      <c r="F5978" t="s">
        <v>27758</v>
      </c>
      <c r="G5978" t="s">
        <v>26807</v>
      </c>
      <c r="H5978" t="s">
        <v>27759</v>
      </c>
      <c r="I5978" t="s">
        <v>27760</v>
      </c>
      <c r="J5978" t="s">
        <v>2040</v>
      </c>
      <c r="K5978" t="s">
        <v>27761</v>
      </c>
      <c r="L5978" t="s">
        <v>27762</v>
      </c>
      <c r="M5978" t="s">
        <v>1289</v>
      </c>
      <c r="N5978" t="s">
        <v>3865</v>
      </c>
      <c r="O5978" t="s">
        <v>26812</v>
      </c>
      <c r="P5978" t="s">
        <v>27763</v>
      </c>
      <c r="Q5978" t="s">
        <v>27764</v>
      </c>
      <c r="R5978">
        <v>17</v>
      </c>
      <c r="S5978">
        <v>32</v>
      </c>
    </row>
    <row r="5979" spans="1:19" x14ac:dyDescent="0.35">
      <c r="A5979">
        <v>5323</v>
      </c>
      <c r="B5979" t="s">
        <v>7148</v>
      </c>
      <c r="C5979" t="s">
        <v>42</v>
      </c>
      <c r="D5979" t="s">
        <v>27721</v>
      </c>
      <c r="E5979" t="e" cm="1">
        <f t="array" ref="E5979">- SULFADIAZINE SILVER</f>
        <v>#NAME?</v>
      </c>
      <c r="F5979" t="s">
        <v>27722</v>
      </c>
      <c r="G5979" t="s">
        <v>27723</v>
      </c>
      <c r="H5979" t="s">
        <v>27724</v>
      </c>
      <c r="I5979" t="s">
        <v>27725</v>
      </c>
      <c r="J5979" t="s">
        <v>1684</v>
      </c>
      <c r="L5979" t="s">
        <v>27726</v>
      </c>
      <c r="M5979" t="s">
        <v>1289</v>
      </c>
      <c r="N5979" t="s">
        <v>2849</v>
      </c>
      <c r="O5979" t="s">
        <v>27727</v>
      </c>
      <c r="P5979" t="s">
        <v>27728</v>
      </c>
      <c r="Q5979" t="s">
        <v>27729</v>
      </c>
      <c r="R5979">
        <v>17</v>
      </c>
      <c r="S5979">
        <v>32</v>
      </c>
    </row>
    <row r="5980" spans="1:19" x14ac:dyDescent="0.35">
      <c r="A5980">
        <v>5363</v>
      </c>
      <c r="B5980" t="s">
        <v>2794</v>
      </c>
      <c r="C5980" t="s">
        <v>42</v>
      </c>
      <c r="D5980" t="s">
        <v>27741</v>
      </c>
      <c r="E5980" t="e" cm="1">
        <f t="array" ref="E5980">- BETAMETHASONE VALERATE</f>
        <v>#NAME?</v>
      </c>
      <c r="F5980" t="s">
        <v>27742</v>
      </c>
      <c r="H5980" t="s">
        <v>19393</v>
      </c>
      <c r="I5980" t="s">
        <v>27743</v>
      </c>
      <c r="J5980" t="s">
        <v>1367</v>
      </c>
      <c r="K5980" t="s">
        <v>27744</v>
      </c>
      <c r="L5980" t="s">
        <v>321</v>
      </c>
      <c r="M5980" t="s">
        <v>1289</v>
      </c>
      <c r="N5980" t="s">
        <v>2059</v>
      </c>
      <c r="O5980" t="s">
        <v>27745</v>
      </c>
      <c r="P5980" t="s">
        <v>2797</v>
      </c>
      <c r="Q5980" t="s">
        <v>27746</v>
      </c>
      <c r="R5980">
        <v>17</v>
      </c>
      <c r="S5980">
        <v>32</v>
      </c>
    </row>
    <row r="5981" spans="1:19" x14ac:dyDescent="0.35">
      <c r="A5981">
        <v>1199</v>
      </c>
      <c r="B5981" t="s">
        <v>27765</v>
      </c>
      <c r="C5981" t="s">
        <v>42</v>
      </c>
      <c r="D5981" t="s">
        <v>27766</v>
      </c>
      <c r="E5981" t="e" cm="1">
        <f t="array" ref="E5981">- LORATADINE</f>
        <v>#NAME?</v>
      </c>
      <c r="G5981" t="s">
        <v>4420</v>
      </c>
      <c r="H5981" t="s">
        <v>27767</v>
      </c>
      <c r="I5981" t="s">
        <v>27768</v>
      </c>
      <c r="J5981" t="s">
        <v>6069</v>
      </c>
      <c r="K5981" t="s">
        <v>27769</v>
      </c>
      <c r="L5981" t="s">
        <v>27770</v>
      </c>
      <c r="M5981" t="s">
        <v>38</v>
      </c>
      <c r="N5981" t="s">
        <v>9225</v>
      </c>
      <c r="O5981" t="s">
        <v>27771</v>
      </c>
      <c r="P5981" t="s">
        <v>27772</v>
      </c>
      <c r="Q5981" t="s">
        <v>27773</v>
      </c>
      <c r="R5981">
        <v>17</v>
      </c>
      <c r="S5981">
        <v>32</v>
      </c>
    </row>
    <row r="5982" spans="1:19" x14ac:dyDescent="0.35">
      <c r="A5982">
        <v>4004</v>
      </c>
      <c r="B5982" t="s">
        <v>20865</v>
      </c>
      <c r="C5982" t="s">
        <v>42</v>
      </c>
      <c r="D5982" t="s">
        <v>20866</v>
      </c>
      <c r="E5982" t="e" cm="1">
        <f t="array" ref="E5982">- KOMBINASI-DISODIUM PHOSPHATE DODECAHYDRATE. KOMBINASI-SODIUM DIHYDROGEN PHOSPHATE DIHYDRATE</f>
        <v>#NAME?</v>
      </c>
      <c r="F5982" s="1">
        <v>103400</v>
      </c>
      <c r="G5982" t="s">
        <v>20867</v>
      </c>
      <c r="H5982" t="s">
        <v>20868</v>
      </c>
      <c r="I5982" t="s">
        <v>20869</v>
      </c>
      <c r="J5982" t="s">
        <v>20870</v>
      </c>
      <c r="K5982" t="s">
        <v>20871</v>
      </c>
    </row>
    <row r="5983" spans="1:19" x14ac:dyDescent="0.35">
      <c r="A5983">
        <v>1853</v>
      </c>
      <c r="B5983" t="s">
        <v>6668</v>
      </c>
      <c r="C5983" t="s">
        <v>42</v>
      </c>
      <c r="D5983" t="s">
        <v>27774</v>
      </c>
      <c r="E5983" t="e" cm="1">
        <f t="array" ref="E5983">- AMMONIUM CHLORIDE</f>
        <v>#NAME?</v>
      </c>
      <c r="F5983" t="s">
        <v>27775</v>
      </c>
      <c r="G5983" t="s">
        <v>2241</v>
      </c>
      <c r="H5983" t="s">
        <v>27776</v>
      </c>
      <c r="I5983" t="s">
        <v>27777</v>
      </c>
      <c r="J5983" t="s">
        <v>334</v>
      </c>
      <c r="K5983" t="s">
        <v>4975</v>
      </c>
      <c r="L5983" t="s">
        <v>27778</v>
      </c>
      <c r="M5983" t="s">
        <v>271</v>
      </c>
      <c r="N5983" t="s">
        <v>1672</v>
      </c>
      <c r="O5983" t="s">
        <v>27779</v>
      </c>
      <c r="P5983" t="s">
        <v>6673</v>
      </c>
      <c r="Q5983" t="s">
        <v>27780</v>
      </c>
      <c r="R5983">
        <v>17</v>
      </c>
      <c r="S5983">
        <v>32</v>
      </c>
    </row>
    <row r="5984" spans="1:19" x14ac:dyDescent="0.35">
      <c r="A5984">
        <v>1854</v>
      </c>
      <c r="B5984" t="s">
        <v>6668</v>
      </c>
      <c r="C5984" t="s">
        <v>42</v>
      </c>
      <c r="D5984" t="s">
        <v>27774</v>
      </c>
      <c r="E5984" t="e" cm="1">
        <f t="array" ref="E5984">- AMMONIUM CHLORIDE</f>
        <v>#NAME?</v>
      </c>
      <c r="F5984" t="s">
        <v>27775</v>
      </c>
      <c r="G5984" t="s">
        <v>2241</v>
      </c>
      <c r="H5984" t="s">
        <v>27776</v>
      </c>
      <c r="I5984" t="s">
        <v>27777</v>
      </c>
      <c r="J5984" t="s">
        <v>334</v>
      </c>
      <c r="K5984" t="s">
        <v>4975</v>
      </c>
      <c r="L5984" t="s">
        <v>27778</v>
      </c>
      <c r="M5984" t="s">
        <v>271</v>
      </c>
      <c r="N5984" t="s">
        <v>1672</v>
      </c>
      <c r="O5984" t="s">
        <v>27779</v>
      </c>
      <c r="P5984" t="s">
        <v>6673</v>
      </c>
      <c r="Q5984" t="s">
        <v>27780</v>
      </c>
      <c r="R5984">
        <v>17</v>
      </c>
      <c r="S5984">
        <v>32</v>
      </c>
    </row>
    <row r="5985" spans="1:19" x14ac:dyDescent="0.35">
      <c r="A5985">
        <v>1855</v>
      </c>
      <c r="B5985" t="s">
        <v>6668</v>
      </c>
      <c r="C5985" t="s">
        <v>42</v>
      </c>
      <c r="D5985" t="s">
        <v>27774</v>
      </c>
      <c r="E5985" t="e" cm="1">
        <f t="array" ref="E5985">- AMMONIUM CHLORIDE</f>
        <v>#NAME?</v>
      </c>
      <c r="F5985" t="s">
        <v>27775</v>
      </c>
      <c r="G5985" t="s">
        <v>2241</v>
      </c>
      <c r="H5985" t="s">
        <v>27776</v>
      </c>
      <c r="I5985" t="s">
        <v>27777</v>
      </c>
      <c r="J5985" t="s">
        <v>334</v>
      </c>
      <c r="K5985" t="s">
        <v>4975</v>
      </c>
      <c r="L5985" t="s">
        <v>27778</v>
      </c>
      <c r="M5985" t="s">
        <v>271</v>
      </c>
      <c r="N5985" t="s">
        <v>1672</v>
      </c>
      <c r="O5985" t="s">
        <v>27779</v>
      </c>
      <c r="P5985" t="s">
        <v>6673</v>
      </c>
      <c r="Q5985" t="s">
        <v>27780</v>
      </c>
      <c r="R5985">
        <v>17</v>
      </c>
      <c r="S5985">
        <v>32</v>
      </c>
    </row>
    <row r="5986" spans="1:19" x14ac:dyDescent="0.35">
      <c r="A5986">
        <v>4555</v>
      </c>
      <c r="B5986" t="s">
        <v>11524</v>
      </c>
      <c r="C5986" t="s">
        <v>42</v>
      </c>
      <c r="D5986" t="s">
        <v>27560</v>
      </c>
      <c r="E5986" t="e" cm="1">
        <f t="array" ref="E5986">- TETRAHYDROZOLINE HYDROCHLORIDE</f>
        <v>#NAME?</v>
      </c>
      <c r="F5986" t="s">
        <v>27561</v>
      </c>
      <c r="G5986" t="s">
        <v>11527</v>
      </c>
      <c r="H5986" t="s">
        <v>27562</v>
      </c>
      <c r="I5986" t="s">
        <v>27563</v>
      </c>
      <c r="J5986" t="s">
        <v>8661</v>
      </c>
      <c r="K5986" t="s">
        <v>27564</v>
      </c>
      <c r="L5986" t="s">
        <v>27565</v>
      </c>
      <c r="M5986" t="s">
        <v>824</v>
      </c>
      <c r="N5986" t="s">
        <v>3512</v>
      </c>
      <c r="O5986" t="s">
        <v>27566</v>
      </c>
      <c r="P5986" t="s">
        <v>11533</v>
      </c>
      <c r="Q5986" t="s">
        <v>27567</v>
      </c>
      <c r="R5986">
        <v>17</v>
      </c>
      <c r="S5986">
        <v>32</v>
      </c>
    </row>
    <row r="5987" spans="1:19" x14ac:dyDescent="0.35">
      <c r="A5987">
        <v>4002</v>
      </c>
      <c r="B5987" t="s">
        <v>27781</v>
      </c>
      <c r="C5987" t="s">
        <v>42</v>
      </c>
      <c r="D5987" t="s">
        <v>27782</v>
      </c>
      <c r="E5987" t="e" cm="1">
        <f t="array" ref="E5987">- LACTULOSE</f>
        <v>#NAME?</v>
      </c>
      <c r="F5987" s="1">
        <v>60600</v>
      </c>
      <c r="H5987" t="s">
        <v>20164</v>
      </c>
    </row>
    <row r="5988" spans="1:19" x14ac:dyDescent="0.35">
      <c r="A5988">
        <v>2872</v>
      </c>
      <c r="B5988" t="s">
        <v>27783</v>
      </c>
      <c r="C5988" t="s">
        <v>42</v>
      </c>
      <c r="D5988" t="s">
        <v>27784</v>
      </c>
      <c r="E5988" t="e" cm="1">
        <f t="array" ref="E5988">- PARACETAMOL</f>
        <v>#NAME?</v>
      </c>
      <c r="F5988" t="s">
        <v>27785</v>
      </c>
      <c r="G5988" t="s">
        <v>1691</v>
      </c>
      <c r="H5988" t="s">
        <v>27786</v>
      </c>
      <c r="I5988" t="s">
        <v>27787</v>
      </c>
    </row>
    <row r="5989" spans="1:19" x14ac:dyDescent="0.35">
      <c r="A5989">
        <v>452</v>
      </c>
      <c r="B5989" t="s">
        <v>27747</v>
      </c>
      <c r="C5989" t="s">
        <v>20</v>
      </c>
      <c r="D5989" t="s">
        <v>27748</v>
      </c>
      <c r="E5989" t="s">
        <v>27749</v>
      </c>
      <c r="F5989" t="s">
        <v>27750</v>
      </c>
      <c r="H5989" t="s">
        <v>4524</v>
      </c>
      <c r="I5989" t="s">
        <v>27751</v>
      </c>
      <c r="J5989" t="s">
        <v>27752</v>
      </c>
      <c r="M5989" t="s">
        <v>38</v>
      </c>
      <c r="N5989" t="s">
        <v>27753</v>
      </c>
      <c r="O5989" t="s">
        <v>27754</v>
      </c>
      <c r="P5989" t="s">
        <v>27755</v>
      </c>
      <c r="Q5989" t="s">
        <v>27756</v>
      </c>
      <c r="R5989">
        <v>17</v>
      </c>
      <c r="S5989">
        <v>32</v>
      </c>
    </row>
    <row r="5990" spans="1:19" x14ac:dyDescent="0.35">
      <c r="A5990">
        <v>3085</v>
      </c>
      <c r="B5990" t="s">
        <v>25421</v>
      </c>
      <c r="C5990" t="s">
        <v>42</v>
      </c>
      <c r="D5990" t="s">
        <v>25422</v>
      </c>
      <c r="E5990" t="s">
        <v>4857</v>
      </c>
      <c r="F5990" t="s">
        <v>25423</v>
      </c>
      <c r="G5990" t="s">
        <v>25424</v>
      </c>
      <c r="H5990" t="s">
        <v>25425</v>
      </c>
      <c r="I5990" t="s">
        <v>25426</v>
      </c>
      <c r="J5990" t="s">
        <v>25427</v>
      </c>
      <c r="K5990" t="s">
        <v>25428</v>
      </c>
      <c r="L5990" t="s">
        <v>25429</v>
      </c>
      <c r="M5990" t="s">
        <v>46</v>
      </c>
      <c r="N5990" t="s">
        <v>4858</v>
      </c>
      <c r="O5990" t="s">
        <v>25430</v>
      </c>
      <c r="P5990" t="s">
        <v>15705</v>
      </c>
      <c r="Q5990" t="s">
        <v>27788</v>
      </c>
      <c r="R5990">
        <v>17</v>
      </c>
      <c r="S5990">
        <v>32</v>
      </c>
    </row>
    <row r="5991" spans="1:19" x14ac:dyDescent="0.35">
      <c r="A5991">
        <v>5169</v>
      </c>
      <c r="B5991" t="s">
        <v>21508</v>
      </c>
      <c r="C5991" t="s">
        <v>42</v>
      </c>
      <c r="D5991" t="s">
        <v>27789</v>
      </c>
      <c r="E5991" t="e" cm="1">
        <f t="array" ref="E5991">- BETAMETHASONE</f>
        <v>#NAME?</v>
      </c>
      <c r="F5991" t="s">
        <v>27790</v>
      </c>
      <c r="G5991" t="s">
        <v>27791</v>
      </c>
      <c r="H5991" t="s">
        <v>21511</v>
      </c>
      <c r="I5991" t="s">
        <v>27792</v>
      </c>
      <c r="J5991" t="s">
        <v>2040</v>
      </c>
      <c r="K5991" t="s">
        <v>27793</v>
      </c>
      <c r="L5991" t="s">
        <v>27794</v>
      </c>
      <c r="M5991" t="s">
        <v>1289</v>
      </c>
      <c r="N5991" t="s">
        <v>1118</v>
      </c>
      <c r="O5991" t="s">
        <v>27795</v>
      </c>
      <c r="P5991" t="s">
        <v>21515</v>
      </c>
      <c r="Q5991" t="s">
        <v>27796</v>
      </c>
      <c r="R5991">
        <v>17</v>
      </c>
      <c r="S5991">
        <v>32</v>
      </c>
    </row>
    <row r="5992" spans="1:19" x14ac:dyDescent="0.35">
      <c r="A5992">
        <v>5171</v>
      </c>
      <c r="B5992" t="s">
        <v>21508</v>
      </c>
      <c r="C5992" t="s">
        <v>42</v>
      </c>
      <c r="D5992" t="s">
        <v>21509</v>
      </c>
      <c r="E5992" t="e" cm="1">
        <f t="array" ref="E5992">- BETAMETHASONE VALERATE. NEOMYCIN SULFATE</f>
        <v>#NAME?</v>
      </c>
      <c r="F5992" t="s">
        <v>21510</v>
      </c>
      <c r="G5992" t="s">
        <v>11776</v>
      </c>
      <c r="H5992" t="s">
        <v>21511</v>
      </c>
      <c r="I5992" t="s">
        <v>21512</v>
      </c>
      <c r="J5992" t="s">
        <v>2040</v>
      </c>
      <c r="K5992" t="s">
        <v>11779</v>
      </c>
      <c r="L5992" t="s">
        <v>21513</v>
      </c>
      <c r="M5992" t="s">
        <v>1289</v>
      </c>
      <c r="N5992" t="s">
        <v>4089</v>
      </c>
      <c r="O5992" t="s">
        <v>21514</v>
      </c>
      <c r="P5992" t="s">
        <v>21515</v>
      </c>
      <c r="Q5992" t="s">
        <v>27797</v>
      </c>
      <c r="R5992">
        <v>17</v>
      </c>
      <c r="S5992">
        <v>32</v>
      </c>
    </row>
    <row r="5993" spans="1:19" x14ac:dyDescent="0.35">
      <c r="A5993">
        <v>381</v>
      </c>
      <c r="B5993" t="s">
        <v>27667</v>
      </c>
      <c r="C5993" t="s">
        <v>42</v>
      </c>
      <c r="D5993" t="s">
        <v>27668</v>
      </c>
      <c r="E5993" t="e" cm="1">
        <f t="array" ref="E5993">- POVIDONE-IODINE</f>
        <v>#NAME?</v>
      </c>
      <c r="F5993" t="s">
        <v>27669</v>
      </c>
      <c r="G5993" t="s">
        <v>27670</v>
      </c>
      <c r="H5993" t="s">
        <v>27671</v>
      </c>
      <c r="I5993" t="s">
        <v>27672</v>
      </c>
    </row>
    <row r="5994" spans="1:19" x14ac:dyDescent="0.35">
      <c r="A5994">
        <v>8815</v>
      </c>
      <c r="B5994" t="s">
        <v>27798</v>
      </c>
      <c r="C5994" t="s">
        <v>42</v>
      </c>
      <c r="D5994" t="s">
        <v>27799</v>
      </c>
      <c r="E5994" t="e" cm="1">
        <f t="array" ref="E5994">- PIOGLITAZONE</f>
        <v>#NAME?</v>
      </c>
      <c r="F5994" t="s">
        <v>27800</v>
      </c>
      <c r="G5994" t="s">
        <v>8512</v>
      </c>
      <c r="H5994" t="s">
        <v>27801</v>
      </c>
      <c r="I5994" t="s">
        <v>27802</v>
      </c>
      <c r="J5994" t="s">
        <v>599</v>
      </c>
      <c r="K5994" t="s">
        <v>27803</v>
      </c>
      <c r="L5994" t="s">
        <v>27804</v>
      </c>
      <c r="M5994" t="s">
        <v>46</v>
      </c>
      <c r="N5994" t="s">
        <v>27805</v>
      </c>
      <c r="O5994" t="s">
        <v>27806</v>
      </c>
      <c r="P5994" t="s">
        <v>27807</v>
      </c>
      <c r="Q5994" t="s">
        <v>27808</v>
      </c>
      <c r="R5994">
        <v>17</v>
      </c>
      <c r="S5994">
        <v>32</v>
      </c>
    </row>
    <row r="5995" spans="1:19" x14ac:dyDescent="0.35">
      <c r="A5995">
        <v>380</v>
      </c>
      <c r="B5995" t="s">
        <v>27667</v>
      </c>
      <c r="C5995" t="s">
        <v>42</v>
      </c>
      <c r="D5995" t="s">
        <v>27668</v>
      </c>
      <c r="E5995" t="e" cm="1">
        <f t="array" ref="E5995">- POVIDONE-IODINE</f>
        <v>#NAME?</v>
      </c>
      <c r="F5995" t="s">
        <v>27669</v>
      </c>
      <c r="G5995" t="s">
        <v>27670</v>
      </c>
      <c r="H5995" t="s">
        <v>27671</v>
      </c>
      <c r="I5995" t="s">
        <v>27672</v>
      </c>
    </row>
    <row r="5996" spans="1:19" x14ac:dyDescent="0.35">
      <c r="A5996">
        <v>379</v>
      </c>
      <c r="B5996" t="s">
        <v>27667</v>
      </c>
      <c r="C5996" t="s">
        <v>42</v>
      </c>
      <c r="D5996" t="s">
        <v>27668</v>
      </c>
      <c r="E5996" t="e" cm="1">
        <f t="array" ref="E5996">- POVIDONE-IODINE</f>
        <v>#NAME?</v>
      </c>
      <c r="F5996" t="s">
        <v>27669</v>
      </c>
      <c r="G5996" t="s">
        <v>27670</v>
      </c>
      <c r="H5996" t="s">
        <v>27671</v>
      </c>
      <c r="I5996" t="s">
        <v>27672</v>
      </c>
    </row>
    <row r="5997" spans="1:19" x14ac:dyDescent="0.35">
      <c r="A5997">
        <v>378</v>
      </c>
      <c r="B5997" t="s">
        <v>27667</v>
      </c>
      <c r="C5997" t="s">
        <v>42</v>
      </c>
      <c r="D5997" t="s">
        <v>27668</v>
      </c>
      <c r="E5997" t="e" cm="1">
        <f t="array" ref="E5997">- POVIDONE-IODINE</f>
        <v>#NAME?</v>
      </c>
      <c r="F5997" t="s">
        <v>27669</v>
      </c>
      <c r="G5997" t="s">
        <v>27670</v>
      </c>
      <c r="H5997" t="s">
        <v>27671</v>
      </c>
      <c r="I5997" t="s">
        <v>27672</v>
      </c>
    </row>
    <row r="5998" spans="1:19" x14ac:dyDescent="0.35">
      <c r="A5998">
        <v>197</v>
      </c>
      <c r="B5998" t="s">
        <v>2902</v>
      </c>
      <c r="C5998" t="s">
        <v>42</v>
      </c>
      <c r="D5998" t="s">
        <v>27809</v>
      </c>
      <c r="E5998" t="e" cm="1">
        <f t="array" ref="E5998">- SILDENAFIL CITRATE</f>
        <v>#NAME?</v>
      </c>
      <c r="F5998" s="1">
        <v>119000</v>
      </c>
      <c r="G5998" t="s">
        <v>27810</v>
      </c>
      <c r="H5998" t="s">
        <v>1322</v>
      </c>
      <c r="I5998" t="s">
        <v>27811</v>
      </c>
      <c r="J5998" t="s">
        <v>614</v>
      </c>
      <c r="L5998" t="s">
        <v>27812</v>
      </c>
      <c r="M5998" t="s">
        <v>46</v>
      </c>
      <c r="N5998" t="s">
        <v>2519</v>
      </c>
      <c r="O5998" t="s">
        <v>27813</v>
      </c>
      <c r="P5998" t="s">
        <v>27814</v>
      </c>
      <c r="Q5998" t="s">
        <v>27815</v>
      </c>
      <c r="R5998">
        <v>17</v>
      </c>
      <c r="S5998">
        <v>32</v>
      </c>
    </row>
    <row r="5999" spans="1:19" x14ac:dyDescent="0.35">
      <c r="A5999">
        <v>382</v>
      </c>
      <c r="B5999" t="s">
        <v>27667</v>
      </c>
      <c r="C5999" t="s">
        <v>42</v>
      </c>
      <c r="D5999" t="s">
        <v>27668</v>
      </c>
      <c r="E5999" t="e" cm="1">
        <f t="array" ref="E5999">- POVIDONE-IODINE</f>
        <v>#NAME?</v>
      </c>
      <c r="F5999" t="s">
        <v>27669</v>
      </c>
      <c r="G5999" t="s">
        <v>27670</v>
      </c>
      <c r="H5999" t="s">
        <v>27671</v>
      </c>
      <c r="I5999" t="s">
        <v>27672</v>
      </c>
    </row>
    <row r="6000" spans="1:19" x14ac:dyDescent="0.35">
      <c r="A6000">
        <v>6242</v>
      </c>
      <c r="B6000" t="s">
        <v>27816</v>
      </c>
      <c r="C6000" t="s">
        <v>42</v>
      </c>
      <c r="D6000" t="s">
        <v>27817</v>
      </c>
      <c r="E6000" t="e" cm="1">
        <f t="array" ref="E6000">- MINOCYCLINE HYDROCHLORIDE</f>
        <v>#NAME?</v>
      </c>
      <c r="F6000" s="1">
        <v>143100</v>
      </c>
      <c r="G6000" t="s">
        <v>27818</v>
      </c>
      <c r="H6000" t="s">
        <v>27819</v>
      </c>
      <c r="I6000" t="s">
        <v>27820</v>
      </c>
      <c r="J6000" t="s">
        <v>810</v>
      </c>
      <c r="K6000" t="s">
        <v>27821</v>
      </c>
      <c r="L6000" t="s">
        <v>27822</v>
      </c>
      <c r="M6000" t="s">
        <v>38</v>
      </c>
      <c r="N6000" t="s">
        <v>27823</v>
      </c>
      <c r="O6000" t="s">
        <v>27824</v>
      </c>
      <c r="P6000" t="s">
        <v>27825</v>
      </c>
      <c r="Q6000" t="s">
        <v>27826</v>
      </c>
      <c r="R6000">
        <v>17</v>
      </c>
      <c r="S6000">
        <v>32</v>
      </c>
    </row>
    <row r="6001" spans="1:19" x14ac:dyDescent="0.35">
      <c r="A6001">
        <v>803</v>
      </c>
      <c r="B6001" t="s">
        <v>27827</v>
      </c>
      <c r="C6001" t="s">
        <v>42</v>
      </c>
      <c r="D6001" t="s">
        <v>27828</v>
      </c>
      <c r="E6001" t="e" cm="1">
        <f t="array" ref="E6001">- PSEUDOEPHEDRINE HYDROCHLORIDE. BROMPHENIRAMINE MALEATE. DEXTROMETHORPHAN HYDROBROMIDE</f>
        <v>#NAME?</v>
      </c>
      <c r="F6001" t="s">
        <v>27829</v>
      </c>
      <c r="G6001" t="s">
        <v>60</v>
      </c>
      <c r="H6001" t="s">
        <v>22033</v>
      </c>
      <c r="I6001" t="s">
        <v>27830</v>
      </c>
      <c r="J6001" t="s">
        <v>374</v>
      </c>
      <c r="K6001" t="s">
        <v>14432</v>
      </c>
      <c r="L6001" t="s">
        <v>27831</v>
      </c>
      <c r="M6001" t="s">
        <v>271</v>
      </c>
      <c r="N6001" t="s">
        <v>27832</v>
      </c>
      <c r="O6001" t="s">
        <v>27833</v>
      </c>
      <c r="P6001" t="s">
        <v>27834</v>
      </c>
      <c r="Q6001" t="s">
        <v>27835</v>
      </c>
      <c r="R6001">
        <v>17</v>
      </c>
      <c r="S6001">
        <v>32</v>
      </c>
    </row>
    <row r="6002" spans="1:19" x14ac:dyDescent="0.35">
      <c r="A6002">
        <v>5170</v>
      </c>
      <c r="B6002" t="s">
        <v>21508</v>
      </c>
      <c r="C6002" t="s">
        <v>42</v>
      </c>
      <c r="D6002" t="s">
        <v>21509</v>
      </c>
      <c r="E6002" t="e" cm="1">
        <f t="array" ref="E6002">- BETAMETHASONE VALERATE. NEOMYCIN SULFATE</f>
        <v>#NAME?</v>
      </c>
      <c r="F6002" t="s">
        <v>21510</v>
      </c>
      <c r="G6002" t="s">
        <v>11776</v>
      </c>
      <c r="H6002" t="s">
        <v>21511</v>
      </c>
      <c r="I6002" t="s">
        <v>21512</v>
      </c>
      <c r="J6002" t="s">
        <v>2040</v>
      </c>
      <c r="K6002" t="s">
        <v>11779</v>
      </c>
      <c r="L6002" t="s">
        <v>21513</v>
      </c>
      <c r="M6002" t="s">
        <v>1289</v>
      </c>
      <c r="N6002" t="s">
        <v>4089</v>
      </c>
      <c r="O6002" t="s">
        <v>21514</v>
      </c>
      <c r="P6002" t="s">
        <v>21515</v>
      </c>
      <c r="Q6002" t="s">
        <v>27797</v>
      </c>
      <c r="R6002">
        <v>17</v>
      </c>
      <c r="S6002">
        <v>32</v>
      </c>
    </row>
    <row r="6003" spans="1:19" x14ac:dyDescent="0.35">
      <c r="A6003">
        <v>6238</v>
      </c>
      <c r="B6003" t="s">
        <v>27836</v>
      </c>
      <c r="C6003" t="s">
        <v>42</v>
      </c>
      <c r="D6003" t="s">
        <v>27837</v>
      </c>
      <c r="E6003" t="e" cm="1">
        <f t="array" ref="E6003">- LEVOFLOXACIN HEMIHYDRATE</f>
        <v>#NAME?</v>
      </c>
      <c r="F6003" t="s">
        <v>27838</v>
      </c>
      <c r="G6003" t="s">
        <v>1691</v>
      </c>
      <c r="H6003" t="s">
        <v>27839</v>
      </c>
      <c r="I6003" t="s">
        <v>27840</v>
      </c>
      <c r="J6003" t="s">
        <v>27841</v>
      </c>
      <c r="K6003" t="s">
        <v>27842</v>
      </c>
      <c r="L6003" t="s">
        <v>27843</v>
      </c>
      <c r="M6003" t="s">
        <v>46</v>
      </c>
      <c r="N6003" t="s">
        <v>1784</v>
      </c>
      <c r="O6003" t="s">
        <v>27844</v>
      </c>
      <c r="P6003" t="s">
        <v>1847</v>
      </c>
      <c r="Q6003" t="s">
        <v>27845</v>
      </c>
      <c r="R6003">
        <v>17</v>
      </c>
      <c r="S6003">
        <v>32</v>
      </c>
    </row>
    <row r="6004" spans="1:19" x14ac:dyDescent="0.35">
      <c r="A6004">
        <v>6236</v>
      </c>
      <c r="B6004" t="s">
        <v>27836</v>
      </c>
      <c r="C6004" t="s">
        <v>42</v>
      </c>
      <c r="D6004" t="s">
        <v>27837</v>
      </c>
      <c r="E6004" t="e" cm="1">
        <f t="array" ref="E6004">- LEVOFLOXACIN HEMIHYDRATE</f>
        <v>#NAME?</v>
      </c>
      <c r="F6004" t="s">
        <v>27838</v>
      </c>
      <c r="G6004" t="s">
        <v>1691</v>
      </c>
      <c r="H6004" t="s">
        <v>27839</v>
      </c>
      <c r="I6004" t="s">
        <v>27840</v>
      </c>
      <c r="J6004" t="s">
        <v>27841</v>
      </c>
      <c r="K6004" t="s">
        <v>27842</v>
      </c>
      <c r="L6004" t="s">
        <v>27843</v>
      </c>
      <c r="M6004" t="s">
        <v>46</v>
      </c>
      <c r="N6004" t="s">
        <v>1784</v>
      </c>
      <c r="O6004" t="s">
        <v>27844</v>
      </c>
      <c r="P6004" t="s">
        <v>1847</v>
      </c>
      <c r="Q6004" t="s">
        <v>27845</v>
      </c>
      <c r="R6004">
        <v>17</v>
      </c>
      <c r="S6004">
        <v>32</v>
      </c>
    </row>
    <row r="6005" spans="1:19" x14ac:dyDescent="0.35">
      <c r="A6005">
        <v>6235</v>
      </c>
      <c r="B6005" t="s">
        <v>27836</v>
      </c>
      <c r="C6005" t="s">
        <v>42</v>
      </c>
      <c r="D6005" t="s">
        <v>27837</v>
      </c>
      <c r="E6005" t="e" cm="1">
        <f t="array" ref="E6005">- LEVOFLOXACIN HEMIHYDRATE</f>
        <v>#NAME?</v>
      </c>
      <c r="F6005" t="s">
        <v>27838</v>
      </c>
      <c r="G6005" t="s">
        <v>1691</v>
      </c>
      <c r="H6005" t="s">
        <v>27839</v>
      </c>
      <c r="I6005" t="s">
        <v>27840</v>
      </c>
      <c r="J6005" t="s">
        <v>27841</v>
      </c>
      <c r="K6005" t="s">
        <v>27842</v>
      </c>
      <c r="L6005" t="s">
        <v>27843</v>
      </c>
      <c r="M6005" t="s">
        <v>46</v>
      </c>
      <c r="N6005" t="s">
        <v>1784</v>
      </c>
      <c r="O6005" t="s">
        <v>27844</v>
      </c>
      <c r="P6005" t="s">
        <v>1847</v>
      </c>
      <c r="Q6005" t="s">
        <v>27845</v>
      </c>
      <c r="R6005">
        <v>17</v>
      </c>
      <c r="S6005">
        <v>32</v>
      </c>
    </row>
    <row r="6006" spans="1:19" x14ac:dyDescent="0.35">
      <c r="A6006">
        <v>862</v>
      </c>
      <c r="B6006" t="s">
        <v>27846</v>
      </c>
      <c r="C6006" t="s">
        <v>42</v>
      </c>
      <c r="D6006" t="s">
        <v>27847</v>
      </c>
      <c r="E6006" t="e" cm="1">
        <f t="array" ref="E6006">- CHLORPHENAMINE MALEATE</f>
        <v>#NAME?</v>
      </c>
      <c r="F6006" t="s">
        <v>27848</v>
      </c>
      <c r="G6006" t="s">
        <v>5839</v>
      </c>
      <c r="H6006" t="s">
        <v>27849</v>
      </c>
      <c r="I6006" t="s">
        <v>27850</v>
      </c>
      <c r="J6006" t="s">
        <v>27851</v>
      </c>
      <c r="K6006" t="s">
        <v>27852</v>
      </c>
    </row>
    <row r="6007" spans="1:19" x14ac:dyDescent="0.35">
      <c r="A6007">
        <v>6231</v>
      </c>
      <c r="B6007" t="s">
        <v>27853</v>
      </c>
      <c r="C6007" t="s">
        <v>42</v>
      </c>
      <c r="D6007" t="s">
        <v>27854</v>
      </c>
      <c r="E6007" t="e" cm="1">
        <f t="array" ref="E6007">- THIAMPHENICOL</f>
        <v>#NAME?</v>
      </c>
      <c r="F6007" t="s">
        <v>27855</v>
      </c>
      <c r="G6007" t="s">
        <v>737</v>
      </c>
      <c r="H6007" t="s">
        <v>27856</v>
      </c>
      <c r="I6007" t="s">
        <v>27857</v>
      </c>
      <c r="J6007" t="s">
        <v>27858</v>
      </c>
      <c r="K6007" t="s">
        <v>27859</v>
      </c>
      <c r="L6007" t="s">
        <v>27860</v>
      </c>
      <c r="M6007" t="s">
        <v>38</v>
      </c>
      <c r="N6007" t="s">
        <v>272</v>
      </c>
      <c r="O6007" t="s">
        <v>27861</v>
      </c>
      <c r="P6007" t="s">
        <v>27862</v>
      </c>
      <c r="Q6007" t="s">
        <v>27863</v>
      </c>
      <c r="R6007">
        <v>17</v>
      </c>
      <c r="S6007">
        <v>32</v>
      </c>
    </row>
    <row r="6008" spans="1:19" x14ac:dyDescent="0.35">
      <c r="A6008">
        <v>1791</v>
      </c>
      <c r="B6008" t="s">
        <v>13250</v>
      </c>
      <c r="C6008" t="s">
        <v>850</v>
      </c>
      <c r="D6008" t="s">
        <v>26014</v>
      </c>
      <c r="E6008" t="e" cm="1">
        <f t="array" ref="E6008">- Lemon Oil</f>
        <v>#NAME?</v>
      </c>
      <c r="F6008" s="1">
        <v>154000</v>
      </c>
      <c r="G6008" t="s">
        <v>25932</v>
      </c>
      <c r="H6008" t="s">
        <v>26015</v>
      </c>
      <c r="I6008" t="s">
        <v>25934</v>
      </c>
      <c r="J6008" t="s">
        <v>3856</v>
      </c>
      <c r="M6008" t="s">
        <v>3453</v>
      </c>
      <c r="N6008" t="s">
        <v>13251</v>
      </c>
      <c r="O6008" t="s">
        <v>25935</v>
      </c>
      <c r="P6008" t="s">
        <v>26016</v>
      </c>
      <c r="Q6008" t="s">
        <v>27864</v>
      </c>
      <c r="R6008">
        <v>17</v>
      </c>
      <c r="S6008">
        <v>32</v>
      </c>
    </row>
    <row r="6009" spans="1:19" x14ac:dyDescent="0.35">
      <c r="A6009">
        <v>812</v>
      </c>
      <c r="B6009" t="s">
        <v>27865</v>
      </c>
      <c r="C6009" t="s">
        <v>42</v>
      </c>
      <c r="D6009" t="s">
        <v>27866</v>
      </c>
      <c r="E6009" t="e" cm="1">
        <f t="array" ref="E6009">- DEXCHLORPHENIRAMINE MALEATE</f>
        <v>#NAME?</v>
      </c>
      <c r="F6009" t="s">
        <v>23473</v>
      </c>
      <c r="G6009" t="s">
        <v>5746</v>
      </c>
      <c r="H6009" t="s">
        <v>27867</v>
      </c>
      <c r="I6009" t="s">
        <v>27868</v>
      </c>
      <c r="J6009" t="s">
        <v>17253</v>
      </c>
      <c r="K6009" t="s">
        <v>27869</v>
      </c>
      <c r="L6009" t="s">
        <v>27870</v>
      </c>
      <c r="M6009" t="s">
        <v>46</v>
      </c>
      <c r="N6009" t="s">
        <v>1530</v>
      </c>
      <c r="O6009" t="s">
        <v>27871</v>
      </c>
      <c r="P6009" t="s">
        <v>27872</v>
      </c>
      <c r="Q6009" t="s">
        <v>27873</v>
      </c>
      <c r="R6009">
        <v>17</v>
      </c>
      <c r="S6009">
        <v>32</v>
      </c>
    </row>
    <row r="6010" spans="1:19" x14ac:dyDescent="0.35">
      <c r="A6010">
        <v>5347</v>
      </c>
      <c r="B6010" t="s">
        <v>27874</v>
      </c>
      <c r="C6010" t="s">
        <v>42</v>
      </c>
      <c r="D6010" t="s">
        <v>27875</v>
      </c>
      <c r="E6010" t="e" cm="1">
        <f t="array" ref="E6010">- BETAMETHASONE VALERATE</f>
        <v>#NAME?</v>
      </c>
      <c r="F6010" t="s">
        <v>27876</v>
      </c>
      <c r="G6010" t="s">
        <v>23461</v>
      </c>
      <c r="H6010" t="s">
        <v>27877</v>
      </c>
      <c r="I6010" t="s">
        <v>27878</v>
      </c>
      <c r="J6010" t="s">
        <v>27879</v>
      </c>
      <c r="K6010" t="s">
        <v>27880</v>
      </c>
      <c r="L6010" t="s">
        <v>27881</v>
      </c>
      <c r="M6010" t="s">
        <v>1289</v>
      </c>
      <c r="N6010" t="s">
        <v>2059</v>
      </c>
      <c r="O6010" t="s">
        <v>27882</v>
      </c>
      <c r="P6010" t="s">
        <v>27883</v>
      </c>
      <c r="Q6010" t="s">
        <v>27884</v>
      </c>
      <c r="R6010">
        <v>17</v>
      </c>
      <c r="S6010">
        <v>32</v>
      </c>
    </row>
    <row r="6011" spans="1:19" x14ac:dyDescent="0.35">
      <c r="A6011">
        <v>8841</v>
      </c>
      <c r="B6011" t="s">
        <v>27885</v>
      </c>
      <c r="C6011" t="s">
        <v>42</v>
      </c>
      <c r="D6011" t="s">
        <v>27886</v>
      </c>
      <c r="E6011" t="e" cm="1">
        <f t="array" ref="E6011">- GLICLAZIDE</f>
        <v>#NAME?</v>
      </c>
      <c r="F6011" t="s">
        <v>27887</v>
      </c>
      <c r="G6011" t="s">
        <v>9126</v>
      </c>
      <c r="H6011" t="s">
        <v>9127</v>
      </c>
      <c r="I6011" t="s">
        <v>27888</v>
      </c>
      <c r="J6011" t="s">
        <v>27889</v>
      </c>
      <c r="K6011" t="s">
        <v>9129</v>
      </c>
      <c r="L6011" t="s">
        <v>9130</v>
      </c>
      <c r="M6011" t="s">
        <v>46</v>
      </c>
      <c r="N6011" t="s">
        <v>1268</v>
      </c>
      <c r="O6011" t="s">
        <v>27890</v>
      </c>
      <c r="P6011" t="s">
        <v>27891</v>
      </c>
      <c r="Q6011" t="s">
        <v>27892</v>
      </c>
      <c r="R6011">
        <v>17</v>
      </c>
      <c r="S6011">
        <v>32</v>
      </c>
    </row>
    <row r="6012" spans="1:19" x14ac:dyDescent="0.35">
      <c r="A6012">
        <v>2905</v>
      </c>
      <c r="B6012" t="s">
        <v>27893</v>
      </c>
      <c r="C6012" t="s">
        <v>42</v>
      </c>
      <c r="D6012" t="s">
        <v>27894</v>
      </c>
      <c r="E6012" t="e" cm="1">
        <f t="array" ref="E6012">- PARACETAMOL</f>
        <v>#NAME?</v>
      </c>
      <c r="F6012" t="s">
        <v>27895</v>
      </c>
      <c r="H6012" t="s">
        <v>27896</v>
      </c>
      <c r="I6012" t="s">
        <v>27897</v>
      </c>
      <c r="J6012" t="s">
        <v>630</v>
      </c>
      <c r="L6012" t="s">
        <v>27898</v>
      </c>
      <c r="M6012" t="s">
        <v>271</v>
      </c>
      <c r="N6012" t="s">
        <v>584</v>
      </c>
      <c r="O6012" t="s">
        <v>27899</v>
      </c>
      <c r="P6012" t="s">
        <v>17073</v>
      </c>
      <c r="Q6012" t="s">
        <v>27900</v>
      </c>
      <c r="R6012">
        <v>17</v>
      </c>
      <c r="S6012">
        <v>32</v>
      </c>
    </row>
    <row r="6013" spans="1:19" x14ac:dyDescent="0.35">
      <c r="A6013">
        <v>6237</v>
      </c>
      <c r="B6013" t="s">
        <v>27836</v>
      </c>
      <c r="C6013" t="s">
        <v>42</v>
      </c>
      <c r="D6013" t="s">
        <v>27837</v>
      </c>
      <c r="E6013" t="e" cm="1">
        <f t="array" ref="E6013">- LEVOFLOXACIN HEMIHYDRATE</f>
        <v>#NAME?</v>
      </c>
      <c r="F6013" t="s">
        <v>27838</v>
      </c>
      <c r="G6013" t="s">
        <v>1691</v>
      </c>
      <c r="H6013" t="s">
        <v>27839</v>
      </c>
      <c r="I6013" t="s">
        <v>27840</v>
      </c>
      <c r="J6013" t="s">
        <v>27841</v>
      </c>
      <c r="K6013" t="s">
        <v>27842</v>
      </c>
      <c r="L6013" t="s">
        <v>27843</v>
      </c>
      <c r="M6013" t="s">
        <v>46</v>
      </c>
      <c r="N6013" t="s">
        <v>1784</v>
      </c>
      <c r="O6013" t="s">
        <v>27844</v>
      </c>
      <c r="P6013" t="s">
        <v>1847</v>
      </c>
      <c r="Q6013" t="s">
        <v>27845</v>
      </c>
      <c r="R6013">
        <v>17</v>
      </c>
      <c r="S6013">
        <v>32</v>
      </c>
    </row>
    <row r="6014" spans="1:19" x14ac:dyDescent="0.35">
      <c r="A6014">
        <v>7928</v>
      </c>
      <c r="B6014" t="s">
        <v>27901</v>
      </c>
      <c r="C6014" t="s">
        <v>20</v>
      </c>
      <c r="D6014" t="s">
        <v>27902</v>
      </c>
      <c r="E6014" t="s">
        <v>27903</v>
      </c>
      <c r="F6014" t="s">
        <v>27904</v>
      </c>
      <c r="G6014" t="s">
        <v>27905</v>
      </c>
      <c r="I6014" t="s">
        <v>27906</v>
      </c>
      <c r="J6014" t="s">
        <v>27907</v>
      </c>
      <c r="L6014" t="s">
        <v>27908</v>
      </c>
      <c r="M6014" t="s">
        <v>63</v>
      </c>
      <c r="N6014" t="s">
        <v>27909</v>
      </c>
      <c r="O6014" t="s">
        <v>27910</v>
      </c>
      <c r="P6014" t="s">
        <v>27911</v>
      </c>
      <c r="Q6014" t="s">
        <v>27912</v>
      </c>
      <c r="R6014">
        <v>17</v>
      </c>
      <c r="S6014">
        <v>32</v>
      </c>
    </row>
    <row r="6015" spans="1:19" x14ac:dyDescent="0.35">
      <c r="A6015">
        <v>2906</v>
      </c>
      <c r="B6015" t="s">
        <v>27893</v>
      </c>
      <c r="C6015" t="s">
        <v>42</v>
      </c>
      <c r="D6015" t="s">
        <v>27894</v>
      </c>
      <c r="E6015" t="e" cm="1">
        <f t="array" ref="E6015">- PARACETAMOL</f>
        <v>#NAME?</v>
      </c>
      <c r="F6015" t="s">
        <v>27895</v>
      </c>
      <c r="H6015" t="s">
        <v>27896</v>
      </c>
      <c r="I6015" t="s">
        <v>27897</v>
      </c>
      <c r="J6015" t="s">
        <v>630</v>
      </c>
      <c r="L6015" t="s">
        <v>27898</v>
      </c>
      <c r="M6015" t="s">
        <v>271</v>
      </c>
      <c r="N6015" t="s">
        <v>584</v>
      </c>
      <c r="O6015" t="s">
        <v>27899</v>
      </c>
      <c r="P6015" t="s">
        <v>17073</v>
      </c>
      <c r="Q6015" t="s">
        <v>27900</v>
      </c>
      <c r="R6015">
        <v>17</v>
      </c>
      <c r="S6015">
        <v>32</v>
      </c>
    </row>
    <row r="6016" spans="1:19" x14ac:dyDescent="0.35">
      <c r="A6016">
        <v>6459</v>
      </c>
      <c r="B6016" t="s">
        <v>27913</v>
      </c>
      <c r="C6016" t="s">
        <v>42</v>
      </c>
      <c r="D6016" t="s">
        <v>27914</v>
      </c>
      <c r="E6016" t="e" cm="1">
        <f t="array" ref="E6016">- AMOXICILLIN TRIHYDRATE</f>
        <v>#NAME?</v>
      </c>
      <c r="F6016" t="s">
        <v>27915</v>
      </c>
      <c r="G6016" t="s">
        <v>27916</v>
      </c>
      <c r="H6016" t="s">
        <v>27917</v>
      </c>
      <c r="I6016" t="s">
        <v>27918</v>
      </c>
      <c r="J6016" t="s">
        <v>334</v>
      </c>
      <c r="K6016" t="s">
        <v>27919</v>
      </c>
      <c r="L6016" t="s">
        <v>14289</v>
      </c>
      <c r="M6016" t="s">
        <v>271</v>
      </c>
      <c r="N6016" t="s">
        <v>1523</v>
      </c>
      <c r="O6016" t="s">
        <v>27920</v>
      </c>
      <c r="P6016" t="s">
        <v>27921</v>
      </c>
      <c r="Q6016" t="s">
        <v>27922</v>
      </c>
      <c r="R6016">
        <v>17</v>
      </c>
      <c r="S6016">
        <v>32</v>
      </c>
    </row>
    <row r="6017" spans="1:19" x14ac:dyDescent="0.35">
      <c r="A6017">
        <v>4444</v>
      </c>
      <c r="B6017" t="s">
        <v>26355</v>
      </c>
      <c r="C6017" t="s">
        <v>20</v>
      </c>
      <c r="D6017" t="s">
        <v>27923</v>
      </c>
      <c r="E6017" t="s">
        <v>26357</v>
      </c>
      <c r="F6017" s="1">
        <v>2600</v>
      </c>
      <c r="G6017" t="s">
        <v>27924</v>
      </c>
      <c r="H6017" t="s">
        <v>27925</v>
      </c>
      <c r="I6017" t="s">
        <v>27926</v>
      </c>
      <c r="J6017" t="s">
        <v>14469</v>
      </c>
      <c r="M6017" t="s">
        <v>46</v>
      </c>
      <c r="N6017" t="s">
        <v>26361</v>
      </c>
      <c r="O6017" t="s">
        <v>27927</v>
      </c>
      <c r="P6017" t="s">
        <v>27928</v>
      </c>
      <c r="Q6017" t="s">
        <v>27929</v>
      </c>
      <c r="R6017">
        <v>17</v>
      </c>
      <c r="S6017">
        <v>32</v>
      </c>
    </row>
    <row r="6018" spans="1:19" x14ac:dyDescent="0.35">
      <c r="A6018">
        <v>5312</v>
      </c>
      <c r="B6018" t="s">
        <v>27930</v>
      </c>
      <c r="C6018" t="s">
        <v>42</v>
      </c>
      <c r="D6018" t="s">
        <v>27931</v>
      </c>
      <c r="E6018" t="e" cm="1">
        <f t="array" ref="E6018">- KETOCONAZOLE</f>
        <v>#NAME?</v>
      </c>
      <c r="F6018" t="s">
        <v>27932</v>
      </c>
      <c r="G6018" t="s">
        <v>14072</v>
      </c>
      <c r="H6018" t="s">
        <v>27933</v>
      </c>
      <c r="I6018" t="s">
        <v>27934</v>
      </c>
      <c r="J6018" t="s">
        <v>1684</v>
      </c>
      <c r="K6018" t="s">
        <v>2726</v>
      </c>
      <c r="L6018" t="s">
        <v>27935</v>
      </c>
      <c r="M6018" t="s">
        <v>1289</v>
      </c>
      <c r="N6018" t="s">
        <v>533</v>
      </c>
      <c r="O6018" t="s">
        <v>27936</v>
      </c>
      <c r="P6018" t="s">
        <v>27937</v>
      </c>
      <c r="Q6018" t="s">
        <v>27938</v>
      </c>
      <c r="R6018">
        <v>17</v>
      </c>
      <c r="S6018">
        <v>32</v>
      </c>
    </row>
    <row r="6019" spans="1:19" x14ac:dyDescent="0.35">
      <c r="A6019">
        <v>5311</v>
      </c>
      <c r="B6019" t="s">
        <v>27930</v>
      </c>
      <c r="C6019" t="s">
        <v>42</v>
      </c>
      <c r="D6019" t="s">
        <v>27931</v>
      </c>
      <c r="E6019" t="e" cm="1">
        <f t="array" ref="E6019">- KETOCONAZOLE</f>
        <v>#NAME?</v>
      </c>
      <c r="F6019" t="s">
        <v>27932</v>
      </c>
      <c r="G6019" t="s">
        <v>14072</v>
      </c>
      <c r="H6019" t="s">
        <v>27933</v>
      </c>
      <c r="I6019" t="s">
        <v>27934</v>
      </c>
      <c r="J6019" t="s">
        <v>1684</v>
      </c>
      <c r="K6019" t="s">
        <v>2726</v>
      </c>
      <c r="L6019" t="s">
        <v>27935</v>
      </c>
      <c r="M6019" t="s">
        <v>1289</v>
      </c>
      <c r="N6019" t="s">
        <v>533</v>
      </c>
      <c r="O6019" t="s">
        <v>27936</v>
      </c>
      <c r="P6019" t="s">
        <v>27937</v>
      </c>
      <c r="Q6019" t="s">
        <v>27938</v>
      </c>
      <c r="R6019">
        <v>17</v>
      </c>
      <c r="S6019">
        <v>32</v>
      </c>
    </row>
    <row r="6020" spans="1:19" x14ac:dyDescent="0.35">
      <c r="A6020">
        <v>5310</v>
      </c>
      <c r="B6020" t="s">
        <v>27939</v>
      </c>
      <c r="C6020" t="s">
        <v>42</v>
      </c>
      <c r="D6020" t="s">
        <v>27940</v>
      </c>
      <c r="E6020" t="e" cm="1">
        <f t="array" ref="E6020">- BETAMETHASONE VALERATE</f>
        <v>#NAME?</v>
      </c>
      <c r="F6020" t="s">
        <v>27941</v>
      </c>
      <c r="G6020" t="s">
        <v>27942</v>
      </c>
      <c r="H6020" t="s">
        <v>11777</v>
      </c>
      <c r="I6020" t="s">
        <v>27792</v>
      </c>
      <c r="J6020" t="s">
        <v>2040</v>
      </c>
      <c r="K6020" t="s">
        <v>27943</v>
      </c>
    </row>
    <row r="6021" spans="1:19" x14ac:dyDescent="0.35">
      <c r="A6021">
        <v>7464</v>
      </c>
      <c r="B6021" t="s">
        <v>27944</v>
      </c>
      <c r="C6021" t="s">
        <v>20</v>
      </c>
      <c r="D6021" t="s">
        <v>27945</v>
      </c>
      <c r="E6021" t="s">
        <v>27946</v>
      </c>
      <c r="F6021" t="s">
        <v>27947</v>
      </c>
      <c r="G6021" t="s">
        <v>737</v>
      </c>
      <c r="H6021" t="s">
        <v>27948</v>
      </c>
      <c r="I6021" t="s">
        <v>27949</v>
      </c>
      <c r="J6021" t="s">
        <v>15976</v>
      </c>
      <c r="L6021" t="s">
        <v>7921</v>
      </c>
      <c r="M6021" t="s">
        <v>46</v>
      </c>
      <c r="N6021" t="s">
        <v>27950</v>
      </c>
      <c r="O6021" t="s">
        <v>27951</v>
      </c>
      <c r="P6021" t="s">
        <v>27952</v>
      </c>
      <c r="Q6021" t="s">
        <v>27953</v>
      </c>
      <c r="R6021">
        <v>17</v>
      </c>
      <c r="S6021">
        <v>32</v>
      </c>
    </row>
    <row r="6022" spans="1:19" x14ac:dyDescent="0.35">
      <c r="A6022">
        <v>4109</v>
      </c>
      <c r="B6022" t="s">
        <v>27954</v>
      </c>
      <c r="C6022" t="s">
        <v>42</v>
      </c>
      <c r="D6022" t="s">
        <v>27955</v>
      </c>
      <c r="E6022" t="e" cm="1">
        <f t="array" ref="E6022">- DEXAMETHASONE</f>
        <v>#NAME?</v>
      </c>
      <c r="F6022" t="s">
        <v>27956</v>
      </c>
      <c r="G6022" t="s">
        <v>2241</v>
      </c>
      <c r="H6022" t="s">
        <v>27957</v>
      </c>
      <c r="I6022" t="s">
        <v>27958</v>
      </c>
      <c r="J6022" t="s">
        <v>727</v>
      </c>
      <c r="K6022" t="s">
        <v>27959</v>
      </c>
      <c r="L6022" t="s">
        <v>27960</v>
      </c>
      <c r="M6022" t="s">
        <v>291</v>
      </c>
      <c r="N6022" t="s">
        <v>3779</v>
      </c>
      <c r="O6022" t="s">
        <v>27472</v>
      </c>
      <c r="P6022" t="s">
        <v>27961</v>
      </c>
      <c r="Q6022" t="s">
        <v>27962</v>
      </c>
      <c r="R6022">
        <v>17</v>
      </c>
      <c r="S6022">
        <v>32</v>
      </c>
    </row>
    <row r="6023" spans="1:19" x14ac:dyDescent="0.35">
      <c r="A6023">
        <v>9910</v>
      </c>
      <c r="B6023" t="s">
        <v>27963</v>
      </c>
      <c r="C6023" t="s">
        <v>42</v>
      </c>
      <c r="D6023" t="s">
        <v>27964</v>
      </c>
      <c r="E6023" t="e" cm="1">
        <f t="array" ref="E6023">- CILOSTAZOL</f>
        <v>#NAME?</v>
      </c>
      <c r="F6023" t="s">
        <v>27965</v>
      </c>
      <c r="G6023" t="s">
        <v>4469</v>
      </c>
      <c r="H6023" t="s">
        <v>27966</v>
      </c>
      <c r="I6023" t="s">
        <v>26009</v>
      </c>
      <c r="J6023" t="s">
        <v>2478</v>
      </c>
      <c r="K6023" t="s">
        <v>6097</v>
      </c>
      <c r="L6023" t="s">
        <v>27967</v>
      </c>
      <c r="M6023" t="s">
        <v>46</v>
      </c>
      <c r="N6023" t="s">
        <v>20904</v>
      </c>
      <c r="O6023" t="s">
        <v>26012</v>
      </c>
      <c r="P6023" t="s">
        <v>27968</v>
      </c>
      <c r="Q6023" t="s">
        <v>27969</v>
      </c>
      <c r="R6023">
        <v>17</v>
      </c>
      <c r="S6023">
        <v>32</v>
      </c>
    </row>
    <row r="6024" spans="1:19" x14ac:dyDescent="0.35">
      <c r="A6024">
        <v>9909</v>
      </c>
      <c r="B6024" t="s">
        <v>27963</v>
      </c>
      <c r="C6024" t="s">
        <v>42</v>
      </c>
      <c r="D6024" t="s">
        <v>27964</v>
      </c>
      <c r="E6024" t="e" cm="1">
        <f t="array" ref="E6024">- CILOSTAZOL</f>
        <v>#NAME?</v>
      </c>
      <c r="F6024" t="s">
        <v>27965</v>
      </c>
      <c r="G6024" t="s">
        <v>4469</v>
      </c>
      <c r="H6024" t="s">
        <v>27966</v>
      </c>
      <c r="I6024" t="s">
        <v>26009</v>
      </c>
      <c r="J6024" t="s">
        <v>2478</v>
      </c>
      <c r="K6024" t="s">
        <v>6097</v>
      </c>
      <c r="L6024" t="s">
        <v>27967</v>
      </c>
      <c r="M6024" t="s">
        <v>46</v>
      </c>
      <c r="N6024" t="s">
        <v>20904</v>
      </c>
      <c r="O6024" t="s">
        <v>26012</v>
      </c>
      <c r="P6024" t="s">
        <v>27968</v>
      </c>
      <c r="Q6024" t="s">
        <v>27969</v>
      </c>
      <c r="R6024">
        <v>17</v>
      </c>
      <c r="S6024">
        <v>32</v>
      </c>
    </row>
    <row r="6025" spans="1:19" x14ac:dyDescent="0.35">
      <c r="A6025">
        <v>8023</v>
      </c>
      <c r="B6025" t="s">
        <v>27970</v>
      </c>
      <c r="C6025" t="s">
        <v>20</v>
      </c>
      <c r="D6025" t="s">
        <v>27971</v>
      </c>
      <c r="E6025" t="s">
        <v>27972</v>
      </c>
      <c r="F6025" t="s">
        <v>27973</v>
      </c>
      <c r="G6025" t="s">
        <v>26040</v>
      </c>
      <c r="H6025" t="s">
        <v>26041</v>
      </c>
      <c r="I6025" t="s">
        <v>26042</v>
      </c>
      <c r="J6025" t="s">
        <v>27974</v>
      </c>
      <c r="L6025" t="s">
        <v>13303</v>
      </c>
      <c r="M6025" t="s">
        <v>2374</v>
      </c>
      <c r="N6025" t="s">
        <v>27975</v>
      </c>
      <c r="O6025" t="s">
        <v>26044</v>
      </c>
      <c r="P6025" t="s">
        <v>27976</v>
      </c>
      <c r="Q6025" t="s">
        <v>27977</v>
      </c>
      <c r="R6025">
        <v>17</v>
      </c>
      <c r="S6025">
        <v>32</v>
      </c>
    </row>
    <row r="6026" spans="1:19" x14ac:dyDescent="0.35">
      <c r="A6026">
        <v>5313</v>
      </c>
      <c r="B6026" t="s">
        <v>27930</v>
      </c>
      <c r="C6026" t="s">
        <v>42</v>
      </c>
      <c r="D6026" t="s">
        <v>27931</v>
      </c>
      <c r="E6026" t="e" cm="1">
        <f t="array" ref="E6026">- KETOCONAZOLE</f>
        <v>#NAME?</v>
      </c>
      <c r="F6026" t="s">
        <v>27932</v>
      </c>
      <c r="G6026" t="s">
        <v>14072</v>
      </c>
      <c r="H6026" t="s">
        <v>27933</v>
      </c>
      <c r="I6026" t="s">
        <v>27934</v>
      </c>
      <c r="J6026" t="s">
        <v>1684</v>
      </c>
      <c r="K6026" t="s">
        <v>2726</v>
      </c>
      <c r="L6026" t="s">
        <v>27935</v>
      </c>
      <c r="M6026" t="s">
        <v>1289</v>
      </c>
      <c r="N6026" t="s">
        <v>533</v>
      </c>
      <c r="O6026" t="s">
        <v>27936</v>
      </c>
      <c r="P6026" t="s">
        <v>27937</v>
      </c>
      <c r="Q6026" t="s">
        <v>27938</v>
      </c>
      <c r="R6026">
        <v>17</v>
      </c>
      <c r="S6026">
        <v>32</v>
      </c>
    </row>
    <row r="6027" spans="1:19" x14ac:dyDescent="0.35">
      <c r="A6027">
        <v>816</v>
      </c>
      <c r="B6027" t="s">
        <v>27865</v>
      </c>
      <c r="C6027" t="s">
        <v>42</v>
      </c>
      <c r="D6027" t="s">
        <v>27978</v>
      </c>
      <c r="E6027" t="e" cm="1">
        <f t="array" ref="E6027">- DEXCHLORPHENIRAMINE MALEATE</f>
        <v>#NAME?</v>
      </c>
      <c r="F6027" t="s">
        <v>27979</v>
      </c>
      <c r="G6027" t="s">
        <v>27980</v>
      </c>
      <c r="H6027" t="s">
        <v>27981</v>
      </c>
    </row>
    <row r="6028" spans="1:19" x14ac:dyDescent="0.35">
      <c r="A6028">
        <v>7327</v>
      </c>
      <c r="B6028" t="s">
        <v>26672</v>
      </c>
      <c r="C6028" t="s">
        <v>42</v>
      </c>
      <c r="D6028" t="s">
        <v>26673</v>
      </c>
      <c r="E6028" t="e" cm="1">
        <f t="array" ref="E6028">- DROSPIRENONE. ETHINYLESTRADIOL</f>
        <v>#NAME?</v>
      </c>
      <c r="F6028" t="s">
        <v>26674</v>
      </c>
      <c r="G6028" t="s">
        <v>1691</v>
      </c>
      <c r="H6028" t="s">
        <v>26675</v>
      </c>
      <c r="I6028" t="s">
        <v>26676</v>
      </c>
      <c r="J6028" t="s">
        <v>26677</v>
      </c>
      <c r="K6028" t="s">
        <v>26678</v>
      </c>
    </row>
    <row r="6029" spans="1:19" x14ac:dyDescent="0.35">
      <c r="A6029">
        <v>2798</v>
      </c>
      <c r="B6029" t="s">
        <v>27982</v>
      </c>
      <c r="C6029" t="s">
        <v>42</v>
      </c>
      <c r="D6029" t="s">
        <v>27983</v>
      </c>
      <c r="E6029" t="e" cm="1">
        <f t="array" ref="E6029">- PARACETAMOL</f>
        <v>#NAME?</v>
      </c>
      <c r="F6029" t="s">
        <v>27984</v>
      </c>
      <c r="G6029" t="s">
        <v>6869</v>
      </c>
      <c r="H6029" t="s">
        <v>27985</v>
      </c>
      <c r="I6029" t="s">
        <v>27986</v>
      </c>
      <c r="J6029" t="s">
        <v>829</v>
      </c>
      <c r="K6029" t="s">
        <v>27987</v>
      </c>
      <c r="L6029" t="s">
        <v>27988</v>
      </c>
      <c r="M6029" t="s">
        <v>271</v>
      </c>
      <c r="N6029" t="s">
        <v>584</v>
      </c>
      <c r="O6029" t="s">
        <v>27989</v>
      </c>
      <c r="P6029" t="s">
        <v>27990</v>
      </c>
      <c r="Q6029" t="s">
        <v>27991</v>
      </c>
      <c r="R6029">
        <v>17</v>
      </c>
      <c r="S6029">
        <v>32</v>
      </c>
    </row>
    <row r="6030" spans="1:19" x14ac:dyDescent="0.35">
      <c r="A6030">
        <v>2797</v>
      </c>
      <c r="B6030" t="s">
        <v>27982</v>
      </c>
      <c r="C6030" t="s">
        <v>42</v>
      </c>
      <c r="D6030" t="s">
        <v>27983</v>
      </c>
      <c r="E6030" t="e" cm="1">
        <f t="array" ref="E6030">- PARACETAMOL</f>
        <v>#NAME?</v>
      </c>
      <c r="F6030" t="s">
        <v>27984</v>
      </c>
      <c r="G6030" t="s">
        <v>6869</v>
      </c>
      <c r="H6030" t="s">
        <v>27985</v>
      </c>
      <c r="I6030" t="s">
        <v>27986</v>
      </c>
      <c r="J6030" t="s">
        <v>829</v>
      </c>
      <c r="K6030" t="s">
        <v>27987</v>
      </c>
      <c r="L6030" t="s">
        <v>27988</v>
      </c>
      <c r="M6030" t="s">
        <v>271</v>
      </c>
      <c r="N6030" t="s">
        <v>584</v>
      </c>
      <c r="O6030" t="s">
        <v>27989</v>
      </c>
      <c r="P6030" t="s">
        <v>27990</v>
      </c>
      <c r="Q6030" t="s">
        <v>27991</v>
      </c>
      <c r="R6030">
        <v>17</v>
      </c>
      <c r="S6030">
        <v>32</v>
      </c>
    </row>
    <row r="6031" spans="1:19" x14ac:dyDescent="0.35">
      <c r="A6031">
        <v>471</v>
      </c>
      <c r="B6031" t="s">
        <v>27992</v>
      </c>
      <c r="C6031" t="s">
        <v>42</v>
      </c>
      <c r="D6031" t="s">
        <v>27993</v>
      </c>
      <c r="E6031" t="e" cm="1">
        <f t="array" ref="E6031">- TERBUTALINE SULFATE</f>
        <v>#NAME?</v>
      </c>
      <c r="F6031" t="s">
        <v>27994</v>
      </c>
      <c r="H6031" t="s">
        <v>27995</v>
      </c>
      <c r="I6031" t="s">
        <v>27996</v>
      </c>
      <c r="J6031" t="s">
        <v>727</v>
      </c>
      <c r="K6031" t="s">
        <v>27997</v>
      </c>
      <c r="L6031" t="s">
        <v>27998</v>
      </c>
      <c r="M6031" t="s">
        <v>291</v>
      </c>
      <c r="N6031" t="s">
        <v>4594</v>
      </c>
      <c r="O6031" t="s">
        <v>27999</v>
      </c>
      <c r="P6031" t="s">
        <v>28000</v>
      </c>
      <c r="Q6031" t="s">
        <v>28001</v>
      </c>
      <c r="R6031">
        <v>17</v>
      </c>
      <c r="S6031">
        <v>32</v>
      </c>
    </row>
    <row r="6032" spans="1:19" x14ac:dyDescent="0.35">
      <c r="A6032">
        <v>2796</v>
      </c>
      <c r="B6032" t="s">
        <v>27982</v>
      </c>
      <c r="C6032" t="s">
        <v>42</v>
      </c>
      <c r="D6032" t="s">
        <v>27983</v>
      </c>
      <c r="E6032" t="e" cm="1">
        <f t="array" ref="E6032">- PARACETAMOL</f>
        <v>#NAME?</v>
      </c>
      <c r="F6032" t="s">
        <v>27984</v>
      </c>
      <c r="G6032" t="s">
        <v>6869</v>
      </c>
      <c r="H6032" t="s">
        <v>27985</v>
      </c>
      <c r="I6032" t="s">
        <v>27986</v>
      </c>
      <c r="J6032" t="s">
        <v>829</v>
      </c>
      <c r="K6032" t="s">
        <v>27987</v>
      </c>
      <c r="L6032" t="s">
        <v>27988</v>
      </c>
      <c r="M6032" t="s">
        <v>271</v>
      </c>
      <c r="N6032" t="s">
        <v>584</v>
      </c>
      <c r="O6032" t="s">
        <v>27989</v>
      </c>
      <c r="P6032" t="s">
        <v>27990</v>
      </c>
      <c r="Q6032" t="s">
        <v>27991</v>
      </c>
      <c r="R6032">
        <v>17</v>
      </c>
      <c r="S6032">
        <v>32</v>
      </c>
    </row>
    <row r="6033" spans="1:19" x14ac:dyDescent="0.35">
      <c r="A6033">
        <v>2795</v>
      </c>
      <c r="B6033" t="s">
        <v>27982</v>
      </c>
      <c r="C6033" t="s">
        <v>42</v>
      </c>
      <c r="D6033" t="s">
        <v>27983</v>
      </c>
      <c r="E6033" t="e" cm="1">
        <f t="array" ref="E6033">- PARACETAMOL</f>
        <v>#NAME?</v>
      </c>
      <c r="F6033" t="s">
        <v>27984</v>
      </c>
      <c r="G6033" t="s">
        <v>6869</v>
      </c>
      <c r="H6033" t="s">
        <v>27985</v>
      </c>
      <c r="I6033" t="s">
        <v>27986</v>
      </c>
      <c r="J6033" t="s">
        <v>829</v>
      </c>
      <c r="K6033" t="s">
        <v>27987</v>
      </c>
      <c r="L6033" t="s">
        <v>27988</v>
      </c>
      <c r="M6033" t="s">
        <v>271</v>
      </c>
      <c r="N6033" t="s">
        <v>584</v>
      </c>
      <c r="O6033" t="s">
        <v>27989</v>
      </c>
      <c r="P6033" t="s">
        <v>27990</v>
      </c>
      <c r="Q6033" t="s">
        <v>27991</v>
      </c>
      <c r="R6033">
        <v>17</v>
      </c>
      <c r="S6033">
        <v>32</v>
      </c>
    </row>
    <row r="6034" spans="1:19" x14ac:dyDescent="0.35">
      <c r="A6034">
        <v>2794</v>
      </c>
      <c r="B6034" t="s">
        <v>27982</v>
      </c>
      <c r="C6034" t="s">
        <v>42</v>
      </c>
      <c r="D6034" t="s">
        <v>27983</v>
      </c>
      <c r="E6034" t="e" cm="1">
        <f t="array" ref="E6034">- PARACETAMOL</f>
        <v>#NAME?</v>
      </c>
      <c r="F6034" t="s">
        <v>27984</v>
      </c>
      <c r="G6034" t="s">
        <v>6869</v>
      </c>
      <c r="H6034" t="s">
        <v>27985</v>
      </c>
      <c r="I6034" t="s">
        <v>27986</v>
      </c>
      <c r="J6034" t="s">
        <v>829</v>
      </c>
      <c r="K6034" t="s">
        <v>27987</v>
      </c>
      <c r="L6034" t="s">
        <v>27988</v>
      </c>
      <c r="M6034" t="s">
        <v>271</v>
      </c>
      <c r="N6034" t="s">
        <v>584</v>
      </c>
      <c r="O6034" t="s">
        <v>27989</v>
      </c>
      <c r="P6034" t="s">
        <v>27990</v>
      </c>
      <c r="Q6034" t="s">
        <v>27991</v>
      </c>
      <c r="R6034">
        <v>17</v>
      </c>
      <c r="S6034">
        <v>32</v>
      </c>
    </row>
    <row r="6035" spans="1:19" x14ac:dyDescent="0.35">
      <c r="A6035">
        <v>2793</v>
      </c>
      <c r="B6035" t="s">
        <v>27982</v>
      </c>
      <c r="C6035" t="s">
        <v>42</v>
      </c>
      <c r="D6035" t="s">
        <v>27983</v>
      </c>
      <c r="E6035" t="e" cm="1">
        <f t="array" ref="E6035">- PARACETAMOL</f>
        <v>#NAME?</v>
      </c>
      <c r="F6035" t="s">
        <v>27984</v>
      </c>
      <c r="G6035" t="s">
        <v>6869</v>
      </c>
      <c r="H6035" t="s">
        <v>27985</v>
      </c>
      <c r="I6035" t="s">
        <v>27986</v>
      </c>
      <c r="J6035" t="s">
        <v>829</v>
      </c>
      <c r="K6035" t="s">
        <v>27987</v>
      </c>
      <c r="L6035" t="s">
        <v>27988</v>
      </c>
      <c r="M6035" t="s">
        <v>271</v>
      </c>
      <c r="N6035" t="s">
        <v>584</v>
      </c>
      <c r="O6035" t="s">
        <v>27989</v>
      </c>
      <c r="P6035" t="s">
        <v>27990</v>
      </c>
      <c r="Q6035" t="s">
        <v>27991</v>
      </c>
      <c r="R6035">
        <v>17</v>
      </c>
      <c r="S6035">
        <v>32</v>
      </c>
    </row>
    <row r="6036" spans="1:19" x14ac:dyDescent="0.35">
      <c r="A6036">
        <v>5221</v>
      </c>
      <c r="B6036" t="s">
        <v>27287</v>
      </c>
      <c r="C6036" t="s">
        <v>42</v>
      </c>
      <c r="D6036" t="s">
        <v>27354</v>
      </c>
      <c r="E6036" t="e" cm="1">
        <f t="array" ref="E6036">- MICONAZOLE NITRATE</f>
        <v>#NAME?</v>
      </c>
      <c r="F6036" t="s">
        <v>27355</v>
      </c>
      <c r="H6036" t="s">
        <v>27356</v>
      </c>
      <c r="I6036" t="s">
        <v>27357</v>
      </c>
      <c r="J6036" t="s">
        <v>19233</v>
      </c>
      <c r="L6036" t="s">
        <v>27358</v>
      </c>
      <c r="M6036" t="s">
        <v>1289</v>
      </c>
      <c r="N6036" t="s">
        <v>9389</v>
      </c>
      <c r="O6036" t="s">
        <v>27359</v>
      </c>
      <c r="P6036" t="s">
        <v>27360</v>
      </c>
      <c r="Q6036" t="s">
        <v>27361</v>
      </c>
      <c r="R6036">
        <v>17</v>
      </c>
      <c r="S6036">
        <v>32</v>
      </c>
    </row>
    <row r="6037" spans="1:19" x14ac:dyDescent="0.35">
      <c r="A6037">
        <v>817</v>
      </c>
      <c r="B6037" t="s">
        <v>27865</v>
      </c>
      <c r="C6037" t="s">
        <v>42</v>
      </c>
      <c r="D6037" t="s">
        <v>27978</v>
      </c>
      <c r="E6037" t="e" cm="1">
        <f t="array" ref="E6037">- DEXCHLORPHENIRAMINE MALEATE</f>
        <v>#NAME?</v>
      </c>
      <c r="F6037" t="s">
        <v>27979</v>
      </c>
      <c r="G6037" t="s">
        <v>27980</v>
      </c>
      <c r="H6037" t="s">
        <v>27981</v>
      </c>
    </row>
    <row r="6038" spans="1:19" x14ac:dyDescent="0.35">
      <c r="A6038">
        <v>4437</v>
      </c>
      <c r="B6038" t="s">
        <v>28002</v>
      </c>
      <c r="C6038" t="s">
        <v>42</v>
      </c>
      <c r="D6038" t="s">
        <v>28003</v>
      </c>
      <c r="E6038" t="e" cm="1">
        <f t="array" ref="E6038">- DEQUALINIUM CHLORIDE</f>
        <v>#NAME?</v>
      </c>
      <c r="F6038" t="s">
        <v>28004</v>
      </c>
      <c r="G6038" t="s">
        <v>539</v>
      </c>
      <c r="H6038" t="s">
        <v>28005</v>
      </c>
      <c r="I6038" t="s">
        <v>28006</v>
      </c>
      <c r="J6038" t="s">
        <v>4038</v>
      </c>
      <c r="K6038" t="s">
        <v>3473</v>
      </c>
      <c r="L6038" t="s">
        <v>28007</v>
      </c>
      <c r="M6038" t="s">
        <v>554</v>
      </c>
      <c r="N6038" t="s">
        <v>10495</v>
      </c>
      <c r="O6038" t="s">
        <v>28008</v>
      </c>
      <c r="P6038" t="s">
        <v>28009</v>
      </c>
      <c r="Q6038" t="s">
        <v>28010</v>
      </c>
      <c r="R6038">
        <v>17</v>
      </c>
      <c r="S6038">
        <v>32</v>
      </c>
    </row>
    <row r="6039" spans="1:19" x14ac:dyDescent="0.35">
      <c r="A6039">
        <v>6387</v>
      </c>
      <c r="B6039" t="s">
        <v>28011</v>
      </c>
      <c r="C6039" t="s">
        <v>42</v>
      </c>
      <c r="D6039" t="s">
        <v>28012</v>
      </c>
      <c r="E6039" t="e" cm="1">
        <f t="array" ref="E6039">- AMPICILLIN SODIUM</f>
        <v>#NAME?</v>
      </c>
      <c r="F6039" t="s">
        <v>28013</v>
      </c>
      <c r="G6039" t="s">
        <v>5568</v>
      </c>
      <c r="H6039" t="s">
        <v>28014</v>
      </c>
      <c r="I6039" t="s">
        <v>28015</v>
      </c>
      <c r="J6039" t="s">
        <v>19066</v>
      </c>
      <c r="K6039" t="s">
        <v>28016</v>
      </c>
      <c r="L6039" t="s">
        <v>28017</v>
      </c>
      <c r="M6039" t="s">
        <v>38</v>
      </c>
      <c r="N6039" t="s">
        <v>28018</v>
      </c>
      <c r="O6039" t="s">
        <v>28019</v>
      </c>
      <c r="P6039" t="s">
        <v>28020</v>
      </c>
      <c r="Q6039" t="s">
        <v>28021</v>
      </c>
      <c r="R6039">
        <v>17</v>
      </c>
      <c r="S6039">
        <v>32</v>
      </c>
    </row>
    <row r="6040" spans="1:19" x14ac:dyDescent="0.35">
      <c r="A6040">
        <v>5214</v>
      </c>
      <c r="B6040" t="s">
        <v>28022</v>
      </c>
      <c r="C6040" t="s">
        <v>42</v>
      </c>
      <c r="D6040" t="s">
        <v>28023</v>
      </c>
      <c r="E6040" t="e" cm="1">
        <f t="array" ref="E6040">- NEOMYCIN SULFATE. BACITRACIN</f>
        <v>#NAME?</v>
      </c>
      <c r="F6040" t="s">
        <v>28024</v>
      </c>
      <c r="G6040" t="s">
        <v>28025</v>
      </c>
      <c r="H6040" t="s">
        <v>28026</v>
      </c>
      <c r="I6040" t="s">
        <v>28027</v>
      </c>
      <c r="J6040" t="s">
        <v>2040</v>
      </c>
      <c r="K6040" t="s">
        <v>2726</v>
      </c>
      <c r="L6040" t="s">
        <v>28028</v>
      </c>
      <c r="M6040" t="s">
        <v>1029</v>
      </c>
      <c r="N6040" t="s">
        <v>28029</v>
      </c>
      <c r="O6040" t="s">
        <v>28030</v>
      </c>
      <c r="P6040" t="s">
        <v>12498</v>
      </c>
      <c r="Q6040" t="s">
        <v>28031</v>
      </c>
      <c r="R6040">
        <v>17</v>
      </c>
      <c r="S6040">
        <v>32</v>
      </c>
    </row>
    <row r="6041" spans="1:19" x14ac:dyDescent="0.35">
      <c r="A6041">
        <v>7351</v>
      </c>
      <c r="B6041" t="s">
        <v>28032</v>
      </c>
      <c r="C6041" t="s">
        <v>42</v>
      </c>
      <c r="D6041" t="s">
        <v>28033</v>
      </c>
      <c r="E6041" t="e" cm="1">
        <f t="array" ref="E6041">- PHENOL</f>
        <v>#NAME?</v>
      </c>
      <c r="F6041" t="s">
        <v>28034</v>
      </c>
      <c r="G6041" t="s">
        <v>28035</v>
      </c>
      <c r="H6041" t="s">
        <v>28036</v>
      </c>
      <c r="I6041" t="s">
        <v>28037</v>
      </c>
      <c r="J6041" t="s">
        <v>743</v>
      </c>
      <c r="K6041" t="s">
        <v>2726</v>
      </c>
      <c r="L6041" t="s">
        <v>28038</v>
      </c>
      <c r="M6041" t="s">
        <v>554</v>
      </c>
      <c r="N6041" t="s">
        <v>28039</v>
      </c>
      <c r="O6041" t="s">
        <v>28040</v>
      </c>
      <c r="P6041" t="s">
        <v>28041</v>
      </c>
      <c r="Q6041" t="s">
        <v>28042</v>
      </c>
      <c r="R6041">
        <v>17</v>
      </c>
      <c r="S6041">
        <v>32</v>
      </c>
    </row>
    <row r="6042" spans="1:19" x14ac:dyDescent="0.35">
      <c r="A6042">
        <v>7930</v>
      </c>
      <c r="B6042" t="s">
        <v>28043</v>
      </c>
      <c r="C6042" t="s">
        <v>20</v>
      </c>
      <c r="D6042" t="s">
        <v>28044</v>
      </c>
      <c r="E6042" t="s">
        <v>28045</v>
      </c>
      <c r="F6042" t="s">
        <v>28046</v>
      </c>
      <c r="G6042" t="s">
        <v>28047</v>
      </c>
      <c r="H6042" t="s">
        <v>28048</v>
      </c>
      <c r="I6042" t="s">
        <v>28049</v>
      </c>
      <c r="J6042" t="s">
        <v>28050</v>
      </c>
      <c r="M6042" t="s">
        <v>63</v>
      </c>
      <c r="N6042" t="s">
        <v>28051</v>
      </c>
      <c r="O6042" t="s">
        <v>28052</v>
      </c>
      <c r="P6042" t="s">
        <v>28053</v>
      </c>
      <c r="Q6042" t="s">
        <v>28054</v>
      </c>
      <c r="R6042">
        <v>17</v>
      </c>
      <c r="S6042">
        <v>32</v>
      </c>
    </row>
    <row r="6043" spans="1:19" x14ac:dyDescent="0.35">
      <c r="A6043">
        <v>5378</v>
      </c>
      <c r="B6043" t="s">
        <v>28055</v>
      </c>
      <c r="C6043" t="s">
        <v>42</v>
      </c>
      <c r="D6043" t="s">
        <v>28056</v>
      </c>
      <c r="E6043" t="e" cm="1">
        <f t="array" ref="E6043">- CHLORAMPHENICOL</f>
        <v>#NAME?</v>
      </c>
      <c r="F6043" t="s">
        <v>28057</v>
      </c>
      <c r="G6043" t="s">
        <v>28058</v>
      </c>
      <c r="H6043" t="s">
        <v>28059</v>
      </c>
      <c r="I6043" t="s">
        <v>28060</v>
      </c>
      <c r="J6043" t="s">
        <v>28061</v>
      </c>
      <c r="L6043" t="s">
        <v>270</v>
      </c>
      <c r="M6043" t="s">
        <v>1289</v>
      </c>
      <c r="N6043" t="s">
        <v>1188</v>
      </c>
      <c r="O6043" t="s">
        <v>28062</v>
      </c>
      <c r="P6043" t="s">
        <v>28063</v>
      </c>
      <c r="Q6043" t="s">
        <v>28064</v>
      </c>
      <c r="R6043">
        <v>17</v>
      </c>
      <c r="S6043">
        <v>32</v>
      </c>
    </row>
    <row r="6044" spans="1:19" x14ac:dyDescent="0.35">
      <c r="A6044">
        <v>8782</v>
      </c>
      <c r="B6044" t="s">
        <v>2388</v>
      </c>
      <c r="C6044" t="s">
        <v>42</v>
      </c>
      <c r="D6044" t="s">
        <v>28065</v>
      </c>
      <c r="E6044" t="e" cm="1">
        <f t="array" ref="E6044">- PIOGLITAZONE HYDROCHLORIDE</f>
        <v>#NAME?</v>
      </c>
      <c r="F6044" s="1">
        <v>250000</v>
      </c>
      <c r="G6044" t="s">
        <v>28066</v>
      </c>
      <c r="H6044" t="s">
        <v>1322</v>
      </c>
      <c r="I6044" t="s">
        <v>28067</v>
      </c>
      <c r="J6044" t="s">
        <v>28068</v>
      </c>
      <c r="M6044" t="s">
        <v>46</v>
      </c>
      <c r="N6044" t="s">
        <v>2389</v>
      </c>
      <c r="O6044" t="s">
        <v>25446</v>
      </c>
      <c r="P6044" t="s">
        <v>28069</v>
      </c>
      <c r="Q6044" t="s">
        <v>28070</v>
      </c>
      <c r="R6044">
        <v>17</v>
      </c>
      <c r="S6044">
        <v>32</v>
      </c>
    </row>
    <row r="6045" spans="1:19" x14ac:dyDescent="0.35">
      <c r="A6045">
        <v>3117</v>
      </c>
      <c r="B6045" t="s">
        <v>28071</v>
      </c>
      <c r="C6045" t="s">
        <v>42</v>
      </c>
      <c r="D6045" t="s">
        <v>28072</v>
      </c>
      <c r="E6045" t="e" cm="1">
        <f t="array" ref="E6045">- ALUMINIUM HYDROXIDE GEL</f>
        <v>#NAME?</v>
      </c>
      <c r="F6045" t="s">
        <v>28073</v>
      </c>
      <c r="G6045" t="s">
        <v>26573</v>
      </c>
      <c r="H6045" t="s">
        <v>28074</v>
      </c>
      <c r="I6045" t="s">
        <v>26575</v>
      </c>
      <c r="J6045" t="s">
        <v>374</v>
      </c>
      <c r="K6045" t="s">
        <v>26577</v>
      </c>
      <c r="L6045" t="s">
        <v>26578</v>
      </c>
      <c r="M6045" t="s">
        <v>340</v>
      </c>
      <c r="N6045" t="s">
        <v>15939</v>
      </c>
      <c r="O6045" t="s">
        <v>26579</v>
      </c>
      <c r="P6045" t="s">
        <v>26580</v>
      </c>
      <c r="Q6045" t="s">
        <v>28075</v>
      </c>
      <c r="R6045">
        <v>17</v>
      </c>
      <c r="S6045">
        <v>32</v>
      </c>
    </row>
    <row r="6046" spans="1:19" x14ac:dyDescent="0.35">
      <c r="A6046">
        <v>10009</v>
      </c>
      <c r="B6046" t="s">
        <v>28076</v>
      </c>
      <c r="C6046" t="s">
        <v>42</v>
      </c>
      <c r="D6046" t="s">
        <v>28077</v>
      </c>
      <c r="E6046" t="e" cm="1">
        <f t="array" ref="E6046">- CILOSTAZOL</f>
        <v>#NAME?</v>
      </c>
      <c r="F6046" t="s">
        <v>28078</v>
      </c>
      <c r="G6046" t="s">
        <v>60</v>
      </c>
      <c r="H6046" t="s">
        <v>27966</v>
      </c>
      <c r="I6046" t="s">
        <v>26009</v>
      </c>
      <c r="J6046" t="s">
        <v>28079</v>
      </c>
      <c r="K6046" t="s">
        <v>28080</v>
      </c>
      <c r="L6046" t="s">
        <v>28081</v>
      </c>
      <c r="M6046" t="s">
        <v>46</v>
      </c>
      <c r="N6046" t="s">
        <v>20904</v>
      </c>
      <c r="O6046" t="s">
        <v>26012</v>
      </c>
      <c r="P6046" t="s">
        <v>27968</v>
      </c>
      <c r="Q6046" t="s">
        <v>27969</v>
      </c>
      <c r="R6046">
        <v>17</v>
      </c>
      <c r="S6046">
        <v>32</v>
      </c>
    </row>
    <row r="6047" spans="1:19" x14ac:dyDescent="0.35">
      <c r="A6047">
        <v>6471</v>
      </c>
      <c r="B6047" t="s">
        <v>28082</v>
      </c>
      <c r="C6047" t="s">
        <v>42</v>
      </c>
      <c r="D6047" t="s">
        <v>28083</v>
      </c>
      <c r="E6047" t="e" cm="1">
        <f t="array" ref="E6047">- THIAMPHENICOL</f>
        <v>#NAME?</v>
      </c>
      <c r="F6047" t="s">
        <v>28084</v>
      </c>
      <c r="H6047" t="s">
        <v>28085</v>
      </c>
      <c r="I6047" t="s">
        <v>28086</v>
      </c>
      <c r="J6047" t="s">
        <v>22905</v>
      </c>
      <c r="K6047" t="s">
        <v>28087</v>
      </c>
      <c r="L6047" t="s">
        <v>28088</v>
      </c>
      <c r="M6047" t="s">
        <v>38</v>
      </c>
      <c r="N6047" t="s">
        <v>272</v>
      </c>
      <c r="O6047" t="s">
        <v>28089</v>
      </c>
      <c r="P6047" t="s">
        <v>28090</v>
      </c>
      <c r="Q6047" t="s">
        <v>28091</v>
      </c>
      <c r="R6047">
        <v>17</v>
      </c>
      <c r="S6047">
        <v>32</v>
      </c>
    </row>
    <row r="6048" spans="1:19" x14ac:dyDescent="0.35">
      <c r="A6048">
        <v>3118</v>
      </c>
      <c r="B6048" t="s">
        <v>28071</v>
      </c>
      <c r="C6048" t="s">
        <v>42</v>
      </c>
      <c r="D6048" t="s">
        <v>28072</v>
      </c>
      <c r="E6048" t="e" cm="1">
        <f t="array" ref="E6048">- ALUMINIUM HYDROXIDE GEL</f>
        <v>#NAME?</v>
      </c>
      <c r="F6048" t="s">
        <v>28073</v>
      </c>
      <c r="G6048" t="s">
        <v>26573</v>
      </c>
      <c r="H6048" t="s">
        <v>28074</v>
      </c>
      <c r="I6048" t="s">
        <v>26575</v>
      </c>
      <c r="J6048" t="s">
        <v>374</v>
      </c>
      <c r="K6048" t="s">
        <v>26577</v>
      </c>
      <c r="L6048" t="s">
        <v>26578</v>
      </c>
      <c r="M6048" t="s">
        <v>340</v>
      </c>
      <c r="N6048" t="s">
        <v>15939</v>
      </c>
      <c r="O6048" t="s">
        <v>26579</v>
      </c>
      <c r="P6048" t="s">
        <v>26580</v>
      </c>
      <c r="Q6048" t="s">
        <v>28075</v>
      </c>
      <c r="R6048">
        <v>17</v>
      </c>
      <c r="S6048">
        <v>32</v>
      </c>
    </row>
    <row r="6049" spans="1:19" x14ac:dyDescent="0.35">
      <c r="A6049">
        <v>3121</v>
      </c>
      <c r="B6049" t="s">
        <v>28071</v>
      </c>
      <c r="C6049" t="s">
        <v>42</v>
      </c>
      <c r="D6049" t="s">
        <v>28092</v>
      </c>
      <c r="E6049" t="e" cm="1">
        <f t="array" ref="E6049">- ALUMINIUM HYDROXIDE GEL</f>
        <v>#NAME?</v>
      </c>
      <c r="F6049" t="s">
        <v>28093</v>
      </c>
      <c r="G6049" t="s">
        <v>26573</v>
      </c>
      <c r="H6049" t="s">
        <v>28094</v>
      </c>
      <c r="I6049" t="s">
        <v>26575</v>
      </c>
      <c r="J6049" t="s">
        <v>2083</v>
      </c>
      <c r="K6049" t="s">
        <v>26577</v>
      </c>
      <c r="L6049" t="s">
        <v>26578</v>
      </c>
      <c r="M6049" t="s">
        <v>340</v>
      </c>
      <c r="N6049" t="s">
        <v>15939</v>
      </c>
      <c r="O6049" t="s">
        <v>26579</v>
      </c>
      <c r="P6049" t="s">
        <v>26580</v>
      </c>
      <c r="Q6049" t="s">
        <v>28075</v>
      </c>
      <c r="R6049">
        <v>17</v>
      </c>
      <c r="S6049">
        <v>32</v>
      </c>
    </row>
    <row r="6050" spans="1:19" x14ac:dyDescent="0.35">
      <c r="A6050">
        <v>3122</v>
      </c>
      <c r="B6050" t="s">
        <v>28071</v>
      </c>
      <c r="C6050" t="s">
        <v>42</v>
      </c>
      <c r="D6050" t="s">
        <v>28092</v>
      </c>
      <c r="E6050" t="e" cm="1">
        <f t="array" ref="E6050">- ALUMINIUM HYDROXIDE GEL</f>
        <v>#NAME?</v>
      </c>
      <c r="F6050" t="s">
        <v>28093</v>
      </c>
      <c r="G6050" t="s">
        <v>26573</v>
      </c>
      <c r="H6050" t="s">
        <v>28094</v>
      </c>
      <c r="I6050" t="s">
        <v>26575</v>
      </c>
      <c r="J6050" t="s">
        <v>2083</v>
      </c>
      <c r="K6050" t="s">
        <v>26577</v>
      </c>
      <c r="L6050" t="s">
        <v>26578</v>
      </c>
      <c r="M6050" t="s">
        <v>340</v>
      </c>
      <c r="N6050" t="s">
        <v>15939</v>
      </c>
      <c r="O6050" t="s">
        <v>26579</v>
      </c>
      <c r="P6050" t="s">
        <v>26580</v>
      </c>
      <c r="Q6050" t="s">
        <v>28075</v>
      </c>
      <c r="R6050">
        <v>17</v>
      </c>
      <c r="S6050">
        <v>32</v>
      </c>
    </row>
    <row r="6051" spans="1:19" x14ac:dyDescent="0.35">
      <c r="A6051">
        <v>1011</v>
      </c>
      <c r="B6051" t="s">
        <v>16019</v>
      </c>
      <c r="C6051" t="s">
        <v>42</v>
      </c>
      <c r="D6051" t="s">
        <v>16020</v>
      </c>
      <c r="E6051" t="e" cm="1">
        <f t="array" ref="E6051">- DIPHENHYDRAMINE HYDROCHLORIDE. PHENYLEPHRINE HYDROCHLORIDE. AMMONIUM CHLORIDE. DEXTROMETHORPHAN HYDROBROMIDE</f>
        <v>#NAME?</v>
      </c>
      <c r="F6051" s="1">
        <v>15000</v>
      </c>
      <c r="G6051" t="s">
        <v>16021</v>
      </c>
      <c r="H6051" t="s">
        <v>16022</v>
      </c>
      <c r="I6051" t="s">
        <v>16023</v>
      </c>
      <c r="J6051" t="s">
        <v>334</v>
      </c>
      <c r="K6051" t="s">
        <v>16024</v>
      </c>
      <c r="L6051" t="s">
        <v>16025</v>
      </c>
      <c r="M6051" t="s">
        <v>271</v>
      </c>
      <c r="N6051" t="s">
        <v>28095</v>
      </c>
      <c r="O6051" t="s">
        <v>10341</v>
      </c>
      <c r="P6051" t="s">
        <v>16026</v>
      </c>
      <c r="Q6051" t="s">
        <v>28096</v>
      </c>
      <c r="R6051">
        <v>17</v>
      </c>
      <c r="S6051">
        <v>32</v>
      </c>
    </row>
    <row r="6052" spans="1:19" x14ac:dyDescent="0.35">
      <c r="A6052">
        <v>8766</v>
      </c>
      <c r="B6052" t="s">
        <v>2388</v>
      </c>
      <c r="C6052" t="s">
        <v>42</v>
      </c>
      <c r="D6052" t="s">
        <v>28097</v>
      </c>
      <c r="E6052" t="e" cm="1">
        <f t="array" ref="E6052">- PIOGLITAZONE HYDROCHLORIDE</f>
        <v>#NAME?</v>
      </c>
      <c r="F6052" t="s">
        <v>28098</v>
      </c>
      <c r="G6052" t="s">
        <v>16042</v>
      </c>
      <c r="H6052" t="s">
        <v>1322</v>
      </c>
      <c r="I6052" t="s">
        <v>28099</v>
      </c>
      <c r="J6052" t="s">
        <v>16044</v>
      </c>
      <c r="L6052" t="s">
        <v>16045</v>
      </c>
      <c r="M6052" t="s">
        <v>46</v>
      </c>
      <c r="N6052" t="s">
        <v>2389</v>
      </c>
      <c r="O6052" t="s">
        <v>28100</v>
      </c>
      <c r="P6052" t="s">
        <v>28101</v>
      </c>
      <c r="Q6052" t="s">
        <v>28102</v>
      </c>
      <c r="R6052">
        <v>17</v>
      </c>
      <c r="S6052">
        <v>32</v>
      </c>
    </row>
    <row r="6053" spans="1:19" x14ac:dyDescent="0.35">
      <c r="A6053">
        <v>10010</v>
      </c>
      <c r="B6053" t="s">
        <v>28076</v>
      </c>
      <c r="C6053" t="s">
        <v>42</v>
      </c>
      <c r="D6053" t="s">
        <v>28077</v>
      </c>
      <c r="E6053" t="e" cm="1">
        <f t="array" ref="E6053">- CILOSTAZOL</f>
        <v>#NAME?</v>
      </c>
      <c r="F6053" t="s">
        <v>28078</v>
      </c>
      <c r="G6053" t="s">
        <v>60</v>
      </c>
      <c r="H6053" t="s">
        <v>27966</v>
      </c>
      <c r="I6053" t="s">
        <v>26009</v>
      </c>
      <c r="J6053" t="s">
        <v>28079</v>
      </c>
      <c r="K6053" t="s">
        <v>28080</v>
      </c>
      <c r="L6053" t="s">
        <v>28081</v>
      </c>
      <c r="M6053" t="s">
        <v>46</v>
      </c>
      <c r="N6053" t="s">
        <v>20904</v>
      </c>
      <c r="O6053" t="s">
        <v>26012</v>
      </c>
      <c r="P6053" t="s">
        <v>27968</v>
      </c>
      <c r="Q6053" t="s">
        <v>27969</v>
      </c>
      <c r="R6053">
        <v>17</v>
      </c>
      <c r="S6053">
        <v>32</v>
      </c>
    </row>
    <row r="6054" spans="1:19" x14ac:dyDescent="0.35">
      <c r="A6054">
        <v>463</v>
      </c>
      <c r="B6054" t="s">
        <v>24992</v>
      </c>
      <c r="C6054" t="s">
        <v>42</v>
      </c>
      <c r="D6054" t="s">
        <v>24993</v>
      </c>
      <c r="E6054" t="e" cm="1">
        <f t="array" ref="E6054">- SALBUTAMOL SULFATE. GUAIFENESIN</f>
        <v>#NAME?</v>
      </c>
      <c r="F6054" t="s">
        <v>24994</v>
      </c>
      <c r="G6054" t="s">
        <v>24995</v>
      </c>
      <c r="H6054" t="s">
        <v>24996</v>
      </c>
      <c r="I6054" t="s">
        <v>24997</v>
      </c>
      <c r="J6054" t="s">
        <v>374</v>
      </c>
      <c r="K6054" t="s">
        <v>24998</v>
      </c>
      <c r="L6054" t="s">
        <v>24999</v>
      </c>
      <c r="M6054" t="s">
        <v>271</v>
      </c>
      <c r="N6054" t="s">
        <v>18947</v>
      </c>
      <c r="O6054" t="s">
        <v>25000</v>
      </c>
      <c r="P6054" t="s">
        <v>25001</v>
      </c>
      <c r="Q6054" t="s">
        <v>28103</v>
      </c>
      <c r="R6054">
        <v>17</v>
      </c>
      <c r="S6054">
        <v>32</v>
      </c>
    </row>
    <row r="6055" spans="1:19" x14ac:dyDescent="0.35">
      <c r="A6055">
        <v>5131</v>
      </c>
      <c r="B6055" t="s">
        <v>28104</v>
      </c>
      <c r="C6055" t="s">
        <v>42</v>
      </c>
      <c r="D6055" t="s">
        <v>28105</v>
      </c>
      <c r="E6055" t="e" cm="1">
        <f t="array" ref="E6055">- HYDROCORTISONE ACETATE</f>
        <v>#NAME?</v>
      </c>
      <c r="F6055" t="s">
        <v>28106</v>
      </c>
      <c r="G6055" t="s">
        <v>11853</v>
      </c>
      <c r="H6055" t="s">
        <v>28107</v>
      </c>
      <c r="I6055" t="s">
        <v>28108</v>
      </c>
      <c r="J6055" t="s">
        <v>18615</v>
      </c>
      <c r="K6055" t="s">
        <v>28109</v>
      </c>
      <c r="L6055" t="s">
        <v>28110</v>
      </c>
      <c r="M6055" t="s">
        <v>1289</v>
      </c>
      <c r="N6055" t="s">
        <v>7168</v>
      </c>
      <c r="O6055" t="s">
        <v>28111</v>
      </c>
      <c r="P6055" t="s">
        <v>28112</v>
      </c>
      <c r="Q6055" t="s">
        <v>28113</v>
      </c>
      <c r="R6055">
        <v>17</v>
      </c>
      <c r="S6055">
        <v>32</v>
      </c>
    </row>
    <row r="6056" spans="1:19" x14ac:dyDescent="0.35">
      <c r="A6056">
        <v>5130</v>
      </c>
      <c r="B6056" t="s">
        <v>28104</v>
      </c>
      <c r="C6056" t="s">
        <v>42</v>
      </c>
      <c r="D6056" t="s">
        <v>28105</v>
      </c>
      <c r="E6056" t="e" cm="1">
        <f t="array" ref="E6056">- HYDROCORTISONE ACETATE</f>
        <v>#NAME?</v>
      </c>
      <c r="F6056" t="s">
        <v>28106</v>
      </c>
      <c r="G6056" t="s">
        <v>11853</v>
      </c>
      <c r="H6056" t="s">
        <v>28107</v>
      </c>
      <c r="I6056" t="s">
        <v>28108</v>
      </c>
      <c r="J6056" t="s">
        <v>18615</v>
      </c>
      <c r="K6056" t="s">
        <v>28109</v>
      </c>
      <c r="L6056" t="s">
        <v>28110</v>
      </c>
      <c r="M6056" t="s">
        <v>1289</v>
      </c>
      <c r="N6056" t="s">
        <v>7168</v>
      </c>
      <c r="O6056" t="s">
        <v>28111</v>
      </c>
      <c r="P6056" t="s">
        <v>28112</v>
      </c>
      <c r="Q6056" t="s">
        <v>28113</v>
      </c>
      <c r="R6056">
        <v>17</v>
      </c>
      <c r="S6056">
        <v>32</v>
      </c>
    </row>
    <row r="6057" spans="1:19" x14ac:dyDescent="0.35">
      <c r="A6057">
        <v>8867</v>
      </c>
      <c r="B6057" t="s">
        <v>90</v>
      </c>
      <c r="C6057" t="s">
        <v>20</v>
      </c>
      <c r="D6057" t="s">
        <v>28114</v>
      </c>
      <c r="E6057" t="s">
        <v>92</v>
      </c>
      <c r="F6057" t="s">
        <v>28115</v>
      </c>
      <c r="H6057" t="s">
        <v>28116</v>
      </c>
      <c r="I6057" t="s">
        <v>28117</v>
      </c>
      <c r="J6057" t="s">
        <v>28118</v>
      </c>
      <c r="K6057" t="s">
        <v>8889</v>
      </c>
      <c r="M6057" t="s">
        <v>63</v>
      </c>
      <c r="N6057" t="s">
        <v>95</v>
      </c>
      <c r="O6057" t="s">
        <v>28119</v>
      </c>
      <c r="P6057" t="s">
        <v>28120</v>
      </c>
      <c r="Q6057" t="s">
        <v>28121</v>
      </c>
      <c r="R6057">
        <v>17</v>
      </c>
      <c r="S6057">
        <v>32</v>
      </c>
    </row>
    <row r="6058" spans="1:19" x14ac:dyDescent="0.35">
      <c r="A6058">
        <v>5128</v>
      </c>
      <c r="B6058" t="s">
        <v>28122</v>
      </c>
      <c r="C6058" t="s">
        <v>42</v>
      </c>
      <c r="D6058" t="s">
        <v>28123</v>
      </c>
      <c r="E6058" t="e" cm="1">
        <f t="array" ref="E6058">- MOMETASONE FUROATE</f>
        <v>#NAME?</v>
      </c>
      <c r="F6058" t="s">
        <v>28124</v>
      </c>
      <c r="G6058" t="s">
        <v>28125</v>
      </c>
      <c r="H6058" t="s">
        <v>28126</v>
      </c>
      <c r="I6058" t="s">
        <v>28127</v>
      </c>
      <c r="J6058" t="s">
        <v>7213</v>
      </c>
      <c r="K6058" t="s">
        <v>28128</v>
      </c>
      <c r="L6058" t="s">
        <v>28129</v>
      </c>
      <c r="M6058" t="s">
        <v>1289</v>
      </c>
      <c r="N6058" t="s">
        <v>13785</v>
      </c>
      <c r="O6058" t="s">
        <v>28130</v>
      </c>
      <c r="P6058" t="s">
        <v>28131</v>
      </c>
      <c r="Q6058" t="s">
        <v>28132</v>
      </c>
      <c r="R6058">
        <v>17</v>
      </c>
      <c r="S6058">
        <v>32</v>
      </c>
    </row>
    <row r="6059" spans="1:19" x14ac:dyDescent="0.35">
      <c r="A6059">
        <v>7465</v>
      </c>
      <c r="B6059" t="s">
        <v>27944</v>
      </c>
      <c r="C6059" t="s">
        <v>20</v>
      </c>
      <c r="D6059" t="s">
        <v>28133</v>
      </c>
      <c r="E6059" t="s">
        <v>27946</v>
      </c>
      <c r="F6059" t="s">
        <v>28134</v>
      </c>
      <c r="I6059" t="s">
        <v>27949</v>
      </c>
      <c r="J6059" t="s">
        <v>7953</v>
      </c>
      <c r="M6059" t="s">
        <v>46</v>
      </c>
      <c r="N6059" t="s">
        <v>27950</v>
      </c>
      <c r="O6059" t="s">
        <v>27951</v>
      </c>
      <c r="P6059" t="s">
        <v>27952</v>
      </c>
      <c r="Q6059" t="s">
        <v>27953</v>
      </c>
      <c r="R6059">
        <v>17</v>
      </c>
      <c r="S6059">
        <v>32</v>
      </c>
    </row>
    <row r="6060" spans="1:19" x14ac:dyDescent="0.35">
      <c r="A6060">
        <v>813</v>
      </c>
      <c r="B6060" t="s">
        <v>27865</v>
      </c>
      <c r="C6060" t="s">
        <v>42</v>
      </c>
      <c r="D6060" t="s">
        <v>27866</v>
      </c>
      <c r="E6060" t="e" cm="1">
        <f t="array" ref="E6060">- DEXCHLORPHENIRAMINE MALEATE</f>
        <v>#NAME?</v>
      </c>
      <c r="F6060" t="s">
        <v>23473</v>
      </c>
      <c r="G6060" t="s">
        <v>5746</v>
      </c>
      <c r="H6060" t="s">
        <v>27867</v>
      </c>
      <c r="I6060" t="s">
        <v>27868</v>
      </c>
      <c r="J6060" t="s">
        <v>17253</v>
      </c>
      <c r="K6060" t="s">
        <v>27869</v>
      </c>
      <c r="L6060" t="s">
        <v>27870</v>
      </c>
      <c r="M6060" t="s">
        <v>46</v>
      </c>
      <c r="N6060" t="s">
        <v>1530</v>
      </c>
      <c r="O6060" t="s">
        <v>27871</v>
      </c>
      <c r="P6060" t="s">
        <v>27872</v>
      </c>
      <c r="Q6060" t="s">
        <v>27873</v>
      </c>
      <c r="R6060">
        <v>17</v>
      </c>
      <c r="S6060">
        <v>32</v>
      </c>
    </row>
    <row r="6061" spans="1:19" x14ac:dyDescent="0.35">
      <c r="A6061">
        <v>5213</v>
      </c>
      <c r="B6061" t="s">
        <v>28022</v>
      </c>
      <c r="C6061" t="s">
        <v>42</v>
      </c>
      <c r="D6061" t="s">
        <v>28023</v>
      </c>
      <c r="E6061" t="e" cm="1">
        <f t="array" ref="E6061">- NEOMYCIN SULFATE. BACITRACIN</f>
        <v>#NAME?</v>
      </c>
      <c r="F6061" t="s">
        <v>28024</v>
      </c>
      <c r="G6061" t="s">
        <v>28025</v>
      </c>
      <c r="H6061" t="s">
        <v>28026</v>
      </c>
      <c r="I6061" t="s">
        <v>28027</v>
      </c>
      <c r="J6061" t="s">
        <v>2040</v>
      </c>
      <c r="K6061" t="s">
        <v>2726</v>
      </c>
      <c r="L6061" t="s">
        <v>28028</v>
      </c>
      <c r="M6061" t="s">
        <v>1029</v>
      </c>
      <c r="N6061" t="s">
        <v>28029</v>
      </c>
      <c r="O6061" t="s">
        <v>28030</v>
      </c>
      <c r="P6061" t="s">
        <v>12498</v>
      </c>
      <c r="Q6061" t="s">
        <v>28031</v>
      </c>
      <c r="R6061">
        <v>17</v>
      </c>
      <c r="S6061">
        <v>32</v>
      </c>
    </row>
    <row r="6062" spans="1:19" x14ac:dyDescent="0.35">
      <c r="A6062">
        <v>1905</v>
      </c>
      <c r="B6062" t="s">
        <v>27436</v>
      </c>
      <c r="C6062" t="s">
        <v>20</v>
      </c>
      <c r="D6062" t="s">
        <v>27437</v>
      </c>
      <c r="E6062" t="s">
        <v>27418</v>
      </c>
      <c r="F6062" t="s">
        <v>27438</v>
      </c>
      <c r="G6062" t="s">
        <v>27439</v>
      </c>
      <c r="H6062" t="s">
        <v>27440</v>
      </c>
      <c r="I6062" t="s">
        <v>27441</v>
      </c>
      <c r="J6062" t="s">
        <v>11120</v>
      </c>
      <c r="K6062" t="s">
        <v>27423</v>
      </c>
      <c r="L6062" t="s">
        <v>27442</v>
      </c>
      <c r="M6062" t="s">
        <v>63</v>
      </c>
      <c r="N6062" t="s">
        <v>27425</v>
      </c>
      <c r="O6062" t="s">
        <v>27443</v>
      </c>
      <c r="P6062" t="s">
        <v>27425</v>
      </c>
      <c r="Q6062" t="s">
        <v>27444</v>
      </c>
      <c r="R6062">
        <v>17</v>
      </c>
      <c r="S6062">
        <v>32</v>
      </c>
    </row>
    <row r="6063" spans="1:19" x14ac:dyDescent="0.35">
      <c r="A6063">
        <v>1064</v>
      </c>
      <c r="B6063" t="s">
        <v>28135</v>
      </c>
      <c r="C6063" t="s">
        <v>42</v>
      </c>
      <c r="D6063" t="s">
        <v>28136</v>
      </c>
      <c r="E6063" t="e" cm="1">
        <f t="array" ref="E6063">- CHLORPHENAMINE MALEATE</f>
        <v>#NAME?</v>
      </c>
      <c r="F6063" s="1">
        <v>8900</v>
      </c>
      <c r="G6063" t="s">
        <v>2241</v>
      </c>
      <c r="H6063" t="s">
        <v>14671</v>
      </c>
      <c r="I6063" t="s">
        <v>28137</v>
      </c>
      <c r="J6063" t="s">
        <v>28138</v>
      </c>
      <c r="K6063" t="s">
        <v>28139</v>
      </c>
      <c r="L6063" t="s">
        <v>28140</v>
      </c>
      <c r="M6063" t="s">
        <v>291</v>
      </c>
      <c r="N6063" t="s">
        <v>1354</v>
      </c>
      <c r="O6063" t="s">
        <v>28141</v>
      </c>
      <c r="P6063" t="s">
        <v>28142</v>
      </c>
      <c r="Q6063" t="s">
        <v>28143</v>
      </c>
      <c r="R6063">
        <v>17</v>
      </c>
      <c r="S6063">
        <v>32</v>
      </c>
    </row>
    <row r="6064" spans="1:19" x14ac:dyDescent="0.35">
      <c r="A6064">
        <v>4590</v>
      </c>
      <c r="B6064" t="s">
        <v>28144</v>
      </c>
      <c r="C6064" t="s">
        <v>42</v>
      </c>
      <c r="D6064" t="s">
        <v>28145</v>
      </c>
      <c r="E6064" t="e" cm="1">
        <f t="array" ref="E6064">- ANTAZOLINE HYDROCHLORIDE</f>
        <v>#NAME?</v>
      </c>
      <c r="F6064" s="1">
        <v>22300</v>
      </c>
      <c r="G6064" t="s">
        <v>28146</v>
      </c>
      <c r="H6064" t="s">
        <v>28147</v>
      </c>
      <c r="I6064" t="s">
        <v>28148</v>
      </c>
      <c r="J6064" t="s">
        <v>12103</v>
      </c>
      <c r="K6064" t="s">
        <v>28149</v>
      </c>
      <c r="L6064" t="s">
        <v>12469</v>
      </c>
      <c r="M6064" t="s">
        <v>824</v>
      </c>
      <c r="N6064" t="s">
        <v>28150</v>
      </c>
      <c r="O6064" t="s">
        <v>28151</v>
      </c>
      <c r="P6064" t="s">
        <v>28152</v>
      </c>
      <c r="Q6064" t="s">
        <v>28153</v>
      </c>
      <c r="R6064">
        <v>17</v>
      </c>
      <c r="S6064">
        <v>32</v>
      </c>
    </row>
    <row r="6065" spans="1:19" x14ac:dyDescent="0.35">
      <c r="A6065">
        <v>8282</v>
      </c>
      <c r="B6065" t="s">
        <v>551</v>
      </c>
      <c r="C6065" t="s">
        <v>42</v>
      </c>
      <c r="D6065" t="s">
        <v>28154</v>
      </c>
      <c r="E6065" t="e" cm="1">
        <f t="array" ref="E6065">- POVIDONE-IODINE</f>
        <v>#NAME?</v>
      </c>
      <c r="F6065" s="1">
        <v>12800</v>
      </c>
      <c r="G6065" t="s">
        <v>20050</v>
      </c>
      <c r="H6065" t="s">
        <v>1322</v>
      </c>
      <c r="I6065" t="s">
        <v>28155</v>
      </c>
      <c r="J6065" t="s">
        <v>20052</v>
      </c>
      <c r="L6065" t="s">
        <v>20053</v>
      </c>
      <c r="M6065" t="s">
        <v>554</v>
      </c>
      <c r="N6065" t="s">
        <v>555</v>
      </c>
      <c r="O6065" t="s">
        <v>28156</v>
      </c>
      <c r="P6065" t="s">
        <v>28157</v>
      </c>
      <c r="Q6065" t="s">
        <v>28158</v>
      </c>
      <c r="R6065">
        <v>17</v>
      </c>
      <c r="S6065">
        <v>32</v>
      </c>
    </row>
    <row r="6066" spans="1:19" x14ac:dyDescent="0.35">
      <c r="A6066">
        <v>2579</v>
      </c>
      <c r="B6066" t="s">
        <v>28159</v>
      </c>
      <c r="C6066" t="s">
        <v>42</v>
      </c>
      <c r="D6066" t="s">
        <v>28160</v>
      </c>
      <c r="E6066" t="e" cm="1">
        <f t="array" ref="E6066">- MELOXICAM</f>
        <v>#NAME?</v>
      </c>
      <c r="F6066" t="s">
        <v>28161</v>
      </c>
      <c r="G6066" t="s">
        <v>28162</v>
      </c>
      <c r="H6066" t="s">
        <v>28163</v>
      </c>
      <c r="I6066" t="s">
        <v>28164</v>
      </c>
      <c r="J6066" t="s">
        <v>9486</v>
      </c>
      <c r="K6066" t="s">
        <v>28165</v>
      </c>
      <c r="L6066" t="s">
        <v>28166</v>
      </c>
      <c r="M6066" t="s">
        <v>46</v>
      </c>
      <c r="N6066" t="s">
        <v>412</v>
      </c>
      <c r="O6066" t="s">
        <v>28167</v>
      </c>
      <c r="P6066" t="s">
        <v>28168</v>
      </c>
      <c r="Q6066" t="s">
        <v>28169</v>
      </c>
      <c r="R6066">
        <v>17</v>
      </c>
      <c r="S6066">
        <v>32</v>
      </c>
    </row>
    <row r="6067" spans="1:19" x14ac:dyDescent="0.35">
      <c r="A6067">
        <v>8287</v>
      </c>
      <c r="B6067" t="s">
        <v>551</v>
      </c>
      <c r="C6067" t="s">
        <v>42</v>
      </c>
      <c r="D6067" t="s">
        <v>28170</v>
      </c>
      <c r="E6067" t="e" cm="1">
        <f t="array" ref="E6067">- POVIDONE-IODINE</f>
        <v>#NAME?</v>
      </c>
      <c r="F6067" t="s">
        <v>28171</v>
      </c>
      <c r="G6067" t="s">
        <v>20050</v>
      </c>
      <c r="H6067" t="s">
        <v>1322</v>
      </c>
      <c r="I6067" t="s">
        <v>28155</v>
      </c>
      <c r="J6067" t="s">
        <v>20052</v>
      </c>
      <c r="L6067" t="s">
        <v>20053</v>
      </c>
      <c r="M6067" t="s">
        <v>554</v>
      </c>
      <c r="N6067" t="s">
        <v>555</v>
      </c>
      <c r="O6067" t="s">
        <v>28156</v>
      </c>
      <c r="P6067" t="s">
        <v>28157</v>
      </c>
      <c r="Q6067" t="s">
        <v>28158</v>
      </c>
      <c r="R6067">
        <v>17</v>
      </c>
      <c r="S6067">
        <v>32</v>
      </c>
    </row>
    <row r="6068" spans="1:19" x14ac:dyDescent="0.35">
      <c r="A6068">
        <v>2278</v>
      </c>
      <c r="B6068" t="s">
        <v>28172</v>
      </c>
      <c r="C6068" t="s">
        <v>42</v>
      </c>
      <c r="D6068" t="s">
        <v>28173</v>
      </c>
      <c r="E6068" t="e" cm="1">
        <f t="array" ref="E6068">- MELOXICAM</f>
        <v>#NAME?</v>
      </c>
      <c r="F6068" t="s">
        <v>28174</v>
      </c>
      <c r="G6068" t="s">
        <v>6135</v>
      </c>
      <c r="H6068" t="s">
        <v>28175</v>
      </c>
      <c r="I6068" t="s">
        <v>28176</v>
      </c>
      <c r="J6068" t="s">
        <v>28177</v>
      </c>
      <c r="K6068" t="s">
        <v>20777</v>
      </c>
      <c r="L6068" t="s">
        <v>28178</v>
      </c>
      <c r="M6068" t="s">
        <v>291</v>
      </c>
      <c r="N6068" t="s">
        <v>412</v>
      </c>
      <c r="O6068" t="s">
        <v>28179</v>
      </c>
      <c r="P6068" t="s">
        <v>28180</v>
      </c>
      <c r="Q6068" t="s">
        <v>28181</v>
      </c>
      <c r="R6068">
        <v>17</v>
      </c>
      <c r="S6068">
        <v>32</v>
      </c>
    </row>
    <row r="6069" spans="1:19" x14ac:dyDescent="0.35">
      <c r="A6069">
        <v>7157</v>
      </c>
      <c r="B6069" t="s">
        <v>28182</v>
      </c>
      <c r="C6069" t="s">
        <v>42</v>
      </c>
      <c r="D6069" t="s">
        <v>28183</v>
      </c>
      <c r="E6069" t="e" cm="1">
        <f t="array" ref="E6069">- CHLORZOXAZONE</f>
        <v>#NAME?</v>
      </c>
      <c r="F6069" t="s">
        <v>28184</v>
      </c>
      <c r="G6069" t="s">
        <v>2241</v>
      </c>
      <c r="H6069" t="s">
        <v>28185</v>
      </c>
      <c r="I6069" t="s">
        <v>28186</v>
      </c>
      <c r="J6069" t="s">
        <v>381</v>
      </c>
      <c r="L6069" t="s">
        <v>28187</v>
      </c>
      <c r="M6069" t="s">
        <v>46</v>
      </c>
      <c r="N6069" t="s">
        <v>28188</v>
      </c>
      <c r="O6069" t="s">
        <v>28189</v>
      </c>
      <c r="P6069" t="s">
        <v>28190</v>
      </c>
      <c r="Q6069" t="s">
        <v>28191</v>
      </c>
      <c r="R6069">
        <v>17</v>
      </c>
      <c r="S6069">
        <v>32</v>
      </c>
    </row>
    <row r="6070" spans="1:19" x14ac:dyDescent="0.35">
      <c r="A6070">
        <v>7156</v>
      </c>
      <c r="B6070" t="s">
        <v>28182</v>
      </c>
      <c r="C6070" t="s">
        <v>42</v>
      </c>
      <c r="D6070" t="s">
        <v>28183</v>
      </c>
      <c r="E6070" t="e" cm="1">
        <f t="array" ref="E6070">- CHLORZOXAZONE</f>
        <v>#NAME?</v>
      </c>
      <c r="F6070" t="s">
        <v>28184</v>
      </c>
      <c r="G6070" t="s">
        <v>2241</v>
      </c>
      <c r="H6070" t="s">
        <v>28185</v>
      </c>
      <c r="I6070" t="s">
        <v>28186</v>
      </c>
      <c r="J6070" t="s">
        <v>381</v>
      </c>
      <c r="L6070" t="s">
        <v>28187</v>
      </c>
      <c r="M6070" t="s">
        <v>46</v>
      </c>
      <c r="N6070" t="s">
        <v>28188</v>
      </c>
      <c r="O6070" t="s">
        <v>28189</v>
      </c>
      <c r="P6070" t="s">
        <v>28190</v>
      </c>
      <c r="Q6070" t="s">
        <v>28191</v>
      </c>
      <c r="R6070">
        <v>17</v>
      </c>
      <c r="S6070">
        <v>32</v>
      </c>
    </row>
    <row r="6071" spans="1:19" x14ac:dyDescent="0.35">
      <c r="A6071">
        <v>2289</v>
      </c>
      <c r="B6071" t="s">
        <v>28192</v>
      </c>
      <c r="C6071" t="s">
        <v>42</v>
      </c>
      <c r="D6071" t="s">
        <v>28193</v>
      </c>
      <c r="E6071" t="e" cm="1">
        <f t="array" ref="E6071">- DICLOFENAC POTASSIUM</f>
        <v>#NAME?</v>
      </c>
      <c r="F6071" t="s">
        <v>28194</v>
      </c>
      <c r="G6071" t="s">
        <v>2241</v>
      </c>
      <c r="H6071" t="s">
        <v>2596</v>
      </c>
      <c r="I6071" t="s">
        <v>28195</v>
      </c>
      <c r="J6071" t="s">
        <v>2100</v>
      </c>
      <c r="K6071" t="s">
        <v>28196</v>
      </c>
      <c r="L6071" t="s">
        <v>21258</v>
      </c>
      <c r="M6071" t="s">
        <v>46</v>
      </c>
      <c r="N6071" t="s">
        <v>2637</v>
      </c>
      <c r="O6071" t="s">
        <v>28197</v>
      </c>
      <c r="P6071" t="s">
        <v>28198</v>
      </c>
      <c r="Q6071" t="s">
        <v>28199</v>
      </c>
      <c r="R6071">
        <v>17</v>
      </c>
      <c r="S6071">
        <v>32</v>
      </c>
    </row>
    <row r="6072" spans="1:19" x14ac:dyDescent="0.35">
      <c r="A6072">
        <v>2290</v>
      </c>
      <c r="B6072" t="s">
        <v>28192</v>
      </c>
      <c r="C6072" t="s">
        <v>42</v>
      </c>
      <c r="D6072" t="s">
        <v>28193</v>
      </c>
      <c r="E6072" t="e" cm="1">
        <f t="array" ref="E6072">- DICLOFENAC POTASSIUM</f>
        <v>#NAME?</v>
      </c>
      <c r="F6072" t="s">
        <v>28194</v>
      </c>
      <c r="G6072" t="s">
        <v>2241</v>
      </c>
      <c r="H6072" t="s">
        <v>2596</v>
      </c>
      <c r="I6072" t="s">
        <v>28195</v>
      </c>
      <c r="J6072" t="s">
        <v>2100</v>
      </c>
      <c r="K6072" t="s">
        <v>28196</v>
      </c>
      <c r="L6072" t="s">
        <v>21258</v>
      </c>
      <c r="M6072" t="s">
        <v>46</v>
      </c>
      <c r="N6072" t="s">
        <v>2637</v>
      </c>
      <c r="O6072" t="s">
        <v>28197</v>
      </c>
      <c r="P6072" t="s">
        <v>28198</v>
      </c>
      <c r="Q6072" t="s">
        <v>28199</v>
      </c>
      <c r="R6072">
        <v>17</v>
      </c>
      <c r="S6072">
        <v>32</v>
      </c>
    </row>
    <row r="6073" spans="1:19" x14ac:dyDescent="0.35">
      <c r="A6073">
        <v>7150</v>
      </c>
      <c r="B6073" t="s">
        <v>28200</v>
      </c>
      <c r="C6073" t="s">
        <v>850</v>
      </c>
      <c r="D6073" t="s">
        <v>28201</v>
      </c>
      <c r="E6073" t="e" cm="1">
        <f t="array" ref="E6073">- Capsaicin</f>
        <v>#NAME?</v>
      </c>
      <c r="F6073" t="s">
        <v>28202</v>
      </c>
      <c r="G6073" t="s">
        <v>28203</v>
      </c>
      <c r="H6073" t="s">
        <v>1322</v>
      </c>
      <c r="I6073" t="s">
        <v>28204</v>
      </c>
      <c r="J6073" t="s">
        <v>28205</v>
      </c>
      <c r="N6073" t="s">
        <v>16147</v>
      </c>
      <c r="O6073" t="s">
        <v>28206</v>
      </c>
      <c r="P6073" t="s">
        <v>28207</v>
      </c>
      <c r="Q6073" t="s">
        <v>28208</v>
      </c>
      <c r="R6073">
        <v>17</v>
      </c>
      <c r="S6073">
        <v>32</v>
      </c>
    </row>
    <row r="6074" spans="1:19" x14ac:dyDescent="0.35">
      <c r="A6074">
        <v>7146</v>
      </c>
      <c r="B6074" t="s">
        <v>28209</v>
      </c>
      <c r="C6074" t="s">
        <v>20</v>
      </c>
      <c r="D6074" t="s">
        <v>28210</v>
      </c>
      <c r="E6074" t="s">
        <v>28211</v>
      </c>
      <c r="F6074" t="s">
        <v>28212</v>
      </c>
      <c r="I6074" t="s">
        <v>28213</v>
      </c>
      <c r="J6074" t="s">
        <v>28214</v>
      </c>
      <c r="M6074" t="s">
        <v>63</v>
      </c>
      <c r="N6074" t="s">
        <v>28215</v>
      </c>
      <c r="O6074" t="s">
        <v>28216</v>
      </c>
      <c r="P6074" t="s">
        <v>28215</v>
      </c>
      <c r="Q6074" t="s">
        <v>28217</v>
      </c>
      <c r="R6074">
        <v>17</v>
      </c>
      <c r="S6074">
        <v>32</v>
      </c>
    </row>
    <row r="6075" spans="1:19" x14ac:dyDescent="0.35">
      <c r="A6075">
        <v>2562</v>
      </c>
      <c r="B6075" t="s">
        <v>28218</v>
      </c>
      <c r="C6075" t="s">
        <v>42</v>
      </c>
      <c r="D6075" t="s">
        <v>28219</v>
      </c>
      <c r="E6075" t="e" cm="1">
        <f t="array" ref="E6075">- MELOXICAM</f>
        <v>#NAME?</v>
      </c>
      <c r="F6075" t="s">
        <v>28220</v>
      </c>
      <c r="G6075" t="s">
        <v>5301</v>
      </c>
      <c r="H6075" t="s">
        <v>28221</v>
      </c>
      <c r="I6075" t="s">
        <v>28222</v>
      </c>
      <c r="J6075" t="s">
        <v>28223</v>
      </c>
      <c r="K6075" t="s">
        <v>28224</v>
      </c>
      <c r="L6075" t="s">
        <v>28225</v>
      </c>
      <c r="M6075" t="s">
        <v>46</v>
      </c>
      <c r="N6075" t="s">
        <v>412</v>
      </c>
      <c r="O6075" t="s">
        <v>28226</v>
      </c>
      <c r="P6075" t="s">
        <v>28227</v>
      </c>
      <c r="Q6075" t="s">
        <v>28228</v>
      </c>
      <c r="R6075">
        <v>17</v>
      </c>
      <c r="S6075">
        <v>32</v>
      </c>
    </row>
    <row r="6076" spans="1:19" x14ac:dyDescent="0.35">
      <c r="A6076">
        <v>2561</v>
      </c>
      <c r="B6076" t="s">
        <v>28218</v>
      </c>
      <c r="C6076" t="s">
        <v>42</v>
      </c>
      <c r="D6076" t="s">
        <v>28219</v>
      </c>
      <c r="E6076" t="e" cm="1">
        <f t="array" ref="E6076">- MELOXICAM</f>
        <v>#NAME?</v>
      </c>
      <c r="F6076" t="s">
        <v>28220</v>
      </c>
      <c r="G6076" t="s">
        <v>5301</v>
      </c>
      <c r="H6076" t="s">
        <v>28221</v>
      </c>
      <c r="I6076" t="s">
        <v>28222</v>
      </c>
      <c r="J6076" t="s">
        <v>28223</v>
      </c>
      <c r="K6076" t="s">
        <v>28224</v>
      </c>
      <c r="L6076" t="s">
        <v>28225</v>
      </c>
      <c r="M6076" t="s">
        <v>46</v>
      </c>
      <c r="N6076" t="s">
        <v>412</v>
      </c>
      <c r="O6076" t="s">
        <v>28226</v>
      </c>
      <c r="P6076" t="s">
        <v>28227</v>
      </c>
      <c r="Q6076" t="s">
        <v>28228</v>
      </c>
      <c r="R6076">
        <v>17</v>
      </c>
      <c r="S6076">
        <v>32</v>
      </c>
    </row>
    <row r="6077" spans="1:19" x14ac:dyDescent="0.35">
      <c r="A6077">
        <v>7138</v>
      </c>
      <c r="B6077" t="s">
        <v>28229</v>
      </c>
      <c r="C6077" t="s">
        <v>850</v>
      </c>
      <c r="D6077" t="s">
        <v>28230</v>
      </c>
      <c r="E6077" t="e" cm="1">
        <f t="array" ref="E6077">- Camphor</f>
        <v>#NAME?</v>
      </c>
      <c r="F6077" t="s">
        <v>28231</v>
      </c>
      <c r="G6077" t="s">
        <v>28232</v>
      </c>
      <c r="I6077" t="s">
        <v>28233</v>
      </c>
      <c r="J6077" t="s">
        <v>28234</v>
      </c>
      <c r="N6077" t="s">
        <v>853</v>
      </c>
      <c r="O6077" t="s">
        <v>28235</v>
      </c>
      <c r="P6077" t="s">
        <v>28236</v>
      </c>
      <c r="Q6077" t="s">
        <v>28237</v>
      </c>
      <c r="R6077">
        <v>17</v>
      </c>
      <c r="S6077">
        <v>32</v>
      </c>
    </row>
    <row r="6078" spans="1:19" x14ac:dyDescent="0.35">
      <c r="A6078">
        <v>2560</v>
      </c>
      <c r="B6078" t="s">
        <v>28238</v>
      </c>
      <c r="C6078" t="s">
        <v>42</v>
      </c>
      <c r="D6078" t="s">
        <v>28239</v>
      </c>
      <c r="E6078" t="e" cm="1">
        <f t="array" ref="E6078">- MELOXICAM</f>
        <v>#NAME?</v>
      </c>
      <c r="F6078" s="1">
        <v>171800</v>
      </c>
      <c r="G6078" t="s">
        <v>5301</v>
      </c>
      <c r="H6078" t="s">
        <v>28240</v>
      </c>
      <c r="I6078" t="s">
        <v>28222</v>
      </c>
      <c r="J6078" t="s">
        <v>28241</v>
      </c>
      <c r="L6078" t="s">
        <v>270</v>
      </c>
      <c r="M6078" t="s">
        <v>46</v>
      </c>
      <c r="N6078" t="s">
        <v>412</v>
      </c>
      <c r="O6078" t="s">
        <v>28226</v>
      </c>
      <c r="P6078" t="s">
        <v>28227</v>
      </c>
      <c r="Q6078" t="s">
        <v>28228</v>
      </c>
      <c r="R6078">
        <v>17</v>
      </c>
      <c r="S6078">
        <v>32</v>
      </c>
    </row>
    <row r="6079" spans="1:19" x14ac:dyDescent="0.35">
      <c r="A6079">
        <v>2559</v>
      </c>
      <c r="B6079" t="s">
        <v>28238</v>
      </c>
      <c r="C6079" t="s">
        <v>42</v>
      </c>
      <c r="D6079" t="s">
        <v>28239</v>
      </c>
      <c r="E6079" t="e" cm="1">
        <f t="array" ref="E6079">- MELOXICAM</f>
        <v>#NAME?</v>
      </c>
      <c r="F6079" s="1">
        <v>171800</v>
      </c>
      <c r="G6079" t="s">
        <v>5301</v>
      </c>
      <c r="H6079" t="s">
        <v>28240</v>
      </c>
      <c r="I6079" t="s">
        <v>28222</v>
      </c>
      <c r="J6079" t="s">
        <v>28241</v>
      </c>
      <c r="L6079" t="s">
        <v>270</v>
      </c>
      <c r="M6079" t="s">
        <v>46</v>
      </c>
      <c r="N6079" t="s">
        <v>412</v>
      </c>
      <c r="O6079" t="s">
        <v>28226</v>
      </c>
      <c r="P6079" t="s">
        <v>28227</v>
      </c>
      <c r="Q6079" t="s">
        <v>28228</v>
      </c>
      <c r="R6079">
        <v>17</v>
      </c>
      <c r="S6079">
        <v>32</v>
      </c>
    </row>
    <row r="6080" spans="1:19" x14ac:dyDescent="0.35">
      <c r="A6080">
        <v>2295</v>
      </c>
      <c r="B6080" t="s">
        <v>28242</v>
      </c>
      <c r="C6080" t="s">
        <v>42</v>
      </c>
      <c r="D6080" t="s">
        <v>28243</v>
      </c>
      <c r="E6080" t="e" cm="1">
        <f t="array" ref="E6080">- DICLOFENAC SODIUM</f>
        <v>#NAME?</v>
      </c>
      <c r="F6080" t="s">
        <v>28244</v>
      </c>
      <c r="G6080" t="s">
        <v>2241</v>
      </c>
      <c r="H6080" t="s">
        <v>2596</v>
      </c>
      <c r="I6080" t="s">
        <v>28195</v>
      </c>
      <c r="J6080" t="s">
        <v>28245</v>
      </c>
      <c r="K6080" t="s">
        <v>28246</v>
      </c>
      <c r="L6080" t="s">
        <v>28247</v>
      </c>
      <c r="M6080" t="s">
        <v>46</v>
      </c>
      <c r="N6080" t="s">
        <v>2597</v>
      </c>
      <c r="O6080" t="s">
        <v>28197</v>
      </c>
      <c r="P6080" t="s">
        <v>28248</v>
      </c>
      <c r="Q6080" t="s">
        <v>28249</v>
      </c>
      <c r="R6080">
        <v>17</v>
      </c>
      <c r="S6080">
        <v>32</v>
      </c>
    </row>
    <row r="6081" spans="1:19" x14ac:dyDescent="0.35">
      <c r="A6081">
        <v>3532</v>
      </c>
      <c r="B6081" t="s">
        <v>28250</v>
      </c>
      <c r="C6081" t="s">
        <v>42</v>
      </c>
      <c r="D6081" t="s">
        <v>28251</v>
      </c>
      <c r="E6081" t="e" cm="1">
        <f t="array" ref="E6081">- METOCLOPRAMIDE HYDROCHLORIDE MONOHYDRATE</f>
        <v>#NAME?</v>
      </c>
      <c r="F6081" t="s">
        <v>28252</v>
      </c>
      <c r="G6081" t="s">
        <v>28253</v>
      </c>
      <c r="H6081" t="s">
        <v>28254</v>
      </c>
      <c r="I6081" t="s">
        <v>26261</v>
      </c>
      <c r="J6081" t="s">
        <v>381</v>
      </c>
      <c r="K6081" t="s">
        <v>26262</v>
      </c>
      <c r="L6081" t="s">
        <v>28255</v>
      </c>
      <c r="M6081" t="s">
        <v>46</v>
      </c>
      <c r="N6081" t="s">
        <v>2774</v>
      </c>
      <c r="O6081" t="s">
        <v>26264</v>
      </c>
      <c r="P6081" t="s">
        <v>26265</v>
      </c>
      <c r="Q6081" t="s">
        <v>28256</v>
      </c>
      <c r="R6081">
        <v>17</v>
      </c>
      <c r="S6081">
        <v>32</v>
      </c>
    </row>
    <row r="6082" spans="1:19" x14ac:dyDescent="0.35">
      <c r="A6082">
        <v>1549</v>
      </c>
      <c r="B6082" t="s">
        <v>16834</v>
      </c>
      <c r="C6082" t="s">
        <v>42</v>
      </c>
      <c r="D6082" t="s">
        <v>16835</v>
      </c>
      <c r="E6082" t="e" cm="1">
        <f t="array" ref="E6082">- CHLORPHENAMINE MALEATE. PHENYLEPHRINE HYDROCHLORIDE. DEXTROMETHORPHAN HYDROBROMIDE. GUAIFENESIN</f>
        <v>#NAME?</v>
      </c>
      <c r="F6082" t="s">
        <v>16836</v>
      </c>
      <c r="H6082" t="s">
        <v>8084</v>
      </c>
      <c r="I6082" t="s">
        <v>16119</v>
      </c>
      <c r="J6082" t="s">
        <v>16837</v>
      </c>
      <c r="M6082" t="s">
        <v>46</v>
      </c>
      <c r="N6082" t="s">
        <v>28257</v>
      </c>
      <c r="O6082" t="s">
        <v>16121</v>
      </c>
      <c r="P6082" t="s">
        <v>16838</v>
      </c>
      <c r="Q6082" t="s">
        <v>28258</v>
      </c>
      <c r="R6082">
        <v>17</v>
      </c>
      <c r="S6082">
        <v>32</v>
      </c>
    </row>
    <row r="6083" spans="1:19" x14ac:dyDescent="0.35">
      <c r="A6083">
        <v>3342</v>
      </c>
      <c r="B6083" t="s">
        <v>28259</v>
      </c>
      <c r="C6083" t="s">
        <v>42</v>
      </c>
      <c r="D6083" t="s">
        <v>28260</v>
      </c>
      <c r="E6083" t="e" cm="1">
        <f t="array" ref="E6083">- CALCIUM CARBONATE</f>
        <v>#NAME?</v>
      </c>
      <c r="F6083" t="s">
        <v>6858</v>
      </c>
      <c r="G6083" t="s">
        <v>60</v>
      </c>
      <c r="H6083" t="s">
        <v>28261</v>
      </c>
      <c r="I6083" t="s">
        <v>28262</v>
      </c>
      <c r="J6083" t="s">
        <v>28263</v>
      </c>
      <c r="K6083" t="s">
        <v>28264</v>
      </c>
      <c r="L6083" t="s">
        <v>28265</v>
      </c>
      <c r="M6083" t="s">
        <v>46</v>
      </c>
      <c r="N6083" t="s">
        <v>14211</v>
      </c>
      <c r="O6083" t="s">
        <v>28266</v>
      </c>
      <c r="P6083" t="s">
        <v>28267</v>
      </c>
      <c r="Q6083" t="s">
        <v>28268</v>
      </c>
      <c r="R6083">
        <v>17</v>
      </c>
      <c r="S6083">
        <v>32</v>
      </c>
    </row>
    <row r="6084" spans="1:19" x14ac:dyDescent="0.35">
      <c r="A6084">
        <v>3354</v>
      </c>
      <c r="B6084" t="s">
        <v>28269</v>
      </c>
      <c r="C6084" t="s">
        <v>42</v>
      </c>
      <c r="D6084" t="s">
        <v>28270</v>
      </c>
      <c r="E6084" t="s">
        <v>28271</v>
      </c>
      <c r="F6084" t="s">
        <v>28272</v>
      </c>
      <c r="G6084" t="s">
        <v>737</v>
      </c>
      <c r="H6084" t="s">
        <v>2724</v>
      </c>
      <c r="I6084" t="s">
        <v>24614</v>
      </c>
      <c r="J6084" t="s">
        <v>28273</v>
      </c>
      <c r="K6084" t="s">
        <v>3473</v>
      </c>
      <c r="L6084" t="s">
        <v>28274</v>
      </c>
      <c r="M6084" t="s">
        <v>38</v>
      </c>
      <c r="N6084" t="s">
        <v>28275</v>
      </c>
      <c r="O6084" t="s">
        <v>24618</v>
      </c>
      <c r="P6084" t="s">
        <v>28276</v>
      </c>
      <c r="Q6084" t="s">
        <v>28277</v>
      </c>
      <c r="R6084">
        <v>17</v>
      </c>
      <c r="S6084">
        <v>32</v>
      </c>
    </row>
    <row r="6085" spans="1:19" x14ac:dyDescent="0.35">
      <c r="A6085">
        <v>2322</v>
      </c>
      <c r="B6085" t="s">
        <v>28278</v>
      </c>
      <c r="C6085" t="s">
        <v>42</v>
      </c>
      <c r="D6085" t="s">
        <v>28279</v>
      </c>
      <c r="E6085" t="e" cm="1">
        <f t="array" ref="E6085">- IBUPROFEN</f>
        <v>#NAME?</v>
      </c>
      <c r="F6085" t="s">
        <v>28280</v>
      </c>
      <c r="G6085" t="s">
        <v>4640</v>
      </c>
      <c r="H6085" t="s">
        <v>28281</v>
      </c>
      <c r="I6085" t="s">
        <v>28282</v>
      </c>
      <c r="J6085" t="s">
        <v>28283</v>
      </c>
      <c r="K6085" t="s">
        <v>28284</v>
      </c>
      <c r="L6085" t="s">
        <v>28285</v>
      </c>
      <c r="M6085" t="s">
        <v>46</v>
      </c>
      <c r="N6085" t="s">
        <v>383</v>
      </c>
      <c r="O6085" t="s">
        <v>25807</v>
      </c>
      <c r="P6085" t="s">
        <v>28286</v>
      </c>
      <c r="Q6085" t="s">
        <v>28287</v>
      </c>
      <c r="R6085">
        <v>17</v>
      </c>
      <c r="S6085">
        <v>32</v>
      </c>
    </row>
    <row r="6086" spans="1:19" x14ac:dyDescent="0.35">
      <c r="A6086">
        <v>2330</v>
      </c>
      <c r="B6086" t="s">
        <v>8711</v>
      </c>
      <c r="C6086" t="s">
        <v>42</v>
      </c>
      <c r="D6086" t="s">
        <v>28288</v>
      </c>
      <c r="E6086" t="e" cm="1">
        <f t="array" ref="E6086">- KETOPROFEN</f>
        <v>#NAME?</v>
      </c>
      <c r="F6086" s="1">
        <v>64100</v>
      </c>
      <c r="G6086" t="s">
        <v>2241</v>
      </c>
      <c r="H6086" t="s">
        <v>28289</v>
      </c>
      <c r="I6086" t="s">
        <v>28290</v>
      </c>
      <c r="J6086" t="s">
        <v>28291</v>
      </c>
      <c r="L6086" t="s">
        <v>28292</v>
      </c>
      <c r="M6086" t="s">
        <v>46</v>
      </c>
      <c r="N6086" t="s">
        <v>721</v>
      </c>
      <c r="O6086" t="s">
        <v>28293</v>
      </c>
      <c r="P6086" t="s">
        <v>8720</v>
      </c>
      <c r="Q6086" t="s">
        <v>28294</v>
      </c>
      <c r="R6086">
        <v>17</v>
      </c>
      <c r="S6086">
        <v>32</v>
      </c>
    </row>
    <row r="6087" spans="1:19" x14ac:dyDescent="0.35">
      <c r="A6087">
        <v>2331</v>
      </c>
      <c r="B6087" t="s">
        <v>8711</v>
      </c>
      <c r="C6087" t="s">
        <v>42</v>
      </c>
      <c r="D6087" t="s">
        <v>28288</v>
      </c>
      <c r="E6087" t="e" cm="1">
        <f t="array" ref="E6087">- KETOPROFEN</f>
        <v>#NAME?</v>
      </c>
      <c r="F6087" s="1">
        <v>64100</v>
      </c>
      <c r="G6087" t="s">
        <v>2241</v>
      </c>
      <c r="H6087" t="s">
        <v>28289</v>
      </c>
      <c r="I6087" t="s">
        <v>28290</v>
      </c>
      <c r="J6087" t="s">
        <v>28291</v>
      </c>
      <c r="L6087" t="s">
        <v>28292</v>
      </c>
      <c r="M6087" t="s">
        <v>46</v>
      </c>
      <c r="N6087" t="s">
        <v>721</v>
      </c>
      <c r="O6087" t="s">
        <v>28293</v>
      </c>
      <c r="P6087" t="s">
        <v>8720</v>
      </c>
      <c r="Q6087" t="s">
        <v>28294</v>
      </c>
      <c r="R6087">
        <v>17</v>
      </c>
      <c r="S6087">
        <v>32</v>
      </c>
    </row>
    <row r="6088" spans="1:19" x14ac:dyDescent="0.35">
      <c r="A6088">
        <v>3355</v>
      </c>
      <c r="B6088" t="s">
        <v>28269</v>
      </c>
      <c r="C6088" t="s">
        <v>42</v>
      </c>
      <c r="D6088" t="s">
        <v>28270</v>
      </c>
      <c r="E6088" t="s">
        <v>28271</v>
      </c>
      <c r="F6088" t="s">
        <v>28272</v>
      </c>
      <c r="G6088" t="s">
        <v>737</v>
      </c>
      <c r="H6088" t="s">
        <v>2724</v>
      </c>
      <c r="I6088" t="s">
        <v>24614</v>
      </c>
      <c r="J6088" t="s">
        <v>28273</v>
      </c>
      <c r="K6088" t="s">
        <v>3473</v>
      </c>
      <c r="L6088" t="s">
        <v>28274</v>
      </c>
      <c r="M6088" t="s">
        <v>38</v>
      </c>
      <c r="N6088" t="s">
        <v>28275</v>
      </c>
      <c r="O6088" t="s">
        <v>24618</v>
      </c>
      <c r="P6088" t="s">
        <v>28276</v>
      </c>
      <c r="Q6088" t="s">
        <v>28277</v>
      </c>
      <c r="R6088">
        <v>17</v>
      </c>
      <c r="S6088">
        <v>32</v>
      </c>
    </row>
    <row r="6089" spans="1:19" x14ac:dyDescent="0.35">
      <c r="A6089">
        <v>3517</v>
      </c>
      <c r="B6089" t="s">
        <v>28295</v>
      </c>
      <c r="C6089" t="s">
        <v>42</v>
      </c>
      <c r="D6089" t="s">
        <v>28296</v>
      </c>
      <c r="E6089" t="e" cm="1">
        <f t="array" ref="E6089">- DOMPERIDONE</f>
        <v>#NAME?</v>
      </c>
      <c r="F6089" t="s">
        <v>28297</v>
      </c>
      <c r="G6089" t="s">
        <v>28298</v>
      </c>
      <c r="H6089" t="s">
        <v>1589</v>
      </c>
      <c r="I6089" t="s">
        <v>28299</v>
      </c>
      <c r="J6089" t="s">
        <v>532</v>
      </c>
      <c r="K6089" t="s">
        <v>28300</v>
      </c>
      <c r="L6089" t="s">
        <v>28301</v>
      </c>
      <c r="M6089" t="s">
        <v>46</v>
      </c>
      <c r="N6089" t="s">
        <v>341</v>
      </c>
      <c r="O6089" t="s">
        <v>28302</v>
      </c>
      <c r="P6089" t="s">
        <v>28303</v>
      </c>
      <c r="Q6089" t="s">
        <v>28304</v>
      </c>
      <c r="R6089">
        <v>17</v>
      </c>
      <c r="S6089">
        <v>32</v>
      </c>
    </row>
    <row r="6090" spans="1:19" x14ac:dyDescent="0.35">
      <c r="A6090">
        <v>3512</v>
      </c>
      <c r="B6090" t="s">
        <v>28305</v>
      </c>
      <c r="C6090" t="s">
        <v>42</v>
      </c>
      <c r="D6090" t="s">
        <v>28306</v>
      </c>
      <c r="E6090" t="e" cm="1">
        <f t="array" ref="E6090">- DIMENHYDRINATE</f>
        <v>#NAME?</v>
      </c>
      <c r="F6090" t="s">
        <v>28307</v>
      </c>
      <c r="G6090" t="s">
        <v>28308</v>
      </c>
      <c r="H6090" t="s">
        <v>28309</v>
      </c>
      <c r="I6090" t="s">
        <v>28310</v>
      </c>
      <c r="J6090" t="s">
        <v>20500</v>
      </c>
      <c r="K6090" t="s">
        <v>28311</v>
      </c>
      <c r="L6090" t="s">
        <v>28312</v>
      </c>
      <c r="M6090" t="s">
        <v>340</v>
      </c>
      <c r="N6090" t="s">
        <v>329</v>
      </c>
      <c r="O6090" t="s">
        <v>28313</v>
      </c>
      <c r="P6090" t="s">
        <v>28314</v>
      </c>
      <c r="Q6090" t="s">
        <v>28315</v>
      </c>
      <c r="R6090">
        <v>17</v>
      </c>
      <c r="S6090">
        <v>32</v>
      </c>
    </row>
    <row r="6091" spans="1:19" x14ac:dyDescent="0.35">
      <c r="A6091">
        <v>1346</v>
      </c>
      <c r="B6091" t="s">
        <v>21585</v>
      </c>
      <c r="C6091" t="s">
        <v>42</v>
      </c>
      <c r="D6091" t="s">
        <v>21586</v>
      </c>
      <c r="E6091" t="e" cm="1">
        <f t="array" ref="E6091">- PARACETAMOL. PHENYLPROPANOLAMINE HYDROCHLORIDE. CHLORPHENAMINE MALEATE</f>
        <v>#NAME?</v>
      </c>
      <c r="F6091" t="s">
        <v>21587</v>
      </c>
      <c r="G6091" t="s">
        <v>539</v>
      </c>
      <c r="H6091" t="s">
        <v>21588</v>
      </c>
      <c r="I6091" t="s">
        <v>21589</v>
      </c>
      <c r="J6091" t="s">
        <v>4891</v>
      </c>
      <c r="K6091" t="s">
        <v>21590</v>
      </c>
      <c r="L6091" t="s">
        <v>21591</v>
      </c>
      <c r="M6091" t="s">
        <v>291</v>
      </c>
      <c r="N6091" t="s">
        <v>20189</v>
      </c>
      <c r="O6091" t="s">
        <v>19881</v>
      </c>
      <c r="P6091" t="s">
        <v>21347</v>
      </c>
      <c r="Q6091" t="s">
        <v>28316</v>
      </c>
      <c r="R6091">
        <v>17</v>
      </c>
      <c r="S6091">
        <v>32</v>
      </c>
    </row>
    <row r="6092" spans="1:19" x14ac:dyDescent="0.35">
      <c r="A6092">
        <v>1550</v>
      </c>
      <c r="B6092" t="s">
        <v>16834</v>
      </c>
      <c r="C6092" t="s">
        <v>42</v>
      </c>
      <c r="D6092" t="s">
        <v>16835</v>
      </c>
      <c r="E6092" t="e" cm="1">
        <f t="array" ref="E6092">- CHLORPHENAMINE MALEATE. PHENYLEPHRINE HYDROCHLORIDE. DEXTROMETHORPHAN HYDROBROMIDE. GUAIFENESIN</f>
        <v>#NAME?</v>
      </c>
      <c r="F6092" t="s">
        <v>16836</v>
      </c>
      <c r="H6092" t="s">
        <v>8084</v>
      </c>
      <c r="I6092" t="s">
        <v>16119</v>
      </c>
      <c r="J6092" t="s">
        <v>16837</v>
      </c>
      <c r="M6092" t="s">
        <v>46</v>
      </c>
      <c r="N6092" t="s">
        <v>28257</v>
      </c>
      <c r="O6092" t="s">
        <v>16121</v>
      </c>
      <c r="P6092" t="s">
        <v>16838</v>
      </c>
      <c r="Q6092" t="s">
        <v>28258</v>
      </c>
      <c r="R6092">
        <v>17</v>
      </c>
      <c r="S6092">
        <v>32</v>
      </c>
    </row>
    <row r="6093" spans="1:19" x14ac:dyDescent="0.35">
      <c r="A6093">
        <v>8286</v>
      </c>
      <c r="B6093" t="s">
        <v>551</v>
      </c>
      <c r="C6093" t="s">
        <v>42</v>
      </c>
      <c r="D6093" t="s">
        <v>28170</v>
      </c>
      <c r="E6093" t="e" cm="1">
        <f t="array" ref="E6093">- POVIDONE-IODINE</f>
        <v>#NAME?</v>
      </c>
      <c r="F6093" t="s">
        <v>28171</v>
      </c>
      <c r="G6093" t="s">
        <v>20050</v>
      </c>
      <c r="H6093" t="s">
        <v>1322</v>
      </c>
      <c r="I6093" t="s">
        <v>28155</v>
      </c>
      <c r="J6093" t="s">
        <v>20052</v>
      </c>
      <c r="L6093" t="s">
        <v>20053</v>
      </c>
      <c r="M6093" t="s">
        <v>554</v>
      </c>
      <c r="N6093" t="s">
        <v>555</v>
      </c>
      <c r="O6093" t="s">
        <v>28156</v>
      </c>
      <c r="P6093" t="s">
        <v>28157</v>
      </c>
      <c r="Q6093" t="s">
        <v>28158</v>
      </c>
      <c r="R6093">
        <v>17</v>
      </c>
      <c r="S6093">
        <v>32</v>
      </c>
    </row>
    <row r="6094" spans="1:19" x14ac:dyDescent="0.35">
      <c r="A6094">
        <v>539</v>
      </c>
      <c r="B6094" t="s">
        <v>28317</v>
      </c>
      <c r="C6094" t="s">
        <v>42</v>
      </c>
      <c r="D6094" t="s">
        <v>28318</v>
      </c>
      <c r="E6094" t="e" cm="1">
        <f t="array" ref="E6094">- PROCATEROL HYDROCHLORIDE</f>
        <v>#NAME?</v>
      </c>
      <c r="F6094" t="s">
        <v>28319</v>
      </c>
      <c r="G6094" t="s">
        <v>60</v>
      </c>
      <c r="H6094" t="s">
        <v>16591</v>
      </c>
      <c r="I6094" t="s">
        <v>28320</v>
      </c>
      <c r="J6094" t="s">
        <v>754</v>
      </c>
      <c r="K6094" t="s">
        <v>2858</v>
      </c>
      <c r="L6094" t="s">
        <v>28321</v>
      </c>
    </row>
    <row r="6095" spans="1:19" x14ac:dyDescent="0.35">
      <c r="A6095">
        <v>1387</v>
      </c>
      <c r="B6095" t="s">
        <v>28322</v>
      </c>
      <c r="C6095" t="s">
        <v>42</v>
      </c>
      <c r="D6095" t="s">
        <v>28323</v>
      </c>
      <c r="E6095" t="e" cm="1">
        <f t="array" ref="E6095">- AMMONIUM CHLORIDE</f>
        <v>#NAME?</v>
      </c>
      <c r="F6095" t="s">
        <v>28324</v>
      </c>
      <c r="I6095" t="s">
        <v>28325</v>
      </c>
      <c r="J6095" t="s">
        <v>374</v>
      </c>
      <c r="M6095" t="s">
        <v>271</v>
      </c>
      <c r="N6095" t="s">
        <v>1672</v>
      </c>
      <c r="O6095" t="s">
        <v>28326</v>
      </c>
      <c r="P6095" t="s">
        <v>28327</v>
      </c>
      <c r="Q6095" t="s">
        <v>28328</v>
      </c>
      <c r="R6095">
        <v>17</v>
      </c>
      <c r="S6095">
        <v>32</v>
      </c>
    </row>
    <row r="6096" spans="1:19" x14ac:dyDescent="0.35">
      <c r="A6096">
        <v>4974</v>
      </c>
      <c r="B6096" t="s">
        <v>28329</v>
      </c>
      <c r="C6096" t="s">
        <v>42</v>
      </c>
      <c r="D6096" t="s">
        <v>28330</v>
      </c>
      <c r="E6096" t="e" cm="1">
        <f t="array" ref="E6096">- CLOBETASOL PROPIONATE</f>
        <v>#NAME?</v>
      </c>
      <c r="F6096" t="s">
        <v>28331</v>
      </c>
      <c r="G6096" t="s">
        <v>21834</v>
      </c>
      <c r="H6096" t="s">
        <v>28332</v>
      </c>
      <c r="I6096" t="s">
        <v>28333</v>
      </c>
      <c r="J6096" t="s">
        <v>7123</v>
      </c>
      <c r="K6096" t="s">
        <v>27387</v>
      </c>
    </row>
    <row r="6097" spans="1:19" x14ac:dyDescent="0.35">
      <c r="A6097">
        <v>4973</v>
      </c>
      <c r="B6097" t="s">
        <v>28329</v>
      </c>
      <c r="C6097" t="s">
        <v>42</v>
      </c>
      <c r="D6097" t="s">
        <v>28330</v>
      </c>
      <c r="E6097" t="e" cm="1">
        <f t="array" ref="E6097">- CLOBETASOL PROPIONATE</f>
        <v>#NAME?</v>
      </c>
      <c r="F6097" t="s">
        <v>28331</v>
      </c>
      <c r="G6097" t="s">
        <v>21834</v>
      </c>
      <c r="H6097" t="s">
        <v>28332</v>
      </c>
      <c r="I6097" t="s">
        <v>28333</v>
      </c>
      <c r="J6097" t="s">
        <v>7123</v>
      </c>
      <c r="K6097" t="s">
        <v>27387</v>
      </c>
    </row>
    <row r="6098" spans="1:19" x14ac:dyDescent="0.35">
      <c r="A6098">
        <v>3593</v>
      </c>
      <c r="B6098" t="s">
        <v>28334</v>
      </c>
      <c r="C6098" t="s">
        <v>42</v>
      </c>
      <c r="D6098" t="s">
        <v>28335</v>
      </c>
      <c r="E6098" t="e" cm="1">
        <f t="array" ref="E6098">- ONDANSETRON HYDROCHLORIDE DIHYDRATE</f>
        <v>#NAME?</v>
      </c>
      <c r="F6098" t="s">
        <v>28336</v>
      </c>
      <c r="H6098" t="s">
        <v>28337</v>
      </c>
      <c r="I6098" t="s">
        <v>28338</v>
      </c>
      <c r="J6098" t="s">
        <v>28339</v>
      </c>
      <c r="L6098" t="s">
        <v>28340</v>
      </c>
      <c r="M6098" t="s">
        <v>291</v>
      </c>
      <c r="N6098" t="s">
        <v>14087</v>
      </c>
      <c r="O6098" t="s">
        <v>28341</v>
      </c>
      <c r="P6098" t="s">
        <v>28342</v>
      </c>
      <c r="Q6098" t="s">
        <v>28343</v>
      </c>
      <c r="R6098">
        <v>17</v>
      </c>
      <c r="S6098">
        <v>32</v>
      </c>
    </row>
    <row r="6099" spans="1:19" x14ac:dyDescent="0.35">
      <c r="A6099">
        <v>9620</v>
      </c>
      <c r="B6099" t="s">
        <v>6301</v>
      </c>
      <c r="C6099" t="s">
        <v>42</v>
      </c>
      <c r="D6099" t="s">
        <v>28344</v>
      </c>
      <c r="E6099" t="s">
        <v>6303</v>
      </c>
      <c r="F6099" t="s">
        <v>28345</v>
      </c>
      <c r="H6099" t="s">
        <v>28346</v>
      </c>
      <c r="I6099" t="s">
        <v>28347</v>
      </c>
      <c r="J6099" t="s">
        <v>28348</v>
      </c>
      <c r="L6099" t="s">
        <v>28349</v>
      </c>
      <c r="M6099" t="s">
        <v>46</v>
      </c>
      <c r="N6099" t="s">
        <v>6304</v>
      </c>
      <c r="O6099" t="s">
        <v>28350</v>
      </c>
      <c r="P6099" t="s">
        <v>7005</v>
      </c>
      <c r="Q6099" t="s">
        <v>28351</v>
      </c>
      <c r="R6099">
        <v>17</v>
      </c>
      <c r="S6099">
        <v>32</v>
      </c>
    </row>
    <row r="6100" spans="1:19" x14ac:dyDescent="0.35">
      <c r="A6100">
        <v>3592</v>
      </c>
      <c r="B6100" t="s">
        <v>28352</v>
      </c>
      <c r="C6100" t="s">
        <v>42</v>
      </c>
      <c r="D6100" t="s">
        <v>28353</v>
      </c>
      <c r="E6100" t="e" cm="1">
        <f t="array" ref="E6100">- ONDANSETRON HYDROCHLORIDE DIHYDRATE</f>
        <v>#NAME?</v>
      </c>
      <c r="F6100" s="1">
        <v>238900</v>
      </c>
      <c r="G6100" t="s">
        <v>2248</v>
      </c>
      <c r="H6100" t="s">
        <v>28354</v>
      </c>
      <c r="I6100" t="s">
        <v>28355</v>
      </c>
      <c r="J6100" t="s">
        <v>28356</v>
      </c>
      <c r="K6100" t="s">
        <v>11602</v>
      </c>
      <c r="L6100" t="s">
        <v>28357</v>
      </c>
      <c r="M6100" t="s">
        <v>46</v>
      </c>
      <c r="N6100" t="s">
        <v>14087</v>
      </c>
      <c r="O6100" t="s">
        <v>28358</v>
      </c>
      <c r="P6100" t="s">
        <v>18562</v>
      </c>
      <c r="Q6100" t="s">
        <v>28359</v>
      </c>
      <c r="R6100">
        <v>17</v>
      </c>
      <c r="S6100">
        <v>32</v>
      </c>
    </row>
    <row r="6101" spans="1:19" x14ac:dyDescent="0.35">
      <c r="A6101">
        <v>7213</v>
      </c>
      <c r="B6101" t="s">
        <v>28360</v>
      </c>
      <c r="C6101" t="s">
        <v>20</v>
      </c>
      <c r="D6101" t="s">
        <v>28361</v>
      </c>
      <c r="E6101" t="s">
        <v>28362</v>
      </c>
      <c r="F6101" t="s">
        <v>28363</v>
      </c>
      <c r="G6101" t="s">
        <v>11145</v>
      </c>
      <c r="H6101" t="s">
        <v>23997</v>
      </c>
      <c r="I6101" t="s">
        <v>28364</v>
      </c>
      <c r="J6101" t="s">
        <v>28365</v>
      </c>
      <c r="M6101" t="s">
        <v>1289</v>
      </c>
      <c r="N6101" t="s">
        <v>28366</v>
      </c>
      <c r="O6101" t="s">
        <v>28367</v>
      </c>
      <c r="P6101" t="s">
        <v>28368</v>
      </c>
      <c r="Q6101" t="s">
        <v>28369</v>
      </c>
      <c r="R6101">
        <v>17</v>
      </c>
      <c r="S6101">
        <v>32</v>
      </c>
    </row>
    <row r="6102" spans="1:19" x14ac:dyDescent="0.35">
      <c r="A6102">
        <v>4972</v>
      </c>
      <c r="B6102" t="s">
        <v>28329</v>
      </c>
      <c r="C6102" t="s">
        <v>42</v>
      </c>
      <c r="D6102" t="s">
        <v>28370</v>
      </c>
      <c r="E6102" t="e" cm="1">
        <f t="array" ref="E6102">- CLOBETASOL PROPIONATE</f>
        <v>#NAME?</v>
      </c>
      <c r="F6102" t="s">
        <v>28371</v>
      </c>
      <c r="G6102" t="s">
        <v>21834</v>
      </c>
      <c r="H6102" t="s">
        <v>28372</v>
      </c>
      <c r="I6102" t="s">
        <v>28373</v>
      </c>
      <c r="J6102" t="s">
        <v>2167</v>
      </c>
      <c r="K6102" t="s">
        <v>21826</v>
      </c>
      <c r="L6102" t="s">
        <v>28374</v>
      </c>
      <c r="M6102" t="s">
        <v>1029</v>
      </c>
      <c r="N6102" t="s">
        <v>3588</v>
      </c>
      <c r="O6102" t="s">
        <v>28375</v>
      </c>
      <c r="P6102" t="s">
        <v>28376</v>
      </c>
      <c r="Q6102" t="s">
        <v>28377</v>
      </c>
      <c r="R6102">
        <v>17</v>
      </c>
      <c r="S6102">
        <v>32</v>
      </c>
    </row>
    <row r="6103" spans="1:19" x14ac:dyDescent="0.35">
      <c r="A6103">
        <v>4971</v>
      </c>
      <c r="B6103" t="s">
        <v>28329</v>
      </c>
      <c r="C6103" t="s">
        <v>42</v>
      </c>
      <c r="D6103" t="s">
        <v>28370</v>
      </c>
      <c r="E6103" t="e" cm="1">
        <f t="array" ref="E6103">- CLOBETASOL PROPIONATE</f>
        <v>#NAME?</v>
      </c>
      <c r="F6103" t="s">
        <v>28371</v>
      </c>
      <c r="G6103" t="s">
        <v>21834</v>
      </c>
      <c r="H6103" t="s">
        <v>28372</v>
      </c>
      <c r="I6103" t="s">
        <v>28373</v>
      </c>
      <c r="J6103" t="s">
        <v>2167</v>
      </c>
      <c r="K6103" t="s">
        <v>21826</v>
      </c>
      <c r="L6103" t="s">
        <v>28374</v>
      </c>
      <c r="M6103" t="s">
        <v>1029</v>
      </c>
      <c r="N6103" t="s">
        <v>3588</v>
      </c>
      <c r="O6103" t="s">
        <v>28375</v>
      </c>
      <c r="P6103" t="s">
        <v>28376</v>
      </c>
      <c r="Q6103" t="s">
        <v>28377</v>
      </c>
      <c r="R6103">
        <v>17</v>
      </c>
      <c r="S6103">
        <v>32</v>
      </c>
    </row>
    <row r="6104" spans="1:19" x14ac:dyDescent="0.35">
      <c r="A6104">
        <v>2228</v>
      </c>
      <c r="B6104" t="s">
        <v>28378</v>
      </c>
      <c r="C6104" t="s">
        <v>42</v>
      </c>
      <c r="D6104" t="s">
        <v>28379</v>
      </c>
      <c r="E6104" t="e" cm="1">
        <f t="array" ref="E6104">- DICLOFENAC SODIUM</f>
        <v>#NAME?</v>
      </c>
      <c r="F6104" t="s">
        <v>28380</v>
      </c>
      <c r="G6104" t="s">
        <v>2241</v>
      </c>
      <c r="H6104" t="s">
        <v>2596</v>
      </c>
      <c r="I6104" t="s">
        <v>28195</v>
      </c>
      <c r="J6104" t="s">
        <v>381</v>
      </c>
      <c r="K6104" t="s">
        <v>28381</v>
      </c>
      <c r="L6104" t="s">
        <v>21258</v>
      </c>
      <c r="M6104" t="s">
        <v>46</v>
      </c>
      <c r="N6104" t="s">
        <v>2597</v>
      </c>
      <c r="O6104" t="s">
        <v>28197</v>
      </c>
      <c r="P6104" t="s">
        <v>28382</v>
      </c>
      <c r="Q6104" t="s">
        <v>28383</v>
      </c>
      <c r="R6104">
        <v>17</v>
      </c>
      <c r="S6104">
        <v>32</v>
      </c>
    </row>
    <row r="6105" spans="1:19" x14ac:dyDescent="0.35">
      <c r="A6105">
        <v>2229</v>
      </c>
      <c r="B6105" t="s">
        <v>28378</v>
      </c>
      <c r="C6105" t="s">
        <v>42</v>
      </c>
      <c r="D6105" t="s">
        <v>28379</v>
      </c>
      <c r="E6105" t="e" cm="1">
        <f t="array" ref="E6105">- DICLOFENAC SODIUM</f>
        <v>#NAME?</v>
      </c>
      <c r="F6105" t="s">
        <v>28380</v>
      </c>
      <c r="G6105" t="s">
        <v>2241</v>
      </c>
      <c r="H6105" t="s">
        <v>2596</v>
      </c>
      <c r="I6105" t="s">
        <v>28195</v>
      </c>
      <c r="J6105" t="s">
        <v>381</v>
      </c>
      <c r="K6105" t="s">
        <v>28381</v>
      </c>
      <c r="L6105" t="s">
        <v>21258</v>
      </c>
      <c r="M6105" t="s">
        <v>46</v>
      </c>
      <c r="N6105" t="s">
        <v>2597</v>
      </c>
      <c r="O6105" t="s">
        <v>28197</v>
      </c>
      <c r="P6105" t="s">
        <v>28382</v>
      </c>
      <c r="Q6105" t="s">
        <v>28383</v>
      </c>
      <c r="R6105">
        <v>17</v>
      </c>
      <c r="S6105">
        <v>32</v>
      </c>
    </row>
    <row r="6106" spans="1:19" x14ac:dyDescent="0.35">
      <c r="A6106">
        <v>2231</v>
      </c>
      <c r="B6106" t="s">
        <v>28384</v>
      </c>
      <c r="C6106" t="s">
        <v>42</v>
      </c>
      <c r="D6106" t="s">
        <v>28385</v>
      </c>
      <c r="E6106" t="e" cm="1">
        <f t="array" ref="E6106">- DICLOFENAC POTASSIUM</f>
        <v>#NAME?</v>
      </c>
      <c r="F6106" t="s">
        <v>28386</v>
      </c>
      <c r="G6106" t="s">
        <v>2241</v>
      </c>
      <c r="H6106" t="s">
        <v>2596</v>
      </c>
      <c r="I6106" t="s">
        <v>28195</v>
      </c>
      <c r="J6106" t="s">
        <v>4095</v>
      </c>
      <c r="K6106" t="s">
        <v>28387</v>
      </c>
      <c r="L6106" t="s">
        <v>28388</v>
      </c>
      <c r="M6106" t="s">
        <v>46</v>
      </c>
      <c r="N6106" t="s">
        <v>2637</v>
      </c>
      <c r="O6106" t="s">
        <v>28197</v>
      </c>
      <c r="P6106" t="s">
        <v>28389</v>
      </c>
      <c r="Q6106" t="s">
        <v>28390</v>
      </c>
      <c r="R6106">
        <v>17</v>
      </c>
      <c r="S6106">
        <v>32</v>
      </c>
    </row>
    <row r="6107" spans="1:19" x14ac:dyDescent="0.35">
      <c r="A6107">
        <v>2232</v>
      </c>
      <c r="B6107" t="s">
        <v>28384</v>
      </c>
      <c r="C6107" t="s">
        <v>42</v>
      </c>
      <c r="D6107" t="s">
        <v>28385</v>
      </c>
      <c r="E6107" t="e" cm="1">
        <f t="array" ref="E6107">- DICLOFENAC POTASSIUM</f>
        <v>#NAME?</v>
      </c>
      <c r="F6107" t="s">
        <v>28386</v>
      </c>
      <c r="G6107" t="s">
        <v>2241</v>
      </c>
      <c r="H6107" t="s">
        <v>2596</v>
      </c>
      <c r="I6107" t="s">
        <v>28195</v>
      </c>
      <c r="J6107" t="s">
        <v>4095</v>
      </c>
      <c r="K6107" t="s">
        <v>28387</v>
      </c>
      <c r="L6107" t="s">
        <v>28388</v>
      </c>
      <c r="M6107" t="s">
        <v>46</v>
      </c>
      <c r="N6107" t="s">
        <v>2637</v>
      </c>
      <c r="O6107" t="s">
        <v>28197</v>
      </c>
      <c r="P6107" t="s">
        <v>28389</v>
      </c>
      <c r="Q6107" t="s">
        <v>28390</v>
      </c>
      <c r="R6107">
        <v>17</v>
      </c>
      <c r="S6107">
        <v>32</v>
      </c>
    </row>
    <row r="6108" spans="1:19" x14ac:dyDescent="0.35">
      <c r="A6108">
        <v>7206</v>
      </c>
      <c r="B6108" t="s">
        <v>28391</v>
      </c>
      <c r="C6108" t="s">
        <v>850</v>
      </c>
      <c r="D6108" t="s">
        <v>28392</v>
      </c>
      <c r="E6108" t="e" cm="1">
        <f t="array" ref="E6108">- Methyl Salicyllate</f>
        <v>#NAME?</v>
      </c>
      <c r="F6108" t="s">
        <v>28393</v>
      </c>
      <c r="G6108" t="s">
        <v>22321</v>
      </c>
      <c r="H6108" t="s">
        <v>28394</v>
      </c>
      <c r="I6108" t="s">
        <v>28395</v>
      </c>
      <c r="J6108" t="s">
        <v>13227</v>
      </c>
      <c r="L6108" t="s">
        <v>28396</v>
      </c>
      <c r="M6108" t="s">
        <v>3632</v>
      </c>
      <c r="N6108" t="s">
        <v>23241</v>
      </c>
      <c r="O6108" t="s">
        <v>28397</v>
      </c>
      <c r="P6108" t="s">
        <v>28398</v>
      </c>
      <c r="Q6108" t="s">
        <v>28399</v>
      </c>
      <c r="R6108">
        <v>17</v>
      </c>
      <c r="S6108">
        <v>32</v>
      </c>
    </row>
    <row r="6109" spans="1:19" x14ac:dyDescent="0.35">
      <c r="A6109">
        <v>7712</v>
      </c>
      <c r="B6109" t="s">
        <v>28400</v>
      </c>
      <c r="C6109" t="s">
        <v>42</v>
      </c>
      <c r="D6109" t="s">
        <v>28401</v>
      </c>
      <c r="E6109" t="e" cm="1">
        <f t="array" ref="E6109">- L-ORNITHINE L-ASPARTATE</f>
        <v>#NAME?</v>
      </c>
      <c r="F6109" s="1">
        <v>55600</v>
      </c>
      <c r="G6109" t="s">
        <v>4045</v>
      </c>
      <c r="H6109" t="s">
        <v>28402</v>
      </c>
      <c r="I6109" t="s">
        <v>28403</v>
      </c>
      <c r="J6109" t="s">
        <v>28404</v>
      </c>
      <c r="K6109" t="s">
        <v>28405</v>
      </c>
      <c r="L6109" t="s">
        <v>28406</v>
      </c>
      <c r="M6109" t="s">
        <v>17667</v>
      </c>
      <c r="N6109" t="s">
        <v>28407</v>
      </c>
      <c r="O6109" t="s">
        <v>28408</v>
      </c>
      <c r="P6109" t="s">
        <v>28409</v>
      </c>
      <c r="Q6109" t="s">
        <v>28410</v>
      </c>
      <c r="R6109">
        <v>17</v>
      </c>
      <c r="S6109">
        <v>32</v>
      </c>
    </row>
    <row r="6110" spans="1:19" x14ac:dyDescent="0.35">
      <c r="A6110">
        <v>5468</v>
      </c>
      <c r="B6110" t="s">
        <v>28411</v>
      </c>
      <c r="C6110" t="s">
        <v>42</v>
      </c>
      <c r="D6110" t="s">
        <v>28412</v>
      </c>
      <c r="E6110" t="e" cm="1">
        <f t="array" ref="E6110">- CLOTRIMAZOLE</f>
        <v>#NAME?</v>
      </c>
      <c r="F6110" t="s">
        <v>28413</v>
      </c>
      <c r="G6110" t="s">
        <v>28414</v>
      </c>
      <c r="H6110" t="s">
        <v>28415</v>
      </c>
      <c r="I6110" t="s">
        <v>28416</v>
      </c>
      <c r="J6110" t="s">
        <v>7123</v>
      </c>
      <c r="K6110" t="s">
        <v>2858</v>
      </c>
      <c r="L6110" t="s">
        <v>28417</v>
      </c>
      <c r="M6110" t="s">
        <v>1289</v>
      </c>
      <c r="N6110" t="s">
        <v>1422</v>
      </c>
      <c r="O6110" t="s">
        <v>28418</v>
      </c>
      <c r="P6110" t="s">
        <v>28419</v>
      </c>
      <c r="Q6110" t="s">
        <v>28420</v>
      </c>
      <c r="R6110">
        <v>17</v>
      </c>
      <c r="S6110">
        <v>32</v>
      </c>
    </row>
    <row r="6111" spans="1:19" x14ac:dyDescent="0.35">
      <c r="A6111">
        <v>7182</v>
      </c>
      <c r="B6111" t="s">
        <v>28421</v>
      </c>
      <c r="C6111" t="s">
        <v>850</v>
      </c>
      <c r="D6111" t="s">
        <v>28422</v>
      </c>
      <c r="E6111" t="e" cm="1">
        <f t="array" ref="E6111">- Methyl Salicylate</f>
        <v>#NAME?</v>
      </c>
      <c r="F6111" t="s">
        <v>28423</v>
      </c>
      <c r="G6111" t="s">
        <v>22321</v>
      </c>
      <c r="H6111" t="s">
        <v>28394</v>
      </c>
      <c r="I6111" t="s">
        <v>28395</v>
      </c>
      <c r="J6111" t="s">
        <v>4340</v>
      </c>
      <c r="L6111" t="s">
        <v>28424</v>
      </c>
      <c r="M6111" t="s">
        <v>3632</v>
      </c>
      <c r="N6111" t="s">
        <v>3276</v>
      </c>
      <c r="O6111" t="s">
        <v>28397</v>
      </c>
      <c r="P6111" t="s">
        <v>28398</v>
      </c>
      <c r="Q6111" t="s">
        <v>28425</v>
      </c>
      <c r="R6111">
        <v>17</v>
      </c>
      <c r="S6111">
        <v>32</v>
      </c>
    </row>
    <row r="6112" spans="1:19" x14ac:dyDescent="0.35">
      <c r="A6112">
        <v>4770</v>
      </c>
      <c r="B6112" t="s">
        <v>28426</v>
      </c>
      <c r="C6112" t="s">
        <v>42</v>
      </c>
      <c r="D6112" t="s">
        <v>28427</v>
      </c>
      <c r="E6112" t="e" cm="1">
        <f t="array" ref="E6112">- GENTAMICIN SULFATE</f>
        <v>#NAME?</v>
      </c>
      <c r="F6112" t="s">
        <v>28428</v>
      </c>
      <c r="G6112" t="s">
        <v>7569</v>
      </c>
      <c r="H6112" t="s">
        <v>28429</v>
      </c>
      <c r="I6112" t="s">
        <v>28430</v>
      </c>
      <c r="J6112" t="s">
        <v>9310</v>
      </c>
      <c r="K6112" t="s">
        <v>28431</v>
      </c>
      <c r="L6112" t="s">
        <v>28432</v>
      </c>
      <c r="M6112" t="s">
        <v>824</v>
      </c>
      <c r="N6112" t="s">
        <v>6119</v>
      </c>
      <c r="O6112" t="s">
        <v>27395</v>
      </c>
      <c r="P6112" t="s">
        <v>28433</v>
      </c>
      <c r="Q6112" t="s">
        <v>28434</v>
      </c>
      <c r="R6112">
        <v>17</v>
      </c>
      <c r="S6112">
        <v>32</v>
      </c>
    </row>
    <row r="6113" spans="1:19" x14ac:dyDescent="0.35">
      <c r="A6113">
        <v>5605</v>
      </c>
      <c r="B6113" t="s">
        <v>28435</v>
      </c>
      <c r="C6113" t="s">
        <v>42</v>
      </c>
      <c r="D6113" t="s">
        <v>28436</v>
      </c>
      <c r="E6113" t="e" cm="1">
        <f t="array" ref="E6113">- AZITHROMYCIN DIHYDRATE</f>
        <v>#NAME?</v>
      </c>
      <c r="F6113" t="s">
        <v>28437</v>
      </c>
      <c r="G6113" t="s">
        <v>27365</v>
      </c>
      <c r="H6113" t="s">
        <v>28438</v>
      </c>
      <c r="I6113" t="s">
        <v>27366</v>
      </c>
      <c r="J6113" t="s">
        <v>1923</v>
      </c>
      <c r="K6113" t="s">
        <v>27367</v>
      </c>
      <c r="L6113" t="s">
        <v>28439</v>
      </c>
      <c r="M6113" t="s">
        <v>291</v>
      </c>
      <c r="N6113" t="s">
        <v>13005</v>
      </c>
      <c r="O6113" t="s">
        <v>27369</v>
      </c>
      <c r="P6113" t="s">
        <v>28440</v>
      </c>
      <c r="Q6113" t="s">
        <v>28441</v>
      </c>
      <c r="R6113">
        <v>17</v>
      </c>
      <c r="S6113">
        <v>32</v>
      </c>
    </row>
    <row r="6114" spans="1:19" x14ac:dyDescent="0.35">
      <c r="A6114">
        <v>7181</v>
      </c>
      <c r="B6114" t="s">
        <v>28421</v>
      </c>
      <c r="C6114" t="s">
        <v>850</v>
      </c>
      <c r="D6114" t="s">
        <v>28422</v>
      </c>
      <c r="E6114" t="e" cm="1">
        <f t="array" ref="E6114">- Methyl Salicylate</f>
        <v>#NAME?</v>
      </c>
      <c r="F6114" t="s">
        <v>28423</v>
      </c>
      <c r="G6114" t="s">
        <v>22321</v>
      </c>
      <c r="H6114" t="s">
        <v>28394</v>
      </c>
      <c r="I6114" t="s">
        <v>28395</v>
      </c>
      <c r="J6114" t="s">
        <v>4340</v>
      </c>
      <c r="L6114" t="s">
        <v>28424</v>
      </c>
      <c r="M6114" t="s">
        <v>3632</v>
      </c>
      <c r="N6114" t="s">
        <v>3276</v>
      </c>
      <c r="O6114" t="s">
        <v>28397</v>
      </c>
      <c r="P6114" t="s">
        <v>28398</v>
      </c>
      <c r="Q6114" t="s">
        <v>28425</v>
      </c>
      <c r="R6114">
        <v>17</v>
      </c>
      <c r="S6114">
        <v>32</v>
      </c>
    </row>
    <row r="6115" spans="1:19" x14ac:dyDescent="0.35">
      <c r="A6115">
        <v>4771</v>
      </c>
      <c r="B6115" t="s">
        <v>28426</v>
      </c>
      <c r="C6115" t="s">
        <v>42</v>
      </c>
      <c r="D6115" t="s">
        <v>28427</v>
      </c>
      <c r="E6115" t="e" cm="1">
        <f t="array" ref="E6115">- GENTAMICIN SULFATE</f>
        <v>#NAME?</v>
      </c>
      <c r="F6115" t="s">
        <v>28428</v>
      </c>
      <c r="G6115" t="s">
        <v>7569</v>
      </c>
      <c r="H6115" t="s">
        <v>28429</v>
      </c>
      <c r="I6115" t="s">
        <v>28430</v>
      </c>
      <c r="J6115" t="s">
        <v>9310</v>
      </c>
      <c r="K6115" t="s">
        <v>28431</v>
      </c>
      <c r="L6115" t="s">
        <v>28432</v>
      </c>
      <c r="M6115" t="s">
        <v>824</v>
      </c>
      <c r="N6115" t="s">
        <v>6119</v>
      </c>
      <c r="O6115" t="s">
        <v>27395</v>
      </c>
      <c r="P6115" t="s">
        <v>28433</v>
      </c>
      <c r="Q6115" t="s">
        <v>28434</v>
      </c>
      <c r="R6115">
        <v>17</v>
      </c>
      <c r="S6115">
        <v>32</v>
      </c>
    </row>
    <row r="6116" spans="1:19" x14ac:dyDescent="0.35">
      <c r="A6116">
        <v>8283</v>
      </c>
      <c r="B6116" t="s">
        <v>551</v>
      </c>
      <c r="C6116" t="s">
        <v>42</v>
      </c>
      <c r="D6116" t="s">
        <v>28154</v>
      </c>
      <c r="E6116" t="e" cm="1">
        <f t="array" ref="E6116">- POVIDONE-IODINE</f>
        <v>#NAME?</v>
      </c>
      <c r="F6116" s="1">
        <v>12800</v>
      </c>
      <c r="G6116" t="s">
        <v>20050</v>
      </c>
      <c r="H6116" t="s">
        <v>1322</v>
      </c>
      <c r="I6116" t="s">
        <v>28155</v>
      </c>
      <c r="J6116" t="s">
        <v>20052</v>
      </c>
      <c r="L6116" t="s">
        <v>20053</v>
      </c>
      <c r="M6116" t="s">
        <v>554</v>
      </c>
      <c r="N6116" t="s">
        <v>555</v>
      </c>
      <c r="O6116" t="s">
        <v>28156</v>
      </c>
      <c r="P6116" t="s">
        <v>28157</v>
      </c>
      <c r="Q6116" t="s">
        <v>28158</v>
      </c>
      <c r="R6116">
        <v>17</v>
      </c>
      <c r="S6116">
        <v>32</v>
      </c>
    </row>
    <row r="6117" spans="1:19" x14ac:dyDescent="0.35">
      <c r="A6117">
        <v>8284</v>
      </c>
      <c r="B6117" t="s">
        <v>551</v>
      </c>
      <c r="C6117" t="s">
        <v>42</v>
      </c>
      <c r="D6117" t="s">
        <v>28442</v>
      </c>
      <c r="E6117" t="e" cm="1">
        <f t="array" ref="E6117">- POVIDONE-IODINE</f>
        <v>#NAME?</v>
      </c>
      <c r="F6117" s="1">
        <v>21700</v>
      </c>
      <c r="G6117" t="s">
        <v>20050</v>
      </c>
      <c r="H6117" t="s">
        <v>1322</v>
      </c>
      <c r="I6117" t="s">
        <v>28155</v>
      </c>
      <c r="J6117" t="s">
        <v>20052</v>
      </c>
      <c r="L6117" t="s">
        <v>20053</v>
      </c>
      <c r="M6117" t="s">
        <v>554</v>
      </c>
      <c r="N6117" t="s">
        <v>555</v>
      </c>
      <c r="O6117" t="s">
        <v>28156</v>
      </c>
      <c r="P6117" t="s">
        <v>28157</v>
      </c>
      <c r="Q6117" t="s">
        <v>28158</v>
      </c>
      <c r="R6117">
        <v>17</v>
      </c>
      <c r="S6117">
        <v>32</v>
      </c>
    </row>
    <row r="6118" spans="1:19" x14ac:dyDescent="0.35">
      <c r="A6118">
        <v>8285</v>
      </c>
      <c r="B6118" t="s">
        <v>551</v>
      </c>
      <c r="C6118" t="s">
        <v>42</v>
      </c>
      <c r="D6118" t="s">
        <v>28442</v>
      </c>
      <c r="E6118" t="e" cm="1">
        <f t="array" ref="E6118">- POVIDONE-IODINE</f>
        <v>#NAME?</v>
      </c>
      <c r="F6118" s="1">
        <v>21700</v>
      </c>
      <c r="G6118" t="s">
        <v>20050</v>
      </c>
      <c r="H6118" t="s">
        <v>1322</v>
      </c>
      <c r="I6118" t="s">
        <v>28155</v>
      </c>
      <c r="J6118" t="s">
        <v>20052</v>
      </c>
      <c r="L6118" t="s">
        <v>20053</v>
      </c>
      <c r="M6118" t="s">
        <v>554</v>
      </c>
      <c r="N6118" t="s">
        <v>555</v>
      </c>
      <c r="O6118" t="s">
        <v>28156</v>
      </c>
      <c r="P6118" t="s">
        <v>28157</v>
      </c>
      <c r="Q6118" t="s">
        <v>28158</v>
      </c>
      <c r="R6118">
        <v>17</v>
      </c>
      <c r="S6118">
        <v>32</v>
      </c>
    </row>
    <row r="6119" spans="1:19" x14ac:dyDescent="0.35">
      <c r="A6119">
        <v>5869</v>
      </c>
      <c r="B6119" t="s">
        <v>28443</v>
      </c>
      <c r="C6119" t="s">
        <v>42</v>
      </c>
      <c r="D6119" t="s">
        <v>28444</v>
      </c>
      <c r="E6119" t="e" cm="1">
        <f t="array" ref="E6119">- SULTAMICILLIN</f>
        <v>#NAME?</v>
      </c>
      <c r="F6119" t="s">
        <v>28445</v>
      </c>
      <c r="G6119" t="s">
        <v>28446</v>
      </c>
      <c r="H6119" t="s">
        <v>28447</v>
      </c>
      <c r="I6119" t="s">
        <v>28448</v>
      </c>
      <c r="J6119" t="s">
        <v>3761</v>
      </c>
      <c r="K6119" t="s">
        <v>28449</v>
      </c>
      <c r="L6119" t="s">
        <v>28450</v>
      </c>
      <c r="M6119" t="s">
        <v>291</v>
      </c>
      <c r="N6119" t="s">
        <v>28451</v>
      </c>
      <c r="O6119" t="s">
        <v>28452</v>
      </c>
      <c r="P6119" t="s">
        <v>28453</v>
      </c>
      <c r="Q6119" t="s">
        <v>28454</v>
      </c>
      <c r="R6119">
        <v>17</v>
      </c>
      <c r="S6119">
        <v>32</v>
      </c>
    </row>
    <row r="6120" spans="1:19" x14ac:dyDescent="0.35">
      <c r="A6120">
        <v>2265</v>
      </c>
      <c r="B6120" t="s">
        <v>28455</v>
      </c>
      <c r="C6120" t="s">
        <v>42</v>
      </c>
      <c r="D6120" t="s">
        <v>28456</v>
      </c>
      <c r="E6120" t="e" cm="1">
        <f t="array" ref="E6120">- DICLOFENAC POTASSIUM</f>
        <v>#NAME?</v>
      </c>
      <c r="F6120" t="s">
        <v>28457</v>
      </c>
      <c r="G6120" t="s">
        <v>2241</v>
      </c>
      <c r="H6120" t="s">
        <v>2596</v>
      </c>
      <c r="I6120" t="s">
        <v>28458</v>
      </c>
      <c r="J6120" t="s">
        <v>532</v>
      </c>
      <c r="K6120" t="s">
        <v>28459</v>
      </c>
      <c r="L6120" t="s">
        <v>28460</v>
      </c>
      <c r="M6120" t="s">
        <v>46</v>
      </c>
      <c r="N6120" t="s">
        <v>2637</v>
      </c>
      <c r="O6120" t="s">
        <v>28197</v>
      </c>
      <c r="P6120" t="s">
        <v>28461</v>
      </c>
      <c r="Q6120" t="s">
        <v>28462</v>
      </c>
      <c r="R6120">
        <v>17</v>
      </c>
      <c r="S6120">
        <v>32</v>
      </c>
    </row>
    <row r="6121" spans="1:19" x14ac:dyDescent="0.35">
      <c r="A6121">
        <v>3594</v>
      </c>
      <c r="B6121" t="s">
        <v>28334</v>
      </c>
      <c r="C6121" t="s">
        <v>42</v>
      </c>
      <c r="D6121" t="s">
        <v>28335</v>
      </c>
      <c r="E6121" t="e" cm="1">
        <f t="array" ref="E6121">- ONDANSETRON HYDROCHLORIDE DIHYDRATE</f>
        <v>#NAME?</v>
      </c>
      <c r="F6121" t="s">
        <v>28336</v>
      </c>
      <c r="H6121" t="s">
        <v>28337</v>
      </c>
      <c r="I6121" t="s">
        <v>28338</v>
      </c>
      <c r="J6121" t="s">
        <v>28339</v>
      </c>
      <c r="L6121" t="s">
        <v>28340</v>
      </c>
      <c r="M6121" t="s">
        <v>291</v>
      </c>
      <c r="N6121" t="s">
        <v>14087</v>
      </c>
      <c r="O6121" t="s">
        <v>28341</v>
      </c>
      <c r="P6121" t="s">
        <v>28342</v>
      </c>
      <c r="Q6121" t="s">
        <v>28343</v>
      </c>
      <c r="R6121">
        <v>17</v>
      </c>
      <c r="S6121">
        <v>32</v>
      </c>
    </row>
    <row r="6122" spans="1:19" x14ac:dyDescent="0.35">
      <c r="A6122">
        <v>1552</v>
      </c>
      <c r="B6122" t="s">
        <v>24335</v>
      </c>
      <c r="C6122" t="s">
        <v>42</v>
      </c>
      <c r="D6122" t="s">
        <v>24336</v>
      </c>
      <c r="E6122" t="e" cm="1">
        <f t="array" ref="E6122">- PHENYLEPHRINE HYDROCHLORIDE. DEXTROMETHORPHAN HYDROBROMIDE</f>
        <v>#NAME?</v>
      </c>
      <c r="F6122" t="s">
        <v>14485</v>
      </c>
      <c r="G6122" t="s">
        <v>5192</v>
      </c>
      <c r="H6122" t="s">
        <v>24337</v>
      </c>
      <c r="I6122" t="s">
        <v>24338</v>
      </c>
      <c r="J6122" t="s">
        <v>24339</v>
      </c>
      <c r="K6122" t="s">
        <v>24340</v>
      </c>
      <c r="M6122" t="s">
        <v>46</v>
      </c>
      <c r="N6122" t="s">
        <v>28463</v>
      </c>
      <c r="O6122" t="s">
        <v>24341</v>
      </c>
      <c r="P6122" t="s">
        <v>24342</v>
      </c>
      <c r="Q6122" t="s">
        <v>28464</v>
      </c>
      <c r="R6122">
        <v>17</v>
      </c>
      <c r="S6122">
        <v>32</v>
      </c>
    </row>
    <row r="6123" spans="1:19" x14ac:dyDescent="0.35">
      <c r="A6123">
        <v>1554</v>
      </c>
      <c r="B6123" t="s">
        <v>24335</v>
      </c>
      <c r="C6123" t="s">
        <v>42</v>
      </c>
      <c r="D6123" t="s">
        <v>24336</v>
      </c>
      <c r="E6123" t="e" cm="1">
        <f t="array" ref="E6123">- DEXTROMETHORPHAN HYDROBROMIDE. PHENYLEPHRINE HYDROCHLORIDE</f>
        <v>#NAME?</v>
      </c>
      <c r="F6123" t="s">
        <v>14485</v>
      </c>
      <c r="G6123" t="s">
        <v>5192</v>
      </c>
      <c r="H6123" t="s">
        <v>24337</v>
      </c>
      <c r="I6123" t="s">
        <v>24338</v>
      </c>
      <c r="J6123" t="s">
        <v>24339</v>
      </c>
      <c r="K6123" t="s">
        <v>24340</v>
      </c>
      <c r="M6123" t="s">
        <v>46</v>
      </c>
      <c r="N6123" t="s">
        <v>28465</v>
      </c>
      <c r="O6123" t="s">
        <v>24341</v>
      </c>
      <c r="P6123" t="s">
        <v>24342</v>
      </c>
      <c r="Q6123" t="s">
        <v>28466</v>
      </c>
      <c r="R6123">
        <v>17</v>
      </c>
      <c r="S6123">
        <v>32</v>
      </c>
    </row>
    <row r="6124" spans="1:19" x14ac:dyDescent="0.35">
      <c r="A6124">
        <v>4856</v>
      </c>
      <c r="B6124" t="s">
        <v>28467</v>
      </c>
      <c r="C6124" t="s">
        <v>42</v>
      </c>
      <c r="D6124" t="s">
        <v>28468</v>
      </c>
      <c r="E6124" t="e" cm="1">
        <f t="array" ref="E6124">- DEXAMETHASONE SODIUM PHOSPHATE</f>
        <v>#NAME?</v>
      </c>
      <c r="F6124" t="s">
        <v>28469</v>
      </c>
      <c r="G6124" t="s">
        <v>11067</v>
      </c>
      <c r="H6124" t="s">
        <v>28470</v>
      </c>
      <c r="I6124" t="s">
        <v>28471</v>
      </c>
      <c r="J6124" t="s">
        <v>9310</v>
      </c>
      <c r="K6124" t="s">
        <v>28472</v>
      </c>
      <c r="L6124" t="s">
        <v>28473</v>
      </c>
      <c r="M6124" t="s">
        <v>824</v>
      </c>
      <c r="N6124" t="s">
        <v>25402</v>
      </c>
      <c r="O6124" t="s">
        <v>28474</v>
      </c>
      <c r="P6124" t="s">
        <v>28475</v>
      </c>
      <c r="Q6124" t="s">
        <v>28476</v>
      </c>
      <c r="R6124">
        <v>17</v>
      </c>
      <c r="S6124">
        <v>32</v>
      </c>
    </row>
    <row r="6125" spans="1:19" x14ac:dyDescent="0.35">
      <c r="A6125">
        <v>3490</v>
      </c>
      <c r="B6125" t="s">
        <v>28477</v>
      </c>
      <c r="C6125" t="s">
        <v>42</v>
      </c>
      <c r="D6125" t="s">
        <v>28478</v>
      </c>
      <c r="E6125" t="e" cm="1">
        <f t="array" ref="E6125">- DOMPERIDONE</f>
        <v>#NAME?</v>
      </c>
      <c r="F6125" t="s">
        <v>28479</v>
      </c>
      <c r="G6125" t="s">
        <v>28480</v>
      </c>
      <c r="H6125" t="s">
        <v>1589</v>
      </c>
      <c r="I6125" t="s">
        <v>28481</v>
      </c>
      <c r="J6125" t="s">
        <v>1647</v>
      </c>
      <c r="K6125" t="s">
        <v>28300</v>
      </c>
      <c r="L6125" t="s">
        <v>28301</v>
      </c>
      <c r="M6125" t="s">
        <v>824</v>
      </c>
      <c r="N6125" t="s">
        <v>341</v>
      </c>
      <c r="O6125" t="s">
        <v>28302</v>
      </c>
      <c r="P6125" t="s">
        <v>28482</v>
      </c>
      <c r="Q6125" t="s">
        <v>28483</v>
      </c>
      <c r="R6125">
        <v>17</v>
      </c>
      <c r="S6125">
        <v>32</v>
      </c>
    </row>
    <row r="6126" spans="1:19" x14ac:dyDescent="0.35">
      <c r="A6126">
        <v>4858</v>
      </c>
      <c r="B6126" t="s">
        <v>28484</v>
      </c>
      <c r="C6126" t="s">
        <v>42</v>
      </c>
      <c r="D6126" t="s">
        <v>28485</v>
      </c>
      <c r="E6126" t="e" cm="1">
        <f t="array" ref="E6126">- TIMOLOL MALEATE</f>
        <v>#NAME?</v>
      </c>
      <c r="F6126" t="s">
        <v>28486</v>
      </c>
      <c r="G6126" t="s">
        <v>25158</v>
      </c>
      <c r="H6126" t="s">
        <v>28487</v>
      </c>
      <c r="I6126" t="s">
        <v>28488</v>
      </c>
      <c r="J6126" t="s">
        <v>9310</v>
      </c>
      <c r="K6126" t="s">
        <v>25161</v>
      </c>
      <c r="L6126" t="s">
        <v>25162</v>
      </c>
      <c r="M6126" t="s">
        <v>824</v>
      </c>
      <c r="N6126" t="s">
        <v>6219</v>
      </c>
      <c r="O6126" t="s">
        <v>28489</v>
      </c>
      <c r="P6126" t="s">
        <v>25164</v>
      </c>
      <c r="Q6126" t="s">
        <v>28490</v>
      </c>
      <c r="R6126">
        <v>17</v>
      </c>
      <c r="S6126">
        <v>32</v>
      </c>
    </row>
    <row r="6127" spans="1:19" x14ac:dyDescent="0.35">
      <c r="A6127">
        <v>7623</v>
      </c>
      <c r="B6127" t="s">
        <v>28491</v>
      </c>
      <c r="C6127" t="s">
        <v>20</v>
      </c>
      <c r="D6127" t="s">
        <v>28492</v>
      </c>
      <c r="E6127" t="s">
        <v>28493</v>
      </c>
      <c r="F6127" t="s">
        <v>28494</v>
      </c>
      <c r="G6127" t="s">
        <v>28495</v>
      </c>
      <c r="H6127" t="s">
        <v>28496</v>
      </c>
      <c r="I6127" t="s">
        <v>28497</v>
      </c>
      <c r="J6127" t="s">
        <v>28498</v>
      </c>
      <c r="M6127" t="s">
        <v>38</v>
      </c>
      <c r="N6127" t="s">
        <v>28499</v>
      </c>
      <c r="O6127" t="s">
        <v>28500</v>
      </c>
      <c r="P6127" t="s">
        <v>28499</v>
      </c>
      <c r="Q6127" t="s">
        <v>28501</v>
      </c>
      <c r="R6127">
        <v>17</v>
      </c>
      <c r="S6127">
        <v>32</v>
      </c>
    </row>
    <row r="6128" spans="1:19" x14ac:dyDescent="0.35">
      <c r="A6128">
        <v>8332</v>
      </c>
      <c r="B6128" t="s">
        <v>551</v>
      </c>
      <c r="C6128" t="s">
        <v>42</v>
      </c>
      <c r="D6128" t="s">
        <v>28502</v>
      </c>
      <c r="E6128" t="e" cm="1">
        <f t="array" ref="E6128">- POVIDONE-IODINE</f>
        <v>#NAME?</v>
      </c>
      <c r="F6128" t="s">
        <v>28503</v>
      </c>
      <c r="G6128" t="s">
        <v>28504</v>
      </c>
      <c r="H6128" t="s">
        <v>28505</v>
      </c>
      <c r="I6128" t="s">
        <v>28506</v>
      </c>
      <c r="J6128" t="s">
        <v>2040</v>
      </c>
      <c r="K6128" t="s">
        <v>14873</v>
      </c>
      <c r="L6128" t="s">
        <v>14874</v>
      </c>
      <c r="M6128" t="s">
        <v>554</v>
      </c>
      <c r="N6128" t="s">
        <v>555</v>
      </c>
      <c r="O6128" t="s">
        <v>28507</v>
      </c>
      <c r="P6128" t="s">
        <v>14876</v>
      </c>
      <c r="Q6128" t="s">
        <v>28508</v>
      </c>
      <c r="R6128">
        <v>17</v>
      </c>
      <c r="S6128">
        <v>32</v>
      </c>
    </row>
    <row r="6129" spans="1:19" x14ac:dyDescent="0.35">
      <c r="A6129">
        <v>8333</v>
      </c>
      <c r="B6129" t="s">
        <v>551</v>
      </c>
      <c r="C6129" t="s">
        <v>42</v>
      </c>
      <c r="D6129" t="s">
        <v>28502</v>
      </c>
      <c r="E6129" t="e" cm="1">
        <f t="array" ref="E6129">- POVIDONE-IODINE</f>
        <v>#NAME?</v>
      </c>
      <c r="F6129" t="s">
        <v>28503</v>
      </c>
      <c r="G6129" t="s">
        <v>28504</v>
      </c>
      <c r="H6129" t="s">
        <v>28505</v>
      </c>
      <c r="I6129" t="s">
        <v>28506</v>
      </c>
      <c r="J6129" t="s">
        <v>2040</v>
      </c>
      <c r="K6129" t="s">
        <v>14873</v>
      </c>
      <c r="L6129" t="s">
        <v>14874</v>
      </c>
      <c r="M6129" t="s">
        <v>554</v>
      </c>
      <c r="N6129" t="s">
        <v>555</v>
      </c>
      <c r="O6129" t="s">
        <v>28507</v>
      </c>
      <c r="P6129" t="s">
        <v>14876</v>
      </c>
      <c r="Q6129" t="s">
        <v>28508</v>
      </c>
      <c r="R6129">
        <v>17</v>
      </c>
      <c r="S6129">
        <v>32</v>
      </c>
    </row>
    <row r="6130" spans="1:19" x14ac:dyDescent="0.35">
      <c r="A6130">
        <v>3483</v>
      </c>
      <c r="B6130" t="s">
        <v>28509</v>
      </c>
      <c r="C6130" t="s">
        <v>42</v>
      </c>
      <c r="D6130" t="s">
        <v>28510</v>
      </c>
      <c r="E6130" t="e" cm="1">
        <f t="array" ref="E6130">- DOMPERIDONE</f>
        <v>#NAME?</v>
      </c>
      <c r="F6130" t="s">
        <v>28511</v>
      </c>
      <c r="G6130" t="s">
        <v>28298</v>
      </c>
      <c r="H6130" t="s">
        <v>1589</v>
      </c>
      <c r="I6130" t="s">
        <v>28299</v>
      </c>
      <c r="J6130" t="s">
        <v>334</v>
      </c>
      <c r="K6130" t="s">
        <v>28300</v>
      </c>
      <c r="L6130" t="s">
        <v>28301</v>
      </c>
      <c r="M6130" t="s">
        <v>340</v>
      </c>
      <c r="N6130" t="s">
        <v>341</v>
      </c>
      <c r="O6130" t="s">
        <v>28302</v>
      </c>
      <c r="P6130" t="s">
        <v>28482</v>
      </c>
      <c r="Q6130" t="s">
        <v>28512</v>
      </c>
      <c r="R6130">
        <v>17</v>
      </c>
      <c r="S6130">
        <v>32</v>
      </c>
    </row>
    <row r="6131" spans="1:19" x14ac:dyDescent="0.35">
      <c r="A6131">
        <v>7055</v>
      </c>
      <c r="B6131" t="s">
        <v>1803</v>
      </c>
      <c r="C6131" t="s">
        <v>42</v>
      </c>
      <c r="D6131" t="s">
        <v>28513</v>
      </c>
      <c r="E6131" t="e" cm="1">
        <f t="array" ref="E6131">- TIZANIDINE HYDROCHLORIDE</f>
        <v>#NAME?</v>
      </c>
      <c r="F6131" t="s">
        <v>28514</v>
      </c>
      <c r="I6131" t="s">
        <v>28515</v>
      </c>
      <c r="J6131" t="s">
        <v>8120</v>
      </c>
      <c r="M6131" t="s">
        <v>46</v>
      </c>
      <c r="N6131" t="s">
        <v>1806</v>
      </c>
      <c r="O6131" t="s">
        <v>28516</v>
      </c>
      <c r="P6131" t="s">
        <v>28517</v>
      </c>
      <c r="Q6131" t="s">
        <v>28518</v>
      </c>
      <c r="R6131">
        <v>17</v>
      </c>
      <c r="S6131">
        <v>32</v>
      </c>
    </row>
    <row r="6132" spans="1:19" x14ac:dyDescent="0.35">
      <c r="A6132">
        <v>7054</v>
      </c>
      <c r="B6132" t="s">
        <v>1803</v>
      </c>
      <c r="C6132" t="s">
        <v>42</v>
      </c>
      <c r="D6132" t="s">
        <v>28519</v>
      </c>
      <c r="E6132" t="e" cm="1">
        <f t="array" ref="E6132">- TIZANIDINE HYDROCHLORIDE</f>
        <v>#NAME?</v>
      </c>
      <c r="F6132" t="s">
        <v>28520</v>
      </c>
      <c r="H6132" t="s">
        <v>1322</v>
      </c>
      <c r="I6132" t="s">
        <v>28515</v>
      </c>
      <c r="J6132" t="s">
        <v>17066</v>
      </c>
      <c r="K6132" t="s">
        <v>3473</v>
      </c>
      <c r="M6132" t="s">
        <v>46</v>
      </c>
      <c r="N6132" t="s">
        <v>1806</v>
      </c>
      <c r="O6132" t="s">
        <v>28516</v>
      </c>
      <c r="P6132" t="s">
        <v>28521</v>
      </c>
      <c r="Q6132" t="s">
        <v>28522</v>
      </c>
      <c r="R6132">
        <v>17</v>
      </c>
      <c r="S6132">
        <v>32</v>
      </c>
    </row>
    <row r="6133" spans="1:19" x14ac:dyDescent="0.35">
      <c r="A6133">
        <v>8334</v>
      </c>
      <c r="B6133" t="s">
        <v>551</v>
      </c>
      <c r="C6133" t="s">
        <v>42</v>
      </c>
      <c r="D6133" t="s">
        <v>28523</v>
      </c>
      <c r="E6133" t="e" cm="1">
        <f t="array" ref="E6133">- POVIDONE-IODINE</f>
        <v>#NAME?</v>
      </c>
      <c r="F6133" t="s">
        <v>28524</v>
      </c>
      <c r="G6133" t="s">
        <v>28504</v>
      </c>
      <c r="H6133" t="s">
        <v>28505</v>
      </c>
      <c r="I6133" t="s">
        <v>28506</v>
      </c>
      <c r="J6133" t="s">
        <v>1367</v>
      </c>
      <c r="K6133" t="s">
        <v>14873</v>
      </c>
      <c r="L6133" t="s">
        <v>28525</v>
      </c>
      <c r="M6133" t="s">
        <v>554</v>
      </c>
      <c r="N6133" t="s">
        <v>555</v>
      </c>
      <c r="O6133" t="s">
        <v>28507</v>
      </c>
      <c r="P6133" t="s">
        <v>14876</v>
      </c>
      <c r="Q6133" t="s">
        <v>28508</v>
      </c>
      <c r="R6133">
        <v>17</v>
      </c>
      <c r="S6133">
        <v>32</v>
      </c>
    </row>
    <row r="6134" spans="1:19" x14ac:dyDescent="0.35">
      <c r="A6134">
        <v>1352</v>
      </c>
      <c r="B6134" t="s">
        <v>28526</v>
      </c>
      <c r="C6134" t="s">
        <v>42</v>
      </c>
      <c r="D6134" t="s">
        <v>28527</v>
      </c>
      <c r="E6134" t="e" cm="1">
        <f t="array" ref="E6134">- PHENYLPROPANOLAMINE HYDROCHLORIDE. PARACETAMOL. CHLORPHENAMINE MALEATE. DEXTROMETHORPHAN HYDROBROMIDE</f>
        <v>#NAME?</v>
      </c>
      <c r="F6134" t="s">
        <v>28528</v>
      </c>
      <c r="G6134" t="s">
        <v>60</v>
      </c>
      <c r="H6134" t="s">
        <v>28529</v>
      </c>
      <c r="I6134" t="s">
        <v>18534</v>
      </c>
      <c r="J6134" t="s">
        <v>3167</v>
      </c>
      <c r="K6134" t="s">
        <v>18535</v>
      </c>
      <c r="L6134" t="s">
        <v>18536</v>
      </c>
      <c r="M6134" t="s">
        <v>271</v>
      </c>
      <c r="N6134" t="s">
        <v>28530</v>
      </c>
      <c r="O6134" t="s">
        <v>18537</v>
      </c>
      <c r="P6134" t="s">
        <v>28531</v>
      </c>
      <c r="Q6134" t="s">
        <v>28532</v>
      </c>
      <c r="R6134">
        <v>17</v>
      </c>
      <c r="S6134">
        <v>32</v>
      </c>
    </row>
    <row r="6135" spans="1:19" x14ac:dyDescent="0.35">
      <c r="A6135">
        <v>8335</v>
      </c>
      <c r="B6135" t="s">
        <v>551</v>
      </c>
      <c r="C6135" t="s">
        <v>42</v>
      </c>
      <c r="D6135" t="s">
        <v>28523</v>
      </c>
      <c r="E6135" t="e" cm="1">
        <f t="array" ref="E6135">- POVIDONE-IODINE</f>
        <v>#NAME?</v>
      </c>
      <c r="F6135" t="s">
        <v>28524</v>
      </c>
      <c r="G6135" t="s">
        <v>28504</v>
      </c>
      <c r="H6135" t="s">
        <v>28505</v>
      </c>
      <c r="I6135" t="s">
        <v>28506</v>
      </c>
      <c r="J6135" t="s">
        <v>1367</v>
      </c>
      <c r="K6135" t="s">
        <v>14873</v>
      </c>
      <c r="L6135" t="s">
        <v>28525</v>
      </c>
      <c r="M6135" t="s">
        <v>554</v>
      </c>
      <c r="N6135" t="s">
        <v>555</v>
      </c>
      <c r="O6135" t="s">
        <v>28507</v>
      </c>
      <c r="P6135" t="s">
        <v>14876</v>
      </c>
      <c r="Q6135" t="s">
        <v>28508</v>
      </c>
      <c r="R6135">
        <v>17</v>
      </c>
      <c r="S6135">
        <v>32</v>
      </c>
    </row>
    <row r="6136" spans="1:19" x14ac:dyDescent="0.35">
      <c r="A6136">
        <v>7035</v>
      </c>
      <c r="B6136" t="s">
        <v>1803</v>
      </c>
      <c r="C6136" t="s">
        <v>42</v>
      </c>
      <c r="D6136" t="s">
        <v>27809</v>
      </c>
      <c r="E6136" t="e" cm="1">
        <f t="array" ref="E6136">- TIZANIDINE HYDROCHLORIDE</f>
        <v>#NAME?</v>
      </c>
      <c r="F6136" s="1">
        <v>119000</v>
      </c>
      <c r="G6136" t="s">
        <v>27810</v>
      </c>
      <c r="H6136" t="s">
        <v>1322</v>
      </c>
      <c r="I6136" t="s">
        <v>27811</v>
      </c>
      <c r="J6136" t="s">
        <v>614</v>
      </c>
      <c r="L6136" t="s">
        <v>27812</v>
      </c>
      <c r="M6136" t="s">
        <v>46</v>
      </c>
      <c r="N6136" t="s">
        <v>1806</v>
      </c>
      <c r="O6136" t="s">
        <v>27813</v>
      </c>
      <c r="P6136" t="s">
        <v>27814</v>
      </c>
      <c r="Q6136" t="s">
        <v>28533</v>
      </c>
      <c r="R6136">
        <v>17</v>
      </c>
      <c r="S6136">
        <v>32</v>
      </c>
    </row>
    <row r="6137" spans="1:19" x14ac:dyDescent="0.35">
      <c r="A6137">
        <v>4874</v>
      </c>
      <c r="B6137" t="s">
        <v>28534</v>
      </c>
      <c r="C6137" t="s">
        <v>42</v>
      </c>
      <c r="D6137" t="s">
        <v>28535</v>
      </c>
      <c r="E6137" t="e" cm="1">
        <f t="array" ref="E6137">- TIMOLOL MALEATE</f>
        <v>#NAME?</v>
      </c>
      <c r="F6137" t="s">
        <v>28536</v>
      </c>
      <c r="G6137" t="s">
        <v>11067</v>
      </c>
      <c r="H6137" t="s">
        <v>28537</v>
      </c>
      <c r="I6137" t="s">
        <v>28538</v>
      </c>
      <c r="J6137" t="s">
        <v>25399</v>
      </c>
      <c r="K6137" t="s">
        <v>25161</v>
      </c>
      <c r="L6137" t="s">
        <v>28539</v>
      </c>
      <c r="M6137" t="s">
        <v>824</v>
      </c>
      <c r="N6137" t="s">
        <v>6219</v>
      </c>
      <c r="O6137" t="s">
        <v>28540</v>
      </c>
      <c r="P6137" t="s">
        <v>28541</v>
      </c>
      <c r="Q6137" t="s">
        <v>28542</v>
      </c>
      <c r="R6137">
        <v>17</v>
      </c>
      <c r="S6137">
        <v>32</v>
      </c>
    </row>
    <row r="6138" spans="1:19" x14ac:dyDescent="0.35">
      <c r="A6138">
        <v>2470</v>
      </c>
      <c r="B6138" t="s">
        <v>27258</v>
      </c>
      <c r="C6138" t="s">
        <v>42</v>
      </c>
      <c r="D6138" t="s">
        <v>27259</v>
      </c>
      <c r="E6138" t="e" cm="1">
        <f t="array" ref="E6138">- DEXKETOPROFEN TROMETAMOL</f>
        <v>#NAME?</v>
      </c>
      <c r="F6138" t="s">
        <v>23381</v>
      </c>
      <c r="G6138" t="s">
        <v>27260</v>
      </c>
      <c r="H6138" t="s">
        <v>27261</v>
      </c>
      <c r="I6138" t="s">
        <v>27262</v>
      </c>
      <c r="J6138" t="s">
        <v>45</v>
      </c>
      <c r="K6138" t="s">
        <v>2858</v>
      </c>
      <c r="L6138" t="s">
        <v>27263</v>
      </c>
    </row>
    <row r="6139" spans="1:19" x14ac:dyDescent="0.35">
      <c r="A6139">
        <v>5709</v>
      </c>
      <c r="B6139" t="s">
        <v>28543</v>
      </c>
      <c r="C6139" t="s">
        <v>42</v>
      </c>
      <c r="D6139" t="s">
        <v>28544</v>
      </c>
      <c r="E6139" t="e" cm="1">
        <f t="array" ref="E6139">- ERYTHROMYCIN ETHYL SUCCINATE</f>
        <v>#NAME?</v>
      </c>
      <c r="F6139" t="s">
        <v>28545</v>
      </c>
      <c r="G6139" t="s">
        <v>2266</v>
      </c>
      <c r="H6139" t="s">
        <v>28546</v>
      </c>
    </row>
    <row r="6140" spans="1:19" x14ac:dyDescent="0.35">
      <c r="A6140">
        <v>4875</v>
      </c>
      <c r="B6140" t="s">
        <v>28534</v>
      </c>
      <c r="C6140" t="s">
        <v>42</v>
      </c>
      <c r="D6140" t="s">
        <v>28535</v>
      </c>
      <c r="E6140" t="e" cm="1">
        <f t="array" ref="E6140">- TIMOLOL MALEATE</f>
        <v>#NAME?</v>
      </c>
      <c r="F6140" t="s">
        <v>28536</v>
      </c>
      <c r="G6140" t="s">
        <v>11067</v>
      </c>
      <c r="H6140" t="s">
        <v>28537</v>
      </c>
      <c r="I6140" t="s">
        <v>28538</v>
      </c>
      <c r="J6140" t="s">
        <v>25399</v>
      </c>
      <c r="K6140" t="s">
        <v>25161</v>
      </c>
      <c r="L6140" t="s">
        <v>28539</v>
      </c>
      <c r="M6140" t="s">
        <v>824</v>
      </c>
      <c r="N6140" t="s">
        <v>6219</v>
      </c>
      <c r="O6140" t="s">
        <v>28540</v>
      </c>
      <c r="P6140" t="s">
        <v>28541</v>
      </c>
      <c r="Q6140" t="s">
        <v>28542</v>
      </c>
      <c r="R6140">
        <v>17</v>
      </c>
      <c r="S6140">
        <v>32</v>
      </c>
    </row>
    <row r="6141" spans="1:19" x14ac:dyDescent="0.35">
      <c r="A6141">
        <v>5710</v>
      </c>
      <c r="B6141" t="s">
        <v>28543</v>
      </c>
      <c r="C6141" t="s">
        <v>42</v>
      </c>
      <c r="D6141" t="s">
        <v>28544</v>
      </c>
      <c r="E6141" t="e" cm="1">
        <f t="array" ref="E6141">- ERYTHROMYCIN ETHYL SUCCINATE</f>
        <v>#NAME?</v>
      </c>
      <c r="F6141" t="s">
        <v>28545</v>
      </c>
      <c r="G6141" t="s">
        <v>2266</v>
      </c>
      <c r="H6141" t="s">
        <v>28546</v>
      </c>
    </row>
    <row r="6142" spans="1:19" x14ac:dyDescent="0.35">
      <c r="A6142">
        <v>931</v>
      </c>
      <c r="B6142" t="s">
        <v>28547</v>
      </c>
      <c r="C6142" t="s">
        <v>42</v>
      </c>
      <c r="D6142" t="s">
        <v>28548</v>
      </c>
      <c r="E6142" t="s">
        <v>28549</v>
      </c>
      <c r="F6142" t="s">
        <v>28550</v>
      </c>
      <c r="G6142" t="s">
        <v>2241</v>
      </c>
      <c r="H6142" t="s">
        <v>28551</v>
      </c>
      <c r="I6142" t="s">
        <v>28552</v>
      </c>
      <c r="J6142" t="s">
        <v>334</v>
      </c>
      <c r="K6142" t="s">
        <v>28553</v>
      </c>
      <c r="L6142" t="s">
        <v>28554</v>
      </c>
      <c r="M6142" t="s">
        <v>271</v>
      </c>
      <c r="N6142" t="s">
        <v>28555</v>
      </c>
      <c r="O6142" t="s">
        <v>28556</v>
      </c>
      <c r="P6142" t="s">
        <v>28557</v>
      </c>
      <c r="Q6142" t="s">
        <v>28558</v>
      </c>
      <c r="R6142">
        <v>17</v>
      </c>
      <c r="S6142">
        <v>32</v>
      </c>
    </row>
    <row r="6143" spans="1:19" x14ac:dyDescent="0.35">
      <c r="A6143">
        <v>7634</v>
      </c>
      <c r="B6143" t="s">
        <v>28559</v>
      </c>
      <c r="C6143" t="s">
        <v>20</v>
      </c>
      <c r="D6143" t="s">
        <v>28560</v>
      </c>
      <c r="E6143" t="s">
        <v>28561</v>
      </c>
      <c r="F6143" t="s">
        <v>28562</v>
      </c>
      <c r="H6143" t="s">
        <v>28563</v>
      </c>
      <c r="I6143" t="s">
        <v>28564</v>
      </c>
      <c r="J6143" t="s">
        <v>28565</v>
      </c>
      <c r="L6143" t="s">
        <v>28566</v>
      </c>
      <c r="M6143" t="s">
        <v>38</v>
      </c>
      <c r="N6143" t="s">
        <v>28567</v>
      </c>
      <c r="O6143" t="s">
        <v>28568</v>
      </c>
      <c r="P6143" t="s">
        <v>28567</v>
      </c>
      <c r="Q6143" t="s">
        <v>28569</v>
      </c>
      <c r="R6143">
        <v>17</v>
      </c>
      <c r="S6143">
        <v>32</v>
      </c>
    </row>
    <row r="6144" spans="1:19" x14ac:dyDescent="0.35">
      <c r="A6144">
        <v>929</v>
      </c>
      <c r="B6144" t="s">
        <v>22097</v>
      </c>
      <c r="C6144" t="s">
        <v>42</v>
      </c>
      <c r="D6144" t="s">
        <v>22098</v>
      </c>
      <c r="E6144" t="e" cm="1">
        <f t="array" ref="E6144">- PARACETAMOL. PHENYLPROPANOLAMINE HYDROCHLORIDE. CHLORPHENAMINE MALEATE</f>
        <v>#NAME?</v>
      </c>
      <c r="F6144" t="s">
        <v>22099</v>
      </c>
      <c r="G6144" t="s">
        <v>5839</v>
      </c>
      <c r="H6144" t="s">
        <v>22100</v>
      </c>
      <c r="I6144" t="s">
        <v>22101</v>
      </c>
      <c r="J6144" t="s">
        <v>22102</v>
      </c>
      <c r="K6144" t="s">
        <v>22103</v>
      </c>
      <c r="L6144" t="s">
        <v>22104</v>
      </c>
      <c r="M6144" t="s">
        <v>291</v>
      </c>
      <c r="N6144" t="s">
        <v>20189</v>
      </c>
      <c r="O6144" t="s">
        <v>22105</v>
      </c>
      <c r="P6144" t="s">
        <v>22106</v>
      </c>
      <c r="Q6144" t="s">
        <v>28570</v>
      </c>
      <c r="R6144">
        <v>17</v>
      </c>
      <c r="S6144">
        <v>32</v>
      </c>
    </row>
    <row r="6145" spans="1:19" x14ac:dyDescent="0.35">
      <c r="A6145">
        <v>9217</v>
      </c>
      <c r="B6145" t="s">
        <v>28571</v>
      </c>
      <c r="C6145" t="s">
        <v>42</v>
      </c>
      <c r="D6145" t="s">
        <v>28572</v>
      </c>
      <c r="E6145" t="e" cm="1">
        <f t="array" ref="E6145">- AMILORIDE HYDROCHLORIDE</f>
        <v>#NAME?</v>
      </c>
      <c r="F6145" t="s">
        <v>28573</v>
      </c>
      <c r="G6145" t="s">
        <v>2241</v>
      </c>
      <c r="H6145" t="s">
        <v>4751</v>
      </c>
      <c r="I6145" t="s">
        <v>28574</v>
      </c>
      <c r="J6145" t="s">
        <v>16804</v>
      </c>
      <c r="K6145" t="s">
        <v>28575</v>
      </c>
      <c r="L6145" t="s">
        <v>28576</v>
      </c>
      <c r="M6145" t="s">
        <v>46</v>
      </c>
      <c r="N6145" t="s">
        <v>28577</v>
      </c>
      <c r="O6145" t="s">
        <v>28578</v>
      </c>
      <c r="P6145" t="s">
        <v>28579</v>
      </c>
      <c r="Q6145" t="s">
        <v>28580</v>
      </c>
      <c r="R6145">
        <v>17</v>
      </c>
      <c r="S6145">
        <v>32</v>
      </c>
    </row>
    <row r="6146" spans="1:19" x14ac:dyDescent="0.35">
      <c r="A6146">
        <v>3440</v>
      </c>
      <c r="B6146" t="s">
        <v>28581</v>
      </c>
      <c r="C6146" t="s">
        <v>42</v>
      </c>
      <c r="D6146" t="s">
        <v>28582</v>
      </c>
      <c r="E6146" t="e" cm="1">
        <f t="array" ref="E6146">- ALUMINIUM HYDROXIDE GEL</f>
        <v>#NAME?</v>
      </c>
      <c r="F6146" t="s">
        <v>28583</v>
      </c>
      <c r="G6146" t="s">
        <v>28584</v>
      </c>
      <c r="H6146" t="s">
        <v>28585</v>
      </c>
      <c r="I6146" t="s">
        <v>28586</v>
      </c>
      <c r="J6146" t="s">
        <v>13867</v>
      </c>
      <c r="K6146" t="s">
        <v>28587</v>
      </c>
      <c r="M6146" t="s">
        <v>340</v>
      </c>
      <c r="N6146" t="s">
        <v>15939</v>
      </c>
      <c r="O6146" t="s">
        <v>28588</v>
      </c>
      <c r="P6146" t="s">
        <v>28589</v>
      </c>
      <c r="Q6146" t="s">
        <v>28590</v>
      </c>
      <c r="R6146">
        <v>17</v>
      </c>
      <c r="S6146">
        <v>32</v>
      </c>
    </row>
    <row r="6147" spans="1:19" x14ac:dyDescent="0.35">
      <c r="A6147">
        <v>5728</v>
      </c>
      <c r="B6147" t="s">
        <v>28591</v>
      </c>
      <c r="C6147" t="s">
        <v>42</v>
      </c>
      <c r="D6147" t="s">
        <v>28592</v>
      </c>
      <c r="E6147" t="e" cm="1">
        <f t="array" ref="E6147">- THIAMPHENICOL</f>
        <v>#NAME?</v>
      </c>
      <c r="F6147" t="s">
        <v>28593</v>
      </c>
      <c r="G6147" t="s">
        <v>2241</v>
      </c>
      <c r="H6147" t="s">
        <v>28594</v>
      </c>
      <c r="I6147" t="s">
        <v>28595</v>
      </c>
      <c r="J6147" t="s">
        <v>810</v>
      </c>
      <c r="K6147" t="s">
        <v>28596</v>
      </c>
      <c r="L6147" t="s">
        <v>28597</v>
      </c>
      <c r="M6147" t="s">
        <v>38</v>
      </c>
      <c r="N6147" t="s">
        <v>272</v>
      </c>
      <c r="O6147" t="s">
        <v>28598</v>
      </c>
      <c r="P6147" t="s">
        <v>272</v>
      </c>
      <c r="Q6147" t="s">
        <v>28599</v>
      </c>
      <c r="R6147">
        <v>17</v>
      </c>
      <c r="S6147">
        <v>32</v>
      </c>
    </row>
    <row r="6148" spans="1:19" x14ac:dyDescent="0.35">
      <c r="A6148">
        <v>5727</v>
      </c>
      <c r="B6148" t="s">
        <v>28591</v>
      </c>
      <c r="C6148" t="s">
        <v>42</v>
      </c>
      <c r="D6148" t="s">
        <v>28592</v>
      </c>
      <c r="E6148" t="e" cm="1">
        <f t="array" ref="E6148">- THIAMPHENICOL</f>
        <v>#NAME?</v>
      </c>
      <c r="F6148" t="s">
        <v>28593</v>
      </c>
      <c r="G6148" t="s">
        <v>2241</v>
      </c>
      <c r="H6148" t="s">
        <v>28594</v>
      </c>
      <c r="I6148" t="s">
        <v>28595</v>
      </c>
      <c r="J6148" t="s">
        <v>810</v>
      </c>
      <c r="K6148" t="s">
        <v>28596</v>
      </c>
      <c r="L6148" t="s">
        <v>28597</v>
      </c>
      <c r="M6148" t="s">
        <v>38</v>
      </c>
      <c r="N6148" t="s">
        <v>272</v>
      </c>
      <c r="O6148" t="s">
        <v>28598</v>
      </c>
      <c r="P6148" t="s">
        <v>272</v>
      </c>
      <c r="Q6148" t="s">
        <v>28599</v>
      </c>
      <c r="R6148">
        <v>17</v>
      </c>
      <c r="S6148">
        <v>32</v>
      </c>
    </row>
    <row r="6149" spans="1:19" x14ac:dyDescent="0.35">
      <c r="A6149">
        <v>5698</v>
      </c>
      <c r="B6149" t="s">
        <v>28600</v>
      </c>
      <c r="C6149" t="s">
        <v>42</v>
      </c>
      <c r="D6149" t="s">
        <v>28601</v>
      </c>
      <c r="E6149" t="e" cm="1">
        <f t="array" ref="E6149">- CEFADROXIL MONOHYDRATE</f>
        <v>#NAME?</v>
      </c>
      <c r="F6149" s="1">
        <v>22800</v>
      </c>
      <c r="G6149" t="s">
        <v>11706</v>
      </c>
      <c r="H6149" t="s">
        <v>28602</v>
      </c>
      <c r="I6149" t="s">
        <v>28603</v>
      </c>
      <c r="J6149" t="s">
        <v>810</v>
      </c>
      <c r="K6149" t="s">
        <v>2858</v>
      </c>
      <c r="L6149" t="s">
        <v>28604</v>
      </c>
      <c r="M6149" t="s">
        <v>38</v>
      </c>
      <c r="N6149" t="s">
        <v>1777</v>
      </c>
      <c r="O6149" t="s">
        <v>28605</v>
      </c>
      <c r="P6149" t="s">
        <v>21357</v>
      </c>
      <c r="Q6149" t="s">
        <v>28606</v>
      </c>
      <c r="R6149">
        <v>17</v>
      </c>
      <c r="S6149">
        <v>32</v>
      </c>
    </row>
    <row r="6150" spans="1:19" x14ac:dyDescent="0.35">
      <c r="A6150">
        <v>1553</v>
      </c>
      <c r="B6150" t="s">
        <v>24335</v>
      </c>
      <c r="C6150" t="s">
        <v>42</v>
      </c>
      <c r="D6150" t="s">
        <v>24336</v>
      </c>
      <c r="E6150" t="e" cm="1">
        <f t="array" ref="E6150">- PHENYLEPHRINE HYDROCHLORIDE. DEXTROMETHORPHAN HYDROBROMIDE</f>
        <v>#NAME?</v>
      </c>
      <c r="F6150" t="s">
        <v>14485</v>
      </c>
      <c r="G6150" t="s">
        <v>5192</v>
      </c>
      <c r="H6150" t="s">
        <v>24337</v>
      </c>
      <c r="I6150" t="s">
        <v>24338</v>
      </c>
      <c r="J6150" t="s">
        <v>24339</v>
      </c>
      <c r="K6150" t="s">
        <v>24340</v>
      </c>
      <c r="M6150" t="s">
        <v>46</v>
      </c>
      <c r="N6150" t="s">
        <v>28463</v>
      </c>
      <c r="O6150" t="s">
        <v>24341</v>
      </c>
      <c r="P6150" t="s">
        <v>24342</v>
      </c>
      <c r="Q6150" t="s">
        <v>28464</v>
      </c>
      <c r="R6150">
        <v>17</v>
      </c>
      <c r="S6150">
        <v>32</v>
      </c>
    </row>
    <row r="6151" spans="1:19" x14ac:dyDescent="0.35">
      <c r="A6151">
        <v>5697</v>
      </c>
      <c r="B6151" t="s">
        <v>28607</v>
      </c>
      <c r="C6151" t="s">
        <v>42</v>
      </c>
      <c r="D6151" t="s">
        <v>28608</v>
      </c>
      <c r="E6151" t="e" cm="1">
        <f t="array" ref="E6151">- LINCOMYCIN HYDROCHLORIDE</f>
        <v>#NAME?</v>
      </c>
      <c r="F6151" t="s">
        <v>28609</v>
      </c>
      <c r="G6151" t="s">
        <v>8205</v>
      </c>
      <c r="H6151" t="s">
        <v>28610</v>
      </c>
      <c r="I6151" t="s">
        <v>28611</v>
      </c>
      <c r="J6151" t="s">
        <v>14775</v>
      </c>
      <c r="K6151" t="s">
        <v>28612</v>
      </c>
      <c r="L6151" t="s">
        <v>28613</v>
      </c>
      <c r="M6151" t="s">
        <v>38</v>
      </c>
      <c r="N6151" t="s">
        <v>9272</v>
      </c>
      <c r="O6151" t="s">
        <v>28614</v>
      </c>
      <c r="P6151" t="s">
        <v>28615</v>
      </c>
      <c r="Q6151" t="s">
        <v>28616</v>
      </c>
      <c r="R6151">
        <v>17</v>
      </c>
      <c r="S6151">
        <v>32</v>
      </c>
    </row>
    <row r="6152" spans="1:19" x14ac:dyDescent="0.35">
      <c r="A6152">
        <v>5696</v>
      </c>
      <c r="B6152" t="s">
        <v>28607</v>
      </c>
      <c r="C6152" t="s">
        <v>42</v>
      </c>
      <c r="D6152" t="s">
        <v>28608</v>
      </c>
      <c r="E6152" t="e" cm="1">
        <f t="array" ref="E6152">- LINCOMYCIN HYDROCHLORIDE</f>
        <v>#NAME?</v>
      </c>
      <c r="F6152" t="s">
        <v>28609</v>
      </c>
      <c r="G6152" t="s">
        <v>8205</v>
      </c>
      <c r="H6152" t="s">
        <v>28610</v>
      </c>
      <c r="I6152" t="s">
        <v>28611</v>
      </c>
      <c r="J6152" t="s">
        <v>14775</v>
      </c>
      <c r="K6152" t="s">
        <v>28612</v>
      </c>
      <c r="L6152" t="s">
        <v>28613</v>
      </c>
      <c r="M6152" t="s">
        <v>38</v>
      </c>
      <c r="N6152" t="s">
        <v>9272</v>
      </c>
      <c r="O6152" t="s">
        <v>28614</v>
      </c>
      <c r="P6152" t="s">
        <v>28615</v>
      </c>
      <c r="Q6152" t="s">
        <v>28616</v>
      </c>
      <c r="R6152">
        <v>17</v>
      </c>
      <c r="S6152">
        <v>32</v>
      </c>
    </row>
    <row r="6153" spans="1:19" x14ac:dyDescent="0.35">
      <c r="A6153">
        <v>1071</v>
      </c>
      <c r="B6153" t="s">
        <v>28617</v>
      </c>
      <c r="C6153" t="s">
        <v>42</v>
      </c>
      <c r="D6153" t="s">
        <v>28618</v>
      </c>
      <c r="E6153" t="e" cm="1">
        <f t="array" ref="E6153">- CHLORPHENAMINE MALEATE</f>
        <v>#NAME?</v>
      </c>
      <c r="F6153" t="s">
        <v>28619</v>
      </c>
      <c r="G6153" t="s">
        <v>2241</v>
      </c>
      <c r="H6153" t="s">
        <v>28620</v>
      </c>
      <c r="I6153" t="s">
        <v>28621</v>
      </c>
      <c r="J6153" t="s">
        <v>3797</v>
      </c>
      <c r="K6153" t="s">
        <v>28622</v>
      </c>
      <c r="L6153" t="s">
        <v>28623</v>
      </c>
      <c r="M6153" t="s">
        <v>291</v>
      </c>
      <c r="N6153" t="s">
        <v>1354</v>
      </c>
      <c r="O6153" t="s">
        <v>28624</v>
      </c>
      <c r="P6153" t="s">
        <v>28625</v>
      </c>
      <c r="Q6153" t="s">
        <v>28626</v>
      </c>
      <c r="R6153">
        <v>17</v>
      </c>
      <c r="S6153">
        <v>32</v>
      </c>
    </row>
    <row r="6154" spans="1:19" x14ac:dyDescent="0.35">
      <c r="A6154">
        <v>4831</v>
      </c>
      <c r="B6154" t="s">
        <v>18060</v>
      </c>
      <c r="C6154" t="s">
        <v>42</v>
      </c>
      <c r="D6154" t="s">
        <v>18061</v>
      </c>
      <c r="E6154" t="e" cm="1">
        <f t="array" ref="E6154">- POLYMYXIN B SULFATE. GRAMICIDIN. NEOMYCIN SULFATE</f>
        <v>#NAME?</v>
      </c>
      <c r="F6154" t="s">
        <v>18062</v>
      </c>
      <c r="G6154" t="s">
        <v>18063</v>
      </c>
      <c r="H6154" t="s">
        <v>319</v>
      </c>
      <c r="I6154" t="s">
        <v>18064</v>
      </c>
      <c r="J6154" t="s">
        <v>7544</v>
      </c>
      <c r="K6154" t="s">
        <v>2726</v>
      </c>
      <c r="L6154" t="s">
        <v>321</v>
      </c>
      <c r="M6154" t="s">
        <v>1029</v>
      </c>
      <c r="N6154" t="s">
        <v>28627</v>
      </c>
      <c r="O6154" t="s">
        <v>18066</v>
      </c>
      <c r="P6154" t="s">
        <v>18067</v>
      </c>
      <c r="Q6154" t="s">
        <v>28628</v>
      </c>
      <c r="R6154">
        <v>17</v>
      </c>
      <c r="S6154">
        <v>32</v>
      </c>
    </row>
    <row r="6155" spans="1:19" x14ac:dyDescent="0.35">
      <c r="A6155">
        <v>3505</v>
      </c>
      <c r="B6155" t="s">
        <v>21046</v>
      </c>
      <c r="C6155" t="s">
        <v>42</v>
      </c>
      <c r="D6155" t="s">
        <v>21047</v>
      </c>
      <c r="E6155" t="e" cm="1">
        <f t="array" ref="E6155">- PYRATHIAZINE THEOCLATE. PYRIDOXINE HYDROCHLORIDE</f>
        <v>#NAME?</v>
      </c>
      <c r="F6155" t="s">
        <v>21048</v>
      </c>
      <c r="G6155" t="s">
        <v>21049</v>
      </c>
      <c r="H6155" t="s">
        <v>21050</v>
      </c>
      <c r="I6155" t="s">
        <v>21051</v>
      </c>
      <c r="J6155" t="s">
        <v>10764</v>
      </c>
      <c r="K6155" t="s">
        <v>21052</v>
      </c>
      <c r="L6155" t="s">
        <v>14652</v>
      </c>
      <c r="M6155" t="s">
        <v>46</v>
      </c>
      <c r="N6155" t="s">
        <v>23056</v>
      </c>
      <c r="O6155" t="s">
        <v>21053</v>
      </c>
      <c r="P6155" t="s">
        <v>21054</v>
      </c>
      <c r="Q6155" t="s">
        <v>28629</v>
      </c>
      <c r="R6155">
        <v>17</v>
      </c>
      <c r="S6155">
        <v>32</v>
      </c>
    </row>
    <row r="6156" spans="1:19" x14ac:dyDescent="0.35">
      <c r="A6156">
        <v>4834</v>
      </c>
      <c r="B6156" t="s">
        <v>28630</v>
      </c>
      <c r="C6156" t="s">
        <v>42</v>
      </c>
      <c r="D6156" t="s">
        <v>28631</v>
      </c>
      <c r="E6156" t="e" cm="1">
        <f t="array" ref="E6156">- DEXAMETHASONE</f>
        <v>#NAME?</v>
      </c>
      <c r="F6156" t="s">
        <v>28632</v>
      </c>
      <c r="G6156" t="s">
        <v>28633</v>
      </c>
      <c r="H6156" t="s">
        <v>7570</v>
      </c>
      <c r="I6156" t="s">
        <v>28634</v>
      </c>
      <c r="J6156" t="s">
        <v>28635</v>
      </c>
      <c r="K6156" t="s">
        <v>2858</v>
      </c>
      <c r="L6156" t="s">
        <v>28636</v>
      </c>
      <c r="M6156" t="s">
        <v>1029</v>
      </c>
      <c r="N6156" t="s">
        <v>3779</v>
      </c>
      <c r="O6156" t="s">
        <v>28637</v>
      </c>
      <c r="P6156" t="s">
        <v>28638</v>
      </c>
      <c r="Q6156" t="s">
        <v>28639</v>
      </c>
      <c r="R6156">
        <v>17</v>
      </c>
      <c r="S6156">
        <v>32</v>
      </c>
    </row>
    <row r="6157" spans="1:19" x14ac:dyDescent="0.35">
      <c r="A6157">
        <v>4835</v>
      </c>
      <c r="B6157" t="s">
        <v>28630</v>
      </c>
      <c r="C6157" t="s">
        <v>42</v>
      </c>
      <c r="D6157" t="s">
        <v>28631</v>
      </c>
      <c r="E6157" t="e" cm="1">
        <f t="array" ref="E6157">- DEXAMETHASONE</f>
        <v>#NAME?</v>
      </c>
      <c r="F6157" t="s">
        <v>28632</v>
      </c>
      <c r="G6157" t="s">
        <v>28633</v>
      </c>
      <c r="H6157" t="s">
        <v>7570</v>
      </c>
      <c r="I6157" t="s">
        <v>28634</v>
      </c>
      <c r="J6157" t="s">
        <v>28635</v>
      </c>
      <c r="K6157" t="s">
        <v>2858</v>
      </c>
      <c r="L6157" t="s">
        <v>28636</v>
      </c>
      <c r="M6157" t="s">
        <v>1029</v>
      </c>
      <c r="N6157" t="s">
        <v>3779</v>
      </c>
      <c r="O6157" t="s">
        <v>28637</v>
      </c>
      <c r="P6157" t="s">
        <v>28638</v>
      </c>
      <c r="Q6157" t="s">
        <v>28639</v>
      </c>
      <c r="R6157">
        <v>17</v>
      </c>
      <c r="S6157">
        <v>32</v>
      </c>
    </row>
    <row r="6158" spans="1:19" x14ac:dyDescent="0.35">
      <c r="A6158">
        <v>3395</v>
      </c>
      <c r="B6158" t="s">
        <v>28640</v>
      </c>
      <c r="C6158" t="s">
        <v>42</v>
      </c>
      <c r="D6158" t="s">
        <v>28641</v>
      </c>
      <c r="E6158" t="e" cm="1">
        <f t="array" ref="E6158">- FAMOTIDINE</f>
        <v>#NAME?</v>
      </c>
      <c r="F6158" t="s">
        <v>28642</v>
      </c>
      <c r="G6158" t="s">
        <v>6310</v>
      </c>
      <c r="H6158" t="s">
        <v>28643</v>
      </c>
      <c r="I6158" t="s">
        <v>28644</v>
      </c>
      <c r="J6158" t="s">
        <v>28645</v>
      </c>
      <c r="K6158" t="s">
        <v>10673</v>
      </c>
      <c r="L6158" t="s">
        <v>28646</v>
      </c>
      <c r="M6158" t="s">
        <v>46</v>
      </c>
      <c r="N6158" t="s">
        <v>10675</v>
      </c>
      <c r="O6158" t="s">
        <v>28647</v>
      </c>
      <c r="P6158" t="s">
        <v>28648</v>
      </c>
      <c r="Q6158" t="s">
        <v>28649</v>
      </c>
      <c r="R6158">
        <v>17</v>
      </c>
      <c r="S6158">
        <v>32</v>
      </c>
    </row>
    <row r="6159" spans="1:19" x14ac:dyDescent="0.35">
      <c r="A6159">
        <v>3504</v>
      </c>
      <c r="B6159" t="s">
        <v>21046</v>
      </c>
      <c r="C6159" t="s">
        <v>42</v>
      </c>
      <c r="D6159" t="s">
        <v>21047</v>
      </c>
      <c r="E6159" t="e" cm="1">
        <f t="array" ref="E6159">- PYRATHIAZINE THEOCLATE. PYRIDOXINE HYDROCHLORIDE</f>
        <v>#NAME?</v>
      </c>
      <c r="F6159" t="s">
        <v>21048</v>
      </c>
      <c r="G6159" t="s">
        <v>21049</v>
      </c>
      <c r="H6159" t="s">
        <v>21050</v>
      </c>
      <c r="I6159" t="s">
        <v>21051</v>
      </c>
      <c r="J6159" t="s">
        <v>10764</v>
      </c>
      <c r="K6159" t="s">
        <v>21052</v>
      </c>
      <c r="L6159" t="s">
        <v>14652</v>
      </c>
      <c r="M6159" t="s">
        <v>46</v>
      </c>
      <c r="N6159" t="s">
        <v>23056</v>
      </c>
      <c r="O6159" t="s">
        <v>21053</v>
      </c>
      <c r="P6159" t="s">
        <v>21054</v>
      </c>
      <c r="Q6159" t="s">
        <v>28629</v>
      </c>
      <c r="R6159">
        <v>17</v>
      </c>
      <c r="S6159">
        <v>32</v>
      </c>
    </row>
    <row r="6160" spans="1:19" x14ac:dyDescent="0.35">
      <c r="A6160">
        <v>1614</v>
      </c>
      <c r="B6160" t="s">
        <v>28650</v>
      </c>
      <c r="C6160" t="s">
        <v>42</v>
      </c>
      <c r="D6160" t="s">
        <v>28651</v>
      </c>
      <c r="E6160" t="e" cm="1">
        <f t="array" ref="E6160">- ERDOSTEINE</f>
        <v>#NAME?</v>
      </c>
      <c r="F6160" t="s">
        <v>28652</v>
      </c>
      <c r="G6160" t="s">
        <v>8861</v>
      </c>
      <c r="H6160" t="s">
        <v>28653</v>
      </c>
      <c r="I6160" t="s">
        <v>28654</v>
      </c>
      <c r="J6160" t="s">
        <v>334</v>
      </c>
      <c r="K6160" t="s">
        <v>28655</v>
      </c>
      <c r="L6160" t="s">
        <v>8890</v>
      </c>
      <c r="M6160" t="s">
        <v>271</v>
      </c>
      <c r="N6160" t="s">
        <v>471</v>
      </c>
      <c r="O6160" t="s">
        <v>28656</v>
      </c>
      <c r="P6160" t="s">
        <v>8867</v>
      </c>
      <c r="Q6160" t="s">
        <v>28657</v>
      </c>
      <c r="R6160">
        <v>17</v>
      </c>
      <c r="S6160">
        <v>32</v>
      </c>
    </row>
    <row r="6161" spans="1:19" x14ac:dyDescent="0.35">
      <c r="A6161">
        <v>1613</v>
      </c>
      <c r="B6161" t="s">
        <v>28650</v>
      </c>
      <c r="C6161" t="s">
        <v>42</v>
      </c>
      <c r="D6161" t="s">
        <v>28651</v>
      </c>
      <c r="E6161" t="e" cm="1">
        <f t="array" ref="E6161">- ERDOSTEINE</f>
        <v>#NAME?</v>
      </c>
      <c r="F6161" t="s">
        <v>28652</v>
      </c>
      <c r="G6161" t="s">
        <v>8861</v>
      </c>
      <c r="H6161" t="s">
        <v>28653</v>
      </c>
      <c r="I6161" t="s">
        <v>28654</v>
      </c>
      <c r="J6161" t="s">
        <v>334</v>
      </c>
      <c r="K6161" t="s">
        <v>28655</v>
      </c>
      <c r="L6161" t="s">
        <v>8890</v>
      </c>
      <c r="M6161" t="s">
        <v>271</v>
      </c>
      <c r="N6161" t="s">
        <v>471</v>
      </c>
      <c r="O6161" t="s">
        <v>28656</v>
      </c>
      <c r="P6161" t="s">
        <v>8867</v>
      </c>
      <c r="Q6161" t="s">
        <v>28657</v>
      </c>
      <c r="R6161">
        <v>17</v>
      </c>
      <c r="S6161">
        <v>32</v>
      </c>
    </row>
    <row r="6162" spans="1:19" x14ac:dyDescent="0.35">
      <c r="A6162">
        <v>2506</v>
      </c>
      <c r="B6162" t="s">
        <v>13527</v>
      </c>
      <c r="C6162" t="s">
        <v>42</v>
      </c>
      <c r="D6162" t="s">
        <v>13528</v>
      </c>
      <c r="E6162" t="e" cm="1">
        <f t="array" ref="E6162">- THIAMINE HYDROCHLORIDE. PYRIDOXINE HYDROCHLORIDE. METAMIZOLE SODIUM MONOHYDRATE. CYANOCOBALAMIN</f>
        <v>#NAME?</v>
      </c>
      <c r="F6162" t="s">
        <v>13529</v>
      </c>
      <c r="G6162" t="s">
        <v>4640</v>
      </c>
      <c r="H6162" t="s">
        <v>13530</v>
      </c>
      <c r="I6162" t="s">
        <v>13531</v>
      </c>
      <c r="J6162" t="s">
        <v>515</v>
      </c>
      <c r="K6162" t="s">
        <v>13532</v>
      </c>
      <c r="L6162" t="s">
        <v>321</v>
      </c>
      <c r="M6162" t="s">
        <v>291</v>
      </c>
      <c r="N6162" t="s">
        <v>28658</v>
      </c>
      <c r="O6162" t="s">
        <v>13533</v>
      </c>
      <c r="P6162" t="s">
        <v>13534</v>
      </c>
      <c r="Q6162" t="s">
        <v>28659</v>
      </c>
      <c r="R6162">
        <v>17</v>
      </c>
      <c r="S6162">
        <v>32</v>
      </c>
    </row>
    <row r="6163" spans="1:19" x14ac:dyDescent="0.35">
      <c r="A6163">
        <v>3396</v>
      </c>
      <c r="B6163" t="s">
        <v>28640</v>
      </c>
      <c r="C6163" t="s">
        <v>42</v>
      </c>
      <c r="D6163" t="s">
        <v>28641</v>
      </c>
      <c r="E6163" t="e" cm="1">
        <f t="array" ref="E6163">- FAMOTIDINE</f>
        <v>#NAME?</v>
      </c>
      <c r="F6163" t="s">
        <v>28642</v>
      </c>
      <c r="G6163" t="s">
        <v>6310</v>
      </c>
      <c r="H6163" t="s">
        <v>28643</v>
      </c>
      <c r="I6163" t="s">
        <v>28644</v>
      </c>
      <c r="J6163" t="s">
        <v>28645</v>
      </c>
      <c r="K6163" t="s">
        <v>10673</v>
      </c>
      <c r="L6163" t="s">
        <v>28646</v>
      </c>
      <c r="M6163" t="s">
        <v>46</v>
      </c>
      <c r="N6163" t="s">
        <v>10675</v>
      </c>
      <c r="O6163" t="s">
        <v>28647</v>
      </c>
      <c r="P6163" t="s">
        <v>28648</v>
      </c>
      <c r="Q6163" t="s">
        <v>28649</v>
      </c>
      <c r="R6163">
        <v>17</v>
      </c>
      <c r="S6163">
        <v>32</v>
      </c>
    </row>
    <row r="6164" spans="1:19" x14ac:dyDescent="0.35">
      <c r="A6164">
        <v>2505</v>
      </c>
      <c r="B6164" t="s">
        <v>13527</v>
      </c>
      <c r="C6164" t="s">
        <v>42</v>
      </c>
      <c r="D6164" t="s">
        <v>13528</v>
      </c>
      <c r="E6164" t="e" cm="1">
        <f t="array" ref="E6164">- THIAMINE HYDROCHLORIDE. PYRIDOXINE HYDROCHLORIDE. METAMIZOLE SODIUM MONOHYDRATE. CYANOCOBALAMIN</f>
        <v>#NAME?</v>
      </c>
      <c r="F6164" t="s">
        <v>13529</v>
      </c>
      <c r="G6164" t="s">
        <v>4640</v>
      </c>
      <c r="H6164" t="s">
        <v>13530</v>
      </c>
      <c r="I6164" t="s">
        <v>13531</v>
      </c>
      <c r="J6164" t="s">
        <v>515</v>
      </c>
      <c r="K6164" t="s">
        <v>13532</v>
      </c>
      <c r="L6164" t="s">
        <v>321</v>
      </c>
      <c r="M6164" t="s">
        <v>291</v>
      </c>
      <c r="N6164" t="s">
        <v>28658</v>
      </c>
      <c r="O6164" t="s">
        <v>13533</v>
      </c>
      <c r="P6164" t="s">
        <v>13534</v>
      </c>
      <c r="Q6164" t="s">
        <v>28659</v>
      </c>
      <c r="R6164">
        <v>17</v>
      </c>
      <c r="S6164">
        <v>32</v>
      </c>
    </row>
    <row r="6165" spans="1:19" x14ac:dyDescent="0.35">
      <c r="A6165">
        <v>3503</v>
      </c>
      <c r="B6165" t="s">
        <v>28660</v>
      </c>
      <c r="C6165" t="s">
        <v>42</v>
      </c>
      <c r="D6165" t="s">
        <v>28661</v>
      </c>
      <c r="E6165" t="e" cm="1">
        <f t="array" ref="E6165">- DIMENHYDRINATE</f>
        <v>#NAME?</v>
      </c>
      <c r="F6165" t="s">
        <v>28662</v>
      </c>
      <c r="G6165" t="s">
        <v>28663</v>
      </c>
      <c r="H6165" t="s">
        <v>28309</v>
      </c>
      <c r="I6165" t="s">
        <v>28310</v>
      </c>
      <c r="J6165" t="s">
        <v>20500</v>
      </c>
      <c r="K6165" t="s">
        <v>28664</v>
      </c>
      <c r="L6165" t="s">
        <v>28311</v>
      </c>
      <c r="M6165" t="s">
        <v>340</v>
      </c>
      <c r="N6165" t="s">
        <v>329</v>
      </c>
      <c r="O6165" t="s">
        <v>28313</v>
      </c>
      <c r="P6165" t="s">
        <v>28665</v>
      </c>
      <c r="Q6165" t="s">
        <v>28666</v>
      </c>
      <c r="R6165">
        <v>17</v>
      </c>
      <c r="S6165">
        <v>32</v>
      </c>
    </row>
    <row r="6166" spans="1:19" x14ac:dyDescent="0.35">
      <c r="A6166">
        <v>4918</v>
      </c>
      <c r="B6166" t="s">
        <v>28667</v>
      </c>
      <c r="C6166" t="s">
        <v>42</v>
      </c>
      <c r="D6166" t="s">
        <v>28668</v>
      </c>
      <c r="E6166" t="e" cm="1">
        <f t="array" ref="E6166">- BENZOYL PEROXIDE</f>
        <v>#NAME?</v>
      </c>
      <c r="F6166" t="s">
        <v>28669</v>
      </c>
      <c r="G6166" t="s">
        <v>28670</v>
      </c>
      <c r="H6166" t="s">
        <v>28671</v>
      </c>
      <c r="I6166" t="s">
        <v>28672</v>
      </c>
      <c r="J6166" t="s">
        <v>2049</v>
      </c>
      <c r="K6166" t="s">
        <v>28673</v>
      </c>
      <c r="L6166" t="s">
        <v>28674</v>
      </c>
      <c r="M6166" t="s">
        <v>87</v>
      </c>
      <c r="N6166" t="s">
        <v>6232</v>
      </c>
      <c r="O6166" t="s">
        <v>28675</v>
      </c>
      <c r="P6166" t="s">
        <v>28676</v>
      </c>
      <c r="Q6166" t="s">
        <v>28677</v>
      </c>
      <c r="R6166">
        <v>17</v>
      </c>
      <c r="S6166">
        <v>32</v>
      </c>
    </row>
    <row r="6167" spans="1:19" x14ac:dyDescent="0.35">
      <c r="A6167">
        <v>7065</v>
      </c>
      <c r="B6167" t="s">
        <v>1803</v>
      </c>
      <c r="C6167" t="s">
        <v>42</v>
      </c>
      <c r="D6167" t="s">
        <v>28678</v>
      </c>
      <c r="E6167" t="e" cm="1">
        <f t="array" ref="E6167">- TIZANIDINE HYDROCHLORIDE</f>
        <v>#NAME?</v>
      </c>
      <c r="F6167" s="1">
        <v>32400</v>
      </c>
      <c r="I6167" t="s">
        <v>28679</v>
      </c>
      <c r="J6167" t="s">
        <v>8289</v>
      </c>
      <c r="M6167" t="s">
        <v>46</v>
      </c>
      <c r="N6167" t="s">
        <v>1806</v>
      </c>
      <c r="O6167" t="s">
        <v>28680</v>
      </c>
      <c r="P6167" t="s">
        <v>28681</v>
      </c>
      <c r="Q6167" t="s">
        <v>28682</v>
      </c>
      <c r="R6167">
        <v>17</v>
      </c>
      <c r="S6167">
        <v>32</v>
      </c>
    </row>
    <row r="6168" spans="1:19" x14ac:dyDescent="0.35">
      <c r="A6168">
        <v>5688</v>
      </c>
      <c r="B6168" t="s">
        <v>28683</v>
      </c>
      <c r="C6168" t="s">
        <v>42</v>
      </c>
      <c r="D6168" t="s">
        <v>28684</v>
      </c>
      <c r="E6168" t="e" cm="1">
        <f t="array" ref="E6168">- AZITHROMYCIN DIHYDRATE</f>
        <v>#NAME?</v>
      </c>
      <c r="F6168" t="s">
        <v>28685</v>
      </c>
      <c r="G6168" t="s">
        <v>2855</v>
      </c>
      <c r="H6168" t="s">
        <v>28686</v>
      </c>
      <c r="I6168" t="s">
        <v>28687</v>
      </c>
      <c r="J6168" t="s">
        <v>28688</v>
      </c>
      <c r="K6168" t="s">
        <v>21144</v>
      </c>
      <c r="L6168" t="s">
        <v>28689</v>
      </c>
      <c r="M6168" t="s">
        <v>271</v>
      </c>
      <c r="N6168" t="s">
        <v>13005</v>
      </c>
      <c r="O6168" t="s">
        <v>28690</v>
      </c>
      <c r="P6168" t="s">
        <v>28691</v>
      </c>
      <c r="Q6168" t="s">
        <v>28692</v>
      </c>
      <c r="R6168">
        <v>17</v>
      </c>
      <c r="S6168">
        <v>32</v>
      </c>
    </row>
    <row r="6169" spans="1:19" x14ac:dyDescent="0.35">
      <c r="A6169">
        <v>4847</v>
      </c>
      <c r="B6169" t="s">
        <v>25192</v>
      </c>
      <c r="C6169" t="s">
        <v>42</v>
      </c>
      <c r="D6169" t="s">
        <v>25193</v>
      </c>
      <c r="E6169" t="e" cm="1">
        <f t="array" ref="E6169">- NAPHAZOLINE HYDROCHLORIDE. PHENIRAMINE MALEATE</f>
        <v>#NAME?</v>
      </c>
      <c r="F6169" t="s">
        <v>25194</v>
      </c>
      <c r="G6169" t="s">
        <v>25195</v>
      </c>
      <c r="H6169" t="s">
        <v>25196</v>
      </c>
      <c r="I6169" t="s">
        <v>25197</v>
      </c>
      <c r="J6169" t="s">
        <v>9310</v>
      </c>
      <c r="K6169" t="s">
        <v>25198</v>
      </c>
      <c r="L6169" t="s">
        <v>25199</v>
      </c>
      <c r="M6169" t="s">
        <v>824</v>
      </c>
      <c r="N6169" t="s">
        <v>28693</v>
      </c>
      <c r="O6169" t="s">
        <v>25200</v>
      </c>
      <c r="P6169" t="s">
        <v>25201</v>
      </c>
      <c r="Q6169" t="s">
        <v>28694</v>
      </c>
      <c r="R6169">
        <v>17</v>
      </c>
      <c r="S6169">
        <v>32</v>
      </c>
    </row>
    <row r="6170" spans="1:19" x14ac:dyDescent="0.35">
      <c r="A6170">
        <v>1606</v>
      </c>
      <c r="B6170" t="s">
        <v>15382</v>
      </c>
      <c r="C6170" t="s">
        <v>42</v>
      </c>
      <c r="D6170" t="s">
        <v>15383</v>
      </c>
      <c r="E6170" t="e" cm="1">
        <f t="array" ref="E6170">- DIPHENHYDRAMINE HYDROCHLORIDE. DEXTROMETHORPHAN HYDROBROMIDE. PHENYLPROPANOLAMINE HYDROCHLORIDE. AMMONIUM CHLORIDE</f>
        <v>#NAME?</v>
      </c>
      <c r="F6170" t="s">
        <v>15384</v>
      </c>
      <c r="G6170" t="s">
        <v>2241</v>
      </c>
      <c r="H6170" t="s">
        <v>15385</v>
      </c>
      <c r="I6170" t="s">
        <v>15386</v>
      </c>
      <c r="J6170" t="s">
        <v>334</v>
      </c>
      <c r="K6170" t="s">
        <v>2726</v>
      </c>
      <c r="M6170" t="s">
        <v>271</v>
      </c>
      <c r="N6170" t="s">
        <v>28695</v>
      </c>
      <c r="O6170" t="s">
        <v>15387</v>
      </c>
      <c r="P6170" t="s">
        <v>15388</v>
      </c>
      <c r="Q6170" t="s">
        <v>28696</v>
      </c>
      <c r="R6170">
        <v>17</v>
      </c>
      <c r="S6170">
        <v>32</v>
      </c>
    </row>
    <row r="6171" spans="1:19" x14ac:dyDescent="0.35">
      <c r="A6171">
        <v>1605</v>
      </c>
      <c r="B6171" t="s">
        <v>15382</v>
      </c>
      <c r="C6171" t="s">
        <v>42</v>
      </c>
      <c r="D6171" t="s">
        <v>15383</v>
      </c>
      <c r="E6171" t="e" cm="1">
        <f t="array" ref="E6171">- DIPHENHYDRAMINE HYDROCHLORIDE. DEXTROMETHORPHAN HYDROBROMIDE. PHENYLPROPANOLAMINE HYDROCHLORIDE. AMMONIUM CHLORIDE</f>
        <v>#NAME?</v>
      </c>
      <c r="F6171" t="s">
        <v>15384</v>
      </c>
      <c r="G6171" t="s">
        <v>2241</v>
      </c>
      <c r="H6171" t="s">
        <v>15385</v>
      </c>
      <c r="I6171" t="s">
        <v>15386</v>
      </c>
      <c r="J6171" t="s">
        <v>334</v>
      </c>
      <c r="K6171" t="s">
        <v>2726</v>
      </c>
      <c r="M6171" t="s">
        <v>271</v>
      </c>
      <c r="N6171" t="s">
        <v>28695</v>
      </c>
      <c r="O6171" t="s">
        <v>15387</v>
      </c>
      <c r="P6171" t="s">
        <v>15388</v>
      </c>
      <c r="Q6171" t="s">
        <v>28696</v>
      </c>
      <c r="R6171">
        <v>17</v>
      </c>
      <c r="S6171">
        <v>32</v>
      </c>
    </row>
    <row r="6172" spans="1:19" x14ac:dyDescent="0.35">
      <c r="A6172">
        <v>1599</v>
      </c>
      <c r="B6172" t="s">
        <v>28697</v>
      </c>
      <c r="C6172" t="s">
        <v>42</v>
      </c>
      <c r="D6172" t="s">
        <v>28698</v>
      </c>
      <c r="E6172" t="e" cm="1">
        <f t="array" ref="E6172">- AMBROXOL HYDROCHLORIDE</f>
        <v>#NAME?</v>
      </c>
      <c r="F6172" t="s">
        <v>28699</v>
      </c>
      <c r="G6172" t="s">
        <v>28700</v>
      </c>
      <c r="H6172" t="s">
        <v>28701</v>
      </c>
      <c r="I6172" t="s">
        <v>28702</v>
      </c>
      <c r="J6172" t="s">
        <v>28703</v>
      </c>
      <c r="L6172" t="s">
        <v>28704</v>
      </c>
      <c r="M6172" t="s">
        <v>271</v>
      </c>
      <c r="N6172" t="s">
        <v>1800</v>
      </c>
      <c r="O6172" t="s">
        <v>28705</v>
      </c>
      <c r="P6172" t="s">
        <v>28706</v>
      </c>
      <c r="Q6172" t="s">
        <v>28707</v>
      </c>
      <c r="R6172">
        <v>17</v>
      </c>
      <c r="S6172">
        <v>32</v>
      </c>
    </row>
    <row r="6173" spans="1:19" x14ac:dyDescent="0.35">
      <c r="A6173">
        <v>7012</v>
      </c>
      <c r="B6173" t="s">
        <v>1803</v>
      </c>
      <c r="C6173" t="s">
        <v>42</v>
      </c>
      <c r="D6173" t="s">
        <v>27407</v>
      </c>
      <c r="E6173" t="e" cm="1">
        <f t="array" ref="E6173">- TIZANIDINE HYDROCHLORIDE</f>
        <v>#NAME?</v>
      </c>
      <c r="F6173" t="s">
        <v>28708</v>
      </c>
      <c r="H6173" t="s">
        <v>1322</v>
      </c>
      <c r="I6173" t="s">
        <v>27409</v>
      </c>
      <c r="J6173" t="s">
        <v>8106</v>
      </c>
      <c r="L6173" t="s">
        <v>27410</v>
      </c>
      <c r="M6173" t="s">
        <v>46</v>
      </c>
      <c r="N6173" t="s">
        <v>1806</v>
      </c>
      <c r="O6173" t="s">
        <v>27411</v>
      </c>
      <c r="P6173" t="s">
        <v>27412</v>
      </c>
      <c r="Q6173" t="s">
        <v>28709</v>
      </c>
      <c r="R6173">
        <v>17</v>
      </c>
      <c r="S6173">
        <v>32</v>
      </c>
    </row>
    <row r="6174" spans="1:19" x14ac:dyDescent="0.35">
      <c r="A6174">
        <v>700</v>
      </c>
      <c r="B6174" t="s">
        <v>16963</v>
      </c>
      <c r="C6174" t="s">
        <v>20</v>
      </c>
      <c r="D6174" t="s">
        <v>28710</v>
      </c>
      <c r="E6174" t="s">
        <v>16965</v>
      </c>
      <c r="F6174" t="s">
        <v>28711</v>
      </c>
      <c r="G6174" t="s">
        <v>25779</v>
      </c>
      <c r="H6174" t="s">
        <v>16968</v>
      </c>
      <c r="I6174" t="s">
        <v>28712</v>
      </c>
      <c r="J6174" t="s">
        <v>852</v>
      </c>
      <c r="L6174" t="s">
        <v>26620</v>
      </c>
      <c r="M6174" t="s">
        <v>2115</v>
      </c>
      <c r="N6174" t="s">
        <v>16970</v>
      </c>
      <c r="O6174" t="s">
        <v>28713</v>
      </c>
      <c r="P6174" t="s">
        <v>16972</v>
      </c>
      <c r="Q6174" t="s">
        <v>28714</v>
      </c>
      <c r="R6174">
        <v>17</v>
      </c>
      <c r="S6174">
        <v>32</v>
      </c>
    </row>
    <row r="6175" spans="1:19" x14ac:dyDescent="0.35">
      <c r="A6175">
        <v>5767</v>
      </c>
      <c r="B6175" t="s">
        <v>28715</v>
      </c>
      <c r="C6175" t="s">
        <v>42</v>
      </c>
      <c r="D6175" t="s">
        <v>27703</v>
      </c>
      <c r="E6175" t="e" cm="1">
        <f t="array" ref="E6175">- CHLORAMPHENICOL</f>
        <v>#NAME?</v>
      </c>
      <c r="F6175" s="1">
        <v>26700</v>
      </c>
      <c r="G6175" t="s">
        <v>25624</v>
      </c>
      <c r="I6175" t="s">
        <v>25625</v>
      </c>
      <c r="J6175" t="s">
        <v>27479</v>
      </c>
      <c r="M6175" t="s">
        <v>38</v>
      </c>
      <c r="N6175" t="s">
        <v>1188</v>
      </c>
      <c r="O6175" t="s">
        <v>25626</v>
      </c>
      <c r="P6175" t="s">
        <v>27480</v>
      </c>
      <c r="Q6175" t="s">
        <v>28716</v>
      </c>
      <c r="R6175">
        <v>17</v>
      </c>
      <c r="S6175">
        <v>32</v>
      </c>
    </row>
    <row r="6176" spans="1:19" x14ac:dyDescent="0.35">
      <c r="A6176">
        <v>699</v>
      </c>
      <c r="B6176" t="s">
        <v>16963</v>
      </c>
      <c r="C6176" t="s">
        <v>20</v>
      </c>
      <c r="D6176" t="s">
        <v>28717</v>
      </c>
      <c r="E6176" t="s">
        <v>16965</v>
      </c>
      <c r="F6176" t="s">
        <v>28718</v>
      </c>
      <c r="G6176" t="s">
        <v>25779</v>
      </c>
      <c r="H6176" t="s">
        <v>16968</v>
      </c>
      <c r="I6176" t="s">
        <v>28712</v>
      </c>
      <c r="J6176" t="s">
        <v>28719</v>
      </c>
      <c r="L6176" t="s">
        <v>26620</v>
      </c>
      <c r="M6176" t="s">
        <v>2115</v>
      </c>
      <c r="N6176" t="s">
        <v>16970</v>
      </c>
      <c r="O6176" t="s">
        <v>28713</v>
      </c>
      <c r="P6176" t="s">
        <v>16972</v>
      </c>
      <c r="Q6176" t="s">
        <v>28714</v>
      </c>
      <c r="R6176">
        <v>17</v>
      </c>
      <c r="S6176">
        <v>32</v>
      </c>
    </row>
    <row r="6177" spans="1:19" x14ac:dyDescent="0.35">
      <c r="A6177">
        <v>7648</v>
      </c>
      <c r="B6177" t="s">
        <v>28720</v>
      </c>
      <c r="C6177" t="s">
        <v>20</v>
      </c>
      <c r="D6177" t="s">
        <v>28721</v>
      </c>
      <c r="E6177" t="s">
        <v>28722</v>
      </c>
      <c r="F6177" t="s">
        <v>28723</v>
      </c>
      <c r="G6177" t="s">
        <v>28724</v>
      </c>
      <c r="H6177" t="s">
        <v>28725</v>
      </c>
      <c r="I6177" t="s">
        <v>28726</v>
      </c>
      <c r="J6177" t="s">
        <v>28727</v>
      </c>
      <c r="L6177" t="s">
        <v>28728</v>
      </c>
      <c r="M6177" t="s">
        <v>46</v>
      </c>
      <c r="N6177" t="s">
        <v>28729</v>
      </c>
      <c r="O6177" t="s">
        <v>28730</v>
      </c>
      <c r="P6177" t="s">
        <v>28729</v>
      </c>
      <c r="Q6177" t="s">
        <v>28731</v>
      </c>
      <c r="R6177">
        <v>17</v>
      </c>
      <c r="S6177">
        <v>32</v>
      </c>
    </row>
    <row r="6178" spans="1:19" x14ac:dyDescent="0.35">
      <c r="A6178">
        <v>3491</v>
      </c>
      <c r="B6178" t="s">
        <v>28477</v>
      </c>
      <c r="C6178" t="s">
        <v>42</v>
      </c>
      <c r="D6178" t="s">
        <v>28478</v>
      </c>
      <c r="E6178" t="e" cm="1">
        <f t="array" ref="E6178">- DOMPERIDONE</f>
        <v>#NAME?</v>
      </c>
      <c r="F6178" t="s">
        <v>28479</v>
      </c>
      <c r="G6178" t="s">
        <v>28480</v>
      </c>
      <c r="H6178" t="s">
        <v>1589</v>
      </c>
      <c r="I6178" t="s">
        <v>28481</v>
      </c>
      <c r="J6178" t="s">
        <v>1647</v>
      </c>
      <c r="K6178" t="s">
        <v>28300</v>
      </c>
      <c r="L6178" t="s">
        <v>28301</v>
      </c>
      <c r="M6178" t="s">
        <v>824</v>
      </c>
      <c r="N6178" t="s">
        <v>341</v>
      </c>
      <c r="O6178" t="s">
        <v>28302</v>
      </c>
      <c r="P6178" t="s">
        <v>28482</v>
      </c>
      <c r="Q6178" t="s">
        <v>28483</v>
      </c>
      <c r="R6178">
        <v>17</v>
      </c>
      <c r="S6178">
        <v>32</v>
      </c>
    </row>
    <row r="6179" spans="1:19" x14ac:dyDescent="0.35">
      <c r="A6179">
        <v>5580</v>
      </c>
      <c r="B6179" t="s">
        <v>28732</v>
      </c>
      <c r="C6179" t="s">
        <v>42</v>
      </c>
      <c r="D6179" t="s">
        <v>28733</v>
      </c>
      <c r="E6179" t="e" cm="1">
        <f t="array" ref="E6179">- UREA</f>
        <v>#NAME?</v>
      </c>
      <c r="F6179" t="s">
        <v>28734</v>
      </c>
      <c r="G6179" t="s">
        <v>28735</v>
      </c>
      <c r="H6179" t="s">
        <v>28736</v>
      </c>
      <c r="I6179" t="s">
        <v>28737</v>
      </c>
      <c r="J6179" t="s">
        <v>28738</v>
      </c>
      <c r="K6179" t="s">
        <v>28739</v>
      </c>
      <c r="L6179" t="s">
        <v>28740</v>
      </c>
      <c r="M6179" t="s">
        <v>1289</v>
      </c>
      <c r="N6179" t="s">
        <v>17295</v>
      </c>
      <c r="O6179" t="s">
        <v>28741</v>
      </c>
      <c r="P6179" t="s">
        <v>24069</v>
      </c>
      <c r="Q6179" t="s">
        <v>28742</v>
      </c>
      <c r="R6179">
        <v>17</v>
      </c>
      <c r="S6179">
        <v>32</v>
      </c>
    </row>
    <row r="6180" spans="1:19" x14ac:dyDescent="0.35">
      <c r="A6180">
        <v>3511</v>
      </c>
      <c r="B6180" t="s">
        <v>28305</v>
      </c>
      <c r="C6180" t="s">
        <v>42</v>
      </c>
      <c r="D6180" t="s">
        <v>28306</v>
      </c>
      <c r="E6180" t="e" cm="1">
        <f t="array" ref="E6180">- DIMENHYDRINATE</f>
        <v>#NAME?</v>
      </c>
      <c r="F6180" t="s">
        <v>28307</v>
      </c>
      <c r="G6180" t="s">
        <v>28308</v>
      </c>
      <c r="H6180" t="s">
        <v>28309</v>
      </c>
      <c r="I6180" t="s">
        <v>28310</v>
      </c>
      <c r="J6180" t="s">
        <v>20500</v>
      </c>
      <c r="K6180" t="s">
        <v>28311</v>
      </c>
      <c r="L6180" t="s">
        <v>28312</v>
      </c>
      <c r="M6180" t="s">
        <v>340</v>
      </c>
      <c r="N6180" t="s">
        <v>329</v>
      </c>
      <c r="O6180" t="s">
        <v>28313</v>
      </c>
      <c r="P6180" t="s">
        <v>28314</v>
      </c>
      <c r="Q6180" t="s">
        <v>28315</v>
      </c>
      <c r="R6180">
        <v>17</v>
      </c>
      <c r="S6180">
        <v>32</v>
      </c>
    </row>
    <row r="6181" spans="1:19" x14ac:dyDescent="0.35">
      <c r="A6181">
        <v>2050</v>
      </c>
      <c r="B6181" t="s">
        <v>28743</v>
      </c>
      <c r="C6181" t="s">
        <v>20</v>
      </c>
      <c r="D6181" t="s">
        <v>28744</v>
      </c>
      <c r="E6181" t="s">
        <v>28745</v>
      </c>
      <c r="F6181" t="s">
        <v>28746</v>
      </c>
      <c r="G6181" t="s">
        <v>2241</v>
      </c>
      <c r="H6181" t="s">
        <v>28747</v>
      </c>
      <c r="I6181" t="s">
        <v>28748</v>
      </c>
      <c r="J6181" t="s">
        <v>846</v>
      </c>
      <c r="M6181" t="s">
        <v>271</v>
      </c>
      <c r="N6181" t="s">
        <v>28749</v>
      </c>
      <c r="O6181" t="s">
        <v>28750</v>
      </c>
      <c r="P6181" t="s">
        <v>28749</v>
      </c>
      <c r="Q6181" t="s">
        <v>28751</v>
      </c>
      <c r="R6181">
        <v>17</v>
      </c>
      <c r="S6181">
        <v>32</v>
      </c>
    </row>
    <row r="6182" spans="1:19" x14ac:dyDescent="0.35">
      <c r="A6182">
        <v>5016</v>
      </c>
      <c r="B6182" t="s">
        <v>28752</v>
      </c>
      <c r="C6182" t="s">
        <v>42</v>
      </c>
      <c r="D6182" t="s">
        <v>28753</v>
      </c>
      <c r="E6182" t="e" cm="1">
        <f t="array" ref="E6182">- CLOBETASOL PROPIONATE</f>
        <v>#NAME?</v>
      </c>
      <c r="F6182" t="s">
        <v>28754</v>
      </c>
      <c r="G6182" t="s">
        <v>17290</v>
      </c>
      <c r="H6182" t="s">
        <v>26977</v>
      </c>
      <c r="I6182" t="s">
        <v>26978</v>
      </c>
      <c r="J6182" t="s">
        <v>7123</v>
      </c>
      <c r="K6182" t="s">
        <v>28755</v>
      </c>
      <c r="L6182" t="s">
        <v>28756</v>
      </c>
      <c r="M6182" t="s">
        <v>1289</v>
      </c>
      <c r="N6182" t="s">
        <v>3588</v>
      </c>
      <c r="O6182" t="s">
        <v>26981</v>
      </c>
      <c r="P6182" t="s">
        <v>28757</v>
      </c>
      <c r="Q6182" t="s">
        <v>28758</v>
      </c>
      <c r="R6182">
        <v>17</v>
      </c>
      <c r="S6182">
        <v>32</v>
      </c>
    </row>
    <row r="6183" spans="1:19" x14ac:dyDescent="0.35">
      <c r="A6183">
        <v>5017</v>
      </c>
      <c r="B6183" t="s">
        <v>28752</v>
      </c>
      <c r="C6183" t="s">
        <v>42</v>
      </c>
      <c r="D6183" t="s">
        <v>28753</v>
      </c>
      <c r="E6183" t="e" cm="1">
        <f t="array" ref="E6183">- CLOBETASOL PROPIONATE</f>
        <v>#NAME?</v>
      </c>
      <c r="F6183" t="s">
        <v>28754</v>
      </c>
      <c r="G6183" t="s">
        <v>17290</v>
      </c>
      <c r="H6183" t="s">
        <v>26977</v>
      </c>
      <c r="I6183" t="s">
        <v>26978</v>
      </c>
      <c r="J6183" t="s">
        <v>7123</v>
      </c>
      <c r="K6183" t="s">
        <v>28755</v>
      </c>
      <c r="L6183" t="s">
        <v>28756</v>
      </c>
      <c r="M6183" t="s">
        <v>1289</v>
      </c>
      <c r="N6183" t="s">
        <v>3588</v>
      </c>
      <c r="O6183" t="s">
        <v>26981</v>
      </c>
      <c r="P6183" t="s">
        <v>28757</v>
      </c>
      <c r="Q6183" t="s">
        <v>28758</v>
      </c>
      <c r="R6183">
        <v>17</v>
      </c>
      <c r="S6183">
        <v>32</v>
      </c>
    </row>
    <row r="6184" spans="1:19" x14ac:dyDescent="0.35">
      <c r="A6184">
        <v>1651</v>
      </c>
      <c r="B6184" t="s">
        <v>28759</v>
      </c>
      <c r="C6184" t="s">
        <v>42</v>
      </c>
      <c r="D6184" t="s">
        <v>28760</v>
      </c>
      <c r="E6184" t="e" cm="1">
        <f t="array" ref="E6184">- FEXOFENADINE HYDROCHLORIDE. PSEUDOEPHEDRINE HYDROCHLORIDE</f>
        <v>#NAME?</v>
      </c>
      <c r="G6184" t="s">
        <v>28761</v>
      </c>
      <c r="H6184" t="s">
        <v>28762</v>
      </c>
      <c r="I6184" t="s">
        <v>28763</v>
      </c>
      <c r="J6184" t="s">
        <v>28764</v>
      </c>
      <c r="K6184" t="s">
        <v>28765</v>
      </c>
      <c r="L6184" t="s">
        <v>28766</v>
      </c>
      <c r="M6184" t="s">
        <v>46</v>
      </c>
      <c r="N6184" t="s">
        <v>28767</v>
      </c>
      <c r="O6184" t="s">
        <v>28768</v>
      </c>
      <c r="P6184" t="s">
        <v>28769</v>
      </c>
      <c r="Q6184" t="s">
        <v>28770</v>
      </c>
      <c r="R6184">
        <v>17</v>
      </c>
      <c r="S6184">
        <v>32</v>
      </c>
    </row>
    <row r="6185" spans="1:19" x14ac:dyDescent="0.35">
      <c r="A6185">
        <v>342</v>
      </c>
      <c r="B6185" t="s">
        <v>28771</v>
      </c>
      <c r="C6185" t="s">
        <v>42</v>
      </c>
      <c r="D6185" t="s">
        <v>28772</v>
      </c>
      <c r="E6185" t="e" cm="1">
        <f t="array" ref="E6185">- ESTRADIOL HEMIHYDRATE</f>
        <v>#NAME?</v>
      </c>
      <c r="F6185" t="s">
        <v>28773</v>
      </c>
      <c r="G6185" t="s">
        <v>28774</v>
      </c>
      <c r="H6185" t="s">
        <v>28775</v>
      </c>
      <c r="I6185" t="s">
        <v>28776</v>
      </c>
      <c r="J6185" t="s">
        <v>28777</v>
      </c>
      <c r="L6185" t="s">
        <v>270</v>
      </c>
      <c r="M6185" t="s">
        <v>87</v>
      </c>
      <c r="N6185" t="s">
        <v>28778</v>
      </c>
      <c r="O6185" t="s">
        <v>28779</v>
      </c>
      <c r="P6185" t="s">
        <v>28780</v>
      </c>
      <c r="Q6185" t="s">
        <v>28781</v>
      </c>
      <c r="R6185">
        <v>17</v>
      </c>
      <c r="S6185">
        <v>32</v>
      </c>
    </row>
    <row r="6186" spans="1:19" x14ac:dyDescent="0.35">
      <c r="A6186">
        <v>1650</v>
      </c>
      <c r="B6186" t="s">
        <v>28759</v>
      </c>
      <c r="C6186" t="s">
        <v>42</v>
      </c>
      <c r="D6186" t="s">
        <v>28760</v>
      </c>
      <c r="E6186" t="e" cm="1">
        <f t="array" ref="E6186">- FEXOFENADINE HYDROCHLORIDE. PSEUDOEPHEDRINE HYDROCHLORIDE</f>
        <v>#NAME?</v>
      </c>
      <c r="G6186" t="s">
        <v>28761</v>
      </c>
      <c r="H6186" t="s">
        <v>28762</v>
      </c>
      <c r="I6186" t="s">
        <v>28763</v>
      </c>
      <c r="J6186" t="s">
        <v>28764</v>
      </c>
      <c r="K6186" t="s">
        <v>28765</v>
      </c>
      <c r="L6186" t="s">
        <v>28766</v>
      </c>
      <c r="M6186" t="s">
        <v>46</v>
      </c>
      <c r="N6186" t="s">
        <v>28767</v>
      </c>
      <c r="O6186" t="s">
        <v>28768</v>
      </c>
      <c r="P6186" t="s">
        <v>28769</v>
      </c>
      <c r="Q6186" t="s">
        <v>28770</v>
      </c>
      <c r="R6186">
        <v>17</v>
      </c>
      <c r="S6186">
        <v>32</v>
      </c>
    </row>
    <row r="6187" spans="1:19" x14ac:dyDescent="0.35">
      <c r="A6187">
        <v>3741</v>
      </c>
      <c r="B6187" t="s">
        <v>16693</v>
      </c>
      <c r="C6187" t="s">
        <v>42</v>
      </c>
      <c r="D6187" t="s">
        <v>16694</v>
      </c>
      <c r="E6187" t="e" cm="1">
        <f t="array" ref="E6187">- BENZOCAINE. ZINC OXIDE. DRIED ALUMINIUM HYDROXIDE GEL</f>
        <v>#NAME?</v>
      </c>
      <c r="F6187" t="s">
        <v>16695</v>
      </c>
      <c r="G6187" t="s">
        <v>16696</v>
      </c>
      <c r="H6187" t="s">
        <v>16697</v>
      </c>
      <c r="I6187" t="s">
        <v>16698</v>
      </c>
      <c r="J6187" t="s">
        <v>16699</v>
      </c>
      <c r="K6187" t="s">
        <v>2858</v>
      </c>
      <c r="L6187" t="s">
        <v>16700</v>
      </c>
      <c r="M6187" t="s">
        <v>720</v>
      </c>
      <c r="N6187" t="s">
        <v>28782</v>
      </c>
      <c r="O6187" t="s">
        <v>16701</v>
      </c>
      <c r="P6187" t="s">
        <v>16702</v>
      </c>
      <c r="Q6187" t="s">
        <v>28783</v>
      </c>
      <c r="R6187">
        <v>17</v>
      </c>
      <c r="S6187">
        <v>32</v>
      </c>
    </row>
    <row r="6188" spans="1:19" x14ac:dyDescent="0.35">
      <c r="A6188">
        <v>2049</v>
      </c>
      <c r="B6188" t="s">
        <v>28743</v>
      </c>
      <c r="C6188" t="s">
        <v>20</v>
      </c>
      <c r="D6188" t="s">
        <v>28744</v>
      </c>
      <c r="E6188" t="s">
        <v>28745</v>
      </c>
      <c r="F6188" t="s">
        <v>28746</v>
      </c>
      <c r="G6188" t="s">
        <v>2241</v>
      </c>
      <c r="H6188" t="s">
        <v>28747</v>
      </c>
      <c r="I6188" t="s">
        <v>28748</v>
      </c>
      <c r="J6188" t="s">
        <v>846</v>
      </c>
      <c r="M6188" t="s">
        <v>271</v>
      </c>
      <c r="N6188" t="s">
        <v>28749</v>
      </c>
      <c r="O6188" t="s">
        <v>28750</v>
      </c>
      <c r="P6188" t="s">
        <v>28749</v>
      </c>
      <c r="Q6188" t="s">
        <v>28751</v>
      </c>
      <c r="R6188">
        <v>17</v>
      </c>
      <c r="S6188">
        <v>32</v>
      </c>
    </row>
    <row r="6189" spans="1:19" x14ac:dyDescent="0.35">
      <c r="A6189">
        <v>7749</v>
      </c>
      <c r="B6189" t="s">
        <v>28784</v>
      </c>
      <c r="C6189" t="s">
        <v>42</v>
      </c>
      <c r="D6189" t="s">
        <v>28785</v>
      </c>
      <c r="E6189" t="e" cm="1">
        <f t="array" ref="E6189">- FOLIC ACID. CYANOCOBALAMIN. PYRIDOXINE HYDROCHLORIDE. THIAMINE NITRATE</f>
        <v>#NAME?</v>
      </c>
      <c r="F6189" t="s">
        <v>28786</v>
      </c>
      <c r="G6189" t="s">
        <v>7657</v>
      </c>
      <c r="H6189" t="s">
        <v>7658</v>
      </c>
      <c r="I6189" t="s">
        <v>28787</v>
      </c>
      <c r="J6189" t="s">
        <v>28788</v>
      </c>
      <c r="L6189" t="s">
        <v>7661</v>
      </c>
      <c r="M6189" t="s">
        <v>291</v>
      </c>
      <c r="N6189" t="s">
        <v>28789</v>
      </c>
      <c r="O6189" t="s">
        <v>28790</v>
      </c>
      <c r="P6189" t="s">
        <v>28791</v>
      </c>
      <c r="Q6189" t="s">
        <v>28792</v>
      </c>
      <c r="R6189">
        <v>17</v>
      </c>
      <c r="S6189">
        <v>32</v>
      </c>
    </row>
    <row r="6190" spans="1:19" x14ac:dyDescent="0.35">
      <c r="A6190">
        <v>7787</v>
      </c>
      <c r="B6190" t="s">
        <v>28793</v>
      </c>
      <c r="C6190" t="s">
        <v>20</v>
      </c>
      <c r="D6190" t="s">
        <v>28794</v>
      </c>
      <c r="E6190" t="s">
        <v>28795</v>
      </c>
      <c r="F6190" t="s">
        <v>28796</v>
      </c>
      <c r="G6190" t="s">
        <v>3970</v>
      </c>
      <c r="H6190" t="s">
        <v>28797</v>
      </c>
      <c r="I6190" t="s">
        <v>28798</v>
      </c>
      <c r="J6190" t="s">
        <v>9961</v>
      </c>
      <c r="L6190" t="s">
        <v>28799</v>
      </c>
      <c r="M6190" t="s">
        <v>38</v>
      </c>
      <c r="N6190" t="s">
        <v>28800</v>
      </c>
      <c r="O6190" t="s">
        <v>28801</v>
      </c>
      <c r="P6190" t="s">
        <v>28800</v>
      </c>
      <c r="Q6190" t="s">
        <v>28802</v>
      </c>
      <c r="R6190">
        <v>17</v>
      </c>
      <c r="S6190">
        <v>32</v>
      </c>
    </row>
    <row r="6191" spans="1:19" x14ac:dyDescent="0.35">
      <c r="A6191">
        <v>5996</v>
      </c>
      <c r="B6191" t="s">
        <v>28803</v>
      </c>
      <c r="C6191" t="s">
        <v>42</v>
      </c>
      <c r="D6191" t="s">
        <v>28804</v>
      </c>
      <c r="E6191" t="e" cm="1">
        <f t="array" ref="E6191">- AMOXICILLIN TRIHYDRATE</f>
        <v>#NAME?</v>
      </c>
      <c r="F6191" t="s">
        <v>28805</v>
      </c>
      <c r="G6191" t="s">
        <v>1691</v>
      </c>
      <c r="H6191" t="s">
        <v>27917</v>
      </c>
      <c r="I6191" t="s">
        <v>28806</v>
      </c>
    </row>
    <row r="6192" spans="1:19" x14ac:dyDescent="0.35">
      <c r="A6192">
        <v>6017</v>
      </c>
      <c r="B6192" t="s">
        <v>26311</v>
      </c>
      <c r="C6192" t="s">
        <v>42</v>
      </c>
      <c r="D6192" t="s">
        <v>26312</v>
      </c>
      <c r="E6192" t="e" cm="1">
        <f t="array" ref="E6192">- SULFAMETHOXAZOLE. TRIMETHOPRIM</f>
        <v>#NAME?</v>
      </c>
      <c r="F6192" t="s">
        <v>26313</v>
      </c>
      <c r="G6192" t="s">
        <v>1258</v>
      </c>
      <c r="H6192" t="s">
        <v>26314</v>
      </c>
      <c r="I6192" t="s">
        <v>26315</v>
      </c>
      <c r="J6192" t="s">
        <v>5221</v>
      </c>
      <c r="L6192" t="s">
        <v>26316</v>
      </c>
      <c r="M6192" t="s">
        <v>291</v>
      </c>
      <c r="N6192" t="s">
        <v>1379</v>
      </c>
      <c r="O6192" t="s">
        <v>26317</v>
      </c>
      <c r="P6192" t="s">
        <v>26318</v>
      </c>
      <c r="Q6192" t="s">
        <v>28807</v>
      </c>
      <c r="R6192">
        <v>17</v>
      </c>
      <c r="S6192">
        <v>32</v>
      </c>
    </row>
    <row r="6193" spans="1:19" x14ac:dyDescent="0.35">
      <c r="A6193">
        <v>650</v>
      </c>
      <c r="B6193" t="s">
        <v>28808</v>
      </c>
      <c r="C6193" t="s">
        <v>42</v>
      </c>
      <c r="D6193" t="s">
        <v>28809</v>
      </c>
      <c r="E6193" t="e" cm="1">
        <f t="array" ref="E6193">- MICONAZOLE NITRATE</f>
        <v>#NAME?</v>
      </c>
      <c r="F6193" t="s">
        <v>28810</v>
      </c>
      <c r="H6193" t="s">
        <v>28811</v>
      </c>
      <c r="I6193" t="s">
        <v>28812</v>
      </c>
      <c r="J6193" t="s">
        <v>7213</v>
      </c>
      <c r="L6193" t="s">
        <v>28813</v>
      </c>
      <c r="M6193" t="s">
        <v>1029</v>
      </c>
      <c r="N6193" t="s">
        <v>9389</v>
      </c>
      <c r="O6193" t="s">
        <v>28814</v>
      </c>
      <c r="P6193" t="s">
        <v>28815</v>
      </c>
      <c r="Q6193" t="s">
        <v>28816</v>
      </c>
      <c r="R6193">
        <v>17</v>
      </c>
      <c r="S6193">
        <v>32</v>
      </c>
    </row>
    <row r="6194" spans="1:19" x14ac:dyDescent="0.35">
      <c r="A6194">
        <v>2111</v>
      </c>
      <c r="B6194" t="s">
        <v>28817</v>
      </c>
      <c r="C6194" t="s">
        <v>42</v>
      </c>
      <c r="D6194" t="s">
        <v>28818</v>
      </c>
      <c r="E6194" t="e" cm="1">
        <f t="array" ref="E6194">- BETAHISTINE MESILATE</f>
        <v>#NAME?</v>
      </c>
      <c r="F6194" t="s">
        <v>28819</v>
      </c>
      <c r="G6194" t="s">
        <v>2241</v>
      </c>
      <c r="H6194" t="s">
        <v>28820</v>
      </c>
      <c r="I6194" t="s">
        <v>28821</v>
      </c>
      <c r="J6194" t="s">
        <v>28177</v>
      </c>
      <c r="K6194" t="s">
        <v>17790</v>
      </c>
      <c r="L6194" t="s">
        <v>28822</v>
      </c>
      <c r="M6194" t="s">
        <v>291</v>
      </c>
      <c r="N6194" t="s">
        <v>2380</v>
      </c>
      <c r="O6194" t="s">
        <v>28823</v>
      </c>
      <c r="P6194" t="s">
        <v>28824</v>
      </c>
      <c r="Q6194" t="s">
        <v>28825</v>
      </c>
      <c r="R6194">
        <v>17</v>
      </c>
      <c r="S6194">
        <v>32</v>
      </c>
    </row>
    <row r="6195" spans="1:19" x14ac:dyDescent="0.35">
      <c r="A6195">
        <v>2645</v>
      </c>
      <c r="B6195" t="s">
        <v>28826</v>
      </c>
      <c r="C6195" t="s">
        <v>42</v>
      </c>
      <c r="D6195" t="s">
        <v>28827</v>
      </c>
      <c r="E6195" t="e" cm="1">
        <f t="array" ref="E6195">- DICLOFENAC POTASSIUM</f>
        <v>#NAME?</v>
      </c>
      <c r="F6195" t="s">
        <v>28828</v>
      </c>
      <c r="H6195" t="s">
        <v>2596</v>
      </c>
      <c r="I6195" t="s">
        <v>28195</v>
      </c>
      <c r="J6195" t="s">
        <v>28829</v>
      </c>
      <c r="M6195" t="s">
        <v>291</v>
      </c>
      <c r="N6195" t="s">
        <v>2637</v>
      </c>
      <c r="O6195" t="s">
        <v>28197</v>
      </c>
      <c r="P6195" t="s">
        <v>28830</v>
      </c>
      <c r="Q6195" t="s">
        <v>28831</v>
      </c>
      <c r="R6195">
        <v>17</v>
      </c>
      <c r="S6195">
        <v>32</v>
      </c>
    </row>
    <row r="6196" spans="1:19" x14ac:dyDescent="0.35">
      <c r="A6196">
        <v>4589</v>
      </c>
      <c r="B6196" t="s">
        <v>28144</v>
      </c>
      <c r="C6196" t="s">
        <v>42</v>
      </c>
      <c r="D6196" t="s">
        <v>28145</v>
      </c>
      <c r="E6196" t="e" cm="1">
        <f t="array" ref="E6196">- ANTAZOLINE HYDROCHLORIDE</f>
        <v>#NAME?</v>
      </c>
      <c r="F6196" s="1">
        <v>22300</v>
      </c>
      <c r="G6196" t="s">
        <v>28146</v>
      </c>
      <c r="H6196" t="s">
        <v>28147</v>
      </c>
      <c r="I6196" t="s">
        <v>28148</v>
      </c>
      <c r="J6196" t="s">
        <v>12103</v>
      </c>
      <c r="K6196" t="s">
        <v>28149</v>
      </c>
      <c r="L6196" t="s">
        <v>12469</v>
      </c>
      <c r="M6196" t="s">
        <v>824</v>
      </c>
      <c r="N6196" t="s">
        <v>28150</v>
      </c>
      <c r="O6196" t="s">
        <v>28151</v>
      </c>
      <c r="P6196" t="s">
        <v>28152</v>
      </c>
      <c r="Q6196" t="s">
        <v>28153</v>
      </c>
      <c r="R6196">
        <v>17</v>
      </c>
      <c r="S6196">
        <v>32</v>
      </c>
    </row>
    <row r="6197" spans="1:19" x14ac:dyDescent="0.35">
      <c r="A6197">
        <v>3433</v>
      </c>
      <c r="B6197" t="s">
        <v>21921</v>
      </c>
      <c r="C6197" t="s">
        <v>42</v>
      </c>
      <c r="D6197" t="s">
        <v>21922</v>
      </c>
      <c r="E6197" t="e" cm="1">
        <f t="array" ref="E6197">- SIMETHICONE. MAGNESIUM HYDROXIDE. DRIED ALUMINIUM HYDROXIDE GEL</f>
        <v>#NAME?</v>
      </c>
      <c r="F6197" t="s">
        <v>21923</v>
      </c>
      <c r="G6197" t="s">
        <v>21924</v>
      </c>
      <c r="H6197" t="s">
        <v>21925</v>
      </c>
      <c r="I6197" t="s">
        <v>21926</v>
      </c>
      <c r="J6197" t="s">
        <v>21927</v>
      </c>
      <c r="K6197" t="s">
        <v>21928</v>
      </c>
      <c r="L6197" t="s">
        <v>21929</v>
      </c>
      <c r="M6197" t="s">
        <v>291</v>
      </c>
      <c r="N6197" t="s">
        <v>11990</v>
      </c>
      <c r="O6197" t="s">
        <v>21930</v>
      </c>
      <c r="P6197" t="s">
        <v>21931</v>
      </c>
      <c r="Q6197" t="s">
        <v>28832</v>
      </c>
      <c r="R6197">
        <v>17</v>
      </c>
      <c r="S6197">
        <v>32</v>
      </c>
    </row>
    <row r="6198" spans="1:19" x14ac:dyDescent="0.35">
      <c r="A6198">
        <v>4591</v>
      </c>
      <c r="B6198" t="s">
        <v>28144</v>
      </c>
      <c r="C6198" t="s">
        <v>42</v>
      </c>
      <c r="D6198" t="s">
        <v>28145</v>
      </c>
      <c r="E6198" t="e" cm="1">
        <f t="array" ref="E6198">- ANTAZOLINE HYDROCHLORIDE</f>
        <v>#NAME?</v>
      </c>
      <c r="F6198" s="1">
        <v>22300</v>
      </c>
      <c r="G6198" t="s">
        <v>28146</v>
      </c>
      <c r="H6198" t="s">
        <v>28147</v>
      </c>
      <c r="I6198" t="s">
        <v>28148</v>
      </c>
      <c r="J6198" t="s">
        <v>12103</v>
      </c>
      <c r="K6198" t="s">
        <v>28149</v>
      </c>
      <c r="L6198" t="s">
        <v>12469</v>
      </c>
      <c r="M6198" t="s">
        <v>824</v>
      </c>
      <c r="N6198" t="s">
        <v>28150</v>
      </c>
      <c r="O6198" t="s">
        <v>28151</v>
      </c>
      <c r="P6198" t="s">
        <v>28152</v>
      </c>
      <c r="Q6198" t="s">
        <v>28153</v>
      </c>
      <c r="R6198">
        <v>17</v>
      </c>
      <c r="S6198">
        <v>32</v>
      </c>
    </row>
    <row r="6199" spans="1:19" x14ac:dyDescent="0.35">
      <c r="A6199">
        <v>7791</v>
      </c>
      <c r="B6199" t="s">
        <v>6028</v>
      </c>
      <c r="C6199" t="s">
        <v>20</v>
      </c>
      <c r="D6199" t="s">
        <v>28833</v>
      </c>
      <c r="E6199" t="s">
        <v>6030</v>
      </c>
      <c r="F6199" t="s">
        <v>28834</v>
      </c>
      <c r="H6199" t="s">
        <v>1322</v>
      </c>
      <c r="I6199" t="s">
        <v>28835</v>
      </c>
      <c r="J6199" t="s">
        <v>28836</v>
      </c>
      <c r="M6199" t="s">
        <v>63</v>
      </c>
      <c r="N6199" t="s">
        <v>6033</v>
      </c>
      <c r="O6199" t="s">
        <v>28837</v>
      </c>
      <c r="P6199" t="s">
        <v>28838</v>
      </c>
      <c r="Q6199" t="s">
        <v>28839</v>
      </c>
      <c r="R6199">
        <v>17</v>
      </c>
      <c r="S6199">
        <v>32</v>
      </c>
    </row>
    <row r="6200" spans="1:19" x14ac:dyDescent="0.35">
      <c r="A6200">
        <v>217</v>
      </c>
      <c r="B6200" t="s">
        <v>2902</v>
      </c>
      <c r="C6200" t="s">
        <v>42</v>
      </c>
      <c r="D6200" t="s">
        <v>28513</v>
      </c>
      <c r="E6200" t="e" cm="1">
        <f t="array" ref="E6200">- SILDENAFIL CITRATE</f>
        <v>#NAME?</v>
      </c>
      <c r="F6200" t="s">
        <v>28514</v>
      </c>
      <c r="I6200" t="s">
        <v>28515</v>
      </c>
      <c r="J6200" t="s">
        <v>8120</v>
      </c>
      <c r="M6200" t="s">
        <v>46</v>
      </c>
      <c r="N6200" t="s">
        <v>2519</v>
      </c>
      <c r="O6200" t="s">
        <v>28516</v>
      </c>
      <c r="P6200" t="s">
        <v>28517</v>
      </c>
      <c r="Q6200" t="s">
        <v>28840</v>
      </c>
      <c r="R6200">
        <v>17</v>
      </c>
      <c r="S6200">
        <v>32</v>
      </c>
    </row>
    <row r="6201" spans="1:19" x14ac:dyDescent="0.35">
      <c r="A6201">
        <v>2646</v>
      </c>
      <c r="B6201" t="s">
        <v>28826</v>
      </c>
      <c r="C6201" t="s">
        <v>42</v>
      </c>
      <c r="D6201" t="s">
        <v>28827</v>
      </c>
      <c r="E6201" t="e" cm="1">
        <f t="array" ref="E6201">- DICLOFENAC POTASSIUM</f>
        <v>#NAME?</v>
      </c>
      <c r="F6201" t="s">
        <v>28828</v>
      </c>
      <c r="H6201" t="s">
        <v>2596</v>
      </c>
      <c r="I6201" t="s">
        <v>28195</v>
      </c>
      <c r="J6201" t="s">
        <v>28829</v>
      </c>
      <c r="M6201" t="s">
        <v>291</v>
      </c>
      <c r="N6201" t="s">
        <v>2637</v>
      </c>
      <c r="O6201" t="s">
        <v>28197</v>
      </c>
      <c r="P6201" t="s">
        <v>28830</v>
      </c>
      <c r="Q6201" t="s">
        <v>28831</v>
      </c>
      <c r="R6201">
        <v>17</v>
      </c>
      <c r="S6201">
        <v>32</v>
      </c>
    </row>
    <row r="6202" spans="1:19" x14ac:dyDescent="0.35">
      <c r="A6202">
        <v>216</v>
      </c>
      <c r="B6202" t="s">
        <v>2902</v>
      </c>
      <c r="C6202" t="s">
        <v>42</v>
      </c>
      <c r="D6202" t="s">
        <v>28519</v>
      </c>
      <c r="E6202" t="e" cm="1">
        <f t="array" ref="E6202">- SILDENAFIL CITRATE</f>
        <v>#NAME?</v>
      </c>
      <c r="F6202" t="s">
        <v>28520</v>
      </c>
      <c r="H6202" t="s">
        <v>1322</v>
      </c>
      <c r="I6202" t="s">
        <v>28515</v>
      </c>
      <c r="J6202" t="s">
        <v>17066</v>
      </c>
      <c r="K6202" t="s">
        <v>3473</v>
      </c>
      <c r="M6202" t="s">
        <v>46</v>
      </c>
      <c r="N6202" t="s">
        <v>2519</v>
      </c>
      <c r="O6202" t="s">
        <v>28516</v>
      </c>
      <c r="P6202" t="s">
        <v>28521</v>
      </c>
      <c r="Q6202" t="s">
        <v>28841</v>
      </c>
      <c r="R6202">
        <v>17</v>
      </c>
      <c r="S6202">
        <v>32</v>
      </c>
    </row>
    <row r="6203" spans="1:19" x14ac:dyDescent="0.35">
      <c r="A6203">
        <v>5990</v>
      </c>
      <c r="B6203" t="s">
        <v>28842</v>
      </c>
      <c r="C6203" t="s">
        <v>42</v>
      </c>
      <c r="D6203" t="s">
        <v>28843</v>
      </c>
      <c r="E6203" t="e" cm="1">
        <f t="array" ref="E6203">- CLINDAMYCIN HYDROCHLORIDE</f>
        <v>#NAME?</v>
      </c>
      <c r="F6203" s="1">
        <v>250000</v>
      </c>
      <c r="G6203" t="s">
        <v>2241</v>
      </c>
      <c r="H6203" t="s">
        <v>27129</v>
      </c>
      <c r="I6203" t="s">
        <v>25981</v>
      </c>
      <c r="J6203" t="s">
        <v>28844</v>
      </c>
      <c r="K6203" t="s">
        <v>27130</v>
      </c>
      <c r="L6203" t="s">
        <v>27131</v>
      </c>
      <c r="M6203" t="s">
        <v>38</v>
      </c>
      <c r="N6203" t="s">
        <v>23622</v>
      </c>
      <c r="O6203" t="s">
        <v>25984</v>
      </c>
      <c r="P6203" t="s">
        <v>28845</v>
      </c>
      <c r="Q6203" t="s">
        <v>28846</v>
      </c>
      <c r="R6203">
        <v>17</v>
      </c>
      <c r="S6203">
        <v>32</v>
      </c>
    </row>
    <row r="6204" spans="1:19" x14ac:dyDescent="0.35">
      <c r="A6204">
        <v>5974</v>
      </c>
      <c r="B6204" t="s">
        <v>28847</v>
      </c>
      <c r="C6204" t="s">
        <v>42</v>
      </c>
      <c r="D6204" t="s">
        <v>28848</v>
      </c>
      <c r="E6204" t="e" cm="1">
        <f t="array" ref="E6204">- ERYTHROMYCIN ETHYL SUCCINATE</f>
        <v>#NAME?</v>
      </c>
      <c r="F6204" t="s">
        <v>28849</v>
      </c>
      <c r="G6204" t="s">
        <v>5568</v>
      </c>
      <c r="H6204" t="s">
        <v>28850</v>
      </c>
      <c r="I6204" t="s">
        <v>28851</v>
      </c>
      <c r="J6204" t="s">
        <v>28852</v>
      </c>
      <c r="M6204" t="s">
        <v>271</v>
      </c>
      <c r="N6204" t="s">
        <v>28853</v>
      </c>
      <c r="O6204" t="s">
        <v>28854</v>
      </c>
      <c r="P6204" t="s">
        <v>28855</v>
      </c>
      <c r="Q6204" t="s">
        <v>28856</v>
      </c>
      <c r="R6204">
        <v>17</v>
      </c>
      <c r="S6204">
        <v>32</v>
      </c>
    </row>
    <row r="6205" spans="1:19" x14ac:dyDescent="0.35">
      <c r="A6205">
        <v>6632</v>
      </c>
      <c r="B6205" t="s">
        <v>28857</v>
      </c>
      <c r="C6205" t="s">
        <v>42</v>
      </c>
      <c r="D6205" t="s">
        <v>28858</v>
      </c>
      <c r="E6205" t="e" cm="1">
        <f t="array" ref="E6205">- VALACICLOVIR HYDROCHLORIDE</f>
        <v>#NAME?</v>
      </c>
      <c r="F6205" t="s">
        <v>28859</v>
      </c>
      <c r="G6205" t="s">
        <v>1691</v>
      </c>
      <c r="H6205" t="s">
        <v>28860</v>
      </c>
      <c r="I6205" t="s">
        <v>28861</v>
      </c>
      <c r="J6205" t="s">
        <v>28862</v>
      </c>
      <c r="K6205" t="s">
        <v>2726</v>
      </c>
      <c r="L6205" t="s">
        <v>28863</v>
      </c>
      <c r="M6205" t="s">
        <v>291</v>
      </c>
      <c r="N6205" t="s">
        <v>1704</v>
      </c>
      <c r="O6205" t="s">
        <v>28864</v>
      </c>
      <c r="P6205" t="s">
        <v>28865</v>
      </c>
      <c r="Q6205" t="s">
        <v>28866</v>
      </c>
      <c r="R6205">
        <v>17</v>
      </c>
      <c r="S6205">
        <v>32</v>
      </c>
    </row>
    <row r="6206" spans="1:19" x14ac:dyDescent="0.35">
      <c r="A6206">
        <v>6633</v>
      </c>
      <c r="B6206" t="s">
        <v>28867</v>
      </c>
      <c r="C6206" t="s">
        <v>42</v>
      </c>
      <c r="D6206" t="s">
        <v>28868</v>
      </c>
      <c r="E6206" t="e" cm="1">
        <f t="array" ref="E6206">- VALACICLOVIR HYDROCHLORIDE</f>
        <v>#NAME?</v>
      </c>
      <c r="F6206" t="s">
        <v>28869</v>
      </c>
      <c r="G6206" t="s">
        <v>2241</v>
      </c>
      <c r="H6206" t="s">
        <v>28870</v>
      </c>
      <c r="I6206" t="s">
        <v>28871</v>
      </c>
    </row>
    <row r="6207" spans="1:19" x14ac:dyDescent="0.35">
      <c r="A6207">
        <v>3228</v>
      </c>
      <c r="B6207" t="s">
        <v>28872</v>
      </c>
      <c r="C6207" t="s">
        <v>42</v>
      </c>
      <c r="D6207" t="s">
        <v>28873</v>
      </c>
      <c r="E6207" t="e" cm="1">
        <f t="array" ref="E6207">- REBAMIPIDE</f>
        <v>#NAME?</v>
      </c>
      <c r="F6207" t="s">
        <v>28874</v>
      </c>
      <c r="G6207" t="s">
        <v>28875</v>
      </c>
      <c r="H6207" t="s">
        <v>389</v>
      </c>
      <c r="I6207" t="s">
        <v>28876</v>
      </c>
    </row>
    <row r="6208" spans="1:19" x14ac:dyDescent="0.35">
      <c r="A6208">
        <v>3227</v>
      </c>
      <c r="B6208" t="s">
        <v>28872</v>
      </c>
      <c r="C6208" t="s">
        <v>42</v>
      </c>
      <c r="D6208" t="s">
        <v>28873</v>
      </c>
      <c r="E6208" t="e" cm="1">
        <f t="array" ref="E6208">- REBAMIPIDE</f>
        <v>#NAME?</v>
      </c>
      <c r="F6208" t="s">
        <v>28874</v>
      </c>
      <c r="G6208" t="s">
        <v>28875</v>
      </c>
      <c r="H6208" t="s">
        <v>389</v>
      </c>
      <c r="I6208" t="s">
        <v>28876</v>
      </c>
    </row>
    <row r="6209" spans="1:19" x14ac:dyDescent="0.35">
      <c r="A6209">
        <v>3768</v>
      </c>
      <c r="B6209" t="s">
        <v>28877</v>
      </c>
      <c r="C6209" t="s">
        <v>42</v>
      </c>
      <c r="D6209" t="s">
        <v>28878</v>
      </c>
      <c r="E6209" t="e" cm="1">
        <f t="array" ref="E6209">- ZINC SULFATE MONOHYDRATE</f>
        <v>#NAME?</v>
      </c>
      <c r="F6209" t="s">
        <v>28879</v>
      </c>
      <c r="G6209" t="s">
        <v>26539</v>
      </c>
      <c r="H6209" t="s">
        <v>28880</v>
      </c>
      <c r="I6209" t="s">
        <v>28881</v>
      </c>
      <c r="J6209" t="s">
        <v>334</v>
      </c>
      <c r="K6209" t="s">
        <v>3473</v>
      </c>
      <c r="L6209" t="s">
        <v>26543</v>
      </c>
      <c r="M6209" t="s">
        <v>271</v>
      </c>
      <c r="N6209" t="s">
        <v>2750</v>
      </c>
      <c r="O6209" t="s">
        <v>26544</v>
      </c>
      <c r="P6209" t="s">
        <v>26545</v>
      </c>
      <c r="Q6209" t="s">
        <v>28882</v>
      </c>
      <c r="R6209">
        <v>17</v>
      </c>
      <c r="S6209">
        <v>32</v>
      </c>
    </row>
    <row r="6210" spans="1:19" x14ac:dyDescent="0.35">
      <c r="A6210">
        <v>1298</v>
      </c>
      <c r="B6210" t="s">
        <v>28883</v>
      </c>
      <c r="C6210" t="s">
        <v>42</v>
      </c>
      <c r="D6210" t="s">
        <v>28884</v>
      </c>
      <c r="E6210" t="e" cm="1">
        <f t="array" ref="E6210">- PSEUDOEPHEDRINE HYDROCHLORIDE</f>
        <v>#NAME?</v>
      </c>
      <c r="F6210" t="s">
        <v>28885</v>
      </c>
      <c r="G6210" t="s">
        <v>6310</v>
      </c>
      <c r="H6210" t="s">
        <v>28886</v>
      </c>
      <c r="I6210" t="s">
        <v>28887</v>
      </c>
      <c r="J6210" t="s">
        <v>334</v>
      </c>
      <c r="K6210" t="s">
        <v>19456</v>
      </c>
      <c r="L6210" t="s">
        <v>28888</v>
      </c>
      <c r="M6210" t="s">
        <v>271</v>
      </c>
      <c r="N6210" t="s">
        <v>8326</v>
      </c>
      <c r="O6210" t="s">
        <v>28889</v>
      </c>
      <c r="P6210" t="s">
        <v>28890</v>
      </c>
      <c r="Q6210" t="s">
        <v>28891</v>
      </c>
      <c r="R6210">
        <v>17</v>
      </c>
      <c r="S6210">
        <v>32</v>
      </c>
    </row>
    <row r="6211" spans="1:19" x14ac:dyDescent="0.35">
      <c r="A6211">
        <v>5015</v>
      </c>
      <c r="B6211" t="s">
        <v>28752</v>
      </c>
      <c r="C6211" t="s">
        <v>42</v>
      </c>
      <c r="D6211" t="s">
        <v>28753</v>
      </c>
      <c r="E6211" t="e" cm="1">
        <f t="array" ref="E6211">- CLOBETASOL PROPIONATE</f>
        <v>#NAME?</v>
      </c>
      <c r="F6211" t="s">
        <v>28754</v>
      </c>
      <c r="G6211" t="s">
        <v>17290</v>
      </c>
      <c r="H6211" t="s">
        <v>26977</v>
      </c>
      <c r="I6211" t="s">
        <v>26978</v>
      </c>
      <c r="J6211" t="s">
        <v>7123</v>
      </c>
      <c r="K6211" t="s">
        <v>28755</v>
      </c>
      <c r="L6211" t="s">
        <v>28756</v>
      </c>
      <c r="M6211" t="s">
        <v>1289</v>
      </c>
      <c r="N6211" t="s">
        <v>3588</v>
      </c>
      <c r="O6211" t="s">
        <v>26981</v>
      </c>
      <c r="P6211" t="s">
        <v>28757</v>
      </c>
      <c r="Q6211" t="s">
        <v>28758</v>
      </c>
      <c r="R6211">
        <v>17</v>
      </c>
      <c r="S6211">
        <v>32</v>
      </c>
    </row>
    <row r="6212" spans="1:19" x14ac:dyDescent="0.35">
      <c r="A6212">
        <v>3740</v>
      </c>
      <c r="B6212" t="s">
        <v>16693</v>
      </c>
      <c r="C6212" t="s">
        <v>42</v>
      </c>
      <c r="D6212" t="s">
        <v>16694</v>
      </c>
      <c r="E6212" t="e" cm="1">
        <f t="array" ref="E6212">- BENZOCAINE. ZINC OXIDE. DRIED ALUMINIUM HYDROXIDE GEL</f>
        <v>#NAME?</v>
      </c>
      <c r="F6212" t="s">
        <v>16695</v>
      </c>
      <c r="G6212" t="s">
        <v>16696</v>
      </c>
      <c r="H6212" t="s">
        <v>16697</v>
      </c>
      <c r="I6212" t="s">
        <v>16698</v>
      </c>
      <c r="J6212" t="s">
        <v>16699</v>
      </c>
      <c r="K6212" t="s">
        <v>2858</v>
      </c>
      <c r="L6212" t="s">
        <v>16700</v>
      </c>
      <c r="M6212" t="s">
        <v>720</v>
      </c>
      <c r="N6212" t="s">
        <v>28782</v>
      </c>
      <c r="O6212" t="s">
        <v>16701</v>
      </c>
      <c r="P6212" t="s">
        <v>16702</v>
      </c>
      <c r="Q6212" t="s">
        <v>28783</v>
      </c>
      <c r="R6212">
        <v>17</v>
      </c>
      <c r="S6212">
        <v>32</v>
      </c>
    </row>
    <row r="6213" spans="1:19" x14ac:dyDescent="0.35">
      <c r="A6213">
        <v>2096</v>
      </c>
      <c r="B6213" t="s">
        <v>28892</v>
      </c>
      <c r="C6213" t="s">
        <v>42</v>
      </c>
      <c r="D6213" t="s">
        <v>28893</v>
      </c>
      <c r="E6213" t="e" cm="1">
        <f t="array" ref="E6213">- BETAHISTINE MESILATE</f>
        <v>#NAME?</v>
      </c>
      <c r="F6213" t="s">
        <v>28894</v>
      </c>
      <c r="G6213" t="s">
        <v>2241</v>
      </c>
      <c r="H6213" t="s">
        <v>28895</v>
      </c>
      <c r="I6213" t="s">
        <v>28821</v>
      </c>
      <c r="J6213" t="s">
        <v>381</v>
      </c>
      <c r="K6213" t="s">
        <v>28896</v>
      </c>
      <c r="L6213" t="s">
        <v>28822</v>
      </c>
      <c r="M6213" t="s">
        <v>46</v>
      </c>
      <c r="N6213" t="s">
        <v>2380</v>
      </c>
      <c r="O6213" t="s">
        <v>28823</v>
      </c>
      <c r="P6213" t="s">
        <v>28897</v>
      </c>
      <c r="Q6213" t="s">
        <v>28898</v>
      </c>
      <c r="R6213">
        <v>17</v>
      </c>
      <c r="S6213">
        <v>32</v>
      </c>
    </row>
    <row r="6214" spans="1:19" x14ac:dyDescent="0.35">
      <c r="A6214">
        <v>2192</v>
      </c>
      <c r="B6214" t="s">
        <v>25518</v>
      </c>
      <c r="C6214" t="s">
        <v>42</v>
      </c>
      <c r="D6214" t="s">
        <v>25519</v>
      </c>
      <c r="E6214" t="e" cm="1">
        <f t="array" ref="E6214">- PARACETAMOL. IBUPROFEN</f>
        <v>#NAME?</v>
      </c>
      <c r="F6214" t="s">
        <v>25520</v>
      </c>
      <c r="G6214" t="s">
        <v>2241</v>
      </c>
      <c r="H6214" t="s">
        <v>25521</v>
      </c>
      <c r="I6214" t="s">
        <v>25522</v>
      </c>
      <c r="J6214" t="s">
        <v>25523</v>
      </c>
      <c r="K6214" t="s">
        <v>25524</v>
      </c>
      <c r="L6214" t="s">
        <v>25525</v>
      </c>
      <c r="M6214" t="s">
        <v>46</v>
      </c>
      <c r="N6214" t="s">
        <v>20695</v>
      </c>
      <c r="O6214" t="s">
        <v>25526</v>
      </c>
      <c r="P6214" t="s">
        <v>25527</v>
      </c>
      <c r="Q6214" t="s">
        <v>28899</v>
      </c>
      <c r="R6214">
        <v>17</v>
      </c>
      <c r="S6214">
        <v>32</v>
      </c>
    </row>
    <row r="6215" spans="1:19" x14ac:dyDescent="0.35">
      <c r="A6215">
        <v>2191</v>
      </c>
      <c r="B6215" t="s">
        <v>25518</v>
      </c>
      <c r="C6215" t="s">
        <v>42</v>
      </c>
      <c r="D6215" t="s">
        <v>25519</v>
      </c>
      <c r="E6215" t="e" cm="1">
        <f t="array" ref="E6215">- PARACETAMOL. IBUPROFEN</f>
        <v>#NAME?</v>
      </c>
      <c r="F6215" t="s">
        <v>25520</v>
      </c>
      <c r="G6215" t="s">
        <v>2241</v>
      </c>
      <c r="H6215" t="s">
        <v>25521</v>
      </c>
      <c r="I6215" t="s">
        <v>25522</v>
      </c>
      <c r="J6215" t="s">
        <v>25523</v>
      </c>
      <c r="K6215" t="s">
        <v>25524</v>
      </c>
      <c r="L6215" t="s">
        <v>25525</v>
      </c>
      <c r="M6215" t="s">
        <v>46</v>
      </c>
      <c r="N6215" t="s">
        <v>20695</v>
      </c>
      <c r="O6215" t="s">
        <v>25526</v>
      </c>
      <c r="P6215" t="s">
        <v>25527</v>
      </c>
      <c r="Q6215" t="s">
        <v>28899</v>
      </c>
      <c r="R6215">
        <v>17</v>
      </c>
      <c r="S6215">
        <v>32</v>
      </c>
    </row>
    <row r="6216" spans="1:19" x14ac:dyDescent="0.35">
      <c r="A6216">
        <v>2190</v>
      </c>
      <c r="B6216" t="s">
        <v>25518</v>
      </c>
      <c r="C6216" t="s">
        <v>42</v>
      </c>
      <c r="D6216" t="s">
        <v>25519</v>
      </c>
      <c r="E6216" t="e" cm="1">
        <f t="array" ref="E6216">- PARACETAMOL. IBUPROFEN</f>
        <v>#NAME?</v>
      </c>
      <c r="F6216" t="s">
        <v>25520</v>
      </c>
      <c r="G6216" t="s">
        <v>2241</v>
      </c>
      <c r="H6216" t="s">
        <v>25521</v>
      </c>
      <c r="I6216" t="s">
        <v>25522</v>
      </c>
      <c r="J6216" t="s">
        <v>25523</v>
      </c>
      <c r="K6216" t="s">
        <v>25524</v>
      </c>
      <c r="L6216" t="s">
        <v>25525</v>
      </c>
      <c r="M6216" t="s">
        <v>46</v>
      </c>
      <c r="N6216" t="s">
        <v>20695</v>
      </c>
      <c r="O6216" t="s">
        <v>25526</v>
      </c>
      <c r="P6216" t="s">
        <v>25527</v>
      </c>
      <c r="Q6216" t="s">
        <v>28899</v>
      </c>
      <c r="R6216">
        <v>17</v>
      </c>
      <c r="S6216">
        <v>32</v>
      </c>
    </row>
    <row r="6217" spans="1:19" x14ac:dyDescent="0.35">
      <c r="A6217">
        <v>5926</v>
      </c>
      <c r="B6217" t="s">
        <v>28900</v>
      </c>
      <c r="C6217" t="s">
        <v>42</v>
      </c>
      <c r="D6217" t="s">
        <v>28901</v>
      </c>
      <c r="E6217" t="e" cm="1">
        <f t="array" ref="E6217">- CHLORAMPHENICOL</f>
        <v>#NAME?</v>
      </c>
      <c r="F6217" t="s">
        <v>28902</v>
      </c>
      <c r="G6217" t="s">
        <v>28903</v>
      </c>
      <c r="H6217" t="s">
        <v>28904</v>
      </c>
      <c r="I6217" t="s">
        <v>28905</v>
      </c>
      <c r="J6217" t="s">
        <v>334</v>
      </c>
      <c r="K6217" t="s">
        <v>28906</v>
      </c>
      <c r="L6217" t="s">
        <v>270</v>
      </c>
      <c r="M6217" t="s">
        <v>340</v>
      </c>
      <c r="N6217" t="s">
        <v>1188</v>
      </c>
      <c r="O6217" t="s">
        <v>28907</v>
      </c>
      <c r="P6217" t="s">
        <v>28908</v>
      </c>
      <c r="Q6217" t="s">
        <v>28909</v>
      </c>
      <c r="R6217">
        <v>17</v>
      </c>
      <c r="S6217">
        <v>32</v>
      </c>
    </row>
    <row r="6218" spans="1:19" x14ac:dyDescent="0.35">
      <c r="A6218">
        <v>2189</v>
      </c>
      <c r="B6218" t="s">
        <v>25518</v>
      </c>
      <c r="C6218" t="s">
        <v>42</v>
      </c>
      <c r="D6218" t="s">
        <v>25519</v>
      </c>
      <c r="E6218" t="e" cm="1">
        <f t="array" ref="E6218">- PARACETAMOL. IBUPROFEN</f>
        <v>#NAME?</v>
      </c>
      <c r="F6218" t="s">
        <v>25520</v>
      </c>
      <c r="G6218" t="s">
        <v>2241</v>
      </c>
      <c r="H6218" t="s">
        <v>25521</v>
      </c>
      <c r="I6218" t="s">
        <v>25522</v>
      </c>
      <c r="J6218" t="s">
        <v>25523</v>
      </c>
      <c r="K6218" t="s">
        <v>25524</v>
      </c>
      <c r="L6218" t="s">
        <v>25525</v>
      </c>
      <c r="M6218" t="s">
        <v>46</v>
      </c>
      <c r="N6218" t="s">
        <v>20695</v>
      </c>
      <c r="O6218" t="s">
        <v>25526</v>
      </c>
      <c r="P6218" t="s">
        <v>25527</v>
      </c>
      <c r="Q6218" t="s">
        <v>28899</v>
      </c>
      <c r="R6218">
        <v>17</v>
      </c>
      <c r="S6218">
        <v>32</v>
      </c>
    </row>
    <row r="6219" spans="1:19" x14ac:dyDescent="0.35">
      <c r="A6219">
        <v>2188</v>
      </c>
      <c r="B6219" t="s">
        <v>25518</v>
      </c>
      <c r="C6219" t="s">
        <v>42</v>
      </c>
      <c r="D6219" t="s">
        <v>25519</v>
      </c>
      <c r="E6219" t="e" cm="1">
        <f t="array" ref="E6219">- PARACETAMOL. IBUPROFEN</f>
        <v>#NAME?</v>
      </c>
      <c r="F6219" t="s">
        <v>25520</v>
      </c>
      <c r="G6219" t="s">
        <v>2241</v>
      </c>
      <c r="H6219" t="s">
        <v>25521</v>
      </c>
      <c r="I6219" t="s">
        <v>25522</v>
      </c>
      <c r="J6219" t="s">
        <v>25523</v>
      </c>
      <c r="K6219" t="s">
        <v>25524</v>
      </c>
      <c r="L6219" t="s">
        <v>25525</v>
      </c>
      <c r="M6219" t="s">
        <v>46</v>
      </c>
      <c r="N6219" t="s">
        <v>20695</v>
      </c>
      <c r="O6219" t="s">
        <v>25526</v>
      </c>
      <c r="P6219" t="s">
        <v>25527</v>
      </c>
      <c r="Q6219" t="s">
        <v>28899</v>
      </c>
      <c r="R6219">
        <v>17</v>
      </c>
      <c r="S6219">
        <v>32</v>
      </c>
    </row>
    <row r="6220" spans="1:19" x14ac:dyDescent="0.35">
      <c r="A6220">
        <v>7574</v>
      </c>
      <c r="B6220" t="s">
        <v>18680</v>
      </c>
      <c r="C6220" t="s">
        <v>42</v>
      </c>
      <c r="D6220" t="s">
        <v>18681</v>
      </c>
      <c r="E6220" t="e" cm="1">
        <f t="array" ref="E6220">- CYANOCOBALAMIN. THIAMINE MONONITRATE. PYRIDOXINE HYDROCHLORIDE</f>
        <v>#NAME?</v>
      </c>
      <c r="F6220" t="s">
        <v>18682</v>
      </c>
      <c r="H6220" t="s">
        <v>18683</v>
      </c>
      <c r="I6220" t="s">
        <v>18684</v>
      </c>
      <c r="J6220" t="s">
        <v>18685</v>
      </c>
      <c r="M6220" t="s">
        <v>46</v>
      </c>
      <c r="N6220" t="s">
        <v>28910</v>
      </c>
      <c r="O6220" t="s">
        <v>18686</v>
      </c>
      <c r="P6220" t="s">
        <v>18687</v>
      </c>
      <c r="Q6220" t="s">
        <v>28911</v>
      </c>
      <c r="R6220">
        <v>17</v>
      </c>
      <c r="S6220">
        <v>32</v>
      </c>
    </row>
    <row r="6221" spans="1:19" x14ac:dyDescent="0.35">
      <c r="A6221">
        <v>3819</v>
      </c>
      <c r="B6221" t="s">
        <v>28912</v>
      </c>
      <c r="C6221" t="s">
        <v>42</v>
      </c>
      <c r="D6221" t="s">
        <v>28913</v>
      </c>
      <c r="E6221" t="e" cm="1">
        <f t="array" ref="E6221">- ZINC SULFATE MONOHYDRATE</f>
        <v>#NAME?</v>
      </c>
      <c r="F6221" t="s">
        <v>28914</v>
      </c>
      <c r="G6221" t="s">
        <v>28915</v>
      </c>
      <c r="H6221" t="s">
        <v>28916</v>
      </c>
      <c r="I6221" t="s">
        <v>28917</v>
      </c>
      <c r="J6221" t="s">
        <v>1770</v>
      </c>
      <c r="K6221" t="s">
        <v>20178</v>
      </c>
      <c r="L6221" t="s">
        <v>20179</v>
      </c>
      <c r="M6221" t="s">
        <v>46</v>
      </c>
      <c r="N6221" t="s">
        <v>2750</v>
      </c>
      <c r="O6221" t="s">
        <v>28918</v>
      </c>
      <c r="P6221" t="s">
        <v>2900</v>
      </c>
      <c r="Q6221" t="s">
        <v>28919</v>
      </c>
      <c r="R6221">
        <v>17</v>
      </c>
      <c r="S6221">
        <v>32</v>
      </c>
    </row>
    <row r="6222" spans="1:19" x14ac:dyDescent="0.35">
      <c r="A6222">
        <v>1669</v>
      </c>
      <c r="B6222" t="s">
        <v>28920</v>
      </c>
      <c r="C6222" t="s">
        <v>42</v>
      </c>
      <c r="D6222" t="s">
        <v>28921</v>
      </c>
      <c r="E6222" t="e" cm="1">
        <f t="array" ref="E6222">- TRIPROLIDINE HYDROCHLORIDE. PSEUDOEPHEDRINE HYDROCHLORIDE. DEXTROMETHORPHAN HYDROBROMIDE</f>
        <v>#NAME?</v>
      </c>
      <c r="F6222" s="1">
        <v>25400</v>
      </c>
      <c r="G6222" t="s">
        <v>6310</v>
      </c>
      <c r="H6222" t="s">
        <v>28922</v>
      </c>
      <c r="I6222" t="s">
        <v>28923</v>
      </c>
      <c r="J6222" t="s">
        <v>13867</v>
      </c>
      <c r="K6222" t="s">
        <v>28924</v>
      </c>
      <c r="L6222" t="s">
        <v>28925</v>
      </c>
      <c r="M6222" t="s">
        <v>271</v>
      </c>
      <c r="N6222" t="s">
        <v>28926</v>
      </c>
      <c r="O6222" t="s">
        <v>28927</v>
      </c>
      <c r="P6222" t="s">
        <v>28928</v>
      </c>
      <c r="Q6222" t="s">
        <v>28929</v>
      </c>
      <c r="R6222">
        <v>17</v>
      </c>
      <c r="S6222">
        <v>32</v>
      </c>
    </row>
    <row r="6223" spans="1:19" x14ac:dyDescent="0.35">
      <c r="A6223">
        <v>5469</v>
      </c>
      <c r="B6223" t="s">
        <v>28411</v>
      </c>
      <c r="C6223" t="s">
        <v>42</v>
      </c>
      <c r="D6223" t="s">
        <v>28412</v>
      </c>
      <c r="E6223" t="e" cm="1">
        <f t="array" ref="E6223">- CLOTRIMAZOLE</f>
        <v>#NAME?</v>
      </c>
      <c r="F6223" t="s">
        <v>28413</v>
      </c>
      <c r="G6223" t="s">
        <v>28414</v>
      </c>
      <c r="H6223" t="s">
        <v>28415</v>
      </c>
      <c r="I6223" t="s">
        <v>28416</v>
      </c>
      <c r="J6223" t="s">
        <v>7123</v>
      </c>
      <c r="K6223" t="s">
        <v>2858</v>
      </c>
      <c r="L6223" t="s">
        <v>28417</v>
      </c>
      <c r="M6223" t="s">
        <v>1289</v>
      </c>
      <c r="N6223" t="s">
        <v>1422</v>
      </c>
      <c r="O6223" t="s">
        <v>28418</v>
      </c>
      <c r="P6223" t="s">
        <v>28419</v>
      </c>
      <c r="Q6223" t="s">
        <v>28420</v>
      </c>
      <c r="R6223">
        <v>17</v>
      </c>
      <c r="S6223">
        <v>32</v>
      </c>
    </row>
    <row r="6224" spans="1:19" x14ac:dyDescent="0.35">
      <c r="A6224">
        <v>5014</v>
      </c>
      <c r="B6224" t="s">
        <v>28752</v>
      </c>
      <c r="C6224" t="s">
        <v>42</v>
      </c>
      <c r="D6224" t="s">
        <v>28930</v>
      </c>
      <c r="E6224" t="e" cm="1">
        <f t="array" ref="E6224">- CLOBETASOL PROPIONATE</f>
        <v>#NAME?</v>
      </c>
      <c r="F6224" t="s">
        <v>28931</v>
      </c>
      <c r="G6224" t="s">
        <v>17290</v>
      </c>
      <c r="H6224" t="s">
        <v>26977</v>
      </c>
      <c r="I6224" t="s">
        <v>26978</v>
      </c>
      <c r="J6224" t="s">
        <v>1367</v>
      </c>
      <c r="K6224" t="s">
        <v>2726</v>
      </c>
      <c r="L6224" t="s">
        <v>26980</v>
      </c>
      <c r="M6224" t="s">
        <v>1289</v>
      </c>
      <c r="N6224" t="s">
        <v>3588</v>
      </c>
      <c r="O6224" t="s">
        <v>26981</v>
      </c>
      <c r="P6224" t="s">
        <v>28757</v>
      </c>
      <c r="Q6224" t="s">
        <v>28758</v>
      </c>
      <c r="R6224">
        <v>17</v>
      </c>
      <c r="S6224">
        <v>32</v>
      </c>
    </row>
    <row r="6225" spans="1:19" x14ac:dyDescent="0.35">
      <c r="A6225">
        <v>5934</v>
      </c>
      <c r="B6225" t="s">
        <v>28932</v>
      </c>
      <c r="C6225" t="s">
        <v>42</v>
      </c>
      <c r="D6225" t="s">
        <v>28933</v>
      </c>
      <c r="E6225" t="e" cm="1">
        <f t="array" ref="E6225">- AMOXICILLIN SODIUM</f>
        <v>#NAME?</v>
      </c>
      <c r="F6225" s="1">
        <v>145700</v>
      </c>
      <c r="G6225" t="s">
        <v>28934</v>
      </c>
      <c r="H6225" t="s">
        <v>28935</v>
      </c>
      <c r="I6225" t="s">
        <v>28936</v>
      </c>
      <c r="J6225" t="s">
        <v>334</v>
      </c>
      <c r="K6225" t="s">
        <v>2726</v>
      </c>
      <c r="L6225" t="s">
        <v>28937</v>
      </c>
      <c r="M6225" t="s">
        <v>271</v>
      </c>
      <c r="N6225" t="s">
        <v>28938</v>
      </c>
      <c r="O6225" t="s">
        <v>28939</v>
      </c>
      <c r="P6225" t="s">
        <v>28940</v>
      </c>
      <c r="Q6225" t="s">
        <v>28941</v>
      </c>
      <c r="R6225">
        <v>17</v>
      </c>
      <c r="S6225">
        <v>32</v>
      </c>
    </row>
    <row r="6226" spans="1:19" x14ac:dyDescent="0.35">
      <c r="A6226">
        <v>3737</v>
      </c>
      <c r="B6226" t="s">
        <v>28942</v>
      </c>
      <c r="C6226" t="s">
        <v>20</v>
      </c>
      <c r="D6226" t="s">
        <v>28943</v>
      </c>
      <c r="E6226" t="s">
        <v>28944</v>
      </c>
      <c r="F6226" t="s">
        <v>28945</v>
      </c>
      <c r="G6226" t="s">
        <v>539</v>
      </c>
      <c r="H6226" t="s">
        <v>28946</v>
      </c>
      <c r="I6226" t="s">
        <v>28947</v>
      </c>
      <c r="J6226" t="s">
        <v>5071</v>
      </c>
      <c r="L6226" t="s">
        <v>28948</v>
      </c>
      <c r="M6226" t="s">
        <v>38</v>
      </c>
      <c r="N6226" t="s">
        <v>28949</v>
      </c>
      <c r="O6226" t="s">
        <v>28950</v>
      </c>
      <c r="P6226" t="s">
        <v>28949</v>
      </c>
      <c r="Q6226" t="s">
        <v>28951</v>
      </c>
      <c r="R6226">
        <v>17</v>
      </c>
      <c r="S6226">
        <v>32</v>
      </c>
    </row>
    <row r="6227" spans="1:19" x14ac:dyDescent="0.35">
      <c r="A6227">
        <v>2182</v>
      </c>
      <c r="B6227" t="s">
        <v>28952</v>
      </c>
      <c r="C6227" t="s">
        <v>42</v>
      </c>
      <c r="D6227" t="s">
        <v>28953</v>
      </c>
      <c r="E6227" t="e" cm="1">
        <f t="array" ref="E6227">- DICLOFENAC SODIUM</f>
        <v>#NAME?</v>
      </c>
      <c r="F6227" t="s">
        <v>28954</v>
      </c>
      <c r="G6227" t="s">
        <v>28955</v>
      </c>
      <c r="H6227" t="s">
        <v>2596</v>
      </c>
      <c r="I6227" t="s">
        <v>28195</v>
      </c>
      <c r="J6227" t="s">
        <v>13151</v>
      </c>
      <c r="K6227" t="s">
        <v>28381</v>
      </c>
      <c r="L6227" t="s">
        <v>28388</v>
      </c>
      <c r="M6227" t="s">
        <v>46</v>
      </c>
      <c r="N6227" t="s">
        <v>2597</v>
      </c>
      <c r="O6227" t="s">
        <v>28197</v>
      </c>
      <c r="P6227" t="s">
        <v>28956</v>
      </c>
      <c r="Q6227" t="s">
        <v>28957</v>
      </c>
      <c r="R6227">
        <v>17</v>
      </c>
      <c r="S6227">
        <v>32</v>
      </c>
    </row>
    <row r="6228" spans="1:19" x14ac:dyDescent="0.35">
      <c r="A6228">
        <v>3820</v>
      </c>
      <c r="B6228" t="s">
        <v>28912</v>
      </c>
      <c r="C6228" t="s">
        <v>42</v>
      </c>
      <c r="D6228" t="s">
        <v>28913</v>
      </c>
      <c r="E6228" t="e" cm="1">
        <f t="array" ref="E6228">- ZINC SULFATE MONOHYDRATE</f>
        <v>#NAME?</v>
      </c>
      <c r="F6228" t="s">
        <v>28914</v>
      </c>
      <c r="G6228" t="s">
        <v>28915</v>
      </c>
      <c r="H6228" t="s">
        <v>28916</v>
      </c>
      <c r="I6228" t="s">
        <v>28917</v>
      </c>
      <c r="J6228" t="s">
        <v>1770</v>
      </c>
      <c r="K6228" t="s">
        <v>20178</v>
      </c>
      <c r="L6228" t="s">
        <v>20179</v>
      </c>
      <c r="M6228" t="s">
        <v>46</v>
      </c>
      <c r="N6228" t="s">
        <v>2750</v>
      </c>
      <c r="O6228" t="s">
        <v>28918</v>
      </c>
      <c r="P6228" t="s">
        <v>2900</v>
      </c>
      <c r="Q6228" t="s">
        <v>28919</v>
      </c>
      <c r="R6228">
        <v>17</v>
      </c>
      <c r="S6228">
        <v>32</v>
      </c>
    </row>
    <row r="6229" spans="1:19" x14ac:dyDescent="0.35">
      <c r="A6229">
        <v>4994</v>
      </c>
      <c r="B6229" t="s">
        <v>28958</v>
      </c>
      <c r="C6229" t="s">
        <v>42</v>
      </c>
      <c r="D6229" t="s">
        <v>28959</v>
      </c>
      <c r="E6229" t="e" cm="1">
        <f t="array" ref="E6229">- Salicylic ACID. BETAMETHASONE DIPROPIONATE</f>
        <v>#NAME?</v>
      </c>
      <c r="F6229" t="s">
        <v>28960</v>
      </c>
      <c r="G6229" t="s">
        <v>11083</v>
      </c>
      <c r="H6229" t="s">
        <v>28961</v>
      </c>
      <c r="I6229" t="s">
        <v>28962</v>
      </c>
      <c r="J6229" t="s">
        <v>7123</v>
      </c>
      <c r="K6229" t="s">
        <v>2726</v>
      </c>
      <c r="L6229" t="s">
        <v>28963</v>
      </c>
      <c r="M6229" t="s">
        <v>1029</v>
      </c>
      <c r="N6229" t="s">
        <v>28964</v>
      </c>
      <c r="O6229" t="s">
        <v>28965</v>
      </c>
      <c r="P6229" t="s">
        <v>28966</v>
      </c>
      <c r="Q6229" t="s">
        <v>28967</v>
      </c>
      <c r="R6229">
        <v>17</v>
      </c>
      <c r="S6229">
        <v>32</v>
      </c>
    </row>
    <row r="6230" spans="1:19" x14ac:dyDescent="0.35">
      <c r="A6230">
        <v>5561</v>
      </c>
      <c r="B6230" t="s">
        <v>28968</v>
      </c>
      <c r="C6230" t="s">
        <v>42</v>
      </c>
      <c r="D6230" t="s">
        <v>28969</v>
      </c>
      <c r="E6230" t="e" cm="1">
        <f t="array" ref="E6230">- PRILOCAINE. LIDOCAINE</f>
        <v>#NAME?</v>
      </c>
      <c r="F6230" t="s">
        <v>28970</v>
      </c>
      <c r="G6230" t="s">
        <v>28971</v>
      </c>
      <c r="H6230" t="s">
        <v>28972</v>
      </c>
      <c r="I6230" t="s">
        <v>28973</v>
      </c>
      <c r="J6230" t="s">
        <v>28974</v>
      </c>
      <c r="K6230" t="s">
        <v>28975</v>
      </c>
      <c r="L6230" t="s">
        <v>28976</v>
      </c>
    </row>
    <row r="6231" spans="1:19" x14ac:dyDescent="0.35">
      <c r="A6231">
        <v>3816</v>
      </c>
      <c r="B6231" t="s">
        <v>26536</v>
      </c>
      <c r="C6231" t="s">
        <v>42</v>
      </c>
      <c r="D6231" t="s">
        <v>26537</v>
      </c>
      <c r="E6231" t="e" cm="1">
        <f t="array" ref="E6231">- ZINC SULFATE MONOHYDRATE</f>
        <v>#NAME?</v>
      </c>
      <c r="F6231" t="s">
        <v>26538</v>
      </c>
      <c r="G6231" t="s">
        <v>26539</v>
      </c>
      <c r="H6231" t="s">
        <v>26540</v>
      </c>
      <c r="I6231" t="s">
        <v>26541</v>
      </c>
      <c r="J6231" t="s">
        <v>26542</v>
      </c>
      <c r="K6231" t="s">
        <v>3473</v>
      </c>
      <c r="L6231" t="s">
        <v>26543</v>
      </c>
      <c r="M6231" t="s">
        <v>46</v>
      </c>
      <c r="N6231" t="s">
        <v>2750</v>
      </c>
      <c r="O6231" t="s">
        <v>26544</v>
      </c>
      <c r="P6231" t="s">
        <v>26545</v>
      </c>
      <c r="Q6231" t="s">
        <v>28977</v>
      </c>
      <c r="R6231">
        <v>17</v>
      </c>
      <c r="S6231">
        <v>32</v>
      </c>
    </row>
    <row r="6232" spans="1:19" x14ac:dyDescent="0.35">
      <c r="A6232">
        <v>8161</v>
      </c>
      <c r="B6232" t="s">
        <v>551</v>
      </c>
      <c r="C6232" t="s">
        <v>42</v>
      </c>
      <c r="D6232" t="s">
        <v>27534</v>
      </c>
      <c r="E6232" t="e" cm="1">
        <f t="array" ref="E6232">- POVIDONE-IODINE</f>
        <v>#NAME?</v>
      </c>
      <c r="F6232" t="s">
        <v>27535</v>
      </c>
      <c r="G6232" t="s">
        <v>20050</v>
      </c>
      <c r="H6232" t="s">
        <v>13198</v>
      </c>
      <c r="I6232" t="s">
        <v>27536</v>
      </c>
      <c r="J6232" t="s">
        <v>27537</v>
      </c>
      <c r="L6232" t="s">
        <v>20053</v>
      </c>
      <c r="M6232" t="s">
        <v>554</v>
      </c>
      <c r="N6232" t="s">
        <v>555</v>
      </c>
      <c r="O6232" t="s">
        <v>27538</v>
      </c>
      <c r="P6232" t="s">
        <v>27539</v>
      </c>
      <c r="Q6232" t="s">
        <v>27540</v>
      </c>
      <c r="R6232">
        <v>17</v>
      </c>
      <c r="S6232">
        <v>32</v>
      </c>
    </row>
    <row r="6233" spans="1:19" x14ac:dyDescent="0.35">
      <c r="A6233">
        <v>5470</v>
      </c>
      <c r="B6233" t="s">
        <v>28411</v>
      </c>
      <c r="C6233" t="s">
        <v>42</v>
      </c>
      <c r="D6233" t="s">
        <v>28412</v>
      </c>
      <c r="E6233" t="e" cm="1">
        <f t="array" ref="E6233">- CLOTRIMAZOLE</f>
        <v>#NAME?</v>
      </c>
      <c r="F6233" t="s">
        <v>28413</v>
      </c>
      <c r="G6233" t="s">
        <v>28414</v>
      </c>
      <c r="H6233" t="s">
        <v>28415</v>
      </c>
      <c r="I6233" t="s">
        <v>28416</v>
      </c>
      <c r="J6233" t="s">
        <v>7123</v>
      </c>
      <c r="K6233" t="s">
        <v>2858</v>
      </c>
      <c r="L6233" t="s">
        <v>28417</v>
      </c>
      <c r="M6233" t="s">
        <v>1289</v>
      </c>
      <c r="N6233" t="s">
        <v>1422</v>
      </c>
      <c r="O6233" t="s">
        <v>28418</v>
      </c>
      <c r="P6233" t="s">
        <v>28419</v>
      </c>
      <c r="Q6233" t="s">
        <v>28420</v>
      </c>
      <c r="R6233">
        <v>17</v>
      </c>
      <c r="S6233">
        <v>32</v>
      </c>
    </row>
    <row r="6234" spans="1:19" x14ac:dyDescent="0.35">
      <c r="A6234">
        <v>732</v>
      </c>
      <c r="B6234" t="s">
        <v>28978</v>
      </c>
      <c r="C6234" t="s">
        <v>850</v>
      </c>
      <c r="D6234" t="s">
        <v>28979</v>
      </c>
      <c r="E6234" t="e" cm="1">
        <f t="array" ref="E6234">- Cajuput Oil</f>
        <v>#NAME?</v>
      </c>
      <c r="F6234" s="1">
        <v>89000</v>
      </c>
      <c r="G6234" t="s">
        <v>28980</v>
      </c>
      <c r="H6234" t="s">
        <v>28981</v>
      </c>
      <c r="I6234" t="s">
        <v>28982</v>
      </c>
      <c r="J6234" t="s">
        <v>13346</v>
      </c>
      <c r="L6234" t="s">
        <v>28983</v>
      </c>
      <c r="N6234" t="s">
        <v>3752</v>
      </c>
      <c r="O6234" t="s">
        <v>28984</v>
      </c>
      <c r="P6234" t="s">
        <v>28985</v>
      </c>
      <c r="Q6234" t="s">
        <v>28986</v>
      </c>
      <c r="R6234">
        <v>17</v>
      </c>
      <c r="S6234">
        <v>32</v>
      </c>
    </row>
    <row r="6235" spans="1:19" x14ac:dyDescent="0.35">
      <c r="A6235">
        <v>5471</v>
      </c>
      <c r="B6235" t="s">
        <v>28411</v>
      </c>
      <c r="C6235" t="s">
        <v>42</v>
      </c>
      <c r="D6235" t="s">
        <v>28412</v>
      </c>
      <c r="E6235" t="e" cm="1">
        <f t="array" ref="E6235">- CLOTRIMAZOLE</f>
        <v>#NAME?</v>
      </c>
      <c r="F6235" t="s">
        <v>28413</v>
      </c>
      <c r="G6235" t="s">
        <v>28414</v>
      </c>
      <c r="H6235" t="s">
        <v>28415</v>
      </c>
      <c r="I6235" t="s">
        <v>28416</v>
      </c>
      <c r="J6235" t="s">
        <v>7123</v>
      </c>
      <c r="K6235" t="s">
        <v>2858</v>
      </c>
      <c r="L6235" t="s">
        <v>28417</v>
      </c>
      <c r="M6235" t="s">
        <v>1289</v>
      </c>
      <c r="N6235" t="s">
        <v>1422</v>
      </c>
      <c r="O6235" t="s">
        <v>28418</v>
      </c>
      <c r="P6235" t="s">
        <v>28419</v>
      </c>
      <c r="Q6235" t="s">
        <v>28420</v>
      </c>
      <c r="R6235">
        <v>17</v>
      </c>
      <c r="S6235">
        <v>32</v>
      </c>
    </row>
    <row r="6236" spans="1:19" x14ac:dyDescent="0.35">
      <c r="A6236">
        <v>6010</v>
      </c>
      <c r="B6236" t="s">
        <v>28987</v>
      </c>
      <c r="C6236" t="s">
        <v>42</v>
      </c>
      <c r="D6236" t="s">
        <v>28988</v>
      </c>
      <c r="E6236" t="e" cm="1">
        <f t="array" ref="E6236">- ERYTHROMYCIN ETHYL SUCCINATE</f>
        <v>#NAME?</v>
      </c>
      <c r="F6236" t="s">
        <v>28989</v>
      </c>
      <c r="G6236" t="s">
        <v>5568</v>
      </c>
      <c r="H6236" t="s">
        <v>28990</v>
      </c>
      <c r="I6236" t="s">
        <v>28991</v>
      </c>
      <c r="J6236" t="s">
        <v>28992</v>
      </c>
      <c r="L6236" t="s">
        <v>28993</v>
      </c>
      <c r="M6236" t="s">
        <v>291</v>
      </c>
      <c r="N6236" t="s">
        <v>28853</v>
      </c>
      <c r="O6236" t="s">
        <v>28854</v>
      </c>
      <c r="P6236" t="s">
        <v>28994</v>
      </c>
      <c r="Q6236" t="s">
        <v>28995</v>
      </c>
      <c r="R6236">
        <v>17</v>
      </c>
      <c r="S6236">
        <v>32</v>
      </c>
    </row>
    <row r="6237" spans="1:19" x14ac:dyDescent="0.35">
      <c r="A6237">
        <v>5012</v>
      </c>
      <c r="B6237" t="s">
        <v>28752</v>
      </c>
      <c r="C6237" t="s">
        <v>42</v>
      </c>
      <c r="D6237" t="s">
        <v>28930</v>
      </c>
      <c r="E6237" t="e" cm="1">
        <f t="array" ref="E6237">- CLOBETASOL PROPIONATE</f>
        <v>#NAME?</v>
      </c>
      <c r="F6237" t="s">
        <v>28931</v>
      </c>
      <c r="G6237" t="s">
        <v>17290</v>
      </c>
      <c r="H6237" t="s">
        <v>26977</v>
      </c>
      <c r="I6237" t="s">
        <v>26978</v>
      </c>
      <c r="J6237" t="s">
        <v>1367</v>
      </c>
      <c r="K6237" t="s">
        <v>2726</v>
      </c>
      <c r="L6237" t="s">
        <v>26980</v>
      </c>
      <c r="M6237" t="s">
        <v>1289</v>
      </c>
      <c r="N6237" t="s">
        <v>3588</v>
      </c>
      <c r="O6237" t="s">
        <v>26981</v>
      </c>
      <c r="P6237" t="s">
        <v>28757</v>
      </c>
      <c r="Q6237" t="s">
        <v>28758</v>
      </c>
      <c r="R6237">
        <v>17</v>
      </c>
      <c r="S6237">
        <v>32</v>
      </c>
    </row>
    <row r="6238" spans="1:19" x14ac:dyDescent="0.35">
      <c r="A6238">
        <v>5013</v>
      </c>
      <c r="B6238" t="s">
        <v>28752</v>
      </c>
      <c r="C6238" t="s">
        <v>42</v>
      </c>
      <c r="D6238" t="s">
        <v>28930</v>
      </c>
      <c r="E6238" t="e" cm="1">
        <f t="array" ref="E6238">- CLOBETASOL PROPIONATE</f>
        <v>#NAME?</v>
      </c>
      <c r="F6238" t="s">
        <v>28931</v>
      </c>
      <c r="G6238" t="s">
        <v>17290</v>
      </c>
      <c r="H6238" t="s">
        <v>26977</v>
      </c>
      <c r="I6238" t="s">
        <v>26978</v>
      </c>
      <c r="J6238" t="s">
        <v>1367</v>
      </c>
      <c r="K6238" t="s">
        <v>2726</v>
      </c>
      <c r="L6238" t="s">
        <v>26980</v>
      </c>
      <c r="M6238" t="s">
        <v>1289</v>
      </c>
      <c r="N6238" t="s">
        <v>3588</v>
      </c>
      <c r="O6238" t="s">
        <v>26981</v>
      </c>
      <c r="P6238" t="s">
        <v>28757</v>
      </c>
      <c r="Q6238" t="s">
        <v>28758</v>
      </c>
      <c r="R6238">
        <v>17</v>
      </c>
      <c r="S6238">
        <v>32</v>
      </c>
    </row>
    <row r="6239" spans="1:19" x14ac:dyDescent="0.35">
      <c r="A6239">
        <v>5998</v>
      </c>
      <c r="B6239" t="s">
        <v>28996</v>
      </c>
      <c r="C6239" t="s">
        <v>42</v>
      </c>
      <c r="D6239" t="s">
        <v>28997</v>
      </c>
      <c r="E6239" t="e" cm="1">
        <f t="array" ref="E6239">- AMOXICILLIN</f>
        <v>#NAME?</v>
      </c>
      <c r="F6239" t="s">
        <v>28998</v>
      </c>
      <c r="G6239" t="s">
        <v>1691</v>
      </c>
      <c r="H6239" t="s">
        <v>28999</v>
      </c>
      <c r="I6239" t="s">
        <v>28806</v>
      </c>
    </row>
    <row r="6240" spans="1:19" x14ac:dyDescent="0.35">
      <c r="A6240">
        <v>2181</v>
      </c>
      <c r="B6240" t="s">
        <v>28952</v>
      </c>
      <c r="C6240" t="s">
        <v>42</v>
      </c>
      <c r="D6240" t="s">
        <v>28953</v>
      </c>
      <c r="E6240" t="e" cm="1">
        <f t="array" ref="E6240">- DICLOFENAC SODIUM</f>
        <v>#NAME?</v>
      </c>
      <c r="F6240" t="s">
        <v>28954</v>
      </c>
      <c r="G6240" t="s">
        <v>28955</v>
      </c>
      <c r="H6240" t="s">
        <v>2596</v>
      </c>
      <c r="I6240" t="s">
        <v>28195</v>
      </c>
      <c r="J6240" t="s">
        <v>13151</v>
      </c>
      <c r="K6240" t="s">
        <v>28381</v>
      </c>
      <c r="L6240" t="s">
        <v>28388</v>
      </c>
      <c r="M6240" t="s">
        <v>46</v>
      </c>
      <c r="N6240" t="s">
        <v>2597</v>
      </c>
      <c r="O6240" t="s">
        <v>28197</v>
      </c>
      <c r="P6240" t="s">
        <v>28956</v>
      </c>
      <c r="Q6240" t="s">
        <v>28957</v>
      </c>
      <c r="R6240">
        <v>17</v>
      </c>
      <c r="S6240">
        <v>32</v>
      </c>
    </row>
    <row r="6241" spans="1:19" x14ac:dyDescent="0.35">
      <c r="A6241">
        <v>7568</v>
      </c>
      <c r="B6241" t="s">
        <v>26847</v>
      </c>
      <c r="C6241" t="s">
        <v>42</v>
      </c>
      <c r="D6241" t="s">
        <v>26848</v>
      </c>
      <c r="E6241" t="e" cm="1">
        <f t="array" ref="E6241">- FERROUS FUMARATE. FOLIC ACID</f>
        <v>#NAME?</v>
      </c>
      <c r="F6241" t="s">
        <v>26849</v>
      </c>
      <c r="G6241" t="s">
        <v>26850</v>
      </c>
      <c r="H6241" t="s">
        <v>26851</v>
      </c>
      <c r="I6241" t="s">
        <v>26852</v>
      </c>
      <c r="J6241" t="s">
        <v>10764</v>
      </c>
      <c r="K6241" t="s">
        <v>26853</v>
      </c>
      <c r="L6241" t="s">
        <v>26854</v>
      </c>
      <c r="M6241" t="s">
        <v>46</v>
      </c>
      <c r="N6241" t="s">
        <v>29000</v>
      </c>
      <c r="O6241" t="s">
        <v>26856</v>
      </c>
      <c r="P6241" t="s">
        <v>26857</v>
      </c>
      <c r="Q6241" t="s">
        <v>29001</v>
      </c>
      <c r="R6241">
        <v>18</v>
      </c>
      <c r="S6241">
        <v>32</v>
      </c>
    </row>
    <row r="6242" spans="1:19" x14ac:dyDescent="0.35">
      <c r="A6242">
        <v>759</v>
      </c>
      <c r="B6242" t="s">
        <v>29002</v>
      </c>
      <c r="C6242" t="s">
        <v>42</v>
      </c>
      <c r="D6242" t="s">
        <v>29003</v>
      </c>
      <c r="E6242" t="e" cm="1">
        <f t="array" ref="E6242">- CHLORPHENAMINE MALEATE</f>
        <v>#NAME?</v>
      </c>
      <c r="F6242" t="s">
        <v>29004</v>
      </c>
      <c r="G6242" t="s">
        <v>3774</v>
      </c>
      <c r="H6242" t="s">
        <v>29005</v>
      </c>
      <c r="I6242" t="s">
        <v>29006</v>
      </c>
      <c r="J6242" t="s">
        <v>29007</v>
      </c>
      <c r="K6242" t="s">
        <v>29008</v>
      </c>
      <c r="L6242" t="s">
        <v>29009</v>
      </c>
      <c r="M6242" t="s">
        <v>46</v>
      </c>
      <c r="N6242" t="s">
        <v>1354</v>
      </c>
      <c r="O6242" t="s">
        <v>29010</v>
      </c>
      <c r="P6242" t="s">
        <v>29011</v>
      </c>
      <c r="Q6242" t="s">
        <v>29012</v>
      </c>
      <c r="R6242">
        <v>18</v>
      </c>
      <c r="S6242">
        <v>32</v>
      </c>
    </row>
    <row r="6243" spans="1:19" x14ac:dyDescent="0.35">
      <c r="A6243">
        <v>6990</v>
      </c>
      <c r="B6243" t="s">
        <v>1803</v>
      </c>
      <c r="C6243" t="s">
        <v>42</v>
      </c>
      <c r="D6243" t="s">
        <v>29013</v>
      </c>
      <c r="E6243" t="e" cm="1">
        <f t="array" ref="E6243">- TIZANIDINE HYDROCHLORIDE</f>
        <v>#NAME?</v>
      </c>
      <c r="F6243" t="s">
        <v>29014</v>
      </c>
      <c r="I6243" t="s">
        <v>29015</v>
      </c>
      <c r="J6243" t="s">
        <v>9479</v>
      </c>
      <c r="M6243" t="s">
        <v>46</v>
      </c>
      <c r="N6243" t="s">
        <v>1806</v>
      </c>
      <c r="O6243" t="s">
        <v>29016</v>
      </c>
      <c r="P6243" t="s">
        <v>29017</v>
      </c>
      <c r="Q6243" t="s">
        <v>29018</v>
      </c>
      <c r="R6243">
        <v>18</v>
      </c>
      <c r="S6243">
        <v>32</v>
      </c>
    </row>
    <row r="6244" spans="1:19" x14ac:dyDescent="0.35">
      <c r="A6244">
        <v>7279</v>
      </c>
      <c r="B6244" t="s">
        <v>29019</v>
      </c>
      <c r="C6244" t="s">
        <v>850</v>
      </c>
      <c r="D6244" t="s">
        <v>29020</v>
      </c>
      <c r="E6244" t="e" cm="1">
        <f t="array" ref="E6244">- Camphora</f>
        <v>#NAME?</v>
      </c>
      <c r="F6244" t="s">
        <v>29021</v>
      </c>
      <c r="G6244" t="s">
        <v>12180</v>
      </c>
      <c r="I6244" t="s">
        <v>29022</v>
      </c>
      <c r="J6244" t="s">
        <v>29023</v>
      </c>
      <c r="M6244" t="s">
        <v>3632</v>
      </c>
      <c r="N6244" t="s">
        <v>3633</v>
      </c>
      <c r="O6244" t="s">
        <v>29024</v>
      </c>
      <c r="P6244" t="s">
        <v>29025</v>
      </c>
      <c r="Q6244" t="s">
        <v>29026</v>
      </c>
      <c r="R6244">
        <v>18</v>
      </c>
      <c r="S6244">
        <v>32</v>
      </c>
    </row>
    <row r="6245" spans="1:19" x14ac:dyDescent="0.35">
      <c r="A6245">
        <v>7790</v>
      </c>
      <c r="B6245" t="s">
        <v>29027</v>
      </c>
      <c r="C6245" t="s">
        <v>20</v>
      </c>
      <c r="D6245" t="s">
        <v>29028</v>
      </c>
      <c r="E6245" t="s">
        <v>29029</v>
      </c>
      <c r="F6245" t="s">
        <v>29030</v>
      </c>
      <c r="I6245" t="s">
        <v>29031</v>
      </c>
      <c r="J6245" t="s">
        <v>29032</v>
      </c>
      <c r="M6245" t="s">
        <v>63</v>
      </c>
      <c r="N6245" t="s">
        <v>29033</v>
      </c>
      <c r="O6245" t="s">
        <v>29034</v>
      </c>
      <c r="P6245" t="s">
        <v>29035</v>
      </c>
      <c r="Q6245" t="s">
        <v>29036</v>
      </c>
      <c r="R6245">
        <v>18</v>
      </c>
      <c r="S6245">
        <v>32</v>
      </c>
    </row>
    <row r="6246" spans="1:19" x14ac:dyDescent="0.35">
      <c r="A6246">
        <v>7789</v>
      </c>
      <c r="B6246" t="s">
        <v>29027</v>
      </c>
      <c r="C6246" t="s">
        <v>20</v>
      </c>
      <c r="D6246" t="s">
        <v>29037</v>
      </c>
      <c r="E6246" t="s">
        <v>29029</v>
      </c>
      <c r="F6246" t="s">
        <v>29038</v>
      </c>
      <c r="H6246" t="s">
        <v>29039</v>
      </c>
      <c r="I6246" t="s">
        <v>29031</v>
      </c>
      <c r="J6246" t="s">
        <v>29040</v>
      </c>
      <c r="M6246" t="s">
        <v>63</v>
      </c>
      <c r="N6246" t="s">
        <v>29033</v>
      </c>
      <c r="O6246" t="s">
        <v>29034</v>
      </c>
      <c r="P6246" t="s">
        <v>29035</v>
      </c>
      <c r="Q6246" t="s">
        <v>29036</v>
      </c>
      <c r="R6246">
        <v>18</v>
      </c>
      <c r="S6246">
        <v>32</v>
      </c>
    </row>
    <row r="6247" spans="1:19" x14ac:dyDescent="0.35">
      <c r="A6247">
        <v>8664</v>
      </c>
      <c r="B6247" t="s">
        <v>29041</v>
      </c>
      <c r="C6247" t="s">
        <v>42</v>
      </c>
      <c r="D6247" t="s">
        <v>29042</v>
      </c>
      <c r="E6247" t="e" cm="1">
        <f t="array" ref="E6247">- PIOGLITAZONE</f>
        <v>#NAME?</v>
      </c>
      <c r="F6247" t="s">
        <v>29043</v>
      </c>
      <c r="G6247" t="s">
        <v>6869</v>
      </c>
      <c r="H6247" t="s">
        <v>29044</v>
      </c>
      <c r="I6247" t="s">
        <v>29045</v>
      </c>
      <c r="J6247" t="s">
        <v>599</v>
      </c>
      <c r="K6247" t="s">
        <v>29046</v>
      </c>
      <c r="L6247" t="s">
        <v>29047</v>
      </c>
      <c r="M6247" t="s">
        <v>46</v>
      </c>
      <c r="N6247" t="s">
        <v>27805</v>
      </c>
      <c r="O6247" t="s">
        <v>29048</v>
      </c>
      <c r="P6247" t="s">
        <v>29049</v>
      </c>
      <c r="Q6247" t="s">
        <v>29050</v>
      </c>
      <c r="R6247">
        <v>18</v>
      </c>
      <c r="S6247">
        <v>32</v>
      </c>
    </row>
    <row r="6248" spans="1:19" x14ac:dyDescent="0.35">
      <c r="A6248">
        <v>782</v>
      </c>
      <c r="B6248" t="s">
        <v>29051</v>
      </c>
      <c r="C6248" t="s">
        <v>42</v>
      </c>
      <c r="D6248" t="s">
        <v>29052</v>
      </c>
      <c r="E6248" t="e" cm="1">
        <f t="array" ref="E6248">- AMBROXOL HYDROCHLORIDE</f>
        <v>#NAME?</v>
      </c>
      <c r="F6248" t="s">
        <v>29053</v>
      </c>
      <c r="G6248" t="s">
        <v>539</v>
      </c>
      <c r="H6248" t="s">
        <v>29054</v>
      </c>
      <c r="I6248" t="s">
        <v>29055</v>
      </c>
      <c r="J6248" t="s">
        <v>334</v>
      </c>
      <c r="K6248" t="s">
        <v>3952</v>
      </c>
      <c r="L6248" t="s">
        <v>22896</v>
      </c>
      <c r="M6248" t="s">
        <v>271</v>
      </c>
      <c r="N6248" t="s">
        <v>1800</v>
      </c>
      <c r="O6248" t="s">
        <v>29056</v>
      </c>
      <c r="P6248" t="s">
        <v>29057</v>
      </c>
      <c r="Q6248" t="s">
        <v>29058</v>
      </c>
      <c r="R6248">
        <v>18</v>
      </c>
      <c r="S6248">
        <v>32</v>
      </c>
    </row>
    <row r="6249" spans="1:19" x14ac:dyDescent="0.35">
      <c r="A6249">
        <v>81</v>
      </c>
      <c r="B6249" t="s">
        <v>2902</v>
      </c>
      <c r="C6249" t="s">
        <v>42</v>
      </c>
      <c r="D6249" t="s">
        <v>29059</v>
      </c>
      <c r="E6249" t="e" cm="1">
        <f t="array" ref="E6249">- SILDENAFIL CITRATE</f>
        <v>#NAME?</v>
      </c>
      <c r="F6249" t="s">
        <v>29060</v>
      </c>
      <c r="G6249" t="s">
        <v>29061</v>
      </c>
      <c r="H6249" t="s">
        <v>8263</v>
      </c>
      <c r="I6249" t="s">
        <v>29062</v>
      </c>
      <c r="J6249" t="s">
        <v>29063</v>
      </c>
      <c r="K6249" t="s">
        <v>3473</v>
      </c>
      <c r="L6249" t="s">
        <v>29064</v>
      </c>
      <c r="M6249" t="s">
        <v>46</v>
      </c>
      <c r="N6249" t="s">
        <v>2519</v>
      </c>
      <c r="O6249" t="s">
        <v>29065</v>
      </c>
      <c r="P6249" t="s">
        <v>29066</v>
      </c>
      <c r="Q6249" t="s">
        <v>29067</v>
      </c>
      <c r="R6249">
        <v>18</v>
      </c>
      <c r="S6249">
        <v>32</v>
      </c>
    </row>
    <row r="6250" spans="1:19" x14ac:dyDescent="0.35">
      <c r="A6250">
        <v>35</v>
      </c>
      <c r="B6250" t="s">
        <v>2902</v>
      </c>
      <c r="C6250" t="s">
        <v>42</v>
      </c>
      <c r="D6250" t="s">
        <v>29068</v>
      </c>
      <c r="E6250" t="e" cm="1">
        <f t="array" ref="E6250">- SILDENAFIL CITRATE</f>
        <v>#NAME?</v>
      </c>
      <c r="F6250" s="1">
        <v>61000</v>
      </c>
      <c r="G6250" t="s">
        <v>29069</v>
      </c>
      <c r="H6250" t="s">
        <v>9172</v>
      </c>
      <c r="I6250" t="s">
        <v>29070</v>
      </c>
      <c r="J6250" t="s">
        <v>29071</v>
      </c>
      <c r="M6250" t="s">
        <v>46</v>
      </c>
      <c r="N6250" t="s">
        <v>2519</v>
      </c>
      <c r="O6250" t="s">
        <v>29072</v>
      </c>
      <c r="P6250" t="s">
        <v>12878</v>
      </c>
      <c r="Q6250" t="s">
        <v>29073</v>
      </c>
      <c r="R6250">
        <v>18</v>
      </c>
      <c r="S6250">
        <v>32</v>
      </c>
    </row>
    <row r="6251" spans="1:19" x14ac:dyDescent="0.35">
      <c r="A6251">
        <v>215</v>
      </c>
      <c r="B6251" t="s">
        <v>2902</v>
      </c>
      <c r="C6251" t="s">
        <v>42</v>
      </c>
      <c r="D6251" t="s">
        <v>29074</v>
      </c>
      <c r="E6251" t="e" cm="1">
        <f t="array" ref="E6251">- SILDENAFIL CITRATE</f>
        <v>#NAME?</v>
      </c>
      <c r="F6251" t="s">
        <v>29075</v>
      </c>
      <c r="H6251" t="s">
        <v>1322</v>
      </c>
      <c r="I6251" t="s">
        <v>29076</v>
      </c>
      <c r="J6251" t="s">
        <v>12079</v>
      </c>
      <c r="M6251" t="s">
        <v>46</v>
      </c>
      <c r="N6251" t="s">
        <v>2519</v>
      </c>
      <c r="O6251" t="s">
        <v>29077</v>
      </c>
      <c r="P6251" t="s">
        <v>29078</v>
      </c>
      <c r="Q6251" t="s">
        <v>29079</v>
      </c>
      <c r="R6251">
        <v>18</v>
      </c>
      <c r="S6251">
        <v>32</v>
      </c>
    </row>
    <row r="6252" spans="1:19" x14ac:dyDescent="0.35">
      <c r="A6252">
        <v>32</v>
      </c>
      <c r="B6252" t="s">
        <v>2902</v>
      </c>
      <c r="C6252" t="s">
        <v>42</v>
      </c>
      <c r="D6252" t="s">
        <v>29080</v>
      </c>
      <c r="E6252" t="e" cm="1">
        <f t="array" ref="E6252">- SILDENAFIL CITRATE</f>
        <v>#NAME?</v>
      </c>
      <c r="F6252" s="1">
        <v>68900</v>
      </c>
      <c r="G6252" t="s">
        <v>29081</v>
      </c>
      <c r="I6252" t="s">
        <v>29082</v>
      </c>
      <c r="J6252" t="s">
        <v>9173</v>
      </c>
      <c r="L6252" t="s">
        <v>29083</v>
      </c>
      <c r="M6252" t="s">
        <v>46</v>
      </c>
      <c r="N6252" t="s">
        <v>2519</v>
      </c>
      <c r="O6252" t="s">
        <v>29084</v>
      </c>
      <c r="P6252" t="s">
        <v>29085</v>
      </c>
      <c r="Q6252" t="s">
        <v>29086</v>
      </c>
      <c r="R6252">
        <v>18</v>
      </c>
      <c r="S6252">
        <v>32</v>
      </c>
    </row>
    <row r="6253" spans="1:19" x14ac:dyDescent="0.35">
      <c r="A6253">
        <v>7598</v>
      </c>
      <c r="B6253" t="s">
        <v>29087</v>
      </c>
      <c r="C6253" t="s">
        <v>20</v>
      </c>
      <c r="D6253" t="s">
        <v>29088</v>
      </c>
      <c r="E6253" t="s">
        <v>29089</v>
      </c>
      <c r="F6253" t="s">
        <v>29090</v>
      </c>
      <c r="G6253" t="s">
        <v>2241</v>
      </c>
      <c r="H6253" t="s">
        <v>29091</v>
      </c>
      <c r="I6253" t="s">
        <v>29092</v>
      </c>
      <c r="J6253" t="s">
        <v>334</v>
      </c>
      <c r="K6253" t="s">
        <v>29093</v>
      </c>
      <c r="L6253" t="s">
        <v>29094</v>
      </c>
      <c r="M6253" t="s">
        <v>271</v>
      </c>
      <c r="N6253" t="s">
        <v>29095</v>
      </c>
      <c r="O6253" t="s">
        <v>29096</v>
      </c>
      <c r="P6253" t="s">
        <v>29097</v>
      </c>
      <c r="Q6253" t="s">
        <v>29098</v>
      </c>
      <c r="R6253">
        <v>18</v>
      </c>
      <c r="S6253">
        <v>32</v>
      </c>
    </row>
    <row r="6254" spans="1:19" x14ac:dyDescent="0.35">
      <c r="A6254">
        <v>6380</v>
      </c>
      <c r="B6254" t="s">
        <v>29099</v>
      </c>
      <c r="C6254" t="s">
        <v>42</v>
      </c>
      <c r="D6254" t="s">
        <v>29100</v>
      </c>
      <c r="E6254" t="e" cm="1">
        <f t="array" ref="E6254">- SPIRAMYCIN</f>
        <v>#NAME?</v>
      </c>
      <c r="F6254" t="s">
        <v>29101</v>
      </c>
      <c r="G6254" t="s">
        <v>6740</v>
      </c>
      <c r="H6254" t="s">
        <v>29102</v>
      </c>
      <c r="I6254" t="s">
        <v>29103</v>
      </c>
      <c r="J6254" t="s">
        <v>29104</v>
      </c>
      <c r="K6254" t="s">
        <v>2726</v>
      </c>
      <c r="L6254" t="s">
        <v>29105</v>
      </c>
      <c r="M6254" t="s">
        <v>46</v>
      </c>
      <c r="N6254" t="s">
        <v>8733</v>
      </c>
      <c r="O6254" t="s">
        <v>29106</v>
      </c>
      <c r="P6254" t="s">
        <v>29107</v>
      </c>
      <c r="Q6254" t="s">
        <v>29108</v>
      </c>
      <c r="R6254">
        <v>18</v>
      </c>
      <c r="S6254">
        <v>32</v>
      </c>
    </row>
    <row r="6255" spans="1:19" x14ac:dyDescent="0.35">
      <c r="A6255">
        <v>767</v>
      </c>
      <c r="B6255" t="s">
        <v>29109</v>
      </c>
      <c r="C6255" t="s">
        <v>42</v>
      </c>
      <c r="D6255" t="s">
        <v>29110</v>
      </c>
      <c r="E6255" t="e" cm="1">
        <f t="array" ref="E6255">- AMBROXOL HYDROCHLORIDE</f>
        <v>#NAME?</v>
      </c>
      <c r="F6255" t="s">
        <v>29111</v>
      </c>
      <c r="G6255" t="s">
        <v>2241</v>
      </c>
      <c r="H6255" t="s">
        <v>29112</v>
      </c>
      <c r="I6255" t="s">
        <v>29055</v>
      </c>
      <c r="J6255" t="s">
        <v>334</v>
      </c>
      <c r="K6255" t="s">
        <v>3952</v>
      </c>
      <c r="L6255" t="s">
        <v>22896</v>
      </c>
      <c r="M6255" t="s">
        <v>271</v>
      </c>
      <c r="N6255" t="s">
        <v>1800</v>
      </c>
      <c r="O6255" t="s">
        <v>29056</v>
      </c>
      <c r="P6255" t="s">
        <v>29113</v>
      </c>
      <c r="Q6255" t="s">
        <v>29114</v>
      </c>
      <c r="R6255">
        <v>18</v>
      </c>
      <c r="S6255">
        <v>32</v>
      </c>
    </row>
    <row r="6256" spans="1:19" x14ac:dyDescent="0.35">
      <c r="A6256">
        <v>768</v>
      </c>
      <c r="B6256" t="s">
        <v>29109</v>
      </c>
      <c r="C6256" t="s">
        <v>42</v>
      </c>
      <c r="D6256" t="s">
        <v>29110</v>
      </c>
      <c r="E6256" t="e" cm="1">
        <f t="array" ref="E6256">- AMBROXOL HYDROCHLORIDE</f>
        <v>#NAME?</v>
      </c>
      <c r="F6256" t="s">
        <v>29111</v>
      </c>
      <c r="G6256" t="s">
        <v>2241</v>
      </c>
      <c r="H6256" t="s">
        <v>29112</v>
      </c>
      <c r="I6256" t="s">
        <v>29055</v>
      </c>
      <c r="J6256" t="s">
        <v>334</v>
      </c>
      <c r="K6256" t="s">
        <v>3952</v>
      </c>
      <c r="L6256" t="s">
        <v>22896</v>
      </c>
      <c r="M6256" t="s">
        <v>271</v>
      </c>
      <c r="N6256" t="s">
        <v>1800</v>
      </c>
      <c r="O6256" t="s">
        <v>29056</v>
      </c>
      <c r="P6256" t="s">
        <v>29113</v>
      </c>
      <c r="Q6256" t="s">
        <v>29114</v>
      </c>
      <c r="R6256">
        <v>18</v>
      </c>
      <c r="S6256">
        <v>32</v>
      </c>
    </row>
    <row r="6257" spans="1:19" x14ac:dyDescent="0.35">
      <c r="A6257">
        <v>7557</v>
      </c>
      <c r="B6257" t="s">
        <v>29115</v>
      </c>
      <c r="C6257" t="s">
        <v>42</v>
      </c>
      <c r="D6257" t="s">
        <v>29116</v>
      </c>
      <c r="E6257" t="e" cm="1">
        <f t="array" ref="E6257">- FERROUS FUMARATE. CALCIUM CARBONATE. ASCORBIC ACID. FOLIC ACID. CYANOCOBALAMIN. COLECALCIFEROL</f>
        <v>#NAME?</v>
      </c>
      <c r="F6257" t="s">
        <v>29117</v>
      </c>
      <c r="G6257" t="s">
        <v>28934</v>
      </c>
      <c r="H6257" t="s">
        <v>29118</v>
      </c>
      <c r="I6257" t="s">
        <v>29119</v>
      </c>
      <c r="J6257" t="s">
        <v>29120</v>
      </c>
      <c r="K6257" t="s">
        <v>29121</v>
      </c>
      <c r="L6257" t="s">
        <v>29122</v>
      </c>
      <c r="M6257" t="s">
        <v>38</v>
      </c>
      <c r="N6257" t="s">
        <v>29123</v>
      </c>
      <c r="O6257" t="s">
        <v>29124</v>
      </c>
      <c r="P6257" t="s">
        <v>29125</v>
      </c>
      <c r="Q6257" t="s">
        <v>29126</v>
      </c>
      <c r="R6257">
        <v>18</v>
      </c>
      <c r="S6257">
        <v>32</v>
      </c>
    </row>
    <row r="6258" spans="1:19" x14ac:dyDescent="0.35">
      <c r="A6258">
        <v>7430</v>
      </c>
      <c r="B6258" t="s">
        <v>29127</v>
      </c>
      <c r="C6258" t="s">
        <v>42</v>
      </c>
      <c r="D6258" t="s">
        <v>29128</v>
      </c>
      <c r="E6258" t="e" cm="1">
        <f t="array" ref="E6258">- CYANOCOBALAMIN</f>
        <v>#NAME?</v>
      </c>
      <c r="F6258" t="s">
        <v>29129</v>
      </c>
      <c r="I6258" t="s">
        <v>29130</v>
      </c>
      <c r="J6258" t="s">
        <v>13933</v>
      </c>
      <c r="M6258" t="s">
        <v>46</v>
      </c>
      <c r="N6258" t="s">
        <v>677</v>
      </c>
      <c r="O6258" t="s">
        <v>29131</v>
      </c>
      <c r="P6258" t="s">
        <v>29132</v>
      </c>
      <c r="Q6258" t="s">
        <v>29133</v>
      </c>
      <c r="R6258">
        <v>18</v>
      </c>
      <c r="S6258">
        <v>32</v>
      </c>
    </row>
    <row r="6259" spans="1:19" x14ac:dyDescent="0.35">
      <c r="A6259">
        <v>769</v>
      </c>
      <c r="B6259" t="s">
        <v>26507</v>
      </c>
      <c r="C6259" t="s">
        <v>42</v>
      </c>
      <c r="D6259" t="s">
        <v>26508</v>
      </c>
      <c r="E6259" t="e" cm="1">
        <f t="array" ref="E6259">- PSEUDOEPHEDRINE HYDROCHLORIDE. TRIPROLIDINE HYDROCHLORIDE</f>
        <v>#NAME?</v>
      </c>
      <c r="F6259" t="s">
        <v>26509</v>
      </c>
      <c r="G6259" t="s">
        <v>5839</v>
      </c>
      <c r="H6259" t="s">
        <v>26510</v>
      </c>
      <c r="I6259" t="s">
        <v>26511</v>
      </c>
      <c r="J6259" t="s">
        <v>334</v>
      </c>
      <c r="K6259" t="s">
        <v>26512</v>
      </c>
      <c r="L6259" t="s">
        <v>26513</v>
      </c>
      <c r="M6259" t="s">
        <v>271</v>
      </c>
      <c r="N6259" t="s">
        <v>3820</v>
      </c>
      <c r="O6259" t="s">
        <v>26514</v>
      </c>
      <c r="P6259" t="s">
        <v>10971</v>
      </c>
      <c r="Q6259" t="s">
        <v>29134</v>
      </c>
      <c r="R6259">
        <v>18</v>
      </c>
      <c r="S6259">
        <v>32</v>
      </c>
    </row>
    <row r="6260" spans="1:19" x14ac:dyDescent="0.35">
      <c r="A6260">
        <v>7565</v>
      </c>
      <c r="B6260" t="s">
        <v>26847</v>
      </c>
      <c r="C6260" t="s">
        <v>42</v>
      </c>
      <c r="D6260" t="s">
        <v>26848</v>
      </c>
      <c r="E6260" t="e" cm="1">
        <f t="array" ref="E6260">- FERROUS FUMARATE. FOLIC ACID</f>
        <v>#NAME?</v>
      </c>
      <c r="F6260" t="s">
        <v>26849</v>
      </c>
      <c r="G6260" t="s">
        <v>26850</v>
      </c>
      <c r="H6260" t="s">
        <v>26851</v>
      </c>
      <c r="I6260" t="s">
        <v>26852</v>
      </c>
      <c r="J6260" t="s">
        <v>10764</v>
      </c>
      <c r="K6260" t="s">
        <v>26853</v>
      </c>
      <c r="L6260" t="s">
        <v>26854</v>
      </c>
      <c r="M6260" t="s">
        <v>46</v>
      </c>
      <c r="N6260" t="s">
        <v>29000</v>
      </c>
      <c r="O6260" t="s">
        <v>26856</v>
      </c>
      <c r="P6260" t="s">
        <v>26857</v>
      </c>
      <c r="Q6260" t="s">
        <v>29001</v>
      </c>
      <c r="R6260">
        <v>18</v>
      </c>
      <c r="S6260">
        <v>32</v>
      </c>
    </row>
    <row r="6261" spans="1:19" x14ac:dyDescent="0.35">
      <c r="A6261">
        <v>7053</v>
      </c>
      <c r="B6261" t="s">
        <v>1803</v>
      </c>
      <c r="C6261" t="s">
        <v>42</v>
      </c>
      <c r="D6261" t="s">
        <v>29074</v>
      </c>
      <c r="E6261" t="e" cm="1">
        <f t="array" ref="E6261">- TIZANIDINE HYDROCHLORIDE</f>
        <v>#NAME?</v>
      </c>
      <c r="F6261" t="s">
        <v>29075</v>
      </c>
      <c r="H6261" t="s">
        <v>1322</v>
      </c>
      <c r="I6261" t="s">
        <v>29076</v>
      </c>
      <c r="J6261" t="s">
        <v>12079</v>
      </c>
      <c r="M6261" t="s">
        <v>46</v>
      </c>
      <c r="N6261" t="s">
        <v>1806</v>
      </c>
      <c r="O6261" t="s">
        <v>29077</v>
      </c>
      <c r="P6261" t="s">
        <v>29078</v>
      </c>
      <c r="Q6261" t="s">
        <v>29135</v>
      </c>
      <c r="R6261">
        <v>18</v>
      </c>
      <c r="S6261">
        <v>32</v>
      </c>
    </row>
    <row r="6262" spans="1:19" x14ac:dyDescent="0.35">
      <c r="A6262">
        <v>7566</v>
      </c>
      <c r="B6262" t="s">
        <v>26847</v>
      </c>
      <c r="C6262" t="s">
        <v>42</v>
      </c>
      <c r="D6262" t="s">
        <v>26848</v>
      </c>
      <c r="E6262" t="e" cm="1">
        <f t="array" ref="E6262">- FERROUS FUMARATE. FOLIC ACID</f>
        <v>#NAME?</v>
      </c>
      <c r="F6262" t="s">
        <v>26849</v>
      </c>
      <c r="G6262" t="s">
        <v>26850</v>
      </c>
      <c r="H6262" t="s">
        <v>26851</v>
      </c>
      <c r="I6262" t="s">
        <v>26852</v>
      </c>
      <c r="J6262" t="s">
        <v>10764</v>
      </c>
      <c r="K6262" t="s">
        <v>26853</v>
      </c>
      <c r="L6262" t="s">
        <v>26854</v>
      </c>
      <c r="M6262" t="s">
        <v>46</v>
      </c>
      <c r="N6262" t="s">
        <v>29000</v>
      </c>
      <c r="O6262" t="s">
        <v>26856</v>
      </c>
      <c r="P6262" t="s">
        <v>26857</v>
      </c>
      <c r="Q6262" t="s">
        <v>29001</v>
      </c>
      <c r="R6262">
        <v>18</v>
      </c>
      <c r="S6262">
        <v>32</v>
      </c>
    </row>
    <row r="6263" spans="1:19" x14ac:dyDescent="0.35">
      <c r="A6263">
        <v>7556</v>
      </c>
      <c r="B6263" t="s">
        <v>29115</v>
      </c>
      <c r="C6263" t="s">
        <v>42</v>
      </c>
      <c r="D6263" t="s">
        <v>29116</v>
      </c>
      <c r="E6263" t="e" cm="1">
        <f t="array" ref="E6263">- FERROUS FUMARATE. CALCIUM CARBONATE. ASCORBIC ACID. FOLIC ACID. CYANOCOBALAMIN. COLECALCIFEROL</f>
        <v>#NAME?</v>
      </c>
      <c r="F6263" t="s">
        <v>29117</v>
      </c>
      <c r="G6263" t="s">
        <v>28934</v>
      </c>
      <c r="H6263" t="s">
        <v>29118</v>
      </c>
      <c r="I6263" t="s">
        <v>29119</v>
      </c>
      <c r="J6263" t="s">
        <v>29120</v>
      </c>
      <c r="K6263" t="s">
        <v>29121</v>
      </c>
      <c r="L6263" t="s">
        <v>29122</v>
      </c>
      <c r="M6263" t="s">
        <v>38</v>
      </c>
      <c r="N6263" t="s">
        <v>29123</v>
      </c>
      <c r="O6263" t="s">
        <v>29124</v>
      </c>
      <c r="P6263" t="s">
        <v>29125</v>
      </c>
      <c r="Q6263" t="s">
        <v>29126</v>
      </c>
      <c r="R6263">
        <v>18</v>
      </c>
      <c r="S6263">
        <v>32</v>
      </c>
    </row>
    <row r="6264" spans="1:19" x14ac:dyDescent="0.35">
      <c r="A6264">
        <v>770</v>
      </c>
      <c r="B6264" t="s">
        <v>26507</v>
      </c>
      <c r="C6264" t="s">
        <v>42</v>
      </c>
      <c r="D6264" t="s">
        <v>26508</v>
      </c>
      <c r="E6264" t="e" cm="1">
        <f t="array" ref="E6264">- PSEUDOEPHEDRINE HYDROCHLORIDE. TRIPROLIDINE HYDROCHLORIDE</f>
        <v>#NAME?</v>
      </c>
      <c r="F6264" t="s">
        <v>26509</v>
      </c>
      <c r="G6264" t="s">
        <v>5839</v>
      </c>
      <c r="H6264" t="s">
        <v>26510</v>
      </c>
      <c r="I6264" t="s">
        <v>26511</v>
      </c>
      <c r="J6264" t="s">
        <v>334</v>
      </c>
      <c r="K6264" t="s">
        <v>26512</v>
      </c>
      <c r="L6264" t="s">
        <v>26513</v>
      </c>
      <c r="M6264" t="s">
        <v>271</v>
      </c>
      <c r="N6264" t="s">
        <v>3820</v>
      </c>
      <c r="O6264" t="s">
        <v>26514</v>
      </c>
      <c r="P6264" t="s">
        <v>10971</v>
      </c>
      <c r="Q6264" t="s">
        <v>29134</v>
      </c>
      <c r="R6264">
        <v>18</v>
      </c>
      <c r="S6264">
        <v>32</v>
      </c>
    </row>
    <row r="6265" spans="1:19" x14ac:dyDescent="0.35">
      <c r="A6265">
        <v>7991</v>
      </c>
      <c r="B6265" t="s">
        <v>29136</v>
      </c>
      <c r="C6265" t="s">
        <v>20</v>
      </c>
      <c r="D6265" t="s">
        <v>29137</v>
      </c>
      <c r="E6265" t="s">
        <v>29138</v>
      </c>
      <c r="F6265" t="s">
        <v>27758</v>
      </c>
      <c r="H6265" t="s">
        <v>29139</v>
      </c>
      <c r="I6265" t="s">
        <v>29140</v>
      </c>
      <c r="J6265" t="s">
        <v>29141</v>
      </c>
      <c r="M6265" t="s">
        <v>2374</v>
      </c>
      <c r="N6265" t="s">
        <v>29142</v>
      </c>
      <c r="O6265" t="s">
        <v>29143</v>
      </c>
      <c r="P6265" t="s">
        <v>29142</v>
      </c>
      <c r="Q6265" t="s">
        <v>29144</v>
      </c>
      <c r="R6265">
        <v>18</v>
      </c>
      <c r="S6265">
        <v>32</v>
      </c>
    </row>
    <row r="6266" spans="1:19" x14ac:dyDescent="0.35">
      <c r="A6266">
        <v>7295</v>
      </c>
      <c r="B6266" t="s">
        <v>29145</v>
      </c>
      <c r="C6266" t="s">
        <v>850</v>
      </c>
      <c r="D6266" t="s">
        <v>29146</v>
      </c>
      <c r="E6266" t="e" cm="1">
        <f t="array" ref="E6266">- Cajuput Oil</f>
        <v>#NAME?</v>
      </c>
      <c r="F6266" s="1">
        <v>24800</v>
      </c>
      <c r="G6266" t="s">
        <v>29147</v>
      </c>
      <c r="H6266" t="s">
        <v>8263</v>
      </c>
      <c r="I6266" t="s">
        <v>29148</v>
      </c>
      <c r="J6266" t="s">
        <v>21274</v>
      </c>
      <c r="L6266" t="s">
        <v>29149</v>
      </c>
      <c r="M6266" t="s">
        <v>3632</v>
      </c>
      <c r="N6266" t="s">
        <v>3752</v>
      </c>
      <c r="O6266" t="s">
        <v>29150</v>
      </c>
      <c r="P6266" t="s">
        <v>29151</v>
      </c>
      <c r="Q6266" t="s">
        <v>29152</v>
      </c>
      <c r="R6266">
        <v>18</v>
      </c>
      <c r="S6266">
        <v>32</v>
      </c>
    </row>
    <row r="6267" spans="1:19" x14ac:dyDescent="0.35">
      <c r="A6267">
        <v>6381</v>
      </c>
      <c r="B6267" t="s">
        <v>29153</v>
      </c>
      <c r="C6267" t="s">
        <v>42</v>
      </c>
      <c r="D6267" t="s">
        <v>29154</v>
      </c>
      <c r="E6267" t="e" cm="1">
        <f t="array" ref="E6267">- SPIRAMYCIN</f>
        <v>#NAME?</v>
      </c>
      <c r="F6267" t="s">
        <v>29155</v>
      </c>
      <c r="G6267" t="s">
        <v>23278</v>
      </c>
      <c r="H6267" t="s">
        <v>29156</v>
      </c>
      <c r="I6267" t="s">
        <v>29157</v>
      </c>
      <c r="J6267" t="s">
        <v>29158</v>
      </c>
      <c r="K6267" t="s">
        <v>2726</v>
      </c>
      <c r="L6267" t="s">
        <v>29159</v>
      </c>
      <c r="M6267" t="s">
        <v>271</v>
      </c>
      <c r="N6267" t="s">
        <v>8733</v>
      </c>
      <c r="O6267" t="s">
        <v>29106</v>
      </c>
      <c r="P6267" t="s">
        <v>29107</v>
      </c>
      <c r="Q6267" t="s">
        <v>29160</v>
      </c>
      <c r="R6267">
        <v>18</v>
      </c>
      <c r="S6267">
        <v>32</v>
      </c>
    </row>
    <row r="6268" spans="1:19" x14ac:dyDescent="0.35">
      <c r="A6268">
        <v>7296</v>
      </c>
      <c r="B6268" t="s">
        <v>29161</v>
      </c>
      <c r="C6268" t="s">
        <v>850</v>
      </c>
      <c r="D6268" t="s">
        <v>29162</v>
      </c>
      <c r="E6268" t="e" cm="1">
        <f t="array" ref="E6268">- Camphora</f>
        <v>#NAME?</v>
      </c>
      <c r="F6268" t="s">
        <v>29163</v>
      </c>
      <c r="G6268" t="s">
        <v>29164</v>
      </c>
      <c r="H6268" t="s">
        <v>9647</v>
      </c>
      <c r="I6268" t="s">
        <v>29165</v>
      </c>
      <c r="J6268" t="s">
        <v>21274</v>
      </c>
      <c r="L6268" t="s">
        <v>29166</v>
      </c>
      <c r="M6268" t="s">
        <v>3632</v>
      </c>
      <c r="N6268" t="s">
        <v>3633</v>
      </c>
      <c r="O6268" t="s">
        <v>29167</v>
      </c>
      <c r="P6268" t="s">
        <v>29168</v>
      </c>
      <c r="Q6268" t="s">
        <v>29169</v>
      </c>
      <c r="R6268">
        <v>18</v>
      </c>
      <c r="S6268">
        <v>32</v>
      </c>
    </row>
    <row r="6269" spans="1:19" x14ac:dyDescent="0.35">
      <c r="A6269">
        <v>688</v>
      </c>
      <c r="B6269" t="s">
        <v>29170</v>
      </c>
      <c r="C6269" t="s">
        <v>20</v>
      </c>
      <c r="D6269" t="s">
        <v>29171</v>
      </c>
      <c r="E6269" t="s">
        <v>29172</v>
      </c>
      <c r="F6269" t="s">
        <v>29173</v>
      </c>
      <c r="G6269" t="s">
        <v>27248</v>
      </c>
      <c r="H6269" t="s">
        <v>27249</v>
      </c>
      <c r="I6269" t="s">
        <v>27250</v>
      </c>
      <c r="J6269" t="s">
        <v>29174</v>
      </c>
      <c r="M6269" t="s">
        <v>2115</v>
      </c>
      <c r="N6269" t="s">
        <v>29175</v>
      </c>
      <c r="O6269" t="s">
        <v>27252</v>
      </c>
      <c r="P6269" t="s">
        <v>29176</v>
      </c>
      <c r="Q6269" t="s">
        <v>29177</v>
      </c>
      <c r="R6269">
        <v>18</v>
      </c>
      <c r="S6269">
        <v>32</v>
      </c>
    </row>
    <row r="6270" spans="1:19" x14ac:dyDescent="0.35">
      <c r="A6270">
        <v>366</v>
      </c>
      <c r="B6270" t="s">
        <v>29178</v>
      </c>
      <c r="C6270" t="s">
        <v>42</v>
      </c>
      <c r="D6270" t="s">
        <v>29179</v>
      </c>
      <c r="E6270" t="e" cm="1">
        <f t="array" ref="E6270">- MEDROXYPROGESTERONE ACETATE</f>
        <v>#NAME?</v>
      </c>
      <c r="F6270" t="s">
        <v>29180</v>
      </c>
      <c r="G6270" t="s">
        <v>29181</v>
      </c>
      <c r="H6270" t="s">
        <v>29182</v>
      </c>
      <c r="I6270" t="s">
        <v>29183</v>
      </c>
      <c r="J6270" t="s">
        <v>29184</v>
      </c>
      <c r="K6270" t="s">
        <v>29185</v>
      </c>
    </row>
    <row r="6271" spans="1:19" x14ac:dyDescent="0.35">
      <c r="A6271">
        <v>8103</v>
      </c>
      <c r="B6271" t="s">
        <v>551</v>
      </c>
      <c r="C6271" t="s">
        <v>42</v>
      </c>
      <c r="D6271" t="s">
        <v>29186</v>
      </c>
      <c r="E6271" t="e" cm="1">
        <f t="array" ref="E6271">- POVIDONE-IODINE</f>
        <v>#NAME?</v>
      </c>
      <c r="F6271" t="s">
        <v>29187</v>
      </c>
      <c r="G6271" t="s">
        <v>25624</v>
      </c>
      <c r="I6271" t="s">
        <v>25625</v>
      </c>
      <c r="J6271" t="s">
        <v>11963</v>
      </c>
      <c r="M6271" t="s">
        <v>554</v>
      </c>
      <c r="N6271" t="s">
        <v>555</v>
      </c>
      <c r="O6271" t="s">
        <v>25626</v>
      </c>
      <c r="P6271" t="s">
        <v>15903</v>
      </c>
      <c r="Q6271" t="s">
        <v>29188</v>
      </c>
      <c r="R6271">
        <v>18</v>
      </c>
      <c r="S6271">
        <v>32</v>
      </c>
    </row>
    <row r="6272" spans="1:19" x14ac:dyDescent="0.35">
      <c r="A6272">
        <v>7455</v>
      </c>
      <c r="B6272" t="s">
        <v>29189</v>
      </c>
      <c r="C6272" t="s">
        <v>20</v>
      </c>
      <c r="D6272" t="s">
        <v>29190</v>
      </c>
      <c r="E6272" t="s">
        <v>29191</v>
      </c>
      <c r="F6272" t="s">
        <v>29192</v>
      </c>
      <c r="G6272" t="s">
        <v>60</v>
      </c>
      <c r="H6272" t="s">
        <v>29193</v>
      </c>
      <c r="I6272" t="s">
        <v>29194</v>
      </c>
      <c r="J6272" t="s">
        <v>29195</v>
      </c>
      <c r="M6272" t="s">
        <v>291</v>
      </c>
      <c r="N6272" t="s">
        <v>29196</v>
      </c>
      <c r="O6272" t="s">
        <v>29197</v>
      </c>
      <c r="P6272" t="s">
        <v>29198</v>
      </c>
      <c r="Q6272" t="s">
        <v>29199</v>
      </c>
      <c r="R6272">
        <v>18</v>
      </c>
      <c r="S6272">
        <v>32</v>
      </c>
    </row>
    <row r="6273" spans="1:19" x14ac:dyDescent="0.35">
      <c r="A6273">
        <v>7796</v>
      </c>
      <c r="B6273" t="s">
        <v>29200</v>
      </c>
      <c r="C6273" t="s">
        <v>20</v>
      </c>
      <c r="D6273" t="s">
        <v>29201</v>
      </c>
      <c r="E6273" t="s">
        <v>29202</v>
      </c>
      <c r="F6273" t="s">
        <v>29203</v>
      </c>
      <c r="G6273" t="s">
        <v>29204</v>
      </c>
      <c r="H6273" t="s">
        <v>29205</v>
      </c>
      <c r="I6273" t="s">
        <v>29206</v>
      </c>
      <c r="J6273" t="s">
        <v>743</v>
      </c>
      <c r="M6273" t="s">
        <v>824</v>
      </c>
      <c r="N6273" t="s">
        <v>29207</v>
      </c>
      <c r="O6273" t="s">
        <v>29208</v>
      </c>
      <c r="P6273" t="s">
        <v>29209</v>
      </c>
      <c r="Q6273" t="s">
        <v>29210</v>
      </c>
      <c r="R6273">
        <v>18</v>
      </c>
      <c r="S6273">
        <v>32</v>
      </c>
    </row>
    <row r="6274" spans="1:19" x14ac:dyDescent="0.35">
      <c r="A6274">
        <v>6371</v>
      </c>
      <c r="B6274" t="s">
        <v>29211</v>
      </c>
      <c r="C6274" t="s">
        <v>42</v>
      </c>
      <c r="D6274" t="s">
        <v>29212</v>
      </c>
      <c r="E6274" t="e" cm="1">
        <f t="array" ref="E6274">- CIPROFLOXACIN HYDROCHLORIDE</f>
        <v>#NAME?</v>
      </c>
      <c r="F6274" s="1">
        <v>142300</v>
      </c>
      <c r="G6274" t="s">
        <v>29213</v>
      </c>
      <c r="H6274" t="s">
        <v>29214</v>
      </c>
      <c r="I6274" t="s">
        <v>29215</v>
      </c>
    </row>
    <row r="6275" spans="1:19" x14ac:dyDescent="0.35">
      <c r="A6275">
        <v>6374</v>
      </c>
      <c r="B6275" t="s">
        <v>29216</v>
      </c>
      <c r="C6275" t="s">
        <v>42</v>
      </c>
      <c r="D6275" t="s">
        <v>29217</v>
      </c>
      <c r="E6275" t="e" cm="1">
        <f t="array" ref="E6275">- CEFADROXIL MONOHYDRATE</f>
        <v>#NAME?</v>
      </c>
      <c r="F6275" t="s">
        <v>29218</v>
      </c>
      <c r="G6275" t="s">
        <v>29219</v>
      </c>
      <c r="H6275" t="s">
        <v>29220</v>
      </c>
      <c r="I6275" t="s">
        <v>29221</v>
      </c>
      <c r="J6275" t="s">
        <v>22905</v>
      </c>
      <c r="K6275" t="s">
        <v>29222</v>
      </c>
      <c r="L6275" t="s">
        <v>29223</v>
      </c>
      <c r="M6275" t="s">
        <v>38</v>
      </c>
      <c r="N6275" t="s">
        <v>1777</v>
      </c>
      <c r="O6275" t="s">
        <v>29224</v>
      </c>
      <c r="P6275" t="s">
        <v>29225</v>
      </c>
      <c r="Q6275" t="s">
        <v>29226</v>
      </c>
      <c r="R6275">
        <v>18</v>
      </c>
      <c r="S6275">
        <v>32</v>
      </c>
    </row>
    <row r="6276" spans="1:19" x14ac:dyDescent="0.35">
      <c r="A6276">
        <v>6375</v>
      </c>
      <c r="B6276" t="s">
        <v>29216</v>
      </c>
      <c r="C6276" t="s">
        <v>42</v>
      </c>
      <c r="D6276" t="s">
        <v>29217</v>
      </c>
      <c r="E6276" t="e" cm="1">
        <f t="array" ref="E6276">- CEFADROXIL MONOHYDRATE</f>
        <v>#NAME?</v>
      </c>
      <c r="F6276" t="s">
        <v>29218</v>
      </c>
      <c r="G6276" t="s">
        <v>29219</v>
      </c>
      <c r="H6276" t="s">
        <v>29220</v>
      </c>
      <c r="I6276" t="s">
        <v>29221</v>
      </c>
      <c r="J6276" t="s">
        <v>22905</v>
      </c>
      <c r="K6276" t="s">
        <v>29222</v>
      </c>
      <c r="L6276" t="s">
        <v>29223</v>
      </c>
      <c r="M6276" t="s">
        <v>38</v>
      </c>
      <c r="N6276" t="s">
        <v>1777</v>
      </c>
      <c r="O6276" t="s">
        <v>29224</v>
      </c>
      <c r="P6276" t="s">
        <v>29225</v>
      </c>
      <c r="Q6276" t="s">
        <v>29226</v>
      </c>
      <c r="R6276">
        <v>18</v>
      </c>
      <c r="S6276">
        <v>32</v>
      </c>
    </row>
    <row r="6277" spans="1:19" x14ac:dyDescent="0.35">
      <c r="A6277">
        <v>7953</v>
      </c>
      <c r="B6277" t="s">
        <v>29227</v>
      </c>
      <c r="C6277" t="s">
        <v>20</v>
      </c>
      <c r="D6277" t="s">
        <v>29228</v>
      </c>
      <c r="E6277" t="s">
        <v>29229</v>
      </c>
      <c r="F6277" t="s">
        <v>29230</v>
      </c>
      <c r="G6277" t="s">
        <v>2241</v>
      </c>
      <c r="H6277" t="s">
        <v>29231</v>
      </c>
      <c r="I6277" t="s">
        <v>29232</v>
      </c>
      <c r="J6277" t="s">
        <v>29233</v>
      </c>
      <c r="M6277" t="s">
        <v>38</v>
      </c>
      <c r="N6277" t="s">
        <v>29234</v>
      </c>
      <c r="O6277" t="s">
        <v>29235</v>
      </c>
      <c r="P6277" t="s">
        <v>29236</v>
      </c>
      <c r="Q6277" t="s">
        <v>29237</v>
      </c>
      <c r="R6277">
        <v>18</v>
      </c>
      <c r="S6277">
        <v>32</v>
      </c>
    </row>
    <row r="6278" spans="1:19" x14ac:dyDescent="0.35">
      <c r="A6278">
        <v>7567</v>
      </c>
      <c r="B6278" t="s">
        <v>26847</v>
      </c>
      <c r="C6278" t="s">
        <v>42</v>
      </c>
      <c r="D6278" t="s">
        <v>26848</v>
      </c>
      <c r="E6278" t="e" cm="1">
        <f t="array" ref="E6278">- FERROUS FUMARATE. FOLIC ACID</f>
        <v>#NAME?</v>
      </c>
      <c r="F6278" t="s">
        <v>26849</v>
      </c>
      <c r="G6278" t="s">
        <v>26850</v>
      </c>
      <c r="H6278" t="s">
        <v>26851</v>
      </c>
      <c r="I6278" t="s">
        <v>26852</v>
      </c>
      <c r="J6278" t="s">
        <v>10764</v>
      </c>
      <c r="K6278" t="s">
        <v>26853</v>
      </c>
      <c r="L6278" t="s">
        <v>26854</v>
      </c>
      <c r="M6278" t="s">
        <v>46</v>
      </c>
      <c r="N6278" t="s">
        <v>29000</v>
      </c>
      <c r="O6278" t="s">
        <v>26856</v>
      </c>
      <c r="P6278" t="s">
        <v>26857</v>
      </c>
      <c r="Q6278" t="s">
        <v>29001</v>
      </c>
      <c r="R6278">
        <v>18</v>
      </c>
      <c r="S6278">
        <v>32</v>
      </c>
    </row>
    <row r="6279" spans="1:19" x14ac:dyDescent="0.35">
      <c r="A6279">
        <v>6376</v>
      </c>
      <c r="B6279" t="s">
        <v>29238</v>
      </c>
      <c r="C6279" t="s">
        <v>42</v>
      </c>
      <c r="D6279" t="s">
        <v>29239</v>
      </c>
      <c r="E6279" t="e" cm="1">
        <f t="array" ref="E6279">- CEFADROXIL MONOHYDRATE</f>
        <v>#NAME?</v>
      </c>
      <c r="F6279" t="s">
        <v>29240</v>
      </c>
      <c r="H6279" t="s">
        <v>29241</v>
      </c>
      <c r="I6279" t="s">
        <v>29221</v>
      </c>
      <c r="J6279" t="s">
        <v>334</v>
      </c>
      <c r="K6279" t="s">
        <v>29222</v>
      </c>
      <c r="L6279" t="s">
        <v>29223</v>
      </c>
      <c r="M6279" t="s">
        <v>271</v>
      </c>
      <c r="N6279" t="s">
        <v>1777</v>
      </c>
      <c r="O6279" t="s">
        <v>29224</v>
      </c>
      <c r="P6279" t="s">
        <v>29225</v>
      </c>
      <c r="Q6279" t="s">
        <v>29242</v>
      </c>
      <c r="R6279">
        <v>18</v>
      </c>
      <c r="S6279">
        <v>32</v>
      </c>
    </row>
    <row r="6280" spans="1:19" x14ac:dyDescent="0.35">
      <c r="A6280">
        <v>6377</v>
      </c>
      <c r="B6280" t="s">
        <v>29238</v>
      </c>
      <c r="C6280" t="s">
        <v>42</v>
      </c>
      <c r="D6280" t="s">
        <v>29239</v>
      </c>
      <c r="E6280" t="e" cm="1">
        <f t="array" ref="E6280">- CEFADROXIL MONOHYDRATE</f>
        <v>#NAME?</v>
      </c>
      <c r="F6280" t="s">
        <v>29240</v>
      </c>
      <c r="H6280" t="s">
        <v>29241</v>
      </c>
      <c r="I6280" t="s">
        <v>29221</v>
      </c>
      <c r="J6280" t="s">
        <v>334</v>
      </c>
      <c r="K6280" t="s">
        <v>29222</v>
      </c>
      <c r="L6280" t="s">
        <v>29223</v>
      </c>
      <c r="M6280" t="s">
        <v>271</v>
      </c>
      <c r="N6280" t="s">
        <v>1777</v>
      </c>
      <c r="O6280" t="s">
        <v>29224</v>
      </c>
      <c r="P6280" t="s">
        <v>29225</v>
      </c>
      <c r="Q6280" t="s">
        <v>29242</v>
      </c>
      <c r="R6280">
        <v>18</v>
      </c>
      <c r="S6280">
        <v>32</v>
      </c>
    </row>
    <row r="6281" spans="1:19" x14ac:dyDescent="0.35">
      <c r="A6281">
        <v>367</v>
      </c>
      <c r="B6281" t="s">
        <v>29178</v>
      </c>
      <c r="C6281" t="s">
        <v>42</v>
      </c>
      <c r="D6281" t="s">
        <v>29179</v>
      </c>
      <c r="E6281" t="e" cm="1">
        <f t="array" ref="E6281">- MEDROXYPROGESTERONE ACETATE</f>
        <v>#NAME?</v>
      </c>
      <c r="F6281" t="s">
        <v>29180</v>
      </c>
      <c r="G6281" t="s">
        <v>29181</v>
      </c>
      <c r="H6281" t="s">
        <v>29182</v>
      </c>
      <c r="I6281" t="s">
        <v>29183</v>
      </c>
      <c r="J6281" t="s">
        <v>29184</v>
      </c>
      <c r="K6281" t="s">
        <v>29185</v>
      </c>
    </row>
    <row r="6282" spans="1:19" x14ac:dyDescent="0.35">
      <c r="A6282">
        <v>8102</v>
      </c>
      <c r="B6282" t="s">
        <v>551</v>
      </c>
      <c r="C6282" t="s">
        <v>42</v>
      </c>
      <c r="D6282" t="s">
        <v>29186</v>
      </c>
      <c r="E6282" t="e" cm="1">
        <f t="array" ref="E6282">- POVIDONE-IODINE</f>
        <v>#NAME?</v>
      </c>
      <c r="F6282" t="s">
        <v>29187</v>
      </c>
      <c r="G6282" t="s">
        <v>25624</v>
      </c>
      <c r="I6282" t="s">
        <v>25625</v>
      </c>
      <c r="J6282" t="s">
        <v>11963</v>
      </c>
      <c r="M6282" t="s">
        <v>554</v>
      </c>
      <c r="N6282" t="s">
        <v>555</v>
      </c>
      <c r="O6282" t="s">
        <v>25626</v>
      </c>
      <c r="P6282" t="s">
        <v>15903</v>
      </c>
      <c r="Q6282" t="s">
        <v>29188</v>
      </c>
      <c r="R6282">
        <v>18</v>
      </c>
      <c r="S6282">
        <v>32</v>
      </c>
    </row>
    <row r="6283" spans="1:19" x14ac:dyDescent="0.35">
      <c r="A6283">
        <v>7924</v>
      </c>
      <c r="B6283" t="s">
        <v>29243</v>
      </c>
      <c r="C6283" t="s">
        <v>20</v>
      </c>
      <c r="D6283" t="s">
        <v>29244</v>
      </c>
      <c r="E6283" t="s">
        <v>29245</v>
      </c>
      <c r="F6283" t="s">
        <v>29246</v>
      </c>
      <c r="I6283" t="s">
        <v>29247</v>
      </c>
      <c r="J6283" t="s">
        <v>29248</v>
      </c>
      <c r="L6283" t="s">
        <v>29249</v>
      </c>
      <c r="M6283" t="s">
        <v>38</v>
      </c>
      <c r="N6283" t="s">
        <v>29250</v>
      </c>
      <c r="O6283" t="s">
        <v>29251</v>
      </c>
      <c r="P6283" t="s">
        <v>29252</v>
      </c>
      <c r="Q6283" t="s">
        <v>29253</v>
      </c>
      <c r="R6283">
        <v>18</v>
      </c>
      <c r="S6283">
        <v>32</v>
      </c>
    </row>
    <row r="6284" spans="1:19" x14ac:dyDescent="0.35">
      <c r="A6284">
        <v>784</v>
      </c>
      <c r="B6284" t="s">
        <v>29254</v>
      </c>
      <c r="C6284" t="s">
        <v>42</v>
      </c>
      <c r="D6284" t="s">
        <v>29255</v>
      </c>
      <c r="E6284" t="e" cm="1">
        <f t="array" ref="E6284">- AMBROXOL HYDROCHLORIDE</f>
        <v>#NAME?</v>
      </c>
      <c r="F6284" t="s">
        <v>29256</v>
      </c>
      <c r="G6284" t="s">
        <v>2453</v>
      </c>
      <c r="H6284" t="s">
        <v>29112</v>
      </c>
      <c r="I6284" t="s">
        <v>29055</v>
      </c>
      <c r="J6284" t="s">
        <v>1144</v>
      </c>
      <c r="K6284" t="s">
        <v>3952</v>
      </c>
      <c r="L6284" t="s">
        <v>22896</v>
      </c>
      <c r="M6284" t="s">
        <v>271</v>
      </c>
      <c r="N6284" t="s">
        <v>1800</v>
      </c>
      <c r="O6284" t="s">
        <v>29056</v>
      </c>
      <c r="P6284" t="s">
        <v>29257</v>
      </c>
      <c r="Q6284" t="s">
        <v>29258</v>
      </c>
      <c r="R6284">
        <v>18</v>
      </c>
      <c r="S6284">
        <v>32</v>
      </c>
    </row>
    <row r="6285" spans="1:19" x14ac:dyDescent="0.35">
      <c r="A6285">
        <v>8801</v>
      </c>
      <c r="B6285" t="s">
        <v>2388</v>
      </c>
      <c r="C6285" t="s">
        <v>42</v>
      </c>
      <c r="D6285" t="s">
        <v>29259</v>
      </c>
      <c r="E6285" t="e" cm="1">
        <f t="array" ref="E6285">- PIOGLITAZONE HYDROCHLORIDE</f>
        <v>#NAME?</v>
      </c>
      <c r="F6285" t="s">
        <v>29260</v>
      </c>
      <c r="G6285" t="s">
        <v>29261</v>
      </c>
      <c r="H6285" t="s">
        <v>29262</v>
      </c>
      <c r="I6285" t="s">
        <v>29263</v>
      </c>
    </row>
    <row r="6286" spans="1:19" x14ac:dyDescent="0.35">
      <c r="A6286">
        <v>799</v>
      </c>
      <c r="B6286" t="s">
        <v>29264</v>
      </c>
      <c r="C6286" t="s">
        <v>42</v>
      </c>
      <c r="D6286" t="s">
        <v>29265</v>
      </c>
      <c r="E6286" t="e" cm="1">
        <f t="array" ref="E6286">- AMBROXOL HYDROCHLORIDE</f>
        <v>#NAME?</v>
      </c>
      <c r="F6286" t="s">
        <v>29266</v>
      </c>
      <c r="G6286" t="s">
        <v>4640</v>
      </c>
      <c r="H6286" t="s">
        <v>29267</v>
      </c>
      <c r="I6286" t="s">
        <v>29055</v>
      </c>
      <c r="J6286" t="s">
        <v>381</v>
      </c>
      <c r="K6286" t="s">
        <v>3952</v>
      </c>
      <c r="L6286" t="s">
        <v>22896</v>
      </c>
      <c r="M6286" t="s">
        <v>46</v>
      </c>
      <c r="N6286" t="s">
        <v>1800</v>
      </c>
      <c r="O6286" t="s">
        <v>29056</v>
      </c>
      <c r="P6286" t="s">
        <v>29257</v>
      </c>
      <c r="Q6286" t="s">
        <v>29268</v>
      </c>
      <c r="R6286">
        <v>18</v>
      </c>
      <c r="S6286">
        <v>32</v>
      </c>
    </row>
    <row r="6287" spans="1:19" x14ac:dyDescent="0.35">
      <c r="A6287">
        <v>538</v>
      </c>
      <c r="B6287" t="s">
        <v>28317</v>
      </c>
      <c r="C6287" t="s">
        <v>42</v>
      </c>
      <c r="D6287" t="s">
        <v>28318</v>
      </c>
      <c r="E6287" t="e" cm="1">
        <f t="array" ref="E6287">- PROCATEROL HYDROCHLORIDE HYDRATE</f>
        <v>#NAME?</v>
      </c>
      <c r="F6287" t="s">
        <v>28319</v>
      </c>
      <c r="G6287" t="s">
        <v>60</v>
      </c>
      <c r="H6287" t="s">
        <v>16591</v>
      </c>
      <c r="I6287" t="s">
        <v>28320</v>
      </c>
      <c r="J6287" t="s">
        <v>754</v>
      </c>
      <c r="K6287" t="s">
        <v>2858</v>
      </c>
      <c r="L6287" t="s">
        <v>28321</v>
      </c>
    </row>
    <row r="6288" spans="1:19" x14ac:dyDescent="0.35">
      <c r="A6288">
        <v>9156</v>
      </c>
      <c r="B6288" t="s">
        <v>29269</v>
      </c>
      <c r="C6288" t="s">
        <v>42</v>
      </c>
      <c r="D6288" t="s">
        <v>29270</v>
      </c>
      <c r="E6288" t="e" cm="1">
        <f t="array" ref="E6288">- RAMIPRIL</f>
        <v>#NAME?</v>
      </c>
      <c r="F6288" t="s">
        <v>29271</v>
      </c>
      <c r="G6288" t="s">
        <v>60</v>
      </c>
      <c r="H6288" t="s">
        <v>29272</v>
      </c>
      <c r="I6288" t="s">
        <v>29273</v>
      </c>
      <c r="J6288" t="s">
        <v>29274</v>
      </c>
      <c r="K6288" t="s">
        <v>13645</v>
      </c>
      <c r="L6288" t="s">
        <v>29275</v>
      </c>
      <c r="M6288" t="s">
        <v>46</v>
      </c>
      <c r="N6288" t="s">
        <v>2222</v>
      </c>
      <c r="O6288" t="s">
        <v>29276</v>
      </c>
      <c r="P6288" t="s">
        <v>13648</v>
      </c>
      <c r="Q6288" t="s">
        <v>29277</v>
      </c>
      <c r="R6288">
        <v>18</v>
      </c>
      <c r="S6288">
        <v>32</v>
      </c>
    </row>
    <row r="6289" spans="1:19" x14ac:dyDescent="0.35">
      <c r="A6289">
        <v>9155</v>
      </c>
      <c r="B6289" t="s">
        <v>29269</v>
      </c>
      <c r="C6289" t="s">
        <v>42</v>
      </c>
      <c r="D6289" t="s">
        <v>29270</v>
      </c>
      <c r="E6289" t="e" cm="1">
        <f t="array" ref="E6289">- RAMIPRIL</f>
        <v>#NAME?</v>
      </c>
      <c r="F6289" t="s">
        <v>29271</v>
      </c>
      <c r="G6289" t="s">
        <v>60</v>
      </c>
      <c r="H6289" t="s">
        <v>29272</v>
      </c>
      <c r="I6289" t="s">
        <v>29273</v>
      </c>
      <c r="J6289" t="s">
        <v>29274</v>
      </c>
      <c r="K6289" t="s">
        <v>13645</v>
      </c>
      <c r="L6289" t="s">
        <v>29275</v>
      </c>
      <c r="M6289" t="s">
        <v>46</v>
      </c>
      <c r="N6289" t="s">
        <v>2222</v>
      </c>
      <c r="O6289" t="s">
        <v>29276</v>
      </c>
      <c r="P6289" t="s">
        <v>13648</v>
      </c>
      <c r="Q6289" t="s">
        <v>29277</v>
      </c>
      <c r="R6289">
        <v>18</v>
      </c>
      <c r="S6289">
        <v>32</v>
      </c>
    </row>
    <row r="6290" spans="1:19" x14ac:dyDescent="0.35">
      <c r="A6290">
        <v>540</v>
      </c>
      <c r="B6290" t="s">
        <v>29278</v>
      </c>
      <c r="C6290" t="s">
        <v>42</v>
      </c>
      <c r="D6290" t="s">
        <v>29279</v>
      </c>
      <c r="E6290" t="e" cm="1">
        <f t="array" ref="E6290">- PROCATEROL HYDROCHLORIDE</f>
        <v>#NAME?</v>
      </c>
      <c r="F6290" t="s">
        <v>29280</v>
      </c>
      <c r="G6290" t="s">
        <v>60</v>
      </c>
      <c r="H6290" t="s">
        <v>29281</v>
      </c>
      <c r="I6290" t="s">
        <v>28320</v>
      </c>
      <c r="J6290" t="s">
        <v>381</v>
      </c>
      <c r="K6290" t="s">
        <v>2858</v>
      </c>
      <c r="L6290" t="s">
        <v>28321</v>
      </c>
    </row>
    <row r="6291" spans="1:19" x14ac:dyDescent="0.35">
      <c r="A6291">
        <v>797</v>
      </c>
      <c r="B6291" t="s">
        <v>29282</v>
      </c>
      <c r="C6291" t="s">
        <v>42</v>
      </c>
      <c r="D6291" t="s">
        <v>29283</v>
      </c>
      <c r="E6291" t="e" cm="1">
        <f t="array" ref="E6291">- PARACETAMOL. PHENYLPROPANOLAMINE HYDROCHLORIDE. CHLORPHENAMINE MALEATE</f>
        <v>#NAME?</v>
      </c>
      <c r="F6291" t="s">
        <v>29284</v>
      </c>
      <c r="G6291" t="s">
        <v>2453</v>
      </c>
      <c r="H6291" t="s">
        <v>19761</v>
      </c>
      <c r="I6291" t="s">
        <v>29285</v>
      </c>
      <c r="J6291" t="s">
        <v>29286</v>
      </c>
      <c r="K6291" t="s">
        <v>29287</v>
      </c>
      <c r="L6291" t="s">
        <v>29288</v>
      </c>
      <c r="M6291" t="s">
        <v>46</v>
      </c>
      <c r="N6291" t="s">
        <v>20189</v>
      </c>
      <c r="O6291" t="s">
        <v>29289</v>
      </c>
      <c r="P6291" t="s">
        <v>29290</v>
      </c>
      <c r="Q6291" t="s">
        <v>29291</v>
      </c>
      <c r="R6291">
        <v>18</v>
      </c>
      <c r="S6291">
        <v>32</v>
      </c>
    </row>
    <row r="6292" spans="1:19" x14ac:dyDescent="0.35">
      <c r="A6292">
        <v>9154</v>
      </c>
      <c r="B6292" t="s">
        <v>29269</v>
      </c>
      <c r="C6292" t="s">
        <v>42</v>
      </c>
      <c r="D6292" t="s">
        <v>29270</v>
      </c>
      <c r="E6292" t="e" cm="1">
        <f t="array" ref="E6292">- RAMIPRIL</f>
        <v>#NAME?</v>
      </c>
      <c r="F6292" t="s">
        <v>29271</v>
      </c>
      <c r="G6292" t="s">
        <v>60</v>
      </c>
      <c r="H6292" t="s">
        <v>29272</v>
      </c>
      <c r="I6292" t="s">
        <v>29273</v>
      </c>
      <c r="J6292" t="s">
        <v>29274</v>
      </c>
      <c r="K6292" t="s">
        <v>13645</v>
      </c>
      <c r="L6292" t="s">
        <v>29275</v>
      </c>
      <c r="M6292" t="s">
        <v>46</v>
      </c>
      <c r="N6292" t="s">
        <v>2222</v>
      </c>
      <c r="O6292" t="s">
        <v>29276</v>
      </c>
      <c r="P6292" t="s">
        <v>13648</v>
      </c>
      <c r="Q6292" t="s">
        <v>29277</v>
      </c>
      <c r="R6292">
        <v>18</v>
      </c>
      <c r="S6292">
        <v>32</v>
      </c>
    </row>
    <row r="6293" spans="1:19" x14ac:dyDescent="0.35">
      <c r="A6293">
        <v>9152</v>
      </c>
      <c r="B6293" t="s">
        <v>29269</v>
      </c>
      <c r="C6293" t="s">
        <v>42</v>
      </c>
      <c r="D6293" t="s">
        <v>29292</v>
      </c>
      <c r="E6293" t="e" cm="1">
        <f t="array" ref="E6293">- RAMIPRIL</f>
        <v>#NAME?</v>
      </c>
      <c r="F6293" t="s">
        <v>29293</v>
      </c>
      <c r="G6293" t="s">
        <v>60</v>
      </c>
      <c r="H6293" t="s">
        <v>29294</v>
      </c>
      <c r="I6293" t="s">
        <v>29273</v>
      </c>
      <c r="J6293" t="s">
        <v>2978</v>
      </c>
      <c r="K6293" t="s">
        <v>13645</v>
      </c>
      <c r="L6293" t="s">
        <v>29275</v>
      </c>
      <c r="M6293" t="s">
        <v>46</v>
      </c>
      <c r="N6293" t="s">
        <v>2222</v>
      </c>
      <c r="O6293" t="s">
        <v>29276</v>
      </c>
      <c r="P6293" t="s">
        <v>13648</v>
      </c>
      <c r="Q6293" t="s">
        <v>29277</v>
      </c>
      <c r="R6293">
        <v>18</v>
      </c>
      <c r="S6293">
        <v>32</v>
      </c>
    </row>
    <row r="6294" spans="1:19" x14ac:dyDescent="0.35">
      <c r="A6294">
        <v>9151</v>
      </c>
      <c r="B6294" t="s">
        <v>29269</v>
      </c>
      <c r="C6294" t="s">
        <v>42</v>
      </c>
      <c r="D6294" t="s">
        <v>29292</v>
      </c>
      <c r="E6294" t="e" cm="1">
        <f t="array" ref="E6294">- RAMIPRIL</f>
        <v>#NAME?</v>
      </c>
      <c r="F6294" t="s">
        <v>29293</v>
      </c>
      <c r="G6294" t="s">
        <v>60</v>
      </c>
      <c r="H6294" t="s">
        <v>29294</v>
      </c>
      <c r="I6294" t="s">
        <v>29273</v>
      </c>
      <c r="J6294" t="s">
        <v>2978</v>
      </c>
      <c r="K6294" t="s">
        <v>13645</v>
      </c>
      <c r="L6294" t="s">
        <v>29275</v>
      </c>
      <c r="M6294" t="s">
        <v>46</v>
      </c>
      <c r="N6294" t="s">
        <v>2222</v>
      </c>
      <c r="O6294" t="s">
        <v>29276</v>
      </c>
      <c r="P6294" t="s">
        <v>13648</v>
      </c>
      <c r="Q6294" t="s">
        <v>29277</v>
      </c>
      <c r="R6294">
        <v>18</v>
      </c>
      <c r="S6294">
        <v>32</v>
      </c>
    </row>
    <row r="6295" spans="1:19" x14ac:dyDescent="0.35">
      <c r="A6295">
        <v>9042</v>
      </c>
      <c r="B6295" t="s">
        <v>29295</v>
      </c>
      <c r="C6295" t="s">
        <v>42</v>
      </c>
      <c r="D6295" t="s">
        <v>29296</v>
      </c>
      <c r="E6295" t="e" cm="1">
        <f t="array" ref="E6295">- CANDESARTAN</f>
        <v>#NAME?</v>
      </c>
      <c r="F6295" t="s">
        <v>29297</v>
      </c>
      <c r="G6295" t="s">
        <v>6869</v>
      </c>
      <c r="H6295" t="s">
        <v>29298</v>
      </c>
      <c r="I6295" t="s">
        <v>29299</v>
      </c>
      <c r="J6295" t="s">
        <v>599</v>
      </c>
      <c r="K6295" t="s">
        <v>29300</v>
      </c>
      <c r="L6295" t="s">
        <v>29301</v>
      </c>
      <c r="M6295" t="s">
        <v>46</v>
      </c>
      <c r="N6295" t="s">
        <v>22168</v>
      </c>
      <c r="O6295" t="e" cm="1">
        <f t="array" ref="O6295">- hipertensi - pengobatan Pasien gagal jantung gangguan fungsi sistolik ventrikel kiri obat penghambat ace Tidak ditoleransi</f>
        <v>#NAME?</v>
      </c>
      <c r="P6295" t="s">
        <v>29302</v>
      </c>
      <c r="Q6295" t="s">
        <v>29303</v>
      </c>
      <c r="R6295">
        <v>18</v>
      </c>
      <c r="S6295">
        <v>32</v>
      </c>
    </row>
    <row r="6296" spans="1:19" x14ac:dyDescent="0.35">
      <c r="A6296">
        <v>800</v>
      </c>
      <c r="B6296" t="s">
        <v>29264</v>
      </c>
      <c r="C6296" t="s">
        <v>42</v>
      </c>
      <c r="D6296" t="s">
        <v>29265</v>
      </c>
      <c r="E6296" t="e" cm="1">
        <f t="array" ref="E6296">- AMBROXOL HYDROCHLORIDE</f>
        <v>#NAME?</v>
      </c>
      <c r="F6296" t="s">
        <v>29266</v>
      </c>
      <c r="G6296" t="s">
        <v>4640</v>
      </c>
      <c r="H6296" t="s">
        <v>29267</v>
      </c>
      <c r="I6296" t="s">
        <v>29055</v>
      </c>
      <c r="J6296" t="s">
        <v>381</v>
      </c>
      <c r="K6296" t="s">
        <v>3952</v>
      </c>
      <c r="L6296" t="s">
        <v>22896</v>
      </c>
      <c r="M6296" t="s">
        <v>46</v>
      </c>
      <c r="N6296" t="s">
        <v>1800</v>
      </c>
      <c r="O6296" t="s">
        <v>29056</v>
      </c>
      <c r="P6296" t="s">
        <v>29257</v>
      </c>
      <c r="Q6296" t="s">
        <v>29268</v>
      </c>
      <c r="R6296">
        <v>18</v>
      </c>
      <c r="S6296">
        <v>32</v>
      </c>
    </row>
    <row r="6297" spans="1:19" x14ac:dyDescent="0.35">
      <c r="A6297">
        <v>9043</v>
      </c>
      <c r="B6297" t="s">
        <v>29304</v>
      </c>
      <c r="C6297" t="s">
        <v>42</v>
      </c>
      <c r="D6297" t="s">
        <v>29305</v>
      </c>
      <c r="E6297" t="e" cm="1">
        <f t="array" ref="E6297">- CANDESARTAN</f>
        <v>#NAME?</v>
      </c>
      <c r="F6297" t="s">
        <v>29306</v>
      </c>
      <c r="G6297" t="s">
        <v>6869</v>
      </c>
      <c r="H6297" t="s">
        <v>29298</v>
      </c>
      <c r="I6297" t="s">
        <v>29299</v>
      </c>
      <c r="J6297" t="s">
        <v>599</v>
      </c>
      <c r="K6297" t="s">
        <v>29300</v>
      </c>
      <c r="L6297" t="s">
        <v>29301</v>
      </c>
      <c r="M6297" t="s">
        <v>46</v>
      </c>
      <c r="N6297" t="s">
        <v>22168</v>
      </c>
      <c r="O6297" t="e" cm="1">
        <f t="array" ref="O6297">- hipertensi - pengobatan Pasien gagal jantung gangguan fungsi sistolik ventrikel kiri obat penghambat ace Tidak ditoleransi</f>
        <v>#NAME?</v>
      </c>
      <c r="P6297" t="s">
        <v>29302</v>
      </c>
      <c r="Q6297" t="s">
        <v>29303</v>
      </c>
      <c r="R6297">
        <v>18</v>
      </c>
      <c r="S6297">
        <v>32</v>
      </c>
    </row>
    <row r="6298" spans="1:19" x14ac:dyDescent="0.35">
      <c r="A6298">
        <v>801</v>
      </c>
      <c r="B6298" t="s">
        <v>29307</v>
      </c>
      <c r="C6298" t="s">
        <v>42</v>
      </c>
      <c r="D6298" t="s">
        <v>29308</v>
      </c>
      <c r="E6298" t="e" cm="1">
        <f t="array" ref="E6298">- AMBROXOL HYDROCHLORIDE</f>
        <v>#NAME?</v>
      </c>
      <c r="F6298" t="s">
        <v>29309</v>
      </c>
      <c r="G6298" t="s">
        <v>29310</v>
      </c>
      <c r="H6298" t="s">
        <v>29054</v>
      </c>
      <c r="I6298" t="s">
        <v>29055</v>
      </c>
      <c r="J6298" t="s">
        <v>334</v>
      </c>
      <c r="K6298" t="s">
        <v>3952</v>
      </c>
      <c r="L6298" t="s">
        <v>22896</v>
      </c>
      <c r="M6298" t="s">
        <v>271</v>
      </c>
      <c r="N6298" t="s">
        <v>1800</v>
      </c>
      <c r="O6298" t="s">
        <v>29056</v>
      </c>
      <c r="P6298" t="s">
        <v>29311</v>
      </c>
      <c r="Q6298" t="s">
        <v>29312</v>
      </c>
      <c r="R6298">
        <v>18</v>
      </c>
      <c r="S6298">
        <v>32</v>
      </c>
    </row>
    <row r="6299" spans="1:19" x14ac:dyDescent="0.35">
      <c r="A6299">
        <v>9153</v>
      </c>
      <c r="B6299" t="s">
        <v>29269</v>
      </c>
      <c r="C6299" t="s">
        <v>42</v>
      </c>
      <c r="D6299" t="s">
        <v>29292</v>
      </c>
      <c r="E6299" t="e" cm="1">
        <f t="array" ref="E6299">- RAMIPRIL</f>
        <v>#NAME?</v>
      </c>
      <c r="F6299" t="s">
        <v>29293</v>
      </c>
      <c r="G6299" t="s">
        <v>60</v>
      </c>
      <c r="H6299" t="s">
        <v>29294</v>
      </c>
      <c r="I6299" t="s">
        <v>29273</v>
      </c>
      <c r="J6299" t="s">
        <v>2978</v>
      </c>
      <c r="K6299" t="s">
        <v>13645</v>
      </c>
      <c r="L6299" t="s">
        <v>29275</v>
      </c>
      <c r="M6299" t="s">
        <v>46</v>
      </c>
      <c r="N6299" t="s">
        <v>2222</v>
      </c>
      <c r="O6299" t="s">
        <v>29276</v>
      </c>
      <c r="P6299" t="s">
        <v>13648</v>
      </c>
      <c r="Q6299" t="s">
        <v>29277</v>
      </c>
      <c r="R6299">
        <v>18</v>
      </c>
      <c r="S6299">
        <v>32</v>
      </c>
    </row>
    <row r="6300" spans="1:19" x14ac:dyDescent="0.35">
      <c r="A6300">
        <v>7857</v>
      </c>
      <c r="B6300" t="s">
        <v>4381</v>
      </c>
      <c r="C6300" t="s">
        <v>20</v>
      </c>
      <c r="D6300" t="s">
        <v>29313</v>
      </c>
      <c r="E6300" t="s">
        <v>4383</v>
      </c>
      <c r="F6300" s="1">
        <v>83000</v>
      </c>
      <c r="H6300" t="s">
        <v>4385</v>
      </c>
      <c r="I6300" t="s">
        <v>29314</v>
      </c>
      <c r="J6300" t="s">
        <v>107</v>
      </c>
      <c r="M6300" t="s">
        <v>38</v>
      </c>
      <c r="N6300" t="s">
        <v>4387</v>
      </c>
      <c r="O6300" t="s">
        <v>29315</v>
      </c>
      <c r="P6300" t="s">
        <v>29316</v>
      </c>
      <c r="Q6300" t="s">
        <v>29317</v>
      </c>
      <c r="R6300">
        <v>18</v>
      </c>
      <c r="S6300">
        <v>32</v>
      </c>
    </row>
    <row r="6301" spans="1:19" x14ac:dyDescent="0.35">
      <c r="A6301">
        <v>9022</v>
      </c>
      <c r="B6301" t="s">
        <v>29318</v>
      </c>
      <c r="C6301" t="s">
        <v>42</v>
      </c>
      <c r="D6301" t="s">
        <v>29319</v>
      </c>
      <c r="E6301" t="e" cm="1">
        <f t="array" ref="E6301">- CANDESARTAN</f>
        <v>#NAME?</v>
      </c>
      <c r="F6301" t="s">
        <v>29320</v>
      </c>
      <c r="G6301" t="s">
        <v>6869</v>
      </c>
      <c r="H6301" t="s">
        <v>29298</v>
      </c>
      <c r="I6301" t="s">
        <v>29299</v>
      </c>
      <c r="J6301" t="s">
        <v>22165</v>
      </c>
      <c r="K6301" t="s">
        <v>29300</v>
      </c>
      <c r="L6301" t="s">
        <v>29301</v>
      </c>
      <c r="M6301" t="s">
        <v>46</v>
      </c>
      <c r="N6301" t="s">
        <v>22168</v>
      </c>
      <c r="O6301" t="e" cm="1">
        <f t="array" ref="O6301">- hipertensi - pengobatan Pasien gagal jantung gangguan fungsi sistolik ventrikel kiri obat penghambat ace Tidak ditoleransi</f>
        <v>#NAME?</v>
      </c>
      <c r="P6301" t="s">
        <v>29321</v>
      </c>
      <c r="Q6301" t="s">
        <v>29322</v>
      </c>
      <c r="R6301">
        <v>18</v>
      </c>
      <c r="S6301">
        <v>32</v>
      </c>
    </row>
    <row r="6302" spans="1:19" x14ac:dyDescent="0.35">
      <c r="A6302">
        <v>9951</v>
      </c>
      <c r="B6302" t="s">
        <v>29323</v>
      </c>
      <c r="C6302" t="s">
        <v>42</v>
      </c>
      <c r="D6302" t="s">
        <v>29324</v>
      </c>
      <c r="E6302" t="e" cm="1">
        <f t="array" ref="E6302">- AMIODARONE HYDROCHLORIDE</f>
        <v>#NAME?</v>
      </c>
      <c r="F6302" t="s">
        <v>29325</v>
      </c>
      <c r="G6302" t="s">
        <v>2241</v>
      </c>
      <c r="H6302" t="s">
        <v>29326</v>
      </c>
      <c r="I6302" t="s">
        <v>29327</v>
      </c>
      <c r="J6302" t="s">
        <v>29328</v>
      </c>
      <c r="K6302" t="s">
        <v>29329</v>
      </c>
      <c r="L6302" t="s">
        <v>29330</v>
      </c>
      <c r="M6302" t="s">
        <v>46</v>
      </c>
      <c r="N6302" t="s">
        <v>17646</v>
      </c>
      <c r="O6302" t="s">
        <v>29331</v>
      </c>
      <c r="P6302" t="s">
        <v>29332</v>
      </c>
      <c r="Q6302" t="s">
        <v>29333</v>
      </c>
      <c r="R6302">
        <v>18</v>
      </c>
      <c r="S6302">
        <v>32</v>
      </c>
    </row>
    <row r="6303" spans="1:19" x14ac:dyDescent="0.35">
      <c r="A6303">
        <v>7725</v>
      </c>
      <c r="B6303" t="s">
        <v>29334</v>
      </c>
      <c r="C6303" t="s">
        <v>20</v>
      </c>
      <c r="D6303" t="s">
        <v>29335</v>
      </c>
      <c r="E6303" t="s">
        <v>29336</v>
      </c>
      <c r="F6303" t="s">
        <v>29337</v>
      </c>
      <c r="G6303" t="s">
        <v>29338</v>
      </c>
      <c r="H6303" t="s">
        <v>29339</v>
      </c>
    </row>
    <row r="6304" spans="1:19" x14ac:dyDescent="0.35">
      <c r="A6304">
        <v>7588</v>
      </c>
      <c r="B6304" t="s">
        <v>29340</v>
      </c>
      <c r="C6304" t="s">
        <v>20</v>
      </c>
      <c r="D6304" t="s">
        <v>29341</v>
      </c>
      <c r="E6304" t="s">
        <v>29342</v>
      </c>
      <c r="F6304" t="s">
        <v>29343</v>
      </c>
      <c r="G6304" t="s">
        <v>29344</v>
      </c>
      <c r="H6304" t="s">
        <v>29345</v>
      </c>
      <c r="I6304" t="s">
        <v>29346</v>
      </c>
      <c r="J6304" t="s">
        <v>374</v>
      </c>
      <c r="L6304" t="s">
        <v>29347</v>
      </c>
      <c r="M6304" t="s">
        <v>271</v>
      </c>
      <c r="N6304" t="s">
        <v>29348</v>
      </c>
      <c r="O6304" t="s">
        <v>29349</v>
      </c>
      <c r="P6304" t="s">
        <v>29348</v>
      </c>
      <c r="Q6304" t="s">
        <v>29350</v>
      </c>
      <c r="R6304">
        <v>18</v>
      </c>
      <c r="S6304">
        <v>32</v>
      </c>
    </row>
    <row r="6305" spans="1:19" x14ac:dyDescent="0.35">
      <c r="A6305">
        <v>7599</v>
      </c>
      <c r="B6305" t="s">
        <v>29087</v>
      </c>
      <c r="C6305" t="s">
        <v>20</v>
      </c>
      <c r="D6305" t="s">
        <v>29088</v>
      </c>
      <c r="E6305" t="s">
        <v>29089</v>
      </c>
      <c r="F6305" t="s">
        <v>29090</v>
      </c>
      <c r="G6305" t="s">
        <v>2241</v>
      </c>
      <c r="H6305" t="s">
        <v>29091</v>
      </c>
      <c r="I6305" t="s">
        <v>29092</v>
      </c>
      <c r="J6305" t="s">
        <v>334</v>
      </c>
      <c r="K6305" t="s">
        <v>29093</v>
      </c>
      <c r="L6305" t="s">
        <v>29094</v>
      </c>
      <c r="M6305" t="s">
        <v>271</v>
      </c>
      <c r="N6305" t="s">
        <v>29095</v>
      </c>
      <c r="O6305" t="s">
        <v>29096</v>
      </c>
      <c r="P6305" t="s">
        <v>29097</v>
      </c>
      <c r="Q6305" t="s">
        <v>29098</v>
      </c>
      <c r="R6305">
        <v>18</v>
      </c>
      <c r="S6305">
        <v>32</v>
      </c>
    </row>
    <row r="6306" spans="1:19" x14ac:dyDescent="0.35">
      <c r="A6306">
        <v>7532</v>
      </c>
      <c r="B6306" t="s">
        <v>29351</v>
      </c>
      <c r="C6306" t="s">
        <v>42</v>
      </c>
      <c r="D6306" t="s">
        <v>29352</v>
      </c>
      <c r="E6306" t="e" cm="1">
        <f t="array" ref="E6306">- ASCORBIC ACID</f>
        <v>#NAME?</v>
      </c>
      <c r="F6306" t="s">
        <v>29353</v>
      </c>
      <c r="G6306" t="s">
        <v>29354</v>
      </c>
      <c r="H6306" t="s">
        <v>29355</v>
      </c>
      <c r="I6306" t="s">
        <v>29356</v>
      </c>
      <c r="J6306" t="s">
        <v>25332</v>
      </c>
      <c r="K6306" t="s">
        <v>17933</v>
      </c>
      <c r="L6306" t="s">
        <v>29122</v>
      </c>
      <c r="M6306" t="s">
        <v>46</v>
      </c>
      <c r="N6306" t="s">
        <v>15348</v>
      </c>
      <c r="O6306" t="s">
        <v>29357</v>
      </c>
      <c r="P6306" t="s">
        <v>29358</v>
      </c>
      <c r="Q6306" t="s">
        <v>29359</v>
      </c>
      <c r="R6306">
        <v>18</v>
      </c>
      <c r="S6306">
        <v>32</v>
      </c>
    </row>
    <row r="6307" spans="1:19" x14ac:dyDescent="0.35">
      <c r="A6307">
        <v>7718</v>
      </c>
      <c r="B6307" t="s">
        <v>29360</v>
      </c>
      <c r="C6307" t="s">
        <v>42</v>
      </c>
      <c r="D6307" t="s">
        <v>29361</v>
      </c>
      <c r="E6307" t="e" cm="1">
        <f t="array" ref="E6307">- SPARFLOXACIN</f>
        <v>#NAME?</v>
      </c>
      <c r="F6307" t="s">
        <v>29362</v>
      </c>
      <c r="G6307" t="s">
        <v>1691</v>
      </c>
      <c r="H6307" t="s">
        <v>29363</v>
      </c>
      <c r="I6307" t="s">
        <v>29364</v>
      </c>
      <c r="J6307" t="s">
        <v>29365</v>
      </c>
      <c r="K6307" t="s">
        <v>29366</v>
      </c>
      <c r="L6307" t="s">
        <v>29367</v>
      </c>
      <c r="M6307" t="s">
        <v>46</v>
      </c>
      <c r="N6307" t="s">
        <v>29368</v>
      </c>
      <c r="O6307" t="s">
        <v>29369</v>
      </c>
      <c r="P6307" t="s">
        <v>29370</v>
      </c>
      <c r="Q6307" t="s">
        <v>29371</v>
      </c>
      <c r="R6307">
        <v>18</v>
      </c>
      <c r="S6307">
        <v>32</v>
      </c>
    </row>
    <row r="6308" spans="1:19" x14ac:dyDescent="0.35">
      <c r="A6308">
        <v>303</v>
      </c>
      <c r="B6308" t="s">
        <v>29372</v>
      </c>
      <c r="C6308" t="s">
        <v>42</v>
      </c>
      <c r="D6308" t="s">
        <v>29373</v>
      </c>
      <c r="E6308" t="e" cm="1">
        <f t="array" ref="E6308">- MEDROXYPROGESTERONE ACETATE</f>
        <v>#NAME?</v>
      </c>
      <c r="F6308" t="s">
        <v>29374</v>
      </c>
      <c r="G6308" t="s">
        <v>1258</v>
      </c>
      <c r="H6308" t="s">
        <v>29375</v>
      </c>
      <c r="I6308" t="s">
        <v>29376</v>
      </c>
      <c r="J6308" t="s">
        <v>29377</v>
      </c>
      <c r="K6308" t="s">
        <v>29185</v>
      </c>
    </row>
    <row r="6309" spans="1:19" x14ac:dyDescent="0.35">
      <c r="A6309">
        <v>9010</v>
      </c>
      <c r="B6309" t="s">
        <v>29378</v>
      </c>
      <c r="C6309" t="s">
        <v>42</v>
      </c>
      <c r="D6309" t="s">
        <v>29379</v>
      </c>
      <c r="E6309" t="e" cm="1">
        <f t="array" ref="E6309">- PERINDOPRIL</f>
        <v>#NAME?</v>
      </c>
      <c r="F6309" t="s">
        <v>29380</v>
      </c>
      <c r="G6309" t="s">
        <v>20763</v>
      </c>
      <c r="H6309" t="s">
        <v>29381</v>
      </c>
      <c r="I6309" t="s">
        <v>29382</v>
      </c>
      <c r="J6309" t="s">
        <v>29383</v>
      </c>
      <c r="K6309" t="s">
        <v>29384</v>
      </c>
      <c r="L6309" t="s">
        <v>29385</v>
      </c>
      <c r="M6309" t="s">
        <v>46</v>
      </c>
      <c r="N6309" t="s">
        <v>27682</v>
      </c>
      <c r="O6309" t="s">
        <v>29386</v>
      </c>
      <c r="P6309" t="s">
        <v>27684</v>
      </c>
      <c r="Q6309" t="s">
        <v>29387</v>
      </c>
      <c r="R6309">
        <v>18</v>
      </c>
      <c r="S6309">
        <v>32</v>
      </c>
    </row>
    <row r="6310" spans="1:19" x14ac:dyDescent="0.35">
      <c r="A6310">
        <v>8791</v>
      </c>
      <c r="B6310" t="s">
        <v>2388</v>
      </c>
      <c r="C6310" t="s">
        <v>42</v>
      </c>
      <c r="D6310" t="s">
        <v>29388</v>
      </c>
      <c r="E6310" t="e" cm="1">
        <f t="array" ref="E6310">- PIOGLITAZONE HYDROCHLORIDE</f>
        <v>#NAME?</v>
      </c>
      <c r="F6310" t="s">
        <v>29389</v>
      </c>
      <c r="G6310" t="s">
        <v>29390</v>
      </c>
      <c r="H6310" t="s">
        <v>29391</v>
      </c>
      <c r="I6310" t="s">
        <v>29392</v>
      </c>
      <c r="J6310" t="s">
        <v>29393</v>
      </c>
      <c r="L6310" t="s">
        <v>29394</v>
      </c>
      <c r="M6310" t="s">
        <v>46</v>
      </c>
      <c r="N6310" t="s">
        <v>2389</v>
      </c>
      <c r="O6310" t="s">
        <v>29395</v>
      </c>
      <c r="P6310" t="s">
        <v>29396</v>
      </c>
      <c r="Q6310" t="s">
        <v>29397</v>
      </c>
      <c r="R6310">
        <v>18</v>
      </c>
      <c r="S6310">
        <v>32</v>
      </c>
    </row>
    <row r="6311" spans="1:19" x14ac:dyDescent="0.35">
      <c r="A6311">
        <v>8793</v>
      </c>
      <c r="B6311" t="s">
        <v>2388</v>
      </c>
      <c r="C6311" t="s">
        <v>42</v>
      </c>
      <c r="D6311" t="s">
        <v>28523</v>
      </c>
      <c r="E6311" t="e" cm="1">
        <f t="array" ref="E6311">- PIOGLITAZONE HYDROCHLORIDE</f>
        <v>#NAME?</v>
      </c>
      <c r="F6311" t="s">
        <v>28524</v>
      </c>
      <c r="G6311" t="s">
        <v>28504</v>
      </c>
      <c r="H6311" t="s">
        <v>28505</v>
      </c>
      <c r="I6311" t="s">
        <v>28506</v>
      </c>
      <c r="J6311" t="s">
        <v>1367</v>
      </c>
      <c r="K6311" t="s">
        <v>14873</v>
      </c>
      <c r="L6311" t="s">
        <v>28525</v>
      </c>
      <c r="M6311" t="s">
        <v>46</v>
      </c>
      <c r="N6311" t="s">
        <v>2389</v>
      </c>
      <c r="O6311" t="s">
        <v>28507</v>
      </c>
      <c r="P6311" t="s">
        <v>14876</v>
      </c>
      <c r="Q6311" t="s">
        <v>29398</v>
      </c>
      <c r="R6311">
        <v>18</v>
      </c>
      <c r="S6311">
        <v>32</v>
      </c>
    </row>
    <row r="6312" spans="1:19" x14ac:dyDescent="0.35">
      <c r="A6312">
        <v>7208</v>
      </c>
      <c r="B6312" t="s">
        <v>29399</v>
      </c>
      <c r="C6312" t="s">
        <v>850</v>
      </c>
      <c r="D6312" t="s">
        <v>29400</v>
      </c>
      <c r="E6312" t="e" cm="1">
        <f t="array" ref="E6312">- Camphor</f>
        <v>#NAME?</v>
      </c>
      <c r="F6312" t="s">
        <v>29401</v>
      </c>
      <c r="I6312" t="s">
        <v>29402</v>
      </c>
      <c r="J6312" t="s">
        <v>29403</v>
      </c>
      <c r="M6312" t="s">
        <v>3632</v>
      </c>
      <c r="N6312" t="s">
        <v>853</v>
      </c>
      <c r="O6312" t="s">
        <v>29404</v>
      </c>
      <c r="P6312" t="s">
        <v>29405</v>
      </c>
      <c r="Q6312" t="s">
        <v>29406</v>
      </c>
      <c r="R6312">
        <v>18</v>
      </c>
      <c r="S6312">
        <v>32</v>
      </c>
    </row>
    <row r="6313" spans="1:19" x14ac:dyDescent="0.35">
      <c r="A6313">
        <v>9618</v>
      </c>
      <c r="B6313" t="s">
        <v>6301</v>
      </c>
      <c r="C6313" t="s">
        <v>42</v>
      </c>
      <c r="D6313" t="s">
        <v>29407</v>
      </c>
      <c r="E6313" t="s">
        <v>6303</v>
      </c>
      <c r="F6313" t="s">
        <v>29408</v>
      </c>
      <c r="G6313" t="s">
        <v>29409</v>
      </c>
      <c r="H6313" t="s">
        <v>1322</v>
      </c>
      <c r="I6313" t="s">
        <v>29410</v>
      </c>
      <c r="J6313" t="s">
        <v>25209</v>
      </c>
      <c r="L6313" t="s">
        <v>29411</v>
      </c>
      <c r="M6313" t="s">
        <v>46</v>
      </c>
      <c r="N6313" t="s">
        <v>6304</v>
      </c>
      <c r="O6313" t="s">
        <v>29412</v>
      </c>
      <c r="P6313" t="s">
        <v>29413</v>
      </c>
      <c r="Q6313" t="s">
        <v>29414</v>
      </c>
      <c r="R6313">
        <v>18</v>
      </c>
      <c r="S6313">
        <v>32</v>
      </c>
    </row>
    <row r="6314" spans="1:19" x14ac:dyDescent="0.35">
      <c r="A6314">
        <v>302</v>
      </c>
      <c r="B6314" t="s">
        <v>29372</v>
      </c>
      <c r="C6314" t="s">
        <v>42</v>
      </c>
      <c r="D6314" t="s">
        <v>29373</v>
      </c>
      <c r="E6314" t="e" cm="1">
        <f t="array" ref="E6314">- MEDROXYPROGESTERONE ACETATE</f>
        <v>#NAME?</v>
      </c>
      <c r="F6314" t="s">
        <v>29374</v>
      </c>
      <c r="G6314" t="s">
        <v>1258</v>
      </c>
      <c r="H6314" t="s">
        <v>29375</v>
      </c>
      <c r="I6314" t="s">
        <v>29376</v>
      </c>
      <c r="J6314" t="s">
        <v>29377</v>
      </c>
      <c r="K6314" t="s">
        <v>29185</v>
      </c>
    </row>
    <row r="6315" spans="1:19" x14ac:dyDescent="0.35">
      <c r="A6315">
        <v>7201</v>
      </c>
      <c r="B6315" t="s">
        <v>29415</v>
      </c>
      <c r="C6315" t="s">
        <v>850</v>
      </c>
      <c r="D6315" t="s">
        <v>29416</v>
      </c>
      <c r="E6315" t="e" cm="1">
        <f t="array" ref="E6315">- Methyl Salisilat</f>
        <v>#NAME?</v>
      </c>
      <c r="F6315" t="s">
        <v>28746</v>
      </c>
      <c r="G6315" t="s">
        <v>17269</v>
      </c>
      <c r="H6315" t="s">
        <v>21196</v>
      </c>
      <c r="I6315" t="s">
        <v>29417</v>
      </c>
      <c r="J6315" t="s">
        <v>29418</v>
      </c>
      <c r="L6315" t="s">
        <v>29419</v>
      </c>
      <c r="N6315" t="s">
        <v>29420</v>
      </c>
      <c r="O6315" t="s">
        <v>29421</v>
      </c>
      <c r="P6315" t="s">
        <v>29422</v>
      </c>
      <c r="Q6315" t="s">
        <v>29423</v>
      </c>
      <c r="R6315">
        <v>18</v>
      </c>
      <c r="S6315">
        <v>32</v>
      </c>
    </row>
    <row r="6316" spans="1:19" x14ac:dyDescent="0.35">
      <c r="A6316">
        <v>7234</v>
      </c>
      <c r="B6316" t="s">
        <v>29424</v>
      </c>
      <c r="C6316" t="s">
        <v>850</v>
      </c>
      <c r="D6316" t="s">
        <v>29425</v>
      </c>
      <c r="E6316" t="e" cm="1">
        <f t="array" ref="E6316">- eugenol</f>
        <v>#NAME?</v>
      </c>
      <c r="F6316" t="s">
        <v>29426</v>
      </c>
      <c r="H6316" t="s">
        <v>9172</v>
      </c>
      <c r="I6316" t="s">
        <v>29427</v>
      </c>
      <c r="J6316" t="s">
        <v>23748</v>
      </c>
      <c r="M6316" t="s">
        <v>1289</v>
      </c>
      <c r="N6316" t="s">
        <v>19589</v>
      </c>
      <c r="O6316" t="s">
        <v>29428</v>
      </c>
      <c r="P6316" t="s">
        <v>29429</v>
      </c>
      <c r="Q6316" t="s">
        <v>29430</v>
      </c>
      <c r="R6316">
        <v>18</v>
      </c>
      <c r="S6316">
        <v>32</v>
      </c>
    </row>
    <row r="6317" spans="1:19" x14ac:dyDescent="0.35">
      <c r="A6317">
        <v>8792</v>
      </c>
      <c r="B6317" t="s">
        <v>2388</v>
      </c>
      <c r="C6317" t="s">
        <v>42</v>
      </c>
      <c r="D6317" t="s">
        <v>28502</v>
      </c>
      <c r="E6317" t="e" cm="1">
        <f t="array" ref="E6317">- PIOGLITAZONE HYDROCHLORIDE</f>
        <v>#NAME?</v>
      </c>
      <c r="F6317" s="1">
        <v>14800</v>
      </c>
      <c r="G6317" t="s">
        <v>28504</v>
      </c>
      <c r="H6317" t="s">
        <v>28505</v>
      </c>
      <c r="I6317" t="s">
        <v>28506</v>
      </c>
      <c r="J6317" t="s">
        <v>2040</v>
      </c>
      <c r="K6317" t="s">
        <v>14873</v>
      </c>
      <c r="L6317" t="s">
        <v>14874</v>
      </c>
      <c r="M6317" t="s">
        <v>46</v>
      </c>
      <c r="N6317" t="s">
        <v>2389</v>
      </c>
      <c r="O6317" t="s">
        <v>28507</v>
      </c>
      <c r="P6317" t="s">
        <v>14876</v>
      </c>
      <c r="Q6317" t="s">
        <v>29398</v>
      </c>
      <c r="R6317">
        <v>18</v>
      </c>
      <c r="S6317">
        <v>32</v>
      </c>
    </row>
    <row r="6318" spans="1:19" x14ac:dyDescent="0.35">
      <c r="A6318">
        <v>783</v>
      </c>
      <c r="B6318" t="s">
        <v>29051</v>
      </c>
      <c r="C6318" t="s">
        <v>42</v>
      </c>
      <c r="D6318" t="s">
        <v>29052</v>
      </c>
      <c r="E6318" t="e" cm="1">
        <f t="array" ref="E6318">- AMBROXOL HYDROCHLORIDE</f>
        <v>#NAME?</v>
      </c>
      <c r="F6318" t="s">
        <v>29053</v>
      </c>
      <c r="G6318" t="s">
        <v>539</v>
      </c>
      <c r="H6318" t="s">
        <v>29054</v>
      </c>
      <c r="I6318" t="s">
        <v>29055</v>
      </c>
      <c r="J6318" t="s">
        <v>334</v>
      </c>
      <c r="K6318" t="s">
        <v>3952</v>
      </c>
      <c r="L6318" t="s">
        <v>22896</v>
      </c>
      <c r="M6318" t="s">
        <v>271</v>
      </c>
      <c r="N6318" t="s">
        <v>1800</v>
      </c>
      <c r="O6318" t="s">
        <v>29056</v>
      </c>
      <c r="P6318" t="s">
        <v>29057</v>
      </c>
      <c r="Q6318" t="s">
        <v>29058</v>
      </c>
      <c r="R6318">
        <v>18</v>
      </c>
      <c r="S6318">
        <v>32</v>
      </c>
    </row>
    <row r="6319" spans="1:19" x14ac:dyDescent="0.35">
      <c r="A6319">
        <v>7265</v>
      </c>
      <c r="B6319" t="s">
        <v>29431</v>
      </c>
      <c r="C6319" t="s">
        <v>850</v>
      </c>
      <c r="D6319" t="s">
        <v>29432</v>
      </c>
      <c r="E6319" t="e" cm="1">
        <f t="array" ref="E6319">- Areca Catechii fructus</f>
        <v>#NAME?</v>
      </c>
      <c r="F6319" t="s">
        <v>29433</v>
      </c>
      <c r="G6319" t="s">
        <v>29434</v>
      </c>
      <c r="H6319" t="s">
        <v>29435</v>
      </c>
      <c r="I6319" t="s">
        <v>29436</v>
      </c>
      <c r="J6319" t="s">
        <v>29437</v>
      </c>
      <c r="L6319" t="s">
        <v>29438</v>
      </c>
      <c r="M6319" t="s">
        <v>2115</v>
      </c>
      <c r="N6319" t="s">
        <v>29439</v>
      </c>
      <c r="O6319" t="s">
        <v>29440</v>
      </c>
      <c r="P6319" t="s">
        <v>29441</v>
      </c>
      <c r="Q6319" t="s">
        <v>29442</v>
      </c>
      <c r="R6319">
        <v>18</v>
      </c>
      <c r="S6319">
        <v>32</v>
      </c>
    </row>
    <row r="6320" spans="1:19" x14ac:dyDescent="0.35">
      <c r="A6320">
        <v>802</v>
      </c>
      <c r="B6320" t="s">
        <v>29307</v>
      </c>
      <c r="C6320" t="s">
        <v>42</v>
      </c>
      <c r="D6320" t="s">
        <v>29308</v>
      </c>
      <c r="E6320" t="e" cm="1">
        <f t="array" ref="E6320">- AMBROXOL HYDROCHLORIDE</f>
        <v>#NAME?</v>
      </c>
      <c r="F6320" t="s">
        <v>29309</v>
      </c>
      <c r="G6320" t="s">
        <v>29310</v>
      </c>
      <c r="H6320" t="s">
        <v>29054</v>
      </c>
      <c r="I6320" t="s">
        <v>29055</v>
      </c>
      <c r="J6320" t="s">
        <v>334</v>
      </c>
      <c r="K6320" t="s">
        <v>3952</v>
      </c>
      <c r="L6320" t="s">
        <v>22896</v>
      </c>
      <c r="M6320" t="s">
        <v>271</v>
      </c>
      <c r="N6320" t="s">
        <v>1800</v>
      </c>
      <c r="O6320" t="s">
        <v>29056</v>
      </c>
      <c r="P6320" t="s">
        <v>29311</v>
      </c>
      <c r="Q6320" t="s">
        <v>29312</v>
      </c>
      <c r="R6320">
        <v>18</v>
      </c>
      <c r="S6320">
        <v>32</v>
      </c>
    </row>
    <row r="6321" spans="1:19" x14ac:dyDescent="0.35">
      <c r="A6321">
        <v>7660</v>
      </c>
      <c r="B6321" t="s">
        <v>29443</v>
      </c>
      <c r="C6321" t="s">
        <v>20</v>
      </c>
      <c r="D6321" t="s">
        <v>29444</v>
      </c>
      <c r="E6321" t="s">
        <v>29445</v>
      </c>
      <c r="F6321" t="s">
        <v>29446</v>
      </c>
      <c r="G6321" t="s">
        <v>60</v>
      </c>
      <c r="H6321" t="s">
        <v>29447</v>
      </c>
      <c r="I6321" t="s">
        <v>29448</v>
      </c>
      <c r="J6321" t="s">
        <v>20229</v>
      </c>
      <c r="M6321" t="s">
        <v>554</v>
      </c>
      <c r="N6321" t="s">
        <v>29449</v>
      </c>
      <c r="O6321" t="s">
        <v>29450</v>
      </c>
      <c r="P6321" t="s">
        <v>29451</v>
      </c>
      <c r="Q6321" t="s">
        <v>29452</v>
      </c>
      <c r="R6321">
        <v>18</v>
      </c>
      <c r="S6321">
        <v>32</v>
      </c>
    </row>
    <row r="6322" spans="1:19" x14ac:dyDescent="0.35">
      <c r="A6322">
        <v>7923</v>
      </c>
      <c r="B6322" t="s">
        <v>29243</v>
      </c>
      <c r="C6322" t="s">
        <v>20</v>
      </c>
      <c r="D6322" t="s">
        <v>29453</v>
      </c>
      <c r="E6322" t="s">
        <v>29245</v>
      </c>
      <c r="F6322" t="s">
        <v>29454</v>
      </c>
      <c r="I6322" t="s">
        <v>29247</v>
      </c>
      <c r="J6322" t="s">
        <v>1559</v>
      </c>
      <c r="L6322" t="s">
        <v>29249</v>
      </c>
      <c r="M6322" t="s">
        <v>38</v>
      </c>
      <c r="N6322" t="s">
        <v>29250</v>
      </c>
      <c r="O6322" t="s">
        <v>29251</v>
      </c>
      <c r="P6322" t="s">
        <v>29252</v>
      </c>
      <c r="Q6322" t="s">
        <v>29253</v>
      </c>
      <c r="R6322">
        <v>18</v>
      </c>
      <c r="S6322">
        <v>32</v>
      </c>
    </row>
    <row r="6323" spans="1:19" x14ac:dyDescent="0.35">
      <c r="A6323">
        <v>7589</v>
      </c>
      <c r="B6323" t="s">
        <v>29340</v>
      </c>
      <c r="C6323" t="s">
        <v>20</v>
      </c>
      <c r="D6323" t="s">
        <v>29455</v>
      </c>
      <c r="E6323" t="s">
        <v>29342</v>
      </c>
      <c r="F6323" t="s">
        <v>29456</v>
      </c>
      <c r="G6323" t="s">
        <v>29344</v>
      </c>
      <c r="H6323" t="s">
        <v>29345</v>
      </c>
      <c r="I6323" t="s">
        <v>29346</v>
      </c>
      <c r="J6323" t="s">
        <v>6679</v>
      </c>
      <c r="L6323" t="s">
        <v>29347</v>
      </c>
      <c r="M6323" t="s">
        <v>271</v>
      </c>
      <c r="N6323" t="s">
        <v>29348</v>
      </c>
      <c r="O6323" t="s">
        <v>29349</v>
      </c>
      <c r="P6323" t="s">
        <v>29348</v>
      </c>
      <c r="Q6323" t="s">
        <v>29350</v>
      </c>
      <c r="R6323">
        <v>18</v>
      </c>
      <c r="S6323">
        <v>32</v>
      </c>
    </row>
    <row r="6324" spans="1:19" x14ac:dyDescent="0.35">
      <c r="A6324">
        <v>7093</v>
      </c>
      <c r="B6324" t="s">
        <v>29457</v>
      </c>
      <c r="C6324" t="s">
        <v>42</v>
      </c>
      <c r="D6324" t="s">
        <v>29458</v>
      </c>
      <c r="E6324" t="e" cm="1">
        <f t="array" ref="E6324">- DICLOFENAC DIETHYLAMINE</f>
        <v>#NAME?</v>
      </c>
      <c r="F6324" t="s">
        <v>29459</v>
      </c>
      <c r="G6324" t="s">
        <v>11887</v>
      </c>
      <c r="H6324" t="s">
        <v>29460</v>
      </c>
      <c r="I6324" t="s">
        <v>29461</v>
      </c>
      <c r="J6324" t="s">
        <v>14844</v>
      </c>
      <c r="L6324" t="s">
        <v>1315</v>
      </c>
      <c r="M6324" t="s">
        <v>87</v>
      </c>
      <c r="N6324" t="s">
        <v>1958</v>
      </c>
      <c r="O6324" t="s">
        <v>29462</v>
      </c>
      <c r="P6324" t="s">
        <v>29463</v>
      </c>
      <c r="Q6324" t="s">
        <v>29464</v>
      </c>
      <c r="R6324">
        <v>18</v>
      </c>
      <c r="S6324">
        <v>32</v>
      </c>
    </row>
    <row r="6325" spans="1:19" x14ac:dyDescent="0.35">
      <c r="A6325">
        <v>7092</v>
      </c>
      <c r="B6325" t="s">
        <v>29457</v>
      </c>
      <c r="C6325" t="s">
        <v>42</v>
      </c>
      <c r="D6325" t="s">
        <v>29458</v>
      </c>
      <c r="E6325" t="e" cm="1">
        <f t="array" ref="E6325">- DICLOFENAC DIETHYLAMINE</f>
        <v>#NAME?</v>
      </c>
      <c r="F6325" t="s">
        <v>29459</v>
      </c>
      <c r="G6325" t="s">
        <v>11887</v>
      </c>
      <c r="H6325" t="s">
        <v>29460</v>
      </c>
      <c r="I6325" t="s">
        <v>29461</v>
      </c>
      <c r="J6325" t="s">
        <v>14844</v>
      </c>
      <c r="L6325" t="s">
        <v>1315</v>
      </c>
      <c r="M6325" t="s">
        <v>87</v>
      </c>
      <c r="N6325" t="s">
        <v>1958</v>
      </c>
      <c r="O6325" t="s">
        <v>29462</v>
      </c>
      <c r="P6325" t="s">
        <v>29463</v>
      </c>
      <c r="Q6325" t="s">
        <v>29464</v>
      </c>
      <c r="R6325">
        <v>18</v>
      </c>
      <c r="S6325">
        <v>32</v>
      </c>
    </row>
    <row r="6326" spans="1:19" x14ac:dyDescent="0.35">
      <c r="A6326">
        <v>7091</v>
      </c>
      <c r="B6326" t="s">
        <v>29457</v>
      </c>
      <c r="C6326" t="s">
        <v>42</v>
      </c>
      <c r="D6326" t="s">
        <v>29458</v>
      </c>
      <c r="E6326" t="e" cm="1">
        <f t="array" ref="E6326">- DICLOFENAC DIETHYLAMINE</f>
        <v>#NAME?</v>
      </c>
      <c r="F6326" t="s">
        <v>29459</v>
      </c>
      <c r="G6326" t="s">
        <v>11887</v>
      </c>
      <c r="H6326" t="s">
        <v>29460</v>
      </c>
      <c r="I6326" t="s">
        <v>29461</v>
      </c>
      <c r="J6326" t="s">
        <v>14844</v>
      </c>
      <c r="L6326" t="s">
        <v>1315</v>
      </c>
      <c r="M6326" t="s">
        <v>87</v>
      </c>
      <c r="N6326" t="s">
        <v>1958</v>
      </c>
      <c r="O6326" t="s">
        <v>29462</v>
      </c>
      <c r="P6326" t="s">
        <v>29463</v>
      </c>
      <c r="Q6326" t="s">
        <v>29464</v>
      </c>
      <c r="R6326">
        <v>18</v>
      </c>
      <c r="S6326">
        <v>32</v>
      </c>
    </row>
    <row r="6327" spans="1:19" x14ac:dyDescent="0.35">
      <c r="A6327">
        <v>7270</v>
      </c>
      <c r="B6327" t="s">
        <v>29465</v>
      </c>
      <c r="C6327" t="s">
        <v>850</v>
      </c>
      <c r="D6327" t="s">
        <v>29466</v>
      </c>
      <c r="E6327" t="e" cm="1">
        <f t="array" ref="E6327">- Dimethyl Sulfone (Methylsulfonylmethane MSM)</f>
        <v>#NAME?</v>
      </c>
      <c r="F6327" t="s">
        <v>29467</v>
      </c>
      <c r="G6327" t="s">
        <v>29468</v>
      </c>
      <c r="H6327" t="s">
        <v>1322</v>
      </c>
      <c r="I6327" t="s">
        <v>29469</v>
      </c>
      <c r="J6327" t="s">
        <v>29470</v>
      </c>
      <c r="L6327" t="s">
        <v>29471</v>
      </c>
      <c r="M6327" t="s">
        <v>1289</v>
      </c>
      <c r="N6327" t="s">
        <v>29472</v>
      </c>
      <c r="O6327" t="s">
        <v>29473</v>
      </c>
      <c r="P6327" t="s">
        <v>29474</v>
      </c>
      <c r="Q6327" t="s">
        <v>29475</v>
      </c>
      <c r="R6327">
        <v>18</v>
      </c>
      <c r="S6327">
        <v>32</v>
      </c>
    </row>
    <row r="6328" spans="1:19" x14ac:dyDescent="0.35">
      <c r="A6328">
        <v>7090</v>
      </c>
      <c r="B6328" t="s">
        <v>29457</v>
      </c>
      <c r="C6328" t="s">
        <v>42</v>
      </c>
      <c r="D6328" t="s">
        <v>29458</v>
      </c>
      <c r="E6328" t="e" cm="1">
        <f t="array" ref="E6328">- DICLOFENAC DIETHYLAMINE</f>
        <v>#NAME?</v>
      </c>
      <c r="F6328" t="s">
        <v>29459</v>
      </c>
      <c r="G6328" t="s">
        <v>11887</v>
      </c>
      <c r="H6328" t="s">
        <v>29460</v>
      </c>
      <c r="I6328" t="s">
        <v>29461</v>
      </c>
      <c r="J6328" t="s">
        <v>14844</v>
      </c>
      <c r="L6328" t="s">
        <v>1315</v>
      </c>
      <c r="M6328" t="s">
        <v>87</v>
      </c>
      <c r="N6328" t="s">
        <v>1958</v>
      </c>
      <c r="O6328" t="s">
        <v>29462</v>
      </c>
      <c r="P6328" t="s">
        <v>29463</v>
      </c>
      <c r="Q6328" t="s">
        <v>29464</v>
      </c>
      <c r="R6328">
        <v>18</v>
      </c>
      <c r="S6328">
        <v>32</v>
      </c>
    </row>
    <row r="6329" spans="1:19" x14ac:dyDescent="0.35">
      <c r="A6329">
        <v>7569</v>
      </c>
      <c r="B6329" t="s">
        <v>26847</v>
      </c>
      <c r="C6329" t="s">
        <v>42</v>
      </c>
      <c r="D6329" t="s">
        <v>26848</v>
      </c>
      <c r="E6329" t="e" cm="1">
        <f t="array" ref="E6329">- FOLIC ACID. FERROUS FUMARATE</f>
        <v>#NAME?</v>
      </c>
      <c r="F6329" t="s">
        <v>26849</v>
      </c>
      <c r="G6329" t="s">
        <v>26850</v>
      </c>
      <c r="H6329" t="s">
        <v>26851</v>
      </c>
      <c r="I6329" t="s">
        <v>26852</v>
      </c>
      <c r="J6329" t="s">
        <v>10764</v>
      </c>
      <c r="K6329" t="s">
        <v>26853</v>
      </c>
      <c r="L6329" t="s">
        <v>26854</v>
      </c>
      <c r="M6329" t="s">
        <v>46</v>
      </c>
      <c r="N6329" t="s">
        <v>29476</v>
      </c>
      <c r="O6329" t="s">
        <v>26856</v>
      </c>
      <c r="P6329" t="s">
        <v>26857</v>
      </c>
      <c r="Q6329" t="s">
        <v>29477</v>
      </c>
      <c r="R6329">
        <v>18</v>
      </c>
      <c r="S6329">
        <v>32</v>
      </c>
    </row>
    <row r="6330" spans="1:19" x14ac:dyDescent="0.35">
      <c r="A6330">
        <v>787</v>
      </c>
      <c r="B6330" t="s">
        <v>29254</v>
      </c>
      <c r="C6330" t="s">
        <v>42</v>
      </c>
      <c r="D6330" t="s">
        <v>29255</v>
      </c>
      <c r="E6330" t="e" cm="1">
        <f t="array" ref="E6330">- AMBROXOL HYDROCHLORIDE</f>
        <v>#NAME?</v>
      </c>
      <c r="F6330" t="s">
        <v>29256</v>
      </c>
      <c r="G6330" t="s">
        <v>2453</v>
      </c>
      <c r="H6330" t="s">
        <v>29112</v>
      </c>
      <c r="I6330" t="s">
        <v>29055</v>
      </c>
      <c r="J6330" t="s">
        <v>1144</v>
      </c>
      <c r="K6330" t="s">
        <v>3952</v>
      </c>
      <c r="L6330" t="s">
        <v>22896</v>
      </c>
      <c r="M6330" t="s">
        <v>271</v>
      </c>
      <c r="N6330" t="s">
        <v>1800</v>
      </c>
      <c r="O6330" t="s">
        <v>29056</v>
      </c>
      <c r="P6330" t="s">
        <v>29257</v>
      </c>
      <c r="Q6330" t="s">
        <v>29258</v>
      </c>
      <c r="R6330">
        <v>18</v>
      </c>
      <c r="S6330">
        <v>32</v>
      </c>
    </row>
    <row r="6331" spans="1:19" x14ac:dyDescent="0.35">
      <c r="A6331">
        <v>786</v>
      </c>
      <c r="B6331" t="s">
        <v>29254</v>
      </c>
      <c r="C6331" t="s">
        <v>42</v>
      </c>
      <c r="D6331" t="s">
        <v>29255</v>
      </c>
      <c r="E6331" t="e" cm="1">
        <f t="array" ref="E6331">- AMBROXOL HYDROCHLORIDE</f>
        <v>#NAME?</v>
      </c>
      <c r="F6331" t="s">
        <v>29256</v>
      </c>
      <c r="G6331" t="s">
        <v>2453</v>
      </c>
      <c r="H6331" t="s">
        <v>29112</v>
      </c>
      <c r="I6331" t="s">
        <v>29055</v>
      </c>
      <c r="J6331" t="s">
        <v>1144</v>
      </c>
      <c r="K6331" t="s">
        <v>3952</v>
      </c>
      <c r="L6331" t="s">
        <v>22896</v>
      </c>
      <c r="M6331" t="s">
        <v>271</v>
      </c>
      <c r="N6331" t="s">
        <v>1800</v>
      </c>
      <c r="O6331" t="s">
        <v>29056</v>
      </c>
      <c r="P6331" t="s">
        <v>29257</v>
      </c>
      <c r="Q6331" t="s">
        <v>29258</v>
      </c>
      <c r="R6331">
        <v>18</v>
      </c>
      <c r="S6331">
        <v>32</v>
      </c>
    </row>
    <row r="6332" spans="1:19" x14ac:dyDescent="0.35">
      <c r="A6332">
        <v>71</v>
      </c>
      <c r="B6332" t="s">
        <v>2902</v>
      </c>
      <c r="C6332" t="s">
        <v>42</v>
      </c>
      <c r="D6332" t="s">
        <v>29059</v>
      </c>
      <c r="E6332" t="e" cm="1">
        <f t="array" ref="E6332">- SILDENAFIL CITRATE</f>
        <v>#NAME?</v>
      </c>
      <c r="F6332" t="s">
        <v>29060</v>
      </c>
      <c r="G6332" t="s">
        <v>29061</v>
      </c>
      <c r="H6332" t="s">
        <v>8263</v>
      </c>
      <c r="I6332" t="s">
        <v>29062</v>
      </c>
      <c r="J6332" t="s">
        <v>29063</v>
      </c>
      <c r="K6332" t="s">
        <v>3473</v>
      </c>
      <c r="L6332" t="s">
        <v>29064</v>
      </c>
      <c r="M6332" t="s">
        <v>46</v>
      </c>
      <c r="N6332" t="s">
        <v>2519</v>
      </c>
      <c r="O6332" t="s">
        <v>29065</v>
      </c>
      <c r="P6332" t="s">
        <v>29066</v>
      </c>
      <c r="Q6332" t="s">
        <v>29067</v>
      </c>
      <c r="R6332">
        <v>18</v>
      </c>
      <c r="S6332">
        <v>32</v>
      </c>
    </row>
    <row r="6333" spans="1:19" x14ac:dyDescent="0.35">
      <c r="A6333">
        <v>785</v>
      </c>
      <c r="B6333" t="s">
        <v>29254</v>
      </c>
      <c r="C6333" t="s">
        <v>42</v>
      </c>
      <c r="D6333" t="s">
        <v>29255</v>
      </c>
      <c r="E6333" t="e" cm="1">
        <f t="array" ref="E6333">- AMBROXOL HYDROCHLORIDE</f>
        <v>#NAME?</v>
      </c>
      <c r="F6333" t="s">
        <v>29256</v>
      </c>
      <c r="G6333" t="s">
        <v>2453</v>
      </c>
      <c r="H6333" t="s">
        <v>29112</v>
      </c>
      <c r="I6333" t="s">
        <v>29055</v>
      </c>
      <c r="J6333" t="s">
        <v>1144</v>
      </c>
      <c r="K6333" t="s">
        <v>3952</v>
      </c>
      <c r="L6333" t="s">
        <v>22896</v>
      </c>
      <c r="M6333" t="s">
        <v>271</v>
      </c>
      <c r="N6333" t="s">
        <v>1800</v>
      </c>
      <c r="O6333" t="s">
        <v>29056</v>
      </c>
      <c r="P6333" t="s">
        <v>29257</v>
      </c>
      <c r="Q6333" t="s">
        <v>29258</v>
      </c>
      <c r="R6333">
        <v>18</v>
      </c>
      <c r="S6333">
        <v>32</v>
      </c>
    </row>
    <row r="6334" spans="1:19" x14ac:dyDescent="0.35">
      <c r="A6334">
        <v>7536</v>
      </c>
      <c r="B6334" t="s">
        <v>29351</v>
      </c>
      <c r="C6334" t="s">
        <v>42</v>
      </c>
      <c r="D6334" t="s">
        <v>29352</v>
      </c>
      <c r="E6334" t="e" cm="1">
        <f t="array" ref="E6334">- ASCORBIC ACID</f>
        <v>#NAME?</v>
      </c>
      <c r="F6334" t="s">
        <v>29353</v>
      </c>
      <c r="G6334" t="s">
        <v>29354</v>
      </c>
      <c r="H6334" t="s">
        <v>29355</v>
      </c>
      <c r="I6334" t="s">
        <v>29356</v>
      </c>
      <c r="J6334" t="s">
        <v>25332</v>
      </c>
      <c r="K6334" t="s">
        <v>17933</v>
      </c>
      <c r="L6334" t="s">
        <v>29122</v>
      </c>
      <c r="M6334" t="s">
        <v>46</v>
      </c>
      <c r="N6334" t="s">
        <v>15348</v>
      </c>
      <c r="O6334" t="s">
        <v>29357</v>
      </c>
      <c r="P6334" t="s">
        <v>29358</v>
      </c>
      <c r="Q6334" t="s">
        <v>29359</v>
      </c>
      <c r="R6334">
        <v>18</v>
      </c>
      <c r="S6334">
        <v>32</v>
      </c>
    </row>
    <row r="6335" spans="1:19" x14ac:dyDescent="0.35">
      <c r="A6335">
        <v>757</v>
      </c>
      <c r="B6335" t="s">
        <v>29478</v>
      </c>
      <c r="C6335" t="s">
        <v>42</v>
      </c>
      <c r="D6335" t="s">
        <v>29479</v>
      </c>
      <c r="E6335" t="e" cm="1">
        <f t="array" ref="E6335">- AMBROXOL HYDROCHLORIDE</f>
        <v>#NAME?</v>
      </c>
      <c r="F6335" t="s">
        <v>29480</v>
      </c>
      <c r="G6335" t="s">
        <v>539</v>
      </c>
      <c r="H6335" t="s">
        <v>29267</v>
      </c>
      <c r="I6335" t="s">
        <v>29055</v>
      </c>
      <c r="J6335" t="s">
        <v>754</v>
      </c>
      <c r="K6335" t="s">
        <v>3952</v>
      </c>
      <c r="L6335" t="s">
        <v>29481</v>
      </c>
      <c r="M6335" t="s">
        <v>46</v>
      </c>
      <c r="N6335" t="s">
        <v>1800</v>
      </c>
      <c r="O6335" t="s">
        <v>29056</v>
      </c>
      <c r="P6335" t="s">
        <v>29057</v>
      </c>
      <c r="Q6335" t="s">
        <v>29482</v>
      </c>
      <c r="R6335">
        <v>18</v>
      </c>
      <c r="S6335">
        <v>32</v>
      </c>
    </row>
    <row r="6336" spans="1:19" x14ac:dyDescent="0.35">
      <c r="A6336">
        <v>6704</v>
      </c>
      <c r="B6336" t="s">
        <v>29483</v>
      </c>
      <c r="C6336" t="s">
        <v>42</v>
      </c>
      <c r="D6336" t="s">
        <v>29484</v>
      </c>
      <c r="E6336" t="e" cm="1">
        <f t="array" ref="E6336">- ACICLOVIR</f>
        <v>#NAME?</v>
      </c>
      <c r="F6336" t="s">
        <v>29485</v>
      </c>
      <c r="G6336" t="s">
        <v>2241</v>
      </c>
      <c r="H6336" t="s">
        <v>29486</v>
      </c>
      <c r="I6336" t="s">
        <v>29487</v>
      </c>
      <c r="J6336" t="s">
        <v>29488</v>
      </c>
      <c r="L6336" t="s">
        <v>22424</v>
      </c>
      <c r="M6336" t="s">
        <v>46</v>
      </c>
      <c r="N6336" t="s">
        <v>1685</v>
      </c>
      <c r="O6336" t="s">
        <v>29489</v>
      </c>
      <c r="P6336" t="s">
        <v>29490</v>
      </c>
      <c r="Q6336" t="s">
        <v>29491</v>
      </c>
      <c r="R6336">
        <v>18</v>
      </c>
      <c r="S6336">
        <v>32</v>
      </c>
    </row>
    <row r="6337" spans="1:19" x14ac:dyDescent="0.35">
      <c r="A6337">
        <v>6969</v>
      </c>
      <c r="B6337" t="s">
        <v>1803</v>
      </c>
      <c r="C6337" t="s">
        <v>42</v>
      </c>
      <c r="D6337" t="s">
        <v>29492</v>
      </c>
      <c r="E6337" t="e" cm="1">
        <f t="array" ref="E6337">- TIZANIDINE HYDROCHLORIDE</f>
        <v>#NAME?</v>
      </c>
      <c r="F6337" t="s">
        <v>29493</v>
      </c>
      <c r="G6337" t="s">
        <v>29494</v>
      </c>
      <c r="I6337" t="s">
        <v>29495</v>
      </c>
      <c r="J6337" t="s">
        <v>29496</v>
      </c>
      <c r="M6337" t="s">
        <v>46</v>
      </c>
      <c r="N6337" t="s">
        <v>1806</v>
      </c>
      <c r="O6337" t="s">
        <v>29497</v>
      </c>
      <c r="P6337" t="s">
        <v>29498</v>
      </c>
      <c r="Q6337" t="s">
        <v>29499</v>
      </c>
      <c r="R6337">
        <v>18</v>
      </c>
      <c r="S6337">
        <v>32</v>
      </c>
    </row>
    <row r="6338" spans="1:19" x14ac:dyDescent="0.35">
      <c r="A6338">
        <v>7664</v>
      </c>
      <c r="B6338" t="s">
        <v>29500</v>
      </c>
      <c r="C6338" t="s">
        <v>20</v>
      </c>
      <c r="D6338" t="s">
        <v>29501</v>
      </c>
      <c r="E6338" t="s">
        <v>29502</v>
      </c>
      <c r="F6338" t="s">
        <v>4255</v>
      </c>
      <c r="G6338" t="s">
        <v>4469</v>
      </c>
      <c r="H6338" t="s">
        <v>29503</v>
      </c>
      <c r="I6338" t="s">
        <v>29504</v>
      </c>
      <c r="J6338" t="s">
        <v>20229</v>
      </c>
      <c r="L6338" t="s">
        <v>29505</v>
      </c>
      <c r="M6338" t="s">
        <v>554</v>
      </c>
      <c r="N6338" t="s">
        <v>29506</v>
      </c>
      <c r="O6338" t="s">
        <v>29507</v>
      </c>
      <c r="P6338" t="s">
        <v>29508</v>
      </c>
      <c r="Q6338" t="s">
        <v>29509</v>
      </c>
      <c r="R6338">
        <v>18</v>
      </c>
      <c r="S6338">
        <v>32</v>
      </c>
    </row>
    <row r="6339" spans="1:19" x14ac:dyDescent="0.35">
      <c r="A6339">
        <v>804</v>
      </c>
      <c r="B6339" t="s">
        <v>23733</v>
      </c>
      <c r="C6339" t="s">
        <v>42</v>
      </c>
      <c r="D6339" t="s">
        <v>23734</v>
      </c>
      <c r="E6339" t="e" cm="1">
        <f t="array" ref="E6339">- PSEUDOEPHEDRINE HYDROCHLORIDE. CHLORPHENAMINE MALEATE. PARACETAMOL</f>
        <v>#NAME?</v>
      </c>
      <c r="F6339" t="s">
        <v>23735</v>
      </c>
      <c r="G6339" t="s">
        <v>2617</v>
      </c>
      <c r="H6339" t="s">
        <v>23736</v>
      </c>
      <c r="I6339" t="s">
        <v>23737</v>
      </c>
      <c r="J6339" t="s">
        <v>23738</v>
      </c>
      <c r="K6339" t="s">
        <v>23739</v>
      </c>
      <c r="L6339" t="s">
        <v>23740</v>
      </c>
      <c r="M6339" t="s">
        <v>46</v>
      </c>
      <c r="N6339" t="s">
        <v>29510</v>
      </c>
      <c r="O6339" t="s">
        <v>23741</v>
      </c>
      <c r="P6339" t="s">
        <v>23742</v>
      </c>
      <c r="Q6339" t="s">
        <v>29511</v>
      </c>
      <c r="R6339">
        <v>18</v>
      </c>
      <c r="S6339">
        <v>32</v>
      </c>
    </row>
    <row r="6340" spans="1:19" x14ac:dyDescent="0.35">
      <c r="A6340">
        <v>7139</v>
      </c>
      <c r="B6340" t="s">
        <v>29512</v>
      </c>
      <c r="C6340" t="s">
        <v>20</v>
      </c>
      <c r="D6340" t="s">
        <v>29513</v>
      </c>
      <c r="E6340" t="s">
        <v>29514</v>
      </c>
      <c r="F6340" t="s">
        <v>29515</v>
      </c>
      <c r="I6340" t="s">
        <v>29516</v>
      </c>
      <c r="J6340" t="s">
        <v>11120</v>
      </c>
      <c r="M6340" t="s">
        <v>63</v>
      </c>
      <c r="N6340" t="s">
        <v>29517</v>
      </c>
      <c r="O6340" t="s">
        <v>29518</v>
      </c>
      <c r="P6340" t="s">
        <v>29519</v>
      </c>
      <c r="Q6340" t="s">
        <v>29520</v>
      </c>
      <c r="R6340">
        <v>18</v>
      </c>
      <c r="S6340">
        <v>32</v>
      </c>
    </row>
    <row r="6341" spans="1:19" x14ac:dyDescent="0.35">
      <c r="A6341">
        <v>6693</v>
      </c>
      <c r="B6341" t="s">
        <v>29521</v>
      </c>
      <c r="C6341" t="s">
        <v>42</v>
      </c>
      <c r="D6341" t="s">
        <v>29522</v>
      </c>
      <c r="E6341" t="e" cm="1">
        <f t="array" ref="E6341">- VALACICLOVIR HYDROCHLORIDE</f>
        <v>#NAME?</v>
      </c>
      <c r="F6341" t="s">
        <v>29523</v>
      </c>
      <c r="G6341" t="s">
        <v>60</v>
      </c>
      <c r="H6341" t="s">
        <v>29524</v>
      </c>
      <c r="I6341" t="s">
        <v>29525</v>
      </c>
      <c r="J6341" t="s">
        <v>2100</v>
      </c>
      <c r="K6341" t="s">
        <v>29526</v>
      </c>
      <c r="L6341" t="s">
        <v>29527</v>
      </c>
      <c r="M6341" t="s">
        <v>46</v>
      </c>
      <c r="N6341" t="s">
        <v>1704</v>
      </c>
      <c r="O6341" t="s">
        <v>29528</v>
      </c>
      <c r="P6341" t="s">
        <v>29529</v>
      </c>
      <c r="Q6341" t="s">
        <v>29530</v>
      </c>
      <c r="R6341">
        <v>18</v>
      </c>
      <c r="S6341">
        <v>32</v>
      </c>
    </row>
    <row r="6342" spans="1:19" x14ac:dyDescent="0.35">
      <c r="A6342">
        <v>7489</v>
      </c>
      <c r="B6342" t="s">
        <v>29531</v>
      </c>
      <c r="C6342" t="s">
        <v>20</v>
      </c>
      <c r="D6342" t="s">
        <v>29532</v>
      </c>
      <c r="E6342" t="s">
        <v>29533</v>
      </c>
      <c r="F6342" t="s">
        <v>29534</v>
      </c>
      <c r="G6342" t="s">
        <v>3970</v>
      </c>
      <c r="H6342" t="s">
        <v>4601</v>
      </c>
      <c r="I6342" t="s">
        <v>29346</v>
      </c>
      <c r="J6342" t="s">
        <v>4095</v>
      </c>
      <c r="L6342" t="s">
        <v>29347</v>
      </c>
      <c r="M6342" t="s">
        <v>38</v>
      </c>
      <c r="N6342" t="s">
        <v>29535</v>
      </c>
      <c r="O6342" t="s">
        <v>29349</v>
      </c>
      <c r="P6342" t="s">
        <v>29536</v>
      </c>
      <c r="Q6342" t="s">
        <v>29537</v>
      </c>
      <c r="R6342">
        <v>18</v>
      </c>
      <c r="S6342">
        <v>32</v>
      </c>
    </row>
    <row r="6343" spans="1:19" x14ac:dyDescent="0.35">
      <c r="A6343">
        <v>7488</v>
      </c>
      <c r="B6343" t="s">
        <v>29531</v>
      </c>
      <c r="C6343" t="s">
        <v>20</v>
      </c>
      <c r="D6343" t="s">
        <v>29532</v>
      </c>
      <c r="E6343" t="s">
        <v>29533</v>
      </c>
      <c r="F6343" t="s">
        <v>29534</v>
      </c>
      <c r="G6343" t="s">
        <v>3970</v>
      </c>
      <c r="H6343" t="s">
        <v>4601</v>
      </c>
      <c r="I6343" t="s">
        <v>29346</v>
      </c>
      <c r="J6343" t="s">
        <v>4095</v>
      </c>
      <c r="L6343" t="s">
        <v>29347</v>
      </c>
      <c r="M6343" t="s">
        <v>38</v>
      </c>
      <c r="N6343" t="s">
        <v>29535</v>
      </c>
      <c r="O6343" t="s">
        <v>29349</v>
      </c>
      <c r="P6343" t="s">
        <v>29536</v>
      </c>
      <c r="Q6343" t="s">
        <v>29537</v>
      </c>
      <c r="R6343">
        <v>18</v>
      </c>
      <c r="S6343">
        <v>32</v>
      </c>
    </row>
    <row r="6344" spans="1:19" x14ac:dyDescent="0.35">
      <c r="A6344">
        <v>756</v>
      </c>
      <c r="B6344" t="s">
        <v>29478</v>
      </c>
      <c r="C6344" t="s">
        <v>42</v>
      </c>
      <c r="D6344" t="s">
        <v>29479</v>
      </c>
      <c r="E6344" t="e" cm="1">
        <f t="array" ref="E6344">- AMBROXOL HYDROCHLORIDE</f>
        <v>#NAME?</v>
      </c>
      <c r="F6344" t="s">
        <v>29480</v>
      </c>
      <c r="G6344" t="s">
        <v>539</v>
      </c>
      <c r="H6344" t="s">
        <v>29267</v>
      </c>
      <c r="I6344" t="s">
        <v>29055</v>
      </c>
      <c r="J6344" t="s">
        <v>754</v>
      </c>
      <c r="K6344" t="s">
        <v>3952</v>
      </c>
      <c r="L6344" t="s">
        <v>29481</v>
      </c>
      <c r="M6344" t="s">
        <v>46</v>
      </c>
      <c r="N6344" t="s">
        <v>1800</v>
      </c>
      <c r="O6344" t="s">
        <v>29056</v>
      </c>
      <c r="P6344" t="s">
        <v>29057</v>
      </c>
      <c r="Q6344" t="s">
        <v>29482</v>
      </c>
      <c r="R6344">
        <v>18</v>
      </c>
      <c r="S6344">
        <v>32</v>
      </c>
    </row>
    <row r="6345" spans="1:19" x14ac:dyDescent="0.35">
      <c r="A6345">
        <v>7663</v>
      </c>
      <c r="B6345" t="s">
        <v>29500</v>
      </c>
      <c r="C6345" t="s">
        <v>20</v>
      </c>
      <c r="D6345" t="s">
        <v>29501</v>
      </c>
      <c r="E6345" t="s">
        <v>29502</v>
      </c>
      <c r="F6345" t="s">
        <v>4255</v>
      </c>
      <c r="G6345" t="s">
        <v>4469</v>
      </c>
      <c r="H6345" t="s">
        <v>29503</v>
      </c>
      <c r="I6345" t="s">
        <v>29504</v>
      </c>
      <c r="J6345" t="s">
        <v>20229</v>
      </c>
      <c r="L6345" t="s">
        <v>29505</v>
      </c>
      <c r="M6345" t="s">
        <v>554</v>
      </c>
      <c r="N6345" t="s">
        <v>29506</v>
      </c>
      <c r="O6345" t="s">
        <v>29507</v>
      </c>
      <c r="P6345" t="s">
        <v>29508</v>
      </c>
      <c r="Q6345" t="s">
        <v>29509</v>
      </c>
      <c r="R6345">
        <v>18</v>
      </c>
      <c r="S6345">
        <v>32</v>
      </c>
    </row>
    <row r="6346" spans="1:19" x14ac:dyDescent="0.35">
      <c r="A6346">
        <v>438</v>
      </c>
      <c r="B6346" t="s">
        <v>29538</v>
      </c>
      <c r="C6346" t="s">
        <v>20</v>
      </c>
      <c r="D6346" t="s">
        <v>29539</v>
      </c>
      <c r="E6346" t="s">
        <v>29540</v>
      </c>
      <c r="F6346" t="s">
        <v>29541</v>
      </c>
      <c r="G6346" t="s">
        <v>2241</v>
      </c>
      <c r="H6346" t="s">
        <v>18834</v>
      </c>
      <c r="I6346" t="s">
        <v>29542</v>
      </c>
      <c r="J6346" t="s">
        <v>2527</v>
      </c>
      <c r="L6346" t="s">
        <v>29543</v>
      </c>
      <c r="M6346" t="s">
        <v>38</v>
      </c>
      <c r="N6346" t="s">
        <v>29544</v>
      </c>
      <c r="O6346" t="s">
        <v>29545</v>
      </c>
      <c r="P6346" t="s">
        <v>29546</v>
      </c>
      <c r="Q6346" t="s">
        <v>29547</v>
      </c>
      <c r="R6346">
        <v>18</v>
      </c>
      <c r="S6346">
        <v>32</v>
      </c>
    </row>
    <row r="6347" spans="1:19" x14ac:dyDescent="0.35">
      <c r="A6347">
        <v>806</v>
      </c>
      <c r="B6347" t="s">
        <v>29548</v>
      </c>
      <c r="C6347" t="s">
        <v>42</v>
      </c>
      <c r="D6347" t="s">
        <v>29549</v>
      </c>
      <c r="E6347" t="e" cm="1">
        <f t="array" ref="E6347">- PHENYLPROPANOLAMINE HYDROCHLORIDE. SALICYLAMIDE. CHLORPHENAMINE MALEATE. PARACETAMOL</f>
        <v>#NAME?</v>
      </c>
      <c r="F6347" t="s">
        <v>29550</v>
      </c>
      <c r="G6347" t="s">
        <v>3774</v>
      </c>
      <c r="H6347" t="s">
        <v>29551</v>
      </c>
      <c r="I6347" t="s">
        <v>29552</v>
      </c>
      <c r="J6347" t="s">
        <v>29553</v>
      </c>
      <c r="K6347" t="s">
        <v>2858</v>
      </c>
      <c r="L6347" t="s">
        <v>29554</v>
      </c>
      <c r="M6347" t="s">
        <v>46</v>
      </c>
      <c r="N6347" t="s">
        <v>29555</v>
      </c>
      <c r="O6347" t="s">
        <v>29556</v>
      </c>
      <c r="P6347" t="s">
        <v>29557</v>
      </c>
      <c r="Q6347" t="s">
        <v>29558</v>
      </c>
      <c r="R6347">
        <v>18</v>
      </c>
      <c r="S6347">
        <v>32</v>
      </c>
    </row>
    <row r="6348" spans="1:19" x14ac:dyDescent="0.35">
      <c r="A6348">
        <v>807</v>
      </c>
      <c r="B6348" t="s">
        <v>29559</v>
      </c>
      <c r="C6348" t="s">
        <v>42</v>
      </c>
      <c r="D6348" t="s">
        <v>29560</v>
      </c>
      <c r="E6348" t="e" cm="1">
        <f t="array" ref="E6348">- AMBROXOL HYDROCHLORIDE</f>
        <v>#NAME?</v>
      </c>
      <c r="F6348" t="s">
        <v>29561</v>
      </c>
      <c r="G6348" t="s">
        <v>2241</v>
      </c>
      <c r="H6348" t="s">
        <v>29267</v>
      </c>
      <c r="I6348" t="s">
        <v>29055</v>
      </c>
      <c r="J6348" t="s">
        <v>5085</v>
      </c>
      <c r="K6348" t="s">
        <v>3952</v>
      </c>
      <c r="L6348" t="s">
        <v>22896</v>
      </c>
      <c r="M6348" t="s">
        <v>46</v>
      </c>
      <c r="N6348" t="s">
        <v>1800</v>
      </c>
      <c r="O6348" t="s">
        <v>29056</v>
      </c>
      <c r="P6348" t="s">
        <v>418</v>
      </c>
      <c r="Q6348" t="s">
        <v>29562</v>
      </c>
      <c r="R6348">
        <v>18</v>
      </c>
      <c r="S6348">
        <v>32</v>
      </c>
    </row>
    <row r="6349" spans="1:19" x14ac:dyDescent="0.35">
      <c r="A6349">
        <v>7487</v>
      </c>
      <c r="B6349" t="s">
        <v>29531</v>
      </c>
      <c r="C6349" t="s">
        <v>20</v>
      </c>
      <c r="D6349" t="s">
        <v>29563</v>
      </c>
      <c r="E6349" t="s">
        <v>29533</v>
      </c>
      <c r="F6349" t="s">
        <v>29564</v>
      </c>
      <c r="G6349" t="s">
        <v>2241</v>
      </c>
      <c r="H6349" t="s">
        <v>4601</v>
      </c>
      <c r="I6349" t="s">
        <v>29346</v>
      </c>
      <c r="J6349" t="s">
        <v>29565</v>
      </c>
      <c r="L6349" t="s">
        <v>29566</v>
      </c>
      <c r="M6349" t="s">
        <v>38</v>
      </c>
      <c r="N6349" t="s">
        <v>29535</v>
      </c>
      <c r="O6349" t="s">
        <v>29349</v>
      </c>
      <c r="P6349" t="s">
        <v>29536</v>
      </c>
      <c r="Q6349" t="s">
        <v>29537</v>
      </c>
      <c r="R6349">
        <v>18</v>
      </c>
      <c r="S6349">
        <v>32</v>
      </c>
    </row>
    <row r="6350" spans="1:19" x14ac:dyDescent="0.35">
      <c r="A6350">
        <v>7486</v>
      </c>
      <c r="B6350" t="s">
        <v>29531</v>
      </c>
      <c r="C6350" t="s">
        <v>20</v>
      </c>
      <c r="D6350" t="s">
        <v>29563</v>
      </c>
      <c r="E6350" t="s">
        <v>29533</v>
      </c>
      <c r="F6350" t="s">
        <v>29564</v>
      </c>
      <c r="G6350" t="s">
        <v>2241</v>
      </c>
      <c r="H6350" t="s">
        <v>4601</v>
      </c>
      <c r="I6350" t="s">
        <v>29346</v>
      </c>
      <c r="J6350" t="s">
        <v>29565</v>
      </c>
      <c r="L6350" t="s">
        <v>29566</v>
      </c>
      <c r="M6350" t="s">
        <v>38</v>
      </c>
      <c r="N6350" t="s">
        <v>29535</v>
      </c>
      <c r="O6350" t="s">
        <v>29349</v>
      </c>
      <c r="P6350" t="s">
        <v>29536</v>
      </c>
      <c r="Q6350" t="s">
        <v>29537</v>
      </c>
      <c r="R6350">
        <v>18</v>
      </c>
      <c r="S6350">
        <v>32</v>
      </c>
    </row>
    <row r="6351" spans="1:19" x14ac:dyDescent="0.35">
      <c r="A6351">
        <v>544</v>
      </c>
      <c r="B6351" t="s">
        <v>29567</v>
      </c>
      <c r="C6351" t="s">
        <v>42</v>
      </c>
      <c r="D6351" t="s">
        <v>29568</v>
      </c>
      <c r="E6351" t="e" cm="1">
        <f t="array" ref="E6351">- INDACATEROL MALEATE</f>
        <v>#NAME?</v>
      </c>
      <c r="F6351" t="s">
        <v>29569</v>
      </c>
      <c r="H6351" t="s">
        <v>29570</v>
      </c>
      <c r="I6351" t="s">
        <v>29571</v>
      </c>
      <c r="J6351" t="s">
        <v>29572</v>
      </c>
      <c r="K6351" t="s">
        <v>29573</v>
      </c>
      <c r="L6351" t="s">
        <v>2546</v>
      </c>
    </row>
    <row r="6352" spans="1:19" x14ac:dyDescent="0.35">
      <c r="A6352">
        <v>8814</v>
      </c>
      <c r="B6352" t="s">
        <v>27798</v>
      </c>
      <c r="C6352" t="s">
        <v>42</v>
      </c>
      <c r="D6352" t="s">
        <v>27799</v>
      </c>
      <c r="E6352" t="e" cm="1">
        <f t="array" ref="E6352">- PIOGLITAZONE HYDROCHLORIDE</f>
        <v>#NAME?</v>
      </c>
      <c r="F6352" t="s">
        <v>27800</v>
      </c>
      <c r="G6352" t="s">
        <v>8512</v>
      </c>
      <c r="H6352" t="s">
        <v>27801</v>
      </c>
      <c r="I6352" t="s">
        <v>27802</v>
      </c>
      <c r="J6352" t="s">
        <v>599</v>
      </c>
      <c r="K6352" t="s">
        <v>27803</v>
      </c>
      <c r="L6352" t="s">
        <v>27804</v>
      </c>
      <c r="M6352" t="s">
        <v>46</v>
      </c>
      <c r="N6352" t="s">
        <v>2389</v>
      </c>
      <c r="O6352" t="s">
        <v>27806</v>
      </c>
      <c r="P6352" t="s">
        <v>27807</v>
      </c>
      <c r="Q6352" t="s">
        <v>29574</v>
      </c>
      <c r="R6352">
        <v>18</v>
      </c>
      <c r="S6352">
        <v>32</v>
      </c>
    </row>
    <row r="6353" spans="1:19" x14ac:dyDescent="0.35">
      <c r="A6353">
        <v>437</v>
      </c>
      <c r="B6353" t="s">
        <v>29538</v>
      </c>
      <c r="C6353" t="s">
        <v>20</v>
      </c>
      <c r="D6353" t="s">
        <v>29539</v>
      </c>
      <c r="E6353" t="s">
        <v>29540</v>
      </c>
      <c r="F6353" t="s">
        <v>29575</v>
      </c>
      <c r="G6353" t="s">
        <v>2241</v>
      </c>
      <c r="H6353" t="s">
        <v>18834</v>
      </c>
      <c r="I6353" t="s">
        <v>29542</v>
      </c>
      <c r="J6353" t="s">
        <v>2527</v>
      </c>
      <c r="L6353" t="s">
        <v>29543</v>
      </c>
      <c r="M6353" t="s">
        <v>38</v>
      </c>
      <c r="N6353" t="s">
        <v>29544</v>
      </c>
      <c r="O6353" t="s">
        <v>29545</v>
      </c>
      <c r="P6353" t="s">
        <v>29546</v>
      </c>
      <c r="Q6353" t="s">
        <v>29547</v>
      </c>
      <c r="R6353">
        <v>18</v>
      </c>
      <c r="S6353">
        <v>32</v>
      </c>
    </row>
    <row r="6354" spans="1:19" x14ac:dyDescent="0.35">
      <c r="A6354">
        <v>766</v>
      </c>
      <c r="B6354" t="s">
        <v>29109</v>
      </c>
      <c r="C6354" t="s">
        <v>42</v>
      </c>
      <c r="D6354" t="s">
        <v>29110</v>
      </c>
      <c r="E6354" t="e" cm="1">
        <f t="array" ref="E6354">- AMBROXOL HYDROCHLORIDE</f>
        <v>#NAME?</v>
      </c>
      <c r="F6354" t="s">
        <v>29111</v>
      </c>
      <c r="G6354" t="s">
        <v>2241</v>
      </c>
      <c r="H6354" t="s">
        <v>29112</v>
      </c>
      <c r="I6354" t="s">
        <v>29055</v>
      </c>
      <c r="J6354" t="s">
        <v>334</v>
      </c>
      <c r="K6354" t="s">
        <v>3952</v>
      </c>
      <c r="L6354" t="s">
        <v>22896</v>
      </c>
      <c r="M6354" t="s">
        <v>271</v>
      </c>
      <c r="N6354" t="s">
        <v>1800</v>
      </c>
      <c r="O6354" t="s">
        <v>29056</v>
      </c>
      <c r="P6354" t="s">
        <v>29113</v>
      </c>
      <c r="Q6354" t="s">
        <v>29114</v>
      </c>
      <c r="R6354">
        <v>18</v>
      </c>
      <c r="S6354">
        <v>32</v>
      </c>
    </row>
    <row r="6355" spans="1:19" x14ac:dyDescent="0.35">
      <c r="A6355">
        <v>1737</v>
      </c>
      <c r="B6355" t="s">
        <v>29576</v>
      </c>
      <c r="C6355" t="s">
        <v>850</v>
      </c>
      <c r="D6355" t="s">
        <v>29577</v>
      </c>
      <c r="E6355" t="e" cm="1">
        <f t="array" ref="E6355">- Camphor BP</f>
        <v>#NAME?</v>
      </c>
      <c r="F6355" t="s">
        <v>29578</v>
      </c>
      <c r="G6355" t="s">
        <v>29579</v>
      </c>
      <c r="H6355" t="s">
        <v>13198</v>
      </c>
      <c r="I6355" t="s">
        <v>29580</v>
      </c>
      <c r="J6355" t="s">
        <v>29581</v>
      </c>
      <c r="N6355" t="s">
        <v>29582</v>
      </c>
      <c r="O6355" t="s">
        <v>29583</v>
      </c>
      <c r="P6355" t="s">
        <v>29584</v>
      </c>
      <c r="Q6355" t="s">
        <v>29585</v>
      </c>
      <c r="R6355">
        <v>18</v>
      </c>
      <c r="S6355">
        <v>32</v>
      </c>
    </row>
    <row r="6356" spans="1:19" x14ac:dyDescent="0.35">
      <c r="A6356">
        <v>3704</v>
      </c>
      <c r="B6356" t="s">
        <v>15857</v>
      </c>
      <c r="C6356" t="s">
        <v>42</v>
      </c>
      <c r="D6356" t="s">
        <v>15858</v>
      </c>
      <c r="E6356" t="e" cm="1">
        <f t="array" ref="E6356">- SODIUM CHLORIDE. DEXTROSE ANHYDRATE. POTASSIUM CHLORIDE. SODIUM CITRATE DIHYDRATE</f>
        <v>#NAME?</v>
      </c>
      <c r="F6356" t="s">
        <v>15859</v>
      </c>
      <c r="G6356" t="s">
        <v>15860</v>
      </c>
      <c r="H6356" t="s">
        <v>15861</v>
      </c>
      <c r="I6356" t="s">
        <v>15862</v>
      </c>
      <c r="J6356" t="s">
        <v>15863</v>
      </c>
      <c r="K6356" t="s">
        <v>15864</v>
      </c>
      <c r="L6356" t="s">
        <v>15865</v>
      </c>
      <c r="M6356" t="s">
        <v>1280</v>
      </c>
      <c r="N6356" t="s">
        <v>29586</v>
      </c>
      <c r="O6356" t="s">
        <v>15867</v>
      </c>
      <c r="P6356" t="s">
        <v>15868</v>
      </c>
      <c r="Q6356" t="s">
        <v>29587</v>
      </c>
      <c r="R6356">
        <v>18</v>
      </c>
      <c r="S6356">
        <v>32</v>
      </c>
    </row>
    <row r="6357" spans="1:19" x14ac:dyDescent="0.35">
      <c r="A6357">
        <v>3789</v>
      </c>
      <c r="B6357" t="s">
        <v>29588</v>
      </c>
      <c r="C6357" t="s">
        <v>42</v>
      </c>
      <c r="D6357" t="s">
        <v>29589</v>
      </c>
      <c r="E6357" t="e" cm="1">
        <f t="array" ref="E6357">- ZINC SULFATE MONOHYDRATE</f>
        <v>#NAME?</v>
      </c>
      <c r="F6357" t="s">
        <v>29590</v>
      </c>
      <c r="G6357" t="s">
        <v>29591</v>
      </c>
      <c r="H6357" t="s">
        <v>29592</v>
      </c>
      <c r="I6357" t="s">
        <v>29593</v>
      </c>
      <c r="J6357" t="s">
        <v>29594</v>
      </c>
      <c r="K6357" t="s">
        <v>20178</v>
      </c>
      <c r="L6357" t="s">
        <v>20179</v>
      </c>
      <c r="M6357" t="s">
        <v>824</v>
      </c>
      <c r="N6357" t="s">
        <v>2750</v>
      </c>
      <c r="O6357" t="s">
        <v>29595</v>
      </c>
      <c r="P6357" t="s">
        <v>29596</v>
      </c>
      <c r="Q6357" t="s">
        <v>29597</v>
      </c>
      <c r="R6357">
        <v>18</v>
      </c>
      <c r="S6357">
        <v>32</v>
      </c>
    </row>
    <row r="6358" spans="1:19" x14ac:dyDescent="0.35">
      <c r="A6358">
        <v>3788</v>
      </c>
      <c r="B6358" t="s">
        <v>29588</v>
      </c>
      <c r="C6358" t="s">
        <v>42</v>
      </c>
      <c r="D6358" t="s">
        <v>29589</v>
      </c>
      <c r="E6358" t="e" cm="1">
        <f t="array" ref="E6358">- ZINC SULFATE MONOHYDRATE</f>
        <v>#NAME?</v>
      </c>
      <c r="F6358" t="s">
        <v>29590</v>
      </c>
      <c r="G6358" t="s">
        <v>29591</v>
      </c>
      <c r="H6358" t="s">
        <v>29592</v>
      </c>
      <c r="I6358" t="s">
        <v>29593</v>
      </c>
      <c r="J6358" t="s">
        <v>29594</v>
      </c>
      <c r="K6358" t="s">
        <v>20178</v>
      </c>
      <c r="L6358" t="s">
        <v>20179</v>
      </c>
      <c r="M6358" t="s">
        <v>824</v>
      </c>
      <c r="N6358" t="s">
        <v>2750</v>
      </c>
      <c r="O6358" t="s">
        <v>29595</v>
      </c>
      <c r="P6358" t="s">
        <v>29596</v>
      </c>
      <c r="Q6358" t="s">
        <v>29597</v>
      </c>
      <c r="R6358">
        <v>18</v>
      </c>
      <c r="S6358">
        <v>32</v>
      </c>
    </row>
    <row r="6359" spans="1:19" x14ac:dyDescent="0.35">
      <c r="A6359">
        <v>3787</v>
      </c>
      <c r="B6359" t="s">
        <v>29588</v>
      </c>
      <c r="C6359" t="s">
        <v>42</v>
      </c>
      <c r="D6359" t="s">
        <v>29589</v>
      </c>
      <c r="E6359" t="e" cm="1">
        <f t="array" ref="E6359">- ZINC SULFATE MONOHYDRATE</f>
        <v>#NAME?</v>
      </c>
      <c r="F6359" t="s">
        <v>29590</v>
      </c>
      <c r="G6359" t="s">
        <v>29591</v>
      </c>
      <c r="H6359" t="s">
        <v>29592</v>
      </c>
      <c r="I6359" t="s">
        <v>29593</v>
      </c>
      <c r="J6359" t="s">
        <v>29594</v>
      </c>
      <c r="K6359" t="s">
        <v>20178</v>
      </c>
      <c r="L6359" t="s">
        <v>20179</v>
      </c>
      <c r="M6359" t="s">
        <v>824</v>
      </c>
      <c r="N6359" t="s">
        <v>2750</v>
      </c>
      <c r="O6359" t="s">
        <v>29595</v>
      </c>
      <c r="P6359" t="s">
        <v>29596</v>
      </c>
      <c r="Q6359" t="s">
        <v>29597</v>
      </c>
      <c r="R6359">
        <v>18</v>
      </c>
      <c r="S6359">
        <v>32</v>
      </c>
    </row>
    <row r="6360" spans="1:19" x14ac:dyDescent="0.35">
      <c r="A6360">
        <v>3786</v>
      </c>
      <c r="B6360" t="s">
        <v>29588</v>
      </c>
      <c r="C6360" t="s">
        <v>42</v>
      </c>
      <c r="D6360" t="s">
        <v>29589</v>
      </c>
      <c r="E6360" t="e" cm="1">
        <f t="array" ref="E6360">- ZINC SULFATE MONOHYDRATE</f>
        <v>#NAME?</v>
      </c>
      <c r="F6360" t="s">
        <v>29590</v>
      </c>
      <c r="G6360" t="s">
        <v>29591</v>
      </c>
      <c r="H6360" t="s">
        <v>29592</v>
      </c>
      <c r="I6360" t="s">
        <v>29593</v>
      </c>
      <c r="J6360" t="s">
        <v>29594</v>
      </c>
      <c r="K6360" t="s">
        <v>20178</v>
      </c>
      <c r="L6360" t="s">
        <v>20179</v>
      </c>
      <c r="M6360" t="s">
        <v>824</v>
      </c>
      <c r="N6360" t="s">
        <v>2750</v>
      </c>
      <c r="O6360" t="s">
        <v>29595</v>
      </c>
      <c r="P6360" t="s">
        <v>29596</v>
      </c>
      <c r="Q6360" t="s">
        <v>29597</v>
      </c>
      <c r="R6360">
        <v>18</v>
      </c>
      <c r="S6360">
        <v>32</v>
      </c>
    </row>
    <row r="6361" spans="1:19" x14ac:dyDescent="0.35">
      <c r="A6361">
        <v>3783</v>
      </c>
      <c r="B6361" t="s">
        <v>29598</v>
      </c>
      <c r="C6361" t="s">
        <v>42</v>
      </c>
      <c r="D6361" t="s">
        <v>29599</v>
      </c>
      <c r="E6361" t="e" cm="1">
        <f t="array" ref="E6361">- DEXTROSE ANHYDRATE</f>
        <v>#NAME?</v>
      </c>
      <c r="F6361" s="1">
        <v>1100</v>
      </c>
      <c r="I6361" t="s">
        <v>29600</v>
      </c>
      <c r="M6361" t="s">
        <v>1280</v>
      </c>
      <c r="N6361" t="s">
        <v>29601</v>
      </c>
      <c r="O6361" t="s">
        <v>29602</v>
      </c>
      <c r="P6361" t="s">
        <v>29603</v>
      </c>
      <c r="Q6361" t="s">
        <v>29604</v>
      </c>
      <c r="R6361">
        <v>18</v>
      </c>
      <c r="S6361">
        <v>32</v>
      </c>
    </row>
    <row r="6362" spans="1:19" x14ac:dyDescent="0.35">
      <c r="A6362">
        <v>1296</v>
      </c>
      <c r="B6362" t="s">
        <v>29605</v>
      </c>
      <c r="C6362" t="s">
        <v>42</v>
      </c>
      <c r="D6362" t="s">
        <v>29606</v>
      </c>
      <c r="E6362" t="e" cm="1">
        <f t="array" ref="E6362">- PSEUDOEPHEDRINE HYDROCHLORIDE. TRIPROLIDINE HYDROCHLORIDE</f>
        <v>#NAME?</v>
      </c>
      <c r="G6362" t="s">
        <v>6310</v>
      </c>
      <c r="H6362" t="s">
        <v>29607</v>
      </c>
      <c r="I6362" t="s">
        <v>29608</v>
      </c>
      <c r="J6362" t="s">
        <v>5221</v>
      </c>
      <c r="K6362" t="s">
        <v>19456</v>
      </c>
      <c r="L6362" t="s">
        <v>29609</v>
      </c>
      <c r="M6362" t="s">
        <v>46</v>
      </c>
      <c r="N6362" t="s">
        <v>3820</v>
      </c>
      <c r="O6362" t="s">
        <v>29610</v>
      </c>
      <c r="P6362" t="s">
        <v>28890</v>
      </c>
      <c r="Q6362" t="s">
        <v>29611</v>
      </c>
      <c r="R6362">
        <v>18</v>
      </c>
      <c r="S6362">
        <v>32</v>
      </c>
    </row>
    <row r="6363" spans="1:19" x14ac:dyDescent="0.35">
      <c r="A6363">
        <v>3761</v>
      </c>
      <c r="B6363" t="s">
        <v>29612</v>
      </c>
      <c r="C6363" t="s">
        <v>20</v>
      </c>
      <c r="D6363" t="s">
        <v>29613</v>
      </c>
      <c r="E6363" t="s">
        <v>29614</v>
      </c>
      <c r="F6363" t="s">
        <v>29615</v>
      </c>
      <c r="G6363" t="s">
        <v>29616</v>
      </c>
      <c r="H6363" t="s">
        <v>29617</v>
      </c>
      <c r="I6363" t="s">
        <v>29618</v>
      </c>
      <c r="J6363" t="s">
        <v>29619</v>
      </c>
      <c r="K6363" t="s">
        <v>2726</v>
      </c>
      <c r="L6363" t="s">
        <v>29620</v>
      </c>
      <c r="M6363" t="s">
        <v>63</v>
      </c>
      <c r="N6363" t="s">
        <v>29621</v>
      </c>
      <c r="O6363" t="s">
        <v>29622</v>
      </c>
      <c r="P6363" t="s">
        <v>29623</v>
      </c>
      <c r="Q6363" t="s">
        <v>29624</v>
      </c>
      <c r="R6363">
        <v>18</v>
      </c>
      <c r="S6363">
        <v>32</v>
      </c>
    </row>
    <row r="6364" spans="1:19" x14ac:dyDescent="0.35">
      <c r="A6364">
        <v>1232</v>
      </c>
      <c r="B6364" t="s">
        <v>29625</v>
      </c>
      <c r="C6364" t="s">
        <v>42</v>
      </c>
      <c r="D6364" t="s">
        <v>29626</v>
      </c>
      <c r="E6364" t="e" cm="1">
        <f t="array" ref="E6364">- CHLORPHENAMINE MALEATE</f>
        <v>#NAME?</v>
      </c>
      <c r="F6364" t="s">
        <v>29627</v>
      </c>
      <c r="G6364" t="s">
        <v>2241</v>
      </c>
      <c r="H6364" t="s">
        <v>29628</v>
      </c>
      <c r="I6364" t="s">
        <v>29629</v>
      </c>
      <c r="J6364" t="s">
        <v>381</v>
      </c>
      <c r="K6364" t="s">
        <v>29630</v>
      </c>
      <c r="L6364" t="s">
        <v>29631</v>
      </c>
      <c r="M6364" t="s">
        <v>291</v>
      </c>
      <c r="N6364" t="s">
        <v>1354</v>
      </c>
      <c r="O6364" t="s">
        <v>29632</v>
      </c>
      <c r="P6364" t="s">
        <v>29633</v>
      </c>
      <c r="Q6364" t="s">
        <v>29634</v>
      </c>
      <c r="R6364">
        <v>18</v>
      </c>
      <c r="S6364">
        <v>32</v>
      </c>
    </row>
    <row r="6365" spans="1:19" x14ac:dyDescent="0.35">
      <c r="A6365">
        <v>3760</v>
      </c>
      <c r="B6365" t="s">
        <v>29612</v>
      </c>
      <c r="C6365" t="s">
        <v>20</v>
      </c>
      <c r="D6365" t="s">
        <v>29635</v>
      </c>
      <c r="E6365" t="s">
        <v>29614</v>
      </c>
      <c r="F6365" t="s">
        <v>29636</v>
      </c>
      <c r="G6365" t="s">
        <v>29616</v>
      </c>
      <c r="H6365" t="s">
        <v>29617</v>
      </c>
      <c r="I6365" t="s">
        <v>29618</v>
      </c>
      <c r="J6365" t="s">
        <v>29619</v>
      </c>
      <c r="L6365" t="s">
        <v>29637</v>
      </c>
      <c r="M6365" t="s">
        <v>63</v>
      </c>
      <c r="N6365" t="s">
        <v>29621</v>
      </c>
      <c r="O6365" t="s">
        <v>29622</v>
      </c>
      <c r="P6365" t="s">
        <v>29623</v>
      </c>
      <c r="Q6365" t="s">
        <v>29624</v>
      </c>
      <c r="R6365">
        <v>18</v>
      </c>
      <c r="S6365">
        <v>32</v>
      </c>
    </row>
    <row r="6366" spans="1:19" x14ac:dyDescent="0.35">
      <c r="A6366">
        <v>3758</v>
      </c>
      <c r="B6366" t="s">
        <v>29612</v>
      </c>
      <c r="C6366" t="s">
        <v>20</v>
      </c>
      <c r="D6366" t="s">
        <v>29635</v>
      </c>
      <c r="E6366" t="s">
        <v>29614</v>
      </c>
      <c r="F6366" t="s">
        <v>29636</v>
      </c>
      <c r="G6366" t="s">
        <v>29616</v>
      </c>
      <c r="H6366" t="s">
        <v>29617</v>
      </c>
      <c r="I6366" t="s">
        <v>29618</v>
      </c>
      <c r="J6366" t="s">
        <v>29619</v>
      </c>
      <c r="L6366" t="s">
        <v>29637</v>
      </c>
      <c r="M6366" t="s">
        <v>63</v>
      </c>
      <c r="N6366" t="s">
        <v>29621</v>
      </c>
      <c r="O6366" t="s">
        <v>29622</v>
      </c>
      <c r="P6366" t="s">
        <v>29623</v>
      </c>
      <c r="Q6366" t="s">
        <v>29624</v>
      </c>
      <c r="R6366">
        <v>18</v>
      </c>
      <c r="S6366">
        <v>32</v>
      </c>
    </row>
    <row r="6367" spans="1:19" x14ac:dyDescent="0.35">
      <c r="A6367">
        <v>1306</v>
      </c>
      <c r="B6367" t="s">
        <v>29638</v>
      </c>
      <c r="C6367" t="s">
        <v>42</v>
      </c>
      <c r="D6367" t="s">
        <v>29639</v>
      </c>
      <c r="E6367" t="e" cm="1">
        <f t="array" ref="E6367">- CHLORPHENAMINE MALEATE</f>
        <v>#NAME?</v>
      </c>
      <c r="F6367" t="s">
        <v>29640</v>
      </c>
      <c r="G6367" t="s">
        <v>539</v>
      </c>
      <c r="I6367" t="s">
        <v>29641</v>
      </c>
      <c r="M6367" t="s">
        <v>271</v>
      </c>
      <c r="N6367" t="s">
        <v>1354</v>
      </c>
      <c r="O6367" t="s">
        <v>29642</v>
      </c>
      <c r="P6367" t="s">
        <v>29643</v>
      </c>
      <c r="Q6367" t="s">
        <v>29644</v>
      </c>
      <c r="R6367">
        <v>18</v>
      </c>
      <c r="S6367">
        <v>32</v>
      </c>
    </row>
    <row r="6368" spans="1:19" x14ac:dyDescent="0.35">
      <c r="A6368">
        <v>1307</v>
      </c>
      <c r="B6368" t="s">
        <v>29645</v>
      </c>
      <c r="C6368" t="s">
        <v>42</v>
      </c>
      <c r="D6368" t="s">
        <v>29646</v>
      </c>
      <c r="E6368" t="e" cm="1">
        <f t="array" ref="E6368">- AMBROXOL HYDROCHLORIDE</f>
        <v>#NAME?</v>
      </c>
      <c r="F6368" t="s">
        <v>29647</v>
      </c>
      <c r="H6368" t="s">
        <v>319</v>
      </c>
      <c r="I6368" t="s">
        <v>29648</v>
      </c>
      <c r="J6368" t="s">
        <v>29649</v>
      </c>
      <c r="L6368" t="s">
        <v>321</v>
      </c>
      <c r="M6368" t="s">
        <v>46</v>
      </c>
      <c r="N6368" t="s">
        <v>1800</v>
      </c>
      <c r="O6368" t="s">
        <v>29650</v>
      </c>
      <c r="P6368" t="s">
        <v>29651</v>
      </c>
      <c r="Q6368" t="s">
        <v>29652</v>
      </c>
      <c r="R6368">
        <v>18</v>
      </c>
      <c r="S6368">
        <v>32</v>
      </c>
    </row>
    <row r="6369" spans="1:19" x14ac:dyDescent="0.35">
      <c r="A6369">
        <v>3728</v>
      </c>
      <c r="B6369" t="s">
        <v>29653</v>
      </c>
      <c r="C6369" t="s">
        <v>42</v>
      </c>
      <c r="D6369" t="s">
        <v>29654</v>
      </c>
      <c r="E6369" t="e" cm="1">
        <f t="array" ref="E6369">- ZINC SULFATE MONOHYDRATE</f>
        <v>#NAME?</v>
      </c>
      <c r="F6369" t="s">
        <v>29655</v>
      </c>
      <c r="G6369" t="s">
        <v>29656</v>
      </c>
      <c r="H6369" t="s">
        <v>29657</v>
      </c>
      <c r="I6369" t="s">
        <v>29658</v>
      </c>
      <c r="J6369" t="s">
        <v>334</v>
      </c>
      <c r="K6369" t="s">
        <v>2726</v>
      </c>
      <c r="L6369" t="s">
        <v>29659</v>
      </c>
      <c r="M6369" t="s">
        <v>271</v>
      </c>
      <c r="N6369" t="s">
        <v>2750</v>
      </c>
      <c r="O6369" t="s">
        <v>29660</v>
      </c>
      <c r="P6369" t="s">
        <v>29661</v>
      </c>
      <c r="Q6369" t="s">
        <v>29662</v>
      </c>
      <c r="R6369">
        <v>18</v>
      </c>
      <c r="S6369">
        <v>32</v>
      </c>
    </row>
    <row r="6370" spans="1:19" x14ac:dyDescent="0.35">
      <c r="A6370">
        <v>3726</v>
      </c>
      <c r="B6370" t="s">
        <v>29653</v>
      </c>
      <c r="C6370" t="s">
        <v>42</v>
      </c>
      <c r="D6370" t="s">
        <v>29654</v>
      </c>
      <c r="E6370" t="e" cm="1">
        <f t="array" ref="E6370">- ZINC SULFATE MONOHYDRATE</f>
        <v>#NAME?</v>
      </c>
      <c r="F6370" t="s">
        <v>29663</v>
      </c>
      <c r="G6370" t="s">
        <v>29656</v>
      </c>
      <c r="H6370" t="s">
        <v>29657</v>
      </c>
      <c r="I6370" t="s">
        <v>29658</v>
      </c>
      <c r="J6370" t="s">
        <v>334</v>
      </c>
      <c r="K6370" t="s">
        <v>2726</v>
      </c>
      <c r="L6370" t="s">
        <v>29659</v>
      </c>
      <c r="M6370" t="s">
        <v>271</v>
      </c>
      <c r="N6370" t="s">
        <v>2750</v>
      </c>
      <c r="O6370" t="s">
        <v>29660</v>
      </c>
      <c r="P6370" t="s">
        <v>29661</v>
      </c>
      <c r="Q6370" t="s">
        <v>29662</v>
      </c>
      <c r="R6370">
        <v>18</v>
      </c>
      <c r="S6370">
        <v>32</v>
      </c>
    </row>
    <row r="6371" spans="1:19" x14ac:dyDescent="0.35">
      <c r="A6371">
        <v>3725</v>
      </c>
      <c r="B6371" t="s">
        <v>29653</v>
      </c>
      <c r="C6371" t="s">
        <v>42</v>
      </c>
      <c r="D6371" t="s">
        <v>29654</v>
      </c>
      <c r="E6371" t="e" cm="1">
        <f t="array" ref="E6371">- ZINC SULFATE MONOHYDRATE</f>
        <v>#NAME?</v>
      </c>
      <c r="F6371" t="s">
        <v>29663</v>
      </c>
      <c r="G6371" t="s">
        <v>29656</v>
      </c>
      <c r="H6371" t="s">
        <v>29657</v>
      </c>
      <c r="I6371" t="s">
        <v>29658</v>
      </c>
      <c r="J6371" t="s">
        <v>334</v>
      </c>
      <c r="K6371" t="s">
        <v>2726</v>
      </c>
      <c r="L6371" t="s">
        <v>29659</v>
      </c>
      <c r="M6371" t="s">
        <v>271</v>
      </c>
      <c r="N6371" t="s">
        <v>2750</v>
      </c>
      <c r="O6371" t="s">
        <v>29660</v>
      </c>
      <c r="P6371" t="s">
        <v>29661</v>
      </c>
      <c r="Q6371" t="s">
        <v>29662</v>
      </c>
      <c r="R6371">
        <v>18</v>
      </c>
      <c r="S6371">
        <v>32</v>
      </c>
    </row>
    <row r="6372" spans="1:19" x14ac:dyDescent="0.35">
      <c r="A6372">
        <v>1308</v>
      </c>
      <c r="B6372" t="s">
        <v>29645</v>
      </c>
      <c r="C6372" t="s">
        <v>42</v>
      </c>
      <c r="D6372" t="s">
        <v>29646</v>
      </c>
      <c r="E6372" t="e" cm="1">
        <f t="array" ref="E6372">- AMBROXOL HYDROCHLORIDE</f>
        <v>#NAME?</v>
      </c>
      <c r="F6372" t="s">
        <v>29647</v>
      </c>
      <c r="H6372" t="s">
        <v>319</v>
      </c>
      <c r="I6372" t="s">
        <v>29648</v>
      </c>
      <c r="J6372" t="s">
        <v>29649</v>
      </c>
      <c r="L6372" t="s">
        <v>321</v>
      </c>
      <c r="M6372" t="s">
        <v>46</v>
      </c>
      <c r="N6372" t="s">
        <v>1800</v>
      </c>
      <c r="O6372" t="s">
        <v>29650</v>
      </c>
      <c r="P6372" t="s">
        <v>29651</v>
      </c>
      <c r="Q6372" t="s">
        <v>29652</v>
      </c>
      <c r="R6372">
        <v>18</v>
      </c>
      <c r="S6372">
        <v>32</v>
      </c>
    </row>
    <row r="6373" spans="1:19" x14ac:dyDescent="0.35">
      <c r="A6373">
        <v>3759</v>
      </c>
      <c r="B6373" t="s">
        <v>29612</v>
      </c>
      <c r="C6373" t="s">
        <v>20</v>
      </c>
      <c r="D6373" t="s">
        <v>29613</v>
      </c>
      <c r="E6373" t="s">
        <v>29614</v>
      </c>
      <c r="F6373" t="s">
        <v>29615</v>
      </c>
      <c r="G6373" t="s">
        <v>29616</v>
      </c>
      <c r="H6373" t="s">
        <v>29617</v>
      </c>
      <c r="I6373" t="s">
        <v>29618</v>
      </c>
      <c r="J6373" t="s">
        <v>29619</v>
      </c>
      <c r="K6373" t="s">
        <v>2726</v>
      </c>
      <c r="L6373" t="s">
        <v>29620</v>
      </c>
      <c r="M6373" t="s">
        <v>63</v>
      </c>
      <c r="N6373" t="s">
        <v>29621</v>
      </c>
      <c r="O6373" t="s">
        <v>29622</v>
      </c>
      <c r="P6373" t="s">
        <v>29623</v>
      </c>
      <c r="Q6373" t="s">
        <v>29624</v>
      </c>
      <c r="R6373">
        <v>18</v>
      </c>
      <c r="S6373">
        <v>32</v>
      </c>
    </row>
    <row r="6374" spans="1:19" x14ac:dyDescent="0.35">
      <c r="A6374">
        <v>3939</v>
      </c>
      <c r="B6374" t="s">
        <v>21736</v>
      </c>
      <c r="C6374" t="s">
        <v>42</v>
      </c>
      <c r="D6374" t="s">
        <v>29664</v>
      </c>
      <c r="E6374" t="e" cm="1">
        <f t="array" ref="E6374">- PARAFFIN.  LIQUID. GLYCEROL. PHENOLPHTHALEIN</f>
        <v>#NAME?</v>
      </c>
      <c r="F6374" t="s">
        <v>29665</v>
      </c>
      <c r="G6374" t="s">
        <v>4469</v>
      </c>
      <c r="H6374" t="s">
        <v>29666</v>
      </c>
      <c r="I6374" t="s">
        <v>29667</v>
      </c>
      <c r="J6374" t="s">
        <v>334</v>
      </c>
      <c r="K6374" t="s">
        <v>21742</v>
      </c>
      <c r="L6374" t="s">
        <v>21743</v>
      </c>
      <c r="M6374" t="s">
        <v>271</v>
      </c>
      <c r="N6374" t="s">
        <v>21744</v>
      </c>
      <c r="O6374" t="s">
        <v>29668</v>
      </c>
      <c r="P6374" t="s">
        <v>29669</v>
      </c>
      <c r="Q6374" t="s">
        <v>29670</v>
      </c>
      <c r="R6374">
        <v>18</v>
      </c>
      <c r="S6374">
        <v>32</v>
      </c>
    </row>
    <row r="6375" spans="1:19" x14ac:dyDescent="0.35">
      <c r="A6375">
        <v>3940</v>
      </c>
      <c r="B6375" t="s">
        <v>21736</v>
      </c>
      <c r="C6375" t="s">
        <v>42</v>
      </c>
      <c r="D6375" t="s">
        <v>29664</v>
      </c>
      <c r="E6375" t="e" cm="1">
        <f t="array" ref="E6375">- PARAFFIN.  LIQUID. GLYCEROL. PHENOLPHTHALEIN</f>
        <v>#NAME?</v>
      </c>
      <c r="F6375" t="s">
        <v>29665</v>
      </c>
      <c r="G6375" t="s">
        <v>4469</v>
      </c>
      <c r="H6375" t="s">
        <v>29666</v>
      </c>
      <c r="I6375" t="s">
        <v>29667</v>
      </c>
      <c r="J6375" t="s">
        <v>334</v>
      </c>
      <c r="K6375" t="s">
        <v>21742</v>
      </c>
      <c r="L6375" t="s">
        <v>21743</v>
      </c>
      <c r="M6375" t="s">
        <v>271</v>
      </c>
      <c r="N6375" t="s">
        <v>21744</v>
      </c>
      <c r="O6375" t="s">
        <v>29668</v>
      </c>
      <c r="P6375" t="s">
        <v>29669</v>
      </c>
      <c r="Q6375" t="s">
        <v>29670</v>
      </c>
      <c r="R6375">
        <v>18</v>
      </c>
      <c r="S6375">
        <v>32</v>
      </c>
    </row>
    <row r="6376" spans="1:19" x14ac:dyDescent="0.35">
      <c r="A6376">
        <v>3941</v>
      </c>
      <c r="B6376" t="s">
        <v>21736</v>
      </c>
      <c r="C6376" t="s">
        <v>42</v>
      </c>
      <c r="D6376" t="s">
        <v>29664</v>
      </c>
      <c r="E6376" t="e" cm="1">
        <f t="array" ref="E6376">- PARAFFIN.  LIQUID. GLYCEROL. PHENOLPHTHALEIN</f>
        <v>#NAME?</v>
      </c>
      <c r="F6376" t="s">
        <v>29665</v>
      </c>
      <c r="G6376" t="s">
        <v>4469</v>
      </c>
      <c r="H6376" t="s">
        <v>29666</v>
      </c>
      <c r="I6376" t="s">
        <v>29667</v>
      </c>
      <c r="J6376" t="s">
        <v>334</v>
      </c>
      <c r="K6376" t="s">
        <v>21742</v>
      </c>
      <c r="L6376" t="s">
        <v>21743</v>
      </c>
      <c r="M6376" t="s">
        <v>271</v>
      </c>
      <c r="N6376" t="s">
        <v>21744</v>
      </c>
      <c r="O6376" t="s">
        <v>29668</v>
      </c>
      <c r="P6376" t="s">
        <v>29669</v>
      </c>
      <c r="Q6376" t="s">
        <v>29670</v>
      </c>
      <c r="R6376">
        <v>18</v>
      </c>
      <c r="S6376">
        <v>32</v>
      </c>
    </row>
    <row r="6377" spans="1:19" x14ac:dyDescent="0.35">
      <c r="A6377">
        <v>6019</v>
      </c>
      <c r="B6377" t="s">
        <v>29671</v>
      </c>
      <c r="C6377" t="s">
        <v>42</v>
      </c>
      <c r="D6377" t="s">
        <v>29672</v>
      </c>
      <c r="E6377" t="e" cm="1">
        <f t="array" ref="E6377">- ERYTHROMYCIN ETHYL SUCCINATE</f>
        <v>#NAME?</v>
      </c>
      <c r="F6377" t="s">
        <v>29673</v>
      </c>
      <c r="G6377" t="s">
        <v>5568</v>
      </c>
      <c r="H6377" t="s">
        <v>29674</v>
      </c>
      <c r="I6377" t="s">
        <v>29675</v>
      </c>
      <c r="J6377" t="s">
        <v>29676</v>
      </c>
      <c r="K6377" t="s">
        <v>2726</v>
      </c>
      <c r="L6377" t="s">
        <v>28993</v>
      </c>
      <c r="M6377" t="s">
        <v>46</v>
      </c>
      <c r="N6377" t="s">
        <v>28853</v>
      </c>
      <c r="O6377" t="s">
        <v>29677</v>
      </c>
      <c r="P6377" t="s">
        <v>29678</v>
      </c>
      <c r="Q6377" t="s">
        <v>29679</v>
      </c>
      <c r="R6377">
        <v>18</v>
      </c>
      <c r="S6377">
        <v>32</v>
      </c>
    </row>
    <row r="6378" spans="1:19" x14ac:dyDescent="0.35">
      <c r="A6378">
        <v>4175</v>
      </c>
      <c r="B6378" t="s">
        <v>29680</v>
      </c>
      <c r="C6378" t="s">
        <v>42</v>
      </c>
      <c r="D6378" t="s">
        <v>29681</v>
      </c>
      <c r="E6378" t="e" cm="1">
        <f t="array" ref="E6378">- BETAMETHASONE</f>
        <v>#NAME?</v>
      </c>
      <c r="F6378" t="s">
        <v>29682</v>
      </c>
      <c r="G6378" t="s">
        <v>2241</v>
      </c>
      <c r="H6378" t="s">
        <v>29683</v>
      </c>
      <c r="I6378" t="s">
        <v>29684</v>
      </c>
      <c r="J6378" t="s">
        <v>381</v>
      </c>
      <c r="K6378" t="s">
        <v>29685</v>
      </c>
      <c r="L6378" t="s">
        <v>29686</v>
      </c>
      <c r="M6378" t="s">
        <v>46</v>
      </c>
      <c r="N6378" t="s">
        <v>1118</v>
      </c>
      <c r="O6378" t="s">
        <v>29687</v>
      </c>
      <c r="P6378" t="s">
        <v>29688</v>
      </c>
      <c r="Q6378" t="s">
        <v>29689</v>
      </c>
      <c r="R6378">
        <v>18</v>
      </c>
      <c r="S6378">
        <v>32</v>
      </c>
    </row>
    <row r="6379" spans="1:19" x14ac:dyDescent="0.35">
      <c r="A6379">
        <v>1167</v>
      </c>
      <c r="B6379" t="s">
        <v>29690</v>
      </c>
      <c r="C6379" t="s">
        <v>42</v>
      </c>
      <c r="D6379" t="s">
        <v>29691</v>
      </c>
      <c r="E6379" t="e" cm="1">
        <f t="array" ref="E6379">- AMBROXOL HYDROCHLORIDE</f>
        <v>#NAME?</v>
      </c>
      <c r="F6379" t="s">
        <v>2414</v>
      </c>
      <c r="G6379" t="s">
        <v>2241</v>
      </c>
      <c r="H6379" t="s">
        <v>29267</v>
      </c>
      <c r="I6379" t="s">
        <v>29055</v>
      </c>
      <c r="J6379" t="s">
        <v>908</v>
      </c>
      <c r="K6379" t="s">
        <v>3952</v>
      </c>
      <c r="L6379" t="s">
        <v>29692</v>
      </c>
      <c r="M6379" t="s">
        <v>291</v>
      </c>
      <c r="N6379" t="s">
        <v>1800</v>
      </c>
      <c r="O6379" t="s">
        <v>29056</v>
      </c>
      <c r="P6379" t="s">
        <v>26373</v>
      </c>
      <c r="Q6379" t="s">
        <v>29693</v>
      </c>
      <c r="R6379">
        <v>18</v>
      </c>
      <c r="S6379">
        <v>32</v>
      </c>
    </row>
    <row r="6380" spans="1:19" x14ac:dyDescent="0.35">
      <c r="A6380">
        <v>1168</v>
      </c>
      <c r="B6380" t="s">
        <v>29690</v>
      </c>
      <c r="C6380" t="s">
        <v>42</v>
      </c>
      <c r="D6380" t="s">
        <v>29691</v>
      </c>
      <c r="E6380" t="e" cm="1">
        <f t="array" ref="E6380">- AMBROXOL HYDROCHLORIDE</f>
        <v>#NAME?</v>
      </c>
      <c r="F6380" t="s">
        <v>2414</v>
      </c>
      <c r="G6380" t="s">
        <v>2241</v>
      </c>
      <c r="H6380" t="s">
        <v>29267</v>
      </c>
      <c r="I6380" t="s">
        <v>29055</v>
      </c>
      <c r="J6380" t="s">
        <v>908</v>
      </c>
      <c r="K6380" t="s">
        <v>3952</v>
      </c>
      <c r="L6380" t="s">
        <v>29692</v>
      </c>
      <c r="M6380" t="s">
        <v>291</v>
      </c>
      <c r="N6380" t="s">
        <v>1800</v>
      </c>
      <c r="O6380" t="s">
        <v>29056</v>
      </c>
      <c r="P6380" t="s">
        <v>26373</v>
      </c>
      <c r="Q6380" t="s">
        <v>29693</v>
      </c>
      <c r="R6380">
        <v>18</v>
      </c>
      <c r="S6380">
        <v>32</v>
      </c>
    </row>
    <row r="6381" spans="1:19" x14ac:dyDescent="0.35">
      <c r="A6381">
        <v>6021</v>
      </c>
      <c r="B6381" t="s">
        <v>29694</v>
      </c>
      <c r="C6381" t="s">
        <v>42</v>
      </c>
      <c r="D6381" t="s">
        <v>29695</v>
      </c>
      <c r="E6381" t="e" cm="1">
        <f t="array" ref="E6381">- ERYTHROMYCIN</f>
        <v>#NAME?</v>
      </c>
      <c r="F6381" t="s">
        <v>29696</v>
      </c>
      <c r="G6381" t="s">
        <v>8205</v>
      </c>
      <c r="H6381" t="s">
        <v>29697</v>
      </c>
      <c r="I6381" t="s">
        <v>29698</v>
      </c>
      <c r="J6381" t="s">
        <v>29699</v>
      </c>
      <c r="K6381" t="s">
        <v>29700</v>
      </c>
      <c r="L6381" t="s">
        <v>29701</v>
      </c>
      <c r="M6381" t="s">
        <v>271</v>
      </c>
      <c r="N6381" t="s">
        <v>15222</v>
      </c>
      <c r="O6381" t="s">
        <v>29702</v>
      </c>
      <c r="P6381" t="s">
        <v>29703</v>
      </c>
      <c r="Q6381" t="s">
        <v>29704</v>
      </c>
      <c r="R6381">
        <v>18</v>
      </c>
      <c r="S6381">
        <v>32</v>
      </c>
    </row>
    <row r="6382" spans="1:19" x14ac:dyDescent="0.35">
      <c r="A6382">
        <v>4120</v>
      </c>
      <c r="B6382" t="s">
        <v>29705</v>
      </c>
      <c r="C6382" t="s">
        <v>42</v>
      </c>
      <c r="D6382" t="s">
        <v>29706</v>
      </c>
      <c r="E6382" t="e" cm="1">
        <f t="array" ref="E6382">- CETIRIZINE DIHYDROCHLORIDE</f>
        <v>#NAME?</v>
      </c>
      <c r="F6382" t="s">
        <v>29707</v>
      </c>
      <c r="G6382" t="s">
        <v>29708</v>
      </c>
      <c r="H6382" t="s">
        <v>29709</v>
      </c>
      <c r="I6382" t="s">
        <v>29710</v>
      </c>
      <c r="J6382" t="s">
        <v>334</v>
      </c>
      <c r="K6382" t="s">
        <v>29711</v>
      </c>
      <c r="L6382" t="s">
        <v>29712</v>
      </c>
      <c r="M6382" t="s">
        <v>271</v>
      </c>
      <c r="N6382" t="s">
        <v>1667</v>
      </c>
      <c r="O6382" t="s">
        <v>29713</v>
      </c>
      <c r="P6382" t="s">
        <v>29714</v>
      </c>
      <c r="Q6382" t="s">
        <v>29715</v>
      </c>
      <c r="R6382">
        <v>18</v>
      </c>
      <c r="S6382">
        <v>32</v>
      </c>
    </row>
    <row r="6383" spans="1:19" x14ac:dyDescent="0.35">
      <c r="A6383">
        <v>1176</v>
      </c>
      <c r="B6383" t="s">
        <v>29716</v>
      </c>
      <c r="C6383" t="s">
        <v>42</v>
      </c>
      <c r="D6383" t="s">
        <v>29717</v>
      </c>
      <c r="E6383" t="e" cm="1">
        <f t="array" ref="E6383">- CHLORPHENAMINE MALEATE</f>
        <v>#NAME?</v>
      </c>
      <c r="F6383" t="s">
        <v>29718</v>
      </c>
      <c r="G6383" t="s">
        <v>60</v>
      </c>
      <c r="H6383" t="s">
        <v>29719</v>
      </c>
      <c r="I6383" t="s">
        <v>29720</v>
      </c>
      <c r="J6383" t="s">
        <v>630</v>
      </c>
      <c r="K6383" t="s">
        <v>29721</v>
      </c>
      <c r="L6383" t="s">
        <v>29722</v>
      </c>
      <c r="M6383" t="s">
        <v>271</v>
      </c>
      <c r="N6383" t="s">
        <v>1354</v>
      </c>
      <c r="O6383" t="s">
        <v>29723</v>
      </c>
      <c r="P6383" t="s">
        <v>29724</v>
      </c>
      <c r="Q6383" t="s">
        <v>29725</v>
      </c>
      <c r="R6383">
        <v>18</v>
      </c>
      <c r="S6383">
        <v>32</v>
      </c>
    </row>
    <row r="6384" spans="1:19" x14ac:dyDescent="0.35">
      <c r="A6384">
        <v>1177</v>
      </c>
      <c r="B6384" t="s">
        <v>29716</v>
      </c>
      <c r="C6384" t="s">
        <v>42</v>
      </c>
      <c r="D6384" t="s">
        <v>29717</v>
      </c>
      <c r="E6384" t="e" cm="1">
        <f t="array" ref="E6384">- CHLORPHENAMINE MALEATE</f>
        <v>#NAME?</v>
      </c>
      <c r="F6384" t="s">
        <v>29718</v>
      </c>
      <c r="G6384" t="s">
        <v>60</v>
      </c>
      <c r="H6384" t="s">
        <v>29719</v>
      </c>
      <c r="I6384" t="s">
        <v>29720</v>
      </c>
      <c r="J6384" t="s">
        <v>630</v>
      </c>
      <c r="K6384" t="s">
        <v>29721</v>
      </c>
      <c r="L6384" t="s">
        <v>29722</v>
      </c>
      <c r="M6384" t="s">
        <v>271</v>
      </c>
      <c r="N6384" t="s">
        <v>1354</v>
      </c>
      <c r="O6384" t="s">
        <v>29723</v>
      </c>
      <c r="P6384" t="s">
        <v>29724</v>
      </c>
      <c r="Q6384" t="s">
        <v>29725</v>
      </c>
      <c r="R6384">
        <v>18</v>
      </c>
      <c r="S6384">
        <v>32</v>
      </c>
    </row>
    <row r="6385" spans="1:19" x14ac:dyDescent="0.35">
      <c r="A6385">
        <v>1178</v>
      </c>
      <c r="B6385" t="s">
        <v>29716</v>
      </c>
      <c r="C6385" t="s">
        <v>42</v>
      </c>
      <c r="D6385" t="s">
        <v>29717</v>
      </c>
      <c r="E6385" t="e" cm="1">
        <f t="array" ref="E6385">- CHLORPHENAMINE MALEATE</f>
        <v>#NAME?</v>
      </c>
      <c r="F6385" t="s">
        <v>29718</v>
      </c>
      <c r="G6385" t="s">
        <v>60</v>
      </c>
      <c r="H6385" t="s">
        <v>29719</v>
      </c>
      <c r="I6385" t="s">
        <v>29720</v>
      </c>
      <c r="J6385" t="s">
        <v>630</v>
      </c>
      <c r="K6385" t="s">
        <v>29721</v>
      </c>
      <c r="L6385" t="s">
        <v>29722</v>
      </c>
      <c r="M6385" t="s">
        <v>271</v>
      </c>
      <c r="N6385" t="s">
        <v>1354</v>
      </c>
      <c r="O6385" t="s">
        <v>29723</v>
      </c>
      <c r="P6385" t="s">
        <v>29724</v>
      </c>
      <c r="Q6385" t="s">
        <v>29725</v>
      </c>
      <c r="R6385">
        <v>18</v>
      </c>
      <c r="S6385">
        <v>32</v>
      </c>
    </row>
    <row r="6386" spans="1:19" x14ac:dyDescent="0.35">
      <c r="A6386">
        <v>1181</v>
      </c>
      <c r="B6386" t="s">
        <v>29716</v>
      </c>
      <c r="C6386" t="s">
        <v>42</v>
      </c>
      <c r="D6386" t="s">
        <v>29726</v>
      </c>
      <c r="E6386" t="e" cm="1">
        <f t="array" ref="E6386">- CHLORPHENAMINE MALEATE</f>
        <v>#NAME?</v>
      </c>
      <c r="F6386" t="s">
        <v>29727</v>
      </c>
      <c r="G6386" t="s">
        <v>2241</v>
      </c>
      <c r="H6386" t="s">
        <v>29728</v>
      </c>
      <c r="I6386" t="s">
        <v>29720</v>
      </c>
      <c r="J6386" t="s">
        <v>829</v>
      </c>
      <c r="K6386" t="s">
        <v>29729</v>
      </c>
      <c r="L6386" t="s">
        <v>29730</v>
      </c>
      <c r="M6386" t="s">
        <v>271</v>
      </c>
      <c r="N6386" t="s">
        <v>1354</v>
      </c>
      <c r="O6386" t="s">
        <v>29723</v>
      </c>
      <c r="P6386" t="s">
        <v>29724</v>
      </c>
      <c r="Q6386" t="s">
        <v>29725</v>
      </c>
      <c r="R6386">
        <v>18</v>
      </c>
      <c r="S6386">
        <v>32</v>
      </c>
    </row>
    <row r="6387" spans="1:19" x14ac:dyDescent="0.35">
      <c r="A6387">
        <v>1182</v>
      </c>
      <c r="B6387" t="s">
        <v>29716</v>
      </c>
      <c r="C6387" t="s">
        <v>42</v>
      </c>
      <c r="D6387" t="s">
        <v>29726</v>
      </c>
      <c r="E6387" t="e" cm="1">
        <f t="array" ref="E6387">- CHLORPHENAMINE MALEATE</f>
        <v>#NAME?</v>
      </c>
      <c r="F6387" t="s">
        <v>29727</v>
      </c>
      <c r="G6387" t="s">
        <v>2241</v>
      </c>
      <c r="H6387" t="s">
        <v>29728</v>
      </c>
      <c r="I6387" t="s">
        <v>29720</v>
      </c>
      <c r="J6387" t="s">
        <v>829</v>
      </c>
      <c r="K6387" t="s">
        <v>29729</v>
      </c>
      <c r="L6387" t="s">
        <v>29730</v>
      </c>
      <c r="M6387" t="s">
        <v>271</v>
      </c>
      <c r="N6387" t="s">
        <v>1354</v>
      </c>
      <c r="O6387" t="s">
        <v>29723</v>
      </c>
      <c r="P6387" t="s">
        <v>29724</v>
      </c>
      <c r="Q6387" t="s">
        <v>29725</v>
      </c>
      <c r="R6387">
        <v>18</v>
      </c>
      <c r="S6387">
        <v>32</v>
      </c>
    </row>
    <row r="6388" spans="1:19" x14ac:dyDescent="0.35">
      <c r="A6388">
        <v>1183</v>
      </c>
      <c r="B6388" t="s">
        <v>29716</v>
      </c>
      <c r="C6388" t="s">
        <v>42</v>
      </c>
      <c r="D6388" t="s">
        <v>29726</v>
      </c>
      <c r="E6388" t="e" cm="1">
        <f t="array" ref="E6388">- CHLORPHENAMINE MALEATE</f>
        <v>#NAME?</v>
      </c>
      <c r="F6388" t="s">
        <v>29727</v>
      </c>
      <c r="G6388" t="s">
        <v>2241</v>
      </c>
      <c r="H6388" t="s">
        <v>29728</v>
      </c>
      <c r="I6388" t="s">
        <v>29720</v>
      </c>
      <c r="J6388" t="s">
        <v>829</v>
      </c>
      <c r="K6388" t="s">
        <v>29729</v>
      </c>
      <c r="L6388" t="s">
        <v>29730</v>
      </c>
      <c r="M6388" t="s">
        <v>271</v>
      </c>
      <c r="N6388" t="s">
        <v>1354</v>
      </c>
      <c r="O6388" t="s">
        <v>29723</v>
      </c>
      <c r="P6388" t="s">
        <v>29724</v>
      </c>
      <c r="Q6388" t="s">
        <v>29725</v>
      </c>
      <c r="R6388">
        <v>18</v>
      </c>
      <c r="S6388">
        <v>32</v>
      </c>
    </row>
    <row r="6389" spans="1:19" x14ac:dyDescent="0.35">
      <c r="A6389">
        <v>1187</v>
      </c>
      <c r="B6389" t="s">
        <v>25015</v>
      </c>
      <c r="C6389" t="s">
        <v>42</v>
      </c>
      <c r="D6389" t="s">
        <v>25016</v>
      </c>
      <c r="E6389" t="e" cm="1">
        <f t="array" ref="E6389">- PARACETAMOL. PHENYLEPHRINE HYDROCHLORIDE. CHLORPHENAMINE MALEATE</f>
        <v>#NAME?</v>
      </c>
      <c r="F6389" t="s">
        <v>25017</v>
      </c>
      <c r="G6389" t="s">
        <v>2241</v>
      </c>
      <c r="H6389" t="s">
        <v>25018</v>
      </c>
      <c r="I6389" t="s">
        <v>25019</v>
      </c>
      <c r="J6389" t="s">
        <v>8953</v>
      </c>
      <c r="K6389" t="s">
        <v>25020</v>
      </c>
      <c r="L6389" t="s">
        <v>25021</v>
      </c>
      <c r="M6389" t="s">
        <v>291</v>
      </c>
      <c r="N6389" t="s">
        <v>29731</v>
      </c>
      <c r="O6389" t="s">
        <v>25022</v>
      </c>
      <c r="P6389" t="s">
        <v>25023</v>
      </c>
      <c r="Q6389" t="s">
        <v>29732</v>
      </c>
      <c r="R6389">
        <v>18</v>
      </c>
      <c r="S6389">
        <v>32</v>
      </c>
    </row>
    <row r="6390" spans="1:19" x14ac:dyDescent="0.35">
      <c r="A6390">
        <v>1190</v>
      </c>
      <c r="B6390" t="s">
        <v>29733</v>
      </c>
      <c r="C6390" t="s">
        <v>42</v>
      </c>
      <c r="D6390" t="s">
        <v>29734</v>
      </c>
      <c r="E6390" t="e" cm="1">
        <f t="array" ref="E6390">- PSEUDOEPHEDRINE SULFATE. DESLORATADINE</f>
        <v>#NAME?</v>
      </c>
      <c r="G6390" t="s">
        <v>2241</v>
      </c>
      <c r="H6390" t="s">
        <v>29735</v>
      </c>
      <c r="I6390" t="s">
        <v>29736</v>
      </c>
      <c r="J6390" t="s">
        <v>29737</v>
      </c>
      <c r="K6390" t="s">
        <v>29738</v>
      </c>
      <c r="L6390" t="s">
        <v>29739</v>
      </c>
      <c r="M6390" t="s">
        <v>46</v>
      </c>
      <c r="N6390" t="s">
        <v>29740</v>
      </c>
      <c r="O6390" t="s">
        <v>29741</v>
      </c>
      <c r="P6390" t="s">
        <v>29742</v>
      </c>
      <c r="Q6390" t="s">
        <v>29743</v>
      </c>
      <c r="R6390">
        <v>18</v>
      </c>
      <c r="S6390">
        <v>32</v>
      </c>
    </row>
    <row r="6391" spans="1:19" x14ac:dyDescent="0.35">
      <c r="A6391">
        <v>1191</v>
      </c>
      <c r="B6391" t="s">
        <v>29733</v>
      </c>
      <c r="C6391" t="s">
        <v>42</v>
      </c>
      <c r="D6391" t="s">
        <v>29734</v>
      </c>
      <c r="E6391" t="e" cm="1">
        <f t="array" ref="E6391">- PSEUDOEPHEDRINE SULFATE. DESLORATADINE</f>
        <v>#NAME?</v>
      </c>
      <c r="G6391" t="s">
        <v>2241</v>
      </c>
      <c r="H6391" t="s">
        <v>29735</v>
      </c>
      <c r="I6391" t="s">
        <v>29736</v>
      </c>
      <c r="J6391" t="s">
        <v>29737</v>
      </c>
      <c r="K6391" t="s">
        <v>29738</v>
      </c>
      <c r="L6391" t="s">
        <v>29739</v>
      </c>
      <c r="M6391" t="s">
        <v>46</v>
      </c>
      <c r="N6391" t="s">
        <v>29740</v>
      </c>
      <c r="O6391" t="s">
        <v>29741</v>
      </c>
      <c r="P6391" t="s">
        <v>29742</v>
      </c>
      <c r="Q6391" t="s">
        <v>29743</v>
      </c>
      <c r="R6391">
        <v>18</v>
      </c>
      <c r="S6391">
        <v>32</v>
      </c>
    </row>
    <row r="6392" spans="1:19" x14ac:dyDescent="0.35">
      <c r="A6392">
        <v>1192</v>
      </c>
      <c r="B6392" t="s">
        <v>29733</v>
      </c>
      <c r="C6392" t="s">
        <v>42</v>
      </c>
      <c r="D6392" t="s">
        <v>29734</v>
      </c>
      <c r="E6392" t="e" cm="1">
        <f t="array" ref="E6392">- PSEUDOEPHEDRINE SULFATE. DESLORATADINE</f>
        <v>#NAME?</v>
      </c>
      <c r="G6392" t="s">
        <v>2241</v>
      </c>
      <c r="H6392" t="s">
        <v>29735</v>
      </c>
      <c r="I6392" t="s">
        <v>29736</v>
      </c>
      <c r="J6392" t="s">
        <v>29737</v>
      </c>
      <c r="K6392" t="s">
        <v>29738</v>
      </c>
      <c r="L6392" t="s">
        <v>29739</v>
      </c>
      <c r="M6392" t="s">
        <v>46</v>
      </c>
      <c r="N6392" t="s">
        <v>29740</v>
      </c>
      <c r="O6392" t="s">
        <v>29741</v>
      </c>
      <c r="P6392" t="s">
        <v>29742</v>
      </c>
      <c r="Q6392" t="s">
        <v>29743</v>
      </c>
      <c r="R6392">
        <v>18</v>
      </c>
      <c r="S6392">
        <v>32</v>
      </c>
    </row>
    <row r="6393" spans="1:19" x14ac:dyDescent="0.35">
      <c r="A6393">
        <v>3951</v>
      </c>
      <c r="B6393" t="s">
        <v>29744</v>
      </c>
      <c r="C6393" t="s">
        <v>42</v>
      </c>
      <c r="D6393" t="s">
        <v>29745</v>
      </c>
      <c r="E6393" t="e" cm="1">
        <f t="array" ref="E6393">- LACTULOSE</f>
        <v>#NAME?</v>
      </c>
      <c r="F6393" t="s">
        <v>29746</v>
      </c>
      <c r="G6393" t="s">
        <v>7523</v>
      </c>
      <c r="H6393" t="s">
        <v>29747</v>
      </c>
      <c r="I6393" t="s">
        <v>29748</v>
      </c>
      <c r="J6393" t="s">
        <v>846</v>
      </c>
      <c r="K6393" t="s">
        <v>29749</v>
      </c>
      <c r="L6393" t="s">
        <v>29750</v>
      </c>
      <c r="M6393" t="s">
        <v>271</v>
      </c>
      <c r="N6393" t="s">
        <v>1156</v>
      </c>
      <c r="O6393" t="s">
        <v>29751</v>
      </c>
      <c r="P6393" t="s">
        <v>29752</v>
      </c>
      <c r="Q6393" t="s">
        <v>29753</v>
      </c>
      <c r="R6393">
        <v>18</v>
      </c>
      <c r="S6393">
        <v>32</v>
      </c>
    </row>
    <row r="6394" spans="1:19" x14ac:dyDescent="0.35">
      <c r="A6394">
        <v>1309</v>
      </c>
      <c r="B6394" t="s">
        <v>29754</v>
      </c>
      <c r="C6394" t="s">
        <v>42</v>
      </c>
      <c r="D6394" t="s">
        <v>29755</v>
      </c>
      <c r="E6394" t="e" cm="1">
        <f t="array" ref="E6394">- AMBROXOL HYDROCHLORIDE</f>
        <v>#NAME?</v>
      </c>
      <c r="F6394" t="s">
        <v>595</v>
      </c>
      <c r="H6394" t="s">
        <v>319</v>
      </c>
      <c r="I6394" t="s">
        <v>29648</v>
      </c>
      <c r="J6394" t="s">
        <v>334</v>
      </c>
      <c r="L6394" t="s">
        <v>321</v>
      </c>
      <c r="M6394" t="s">
        <v>271</v>
      </c>
      <c r="N6394" t="s">
        <v>1800</v>
      </c>
      <c r="O6394" t="s">
        <v>29650</v>
      </c>
      <c r="P6394" t="s">
        <v>29651</v>
      </c>
      <c r="Q6394" t="s">
        <v>29756</v>
      </c>
      <c r="R6394">
        <v>18</v>
      </c>
      <c r="S6394">
        <v>32</v>
      </c>
    </row>
    <row r="6395" spans="1:19" x14ac:dyDescent="0.35">
      <c r="A6395">
        <v>4181</v>
      </c>
      <c r="B6395" t="s">
        <v>29757</v>
      </c>
      <c r="C6395" t="s">
        <v>42</v>
      </c>
      <c r="D6395" t="s">
        <v>29758</v>
      </c>
      <c r="E6395" t="e" cm="1">
        <f t="array" ref="E6395">- CETIRIZINE HYDROCHLORIDE</f>
        <v>#NAME?</v>
      </c>
      <c r="F6395" t="s">
        <v>29759</v>
      </c>
      <c r="G6395" t="s">
        <v>6310</v>
      </c>
      <c r="H6395" t="s">
        <v>29760</v>
      </c>
      <c r="I6395" t="s">
        <v>29761</v>
      </c>
      <c r="J6395" t="s">
        <v>29762</v>
      </c>
      <c r="K6395" t="s">
        <v>3762</v>
      </c>
      <c r="L6395" t="s">
        <v>29763</v>
      </c>
      <c r="M6395" t="s">
        <v>46</v>
      </c>
      <c r="N6395" t="s">
        <v>1390</v>
      </c>
      <c r="O6395" t="s">
        <v>29764</v>
      </c>
      <c r="P6395" t="s">
        <v>29765</v>
      </c>
      <c r="Q6395" t="s">
        <v>29766</v>
      </c>
      <c r="R6395">
        <v>18</v>
      </c>
      <c r="S6395">
        <v>32</v>
      </c>
    </row>
    <row r="6396" spans="1:19" x14ac:dyDescent="0.35">
      <c r="A6396">
        <v>1310</v>
      </c>
      <c r="B6396" t="s">
        <v>29754</v>
      </c>
      <c r="C6396" t="s">
        <v>42</v>
      </c>
      <c r="D6396" t="s">
        <v>29755</v>
      </c>
      <c r="E6396" t="e" cm="1">
        <f t="array" ref="E6396">- AMBROXOL HYDROCHLORIDE</f>
        <v>#NAME?</v>
      </c>
      <c r="F6396" t="s">
        <v>595</v>
      </c>
      <c r="H6396" t="s">
        <v>319</v>
      </c>
      <c r="I6396" t="s">
        <v>29648</v>
      </c>
      <c r="J6396" t="s">
        <v>334</v>
      </c>
      <c r="L6396" t="s">
        <v>321</v>
      </c>
      <c r="M6396" t="s">
        <v>271</v>
      </c>
      <c r="N6396" t="s">
        <v>1800</v>
      </c>
      <c r="O6396" t="s">
        <v>29650</v>
      </c>
      <c r="P6396" t="s">
        <v>29651</v>
      </c>
      <c r="Q6396" t="s">
        <v>29756</v>
      </c>
      <c r="R6396">
        <v>18</v>
      </c>
      <c r="S6396">
        <v>32</v>
      </c>
    </row>
    <row r="6397" spans="1:19" x14ac:dyDescent="0.35">
      <c r="A6397">
        <v>3702</v>
      </c>
      <c r="B6397" t="s">
        <v>15857</v>
      </c>
      <c r="C6397" t="s">
        <v>42</v>
      </c>
      <c r="D6397" t="s">
        <v>15858</v>
      </c>
      <c r="E6397" t="e" cm="1">
        <f t="array" ref="E6397">- POTASSIUM CHLORIDE. SODIUM CHLORIDE. SODIUM CITRATE DIHYDRATE. DEXTROSE ANHYDRATE</f>
        <v>#NAME?</v>
      </c>
      <c r="F6397" t="s">
        <v>15859</v>
      </c>
      <c r="G6397" t="s">
        <v>15860</v>
      </c>
      <c r="H6397" t="s">
        <v>15861</v>
      </c>
      <c r="I6397" t="s">
        <v>15862</v>
      </c>
      <c r="J6397" t="s">
        <v>15863</v>
      </c>
      <c r="K6397" t="s">
        <v>15864</v>
      </c>
      <c r="L6397" t="s">
        <v>15865</v>
      </c>
      <c r="M6397" t="s">
        <v>1280</v>
      </c>
      <c r="N6397" t="s">
        <v>29767</v>
      </c>
      <c r="O6397" t="s">
        <v>15867</v>
      </c>
      <c r="P6397" t="s">
        <v>15868</v>
      </c>
      <c r="Q6397" t="s">
        <v>29768</v>
      </c>
      <c r="R6397">
        <v>18</v>
      </c>
      <c r="S6397">
        <v>32</v>
      </c>
    </row>
    <row r="6398" spans="1:19" x14ac:dyDescent="0.35">
      <c r="A6398">
        <v>3393</v>
      </c>
      <c r="B6398" t="s">
        <v>27205</v>
      </c>
      <c r="C6398" t="s">
        <v>42</v>
      </c>
      <c r="D6398" t="s">
        <v>27206</v>
      </c>
      <c r="E6398" t="s">
        <v>2722</v>
      </c>
      <c r="F6398" t="s">
        <v>27207</v>
      </c>
      <c r="G6398" t="s">
        <v>10301</v>
      </c>
      <c r="H6398" t="s">
        <v>27208</v>
      </c>
      <c r="I6398" t="s">
        <v>27209</v>
      </c>
      <c r="J6398" t="s">
        <v>27210</v>
      </c>
      <c r="K6398" t="s">
        <v>2726</v>
      </c>
      <c r="L6398" t="s">
        <v>27211</v>
      </c>
      <c r="M6398" t="s">
        <v>38</v>
      </c>
      <c r="N6398" t="s">
        <v>2728</v>
      </c>
      <c r="O6398" t="s">
        <v>27212</v>
      </c>
      <c r="P6398" t="s">
        <v>27213</v>
      </c>
      <c r="Q6398" t="s">
        <v>29769</v>
      </c>
      <c r="R6398">
        <v>18</v>
      </c>
      <c r="S6398">
        <v>32</v>
      </c>
    </row>
    <row r="6399" spans="1:19" x14ac:dyDescent="0.35">
      <c r="A6399">
        <v>3390</v>
      </c>
      <c r="B6399" t="s">
        <v>29770</v>
      </c>
      <c r="C6399" t="s">
        <v>42</v>
      </c>
      <c r="D6399" t="s">
        <v>29771</v>
      </c>
      <c r="E6399" t="e" cm="1">
        <f t="array" ref="E6399">- RANITIDINE HYDROCHLORIDE</f>
        <v>#NAME?</v>
      </c>
      <c r="F6399" t="s">
        <v>29772</v>
      </c>
      <c r="G6399" t="s">
        <v>20347</v>
      </c>
      <c r="H6399" t="s">
        <v>29773</v>
      </c>
      <c r="I6399" t="s">
        <v>29774</v>
      </c>
      <c r="J6399" t="s">
        <v>29775</v>
      </c>
      <c r="K6399" t="s">
        <v>29776</v>
      </c>
      <c r="L6399" t="s">
        <v>29777</v>
      </c>
      <c r="M6399" t="s">
        <v>46</v>
      </c>
      <c r="N6399" t="s">
        <v>1985</v>
      </c>
      <c r="O6399" t="s">
        <v>29778</v>
      </c>
      <c r="P6399" t="s">
        <v>29779</v>
      </c>
      <c r="Q6399" t="s">
        <v>29780</v>
      </c>
      <c r="R6399">
        <v>18</v>
      </c>
      <c r="S6399">
        <v>32</v>
      </c>
    </row>
    <row r="6400" spans="1:19" x14ac:dyDescent="0.35">
      <c r="A6400">
        <v>3372</v>
      </c>
      <c r="B6400" t="s">
        <v>29781</v>
      </c>
      <c r="C6400" t="s">
        <v>42</v>
      </c>
      <c r="D6400" t="s">
        <v>29782</v>
      </c>
      <c r="E6400" t="e" cm="1">
        <f t="array" ref="E6400">- CALCIUM CARBONATE</f>
        <v>#NAME?</v>
      </c>
      <c r="F6400" s="1">
        <v>8400</v>
      </c>
      <c r="G6400" t="s">
        <v>29783</v>
      </c>
      <c r="H6400" t="s">
        <v>29784</v>
      </c>
      <c r="I6400" t="s">
        <v>29785</v>
      </c>
      <c r="J6400" t="s">
        <v>29786</v>
      </c>
      <c r="K6400" t="s">
        <v>3473</v>
      </c>
      <c r="L6400" t="s">
        <v>29787</v>
      </c>
      <c r="M6400" t="s">
        <v>46</v>
      </c>
      <c r="N6400" t="s">
        <v>14211</v>
      </c>
      <c r="O6400" t="s">
        <v>29788</v>
      </c>
      <c r="P6400" t="s">
        <v>29789</v>
      </c>
      <c r="Q6400" t="s">
        <v>29790</v>
      </c>
      <c r="R6400">
        <v>18</v>
      </c>
      <c r="S6400">
        <v>32</v>
      </c>
    </row>
    <row r="6401" spans="1:19" x14ac:dyDescent="0.35">
      <c r="A6401">
        <v>3346</v>
      </c>
      <c r="B6401" t="s">
        <v>29791</v>
      </c>
      <c r="C6401" t="s">
        <v>42</v>
      </c>
      <c r="D6401" t="s">
        <v>29792</v>
      </c>
      <c r="E6401" t="e" cm="1">
        <f t="array" ref="E6401">- ALUMINIUM HYDROXIDE</f>
        <v>#NAME?</v>
      </c>
      <c r="F6401" t="s">
        <v>29793</v>
      </c>
      <c r="G6401" t="s">
        <v>29794</v>
      </c>
      <c r="H6401" t="s">
        <v>29795</v>
      </c>
      <c r="I6401" t="s">
        <v>29796</v>
      </c>
      <c r="J6401" t="s">
        <v>5221</v>
      </c>
      <c r="K6401" t="s">
        <v>29797</v>
      </c>
      <c r="L6401" t="s">
        <v>11905</v>
      </c>
      <c r="M6401" t="s">
        <v>46</v>
      </c>
      <c r="N6401" t="s">
        <v>1771</v>
      </c>
      <c r="O6401" t="s">
        <v>29798</v>
      </c>
      <c r="P6401" t="s">
        <v>29799</v>
      </c>
      <c r="Q6401" t="s">
        <v>29800</v>
      </c>
      <c r="R6401">
        <v>18</v>
      </c>
      <c r="S6401">
        <v>32</v>
      </c>
    </row>
    <row r="6402" spans="1:19" x14ac:dyDescent="0.35">
      <c r="A6402">
        <v>1379</v>
      </c>
      <c r="B6402" t="s">
        <v>2074</v>
      </c>
      <c r="C6402" t="s">
        <v>42</v>
      </c>
      <c r="D6402" t="s">
        <v>29801</v>
      </c>
      <c r="E6402" t="e" cm="1">
        <f t="array" ref="E6402">- GUAIFENESIN</f>
        <v>#NAME?</v>
      </c>
      <c r="F6402" s="1">
        <v>119000</v>
      </c>
      <c r="G6402" t="s">
        <v>29802</v>
      </c>
      <c r="H6402" t="s">
        <v>29803</v>
      </c>
      <c r="I6402" t="s">
        <v>29804</v>
      </c>
      <c r="J6402" t="s">
        <v>374</v>
      </c>
      <c r="K6402" t="s">
        <v>29805</v>
      </c>
      <c r="L6402" t="s">
        <v>29806</v>
      </c>
      <c r="M6402" t="s">
        <v>46</v>
      </c>
      <c r="N6402" t="s">
        <v>361</v>
      </c>
      <c r="O6402" t="s">
        <v>29807</v>
      </c>
      <c r="P6402" t="s">
        <v>29808</v>
      </c>
      <c r="Q6402" t="s">
        <v>29809</v>
      </c>
      <c r="R6402">
        <v>18</v>
      </c>
      <c r="S6402">
        <v>32</v>
      </c>
    </row>
    <row r="6403" spans="1:19" x14ac:dyDescent="0.35">
      <c r="A6403">
        <v>3333</v>
      </c>
      <c r="B6403" t="s">
        <v>29810</v>
      </c>
      <c r="C6403" t="s">
        <v>42</v>
      </c>
      <c r="D6403" t="s">
        <v>29811</v>
      </c>
      <c r="E6403" t="e" cm="1">
        <f t="array" ref="E6403">- ALUMINIUM HYDROXIDE</f>
        <v>#NAME?</v>
      </c>
      <c r="F6403" t="s">
        <v>29812</v>
      </c>
      <c r="G6403" t="s">
        <v>29813</v>
      </c>
      <c r="H6403" t="s">
        <v>29814</v>
      </c>
      <c r="I6403" t="s">
        <v>29796</v>
      </c>
      <c r="J6403" t="s">
        <v>29815</v>
      </c>
      <c r="K6403" t="s">
        <v>29797</v>
      </c>
      <c r="L6403" t="s">
        <v>29816</v>
      </c>
      <c r="M6403" t="s">
        <v>340</v>
      </c>
      <c r="N6403" t="s">
        <v>1771</v>
      </c>
      <c r="O6403" t="s">
        <v>29798</v>
      </c>
      <c r="P6403" t="s">
        <v>29817</v>
      </c>
      <c r="Q6403" t="s">
        <v>29818</v>
      </c>
      <c r="R6403">
        <v>18</v>
      </c>
      <c r="S6403">
        <v>32</v>
      </c>
    </row>
    <row r="6404" spans="1:19" x14ac:dyDescent="0.35">
      <c r="A6404">
        <v>3330</v>
      </c>
      <c r="B6404" t="s">
        <v>29819</v>
      </c>
      <c r="C6404" t="s">
        <v>42</v>
      </c>
      <c r="D6404" t="s">
        <v>29820</v>
      </c>
      <c r="E6404" t="e" cm="1">
        <f t="array" ref="E6404">- ALUMINIUM HYDROXIDE</f>
        <v>#NAME?</v>
      </c>
      <c r="F6404" t="s">
        <v>3042</v>
      </c>
      <c r="G6404" t="s">
        <v>29821</v>
      </c>
      <c r="H6404" t="s">
        <v>29822</v>
      </c>
      <c r="I6404" t="s">
        <v>29823</v>
      </c>
      <c r="J6404" t="s">
        <v>29824</v>
      </c>
      <c r="K6404" t="s">
        <v>11904</v>
      </c>
      <c r="L6404" t="s">
        <v>29825</v>
      </c>
      <c r="M6404" t="s">
        <v>46</v>
      </c>
      <c r="N6404" t="s">
        <v>1771</v>
      </c>
      <c r="O6404" t="s">
        <v>29826</v>
      </c>
      <c r="P6404" t="s">
        <v>29827</v>
      </c>
      <c r="Q6404" t="s">
        <v>29828</v>
      </c>
      <c r="R6404">
        <v>18</v>
      </c>
      <c r="S6404">
        <v>32</v>
      </c>
    </row>
    <row r="6405" spans="1:19" x14ac:dyDescent="0.35">
      <c r="A6405">
        <v>3398</v>
      </c>
      <c r="B6405" t="s">
        <v>25129</v>
      </c>
      <c r="C6405" t="s">
        <v>42</v>
      </c>
      <c r="D6405" t="s">
        <v>25130</v>
      </c>
      <c r="E6405" t="s">
        <v>29829</v>
      </c>
      <c r="F6405" t="s">
        <v>25131</v>
      </c>
      <c r="G6405" t="s">
        <v>25132</v>
      </c>
      <c r="H6405" t="s">
        <v>25133</v>
      </c>
      <c r="I6405" t="s">
        <v>25134</v>
      </c>
      <c r="J6405" t="s">
        <v>10304</v>
      </c>
      <c r="L6405" t="s">
        <v>25135</v>
      </c>
      <c r="M6405" t="s">
        <v>38</v>
      </c>
      <c r="N6405" t="s">
        <v>29830</v>
      </c>
      <c r="O6405" t="s">
        <v>25136</v>
      </c>
      <c r="P6405" t="s">
        <v>25137</v>
      </c>
      <c r="Q6405" t="s">
        <v>29831</v>
      </c>
      <c r="R6405">
        <v>18</v>
      </c>
      <c r="S6405">
        <v>32</v>
      </c>
    </row>
    <row r="6406" spans="1:19" x14ac:dyDescent="0.35">
      <c r="A6406">
        <v>1382</v>
      </c>
      <c r="B6406" t="s">
        <v>2074</v>
      </c>
      <c r="C6406" t="s">
        <v>42</v>
      </c>
      <c r="D6406" t="s">
        <v>29832</v>
      </c>
      <c r="E6406" t="e" cm="1">
        <f t="array" ref="E6406">- GUAIFENESIN</f>
        <v>#NAME?</v>
      </c>
      <c r="F6406" t="s">
        <v>29833</v>
      </c>
      <c r="G6406" t="s">
        <v>29834</v>
      </c>
      <c r="H6406" t="s">
        <v>29835</v>
      </c>
      <c r="I6406" t="s">
        <v>29836</v>
      </c>
      <c r="J6406" t="s">
        <v>29837</v>
      </c>
      <c r="L6406" t="s">
        <v>29838</v>
      </c>
      <c r="M6406" t="s">
        <v>46</v>
      </c>
      <c r="N6406" t="s">
        <v>361</v>
      </c>
      <c r="O6406" t="s">
        <v>29839</v>
      </c>
      <c r="P6406" t="s">
        <v>29840</v>
      </c>
      <c r="Q6406" t="s">
        <v>29841</v>
      </c>
      <c r="R6406">
        <v>18</v>
      </c>
      <c r="S6406">
        <v>32</v>
      </c>
    </row>
    <row r="6407" spans="1:19" x14ac:dyDescent="0.35">
      <c r="A6407">
        <v>3282</v>
      </c>
      <c r="B6407" t="s">
        <v>29842</v>
      </c>
      <c r="C6407" t="s">
        <v>42</v>
      </c>
      <c r="D6407" t="s">
        <v>29843</v>
      </c>
      <c r="E6407" t="s">
        <v>29844</v>
      </c>
      <c r="F6407" t="s">
        <v>29845</v>
      </c>
      <c r="G6407" t="s">
        <v>737</v>
      </c>
      <c r="H6407" t="s">
        <v>2724</v>
      </c>
      <c r="I6407" t="s">
        <v>24614</v>
      </c>
      <c r="J6407" t="s">
        <v>29846</v>
      </c>
      <c r="K6407" t="s">
        <v>4677</v>
      </c>
      <c r="L6407" t="s">
        <v>29847</v>
      </c>
      <c r="M6407" t="s">
        <v>38</v>
      </c>
      <c r="N6407" t="s">
        <v>29848</v>
      </c>
      <c r="O6407" t="s">
        <v>24618</v>
      </c>
      <c r="P6407" t="s">
        <v>29849</v>
      </c>
      <c r="Q6407" t="s">
        <v>29850</v>
      </c>
      <c r="R6407">
        <v>18</v>
      </c>
      <c r="S6407">
        <v>32</v>
      </c>
    </row>
    <row r="6408" spans="1:19" x14ac:dyDescent="0.35">
      <c r="A6408">
        <v>3276</v>
      </c>
      <c r="B6408" t="s">
        <v>29851</v>
      </c>
      <c r="C6408" t="s">
        <v>42</v>
      </c>
      <c r="D6408" t="s">
        <v>29852</v>
      </c>
      <c r="E6408" t="e" cm="1">
        <f t="array" ref="E6408">- RANITIDINE HYDROCHLORIDE</f>
        <v>#NAME?</v>
      </c>
      <c r="F6408" t="s">
        <v>29853</v>
      </c>
      <c r="G6408" t="s">
        <v>20347</v>
      </c>
      <c r="H6408" t="s">
        <v>1984</v>
      </c>
      <c r="I6408" t="s">
        <v>29774</v>
      </c>
      <c r="J6408" t="s">
        <v>381</v>
      </c>
      <c r="K6408" t="s">
        <v>29854</v>
      </c>
      <c r="L6408" t="s">
        <v>29855</v>
      </c>
      <c r="M6408" t="s">
        <v>291</v>
      </c>
      <c r="N6408" t="s">
        <v>1985</v>
      </c>
      <c r="O6408" t="s">
        <v>29778</v>
      </c>
      <c r="P6408" t="s">
        <v>29856</v>
      </c>
      <c r="Q6408" t="s">
        <v>29857</v>
      </c>
      <c r="R6408">
        <v>18</v>
      </c>
      <c r="S6408">
        <v>32</v>
      </c>
    </row>
    <row r="6409" spans="1:19" x14ac:dyDescent="0.35">
      <c r="A6409">
        <v>3275</v>
      </c>
      <c r="B6409" t="s">
        <v>29851</v>
      </c>
      <c r="C6409" t="s">
        <v>42</v>
      </c>
      <c r="D6409" t="s">
        <v>29852</v>
      </c>
      <c r="E6409" t="e" cm="1">
        <f t="array" ref="E6409">- RANITIDINE HYDROCHLORIDE</f>
        <v>#NAME?</v>
      </c>
      <c r="F6409" t="s">
        <v>29853</v>
      </c>
      <c r="G6409" t="s">
        <v>20347</v>
      </c>
      <c r="H6409" t="s">
        <v>1984</v>
      </c>
      <c r="I6409" t="s">
        <v>29774</v>
      </c>
      <c r="J6409" t="s">
        <v>381</v>
      </c>
      <c r="K6409" t="s">
        <v>29854</v>
      </c>
      <c r="L6409" t="s">
        <v>29855</v>
      </c>
      <c r="M6409" t="s">
        <v>291</v>
      </c>
      <c r="N6409" t="s">
        <v>1985</v>
      </c>
      <c r="O6409" t="s">
        <v>29778</v>
      </c>
      <c r="P6409" t="s">
        <v>29856</v>
      </c>
      <c r="Q6409" t="s">
        <v>29857</v>
      </c>
      <c r="R6409">
        <v>18</v>
      </c>
      <c r="S6409">
        <v>32</v>
      </c>
    </row>
    <row r="6410" spans="1:19" x14ac:dyDescent="0.35">
      <c r="A6410">
        <v>3266</v>
      </c>
      <c r="B6410" t="s">
        <v>29858</v>
      </c>
      <c r="C6410" t="s">
        <v>42</v>
      </c>
      <c r="D6410" t="s">
        <v>29859</v>
      </c>
      <c r="E6410" t="e" cm="1">
        <f t="array" ref="E6410">- RANITIDINE HYDROCHLORIDE</f>
        <v>#NAME?</v>
      </c>
      <c r="F6410" t="s">
        <v>29860</v>
      </c>
      <c r="G6410" t="s">
        <v>20347</v>
      </c>
      <c r="H6410" t="s">
        <v>1984</v>
      </c>
      <c r="I6410" t="s">
        <v>29774</v>
      </c>
      <c r="J6410" t="s">
        <v>7479</v>
      </c>
      <c r="K6410" t="s">
        <v>29776</v>
      </c>
      <c r="L6410" t="s">
        <v>29855</v>
      </c>
      <c r="M6410" t="s">
        <v>46</v>
      </c>
      <c r="N6410" t="s">
        <v>1985</v>
      </c>
      <c r="O6410" t="s">
        <v>29778</v>
      </c>
      <c r="P6410" t="s">
        <v>29861</v>
      </c>
      <c r="Q6410" t="s">
        <v>29862</v>
      </c>
      <c r="R6410">
        <v>18</v>
      </c>
      <c r="S6410">
        <v>32</v>
      </c>
    </row>
    <row r="6411" spans="1:19" x14ac:dyDescent="0.35">
      <c r="A6411">
        <v>3265</v>
      </c>
      <c r="B6411" t="s">
        <v>29858</v>
      </c>
      <c r="C6411" t="s">
        <v>42</v>
      </c>
      <c r="D6411" t="s">
        <v>29859</v>
      </c>
      <c r="E6411" t="e" cm="1">
        <f t="array" ref="E6411">- RANITIDINE HYDROCHLORIDE</f>
        <v>#NAME?</v>
      </c>
      <c r="F6411" t="s">
        <v>29860</v>
      </c>
      <c r="G6411" t="s">
        <v>20347</v>
      </c>
      <c r="H6411" t="s">
        <v>1984</v>
      </c>
      <c r="I6411" t="s">
        <v>29774</v>
      </c>
      <c r="J6411" t="s">
        <v>7479</v>
      </c>
      <c r="K6411" t="s">
        <v>29776</v>
      </c>
      <c r="L6411" t="s">
        <v>29855</v>
      </c>
      <c r="M6411" t="s">
        <v>46</v>
      </c>
      <c r="N6411" t="s">
        <v>1985</v>
      </c>
      <c r="O6411" t="s">
        <v>29778</v>
      </c>
      <c r="P6411" t="s">
        <v>29861</v>
      </c>
      <c r="Q6411" t="s">
        <v>29862</v>
      </c>
      <c r="R6411">
        <v>18</v>
      </c>
      <c r="S6411">
        <v>32</v>
      </c>
    </row>
    <row r="6412" spans="1:19" x14ac:dyDescent="0.35">
      <c r="A6412">
        <v>1404</v>
      </c>
      <c r="B6412" t="s">
        <v>24780</v>
      </c>
      <c r="C6412" t="s">
        <v>42</v>
      </c>
      <c r="D6412" t="s">
        <v>24781</v>
      </c>
      <c r="E6412" t="e" cm="1">
        <f t="array" ref="E6412">- BROMHEXINE HYDROCHLORIDE. DIPHENHYDRAMINE HYDROCHLORIDE. PARACETAMOL</f>
        <v>#NAME?</v>
      </c>
      <c r="F6412" t="s">
        <v>24782</v>
      </c>
      <c r="G6412" t="s">
        <v>2241</v>
      </c>
      <c r="H6412" t="s">
        <v>24783</v>
      </c>
      <c r="I6412" t="s">
        <v>24784</v>
      </c>
      <c r="J6412" t="s">
        <v>24785</v>
      </c>
      <c r="L6412" t="s">
        <v>270</v>
      </c>
      <c r="M6412" t="s">
        <v>46</v>
      </c>
      <c r="N6412" t="s">
        <v>29863</v>
      </c>
      <c r="O6412" t="s">
        <v>24786</v>
      </c>
      <c r="P6412" t="s">
        <v>24787</v>
      </c>
      <c r="Q6412" t="s">
        <v>29864</v>
      </c>
      <c r="R6412">
        <v>18</v>
      </c>
      <c r="S6412">
        <v>32</v>
      </c>
    </row>
    <row r="6413" spans="1:19" x14ac:dyDescent="0.35">
      <c r="A6413">
        <v>3222</v>
      </c>
      <c r="B6413" t="s">
        <v>22659</v>
      </c>
      <c r="C6413" t="s">
        <v>42</v>
      </c>
      <c r="D6413" t="s">
        <v>22660</v>
      </c>
      <c r="E6413" t="e" cm="1">
        <f t="array" ref="E6413">- DRIED ALUMINIUM HYDROXIDE GEL. MAGNESIUM HYDROXIDE. SIMETHICONE</f>
        <v>#NAME?</v>
      </c>
      <c r="F6413" t="s">
        <v>22661</v>
      </c>
      <c r="G6413" t="s">
        <v>22662</v>
      </c>
      <c r="H6413" t="s">
        <v>22663</v>
      </c>
    </row>
    <row r="6414" spans="1:19" x14ac:dyDescent="0.35">
      <c r="A6414">
        <v>3315</v>
      </c>
      <c r="B6414" t="s">
        <v>29865</v>
      </c>
      <c r="C6414" t="s">
        <v>42</v>
      </c>
      <c r="D6414" t="s">
        <v>29866</v>
      </c>
      <c r="E6414" t="e" cm="1">
        <f t="array" ref="E6414">- DRIED ALUMINIUM HYDROXIDE GEL</f>
        <v>#NAME?</v>
      </c>
      <c r="F6414" t="s">
        <v>29867</v>
      </c>
      <c r="G6414" t="s">
        <v>29868</v>
      </c>
      <c r="H6414" t="s">
        <v>29869</v>
      </c>
      <c r="I6414" t="s">
        <v>29870</v>
      </c>
      <c r="J6414" t="s">
        <v>29871</v>
      </c>
      <c r="K6414" t="s">
        <v>29872</v>
      </c>
      <c r="L6414" t="s">
        <v>29873</v>
      </c>
      <c r="M6414" t="s">
        <v>46</v>
      </c>
      <c r="N6414" t="s">
        <v>4172</v>
      </c>
      <c r="O6414" t="s">
        <v>29874</v>
      </c>
      <c r="P6414" t="s">
        <v>29875</v>
      </c>
      <c r="Q6414" t="s">
        <v>29876</v>
      </c>
      <c r="R6414">
        <v>18</v>
      </c>
      <c r="S6414">
        <v>32</v>
      </c>
    </row>
    <row r="6415" spans="1:19" x14ac:dyDescent="0.35">
      <c r="A6415">
        <v>3403</v>
      </c>
      <c r="B6415" t="s">
        <v>29877</v>
      </c>
      <c r="C6415" t="s">
        <v>42</v>
      </c>
      <c r="D6415" t="s">
        <v>29878</v>
      </c>
      <c r="E6415" t="e" cm="1">
        <f t="array" ref="E6415">- DRIED ALUMINIUM HYDROXIDE GEL</f>
        <v>#NAME?</v>
      </c>
      <c r="F6415" t="s">
        <v>29879</v>
      </c>
      <c r="G6415" t="s">
        <v>29880</v>
      </c>
      <c r="H6415" t="s">
        <v>29881</v>
      </c>
      <c r="I6415" t="s">
        <v>29882</v>
      </c>
      <c r="J6415" t="s">
        <v>381</v>
      </c>
      <c r="M6415" t="s">
        <v>46</v>
      </c>
      <c r="N6415" t="s">
        <v>4172</v>
      </c>
      <c r="O6415" t="s">
        <v>29883</v>
      </c>
      <c r="P6415" t="s">
        <v>29884</v>
      </c>
      <c r="Q6415" t="s">
        <v>29885</v>
      </c>
      <c r="R6415">
        <v>18</v>
      </c>
      <c r="S6415">
        <v>32</v>
      </c>
    </row>
    <row r="6416" spans="1:19" x14ac:dyDescent="0.35">
      <c r="A6416">
        <v>3414</v>
      </c>
      <c r="B6416" t="s">
        <v>29886</v>
      </c>
      <c r="C6416" t="s">
        <v>42</v>
      </c>
      <c r="D6416" t="s">
        <v>29887</v>
      </c>
      <c r="E6416" t="e" cm="1">
        <f t="array" ref="E6416">- KOMBINASI-ALUMINUM HYDROXIDE - MAGNESIUM CARBONATE - CALCIUM CARBONATE COPRECIPITATE (SANALMIN B)</f>
        <v>#NAME?</v>
      </c>
      <c r="F6416" t="s">
        <v>24988</v>
      </c>
      <c r="G6416" t="s">
        <v>29888</v>
      </c>
      <c r="H6416" t="s">
        <v>29889</v>
      </c>
      <c r="I6416" t="s">
        <v>29890</v>
      </c>
      <c r="J6416" t="s">
        <v>381</v>
      </c>
      <c r="K6416" t="s">
        <v>29891</v>
      </c>
      <c r="L6416" t="s">
        <v>29892</v>
      </c>
      <c r="M6416" t="s">
        <v>46</v>
      </c>
      <c r="N6416" t="s">
        <v>29893</v>
      </c>
      <c r="O6416" t="s">
        <v>29894</v>
      </c>
      <c r="P6416" t="s">
        <v>29895</v>
      </c>
      <c r="Q6416" t="s">
        <v>29896</v>
      </c>
      <c r="R6416">
        <v>18</v>
      </c>
      <c r="S6416">
        <v>32</v>
      </c>
    </row>
    <row r="6417" spans="1:19" x14ac:dyDescent="0.35">
      <c r="A6417">
        <v>1367</v>
      </c>
      <c r="B6417" t="s">
        <v>2074</v>
      </c>
      <c r="C6417" t="s">
        <v>42</v>
      </c>
      <c r="D6417" t="s">
        <v>29897</v>
      </c>
      <c r="E6417" t="e" cm="1">
        <f t="array" ref="E6417">- GUAIFENESIN</f>
        <v>#NAME?</v>
      </c>
      <c r="F6417" s="1">
        <v>202000</v>
      </c>
      <c r="G6417" t="s">
        <v>29802</v>
      </c>
      <c r="H6417" t="s">
        <v>29898</v>
      </c>
      <c r="I6417" t="s">
        <v>29899</v>
      </c>
      <c r="J6417" t="s">
        <v>374</v>
      </c>
      <c r="M6417" t="s">
        <v>46</v>
      </c>
      <c r="N6417" t="s">
        <v>361</v>
      </c>
      <c r="O6417" t="s">
        <v>29900</v>
      </c>
      <c r="P6417" t="s">
        <v>29901</v>
      </c>
      <c r="Q6417" t="s">
        <v>29902</v>
      </c>
      <c r="R6417">
        <v>18</v>
      </c>
      <c r="S6417">
        <v>32</v>
      </c>
    </row>
    <row r="6418" spans="1:19" x14ac:dyDescent="0.35">
      <c r="A6418">
        <v>1317</v>
      </c>
      <c r="B6418" t="s">
        <v>10337</v>
      </c>
      <c r="C6418" t="s">
        <v>42</v>
      </c>
      <c r="D6418" t="s">
        <v>10338</v>
      </c>
      <c r="E6418" t="e" cm="1">
        <f t="array" ref="E6418">- DEXTROMETHORPHAN HYDROBROMIDE. DIPHENHYDRAMINE HYDROCHLORIDE. PHENYLPROPANOLAMINE HYDROCHLORIDE. AMMONIUM CHLORIDE. SODIUM CITRATE DIHYDRATE</f>
        <v>#NAME?</v>
      </c>
      <c r="F6418" t="s">
        <v>10339</v>
      </c>
      <c r="G6418" t="s">
        <v>539</v>
      </c>
      <c r="I6418" t="s">
        <v>10340</v>
      </c>
      <c r="M6418" t="s">
        <v>271</v>
      </c>
      <c r="N6418" t="s">
        <v>29903</v>
      </c>
      <c r="O6418" t="s">
        <v>10341</v>
      </c>
      <c r="P6418" t="s">
        <v>10342</v>
      </c>
      <c r="Q6418" t="s">
        <v>29904</v>
      </c>
      <c r="R6418">
        <v>18</v>
      </c>
      <c r="S6418">
        <v>32</v>
      </c>
    </row>
    <row r="6419" spans="1:19" x14ac:dyDescent="0.35">
      <c r="A6419">
        <v>3669</v>
      </c>
      <c r="B6419" t="s">
        <v>29905</v>
      </c>
      <c r="C6419" t="s">
        <v>42</v>
      </c>
      <c r="D6419" t="s">
        <v>29906</v>
      </c>
      <c r="E6419" t="e" cm="1">
        <f t="array" ref="E6419">- METOCLOPRAMIDE HYDROCHLORIDE</f>
        <v>#NAME?</v>
      </c>
      <c r="F6419" t="s">
        <v>23608</v>
      </c>
      <c r="G6419" t="s">
        <v>6774</v>
      </c>
      <c r="H6419" t="s">
        <v>29907</v>
      </c>
      <c r="I6419" t="s">
        <v>29908</v>
      </c>
      <c r="J6419" t="s">
        <v>334</v>
      </c>
      <c r="K6419" t="s">
        <v>29909</v>
      </c>
      <c r="L6419" t="s">
        <v>29910</v>
      </c>
      <c r="M6419" t="s">
        <v>271</v>
      </c>
      <c r="N6419" t="s">
        <v>1876</v>
      </c>
      <c r="O6419" t="s">
        <v>29911</v>
      </c>
      <c r="P6419" t="s">
        <v>29912</v>
      </c>
      <c r="Q6419" t="s">
        <v>29913</v>
      </c>
      <c r="R6419">
        <v>18</v>
      </c>
      <c r="S6419">
        <v>32</v>
      </c>
    </row>
    <row r="6420" spans="1:19" x14ac:dyDescent="0.35">
      <c r="A6420">
        <v>1330</v>
      </c>
      <c r="B6420" t="s">
        <v>24837</v>
      </c>
      <c r="C6420" t="s">
        <v>42</v>
      </c>
      <c r="D6420" t="s">
        <v>24838</v>
      </c>
      <c r="E6420" t="e" cm="1">
        <f t="array" ref="E6420">- DEXCHLORPHENIRAMINE MALEATE. SULFOGAIACOL POTASSIUM. PARACETAMOL</f>
        <v>#NAME?</v>
      </c>
      <c r="F6420" t="s">
        <v>24839</v>
      </c>
      <c r="G6420" t="s">
        <v>2241</v>
      </c>
      <c r="H6420" t="s">
        <v>24840</v>
      </c>
      <c r="I6420" t="s">
        <v>24841</v>
      </c>
      <c r="J6420" t="s">
        <v>334</v>
      </c>
      <c r="L6420" t="s">
        <v>24842</v>
      </c>
      <c r="M6420" t="s">
        <v>340</v>
      </c>
      <c r="N6420" t="s">
        <v>29914</v>
      </c>
      <c r="O6420" t="s">
        <v>24843</v>
      </c>
      <c r="P6420" t="s">
        <v>24844</v>
      </c>
      <c r="Q6420" t="s">
        <v>29915</v>
      </c>
      <c r="R6420">
        <v>18</v>
      </c>
      <c r="S6420">
        <v>32</v>
      </c>
    </row>
    <row r="6421" spans="1:19" x14ac:dyDescent="0.35">
      <c r="A6421">
        <v>1333</v>
      </c>
      <c r="B6421" t="s">
        <v>29916</v>
      </c>
      <c r="C6421" t="s">
        <v>42</v>
      </c>
      <c r="D6421" t="s">
        <v>29917</v>
      </c>
      <c r="E6421" t="e" cm="1">
        <f t="array" ref="E6421">- AMBROXOL HYDROCHLORIDE</f>
        <v>#NAME?</v>
      </c>
      <c r="F6421" s="1">
        <v>6600</v>
      </c>
      <c r="G6421" t="s">
        <v>2241</v>
      </c>
      <c r="H6421" t="s">
        <v>29112</v>
      </c>
      <c r="I6421" t="s">
        <v>29055</v>
      </c>
      <c r="J6421" t="s">
        <v>846</v>
      </c>
      <c r="M6421" t="s">
        <v>271</v>
      </c>
      <c r="N6421" t="s">
        <v>1800</v>
      </c>
      <c r="O6421" t="s">
        <v>29056</v>
      </c>
      <c r="P6421" t="s">
        <v>29918</v>
      </c>
      <c r="Q6421" t="s">
        <v>29919</v>
      </c>
      <c r="R6421">
        <v>18</v>
      </c>
      <c r="S6421">
        <v>32</v>
      </c>
    </row>
    <row r="6422" spans="1:19" x14ac:dyDescent="0.35">
      <c r="A6422">
        <v>1334</v>
      </c>
      <c r="B6422" t="s">
        <v>29916</v>
      </c>
      <c r="C6422" t="s">
        <v>42</v>
      </c>
      <c r="D6422" t="s">
        <v>29917</v>
      </c>
      <c r="E6422" t="e" cm="1">
        <f t="array" ref="E6422">- AMBROXOL HYDROCHLORIDE</f>
        <v>#NAME?</v>
      </c>
      <c r="F6422" s="1">
        <v>6600</v>
      </c>
      <c r="G6422" t="s">
        <v>2241</v>
      </c>
      <c r="H6422" t="s">
        <v>29112</v>
      </c>
      <c r="I6422" t="s">
        <v>29055</v>
      </c>
      <c r="J6422" t="s">
        <v>846</v>
      </c>
      <c r="M6422" t="s">
        <v>271</v>
      </c>
      <c r="N6422" t="s">
        <v>1800</v>
      </c>
      <c r="O6422" t="s">
        <v>29056</v>
      </c>
      <c r="P6422" t="s">
        <v>29918</v>
      </c>
      <c r="Q6422" t="s">
        <v>29919</v>
      </c>
      <c r="R6422">
        <v>18</v>
      </c>
      <c r="S6422">
        <v>32</v>
      </c>
    </row>
    <row r="6423" spans="1:19" x14ac:dyDescent="0.35">
      <c r="A6423">
        <v>3578</v>
      </c>
      <c r="B6423" t="s">
        <v>29920</v>
      </c>
      <c r="C6423" t="s">
        <v>42</v>
      </c>
      <c r="D6423" t="s">
        <v>29921</v>
      </c>
      <c r="E6423" t="e" cm="1">
        <f t="array" ref="E6423">- DOMPERIDONE</f>
        <v>#NAME?</v>
      </c>
      <c r="F6423" s="1">
        <v>66100</v>
      </c>
      <c r="G6423" t="s">
        <v>5178</v>
      </c>
      <c r="H6423" t="s">
        <v>29922</v>
      </c>
      <c r="I6423" t="s">
        <v>29923</v>
      </c>
      <c r="J6423" t="s">
        <v>26172</v>
      </c>
      <c r="K6423" t="s">
        <v>22063</v>
      </c>
      <c r="L6423" t="s">
        <v>29924</v>
      </c>
      <c r="M6423" t="s">
        <v>340</v>
      </c>
      <c r="N6423" t="s">
        <v>341</v>
      </c>
      <c r="O6423" t="s">
        <v>29925</v>
      </c>
      <c r="P6423" t="s">
        <v>22065</v>
      </c>
      <c r="Q6423" t="s">
        <v>29926</v>
      </c>
      <c r="R6423">
        <v>18</v>
      </c>
      <c r="S6423">
        <v>32</v>
      </c>
    </row>
    <row r="6424" spans="1:19" x14ac:dyDescent="0.35">
      <c r="A6424">
        <v>3577</v>
      </c>
      <c r="B6424" t="s">
        <v>29920</v>
      </c>
      <c r="C6424" t="s">
        <v>42</v>
      </c>
      <c r="D6424" t="s">
        <v>29921</v>
      </c>
      <c r="E6424" t="e" cm="1">
        <f t="array" ref="E6424">- DOMPERIDONE</f>
        <v>#NAME?</v>
      </c>
      <c r="F6424" s="1">
        <v>66100</v>
      </c>
      <c r="G6424" t="s">
        <v>5178</v>
      </c>
      <c r="H6424" t="s">
        <v>29922</v>
      </c>
      <c r="I6424" t="s">
        <v>29923</v>
      </c>
      <c r="J6424" t="s">
        <v>26172</v>
      </c>
      <c r="K6424" t="s">
        <v>22063</v>
      </c>
      <c r="L6424" t="s">
        <v>29924</v>
      </c>
      <c r="M6424" t="s">
        <v>340</v>
      </c>
      <c r="N6424" t="s">
        <v>341</v>
      </c>
      <c r="O6424" t="s">
        <v>29925</v>
      </c>
      <c r="P6424" t="s">
        <v>22065</v>
      </c>
      <c r="Q6424" t="s">
        <v>29926</v>
      </c>
      <c r="R6424">
        <v>18</v>
      </c>
      <c r="S6424">
        <v>32</v>
      </c>
    </row>
    <row r="6425" spans="1:19" x14ac:dyDescent="0.35">
      <c r="A6425">
        <v>3570</v>
      </c>
      <c r="B6425" t="s">
        <v>29927</v>
      </c>
      <c r="C6425" t="s">
        <v>42</v>
      </c>
      <c r="D6425" t="s">
        <v>29928</v>
      </c>
      <c r="E6425" t="e" cm="1">
        <f t="array" ref="E6425">- DOMPERIDONE MALEATE</f>
        <v>#NAME?</v>
      </c>
      <c r="F6425" t="s">
        <v>29929</v>
      </c>
      <c r="H6425" t="s">
        <v>29930</v>
      </c>
      <c r="I6425" t="s">
        <v>29931</v>
      </c>
    </row>
    <row r="6426" spans="1:19" x14ac:dyDescent="0.35">
      <c r="A6426">
        <v>3569</v>
      </c>
      <c r="B6426" t="s">
        <v>29927</v>
      </c>
      <c r="C6426" t="s">
        <v>42</v>
      </c>
      <c r="D6426" t="s">
        <v>29928</v>
      </c>
      <c r="E6426" t="e" cm="1">
        <f t="array" ref="E6426">- DOMPERIDONE MALEATE</f>
        <v>#NAME?</v>
      </c>
      <c r="F6426" t="s">
        <v>29929</v>
      </c>
      <c r="H6426" t="s">
        <v>29930</v>
      </c>
      <c r="I6426" t="s">
        <v>29931</v>
      </c>
    </row>
    <row r="6427" spans="1:19" x14ac:dyDescent="0.35">
      <c r="A6427">
        <v>1344</v>
      </c>
      <c r="B6427" t="s">
        <v>29932</v>
      </c>
      <c r="C6427" t="s">
        <v>42</v>
      </c>
      <c r="D6427" t="s">
        <v>29933</v>
      </c>
      <c r="E6427" t="e" cm="1">
        <f t="array" ref="E6427">- CHLORPHENAMINE MALEATE. PARACETAMOL. PHENYLPROPANOLAMINE HYDROCHLORIDE</f>
        <v>#NAME?</v>
      </c>
      <c r="F6427" t="s">
        <v>8220</v>
      </c>
      <c r="G6427" t="s">
        <v>2241</v>
      </c>
      <c r="H6427" t="s">
        <v>29934</v>
      </c>
      <c r="I6427" t="s">
        <v>29935</v>
      </c>
      <c r="J6427" t="s">
        <v>29936</v>
      </c>
      <c r="K6427" t="s">
        <v>29937</v>
      </c>
      <c r="L6427" t="s">
        <v>29938</v>
      </c>
      <c r="M6427" t="s">
        <v>291</v>
      </c>
      <c r="N6427" t="s">
        <v>29939</v>
      </c>
      <c r="O6427" t="s">
        <v>29940</v>
      </c>
      <c r="P6427" t="s">
        <v>29941</v>
      </c>
      <c r="Q6427" t="s">
        <v>29942</v>
      </c>
      <c r="R6427">
        <v>18</v>
      </c>
      <c r="S6427">
        <v>32</v>
      </c>
    </row>
    <row r="6428" spans="1:19" x14ac:dyDescent="0.35">
      <c r="A6428">
        <v>3530</v>
      </c>
      <c r="B6428" t="s">
        <v>29943</v>
      </c>
      <c r="C6428" t="s">
        <v>42</v>
      </c>
      <c r="D6428" t="s">
        <v>29944</v>
      </c>
      <c r="E6428" t="e" cm="1">
        <f t="array" ref="E6428">- DOMPERIDONE MALEATE</f>
        <v>#NAME?</v>
      </c>
      <c r="F6428" t="s">
        <v>29945</v>
      </c>
      <c r="G6428" t="s">
        <v>28298</v>
      </c>
      <c r="H6428" t="s">
        <v>1589</v>
      </c>
      <c r="I6428" t="s">
        <v>28299</v>
      </c>
      <c r="J6428" t="s">
        <v>381</v>
      </c>
      <c r="K6428" t="s">
        <v>28300</v>
      </c>
      <c r="L6428" t="s">
        <v>28301</v>
      </c>
      <c r="M6428" t="s">
        <v>46</v>
      </c>
      <c r="N6428" t="s">
        <v>1609</v>
      </c>
      <c r="O6428" t="s">
        <v>28302</v>
      </c>
      <c r="P6428" t="s">
        <v>2713</v>
      </c>
      <c r="Q6428" t="s">
        <v>29946</v>
      </c>
      <c r="R6428">
        <v>18</v>
      </c>
      <c r="S6428">
        <v>32</v>
      </c>
    </row>
    <row r="6429" spans="1:19" x14ac:dyDescent="0.35">
      <c r="A6429">
        <v>1351</v>
      </c>
      <c r="B6429" t="s">
        <v>29947</v>
      </c>
      <c r="C6429" t="s">
        <v>42</v>
      </c>
      <c r="D6429" t="s">
        <v>29948</v>
      </c>
      <c r="E6429" t="e" cm="1">
        <f t="array" ref="E6429">- CHLORPHENAMINE MALEATE</f>
        <v>#NAME?</v>
      </c>
      <c r="F6429" t="s">
        <v>29949</v>
      </c>
      <c r="G6429" t="s">
        <v>60</v>
      </c>
      <c r="H6429" t="s">
        <v>29950</v>
      </c>
      <c r="I6429" t="s">
        <v>29951</v>
      </c>
      <c r="J6429" t="s">
        <v>29952</v>
      </c>
      <c r="K6429" t="s">
        <v>29953</v>
      </c>
      <c r="L6429" t="s">
        <v>29954</v>
      </c>
      <c r="M6429" t="s">
        <v>38</v>
      </c>
      <c r="N6429" t="s">
        <v>1354</v>
      </c>
      <c r="O6429" t="s">
        <v>29955</v>
      </c>
      <c r="P6429" t="s">
        <v>28531</v>
      </c>
      <c r="Q6429" t="s">
        <v>29956</v>
      </c>
      <c r="R6429">
        <v>18</v>
      </c>
      <c r="S6429">
        <v>32</v>
      </c>
    </row>
    <row r="6430" spans="1:19" x14ac:dyDescent="0.35">
      <c r="A6430">
        <v>3510</v>
      </c>
      <c r="B6430" t="s">
        <v>29957</v>
      </c>
      <c r="C6430" t="s">
        <v>42</v>
      </c>
      <c r="D6430" t="s">
        <v>29958</v>
      </c>
      <c r="E6430" t="e" cm="1">
        <f t="array" ref="E6430">- DOMPERIDONE MALEATE</f>
        <v>#NAME?</v>
      </c>
      <c r="F6430" t="s">
        <v>29959</v>
      </c>
      <c r="G6430" t="s">
        <v>28298</v>
      </c>
      <c r="H6430" t="s">
        <v>1589</v>
      </c>
      <c r="I6430" t="s">
        <v>28299</v>
      </c>
      <c r="J6430" t="s">
        <v>25332</v>
      </c>
      <c r="K6430" t="s">
        <v>28300</v>
      </c>
      <c r="L6430" t="s">
        <v>29960</v>
      </c>
      <c r="M6430" t="s">
        <v>46</v>
      </c>
      <c r="N6430" t="s">
        <v>1609</v>
      </c>
      <c r="O6430" t="s">
        <v>28302</v>
      </c>
      <c r="P6430" t="s">
        <v>3171</v>
      </c>
      <c r="Q6430" t="s">
        <v>29961</v>
      </c>
      <c r="R6430">
        <v>18</v>
      </c>
      <c r="S6430">
        <v>32</v>
      </c>
    </row>
    <row r="6431" spans="1:19" x14ac:dyDescent="0.35">
      <c r="A6431">
        <v>3509</v>
      </c>
      <c r="B6431" t="s">
        <v>29957</v>
      </c>
      <c r="C6431" t="s">
        <v>42</v>
      </c>
      <c r="D6431" t="s">
        <v>29958</v>
      </c>
      <c r="E6431" t="e" cm="1">
        <f t="array" ref="E6431">- DOMPERIDONE MALEATE</f>
        <v>#NAME?</v>
      </c>
      <c r="F6431" t="s">
        <v>29959</v>
      </c>
      <c r="G6431" t="s">
        <v>28298</v>
      </c>
      <c r="H6431" t="s">
        <v>1589</v>
      </c>
      <c r="I6431" t="s">
        <v>28299</v>
      </c>
      <c r="J6431" t="s">
        <v>25332</v>
      </c>
      <c r="K6431" t="s">
        <v>28300</v>
      </c>
      <c r="L6431" t="s">
        <v>29960</v>
      </c>
      <c r="M6431" t="s">
        <v>46</v>
      </c>
      <c r="N6431" t="s">
        <v>1609</v>
      </c>
      <c r="O6431" t="s">
        <v>28302</v>
      </c>
      <c r="P6431" t="s">
        <v>3171</v>
      </c>
      <c r="Q6431" t="s">
        <v>29961</v>
      </c>
      <c r="R6431">
        <v>18</v>
      </c>
      <c r="S6431">
        <v>32</v>
      </c>
    </row>
    <row r="6432" spans="1:19" x14ac:dyDescent="0.35">
      <c r="A6432">
        <v>3500</v>
      </c>
      <c r="B6432" t="s">
        <v>29962</v>
      </c>
      <c r="C6432" t="s">
        <v>42</v>
      </c>
      <c r="D6432" t="s">
        <v>29963</v>
      </c>
      <c r="E6432" t="e" cm="1">
        <f t="array" ref="E6432">- DIMENHYDRINATE</f>
        <v>#NAME?</v>
      </c>
      <c r="F6432" t="s">
        <v>29964</v>
      </c>
      <c r="G6432" t="s">
        <v>2241</v>
      </c>
      <c r="H6432" t="s">
        <v>29965</v>
      </c>
      <c r="I6432" t="s">
        <v>29966</v>
      </c>
      <c r="J6432" t="s">
        <v>29967</v>
      </c>
      <c r="K6432" t="s">
        <v>29968</v>
      </c>
      <c r="L6432" t="s">
        <v>29969</v>
      </c>
      <c r="M6432" t="s">
        <v>46</v>
      </c>
      <c r="N6432" t="s">
        <v>329</v>
      </c>
      <c r="O6432" t="s">
        <v>29970</v>
      </c>
      <c r="P6432" t="s">
        <v>29971</v>
      </c>
      <c r="Q6432" t="s">
        <v>29972</v>
      </c>
      <c r="R6432">
        <v>18</v>
      </c>
      <c r="S6432">
        <v>32</v>
      </c>
    </row>
    <row r="6433" spans="1:19" x14ac:dyDescent="0.35">
      <c r="A6433">
        <v>3499</v>
      </c>
      <c r="B6433" t="s">
        <v>29962</v>
      </c>
      <c r="C6433" t="s">
        <v>42</v>
      </c>
      <c r="D6433" t="s">
        <v>29963</v>
      </c>
      <c r="E6433" t="e" cm="1">
        <f t="array" ref="E6433">- DIMENHYDRINATE</f>
        <v>#NAME?</v>
      </c>
      <c r="F6433" t="s">
        <v>29964</v>
      </c>
      <c r="G6433" t="s">
        <v>2241</v>
      </c>
      <c r="H6433" t="s">
        <v>29965</v>
      </c>
      <c r="I6433" t="s">
        <v>29966</v>
      </c>
      <c r="J6433" t="s">
        <v>29967</v>
      </c>
      <c r="K6433" t="s">
        <v>29968</v>
      </c>
      <c r="L6433" t="s">
        <v>29969</v>
      </c>
      <c r="M6433" t="s">
        <v>46</v>
      </c>
      <c r="N6433" t="s">
        <v>329</v>
      </c>
      <c r="O6433" t="s">
        <v>29970</v>
      </c>
      <c r="P6433" t="s">
        <v>29971</v>
      </c>
      <c r="Q6433" t="s">
        <v>29972</v>
      </c>
      <c r="R6433">
        <v>18</v>
      </c>
      <c r="S6433">
        <v>32</v>
      </c>
    </row>
    <row r="6434" spans="1:19" x14ac:dyDescent="0.35">
      <c r="A6434">
        <v>3486</v>
      </c>
      <c r="B6434" t="s">
        <v>29973</v>
      </c>
      <c r="C6434" t="s">
        <v>42</v>
      </c>
      <c r="D6434" t="s">
        <v>29974</v>
      </c>
      <c r="E6434" t="e" cm="1">
        <f t="array" ref="E6434">- DOMPERIDONE</f>
        <v>#NAME?</v>
      </c>
      <c r="F6434" t="s">
        <v>29975</v>
      </c>
      <c r="G6434" t="s">
        <v>28298</v>
      </c>
      <c r="H6434" t="s">
        <v>1589</v>
      </c>
      <c r="I6434" t="s">
        <v>28299</v>
      </c>
      <c r="J6434" t="s">
        <v>532</v>
      </c>
      <c r="K6434" t="s">
        <v>28300</v>
      </c>
      <c r="L6434" t="s">
        <v>28301</v>
      </c>
      <c r="M6434" t="s">
        <v>46</v>
      </c>
      <c r="N6434" t="s">
        <v>341</v>
      </c>
      <c r="O6434" t="s">
        <v>28302</v>
      </c>
      <c r="P6434" t="s">
        <v>29976</v>
      </c>
      <c r="Q6434" t="s">
        <v>29977</v>
      </c>
      <c r="R6434">
        <v>18</v>
      </c>
      <c r="S6434">
        <v>32</v>
      </c>
    </row>
    <row r="6435" spans="1:19" x14ac:dyDescent="0.35">
      <c r="A6435">
        <v>3703</v>
      </c>
      <c r="B6435" t="s">
        <v>15857</v>
      </c>
      <c r="C6435" t="s">
        <v>42</v>
      </c>
      <c r="D6435" t="s">
        <v>15858</v>
      </c>
      <c r="E6435" t="e" cm="1">
        <f t="array" ref="E6435">- SODIUM CHLORIDE. DEXTROSE ANHYDRATE. POTASSIUM CHLORIDE. SODIUM CITRATE DIHYDRATE</f>
        <v>#NAME?</v>
      </c>
      <c r="F6435" t="s">
        <v>15859</v>
      </c>
      <c r="G6435" t="s">
        <v>15860</v>
      </c>
      <c r="H6435" t="s">
        <v>15861</v>
      </c>
      <c r="I6435" t="s">
        <v>15862</v>
      </c>
      <c r="J6435" t="s">
        <v>15863</v>
      </c>
      <c r="K6435" t="s">
        <v>15864</v>
      </c>
      <c r="L6435" t="s">
        <v>15865</v>
      </c>
      <c r="M6435" t="s">
        <v>1280</v>
      </c>
      <c r="N6435" t="s">
        <v>29586</v>
      </c>
      <c r="O6435" t="s">
        <v>15867</v>
      </c>
      <c r="P6435" t="s">
        <v>15868</v>
      </c>
      <c r="Q6435" t="s">
        <v>29587</v>
      </c>
      <c r="R6435">
        <v>18</v>
      </c>
      <c r="S6435">
        <v>32</v>
      </c>
    </row>
    <row r="6436" spans="1:19" x14ac:dyDescent="0.35">
      <c r="A6436">
        <v>3195</v>
      </c>
      <c r="B6436" t="s">
        <v>29978</v>
      </c>
      <c r="C6436" t="s">
        <v>42</v>
      </c>
      <c r="D6436" t="s">
        <v>29979</v>
      </c>
      <c r="E6436" t="e" cm="1">
        <f t="array" ref="E6436">- CALCIUM CARBONATE</f>
        <v>#NAME?</v>
      </c>
      <c r="F6436" t="s">
        <v>29980</v>
      </c>
      <c r="G6436" t="s">
        <v>737</v>
      </c>
      <c r="H6436" t="s">
        <v>29981</v>
      </c>
      <c r="I6436" t="s">
        <v>29785</v>
      </c>
      <c r="J6436" t="s">
        <v>29982</v>
      </c>
      <c r="K6436" t="s">
        <v>3473</v>
      </c>
      <c r="L6436" t="s">
        <v>29983</v>
      </c>
      <c r="M6436" t="s">
        <v>46</v>
      </c>
      <c r="N6436" t="s">
        <v>14211</v>
      </c>
      <c r="O6436" t="s">
        <v>29788</v>
      </c>
      <c r="P6436" t="s">
        <v>29984</v>
      </c>
      <c r="Q6436" t="s">
        <v>29985</v>
      </c>
      <c r="R6436">
        <v>18</v>
      </c>
      <c r="S6436">
        <v>32</v>
      </c>
    </row>
    <row r="6437" spans="1:19" x14ac:dyDescent="0.35">
      <c r="A6437">
        <v>4225</v>
      </c>
      <c r="B6437" t="s">
        <v>29986</v>
      </c>
      <c r="C6437" t="s">
        <v>42</v>
      </c>
      <c r="D6437" t="s">
        <v>29987</v>
      </c>
      <c r="E6437" t="e" cm="1">
        <f t="array" ref="E6437">- LORATADINE</f>
        <v>#NAME?</v>
      </c>
      <c r="F6437" t="s">
        <v>29988</v>
      </c>
      <c r="H6437" t="s">
        <v>29989</v>
      </c>
      <c r="I6437" t="s">
        <v>29990</v>
      </c>
      <c r="J6437" t="s">
        <v>3761</v>
      </c>
      <c r="L6437" t="s">
        <v>321</v>
      </c>
      <c r="M6437" t="s">
        <v>291</v>
      </c>
      <c r="N6437" t="s">
        <v>9225</v>
      </c>
      <c r="O6437" t="s">
        <v>29991</v>
      </c>
      <c r="P6437" t="s">
        <v>29992</v>
      </c>
      <c r="Q6437" t="s">
        <v>29993</v>
      </c>
      <c r="R6437">
        <v>18</v>
      </c>
      <c r="S6437">
        <v>32</v>
      </c>
    </row>
    <row r="6438" spans="1:19" x14ac:dyDescent="0.35">
      <c r="A6438">
        <v>4334</v>
      </c>
      <c r="B6438" t="s">
        <v>29994</v>
      </c>
      <c r="C6438" t="s">
        <v>20</v>
      </c>
      <c r="D6438" t="s">
        <v>29995</v>
      </c>
      <c r="E6438" t="s">
        <v>29996</v>
      </c>
      <c r="F6438" t="s">
        <v>29997</v>
      </c>
      <c r="G6438" t="s">
        <v>22689</v>
      </c>
      <c r="H6438" t="s">
        <v>1322</v>
      </c>
      <c r="I6438" t="s">
        <v>22690</v>
      </c>
      <c r="J6438" t="s">
        <v>22691</v>
      </c>
      <c r="L6438" t="s">
        <v>29998</v>
      </c>
      <c r="M6438" t="s">
        <v>46</v>
      </c>
      <c r="N6438" t="s">
        <v>29999</v>
      </c>
      <c r="O6438" t="s">
        <v>22694</v>
      </c>
      <c r="P6438" t="s">
        <v>30000</v>
      </c>
      <c r="Q6438" t="s">
        <v>30001</v>
      </c>
      <c r="R6438">
        <v>18</v>
      </c>
      <c r="S6438">
        <v>32</v>
      </c>
    </row>
    <row r="6439" spans="1:19" x14ac:dyDescent="0.35">
      <c r="A6439">
        <v>5321</v>
      </c>
      <c r="B6439" t="s">
        <v>7148</v>
      </c>
      <c r="C6439" t="s">
        <v>42</v>
      </c>
      <c r="D6439" t="s">
        <v>29259</v>
      </c>
      <c r="E6439" t="e" cm="1">
        <f t="array" ref="E6439">- SULFADIAZINE SILVER</f>
        <v>#NAME?</v>
      </c>
      <c r="F6439" t="s">
        <v>29260</v>
      </c>
      <c r="G6439" t="s">
        <v>29261</v>
      </c>
      <c r="H6439" t="s">
        <v>29262</v>
      </c>
      <c r="I6439" t="s">
        <v>29263</v>
      </c>
    </row>
    <row r="6440" spans="1:19" x14ac:dyDescent="0.35">
      <c r="A6440">
        <v>5268</v>
      </c>
      <c r="B6440" t="s">
        <v>30002</v>
      </c>
      <c r="C6440" t="s">
        <v>42</v>
      </c>
      <c r="D6440" t="s">
        <v>30003</v>
      </c>
      <c r="E6440" t="e" cm="1">
        <f t="array" ref="E6440">- BETAMETHASONE DIPROPIONATE</f>
        <v>#NAME?</v>
      </c>
      <c r="F6440" t="s">
        <v>30004</v>
      </c>
      <c r="G6440" t="s">
        <v>22321</v>
      </c>
      <c r="H6440" t="s">
        <v>30005</v>
      </c>
      <c r="I6440" t="s">
        <v>30006</v>
      </c>
      <c r="J6440" t="s">
        <v>2040</v>
      </c>
      <c r="K6440" t="s">
        <v>25030</v>
      </c>
      <c r="L6440" t="s">
        <v>30007</v>
      </c>
      <c r="M6440" t="s">
        <v>1289</v>
      </c>
      <c r="N6440" t="s">
        <v>2685</v>
      </c>
      <c r="O6440" t="s">
        <v>30008</v>
      </c>
      <c r="P6440" t="s">
        <v>30009</v>
      </c>
      <c r="Q6440" t="s">
        <v>30010</v>
      </c>
      <c r="R6440">
        <v>18</v>
      </c>
      <c r="S6440">
        <v>32</v>
      </c>
    </row>
    <row r="6441" spans="1:19" x14ac:dyDescent="0.35">
      <c r="A6441">
        <v>5267</v>
      </c>
      <c r="B6441" t="s">
        <v>30002</v>
      </c>
      <c r="C6441" t="s">
        <v>42</v>
      </c>
      <c r="D6441" t="s">
        <v>30003</v>
      </c>
      <c r="E6441" t="e" cm="1">
        <f t="array" ref="E6441">- BETAMETHASONE DIPROPIONATE</f>
        <v>#NAME?</v>
      </c>
      <c r="F6441" t="s">
        <v>30004</v>
      </c>
      <c r="G6441" t="s">
        <v>22321</v>
      </c>
      <c r="H6441" t="s">
        <v>30005</v>
      </c>
      <c r="I6441" t="s">
        <v>30006</v>
      </c>
      <c r="J6441" t="s">
        <v>2040</v>
      </c>
      <c r="K6441" t="s">
        <v>25030</v>
      </c>
      <c r="L6441" t="s">
        <v>30007</v>
      </c>
      <c r="M6441" t="s">
        <v>1289</v>
      </c>
      <c r="N6441" t="s">
        <v>2685</v>
      </c>
      <c r="O6441" t="s">
        <v>30008</v>
      </c>
      <c r="P6441" t="s">
        <v>30009</v>
      </c>
      <c r="Q6441" t="s">
        <v>30010</v>
      </c>
      <c r="R6441">
        <v>18</v>
      </c>
      <c r="S6441">
        <v>32</v>
      </c>
    </row>
    <row r="6442" spans="1:19" x14ac:dyDescent="0.35">
      <c r="A6442">
        <v>5218</v>
      </c>
      <c r="B6442" t="s">
        <v>30011</v>
      </c>
      <c r="C6442" t="s">
        <v>42</v>
      </c>
      <c r="D6442" t="s">
        <v>30012</v>
      </c>
      <c r="E6442" t="e" cm="1">
        <f t="array" ref="E6442">- BIFONAZOLE</f>
        <v>#NAME?</v>
      </c>
      <c r="F6442" t="s">
        <v>30013</v>
      </c>
      <c r="G6442" t="s">
        <v>30014</v>
      </c>
      <c r="H6442" t="s">
        <v>30015</v>
      </c>
      <c r="I6442" t="s">
        <v>30016</v>
      </c>
      <c r="J6442" t="s">
        <v>30017</v>
      </c>
      <c r="L6442" t="s">
        <v>30018</v>
      </c>
      <c r="M6442" t="s">
        <v>1289</v>
      </c>
      <c r="N6442" t="s">
        <v>15744</v>
      </c>
      <c r="O6442" t="s">
        <v>30019</v>
      </c>
      <c r="P6442" t="s">
        <v>30020</v>
      </c>
      <c r="Q6442" t="s">
        <v>30021</v>
      </c>
      <c r="R6442">
        <v>18</v>
      </c>
      <c r="S6442">
        <v>32</v>
      </c>
    </row>
    <row r="6443" spans="1:19" x14ac:dyDescent="0.35">
      <c r="A6443">
        <v>5217</v>
      </c>
      <c r="B6443" t="s">
        <v>30011</v>
      </c>
      <c r="C6443" t="s">
        <v>42</v>
      </c>
      <c r="D6443" t="s">
        <v>30012</v>
      </c>
      <c r="E6443" t="e" cm="1">
        <f t="array" ref="E6443">- BIFONAZOLE</f>
        <v>#NAME?</v>
      </c>
      <c r="F6443" t="s">
        <v>30013</v>
      </c>
      <c r="G6443" t="s">
        <v>30014</v>
      </c>
      <c r="H6443" t="s">
        <v>30015</v>
      </c>
      <c r="I6443" t="s">
        <v>30016</v>
      </c>
      <c r="J6443" t="s">
        <v>30017</v>
      </c>
      <c r="L6443" t="s">
        <v>30018</v>
      </c>
      <c r="M6443" t="s">
        <v>1289</v>
      </c>
      <c r="N6443" t="s">
        <v>15744</v>
      </c>
      <c r="O6443" t="s">
        <v>30019</v>
      </c>
      <c r="P6443" t="s">
        <v>30020</v>
      </c>
      <c r="Q6443" t="s">
        <v>30021</v>
      </c>
      <c r="R6443">
        <v>18</v>
      </c>
      <c r="S6443">
        <v>32</v>
      </c>
    </row>
    <row r="6444" spans="1:19" x14ac:dyDescent="0.35">
      <c r="A6444">
        <v>5216</v>
      </c>
      <c r="B6444" t="s">
        <v>30011</v>
      </c>
      <c r="C6444" t="s">
        <v>42</v>
      </c>
      <c r="D6444" t="s">
        <v>30022</v>
      </c>
      <c r="E6444" t="e" cm="1">
        <f t="array" ref="E6444">- BIFONAZOLE</f>
        <v>#NAME?</v>
      </c>
      <c r="F6444" t="s">
        <v>30023</v>
      </c>
      <c r="G6444" t="s">
        <v>30014</v>
      </c>
      <c r="H6444" t="s">
        <v>30015</v>
      </c>
      <c r="I6444" t="s">
        <v>30016</v>
      </c>
      <c r="J6444" t="s">
        <v>15910</v>
      </c>
      <c r="L6444" t="s">
        <v>30018</v>
      </c>
      <c r="M6444" t="s">
        <v>1289</v>
      </c>
      <c r="N6444" t="s">
        <v>15744</v>
      </c>
      <c r="O6444" t="s">
        <v>30019</v>
      </c>
      <c r="P6444" t="s">
        <v>30020</v>
      </c>
      <c r="Q6444" t="s">
        <v>30021</v>
      </c>
      <c r="R6444">
        <v>18</v>
      </c>
      <c r="S6444">
        <v>32</v>
      </c>
    </row>
    <row r="6445" spans="1:19" x14ac:dyDescent="0.35">
      <c r="A6445">
        <v>5215</v>
      </c>
      <c r="B6445" t="s">
        <v>30011</v>
      </c>
      <c r="C6445" t="s">
        <v>42</v>
      </c>
      <c r="D6445" t="s">
        <v>30022</v>
      </c>
      <c r="E6445" t="e" cm="1">
        <f t="array" ref="E6445">- BIFONAZOLE</f>
        <v>#NAME?</v>
      </c>
      <c r="F6445" t="s">
        <v>30023</v>
      </c>
      <c r="G6445" t="s">
        <v>30014</v>
      </c>
      <c r="H6445" t="s">
        <v>30015</v>
      </c>
      <c r="I6445" t="s">
        <v>30016</v>
      </c>
      <c r="J6445" t="s">
        <v>15910</v>
      </c>
      <c r="L6445" t="s">
        <v>30018</v>
      </c>
      <c r="M6445" t="s">
        <v>1289</v>
      </c>
      <c r="N6445" t="s">
        <v>15744</v>
      </c>
      <c r="O6445" t="s">
        <v>30019</v>
      </c>
      <c r="P6445" t="s">
        <v>30020</v>
      </c>
      <c r="Q6445" t="s">
        <v>30021</v>
      </c>
      <c r="R6445">
        <v>18</v>
      </c>
      <c r="S6445">
        <v>32</v>
      </c>
    </row>
    <row r="6446" spans="1:19" x14ac:dyDescent="0.35">
      <c r="A6446">
        <v>5322</v>
      </c>
      <c r="B6446" t="s">
        <v>7148</v>
      </c>
      <c r="C6446" t="s">
        <v>42</v>
      </c>
      <c r="D6446" t="s">
        <v>29259</v>
      </c>
      <c r="E6446" t="e" cm="1">
        <f t="array" ref="E6446">- SULFADIAZINE SILVER</f>
        <v>#NAME?</v>
      </c>
      <c r="F6446" t="s">
        <v>29260</v>
      </c>
      <c r="G6446" t="s">
        <v>29261</v>
      </c>
      <c r="H6446" t="s">
        <v>29262</v>
      </c>
      <c r="I6446" t="s">
        <v>29263</v>
      </c>
    </row>
    <row r="6447" spans="1:19" x14ac:dyDescent="0.35">
      <c r="A6447">
        <v>5199</v>
      </c>
      <c r="B6447" t="s">
        <v>30024</v>
      </c>
      <c r="C6447" t="s">
        <v>42</v>
      </c>
      <c r="D6447" t="s">
        <v>30025</v>
      </c>
      <c r="E6447" t="e" cm="1">
        <f t="array" ref="E6447">- BETAMETHASONE VALERATE. GENTAMICIN SULFATE</f>
        <v>#NAME?</v>
      </c>
      <c r="F6447" t="s">
        <v>30026</v>
      </c>
      <c r="G6447" t="s">
        <v>30027</v>
      </c>
      <c r="H6447" t="s">
        <v>9718</v>
      </c>
      <c r="I6447" t="s">
        <v>30028</v>
      </c>
      <c r="J6447" t="s">
        <v>2167</v>
      </c>
      <c r="K6447" t="s">
        <v>30029</v>
      </c>
      <c r="L6447" t="s">
        <v>30030</v>
      </c>
    </row>
    <row r="6448" spans="1:19" x14ac:dyDescent="0.35">
      <c r="A6448">
        <v>5187</v>
      </c>
      <c r="B6448" t="s">
        <v>30031</v>
      </c>
      <c r="C6448" t="s">
        <v>42</v>
      </c>
      <c r="D6448" t="s">
        <v>29388</v>
      </c>
      <c r="E6448" t="e" cm="1">
        <f t="array" ref="E6448">- MICONAZOLE NITRATE</f>
        <v>#NAME?</v>
      </c>
      <c r="F6448" t="s">
        <v>30032</v>
      </c>
      <c r="G6448" t="s">
        <v>29390</v>
      </c>
      <c r="H6448" t="s">
        <v>29391</v>
      </c>
      <c r="I6448" t="s">
        <v>29392</v>
      </c>
      <c r="J6448" t="s">
        <v>29393</v>
      </c>
      <c r="L6448" t="s">
        <v>29394</v>
      </c>
      <c r="M6448" t="s">
        <v>1289</v>
      </c>
      <c r="N6448" t="s">
        <v>9389</v>
      </c>
      <c r="O6448" t="s">
        <v>29395</v>
      </c>
      <c r="P6448" t="s">
        <v>29396</v>
      </c>
      <c r="Q6448" t="s">
        <v>30033</v>
      </c>
      <c r="R6448">
        <v>18</v>
      </c>
      <c r="S6448">
        <v>32</v>
      </c>
    </row>
    <row r="6449" spans="1:19" x14ac:dyDescent="0.35">
      <c r="A6449">
        <v>5186</v>
      </c>
      <c r="B6449" t="s">
        <v>30031</v>
      </c>
      <c r="C6449" t="s">
        <v>42</v>
      </c>
      <c r="D6449" t="s">
        <v>29388</v>
      </c>
      <c r="E6449" t="e" cm="1">
        <f t="array" ref="E6449">- MICONAZOLE NITRATE</f>
        <v>#NAME?</v>
      </c>
      <c r="F6449" t="s">
        <v>30032</v>
      </c>
      <c r="G6449" t="s">
        <v>29390</v>
      </c>
      <c r="H6449" t="s">
        <v>29391</v>
      </c>
      <c r="I6449" t="s">
        <v>29392</v>
      </c>
      <c r="J6449" t="s">
        <v>29393</v>
      </c>
      <c r="L6449" t="s">
        <v>29394</v>
      </c>
      <c r="M6449" t="s">
        <v>1289</v>
      </c>
      <c r="N6449" t="s">
        <v>9389</v>
      </c>
      <c r="O6449" t="s">
        <v>29395</v>
      </c>
      <c r="P6449" t="s">
        <v>29396</v>
      </c>
      <c r="Q6449" t="s">
        <v>30033</v>
      </c>
      <c r="R6449">
        <v>18</v>
      </c>
      <c r="S6449">
        <v>32</v>
      </c>
    </row>
    <row r="6450" spans="1:19" x14ac:dyDescent="0.35">
      <c r="A6450">
        <v>5185</v>
      </c>
      <c r="B6450" t="s">
        <v>30031</v>
      </c>
      <c r="C6450" t="s">
        <v>42</v>
      </c>
      <c r="D6450" t="s">
        <v>29388</v>
      </c>
      <c r="E6450" t="e" cm="1">
        <f t="array" ref="E6450">- MICONAZOLE NITRATE</f>
        <v>#NAME?</v>
      </c>
      <c r="F6450" t="s">
        <v>30032</v>
      </c>
      <c r="G6450" t="s">
        <v>29390</v>
      </c>
      <c r="H6450" t="s">
        <v>29391</v>
      </c>
      <c r="I6450" t="s">
        <v>29392</v>
      </c>
      <c r="J6450" t="s">
        <v>29393</v>
      </c>
      <c r="L6450" t="s">
        <v>29394</v>
      </c>
      <c r="M6450" t="s">
        <v>1289</v>
      </c>
      <c r="N6450" t="s">
        <v>9389</v>
      </c>
      <c r="O6450" t="s">
        <v>29395</v>
      </c>
      <c r="P6450" t="s">
        <v>29396</v>
      </c>
      <c r="Q6450" t="s">
        <v>30033</v>
      </c>
      <c r="R6450">
        <v>18</v>
      </c>
      <c r="S6450">
        <v>32</v>
      </c>
    </row>
    <row r="6451" spans="1:19" x14ac:dyDescent="0.35">
      <c r="A6451">
        <v>5184</v>
      </c>
      <c r="B6451" t="s">
        <v>30031</v>
      </c>
      <c r="C6451" t="s">
        <v>42</v>
      </c>
      <c r="D6451" t="s">
        <v>29388</v>
      </c>
      <c r="E6451" t="e" cm="1">
        <f t="array" ref="E6451">- MICONAZOLE NITRATE</f>
        <v>#NAME?</v>
      </c>
      <c r="F6451" t="s">
        <v>30032</v>
      </c>
      <c r="G6451" t="s">
        <v>29390</v>
      </c>
      <c r="H6451" t="s">
        <v>29391</v>
      </c>
      <c r="I6451" t="s">
        <v>29392</v>
      </c>
      <c r="J6451" t="s">
        <v>29393</v>
      </c>
      <c r="L6451" t="s">
        <v>29394</v>
      </c>
      <c r="M6451" t="s">
        <v>1289</v>
      </c>
      <c r="N6451" t="s">
        <v>9389</v>
      </c>
      <c r="O6451" t="s">
        <v>29395</v>
      </c>
      <c r="P6451" t="s">
        <v>29396</v>
      </c>
      <c r="Q6451" t="s">
        <v>30033</v>
      </c>
      <c r="R6451">
        <v>18</v>
      </c>
      <c r="S6451">
        <v>32</v>
      </c>
    </row>
    <row r="6452" spans="1:19" x14ac:dyDescent="0.35">
      <c r="A6452">
        <v>5080</v>
      </c>
      <c r="B6452" t="s">
        <v>30034</v>
      </c>
      <c r="C6452" t="s">
        <v>42</v>
      </c>
      <c r="D6452" t="s">
        <v>30035</v>
      </c>
      <c r="E6452" t="e" cm="1">
        <f t="array" ref="E6452">- CLOBETASOL PROPIONATE</f>
        <v>#NAME?</v>
      </c>
      <c r="F6452" t="s">
        <v>30036</v>
      </c>
      <c r="G6452" t="s">
        <v>7210</v>
      </c>
      <c r="H6452" t="s">
        <v>30037</v>
      </c>
      <c r="I6452" t="s">
        <v>30038</v>
      </c>
      <c r="J6452" t="s">
        <v>2765</v>
      </c>
      <c r="K6452" t="s">
        <v>27555</v>
      </c>
      <c r="L6452" t="s">
        <v>30039</v>
      </c>
      <c r="M6452" t="s">
        <v>87</v>
      </c>
      <c r="N6452" t="s">
        <v>3588</v>
      </c>
      <c r="O6452" t="s">
        <v>30040</v>
      </c>
      <c r="P6452" t="s">
        <v>27558</v>
      </c>
      <c r="Q6452" t="s">
        <v>30041</v>
      </c>
      <c r="R6452">
        <v>18</v>
      </c>
      <c r="S6452">
        <v>32</v>
      </c>
    </row>
    <row r="6453" spans="1:19" x14ac:dyDescent="0.35">
      <c r="A6453">
        <v>5079</v>
      </c>
      <c r="B6453" t="s">
        <v>30034</v>
      </c>
      <c r="C6453" t="s">
        <v>42</v>
      </c>
      <c r="D6453" t="s">
        <v>30035</v>
      </c>
      <c r="E6453" t="e" cm="1">
        <f t="array" ref="E6453">- CLOBETASOL PROPIONATE</f>
        <v>#NAME?</v>
      </c>
      <c r="F6453" t="s">
        <v>30036</v>
      </c>
      <c r="G6453" t="s">
        <v>7210</v>
      </c>
      <c r="H6453" t="s">
        <v>30037</v>
      </c>
      <c r="I6453" t="s">
        <v>30038</v>
      </c>
      <c r="J6453" t="s">
        <v>2765</v>
      </c>
      <c r="K6453" t="s">
        <v>27555</v>
      </c>
      <c r="L6453" t="s">
        <v>30039</v>
      </c>
      <c r="M6453" t="s">
        <v>87</v>
      </c>
      <c r="N6453" t="s">
        <v>3588</v>
      </c>
      <c r="O6453" t="s">
        <v>30040</v>
      </c>
      <c r="P6453" t="s">
        <v>27558</v>
      </c>
      <c r="Q6453" t="s">
        <v>30041</v>
      </c>
      <c r="R6453">
        <v>18</v>
      </c>
      <c r="S6453">
        <v>32</v>
      </c>
    </row>
    <row r="6454" spans="1:19" x14ac:dyDescent="0.35">
      <c r="A6454">
        <v>5076</v>
      </c>
      <c r="B6454" t="s">
        <v>30042</v>
      </c>
      <c r="C6454" t="s">
        <v>42</v>
      </c>
      <c r="D6454" t="s">
        <v>30043</v>
      </c>
      <c r="E6454" t="e" cm="1">
        <f t="array" ref="E6454">- CLOBETASOL PROPIONATE</f>
        <v>#NAME?</v>
      </c>
      <c r="F6454" t="s">
        <v>30044</v>
      </c>
      <c r="G6454" t="s">
        <v>7210</v>
      </c>
      <c r="H6454" t="s">
        <v>27552</v>
      </c>
      <c r="I6454" t="s">
        <v>27553</v>
      </c>
      <c r="J6454" t="s">
        <v>30045</v>
      </c>
      <c r="K6454" t="s">
        <v>27555</v>
      </c>
      <c r="L6454" t="s">
        <v>27556</v>
      </c>
      <c r="M6454" t="s">
        <v>1289</v>
      </c>
      <c r="N6454" t="s">
        <v>3588</v>
      </c>
      <c r="O6454" t="s">
        <v>27557</v>
      </c>
      <c r="P6454" t="s">
        <v>30046</v>
      </c>
      <c r="Q6454" t="s">
        <v>30047</v>
      </c>
      <c r="R6454">
        <v>18</v>
      </c>
      <c r="S6454">
        <v>32</v>
      </c>
    </row>
    <row r="6455" spans="1:19" x14ac:dyDescent="0.35">
      <c r="A6455">
        <v>5188</v>
      </c>
      <c r="B6455" t="s">
        <v>27114</v>
      </c>
      <c r="C6455" t="s">
        <v>42</v>
      </c>
      <c r="D6455" t="s">
        <v>27115</v>
      </c>
      <c r="E6455" t="e" cm="1">
        <f t="array" ref="E6455">- MICONAZOLE NITRATE. HYDROCORTISONE</f>
        <v>#NAME?</v>
      </c>
      <c r="F6455" t="s">
        <v>27116</v>
      </c>
      <c r="G6455" t="s">
        <v>27117</v>
      </c>
      <c r="H6455" t="s">
        <v>27118</v>
      </c>
      <c r="I6455" t="s">
        <v>27119</v>
      </c>
      <c r="J6455" t="s">
        <v>2040</v>
      </c>
      <c r="K6455" t="s">
        <v>27120</v>
      </c>
      <c r="L6455" t="s">
        <v>27121</v>
      </c>
      <c r="M6455" t="s">
        <v>1289</v>
      </c>
      <c r="N6455" t="s">
        <v>30048</v>
      </c>
      <c r="O6455" t="s">
        <v>27123</v>
      </c>
      <c r="P6455" t="s">
        <v>27124</v>
      </c>
      <c r="Q6455" t="s">
        <v>30049</v>
      </c>
      <c r="R6455">
        <v>18</v>
      </c>
      <c r="S6455">
        <v>32</v>
      </c>
    </row>
    <row r="6456" spans="1:19" x14ac:dyDescent="0.35">
      <c r="A6456">
        <v>5379</v>
      </c>
      <c r="B6456" t="s">
        <v>30050</v>
      </c>
      <c r="C6456" t="s">
        <v>42</v>
      </c>
      <c r="D6456" t="s">
        <v>30051</v>
      </c>
      <c r="E6456" t="e" cm="1">
        <f t="array" ref="E6456">- NEOMYCIN SULFATE. DESOXIMETASONE</f>
        <v>#NAME?</v>
      </c>
      <c r="F6456" t="s">
        <v>30052</v>
      </c>
      <c r="G6456" t="s">
        <v>30053</v>
      </c>
      <c r="H6456" t="s">
        <v>30054</v>
      </c>
      <c r="I6456" t="s">
        <v>30055</v>
      </c>
      <c r="J6456" t="s">
        <v>1367</v>
      </c>
      <c r="K6456" t="s">
        <v>10822</v>
      </c>
      <c r="L6456" t="s">
        <v>30056</v>
      </c>
      <c r="M6456" t="s">
        <v>1289</v>
      </c>
      <c r="N6456" t="s">
        <v>30057</v>
      </c>
      <c r="O6456" t="s">
        <v>30058</v>
      </c>
      <c r="P6456" t="s">
        <v>30059</v>
      </c>
      <c r="Q6456" t="s">
        <v>30060</v>
      </c>
      <c r="R6456">
        <v>18</v>
      </c>
      <c r="S6456">
        <v>32</v>
      </c>
    </row>
    <row r="6457" spans="1:19" x14ac:dyDescent="0.35">
      <c r="A6457">
        <v>5416</v>
      </c>
      <c r="B6457" t="s">
        <v>27031</v>
      </c>
      <c r="C6457" t="s">
        <v>42</v>
      </c>
      <c r="D6457" t="s">
        <v>27032</v>
      </c>
      <c r="E6457" t="e" cm="1">
        <f t="array" ref="E6457">- FLUOCINOLONE ACETONIDE. NEOMYCIN SULFATE</f>
        <v>#NAME?</v>
      </c>
      <c r="F6457" t="s">
        <v>27033</v>
      </c>
      <c r="G6457" t="s">
        <v>27034</v>
      </c>
      <c r="H6457" t="s">
        <v>9718</v>
      </c>
      <c r="I6457" t="s">
        <v>27035</v>
      </c>
      <c r="J6457" t="s">
        <v>9720</v>
      </c>
      <c r="K6457" t="s">
        <v>27036</v>
      </c>
      <c r="L6457" t="s">
        <v>27037</v>
      </c>
      <c r="M6457" t="s">
        <v>1289</v>
      </c>
      <c r="N6457" t="s">
        <v>9723</v>
      </c>
      <c r="O6457" t="s">
        <v>27038</v>
      </c>
      <c r="P6457" t="s">
        <v>27039</v>
      </c>
      <c r="Q6457" t="s">
        <v>30061</v>
      </c>
      <c r="R6457">
        <v>18</v>
      </c>
      <c r="S6457">
        <v>32</v>
      </c>
    </row>
    <row r="6458" spans="1:19" x14ac:dyDescent="0.35">
      <c r="A6458">
        <v>5450</v>
      </c>
      <c r="B6458" t="s">
        <v>30062</v>
      </c>
      <c r="C6458" t="s">
        <v>42</v>
      </c>
      <c r="D6458" t="s">
        <v>30063</v>
      </c>
      <c r="E6458" t="e" cm="1">
        <f t="array" ref="E6458">- CHLORAMPHENICOL</f>
        <v>#NAME?</v>
      </c>
      <c r="F6458" t="s">
        <v>30064</v>
      </c>
      <c r="G6458" t="s">
        <v>7120</v>
      </c>
      <c r="H6458" t="s">
        <v>30065</v>
      </c>
      <c r="I6458" t="s">
        <v>30066</v>
      </c>
      <c r="J6458" t="s">
        <v>2167</v>
      </c>
      <c r="K6458" t="s">
        <v>30067</v>
      </c>
      <c r="L6458" t="s">
        <v>30068</v>
      </c>
      <c r="M6458" t="s">
        <v>1289</v>
      </c>
      <c r="N6458" t="s">
        <v>1188</v>
      </c>
      <c r="O6458" t="s">
        <v>30069</v>
      </c>
      <c r="P6458" t="s">
        <v>30070</v>
      </c>
      <c r="Q6458" t="s">
        <v>30071</v>
      </c>
      <c r="R6458">
        <v>18</v>
      </c>
      <c r="S6458">
        <v>32</v>
      </c>
    </row>
    <row r="6459" spans="1:19" x14ac:dyDescent="0.35">
      <c r="A6459">
        <v>5902</v>
      </c>
      <c r="B6459" t="s">
        <v>30072</v>
      </c>
      <c r="C6459" t="s">
        <v>42</v>
      </c>
      <c r="D6459" t="s">
        <v>30073</v>
      </c>
      <c r="E6459" t="e" cm="1">
        <f t="array" ref="E6459">- THIAMPHENICOL</f>
        <v>#NAME?</v>
      </c>
      <c r="F6459" s="1">
        <v>52600</v>
      </c>
      <c r="H6459" t="s">
        <v>30074</v>
      </c>
      <c r="I6459" t="s">
        <v>30075</v>
      </c>
      <c r="J6459" t="s">
        <v>30076</v>
      </c>
      <c r="L6459" t="s">
        <v>321</v>
      </c>
      <c r="M6459" t="s">
        <v>38</v>
      </c>
      <c r="N6459" t="s">
        <v>272</v>
      </c>
      <c r="O6459" t="s">
        <v>30077</v>
      </c>
      <c r="P6459" t="s">
        <v>30078</v>
      </c>
      <c r="Q6459" t="s">
        <v>30079</v>
      </c>
      <c r="R6459">
        <v>18</v>
      </c>
      <c r="S6459">
        <v>32</v>
      </c>
    </row>
    <row r="6460" spans="1:19" x14ac:dyDescent="0.35">
      <c r="A6460">
        <v>5901</v>
      </c>
      <c r="B6460" t="s">
        <v>30072</v>
      </c>
      <c r="C6460" t="s">
        <v>42</v>
      </c>
      <c r="D6460" t="s">
        <v>30073</v>
      </c>
      <c r="E6460" t="e" cm="1">
        <f t="array" ref="E6460">- THIAMPHENICOL</f>
        <v>#NAME?</v>
      </c>
      <c r="F6460" s="1">
        <v>52600</v>
      </c>
      <c r="H6460" t="s">
        <v>30074</v>
      </c>
      <c r="I6460" t="s">
        <v>30075</v>
      </c>
      <c r="J6460" t="s">
        <v>30076</v>
      </c>
      <c r="L6460" t="s">
        <v>321</v>
      </c>
      <c r="M6460" t="s">
        <v>38</v>
      </c>
      <c r="N6460" t="s">
        <v>272</v>
      </c>
      <c r="O6460" t="s">
        <v>30077</v>
      </c>
      <c r="P6460" t="s">
        <v>30078</v>
      </c>
      <c r="Q6460" t="s">
        <v>30079</v>
      </c>
      <c r="R6460">
        <v>18</v>
      </c>
      <c r="S6460">
        <v>32</v>
      </c>
    </row>
    <row r="6461" spans="1:19" x14ac:dyDescent="0.35">
      <c r="A6461">
        <v>1736</v>
      </c>
      <c r="B6461" t="s">
        <v>29576</v>
      </c>
      <c r="C6461" t="s">
        <v>850</v>
      </c>
      <c r="D6461" t="s">
        <v>29577</v>
      </c>
      <c r="E6461" t="e" cm="1">
        <f t="array" ref="E6461">- Camphor BP</f>
        <v>#NAME?</v>
      </c>
      <c r="F6461" t="s">
        <v>29578</v>
      </c>
      <c r="G6461" t="s">
        <v>29579</v>
      </c>
      <c r="H6461" t="s">
        <v>13198</v>
      </c>
      <c r="I6461" t="s">
        <v>29580</v>
      </c>
      <c r="J6461" t="s">
        <v>29581</v>
      </c>
      <c r="N6461" t="s">
        <v>29582</v>
      </c>
      <c r="O6461" t="s">
        <v>29583</v>
      </c>
      <c r="P6461" t="s">
        <v>29584</v>
      </c>
      <c r="Q6461" t="s">
        <v>29585</v>
      </c>
      <c r="R6461">
        <v>18</v>
      </c>
      <c r="S6461">
        <v>32</v>
      </c>
    </row>
    <row r="6462" spans="1:19" x14ac:dyDescent="0.35">
      <c r="A6462">
        <v>5821</v>
      </c>
      <c r="B6462" t="s">
        <v>30080</v>
      </c>
      <c r="C6462" t="s">
        <v>42</v>
      </c>
      <c r="D6462" t="s">
        <v>30081</v>
      </c>
      <c r="E6462" t="e" cm="1">
        <f t="array" ref="E6462">- AZITHROMYCIN DIHYDRATE</f>
        <v>#NAME?</v>
      </c>
      <c r="F6462" s="1">
        <v>336000</v>
      </c>
      <c r="G6462" t="s">
        <v>5301</v>
      </c>
      <c r="H6462" t="s">
        <v>30082</v>
      </c>
      <c r="I6462" t="s">
        <v>30083</v>
      </c>
      <c r="J6462" t="s">
        <v>30084</v>
      </c>
      <c r="K6462" t="s">
        <v>2726</v>
      </c>
      <c r="L6462" t="s">
        <v>270</v>
      </c>
      <c r="M6462" t="s">
        <v>291</v>
      </c>
      <c r="N6462" t="s">
        <v>13005</v>
      </c>
      <c r="O6462" t="s">
        <v>30085</v>
      </c>
      <c r="P6462" t="s">
        <v>30086</v>
      </c>
      <c r="Q6462" t="s">
        <v>30087</v>
      </c>
      <c r="R6462">
        <v>18</v>
      </c>
      <c r="S6462">
        <v>32</v>
      </c>
    </row>
    <row r="6463" spans="1:19" x14ac:dyDescent="0.35">
      <c r="A6463">
        <v>5791</v>
      </c>
      <c r="B6463" t="s">
        <v>30088</v>
      </c>
      <c r="C6463" t="s">
        <v>42</v>
      </c>
      <c r="D6463" t="s">
        <v>30089</v>
      </c>
      <c r="E6463" t="e" cm="1">
        <f t="array" ref="E6463">- LINCOMYCIN</f>
        <v>#NAME?</v>
      </c>
      <c r="F6463" t="s">
        <v>30090</v>
      </c>
      <c r="G6463" t="s">
        <v>30091</v>
      </c>
      <c r="H6463" t="s">
        <v>30092</v>
      </c>
      <c r="I6463" t="s">
        <v>30093</v>
      </c>
      <c r="J6463" t="s">
        <v>18357</v>
      </c>
      <c r="K6463" t="s">
        <v>30094</v>
      </c>
      <c r="L6463" t="s">
        <v>30095</v>
      </c>
      <c r="M6463" t="s">
        <v>38</v>
      </c>
      <c r="N6463" t="s">
        <v>28615</v>
      </c>
      <c r="O6463" t="s">
        <v>30096</v>
      </c>
      <c r="P6463" t="s">
        <v>30097</v>
      </c>
      <c r="Q6463" t="s">
        <v>30098</v>
      </c>
      <c r="R6463">
        <v>18</v>
      </c>
      <c r="S6463">
        <v>32</v>
      </c>
    </row>
    <row r="6464" spans="1:19" x14ac:dyDescent="0.35">
      <c r="A6464">
        <v>5773</v>
      </c>
      <c r="B6464" t="s">
        <v>30099</v>
      </c>
      <c r="C6464" t="s">
        <v>42</v>
      </c>
      <c r="D6464" t="s">
        <v>30100</v>
      </c>
      <c r="E6464" t="e" cm="1">
        <f t="array" ref="E6464">- FUSIDIC ACID</f>
        <v>#NAME?</v>
      </c>
      <c r="F6464" t="s">
        <v>30101</v>
      </c>
      <c r="G6464" t="s">
        <v>23461</v>
      </c>
      <c r="H6464" t="s">
        <v>30102</v>
      </c>
      <c r="I6464" t="s">
        <v>30103</v>
      </c>
      <c r="J6464" t="s">
        <v>2040</v>
      </c>
      <c r="K6464" t="s">
        <v>3952</v>
      </c>
      <c r="L6464" t="s">
        <v>30104</v>
      </c>
      <c r="M6464" t="s">
        <v>1289</v>
      </c>
      <c r="N6464" t="s">
        <v>3865</v>
      </c>
      <c r="O6464" t="s">
        <v>30105</v>
      </c>
      <c r="P6464" t="s">
        <v>30106</v>
      </c>
      <c r="Q6464" t="s">
        <v>30107</v>
      </c>
      <c r="R6464">
        <v>18</v>
      </c>
      <c r="S6464">
        <v>32</v>
      </c>
    </row>
    <row r="6465" spans="1:19" x14ac:dyDescent="0.35">
      <c r="A6465">
        <v>5681</v>
      </c>
      <c r="B6465" t="s">
        <v>30108</v>
      </c>
      <c r="C6465" t="s">
        <v>42</v>
      </c>
      <c r="D6465" t="s">
        <v>30109</v>
      </c>
      <c r="E6465" t="e" cm="1">
        <f t="array" ref="E6465">- THIAMPHENICOL</f>
        <v>#NAME?</v>
      </c>
      <c r="F6465" t="s">
        <v>30110</v>
      </c>
      <c r="G6465" t="s">
        <v>737</v>
      </c>
      <c r="H6465" t="s">
        <v>28594</v>
      </c>
      <c r="I6465" t="s">
        <v>28595</v>
      </c>
      <c r="J6465" t="s">
        <v>30111</v>
      </c>
      <c r="K6465" t="s">
        <v>28596</v>
      </c>
      <c r="L6465" t="s">
        <v>30112</v>
      </c>
      <c r="M6465" t="s">
        <v>38</v>
      </c>
      <c r="N6465" t="s">
        <v>272</v>
      </c>
      <c r="O6465" t="s">
        <v>28598</v>
      </c>
      <c r="P6465" t="s">
        <v>30113</v>
      </c>
      <c r="Q6465" t="s">
        <v>30114</v>
      </c>
      <c r="R6465">
        <v>18</v>
      </c>
      <c r="S6465">
        <v>32</v>
      </c>
    </row>
    <row r="6466" spans="1:19" x14ac:dyDescent="0.35">
      <c r="A6466">
        <v>5680</v>
      </c>
      <c r="B6466" t="s">
        <v>30108</v>
      </c>
      <c r="C6466" t="s">
        <v>42</v>
      </c>
      <c r="D6466" t="s">
        <v>30109</v>
      </c>
      <c r="E6466" t="e" cm="1">
        <f t="array" ref="E6466">- THIAMPHENICOL</f>
        <v>#NAME?</v>
      </c>
      <c r="F6466" t="s">
        <v>30110</v>
      </c>
      <c r="G6466" t="s">
        <v>737</v>
      </c>
      <c r="H6466" t="s">
        <v>28594</v>
      </c>
      <c r="I6466" t="s">
        <v>28595</v>
      </c>
      <c r="J6466" t="s">
        <v>30111</v>
      </c>
      <c r="K6466" t="s">
        <v>28596</v>
      </c>
      <c r="L6466" t="s">
        <v>30112</v>
      </c>
      <c r="M6466" t="s">
        <v>38</v>
      </c>
      <c r="N6466" t="s">
        <v>272</v>
      </c>
      <c r="O6466" t="s">
        <v>28598</v>
      </c>
      <c r="P6466" t="s">
        <v>30113</v>
      </c>
      <c r="Q6466" t="s">
        <v>30114</v>
      </c>
      <c r="R6466">
        <v>18</v>
      </c>
      <c r="S6466">
        <v>32</v>
      </c>
    </row>
    <row r="6467" spans="1:19" x14ac:dyDescent="0.35">
      <c r="A6467">
        <v>5602</v>
      </c>
      <c r="B6467" t="s">
        <v>26826</v>
      </c>
      <c r="C6467" t="s">
        <v>42</v>
      </c>
      <c r="D6467" t="s">
        <v>26827</v>
      </c>
      <c r="E6467" t="e" cm="1">
        <f t="array" ref="E6467">- NEOMYCIN SULFATE. GRAMICIDIN</f>
        <v>#NAME?</v>
      </c>
      <c r="F6467" t="s">
        <v>26828</v>
      </c>
      <c r="G6467" t="s">
        <v>26829</v>
      </c>
      <c r="H6467" t="s">
        <v>26830</v>
      </c>
      <c r="I6467" t="s">
        <v>26831</v>
      </c>
      <c r="J6467" t="s">
        <v>26832</v>
      </c>
      <c r="K6467" t="s">
        <v>26833</v>
      </c>
      <c r="L6467" t="s">
        <v>26834</v>
      </c>
      <c r="M6467" t="s">
        <v>46</v>
      </c>
      <c r="N6467" t="s">
        <v>30115</v>
      </c>
      <c r="O6467" t="s">
        <v>26835</v>
      </c>
      <c r="P6467" t="s">
        <v>26836</v>
      </c>
      <c r="Q6467" t="s">
        <v>30116</v>
      </c>
      <c r="R6467">
        <v>18</v>
      </c>
      <c r="S6467">
        <v>32</v>
      </c>
    </row>
    <row r="6468" spans="1:19" x14ac:dyDescent="0.35">
      <c r="A6468">
        <v>937</v>
      </c>
      <c r="B6468" t="s">
        <v>30117</v>
      </c>
      <c r="C6468" t="s">
        <v>42</v>
      </c>
      <c r="D6468" t="s">
        <v>30118</v>
      </c>
      <c r="E6468" t="e" cm="1">
        <f t="array" ref="E6468">- DEXTROMETHORPHAN HYDROBROMIDE</f>
        <v>#NAME?</v>
      </c>
      <c r="F6468" t="s">
        <v>30119</v>
      </c>
      <c r="G6468" t="s">
        <v>5839</v>
      </c>
      <c r="H6468" t="s">
        <v>30120</v>
      </c>
      <c r="I6468" t="s">
        <v>30121</v>
      </c>
      <c r="J6468" t="s">
        <v>334</v>
      </c>
      <c r="K6468" t="s">
        <v>30122</v>
      </c>
      <c r="L6468" t="s">
        <v>30123</v>
      </c>
      <c r="M6468" t="s">
        <v>271</v>
      </c>
      <c r="N6468" t="s">
        <v>1376</v>
      </c>
      <c r="O6468" t="s">
        <v>30124</v>
      </c>
      <c r="P6468" t="s">
        <v>30125</v>
      </c>
      <c r="Q6468" t="s">
        <v>30126</v>
      </c>
      <c r="R6468">
        <v>18</v>
      </c>
      <c r="S6468">
        <v>32</v>
      </c>
    </row>
    <row r="6469" spans="1:19" x14ac:dyDescent="0.35">
      <c r="A6469">
        <v>952</v>
      </c>
      <c r="B6469" t="s">
        <v>30127</v>
      </c>
      <c r="C6469" t="s">
        <v>42</v>
      </c>
      <c r="D6469" t="s">
        <v>30128</v>
      </c>
      <c r="E6469" t="e" cm="1">
        <f t="array" ref="E6469">- CHLORPHENAMINE MALEATE</f>
        <v>#NAME?</v>
      </c>
      <c r="F6469" t="s">
        <v>30129</v>
      </c>
      <c r="G6469" t="s">
        <v>2453</v>
      </c>
      <c r="H6469" t="s">
        <v>30130</v>
      </c>
      <c r="I6469" t="s">
        <v>30131</v>
      </c>
      <c r="J6469" t="s">
        <v>30132</v>
      </c>
      <c r="K6469" t="s">
        <v>30133</v>
      </c>
      <c r="L6469" t="s">
        <v>30134</v>
      </c>
      <c r="M6469" t="s">
        <v>291</v>
      </c>
      <c r="N6469" t="s">
        <v>1354</v>
      </c>
      <c r="O6469" t="s">
        <v>30135</v>
      </c>
      <c r="P6469" t="s">
        <v>30136</v>
      </c>
      <c r="Q6469" t="s">
        <v>30137</v>
      </c>
      <c r="R6469">
        <v>18</v>
      </c>
      <c r="S6469">
        <v>32</v>
      </c>
    </row>
    <row r="6470" spans="1:19" x14ac:dyDescent="0.35">
      <c r="A6470">
        <v>5516</v>
      </c>
      <c r="B6470" t="s">
        <v>27071</v>
      </c>
      <c r="C6470" t="s">
        <v>42</v>
      </c>
      <c r="D6470" t="s">
        <v>27072</v>
      </c>
      <c r="E6470" t="e" cm="1">
        <f t="array" ref="E6470">- MICONAZOLE NITRATE. HYDROCORTISONE ACETATE</f>
        <v>#NAME?</v>
      </c>
      <c r="F6470" t="s">
        <v>27073</v>
      </c>
      <c r="H6470" t="s">
        <v>27074</v>
      </c>
      <c r="I6470" t="s">
        <v>27075</v>
      </c>
      <c r="J6470" t="s">
        <v>23091</v>
      </c>
      <c r="K6470" t="s">
        <v>27076</v>
      </c>
      <c r="L6470" t="s">
        <v>27077</v>
      </c>
      <c r="M6470" t="s">
        <v>1289</v>
      </c>
      <c r="N6470" t="s">
        <v>30138</v>
      </c>
      <c r="O6470" t="s">
        <v>27078</v>
      </c>
      <c r="P6470" t="s">
        <v>27079</v>
      </c>
      <c r="Q6470" t="s">
        <v>30139</v>
      </c>
      <c r="R6470">
        <v>18</v>
      </c>
      <c r="S6470">
        <v>32</v>
      </c>
    </row>
    <row r="6471" spans="1:19" x14ac:dyDescent="0.35">
      <c r="A6471">
        <v>5505</v>
      </c>
      <c r="B6471" t="s">
        <v>30140</v>
      </c>
      <c r="C6471" t="s">
        <v>42</v>
      </c>
      <c r="D6471" t="s">
        <v>30141</v>
      </c>
      <c r="E6471" t="e" cm="1">
        <f t="array" ref="E6471">- KETOCONAZOLE</f>
        <v>#NAME?</v>
      </c>
      <c r="F6471" t="s">
        <v>30142</v>
      </c>
      <c r="G6471" t="s">
        <v>14072</v>
      </c>
      <c r="I6471" t="s">
        <v>27934</v>
      </c>
      <c r="J6471" t="s">
        <v>2167</v>
      </c>
      <c r="L6471" t="s">
        <v>30143</v>
      </c>
      <c r="M6471" t="s">
        <v>1289</v>
      </c>
      <c r="N6471" t="s">
        <v>533</v>
      </c>
      <c r="O6471" t="s">
        <v>27936</v>
      </c>
      <c r="P6471" t="s">
        <v>30144</v>
      </c>
      <c r="Q6471" t="s">
        <v>30145</v>
      </c>
      <c r="R6471">
        <v>18</v>
      </c>
      <c r="S6471">
        <v>32</v>
      </c>
    </row>
    <row r="6472" spans="1:19" x14ac:dyDescent="0.35">
      <c r="A6472">
        <v>5502</v>
      </c>
      <c r="B6472" t="s">
        <v>30146</v>
      </c>
      <c r="C6472" t="s">
        <v>42</v>
      </c>
      <c r="D6472" t="s">
        <v>30147</v>
      </c>
      <c r="E6472" t="e" cm="1">
        <f t="array" ref="E6472">- KETOCONAZOLE</f>
        <v>#NAME?</v>
      </c>
      <c r="F6472" t="s">
        <v>30148</v>
      </c>
      <c r="G6472" t="s">
        <v>30149</v>
      </c>
      <c r="H6472" t="s">
        <v>30150</v>
      </c>
    </row>
    <row r="6473" spans="1:19" x14ac:dyDescent="0.35">
      <c r="A6473">
        <v>5501</v>
      </c>
      <c r="B6473" t="s">
        <v>30146</v>
      </c>
      <c r="C6473" t="s">
        <v>42</v>
      </c>
      <c r="D6473" t="s">
        <v>30147</v>
      </c>
      <c r="E6473" t="e" cm="1">
        <f t="array" ref="E6473">- KETOCONAZOLE</f>
        <v>#NAME?</v>
      </c>
      <c r="F6473" t="s">
        <v>30148</v>
      </c>
      <c r="G6473" t="s">
        <v>30149</v>
      </c>
      <c r="H6473" t="s">
        <v>30150</v>
      </c>
    </row>
    <row r="6474" spans="1:19" x14ac:dyDescent="0.35">
      <c r="A6474">
        <v>5494</v>
      </c>
      <c r="B6474" t="s">
        <v>30151</v>
      </c>
      <c r="C6474" t="s">
        <v>42</v>
      </c>
      <c r="D6474" t="s">
        <v>30152</v>
      </c>
      <c r="E6474" t="e" cm="1">
        <f t="array" ref="E6474">- HYDROCORTISONE</f>
        <v>#NAME?</v>
      </c>
      <c r="F6474" t="s">
        <v>30153</v>
      </c>
      <c r="H6474" t="s">
        <v>30154</v>
      </c>
      <c r="I6474" t="s">
        <v>30155</v>
      </c>
      <c r="J6474" t="s">
        <v>30156</v>
      </c>
      <c r="K6474" t="s">
        <v>30157</v>
      </c>
      <c r="L6474" t="s">
        <v>30158</v>
      </c>
    </row>
    <row r="6475" spans="1:19" x14ac:dyDescent="0.35">
      <c r="A6475">
        <v>5467</v>
      </c>
      <c r="B6475" t="s">
        <v>30159</v>
      </c>
      <c r="C6475" t="s">
        <v>42</v>
      </c>
      <c r="D6475" t="s">
        <v>30160</v>
      </c>
      <c r="E6475" t="e" cm="1">
        <f t="array" ref="E6475">- BACITRACIN ZINC</f>
        <v>#NAME?</v>
      </c>
      <c r="F6475" t="s">
        <v>30161</v>
      </c>
      <c r="G6475" t="s">
        <v>30162</v>
      </c>
      <c r="H6475" t="s">
        <v>269</v>
      </c>
      <c r="I6475" t="s">
        <v>30163</v>
      </c>
      <c r="J6475" t="s">
        <v>30164</v>
      </c>
      <c r="K6475" t="s">
        <v>2726</v>
      </c>
      <c r="L6475" t="s">
        <v>30165</v>
      </c>
      <c r="M6475" t="s">
        <v>1029</v>
      </c>
      <c r="N6475" t="s">
        <v>7295</v>
      </c>
      <c r="O6475" t="s">
        <v>30166</v>
      </c>
      <c r="P6475" t="s">
        <v>30167</v>
      </c>
      <c r="Q6475" t="s">
        <v>30168</v>
      </c>
      <c r="R6475">
        <v>18</v>
      </c>
      <c r="S6475">
        <v>32</v>
      </c>
    </row>
    <row r="6476" spans="1:19" x14ac:dyDescent="0.35">
      <c r="A6476">
        <v>5005</v>
      </c>
      <c r="B6476" t="s">
        <v>30169</v>
      </c>
      <c r="C6476" t="s">
        <v>42</v>
      </c>
      <c r="D6476" t="s">
        <v>30170</v>
      </c>
      <c r="E6476" t="e" cm="1">
        <f t="array" ref="E6476">- CLOBETASOL PROPIONATE</f>
        <v>#NAME?</v>
      </c>
      <c r="F6476" t="s">
        <v>19465</v>
      </c>
      <c r="G6476" t="s">
        <v>30171</v>
      </c>
      <c r="H6476" t="s">
        <v>30172</v>
      </c>
      <c r="I6476" t="s">
        <v>30173</v>
      </c>
      <c r="J6476" t="s">
        <v>2167</v>
      </c>
      <c r="K6476" t="s">
        <v>30174</v>
      </c>
      <c r="L6476" t="s">
        <v>30175</v>
      </c>
      <c r="M6476" t="s">
        <v>1029</v>
      </c>
      <c r="N6476" t="s">
        <v>3588</v>
      </c>
      <c r="O6476" t="s">
        <v>30176</v>
      </c>
      <c r="P6476" t="s">
        <v>30177</v>
      </c>
      <c r="Q6476" t="s">
        <v>30178</v>
      </c>
      <c r="R6476">
        <v>18</v>
      </c>
      <c r="S6476">
        <v>32</v>
      </c>
    </row>
    <row r="6477" spans="1:19" x14ac:dyDescent="0.35">
      <c r="A6477">
        <v>4328</v>
      </c>
      <c r="B6477" t="s">
        <v>30179</v>
      </c>
      <c r="C6477" t="s">
        <v>42</v>
      </c>
      <c r="D6477" t="s">
        <v>30180</v>
      </c>
      <c r="E6477" t="e" cm="1">
        <f t="array" ref="E6477">- POVIDONE-IODINE</f>
        <v>#NAME?</v>
      </c>
      <c r="F6477" t="s">
        <v>30181</v>
      </c>
      <c r="G6477" t="s">
        <v>30182</v>
      </c>
      <c r="H6477" t="s">
        <v>30183</v>
      </c>
      <c r="I6477" t="s">
        <v>30184</v>
      </c>
      <c r="J6477" t="s">
        <v>30185</v>
      </c>
      <c r="K6477" t="s">
        <v>30186</v>
      </c>
      <c r="L6477" t="s">
        <v>30187</v>
      </c>
      <c r="M6477" t="s">
        <v>3453</v>
      </c>
      <c r="N6477" t="s">
        <v>555</v>
      </c>
      <c r="O6477" t="s">
        <v>30188</v>
      </c>
      <c r="P6477" t="s">
        <v>30189</v>
      </c>
      <c r="Q6477" t="s">
        <v>30190</v>
      </c>
      <c r="R6477">
        <v>18</v>
      </c>
      <c r="S6477">
        <v>32</v>
      </c>
    </row>
    <row r="6478" spans="1:19" x14ac:dyDescent="0.35">
      <c r="A6478">
        <v>5004</v>
      </c>
      <c r="B6478" t="s">
        <v>30169</v>
      </c>
      <c r="C6478" t="s">
        <v>42</v>
      </c>
      <c r="D6478" t="s">
        <v>30170</v>
      </c>
      <c r="E6478" t="e" cm="1">
        <f t="array" ref="E6478">- CLOBETASOL PROPIONATE</f>
        <v>#NAME?</v>
      </c>
      <c r="F6478" t="s">
        <v>19465</v>
      </c>
      <c r="G6478" t="s">
        <v>30171</v>
      </c>
      <c r="H6478" t="s">
        <v>30172</v>
      </c>
      <c r="I6478" t="s">
        <v>30173</v>
      </c>
      <c r="J6478" t="s">
        <v>2167</v>
      </c>
      <c r="K6478" t="s">
        <v>30174</v>
      </c>
      <c r="L6478" t="s">
        <v>30175</v>
      </c>
      <c r="M6478" t="s">
        <v>1029</v>
      </c>
      <c r="N6478" t="s">
        <v>3588</v>
      </c>
      <c r="O6478" t="s">
        <v>30176</v>
      </c>
      <c r="P6478" t="s">
        <v>30177</v>
      </c>
      <c r="Q6478" t="s">
        <v>30178</v>
      </c>
      <c r="R6478">
        <v>18</v>
      </c>
      <c r="S6478">
        <v>32</v>
      </c>
    </row>
    <row r="6479" spans="1:19" x14ac:dyDescent="0.35">
      <c r="A6479">
        <v>1039</v>
      </c>
      <c r="B6479" t="s">
        <v>26747</v>
      </c>
      <c r="C6479" t="s">
        <v>42</v>
      </c>
      <c r="D6479" t="s">
        <v>26748</v>
      </c>
      <c r="E6479" t="e" cm="1">
        <f t="array" ref="E6479">- PSEUDOEPHEDRINE HYDROCHLORIDE. CHLORPHENAMINE MALEATE</f>
        <v>#NAME?</v>
      </c>
      <c r="F6479" t="s">
        <v>26749</v>
      </c>
      <c r="G6479" t="s">
        <v>60</v>
      </c>
      <c r="H6479" t="s">
        <v>26750</v>
      </c>
      <c r="I6479" t="s">
        <v>26751</v>
      </c>
      <c r="J6479" t="s">
        <v>334</v>
      </c>
      <c r="K6479" t="s">
        <v>26752</v>
      </c>
      <c r="L6479" t="s">
        <v>26753</v>
      </c>
      <c r="M6479" t="s">
        <v>271</v>
      </c>
      <c r="N6479" t="s">
        <v>4926</v>
      </c>
      <c r="O6479" t="s">
        <v>26754</v>
      </c>
      <c r="P6479" t="s">
        <v>26755</v>
      </c>
      <c r="Q6479" t="s">
        <v>30191</v>
      </c>
      <c r="R6479">
        <v>18</v>
      </c>
      <c r="S6479">
        <v>32</v>
      </c>
    </row>
    <row r="6480" spans="1:19" x14ac:dyDescent="0.35">
      <c r="A6480">
        <v>4490</v>
      </c>
      <c r="B6480" t="s">
        <v>27372</v>
      </c>
      <c r="C6480" t="s">
        <v>42</v>
      </c>
      <c r="D6480" t="s">
        <v>30192</v>
      </c>
      <c r="E6480" t="e" cm="1">
        <f t="array" ref="E6480">- SODIUM HYALURONATE</f>
        <v>#NAME?</v>
      </c>
      <c r="F6480" t="s">
        <v>30193</v>
      </c>
      <c r="G6480" t="s">
        <v>7569</v>
      </c>
      <c r="H6480" t="s">
        <v>27375</v>
      </c>
      <c r="I6480" t="s">
        <v>30194</v>
      </c>
      <c r="J6480" t="s">
        <v>30195</v>
      </c>
      <c r="K6480" t="s">
        <v>12782</v>
      </c>
      <c r="L6480" t="s">
        <v>30196</v>
      </c>
      <c r="M6480" t="s">
        <v>824</v>
      </c>
      <c r="N6480" t="s">
        <v>27378</v>
      </c>
      <c r="O6480" t="s">
        <v>25899</v>
      </c>
      <c r="P6480" t="s">
        <v>30197</v>
      </c>
      <c r="Q6480" t="s">
        <v>30198</v>
      </c>
      <c r="R6480">
        <v>18</v>
      </c>
      <c r="S6480">
        <v>32</v>
      </c>
    </row>
    <row r="6481" spans="1:19" x14ac:dyDescent="0.35">
      <c r="A6481">
        <v>4489</v>
      </c>
      <c r="B6481" t="s">
        <v>27372</v>
      </c>
      <c r="C6481" t="s">
        <v>42</v>
      </c>
      <c r="D6481" t="s">
        <v>30192</v>
      </c>
      <c r="E6481" t="e" cm="1">
        <f t="array" ref="E6481">- SODIUM HYALURONATE</f>
        <v>#NAME?</v>
      </c>
      <c r="F6481" t="s">
        <v>30193</v>
      </c>
      <c r="G6481" t="s">
        <v>7569</v>
      </c>
      <c r="H6481" t="s">
        <v>27375</v>
      </c>
      <c r="I6481" t="s">
        <v>30194</v>
      </c>
      <c r="J6481" t="s">
        <v>30195</v>
      </c>
      <c r="K6481" t="s">
        <v>12782</v>
      </c>
      <c r="L6481" t="s">
        <v>30196</v>
      </c>
      <c r="M6481" t="s">
        <v>824</v>
      </c>
      <c r="N6481" t="s">
        <v>27378</v>
      </c>
      <c r="O6481" t="s">
        <v>25899</v>
      </c>
      <c r="P6481" t="s">
        <v>30197</v>
      </c>
      <c r="Q6481" t="s">
        <v>30198</v>
      </c>
      <c r="R6481">
        <v>18</v>
      </c>
      <c r="S6481">
        <v>32</v>
      </c>
    </row>
    <row r="6482" spans="1:19" x14ac:dyDescent="0.35">
      <c r="A6482">
        <v>897</v>
      </c>
      <c r="B6482" t="s">
        <v>30199</v>
      </c>
      <c r="C6482" t="s">
        <v>42</v>
      </c>
      <c r="D6482" t="s">
        <v>30200</v>
      </c>
      <c r="E6482" t="e" cm="1">
        <f t="array" ref="E6482">- CHLORPHENAMINE MALEATE</f>
        <v>#NAME?</v>
      </c>
      <c r="F6482" t="s">
        <v>30201</v>
      </c>
      <c r="G6482" t="s">
        <v>2241</v>
      </c>
      <c r="H6482" t="s">
        <v>30202</v>
      </c>
      <c r="I6482" t="s">
        <v>29641</v>
      </c>
      <c r="J6482" t="s">
        <v>727</v>
      </c>
      <c r="K6482" t="s">
        <v>30203</v>
      </c>
      <c r="L6482" t="s">
        <v>30204</v>
      </c>
      <c r="M6482" t="s">
        <v>291</v>
      </c>
      <c r="N6482" t="s">
        <v>1354</v>
      </c>
      <c r="O6482" t="s">
        <v>29642</v>
      </c>
      <c r="P6482" t="s">
        <v>18538</v>
      </c>
      <c r="Q6482" t="s">
        <v>30205</v>
      </c>
      <c r="R6482">
        <v>18</v>
      </c>
      <c r="S6482">
        <v>32</v>
      </c>
    </row>
    <row r="6483" spans="1:19" x14ac:dyDescent="0.35">
      <c r="A6483">
        <v>4449</v>
      </c>
      <c r="B6483" t="s">
        <v>30206</v>
      </c>
      <c r="C6483" t="s">
        <v>42</v>
      </c>
      <c r="D6483" t="s">
        <v>30207</v>
      </c>
      <c r="E6483" t="e" cm="1">
        <f t="array" ref="E6483">- POLYVINYLPOLYPYRROLIDONE</f>
        <v>#NAME?</v>
      </c>
      <c r="F6483" t="s">
        <v>30208</v>
      </c>
      <c r="G6483" t="s">
        <v>7569</v>
      </c>
      <c r="H6483" t="s">
        <v>30209</v>
      </c>
      <c r="I6483" t="s">
        <v>30210</v>
      </c>
      <c r="J6483" t="s">
        <v>30211</v>
      </c>
      <c r="K6483" t="s">
        <v>2858</v>
      </c>
      <c r="L6483" t="s">
        <v>30212</v>
      </c>
      <c r="M6483" t="s">
        <v>824</v>
      </c>
      <c r="N6483" t="s">
        <v>30213</v>
      </c>
      <c r="O6483" t="s">
        <v>30214</v>
      </c>
      <c r="P6483" t="s">
        <v>30215</v>
      </c>
      <c r="Q6483" t="s">
        <v>30216</v>
      </c>
      <c r="R6483">
        <v>18</v>
      </c>
      <c r="S6483">
        <v>32</v>
      </c>
    </row>
    <row r="6484" spans="1:19" x14ac:dyDescent="0.35">
      <c r="A6484">
        <v>4448</v>
      </c>
      <c r="B6484" t="s">
        <v>30206</v>
      </c>
      <c r="C6484" t="s">
        <v>42</v>
      </c>
      <c r="D6484" t="s">
        <v>30207</v>
      </c>
      <c r="E6484" t="e" cm="1">
        <f t="array" ref="E6484">- POLYVINYLPYRROLIDONE</f>
        <v>#NAME?</v>
      </c>
      <c r="F6484" t="s">
        <v>30208</v>
      </c>
      <c r="G6484" t="s">
        <v>7569</v>
      </c>
      <c r="H6484" t="s">
        <v>30209</v>
      </c>
      <c r="I6484" t="s">
        <v>30210</v>
      </c>
      <c r="J6484" t="s">
        <v>30211</v>
      </c>
      <c r="K6484" t="s">
        <v>2858</v>
      </c>
      <c r="L6484" t="s">
        <v>30212</v>
      </c>
      <c r="M6484" t="s">
        <v>824</v>
      </c>
      <c r="N6484" t="s">
        <v>30217</v>
      </c>
      <c r="O6484" t="s">
        <v>30214</v>
      </c>
      <c r="P6484" t="s">
        <v>30215</v>
      </c>
      <c r="Q6484" t="s">
        <v>30218</v>
      </c>
      <c r="R6484">
        <v>18</v>
      </c>
      <c r="S6484">
        <v>32</v>
      </c>
    </row>
    <row r="6485" spans="1:19" x14ac:dyDescent="0.35">
      <c r="A6485">
        <v>4442</v>
      </c>
      <c r="B6485" t="s">
        <v>30219</v>
      </c>
      <c r="C6485" t="s">
        <v>20</v>
      </c>
      <c r="D6485" t="s">
        <v>30220</v>
      </c>
      <c r="E6485" t="s">
        <v>30221</v>
      </c>
      <c r="F6485" t="s">
        <v>30222</v>
      </c>
      <c r="G6485" t="s">
        <v>6166</v>
      </c>
      <c r="H6485" t="s">
        <v>8263</v>
      </c>
      <c r="I6485" t="s">
        <v>30223</v>
      </c>
      <c r="J6485" t="s">
        <v>30224</v>
      </c>
      <c r="N6485" t="s">
        <v>30225</v>
      </c>
      <c r="O6485" t="s">
        <v>30226</v>
      </c>
      <c r="P6485" t="s">
        <v>30225</v>
      </c>
      <c r="Q6485" t="s">
        <v>30227</v>
      </c>
      <c r="R6485">
        <v>18</v>
      </c>
      <c r="S6485">
        <v>32</v>
      </c>
    </row>
    <row r="6486" spans="1:19" x14ac:dyDescent="0.35">
      <c r="A6486">
        <v>1108</v>
      </c>
      <c r="B6486" t="s">
        <v>30228</v>
      </c>
      <c r="C6486" t="s">
        <v>42</v>
      </c>
      <c r="D6486" t="s">
        <v>30229</v>
      </c>
      <c r="E6486" t="e" cm="1">
        <f t="array" ref="E6486">- AMMONIUM CHLORIDE. DEXTROMETHORPHAN HYDROBROMIDE. DIPHENHYDRAMINE HYDROCHLORIDE. GUAIFENESIN. PHENYLPROPANOLAMINE HYDROCHLORIDE. SODIUM CITRATE</f>
        <v>#NAME?</v>
      </c>
      <c r="F6486" t="s">
        <v>30230</v>
      </c>
      <c r="G6486" t="s">
        <v>60</v>
      </c>
      <c r="H6486" t="s">
        <v>27317</v>
      </c>
      <c r="I6486" t="s">
        <v>30231</v>
      </c>
      <c r="J6486" t="s">
        <v>374</v>
      </c>
      <c r="K6486" t="s">
        <v>12928</v>
      </c>
      <c r="L6486" t="s">
        <v>12929</v>
      </c>
    </row>
    <row r="6487" spans="1:19" x14ac:dyDescent="0.35">
      <c r="A6487">
        <v>4491</v>
      </c>
      <c r="B6487" t="s">
        <v>27372</v>
      </c>
      <c r="C6487" t="s">
        <v>42</v>
      </c>
      <c r="D6487" t="s">
        <v>30192</v>
      </c>
      <c r="E6487" t="e" cm="1">
        <f t="array" ref="E6487">- SODIUM HYALURONATE</f>
        <v>#NAME?</v>
      </c>
      <c r="F6487" t="s">
        <v>30193</v>
      </c>
      <c r="G6487" t="s">
        <v>7569</v>
      </c>
      <c r="H6487" t="s">
        <v>27375</v>
      </c>
      <c r="I6487" t="s">
        <v>30194</v>
      </c>
      <c r="J6487" t="s">
        <v>30195</v>
      </c>
      <c r="K6487" t="s">
        <v>12782</v>
      </c>
      <c r="L6487" t="s">
        <v>30196</v>
      </c>
      <c r="M6487" t="s">
        <v>824</v>
      </c>
      <c r="N6487" t="s">
        <v>27378</v>
      </c>
      <c r="O6487" t="s">
        <v>25899</v>
      </c>
      <c r="P6487" t="s">
        <v>30197</v>
      </c>
      <c r="Q6487" t="s">
        <v>30198</v>
      </c>
      <c r="R6487">
        <v>18</v>
      </c>
      <c r="S6487">
        <v>32</v>
      </c>
    </row>
    <row r="6488" spans="1:19" x14ac:dyDescent="0.35">
      <c r="A6488">
        <v>1110</v>
      </c>
      <c r="B6488" t="s">
        <v>30232</v>
      </c>
      <c r="C6488" t="s">
        <v>42</v>
      </c>
      <c r="D6488" t="s">
        <v>30233</v>
      </c>
      <c r="E6488" t="e" cm="1">
        <f t="array" ref="E6488">- AMBROXOL HYDROCHLORIDE</f>
        <v>#NAME?</v>
      </c>
      <c r="F6488" t="s">
        <v>30234</v>
      </c>
      <c r="G6488" t="s">
        <v>2241</v>
      </c>
      <c r="H6488" t="s">
        <v>30235</v>
      </c>
      <c r="I6488" t="s">
        <v>29055</v>
      </c>
      <c r="J6488" t="s">
        <v>334</v>
      </c>
      <c r="K6488" t="s">
        <v>3952</v>
      </c>
      <c r="L6488" t="s">
        <v>22896</v>
      </c>
      <c r="M6488" t="s">
        <v>271</v>
      </c>
      <c r="N6488" t="s">
        <v>1800</v>
      </c>
      <c r="O6488" t="s">
        <v>29056</v>
      </c>
      <c r="P6488" t="s">
        <v>30236</v>
      </c>
      <c r="Q6488" t="s">
        <v>30237</v>
      </c>
      <c r="R6488">
        <v>18</v>
      </c>
      <c r="S6488">
        <v>32</v>
      </c>
    </row>
    <row r="6489" spans="1:19" x14ac:dyDescent="0.35">
      <c r="A6489">
        <v>4377</v>
      </c>
      <c r="B6489" t="s">
        <v>1637</v>
      </c>
      <c r="C6489" t="s">
        <v>42</v>
      </c>
      <c r="D6489" t="s">
        <v>29801</v>
      </c>
      <c r="E6489" t="e" cm="1">
        <f t="array" ref="E6489">- OFLOXACIN</f>
        <v>#NAME?</v>
      </c>
      <c r="F6489" s="1">
        <v>119000</v>
      </c>
      <c r="G6489" t="s">
        <v>29802</v>
      </c>
      <c r="H6489" t="s">
        <v>29803</v>
      </c>
      <c r="I6489" t="s">
        <v>29804</v>
      </c>
      <c r="J6489" t="s">
        <v>374</v>
      </c>
      <c r="K6489" t="s">
        <v>29805</v>
      </c>
      <c r="L6489" t="s">
        <v>29806</v>
      </c>
      <c r="M6489" t="s">
        <v>824</v>
      </c>
      <c r="N6489" t="s">
        <v>1640</v>
      </c>
      <c r="O6489" t="s">
        <v>29807</v>
      </c>
      <c r="P6489" t="s">
        <v>29808</v>
      </c>
      <c r="Q6489" t="s">
        <v>30238</v>
      </c>
      <c r="R6489">
        <v>18</v>
      </c>
      <c r="S6489">
        <v>32</v>
      </c>
    </row>
    <row r="6490" spans="1:19" x14ac:dyDescent="0.35">
      <c r="A6490">
        <v>4365</v>
      </c>
      <c r="B6490" t="s">
        <v>1637</v>
      </c>
      <c r="C6490" t="s">
        <v>42</v>
      </c>
      <c r="D6490" t="s">
        <v>29897</v>
      </c>
      <c r="E6490" t="e" cm="1">
        <f t="array" ref="E6490">- OFLOXACIN</f>
        <v>#NAME?</v>
      </c>
      <c r="F6490" s="1">
        <v>202000</v>
      </c>
      <c r="G6490" t="s">
        <v>29802</v>
      </c>
      <c r="H6490" t="s">
        <v>29898</v>
      </c>
      <c r="I6490" t="s">
        <v>29899</v>
      </c>
      <c r="J6490" t="s">
        <v>374</v>
      </c>
      <c r="M6490" t="s">
        <v>824</v>
      </c>
      <c r="N6490" t="s">
        <v>1640</v>
      </c>
      <c r="O6490" t="s">
        <v>29900</v>
      </c>
      <c r="P6490" t="s">
        <v>29901</v>
      </c>
      <c r="Q6490" t="s">
        <v>30239</v>
      </c>
      <c r="R6490">
        <v>18</v>
      </c>
      <c r="S6490">
        <v>32</v>
      </c>
    </row>
    <row r="6491" spans="1:19" x14ac:dyDescent="0.35">
      <c r="A6491">
        <v>1115</v>
      </c>
      <c r="B6491" t="s">
        <v>30240</v>
      </c>
      <c r="C6491" t="s">
        <v>42</v>
      </c>
      <c r="D6491" t="s">
        <v>30241</v>
      </c>
      <c r="E6491" t="e" cm="1">
        <f t="array" ref="E6491">- PARACETAMOL. PHENYLEPHRINE HYDROCHLORIDE. CHLORPHENAMINE MALEATE</f>
        <v>#NAME?</v>
      </c>
      <c r="F6491" t="s">
        <v>30242</v>
      </c>
      <c r="G6491" t="s">
        <v>5839</v>
      </c>
      <c r="H6491" t="s">
        <v>22100</v>
      </c>
      <c r="I6491" t="s">
        <v>22101</v>
      </c>
      <c r="J6491" t="s">
        <v>29952</v>
      </c>
      <c r="K6491" t="s">
        <v>22103</v>
      </c>
      <c r="L6491" t="s">
        <v>321</v>
      </c>
      <c r="M6491" t="s">
        <v>291</v>
      </c>
      <c r="N6491" t="s">
        <v>29731</v>
      </c>
      <c r="O6491" t="s">
        <v>22105</v>
      </c>
      <c r="P6491" t="s">
        <v>30243</v>
      </c>
      <c r="Q6491" t="s">
        <v>30244</v>
      </c>
      <c r="R6491">
        <v>18</v>
      </c>
      <c r="S6491">
        <v>32</v>
      </c>
    </row>
    <row r="6492" spans="1:19" x14ac:dyDescent="0.35">
      <c r="A6492">
        <v>4342</v>
      </c>
      <c r="B6492" t="s">
        <v>30245</v>
      </c>
      <c r="C6492" t="s">
        <v>42</v>
      </c>
      <c r="D6492" t="s">
        <v>30246</v>
      </c>
      <c r="E6492" t="e" cm="1">
        <f t="array" ref="E6492">- TRIAMCINOLONE ACETONIDE</f>
        <v>#NAME?</v>
      </c>
      <c r="F6492" t="s">
        <v>30247</v>
      </c>
      <c r="G6492" t="s">
        <v>2241</v>
      </c>
      <c r="H6492" t="s">
        <v>30248</v>
      </c>
      <c r="I6492" t="s">
        <v>30249</v>
      </c>
      <c r="J6492" t="s">
        <v>30250</v>
      </c>
      <c r="K6492" t="s">
        <v>30251</v>
      </c>
      <c r="L6492" t="s">
        <v>30252</v>
      </c>
      <c r="M6492" t="s">
        <v>30253</v>
      </c>
      <c r="N6492" t="s">
        <v>11859</v>
      </c>
      <c r="O6492" t="s">
        <v>30254</v>
      </c>
      <c r="P6492" t="s">
        <v>30255</v>
      </c>
      <c r="Q6492" t="s">
        <v>30256</v>
      </c>
      <c r="R6492">
        <v>18</v>
      </c>
      <c r="S6492">
        <v>32</v>
      </c>
    </row>
    <row r="6493" spans="1:19" x14ac:dyDescent="0.35">
      <c r="A6493">
        <v>4341</v>
      </c>
      <c r="B6493" t="s">
        <v>30245</v>
      </c>
      <c r="C6493" t="s">
        <v>42</v>
      </c>
      <c r="D6493" t="s">
        <v>30246</v>
      </c>
      <c r="E6493" t="e" cm="1">
        <f t="array" ref="E6493">- TRIAMCINOLONE ACETONIDE</f>
        <v>#NAME?</v>
      </c>
      <c r="F6493" t="s">
        <v>30247</v>
      </c>
      <c r="G6493" t="s">
        <v>2241</v>
      </c>
      <c r="H6493" t="s">
        <v>30248</v>
      </c>
      <c r="I6493" t="s">
        <v>30249</v>
      </c>
      <c r="J6493" t="s">
        <v>30250</v>
      </c>
      <c r="K6493" t="s">
        <v>30251</v>
      </c>
      <c r="L6493" t="s">
        <v>30252</v>
      </c>
      <c r="M6493" t="s">
        <v>8254</v>
      </c>
      <c r="N6493" t="s">
        <v>11859</v>
      </c>
      <c r="O6493" t="s">
        <v>30254</v>
      </c>
      <c r="P6493" t="s">
        <v>30255</v>
      </c>
      <c r="Q6493" t="s">
        <v>30257</v>
      </c>
      <c r="R6493">
        <v>18</v>
      </c>
      <c r="S6493">
        <v>32</v>
      </c>
    </row>
    <row r="6494" spans="1:19" x14ac:dyDescent="0.35">
      <c r="A6494">
        <v>4338</v>
      </c>
      <c r="B6494" t="s">
        <v>30258</v>
      </c>
      <c r="C6494" t="s">
        <v>20</v>
      </c>
      <c r="D6494" t="s">
        <v>30259</v>
      </c>
      <c r="E6494" t="s">
        <v>30260</v>
      </c>
      <c r="F6494" t="s">
        <v>30261</v>
      </c>
      <c r="G6494" t="s">
        <v>30262</v>
      </c>
      <c r="H6494" t="s">
        <v>30263</v>
      </c>
      <c r="I6494" t="s">
        <v>30264</v>
      </c>
      <c r="J6494" t="s">
        <v>30265</v>
      </c>
      <c r="M6494" t="s">
        <v>46</v>
      </c>
      <c r="N6494" t="s">
        <v>30266</v>
      </c>
      <c r="O6494" t="s">
        <v>30267</v>
      </c>
      <c r="P6494" t="s">
        <v>30268</v>
      </c>
      <c r="Q6494" t="s">
        <v>30269</v>
      </c>
      <c r="R6494">
        <v>18</v>
      </c>
      <c r="S6494">
        <v>32</v>
      </c>
    </row>
    <row r="6495" spans="1:19" x14ac:dyDescent="0.35">
      <c r="A6495">
        <v>4337</v>
      </c>
      <c r="B6495" t="s">
        <v>30270</v>
      </c>
      <c r="C6495" t="s">
        <v>20</v>
      </c>
      <c r="D6495" t="s">
        <v>30271</v>
      </c>
      <c r="E6495" t="s">
        <v>30260</v>
      </c>
      <c r="F6495" t="s">
        <v>30272</v>
      </c>
      <c r="G6495" t="s">
        <v>30273</v>
      </c>
      <c r="I6495" t="s">
        <v>30274</v>
      </c>
      <c r="J6495" t="s">
        <v>30275</v>
      </c>
      <c r="N6495" t="s">
        <v>30266</v>
      </c>
      <c r="O6495" t="s">
        <v>30276</v>
      </c>
      <c r="P6495" t="s">
        <v>30277</v>
      </c>
      <c r="Q6495" t="s">
        <v>30278</v>
      </c>
      <c r="R6495">
        <v>18</v>
      </c>
      <c r="S6495">
        <v>32</v>
      </c>
    </row>
    <row r="6496" spans="1:19" x14ac:dyDescent="0.35">
      <c r="A6496">
        <v>4380</v>
      </c>
      <c r="B6496" t="s">
        <v>1637</v>
      </c>
      <c r="C6496" t="s">
        <v>42</v>
      </c>
      <c r="D6496" t="s">
        <v>29832</v>
      </c>
      <c r="E6496" t="e" cm="1">
        <f t="array" ref="E6496">- OFLOXACIN</f>
        <v>#NAME?</v>
      </c>
      <c r="F6496" t="s">
        <v>29833</v>
      </c>
      <c r="G6496" t="s">
        <v>29834</v>
      </c>
      <c r="H6496" t="s">
        <v>29835</v>
      </c>
      <c r="I6496" t="s">
        <v>29836</v>
      </c>
      <c r="J6496" t="s">
        <v>29837</v>
      </c>
      <c r="L6496" t="s">
        <v>29838</v>
      </c>
      <c r="M6496" t="s">
        <v>824</v>
      </c>
      <c r="N6496" t="s">
        <v>1640</v>
      </c>
      <c r="O6496" t="s">
        <v>29839</v>
      </c>
      <c r="P6496" t="s">
        <v>29840</v>
      </c>
      <c r="Q6496" t="s">
        <v>30279</v>
      </c>
      <c r="R6496">
        <v>18</v>
      </c>
      <c r="S6496">
        <v>32</v>
      </c>
    </row>
    <row r="6497" spans="1:19" x14ac:dyDescent="0.35">
      <c r="A6497">
        <v>4492</v>
      </c>
      <c r="B6497" t="s">
        <v>27372</v>
      </c>
      <c r="C6497" t="s">
        <v>42</v>
      </c>
      <c r="D6497" t="s">
        <v>30192</v>
      </c>
      <c r="E6497" t="e" cm="1">
        <f t="array" ref="E6497">- SODIUM HYALURONATE</f>
        <v>#NAME?</v>
      </c>
      <c r="F6497" t="s">
        <v>30193</v>
      </c>
      <c r="G6497" t="s">
        <v>7569</v>
      </c>
      <c r="H6497" t="s">
        <v>27375</v>
      </c>
      <c r="I6497" t="s">
        <v>30194</v>
      </c>
      <c r="J6497" t="s">
        <v>30195</v>
      </c>
      <c r="K6497" t="s">
        <v>12782</v>
      </c>
      <c r="L6497" t="s">
        <v>30196</v>
      </c>
      <c r="M6497" t="s">
        <v>824</v>
      </c>
      <c r="N6497" t="s">
        <v>27378</v>
      </c>
      <c r="O6497" t="s">
        <v>25899</v>
      </c>
      <c r="P6497" t="s">
        <v>30197</v>
      </c>
      <c r="Q6497" t="s">
        <v>30198</v>
      </c>
      <c r="R6497">
        <v>18</v>
      </c>
      <c r="S6497">
        <v>32</v>
      </c>
    </row>
    <row r="6498" spans="1:19" x14ac:dyDescent="0.35">
      <c r="A6498">
        <v>4493</v>
      </c>
      <c r="B6498" t="s">
        <v>27372</v>
      </c>
      <c r="C6498" t="s">
        <v>42</v>
      </c>
      <c r="D6498" t="s">
        <v>30192</v>
      </c>
      <c r="E6498" t="e" cm="1">
        <f t="array" ref="E6498">- SODIUM HYALURONATE</f>
        <v>#NAME?</v>
      </c>
      <c r="F6498" t="s">
        <v>30193</v>
      </c>
      <c r="G6498" t="s">
        <v>7569</v>
      </c>
      <c r="H6498" t="s">
        <v>27375</v>
      </c>
      <c r="I6498" t="s">
        <v>30194</v>
      </c>
      <c r="J6498" t="s">
        <v>30195</v>
      </c>
      <c r="K6498" t="s">
        <v>12782</v>
      </c>
      <c r="L6498" t="s">
        <v>30196</v>
      </c>
      <c r="M6498" t="s">
        <v>824</v>
      </c>
      <c r="N6498" t="s">
        <v>27378</v>
      </c>
      <c r="O6498" t="s">
        <v>25899</v>
      </c>
      <c r="P6498" t="s">
        <v>30197</v>
      </c>
      <c r="Q6498" t="s">
        <v>30198</v>
      </c>
      <c r="R6498">
        <v>18</v>
      </c>
      <c r="S6498">
        <v>32</v>
      </c>
    </row>
    <row r="6499" spans="1:19" x14ac:dyDescent="0.35">
      <c r="A6499">
        <v>4494</v>
      </c>
      <c r="B6499" t="s">
        <v>27372</v>
      </c>
      <c r="C6499" t="s">
        <v>42</v>
      </c>
      <c r="D6499" t="s">
        <v>30192</v>
      </c>
      <c r="E6499" t="e" cm="1">
        <f t="array" ref="E6499">- SODIUM HYALURONATE</f>
        <v>#NAME?</v>
      </c>
      <c r="F6499" t="s">
        <v>30193</v>
      </c>
      <c r="G6499" t="s">
        <v>7569</v>
      </c>
      <c r="H6499" t="s">
        <v>27375</v>
      </c>
      <c r="I6499" t="s">
        <v>30194</v>
      </c>
      <c r="J6499" t="s">
        <v>30195</v>
      </c>
      <c r="K6499" t="s">
        <v>12782</v>
      </c>
      <c r="L6499" t="s">
        <v>30196</v>
      </c>
      <c r="M6499" t="s">
        <v>824</v>
      </c>
      <c r="N6499" t="s">
        <v>27378</v>
      </c>
      <c r="O6499" t="s">
        <v>25899</v>
      </c>
      <c r="P6499" t="s">
        <v>30197</v>
      </c>
      <c r="Q6499" t="s">
        <v>30198</v>
      </c>
      <c r="R6499">
        <v>18</v>
      </c>
      <c r="S6499">
        <v>32</v>
      </c>
    </row>
    <row r="6500" spans="1:19" x14ac:dyDescent="0.35">
      <c r="A6500">
        <v>4976</v>
      </c>
      <c r="B6500" t="s">
        <v>30280</v>
      </c>
      <c r="C6500" t="s">
        <v>42</v>
      </c>
      <c r="D6500" t="s">
        <v>30281</v>
      </c>
      <c r="E6500" t="e" cm="1">
        <f t="array" ref="E6500">- CLOBETASOL PROPIONATE</f>
        <v>#NAME?</v>
      </c>
      <c r="F6500" s="1">
        <v>101700</v>
      </c>
      <c r="G6500" t="s">
        <v>21834</v>
      </c>
      <c r="H6500" t="s">
        <v>28372</v>
      </c>
      <c r="I6500" t="s">
        <v>28373</v>
      </c>
      <c r="J6500" t="s">
        <v>852</v>
      </c>
      <c r="K6500" t="s">
        <v>21826</v>
      </c>
      <c r="L6500" t="s">
        <v>28374</v>
      </c>
      <c r="M6500" t="s">
        <v>554</v>
      </c>
      <c r="N6500" t="s">
        <v>3588</v>
      </c>
      <c r="O6500" t="s">
        <v>28375</v>
      </c>
      <c r="P6500" t="s">
        <v>30282</v>
      </c>
      <c r="Q6500" t="s">
        <v>30283</v>
      </c>
      <c r="R6500">
        <v>18</v>
      </c>
      <c r="S6500">
        <v>32</v>
      </c>
    </row>
    <row r="6501" spans="1:19" x14ac:dyDescent="0.35">
      <c r="A6501">
        <v>4975</v>
      </c>
      <c r="B6501" t="s">
        <v>30280</v>
      </c>
      <c r="C6501" t="s">
        <v>42</v>
      </c>
      <c r="D6501" t="s">
        <v>30281</v>
      </c>
      <c r="E6501" t="e" cm="1">
        <f t="array" ref="E6501">- CLOBETASOL PROPIONATE</f>
        <v>#NAME?</v>
      </c>
      <c r="F6501" s="1">
        <v>101700</v>
      </c>
      <c r="G6501" t="s">
        <v>21834</v>
      </c>
      <c r="H6501" t="s">
        <v>28372</v>
      </c>
      <c r="I6501" t="s">
        <v>28373</v>
      </c>
      <c r="J6501" t="s">
        <v>852</v>
      </c>
      <c r="K6501" t="s">
        <v>21826</v>
      </c>
      <c r="L6501" t="s">
        <v>28374</v>
      </c>
      <c r="M6501" t="s">
        <v>554</v>
      </c>
      <c r="N6501" t="s">
        <v>3588</v>
      </c>
      <c r="O6501" t="s">
        <v>28375</v>
      </c>
      <c r="P6501" t="s">
        <v>30282</v>
      </c>
      <c r="Q6501" t="s">
        <v>30283</v>
      </c>
      <c r="R6501">
        <v>18</v>
      </c>
      <c r="S6501">
        <v>32</v>
      </c>
    </row>
    <row r="6502" spans="1:19" x14ac:dyDescent="0.35">
      <c r="A6502">
        <v>4896</v>
      </c>
      <c r="B6502" t="s">
        <v>27144</v>
      </c>
      <c r="C6502" t="s">
        <v>42</v>
      </c>
      <c r="D6502" t="s">
        <v>27145</v>
      </c>
      <c r="E6502" t="e" cm="1">
        <f t="array" ref="E6502">- LATANOPROST. TIMOLOL MALEATE</f>
        <v>#NAME?</v>
      </c>
      <c r="F6502" t="s">
        <v>27146</v>
      </c>
      <c r="G6502" t="s">
        <v>23079</v>
      </c>
      <c r="H6502" t="s">
        <v>269</v>
      </c>
      <c r="I6502" t="s">
        <v>27147</v>
      </c>
      <c r="J6502" t="s">
        <v>18074</v>
      </c>
      <c r="L6502" t="s">
        <v>27148</v>
      </c>
      <c r="M6502" t="s">
        <v>824</v>
      </c>
      <c r="N6502" t="s">
        <v>30284</v>
      </c>
      <c r="O6502" t="s">
        <v>27149</v>
      </c>
      <c r="P6502" t="s">
        <v>27150</v>
      </c>
      <c r="Q6502" t="s">
        <v>30285</v>
      </c>
      <c r="R6502">
        <v>18</v>
      </c>
      <c r="S6502">
        <v>32</v>
      </c>
    </row>
    <row r="6503" spans="1:19" x14ac:dyDescent="0.35">
      <c r="A6503">
        <v>4833</v>
      </c>
      <c r="B6503" t="s">
        <v>28630</v>
      </c>
      <c r="C6503" t="s">
        <v>42</v>
      </c>
      <c r="D6503" t="s">
        <v>28631</v>
      </c>
      <c r="E6503" t="e" cm="1">
        <f t="array" ref="E6503">- TOBRAMYCIN. DEXAMETHASONE</f>
        <v>#NAME?</v>
      </c>
      <c r="F6503" t="s">
        <v>28632</v>
      </c>
      <c r="G6503" t="s">
        <v>28633</v>
      </c>
      <c r="H6503" t="s">
        <v>7570</v>
      </c>
      <c r="I6503" t="s">
        <v>28634</v>
      </c>
      <c r="J6503" t="s">
        <v>28635</v>
      </c>
      <c r="K6503" t="s">
        <v>2858</v>
      </c>
      <c r="L6503" t="s">
        <v>28636</v>
      </c>
      <c r="M6503" t="s">
        <v>1029</v>
      </c>
      <c r="N6503" t="s">
        <v>30286</v>
      </c>
      <c r="O6503" t="s">
        <v>28637</v>
      </c>
      <c r="P6503" t="s">
        <v>28638</v>
      </c>
      <c r="Q6503" t="s">
        <v>30287</v>
      </c>
      <c r="R6503">
        <v>18</v>
      </c>
      <c r="S6503">
        <v>32</v>
      </c>
    </row>
    <row r="6504" spans="1:19" x14ac:dyDescent="0.35">
      <c r="A6504">
        <v>4797</v>
      </c>
      <c r="B6504" t="s">
        <v>30288</v>
      </c>
      <c r="C6504" t="s">
        <v>42</v>
      </c>
      <c r="D6504" t="s">
        <v>30289</v>
      </c>
      <c r="E6504" t="e" cm="1">
        <f t="array" ref="E6504">- IDOXURIDINE</f>
        <v>#NAME?</v>
      </c>
      <c r="F6504" s="1">
        <v>21300</v>
      </c>
      <c r="G6504" t="s">
        <v>23027</v>
      </c>
      <c r="H6504" t="s">
        <v>30290</v>
      </c>
      <c r="I6504" t="s">
        <v>30291</v>
      </c>
      <c r="J6504" t="s">
        <v>9310</v>
      </c>
      <c r="L6504" t="s">
        <v>270</v>
      </c>
      <c r="M6504" t="s">
        <v>824</v>
      </c>
      <c r="N6504" t="s">
        <v>30292</v>
      </c>
      <c r="O6504" t="s">
        <v>30293</v>
      </c>
      <c r="P6504" t="s">
        <v>30294</v>
      </c>
      <c r="Q6504" t="s">
        <v>30295</v>
      </c>
      <c r="R6504">
        <v>18</v>
      </c>
      <c r="S6504">
        <v>32</v>
      </c>
    </row>
    <row r="6505" spans="1:19" x14ac:dyDescent="0.35">
      <c r="A6505">
        <v>4796</v>
      </c>
      <c r="B6505" t="s">
        <v>30288</v>
      </c>
      <c r="C6505" t="s">
        <v>42</v>
      </c>
      <c r="D6505" t="s">
        <v>30289</v>
      </c>
      <c r="E6505" t="e" cm="1">
        <f t="array" ref="E6505">- IDOXURIDINE</f>
        <v>#NAME?</v>
      </c>
      <c r="F6505" s="1">
        <v>21300</v>
      </c>
      <c r="G6505" t="s">
        <v>23027</v>
      </c>
      <c r="H6505" t="s">
        <v>30290</v>
      </c>
      <c r="I6505" t="s">
        <v>30291</v>
      </c>
      <c r="J6505" t="s">
        <v>9310</v>
      </c>
      <c r="L6505" t="s">
        <v>270</v>
      </c>
      <c r="M6505" t="s">
        <v>824</v>
      </c>
      <c r="N6505" t="s">
        <v>30292</v>
      </c>
      <c r="O6505" t="s">
        <v>30293</v>
      </c>
      <c r="P6505" t="s">
        <v>30294</v>
      </c>
      <c r="Q6505" t="s">
        <v>30295</v>
      </c>
      <c r="R6505">
        <v>18</v>
      </c>
      <c r="S6505">
        <v>32</v>
      </c>
    </row>
    <row r="6506" spans="1:19" x14ac:dyDescent="0.35">
      <c r="A6506">
        <v>1078</v>
      </c>
      <c r="B6506" t="s">
        <v>30296</v>
      </c>
      <c r="C6506" t="s">
        <v>42</v>
      </c>
      <c r="D6506" t="s">
        <v>30297</v>
      </c>
      <c r="E6506" t="e" cm="1">
        <f t="array" ref="E6506">- CHLORPHENAMINE MALEATE</f>
        <v>#NAME?</v>
      </c>
      <c r="F6506" t="s">
        <v>30298</v>
      </c>
      <c r="G6506" t="s">
        <v>60</v>
      </c>
      <c r="H6506" t="s">
        <v>30299</v>
      </c>
      <c r="I6506" t="s">
        <v>30300</v>
      </c>
      <c r="J6506" t="s">
        <v>334</v>
      </c>
      <c r="K6506" t="s">
        <v>24548</v>
      </c>
    </row>
    <row r="6507" spans="1:19" x14ac:dyDescent="0.35">
      <c r="A6507">
        <v>1079</v>
      </c>
      <c r="B6507" t="s">
        <v>24981</v>
      </c>
      <c r="C6507" t="s">
        <v>42</v>
      </c>
      <c r="D6507" t="s">
        <v>24982</v>
      </c>
      <c r="E6507" t="e" cm="1">
        <f t="array" ref="E6507">- PARACETAMOL. PSEUDOEPHEDRINE HYDROCHLORIDE. CHLORPHENAMINE MALEATE</f>
        <v>#NAME?</v>
      </c>
      <c r="F6507" t="s">
        <v>24983</v>
      </c>
      <c r="G6507" t="s">
        <v>60</v>
      </c>
      <c r="H6507" t="s">
        <v>24984</v>
      </c>
      <c r="I6507" t="s">
        <v>23737</v>
      </c>
      <c r="J6507" t="s">
        <v>334</v>
      </c>
      <c r="K6507" t="s">
        <v>23739</v>
      </c>
      <c r="L6507" t="s">
        <v>24985</v>
      </c>
      <c r="M6507" t="s">
        <v>271</v>
      </c>
      <c r="N6507" t="s">
        <v>5132</v>
      </c>
      <c r="O6507" t="s">
        <v>23741</v>
      </c>
      <c r="P6507" t="s">
        <v>23742</v>
      </c>
      <c r="Q6507" t="s">
        <v>30301</v>
      </c>
      <c r="R6507">
        <v>18</v>
      </c>
      <c r="S6507">
        <v>32</v>
      </c>
    </row>
    <row r="6508" spans="1:19" x14ac:dyDescent="0.35">
      <c r="A6508">
        <v>1088</v>
      </c>
      <c r="B6508" t="s">
        <v>30302</v>
      </c>
      <c r="C6508" t="s">
        <v>42</v>
      </c>
      <c r="D6508" t="s">
        <v>30303</v>
      </c>
      <c r="E6508" t="e" cm="1">
        <f t="array" ref="E6508">- AMBROXOL HYDROCHLORIDE</f>
        <v>#NAME?</v>
      </c>
      <c r="F6508" t="s">
        <v>1983</v>
      </c>
      <c r="G6508" t="s">
        <v>2241</v>
      </c>
      <c r="H6508" t="s">
        <v>29112</v>
      </c>
      <c r="I6508" t="s">
        <v>29055</v>
      </c>
      <c r="J6508" t="s">
        <v>846</v>
      </c>
      <c r="M6508" t="s">
        <v>271</v>
      </c>
      <c r="N6508" t="s">
        <v>1800</v>
      </c>
      <c r="O6508" t="s">
        <v>29056</v>
      </c>
      <c r="P6508" t="s">
        <v>30304</v>
      </c>
      <c r="Q6508" t="s">
        <v>30305</v>
      </c>
      <c r="R6508">
        <v>18</v>
      </c>
      <c r="S6508">
        <v>32</v>
      </c>
    </row>
    <row r="6509" spans="1:19" x14ac:dyDescent="0.35">
      <c r="A6509">
        <v>1089</v>
      </c>
      <c r="B6509" t="s">
        <v>30302</v>
      </c>
      <c r="C6509" t="s">
        <v>42</v>
      </c>
      <c r="D6509" t="s">
        <v>30303</v>
      </c>
      <c r="E6509" t="e" cm="1">
        <f t="array" ref="E6509">- AMBROXOL HYDROCHLORIDE</f>
        <v>#NAME?</v>
      </c>
      <c r="F6509" t="s">
        <v>1983</v>
      </c>
      <c r="G6509" t="s">
        <v>2241</v>
      </c>
      <c r="H6509" t="s">
        <v>29112</v>
      </c>
      <c r="I6509" t="s">
        <v>29055</v>
      </c>
      <c r="J6509" t="s">
        <v>846</v>
      </c>
      <c r="M6509" t="s">
        <v>271</v>
      </c>
      <c r="N6509" t="s">
        <v>1800</v>
      </c>
      <c r="O6509" t="s">
        <v>29056</v>
      </c>
      <c r="P6509" t="s">
        <v>30304</v>
      </c>
      <c r="Q6509" t="s">
        <v>30305</v>
      </c>
      <c r="R6509">
        <v>18</v>
      </c>
      <c r="S6509">
        <v>32</v>
      </c>
    </row>
    <row r="6510" spans="1:19" x14ac:dyDescent="0.35">
      <c r="A6510">
        <v>1090</v>
      </c>
      <c r="B6510" t="s">
        <v>22968</v>
      </c>
      <c r="C6510" t="s">
        <v>42</v>
      </c>
      <c r="D6510" t="s">
        <v>22969</v>
      </c>
      <c r="E6510" t="e" cm="1">
        <f t="array" ref="E6510">- GUAIFENESIN. PARACETAMOL. PSEUDOEPHEDRINE HYDROCHLORIDE. CHLORPHENAMINE MALEATE</f>
        <v>#NAME?</v>
      </c>
      <c r="F6510" t="s">
        <v>22970</v>
      </c>
      <c r="G6510" t="s">
        <v>4545</v>
      </c>
      <c r="H6510" t="s">
        <v>22971</v>
      </c>
      <c r="I6510" t="s">
        <v>22972</v>
      </c>
      <c r="J6510" t="s">
        <v>15308</v>
      </c>
      <c r="K6510" t="s">
        <v>22973</v>
      </c>
      <c r="L6510" t="s">
        <v>22974</v>
      </c>
      <c r="M6510" t="s">
        <v>291</v>
      </c>
      <c r="N6510" t="s">
        <v>30306</v>
      </c>
      <c r="O6510" t="s">
        <v>22975</v>
      </c>
      <c r="P6510" t="s">
        <v>22976</v>
      </c>
      <c r="Q6510" t="s">
        <v>30307</v>
      </c>
      <c r="R6510">
        <v>18</v>
      </c>
      <c r="S6510">
        <v>32</v>
      </c>
    </row>
    <row r="6511" spans="1:19" x14ac:dyDescent="0.35">
      <c r="A6511">
        <v>1091</v>
      </c>
      <c r="B6511" t="s">
        <v>22968</v>
      </c>
      <c r="C6511" t="s">
        <v>42</v>
      </c>
      <c r="D6511" t="s">
        <v>22969</v>
      </c>
      <c r="E6511" t="e" cm="1">
        <f t="array" ref="E6511">- EPHEDRINE HYDROCHLORIDE. CHLORPHENAMINE MALEATE. GUAIFENESIN. PARACETAMOL</f>
        <v>#NAME?</v>
      </c>
      <c r="F6511" t="s">
        <v>22970</v>
      </c>
      <c r="G6511" t="s">
        <v>4545</v>
      </c>
      <c r="H6511" t="s">
        <v>22971</v>
      </c>
      <c r="I6511" t="s">
        <v>22972</v>
      </c>
      <c r="J6511" t="s">
        <v>15308</v>
      </c>
      <c r="K6511" t="s">
        <v>22973</v>
      </c>
      <c r="L6511" t="s">
        <v>22974</v>
      </c>
      <c r="M6511" t="s">
        <v>291</v>
      </c>
      <c r="N6511" t="s">
        <v>30308</v>
      </c>
      <c r="O6511" t="s">
        <v>22975</v>
      </c>
      <c r="P6511" t="s">
        <v>22976</v>
      </c>
      <c r="Q6511" t="s">
        <v>30309</v>
      </c>
      <c r="R6511">
        <v>18</v>
      </c>
      <c r="S6511">
        <v>32</v>
      </c>
    </row>
    <row r="6512" spans="1:19" x14ac:dyDescent="0.35">
      <c r="A6512">
        <v>4571</v>
      </c>
      <c r="B6512" t="s">
        <v>26435</v>
      </c>
      <c r="C6512" t="s">
        <v>42</v>
      </c>
      <c r="D6512" t="s">
        <v>26436</v>
      </c>
      <c r="E6512" t="e" cm="1">
        <f t="array" ref="E6512">- LATANOPROST. TIMOLOL MALEATE</f>
        <v>#NAME?</v>
      </c>
      <c r="F6512" t="s">
        <v>26437</v>
      </c>
      <c r="G6512" t="s">
        <v>7569</v>
      </c>
      <c r="H6512" t="s">
        <v>26438</v>
      </c>
      <c r="I6512" t="s">
        <v>26439</v>
      </c>
      <c r="J6512" t="s">
        <v>26440</v>
      </c>
      <c r="K6512" t="s">
        <v>8963</v>
      </c>
      <c r="L6512" t="s">
        <v>321</v>
      </c>
      <c r="M6512" t="s">
        <v>824</v>
      </c>
      <c r="N6512" t="s">
        <v>30284</v>
      </c>
      <c r="O6512" t="s">
        <v>26441</v>
      </c>
      <c r="P6512" t="s">
        <v>26442</v>
      </c>
      <c r="Q6512" t="s">
        <v>30310</v>
      </c>
      <c r="R6512">
        <v>18</v>
      </c>
      <c r="S6512">
        <v>32</v>
      </c>
    </row>
    <row r="6513" spans="1:19" x14ac:dyDescent="0.35">
      <c r="A6513">
        <v>900</v>
      </c>
      <c r="B6513" t="s">
        <v>30199</v>
      </c>
      <c r="C6513" t="s">
        <v>42</v>
      </c>
      <c r="D6513" t="s">
        <v>30311</v>
      </c>
      <c r="E6513" t="e" cm="1">
        <f t="array" ref="E6513">- CHLORPHENAMINE MALEATE</f>
        <v>#NAME?</v>
      </c>
      <c r="F6513" s="1">
        <v>2600</v>
      </c>
      <c r="G6513" t="s">
        <v>2241</v>
      </c>
      <c r="H6513" t="s">
        <v>30202</v>
      </c>
      <c r="I6513" t="s">
        <v>29641</v>
      </c>
      <c r="J6513" t="s">
        <v>30312</v>
      </c>
      <c r="K6513" t="s">
        <v>30313</v>
      </c>
      <c r="L6513" t="s">
        <v>30314</v>
      </c>
      <c r="M6513" t="s">
        <v>291</v>
      </c>
      <c r="N6513" t="s">
        <v>1354</v>
      </c>
      <c r="O6513" t="s">
        <v>29642</v>
      </c>
      <c r="P6513" t="s">
        <v>18538</v>
      </c>
      <c r="Q6513" t="s">
        <v>30205</v>
      </c>
      <c r="R6513">
        <v>18</v>
      </c>
      <c r="S6513">
        <v>32</v>
      </c>
    </row>
    <row r="6514" spans="1:19" x14ac:dyDescent="0.35">
      <c r="A6514">
        <v>1099</v>
      </c>
      <c r="B6514" t="s">
        <v>24480</v>
      </c>
      <c r="C6514" t="s">
        <v>42</v>
      </c>
      <c r="D6514" t="s">
        <v>24481</v>
      </c>
      <c r="E6514" t="e" cm="1">
        <f t="array" ref="E6514">- PARACETAMOL. PSEUDOEPHEDRINE HYDROCHLORIDE. CHLORPHENAMINE MALEATE</f>
        <v>#NAME?</v>
      </c>
      <c r="F6514" t="s">
        <v>8935</v>
      </c>
      <c r="G6514" t="s">
        <v>2241</v>
      </c>
      <c r="H6514" t="s">
        <v>24482</v>
      </c>
      <c r="I6514" t="s">
        <v>24483</v>
      </c>
      <c r="J6514" t="s">
        <v>24484</v>
      </c>
      <c r="K6514" t="s">
        <v>24485</v>
      </c>
      <c r="L6514" t="s">
        <v>24486</v>
      </c>
      <c r="M6514" t="s">
        <v>291</v>
      </c>
      <c r="N6514" t="s">
        <v>5132</v>
      </c>
      <c r="O6514" t="s">
        <v>24487</v>
      </c>
      <c r="P6514" t="s">
        <v>24488</v>
      </c>
      <c r="Q6514" t="s">
        <v>30315</v>
      </c>
      <c r="R6514">
        <v>18</v>
      </c>
      <c r="S6514">
        <v>32</v>
      </c>
    </row>
    <row r="6515" spans="1:19" x14ac:dyDescent="0.35">
      <c r="A6515">
        <v>4495</v>
      </c>
      <c r="B6515" t="s">
        <v>27372</v>
      </c>
      <c r="C6515" t="s">
        <v>42</v>
      </c>
      <c r="D6515" t="s">
        <v>30192</v>
      </c>
      <c r="E6515" t="e" cm="1">
        <f t="array" ref="E6515">- SODIUM HYALURONATE</f>
        <v>#NAME?</v>
      </c>
      <c r="F6515" t="s">
        <v>30193</v>
      </c>
      <c r="G6515" t="s">
        <v>7569</v>
      </c>
      <c r="H6515" t="s">
        <v>27375</v>
      </c>
      <c r="I6515" t="s">
        <v>30194</v>
      </c>
      <c r="J6515" t="s">
        <v>30195</v>
      </c>
      <c r="K6515" t="s">
        <v>12782</v>
      </c>
      <c r="L6515" t="s">
        <v>30196</v>
      </c>
      <c r="M6515" t="s">
        <v>824</v>
      </c>
      <c r="N6515" t="s">
        <v>27378</v>
      </c>
      <c r="O6515" t="s">
        <v>25899</v>
      </c>
      <c r="P6515" t="s">
        <v>30197</v>
      </c>
      <c r="Q6515" t="s">
        <v>30198</v>
      </c>
      <c r="R6515">
        <v>18</v>
      </c>
      <c r="S6515">
        <v>32</v>
      </c>
    </row>
    <row r="6516" spans="1:19" x14ac:dyDescent="0.35">
      <c r="A6516">
        <v>5973</v>
      </c>
      <c r="B6516" t="s">
        <v>30316</v>
      </c>
      <c r="C6516" t="s">
        <v>42</v>
      </c>
      <c r="D6516" t="s">
        <v>30317</v>
      </c>
      <c r="E6516" t="e" cm="1">
        <f t="array" ref="E6516">- CIPROFLOXACIN HYDROCHLORIDE</f>
        <v>#NAME?</v>
      </c>
      <c r="F6516" t="s">
        <v>30318</v>
      </c>
      <c r="G6516" t="s">
        <v>12364</v>
      </c>
      <c r="H6516" t="s">
        <v>1055</v>
      </c>
      <c r="I6516" t="s">
        <v>30319</v>
      </c>
      <c r="J6516" t="s">
        <v>24699</v>
      </c>
      <c r="K6516" t="s">
        <v>30320</v>
      </c>
      <c r="L6516" t="s">
        <v>30321</v>
      </c>
      <c r="M6516" t="s">
        <v>291</v>
      </c>
      <c r="N6516" t="s">
        <v>1624</v>
      </c>
      <c r="O6516" t="s">
        <v>30322</v>
      </c>
      <c r="P6516" t="s">
        <v>30323</v>
      </c>
      <c r="Q6516" t="s">
        <v>30324</v>
      </c>
      <c r="R6516">
        <v>18</v>
      </c>
      <c r="S6516">
        <v>32</v>
      </c>
    </row>
    <row r="6517" spans="1:19" x14ac:dyDescent="0.35">
      <c r="A6517">
        <v>1038</v>
      </c>
      <c r="B6517" t="s">
        <v>26747</v>
      </c>
      <c r="C6517" t="s">
        <v>42</v>
      </c>
      <c r="D6517" t="s">
        <v>26748</v>
      </c>
      <c r="E6517" t="e" cm="1">
        <f t="array" ref="E6517">- PSEUDOEPHEDRINE HYDROCHLORIDE. CHLORPHENAMINE MALEATE</f>
        <v>#NAME?</v>
      </c>
      <c r="F6517" t="s">
        <v>26749</v>
      </c>
      <c r="G6517" t="s">
        <v>60</v>
      </c>
      <c r="H6517" t="s">
        <v>26750</v>
      </c>
      <c r="I6517" t="s">
        <v>26751</v>
      </c>
      <c r="J6517" t="s">
        <v>334</v>
      </c>
      <c r="K6517" t="s">
        <v>26752</v>
      </c>
      <c r="L6517" t="s">
        <v>26753</v>
      </c>
      <c r="M6517" t="s">
        <v>271</v>
      </c>
      <c r="N6517" t="s">
        <v>4926</v>
      </c>
      <c r="O6517" t="s">
        <v>26754</v>
      </c>
      <c r="P6517" t="s">
        <v>26755</v>
      </c>
      <c r="Q6517" t="s">
        <v>30191</v>
      </c>
      <c r="R6517">
        <v>18</v>
      </c>
      <c r="S6517">
        <v>32</v>
      </c>
    </row>
    <row r="6518" spans="1:19" x14ac:dyDescent="0.35">
      <c r="A6518">
        <v>3181</v>
      </c>
      <c r="B6518" t="s">
        <v>20417</v>
      </c>
      <c r="C6518" t="s">
        <v>42</v>
      </c>
      <c r="D6518" t="s">
        <v>20418</v>
      </c>
      <c r="E6518" t="s">
        <v>24549</v>
      </c>
      <c r="F6518" t="s">
        <v>20419</v>
      </c>
      <c r="G6518" t="s">
        <v>20420</v>
      </c>
      <c r="H6518" t="s">
        <v>20421</v>
      </c>
      <c r="I6518" t="s">
        <v>20422</v>
      </c>
      <c r="J6518" t="s">
        <v>374</v>
      </c>
      <c r="K6518" t="s">
        <v>3473</v>
      </c>
      <c r="L6518" t="s">
        <v>9086</v>
      </c>
      <c r="M6518" t="s">
        <v>340</v>
      </c>
      <c r="N6518" t="s">
        <v>24550</v>
      </c>
      <c r="O6518" t="s">
        <v>20423</v>
      </c>
      <c r="P6518" t="s">
        <v>20424</v>
      </c>
      <c r="Q6518" t="s">
        <v>30325</v>
      </c>
      <c r="R6518">
        <v>18</v>
      </c>
      <c r="S6518">
        <v>32</v>
      </c>
    </row>
    <row r="6519" spans="1:19" x14ac:dyDescent="0.35">
      <c r="A6519">
        <v>3727</v>
      </c>
      <c r="B6519" t="s">
        <v>29653</v>
      </c>
      <c r="C6519" t="s">
        <v>42</v>
      </c>
      <c r="D6519" t="s">
        <v>29654</v>
      </c>
      <c r="E6519" t="e" cm="1">
        <f t="array" ref="E6519">- ZINC SULFATE MONOHYDRATE</f>
        <v>#NAME?</v>
      </c>
      <c r="F6519" t="s">
        <v>29655</v>
      </c>
      <c r="G6519" t="s">
        <v>29656</v>
      </c>
      <c r="H6519" t="s">
        <v>29657</v>
      </c>
      <c r="I6519" t="s">
        <v>29658</v>
      </c>
      <c r="J6519" t="s">
        <v>334</v>
      </c>
      <c r="K6519" t="s">
        <v>2726</v>
      </c>
      <c r="L6519" t="s">
        <v>29659</v>
      </c>
      <c r="M6519" t="s">
        <v>271</v>
      </c>
      <c r="N6519" t="s">
        <v>2750</v>
      </c>
      <c r="O6519" t="s">
        <v>29660</v>
      </c>
      <c r="P6519" t="s">
        <v>29661</v>
      </c>
      <c r="Q6519" t="s">
        <v>29662</v>
      </c>
      <c r="R6519">
        <v>18</v>
      </c>
      <c r="S6519">
        <v>32</v>
      </c>
    </row>
    <row r="6520" spans="1:19" x14ac:dyDescent="0.35">
      <c r="A6520">
        <v>854</v>
      </c>
      <c r="B6520" t="s">
        <v>30326</v>
      </c>
      <c r="C6520" t="s">
        <v>42</v>
      </c>
      <c r="D6520" t="s">
        <v>30327</v>
      </c>
      <c r="E6520" t="e" cm="1">
        <f t="array" ref="E6520">- AMMONIUM CHLORIDE</f>
        <v>#NAME?</v>
      </c>
      <c r="F6520" t="s">
        <v>30328</v>
      </c>
      <c r="G6520" t="s">
        <v>30329</v>
      </c>
      <c r="H6520" t="s">
        <v>30330</v>
      </c>
      <c r="I6520" t="s">
        <v>25304</v>
      </c>
      <c r="J6520" t="s">
        <v>17181</v>
      </c>
      <c r="K6520" t="s">
        <v>30331</v>
      </c>
      <c r="L6520" t="s">
        <v>30332</v>
      </c>
      <c r="M6520" t="s">
        <v>271</v>
      </c>
      <c r="N6520" t="s">
        <v>1672</v>
      </c>
      <c r="O6520" t="s">
        <v>25307</v>
      </c>
      <c r="P6520" t="s">
        <v>30333</v>
      </c>
      <c r="Q6520" t="s">
        <v>30334</v>
      </c>
      <c r="R6520">
        <v>18</v>
      </c>
      <c r="S6520">
        <v>32</v>
      </c>
    </row>
    <row r="6521" spans="1:19" x14ac:dyDescent="0.35">
      <c r="A6521">
        <v>2587</v>
      </c>
      <c r="B6521" t="s">
        <v>30335</v>
      </c>
      <c r="C6521" t="s">
        <v>42</v>
      </c>
      <c r="D6521" t="s">
        <v>30336</v>
      </c>
      <c r="E6521" t="e" cm="1">
        <f t="array" ref="E6521">- MELOXICAM</f>
        <v>#NAME?</v>
      </c>
      <c r="F6521" t="s">
        <v>30337</v>
      </c>
      <c r="G6521" t="s">
        <v>2266</v>
      </c>
      <c r="H6521" t="s">
        <v>319</v>
      </c>
      <c r="I6521" t="s">
        <v>30338</v>
      </c>
      <c r="J6521" t="s">
        <v>411</v>
      </c>
      <c r="K6521" t="s">
        <v>2726</v>
      </c>
      <c r="L6521" t="s">
        <v>30339</v>
      </c>
      <c r="M6521" t="s">
        <v>46</v>
      </c>
      <c r="N6521" t="s">
        <v>412</v>
      </c>
      <c r="O6521" t="s">
        <v>30340</v>
      </c>
      <c r="P6521" t="s">
        <v>30341</v>
      </c>
      <c r="Q6521" t="s">
        <v>30342</v>
      </c>
      <c r="R6521">
        <v>18</v>
      </c>
      <c r="S6521">
        <v>32</v>
      </c>
    </row>
    <row r="6522" spans="1:19" x14ac:dyDescent="0.35">
      <c r="A6522">
        <v>2647</v>
      </c>
      <c r="B6522" t="s">
        <v>30343</v>
      </c>
      <c r="C6522" t="s">
        <v>42</v>
      </c>
      <c r="D6522" t="s">
        <v>30344</v>
      </c>
      <c r="E6522" t="e" cm="1">
        <f t="array" ref="E6522">- METOCLOPRAMIDE HYDROCHLORIDE. PARACETAMOL</f>
        <v>#NAME?</v>
      </c>
      <c r="F6522" s="1">
        <v>17800</v>
      </c>
      <c r="G6522" t="s">
        <v>4362</v>
      </c>
      <c r="H6522" t="s">
        <v>30345</v>
      </c>
      <c r="I6522" t="s">
        <v>25514</v>
      </c>
      <c r="J6522" t="s">
        <v>381</v>
      </c>
      <c r="K6522" t="s">
        <v>9711</v>
      </c>
      <c r="L6522" t="s">
        <v>30346</v>
      </c>
      <c r="M6522" t="s">
        <v>291</v>
      </c>
      <c r="N6522" t="s">
        <v>30347</v>
      </c>
      <c r="O6522" t="s">
        <v>25515</v>
      </c>
      <c r="P6522" t="s">
        <v>30348</v>
      </c>
      <c r="Q6522" t="s">
        <v>30349</v>
      </c>
      <c r="R6522">
        <v>18</v>
      </c>
      <c r="S6522">
        <v>32</v>
      </c>
    </row>
    <row r="6523" spans="1:19" x14ac:dyDescent="0.35">
      <c r="A6523">
        <v>1504</v>
      </c>
      <c r="B6523" t="s">
        <v>30350</v>
      </c>
      <c r="C6523" t="s">
        <v>42</v>
      </c>
      <c r="D6523" t="s">
        <v>30351</v>
      </c>
      <c r="E6523" t="e" cm="1">
        <f t="array" ref="E6523">- AMBROXOL HYDROCHLORIDE</f>
        <v>#NAME?</v>
      </c>
      <c r="F6523" s="1">
        <v>7200</v>
      </c>
      <c r="G6523" t="s">
        <v>2241</v>
      </c>
      <c r="H6523" t="s">
        <v>29112</v>
      </c>
      <c r="I6523" t="s">
        <v>29055</v>
      </c>
      <c r="J6523" t="s">
        <v>334</v>
      </c>
      <c r="M6523" t="s">
        <v>271</v>
      </c>
      <c r="N6523" t="s">
        <v>1800</v>
      </c>
      <c r="O6523" t="s">
        <v>29056</v>
      </c>
      <c r="P6523" t="s">
        <v>30352</v>
      </c>
      <c r="Q6523" t="s">
        <v>30353</v>
      </c>
      <c r="R6523">
        <v>18</v>
      </c>
      <c r="S6523">
        <v>32</v>
      </c>
    </row>
    <row r="6524" spans="1:19" x14ac:dyDescent="0.35">
      <c r="A6524">
        <v>1503</v>
      </c>
      <c r="B6524" t="s">
        <v>30350</v>
      </c>
      <c r="C6524" t="s">
        <v>42</v>
      </c>
      <c r="D6524" t="s">
        <v>30351</v>
      </c>
      <c r="E6524" t="e" cm="1">
        <f t="array" ref="E6524">- AMBROXOL HYDROCHLORIDE</f>
        <v>#NAME?</v>
      </c>
      <c r="F6524" s="1">
        <v>7200</v>
      </c>
      <c r="G6524" t="s">
        <v>2241</v>
      </c>
      <c r="H6524" t="s">
        <v>29112</v>
      </c>
      <c r="I6524" t="s">
        <v>29055</v>
      </c>
      <c r="J6524" t="s">
        <v>334</v>
      </c>
      <c r="M6524" t="s">
        <v>271</v>
      </c>
      <c r="N6524" t="s">
        <v>1800</v>
      </c>
      <c r="O6524" t="s">
        <v>29056</v>
      </c>
      <c r="P6524" t="s">
        <v>30352</v>
      </c>
      <c r="Q6524" t="s">
        <v>30353</v>
      </c>
      <c r="R6524">
        <v>18</v>
      </c>
      <c r="S6524">
        <v>32</v>
      </c>
    </row>
    <row r="6525" spans="1:19" x14ac:dyDescent="0.35">
      <c r="A6525">
        <v>2749</v>
      </c>
      <c r="B6525" t="s">
        <v>30354</v>
      </c>
      <c r="C6525" t="s">
        <v>42</v>
      </c>
      <c r="D6525" t="s">
        <v>30355</v>
      </c>
      <c r="E6525" t="e" cm="1">
        <f t="array" ref="E6525">- PARACETAMOL</f>
        <v>#NAME?</v>
      </c>
      <c r="F6525" t="s">
        <v>30356</v>
      </c>
      <c r="G6525" t="s">
        <v>60</v>
      </c>
      <c r="H6525" t="s">
        <v>30357</v>
      </c>
      <c r="I6525" t="s">
        <v>30358</v>
      </c>
      <c r="J6525" t="s">
        <v>908</v>
      </c>
      <c r="K6525" t="s">
        <v>30359</v>
      </c>
      <c r="L6525" t="s">
        <v>30360</v>
      </c>
      <c r="M6525" t="s">
        <v>291</v>
      </c>
      <c r="N6525" t="s">
        <v>584</v>
      </c>
      <c r="O6525" t="s">
        <v>30361</v>
      </c>
      <c r="P6525" t="s">
        <v>30362</v>
      </c>
      <c r="Q6525" t="s">
        <v>30363</v>
      </c>
      <c r="R6525">
        <v>18</v>
      </c>
      <c r="S6525">
        <v>32</v>
      </c>
    </row>
    <row r="6526" spans="1:19" x14ac:dyDescent="0.35">
      <c r="A6526">
        <v>1477</v>
      </c>
      <c r="B6526" t="s">
        <v>30364</v>
      </c>
      <c r="C6526" t="s">
        <v>42</v>
      </c>
      <c r="D6526" t="s">
        <v>30365</v>
      </c>
      <c r="E6526" t="e" cm="1">
        <f t="array" ref="E6526">- AMBROXOL HYDROCHLORIDE</f>
        <v>#NAME?</v>
      </c>
      <c r="F6526" t="s">
        <v>30366</v>
      </c>
      <c r="G6526" t="s">
        <v>2241</v>
      </c>
      <c r="H6526" t="s">
        <v>30367</v>
      </c>
      <c r="I6526" t="s">
        <v>30368</v>
      </c>
      <c r="J6526" t="s">
        <v>381</v>
      </c>
      <c r="K6526" t="s">
        <v>4677</v>
      </c>
      <c r="L6526" t="s">
        <v>30369</v>
      </c>
      <c r="M6526" t="s">
        <v>46</v>
      </c>
      <c r="N6526" t="s">
        <v>1800</v>
      </c>
      <c r="O6526" t="s">
        <v>29056</v>
      </c>
      <c r="P6526" t="s">
        <v>29113</v>
      </c>
      <c r="Q6526" t="s">
        <v>30370</v>
      </c>
      <c r="R6526">
        <v>18</v>
      </c>
      <c r="S6526">
        <v>32</v>
      </c>
    </row>
    <row r="6527" spans="1:19" x14ac:dyDescent="0.35">
      <c r="A6527">
        <v>1476</v>
      </c>
      <c r="B6527" t="s">
        <v>30364</v>
      </c>
      <c r="C6527" t="s">
        <v>42</v>
      </c>
      <c r="D6527" t="s">
        <v>30365</v>
      </c>
      <c r="E6527" t="e" cm="1">
        <f t="array" ref="E6527">- AMBROXOL HYDROCHLORIDE</f>
        <v>#NAME?</v>
      </c>
      <c r="F6527" t="s">
        <v>30366</v>
      </c>
      <c r="G6527" t="s">
        <v>2241</v>
      </c>
      <c r="H6527" t="s">
        <v>30367</v>
      </c>
      <c r="I6527" t="s">
        <v>30368</v>
      </c>
      <c r="J6527" t="s">
        <v>381</v>
      </c>
      <c r="K6527" t="s">
        <v>4677</v>
      </c>
      <c r="L6527" t="s">
        <v>30369</v>
      </c>
      <c r="M6527" t="s">
        <v>46</v>
      </c>
      <c r="N6527" t="s">
        <v>1800</v>
      </c>
      <c r="O6527" t="s">
        <v>29056</v>
      </c>
      <c r="P6527" t="s">
        <v>29113</v>
      </c>
      <c r="Q6527" t="s">
        <v>30370</v>
      </c>
      <c r="R6527">
        <v>18</v>
      </c>
      <c r="S6527">
        <v>32</v>
      </c>
    </row>
    <row r="6528" spans="1:19" x14ac:dyDescent="0.35">
      <c r="A6528">
        <v>2814</v>
      </c>
      <c r="B6528" t="s">
        <v>30371</v>
      </c>
      <c r="C6528" t="s">
        <v>42</v>
      </c>
      <c r="D6528" t="s">
        <v>30372</v>
      </c>
      <c r="E6528" t="e" cm="1">
        <f t="array" ref="E6528">- PARACETAMOL</f>
        <v>#NAME?</v>
      </c>
      <c r="F6528" t="s">
        <v>30373</v>
      </c>
      <c r="G6528" t="s">
        <v>6869</v>
      </c>
      <c r="H6528" t="s">
        <v>30374</v>
      </c>
      <c r="I6528" t="s">
        <v>27986</v>
      </c>
      <c r="J6528" t="s">
        <v>334</v>
      </c>
      <c r="K6528" t="s">
        <v>27987</v>
      </c>
      <c r="L6528" t="s">
        <v>30375</v>
      </c>
      <c r="M6528" t="s">
        <v>271</v>
      </c>
      <c r="N6528" t="s">
        <v>584</v>
      </c>
      <c r="O6528" t="s">
        <v>27989</v>
      </c>
      <c r="P6528" t="s">
        <v>30376</v>
      </c>
      <c r="Q6528" t="s">
        <v>30377</v>
      </c>
      <c r="R6528">
        <v>18</v>
      </c>
      <c r="S6528">
        <v>32</v>
      </c>
    </row>
    <row r="6529" spans="1:19" x14ac:dyDescent="0.35">
      <c r="A6529">
        <v>2815</v>
      </c>
      <c r="B6529" t="s">
        <v>30371</v>
      </c>
      <c r="C6529" t="s">
        <v>42</v>
      </c>
      <c r="D6529" t="s">
        <v>30372</v>
      </c>
      <c r="E6529" t="e" cm="1">
        <f t="array" ref="E6529">- PARACETAMOL</f>
        <v>#NAME?</v>
      </c>
      <c r="F6529" t="s">
        <v>30373</v>
      </c>
      <c r="G6529" t="s">
        <v>6869</v>
      </c>
      <c r="H6529" t="s">
        <v>30374</v>
      </c>
      <c r="I6529" t="s">
        <v>27986</v>
      </c>
      <c r="J6529" t="s">
        <v>334</v>
      </c>
      <c r="K6529" t="s">
        <v>27987</v>
      </c>
      <c r="L6529" t="s">
        <v>30375</v>
      </c>
      <c r="M6529" t="s">
        <v>271</v>
      </c>
      <c r="N6529" t="s">
        <v>584</v>
      </c>
      <c r="O6529" t="s">
        <v>27989</v>
      </c>
      <c r="P6529" t="s">
        <v>30376</v>
      </c>
      <c r="Q6529" t="s">
        <v>30377</v>
      </c>
      <c r="R6529">
        <v>18</v>
      </c>
      <c r="S6529">
        <v>32</v>
      </c>
    </row>
    <row r="6530" spans="1:19" x14ac:dyDescent="0.35">
      <c r="A6530">
        <v>2828</v>
      </c>
      <c r="B6530" t="s">
        <v>30378</v>
      </c>
      <c r="C6530" t="s">
        <v>42</v>
      </c>
      <c r="D6530" t="s">
        <v>30379</v>
      </c>
      <c r="E6530" t="e" cm="1">
        <f t="array" ref="E6530">- PARACETAMOL</f>
        <v>#NAME?</v>
      </c>
      <c r="F6530" t="s">
        <v>30380</v>
      </c>
      <c r="G6530" t="s">
        <v>30381</v>
      </c>
      <c r="H6530" t="s">
        <v>30382</v>
      </c>
      <c r="I6530" t="s">
        <v>30383</v>
      </c>
      <c r="J6530" t="s">
        <v>829</v>
      </c>
      <c r="K6530" t="s">
        <v>23793</v>
      </c>
      <c r="L6530" t="s">
        <v>16925</v>
      </c>
      <c r="M6530" t="s">
        <v>271</v>
      </c>
      <c r="N6530" t="s">
        <v>584</v>
      </c>
      <c r="O6530" t="s">
        <v>30384</v>
      </c>
      <c r="P6530" t="s">
        <v>30385</v>
      </c>
      <c r="Q6530" t="s">
        <v>30386</v>
      </c>
      <c r="R6530">
        <v>18</v>
      </c>
      <c r="S6530">
        <v>32</v>
      </c>
    </row>
    <row r="6531" spans="1:19" x14ac:dyDescent="0.35">
      <c r="A6531">
        <v>6191</v>
      </c>
      <c r="B6531" t="s">
        <v>30387</v>
      </c>
      <c r="C6531" t="s">
        <v>42</v>
      </c>
      <c r="D6531" t="s">
        <v>30388</v>
      </c>
      <c r="E6531" t="e" cm="1">
        <f t="array" ref="E6531">- CEFDITOREN PIVOXIL</f>
        <v>#NAME?</v>
      </c>
      <c r="F6531" t="s">
        <v>30389</v>
      </c>
      <c r="G6531" t="s">
        <v>4649</v>
      </c>
      <c r="H6531" t="s">
        <v>30390</v>
      </c>
      <c r="I6531" t="s">
        <v>30391</v>
      </c>
      <c r="J6531" t="s">
        <v>2307</v>
      </c>
      <c r="K6531" t="s">
        <v>3952</v>
      </c>
      <c r="L6531" t="s">
        <v>30392</v>
      </c>
      <c r="M6531" t="s">
        <v>46</v>
      </c>
      <c r="N6531" t="s">
        <v>30393</v>
      </c>
      <c r="O6531" t="s">
        <v>30394</v>
      </c>
      <c r="P6531" t="s">
        <v>30395</v>
      </c>
      <c r="Q6531" t="s">
        <v>30396</v>
      </c>
      <c r="R6531">
        <v>18</v>
      </c>
      <c r="S6531">
        <v>32</v>
      </c>
    </row>
    <row r="6532" spans="1:19" x14ac:dyDescent="0.35">
      <c r="A6532">
        <v>2586</v>
      </c>
      <c r="B6532" t="s">
        <v>30335</v>
      </c>
      <c r="C6532" t="s">
        <v>42</v>
      </c>
      <c r="D6532" t="s">
        <v>30336</v>
      </c>
      <c r="E6532" t="e" cm="1">
        <f t="array" ref="E6532">- MELOXICAM</f>
        <v>#NAME?</v>
      </c>
      <c r="F6532" t="s">
        <v>30337</v>
      </c>
      <c r="G6532" t="s">
        <v>2266</v>
      </c>
      <c r="H6532" t="s">
        <v>319</v>
      </c>
      <c r="I6532" t="s">
        <v>30338</v>
      </c>
      <c r="J6532" t="s">
        <v>411</v>
      </c>
      <c r="K6532" t="s">
        <v>2726</v>
      </c>
      <c r="L6532" t="s">
        <v>30339</v>
      </c>
      <c r="M6532" t="s">
        <v>46</v>
      </c>
      <c r="N6532" t="s">
        <v>412</v>
      </c>
      <c r="O6532" t="s">
        <v>30340</v>
      </c>
      <c r="P6532" t="s">
        <v>30341</v>
      </c>
      <c r="Q6532" t="s">
        <v>30342</v>
      </c>
      <c r="R6532">
        <v>18</v>
      </c>
      <c r="S6532">
        <v>32</v>
      </c>
    </row>
    <row r="6533" spans="1:19" x14ac:dyDescent="0.35">
      <c r="A6533">
        <v>2829</v>
      </c>
      <c r="B6533" t="s">
        <v>30378</v>
      </c>
      <c r="C6533" t="s">
        <v>42</v>
      </c>
      <c r="D6533" t="s">
        <v>30379</v>
      </c>
      <c r="E6533" t="e" cm="1">
        <f t="array" ref="E6533">- PARACETAMOL</f>
        <v>#NAME?</v>
      </c>
      <c r="F6533" t="s">
        <v>30380</v>
      </c>
      <c r="G6533" t="s">
        <v>30381</v>
      </c>
      <c r="H6533" t="s">
        <v>30382</v>
      </c>
      <c r="I6533" t="s">
        <v>30383</v>
      </c>
      <c r="J6533" t="s">
        <v>829</v>
      </c>
      <c r="K6533" t="s">
        <v>23793</v>
      </c>
      <c r="L6533" t="s">
        <v>16925</v>
      </c>
      <c r="M6533" t="s">
        <v>271</v>
      </c>
      <c r="N6533" t="s">
        <v>584</v>
      </c>
      <c r="O6533" t="s">
        <v>30384</v>
      </c>
      <c r="P6533" t="s">
        <v>30385</v>
      </c>
      <c r="Q6533" t="s">
        <v>30386</v>
      </c>
      <c r="R6533">
        <v>18</v>
      </c>
      <c r="S6533">
        <v>32</v>
      </c>
    </row>
    <row r="6534" spans="1:19" x14ac:dyDescent="0.35">
      <c r="A6534">
        <v>2831</v>
      </c>
      <c r="B6534" t="s">
        <v>30378</v>
      </c>
      <c r="C6534" t="s">
        <v>42</v>
      </c>
      <c r="D6534" t="s">
        <v>30397</v>
      </c>
      <c r="E6534" t="e" cm="1">
        <f t="array" ref="E6534">- PARACETAMOL</f>
        <v>#NAME?</v>
      </c>
      <c r="F6534" t="s">
        <v>30398</v>
      </c>
      <c r="G6534" t="s">
        <v>30381</v>
      </c>
      <c r="H6534" t="s">
        <v>30382</v>
      </c>
      <c r="I6534" t="s">
        <v>30383</v>
      </c>
      <c r="J6534" t="s">
        <v>334</v>
      </c>
      <c r="K6534" t="s">
        <v>23793</v>
      </c>
      <c r="L6534" t="s">
        <v>16925</v>
      </c>
      <c r="M6534" t="s">
        <v>271</v>
      </c>
      <c r="N6534" t="s">
        <v>584</v>
      </c>
      <c r="O6534" t="s">
        <v>30384</v>
      </c>
      <c r="P6534" t="s">
        <v>30385</v>
      </c>
      <c r="Q6534" t="s">
        <v>30386</v>
      </c>
      <c r="R6534">
        <v>18</v>
      </c>
      <c r="S6534">
        <v>32</v>
      </c>
    </row>
    <row r="6535" spans="1:19" x14ac:dyDescent="0.35">
      <c r="A6535">
        <v>6190</v>
      </c>
      <c r="B6535" t="s">
        <v>30387</v>
      </c>
      <c r="C6535" t="s">
        <v>42</v>
      </c>
      <c r="D6535" t="s">
        <v>30388</v>
      </c>
      <c r="E6535" t="e" cm="1">
        <f t="array" ref="E6535">- CEFDITOREN PIVOXIL</f>
        <v>#NAME?</v>
      </c>
      <c r="F6535" t="s">
        <v>30389</v>
      </c>
      <c r="G6535" t="s">
        <v>4649</v>
      </c>
      <c r="H6535" t="s">
        <v>30390</v>
      </c>
      <c r="I6535" t="s">
        <v>30391</v>
      </c>
      <c r="J6535" t="s">
        <v>2307</v>
      </c>
      <c r="K6535" t="s">
        <v>3952</v>
      </c>
      <c r="L6535" t="s">
        <v>30392</v>
      </c>
      <c r="M6535" t="s">
        <v>46</v>
      </c>
      <c r="N6535" t="s">
        <v>30393</v>
      </c>
      <c r="O6535" t="s">
        <v>30394</v>
      </c>
      <c r="P6535" t="s">
        <v>30395</v>
      </c>
      <c r="Q6535" t="s">
        <v>30396</v>
      </c>
      <c r="R6535">
        <v>18</v>
      </c>
      <c r="S6535">
        <v>32</v>
      </c>
    </row>
    <row r="6536" spans="1:19" x14ac:dyDescent="0.35">
      <c r="A6536">
        <v>6189</v>
      </c>
      <c r="B6536" t="s">
        <v>30387</v>
      </c>
      <c r="C6536" t="s">
        <v>42</v>
      </c>
      <c r="D6536" t="s">
        <v>30388</v>
      </c>
      <c r="E6536" t="e" cm="1">
        <f t="array" ref="E6536">- CEFDITOREN PIVOXIL</f>
        <v>#NAME?</v>
      </c>
      <c r="F6536" t="s">
        <v>30389</v>
      </c>
      <c r="G6536" t="s">
        <v>4649</v>
      </c>
      <c r="H6536" t="s">
        <v>30390</v>
      </c>
      <c r="I6536" t="s">
        <v>30391</v>
      </c>
      <c r="J6536" t="s">
        <v>2307</v>
      </c>
      <c r="K6536" t="s">
        <v>3952</v>
      </c>
      <c r="L6536" t="s">
        <v>30392</v>
      </c>
      <c r="M6536" t="s">
        <v>46</v>
      </c>
      <c r="N6536" t="s">
        <v>30393</v>
      </c>
      <c r="O6536" t="s">
        <v>30394</v>
      </c>
      <c r="P6536" t="s">
        <v>30395</v>
      </c>
      <c r="Q6536" t="s">
        <v>30396</v>
      </c>
      <c r="R6536">
        <v>18</v>
      </c>
      <c r="S6536">
        <v>32</v>
      </c>
    </row>
    <row r="6537" spans="1:19" x14ac:dyDescent="0.35">
      <c r="A6537">
        <v>2832</v>
      </c>
      <c r="B6537" t="s">
        <v>30378</v>
      </c>
      <c r="C6537" t="s">
        <v>42</v>
      </c>
      <c r="D6537" t="s">
        <v>30397</v>
      </c>
      <c r="E6537" t="e" cm="1">
        <f t="array" ref="E6537">- PARACETAMOL</f>
        <v>#NAME?</v>
      </c>
      <c r="F6537" t="s">
        <v>30398</v>
      </c>
      <c r="G6537" t="s">
        <v>30381</v>
      </c>
      <c r="H6537" t="s">
        <v>30382</v>
      </c>
      <c r="I6537" t="s">
        <v>30383</v>
      </c>
      <c r="J6537" t="s">
        <v>334</v>
      </c>
      <c r="K6537" t="s">
        <v>23793</v>
      </c>
      <c r="L6537" t="s">
        <v>16925</v>
      </c>
      <c r="M6537" t="s">
        <v>271</v>
      </c>
      <c r="N6537" t="s">
        <v>584</v>
      </c>
      <c r="O6537" t="s">
        <v>30384</v>
      </c>
      <c r="P6537" t="s">
        <v>30385</v>
      </c>
      <c r="Q6537" t="s">
        <v>30386</v>
      </c>
      <c r="R6537">
        <v>18</v>
      </c>
      <c r="S6537">
        <v>32</v>
      </c>
    </row>
    <row r="6538" spans="1:19" x14ac:dyDescent="0.35">
      <c r="A6538">
        <v>2833</v>
      </c>
      <c r="B6538" t="s">
        <v>30378</v>
      </c>
      <c r="C6538" t="s">
        <v>42</v>
      </c>
      <c r="D6538" t="s">
        <v>30397</v>
      </c>
      <c r="E6538" t="e" cm="1">
        <f t="array" ref="E6538">- PARACETAMOL</f>
        <v>#NAME?</v>
      </c>
      <c r="F6538" t="s">
        <v>30398</v>
      </c>
      <c r="G6538" t="s">
        <v>30381</v>
      </c>
      <c r="H6538" t="s">
        <v>30382</v>
      </c>
      <c r="I6538" t="s">
        <v>30383</v>
      </c>
      <c r="J6538" t="s">
        <v>334</v>
      </c>
      <c r="K6538" t="s">
        <v>23793</v>
      </c>
      <c r="L6538" t="s">
        <v>16925</v>
      </c>
      <c r="M6538" t="s">
        <v>271</v>
      </c>
      <c r="N6538" t="s">
        <v>584</v>
      </c>
      <c r="O6538" t="s">
        <v>30384</v>
      </c>
      <c r="P6538" t="s">
        <v>30385</v>
      </c>
      <c r="Q6538" t="s">
        <v>30386</v>
      </c>
      <c r="R6538">
        <v>18</v>
      </c>
      <c r="S6538">
        <v>32</v>
      </c>
    </row>
    <row r="6539" spans="1:19" x14ac:dyDescent="0.35">
      <c r="A6539">
        <v>2845</v>
      </c>
      <c r="B6539" t="s">
        <v>30399</v>
      </c>
      <c r="C6539" t="s">
        <v>42</v>
      </c>
      <c r="D6539" t="s">
        <v>30400</v>
      </c>
      <c r="E6539" t="e" cm="1">
        <f t="array" ref="E6539">- PARACETAMOL</f>
        <v>#NAME?</v>
      </c>
      <c r="F6539" t="s">
        <v>30401</v>
      </c>
      <c r="G6539" t="s">
        <v>7219</v>
      </c>
      <c r="H6539" t="s">
        <v>30402</v>
      </c>
      <c r="I6539" t="s">
        <v>30403</v>
      </c>
      <c r="J6539" t="s">
        <v>10445</v>
      </c>
      <c r="M6539" t="s">
        <v>340</v>
      </c>
      <c r="N6539" t="s">
        <v>584</v>
      </c>
      <c r="O6539" t="s">
        <v>30404</v>
      </c>
      <c r="P6539" t="s">
        <v>30405</v>
      </c>
      <c r="Q6539" t="s">
        <v>30406</v>
      </c>
      <c r="R6539">
        <v>18</v>
      </c>
      <c r="S6539">
        <v>32</v>
      </c>
    </row>
    <row r="6540" spans="1:19" x14ac:dyDescent="0.35">
      <c r="A6540">
        <v>2858</v>
      </c>
      <c r="B6540" t="s">
        <v>30407</v>
      </c>
      <c r="C6540" t="s">
        <v>42</v>
      </c>
      <c r="D6540" t="s">
        <v>30408</v>
      </c>
      <c r="E6540" t="e" cm="1">
        <f t="array" ref="E6540">- PARACETAMOL</f>
        <v>#NAME?</v>
      </c>
      <c r="F6540" t="s">
        <v>30409</v>
      </c>
      <c r="G6540" t="s">
        <v>60</v>
      </c>
      <c r="H6540" t="s">
        <v>30410</v>
      </c>
    </row>
    <row r="6541" spans="1:19" x14ac:dyDescent="0.35">
      <c r="A6541">
        <v>2861</v>
      </c>
      <c r="B6541" t="s">
        <v>30411</v>
      </c>
      <c r="C6541" t="s">
        <v>42</v>
      </c>
      <c r="D6541" t="s">
        <v>30412</v>
      </c>
      <c r="E6541" t="e" cm="1">
        <f t="array" ref="E6541">- PARACETAMOL</f>
        <v>#NAME?</v>
      </c>
      <c r="F6541" t="s">
        <v>30413</v>
      </c>
      <c r="G6541" t="s">
        <v>6869</v>
      </c>
      <c r="H6541" t="s">
        <v>30374</v>
      </c>
      <c r="I6541" t="s">
        <v>27986</v>
      </c>
      <c r="J6541" t="s">
        <v>334</v>
      </c>
      <c r="K6541" t="s">
        <v>27987</v>
      </c>
      <c r="L6541" t="s">
        <v>30375</v>
      </c>
      <c r="M6541" t="s">
        <v>271</v>
      </c>
      <c r="N6541" t="s">
        <v>584</v>
      </c>
      <c r="O6541" t="s">
        <v>27989</v>
      </c>
      <c r="P6541" t="s">
        <v>30414</v>
      </c>
      <c r="Q6541" t="s">
        <v>30415</v>
      </c>
      <c r="R6541">
        <v>18</v>
      </c>
      <c r="S6541">
        <v>32</v>
      </c>
    </row>
    <row r="6542" spans="1:19" x14ac:dyDescent="0.35">
      <c r="A6542">
        <v>1469</v>
      </c>
      <c r="B6542" t="s">
        <v>30416</v>
      </c>
      <c r="C6542" t="s">
        <v>42</v>
      </c>
      <c r="D6542" t="s">
        <v>30417</v>
      </c>
      <c r="E6542" t="e" cm="1">
        <f t="array" ref="E6542">- AMBROXOL HYDROCHLORIDE</f>
        <v>#NAME?</v>
      </c>
      <c r="F6542" t="s">
        <v>30418</v>
      </c>
      <c r="G6542" t="s">
        <v>2241</v>
      </c>
      <c r="H6542" t="s">
        <v>30419</v>
      </c>
      <c r="I6542" t="s">
        <v>30420</v>
      </c>
      <c r="J6542" t="s">
        <v>334</v>
      </c>
      <c r="L6542" t="s">
        <v>321</v>
      </c>
      <c r="M6542" t="s">
        <v>271</v>
      </c>
      <c r="N6542" t="s">
        <v>1800</v>
      </c>
      <c r="O6542" t="s">
        <v>29056</v>
      </c>
      <c r="P6542" t="s">
        <v>30421</v>
      </c>
      <c r="Q6542" t="s">
        <v>30422</v>
      </c>
      <c r="R6542">
        <v>18</v>
      </c>
      <c r="S6542">
        <v>32</v>
      </c>
    </row>
    <row r="6543" spans="1:19" x14ac:dyDescent="0.35">
      <c r="A6543">
        <v>1458</v>
      </c>
      <c r="B6543" t="s">
        <v>30423</v>
      </c>
      <c r="C6543" t="s">
        <v>42</v>
      </c>
      <c r="D6543" t="s">
        <v>30424</v>
      </c>
      <c r="E6543" t="e" cm="1">
        <f t="array" ref="E6543">- AMBROXOL HYDROCHLORIDE</f>
        <v>#NAME?</v>
      </c>
      <c r="F6543" t="s">
        <v>30425</v>
      </c>
      <c r="G6543" t="s">
        <v>2241</v>
      </c>
      <c r="H6543" t="s">
        <v>30367</v>
      </c>
      <c r="I6543" t="s">
        <v>30426</v>
      </c>
      <c r="J6543" t="s">
        <v>30427</v>
      </c>
      <c r="K6543" t="s">
        <v>30428</v>
      </c>
      <c r="L6543" t="s">
        <v>29692</v>
      </c>
      <c r="M6543" t="s">
        <v>46</v>
      </c>
      <c r="N6543" t="s">
        <v>1800</v>
      </c>
      <c r="O6543" t="s">
        <v>29056</v>
      </c>
      <c r="P6543" t="s">
        <v>30236</v>
      </c>
      <c r="Q6543" t="s">
        <v>30429</v>
      </c>
      <c r="R6543">
        <v>18</v>
      </c>
      <c r="S6543">
        <v>32</v>
      </c>
    </row>
    <row r="6544" spans="1:19" x14ac:dyDescent="0.35">
      <c r="A6544">
        <v>1457</v>
      </c>
      <c r="B6544" t="s">
        <v>30423</v>
      </c>
      <c r="C6544" t="s">
        <v>42</v>
      </c>
      <c r="D6544" t="s">
        <v>30424</v>
      </c>
      <c r="E6544" t="e" cm="1">
        <f t="array" ref="E6544">- AMBROXOL HYDROCHLORIDE</f>
        <v>#NAME?</v>
      </c>
      <c r="F6544" t="s">
        <v>30425</v>
      </c>
      <c r="G6544" t="s">
        <v>2241</v>
      </c>
      <c r="H6544" t="s">
        <v>30367</v>
      </c>
      <c r="I6544" t="s">
        <v>30426</v>
      </c>
      <c r="J6544" t="s">
        <v>30427</v>
      </c>
      <c r="K6544" t="s">
        <v>30428</v>
      </c>
      <c r="L6544" t="s">
        <v>29692</v>
      </c>
      <c r="M6544" t="s">
        <v>46</v>
      </c>
      <c r="N6544" t="s">
        <v>1800</v>
      </c>
      <c r="O6544" t="s">
        <v>29056</v>
      </c>
      <c r="P6544" t="s">
        <v>30236</v>
      </c>
      <c r="Q6544" t="s">
        <v>30429</v>
      </c>
      <c r="R6544">
        <v>18</v>
      </c>
      <c r="S6544">
        <v>32</v>
      </c>
    </row>
    <row r="6545" spans="1:19" x14ac:dyDescent="0.35">
      <c r="A6545">
        <v>2830</v>
      </c>
      <c r="B6545" t="s">
        <v>30378</v>
      </c>
      <c r="C6545" t="s">
        <v>42</v>
      </c>
      <c r="D6545" t="s">
        <v>30379</v>
      </c>
      <c r="E6545" t="e" cm="1">
        <f t="array" ref="E6545">- PARACETAMOL</f>
        <v>#NAME?</v>
      </c>
      <c r="F6545" t="s">
        <v>30380</v>
      </c>
      <c r="G6545" t="s">
        <v>30381</v>
      </c>
      <c r="H6545" t="s">
        <v>30382</v>
      </c>
      <c r="I6545" t="s">
        <v>30383</v>
      </c>
      <c r="J6545" t="s">
        <v>829</v>
      </c>
      <c r="K6545" t="s">
        <v>23793</v>
      </c>
      <c r="L6545" t="s">
        <v>16925</v>
      </c>
      <c r="M6545" t="s">
        <v>271</v>
      </c>
      <c r="N6545" t="s">
        <v>584</v>
      </c>
      <c r="O6545" t="s">
        <v>30384</v>
      </c>
      <c r="P6545" t="s">
        <v>30385</v>
      </c>
      <c r="Q6545" t="s">
        <v>30386</v>
      </c>
      <c r="R6545">
        <v>18</v>
      </c>
      <c r="S6545">
        <v>32</v>
      </c>
    </row>
    <row r="6546" spans="1:19" x14ac:dyDescent="0.35">
      <c r="A6546">
        <v>1543</v>
      </c>
      <c r="B6546" t="s">
        <v>30430</v>
      </c>
      <c r="C6546" t="s">
        <v>42</v>
      </c>
      <c r="D6546" t="s">
        <v>30431</v>
      </c>
      <c r="E6546" t="e" cm="1">
        <f t="array" ref="E6546">- AMBROXOL HYDROCHLORIDE</f>
        <v>#NAME?</v>
      </c>
      <c r="F6546" t="s">
        <v>30432</v>
      </c>
      <c r="G6546" t="s">
        <v>539</v>
      </c>
      <c r="H6546" t="s">
        <v>30433</v>
      </c>
      <c r="I6546" t="s">
        <v>30434</v>
      </c>
      <c r="J6546" t="s">
        <v>2784</v>
      </c>
      <c r="L6546" t="s">
        <v>270</v>
      </c>
      <c r="M6546" t="s">
        <v>271</v>
      </c>
      <c r="N6546" t="s">
        <v>1800</v>
      </c>
      <c r="O6546" t="s">
        <v>30435</v>
      </c>
      <c r="P6546" t="s">
        <v>419</v>
      </c>
      <c r="Q6546" t="s">
        <v>30436</v>
      </c>
      <c r="R6546">
        <v>18</v>
      </c>
      <c r="S6546">
        <v>32</v>
      </c>
    </row>
    <row r="6547" spans="1:19" x14ac:dyDescent="0.35">
      <c r="A6547">
        <v>856</v>
      </c>
      <c r="B6547" t="s">
        <v>30437</v>
      </c>
      <c r="C6547" t="s">
        <v>42</v>
      </c>
      <c r="D6547" t="s">
        <v>30438</v>
      </c>
      <c r="E6547" t="e" cm="1">
        <f t="array" ref="E6547">- AMBROXOL HYDROCHLORIDE</f>
        <v>#NAME?</v>
      </c>
      <c r="F6547" t="s">
        <v>30439</v>
      </c>
      <c r="G6547" t="s">
        <v>30440</v>
      </c>
      <c r="H6547" t="s">
        <v>29267</v>
      </c>
      <c r="I6547" t="s">
        <v>29055</v>
      </c>
      <c r="J6547" t="s">
        <v>381</v>
      </c>
      <c r="K6547" t="s">
        <v>3952</v>
      </c>
      <c r="L6547" t="s">
        <v>22896</v>
      </c>
      <c r="M6547" t="s">
        <v>46</v>
      </c>
      <c r="N6547" t="s">
        <v>1800</v>
      </c>
      <c r="O6547" t="s">
        <v>29056</v>
      </c>
      <c r="P6547" t="s">
        <v>29311</v>
      </c>
      <c r="Q6547" t="s">
        <v>30441</v>
      </c>
      <c r="R6547">
        <v>18</v>
      </c>
      <c r="S6547">
        <v>32</v>
      </c>
    </row>
    <row r="6548" spans="1:19" x14ac:dyDescent="0.35">
      <c r="A6548">
        <v>855</v>
      </c>
      <c r="B6548" t="s">
        <v>30326</v>
      </c>
      <c r="C6548" t="s">
        <v>42</v>
      </c>
      <c r="D6548" t="s">
        <v>30327</v>
      </c>
      <c r="E6548" t="e" cm="1">
        <f t="array" ref="E6548">- AMMONIUM CHLORIDE</f>
        <v>#NAME?</v>
      </c>
      <c r="F6548" t="s">
        <v>30328</v>
      </c>
      <c r="G6548" t="s">
        <v>30329</v>
      </c>
      <c r="H6548" t="s">
        <v>30330</v>
      </c>
      <c r="I6548" t="s">
        <v>25304</v>
      </c>
      <c r="J6548" t="s">
        <v>17181</v>
      </c>
      <c r="K6548" t="s">
        <v>30331</v>
      </c>
      <c r="L6548" t="s">
        <v>30332</v>
      </c>
      <c r="M6548" t="s">
        <v>271</v>
      </c>
      <c r="N6548" t="s">
        <v>1672</v>
      </c>
      <c r="O6548" t="s">
        <v>25307</v>
      </c>
      <c r="P6548" t="s">
        <v>30333</v>
      </c>
      <c r="Q6548" t="s">
        <v>30334</v>
      </c>
      <c r="R6548">
        <v>18</v>
      </c>
      <c r="S6548">
        <v>32</v>
      </c>
    </row>
    <row r="6549" spans="1:19" x14ac:dyDescent="0.35">
      <c r="A6549">
        <v>1738</v>
      </c>
      <c r="B6549" t="s">
        <v>29576</v>
      </c>
      <c r="C6549" t="s">
        <v>850</v>
      </c>
      <c r="D6549" t="s">
        <v>30442</v>
      </c>
      <c r="E6549" t="e" cm="1">
        <f t="array" ref="E6549">- Camphor BP</f>
        <v>#NAME?</v>
      </c>
      <c r="F6549" t="s">
        <v>30443</v>
      </c>
      <c r="G6549" t="s">
        <v>29579</v>
      </c>
      <c r="H6549" t="s">
        <v>13198</v>
      </c>
      <c r="I6549" t="s">
        <v>29580</v>
      </c>
      <c r="J6549" t="s">
        <v>30444</v>
      </c>
      <c r="L6549" t="s">
        <v>30445</v>
      </c>
      <c r="N6549" t="s">
        <v>29582</v>
      </c>
      <c r="O6549" t="s">
        <v>29583</v>
      </c>
      <c r="P6549" t="s">
        <v>29584</v>
      </c>
      <c r="Q6549" t="s">
        <v>29585</v>
      </c>
      <c r="R6549">
        <v>18</v>
      </c>
      <c r="S6549">
        <v>32</v>
      </c>
    </row>
    <row r="6550" spans="1:19" x14ac:dyDescent="0.35">
      <c r="A6550">
        <v>1739</v>
      </c>
      <c r="B6550" t="s">
        <v>29576</v>
      </c>
      <c r="C6550" t="s">
        <v>850</v>
      </c>
      <c r="D6550" t="s">
        <v>30442</v>
      </c>
      <c r="E6550" t="e" cm="1">
        <f t="array" ref="E6550">- Camphor BP</f>
        <v>#NAME?</v>
      </c>
      <c r="F6550" t="s">
        <v>30443</v>
      </c>
      <c r="G6550" t="s">
        <v>29579</v>
      </c>
      <c r="H6550" t="s">
        <v>13198</v>
      </c>
      <c r="I6550" t="s">
        <v>29580</v>
      </c>
      <c r="J6550" t="s">
        <v>30444</v>
      </c>
      <c r="L6550" t="s">
        <v>30445</v>
      </c>
      <c r="N6550" t="s">
        <v>29582</v>
      </c>
      <c r="O6550" t="s">
        <v>29583</v>
      </c>
      <c r="P6550" t="s">
        <v>29584</v>
      </c>
      <c r="Q6550" t="s">
        <v>29585</v>
      </c>
      <c r="R6550">
        <v>18</v>
      </c>
      <c r="S6550">
        <v>32</v>
      </c>
    </row>
    <row r="6551" spans="1:19" x14ac:dyDescent="0.35">
      <c r="A6551">
        <v>1742</v>
      </c>
      <c r="B6551" t="s">
        <v>30446</v>
      </c>
      <c r="C6551" t="s">
        <v>850</v>
      </c>
      <c r="D6551" t="s">
        <v>30447</v>
      </c>
      <c r="E6551" t="e" cm="1">
        <f t="array" ref="E6551">- Camphor</f>
        <v>#NAME?</v>
      </c>
      <c r="F6551" t="s">
        <v>27484</v>
      </c>
      <c r="G6551" t="s">
        <v>27485</v>
      </c>
      <c r="H6551" t="s">
        <v>1322</v>
      </c>
      <c r="I6551" t="s">
        <v>27486</v>
      </c>
      <c r="J6551" t="s">
        <v>19474</v>
      </c>
      <c r="K6551" t="s">
        <v>2858</v>
      </c>
      <c r="L6551" t="s">
        <v>27487</v>
      </c>
      <c r="M6551" t="s">
        <v>3338</v>
      </c>
      <c r="N6551" t="s">
        <v>853</v>
      </c>
      <c r="O6551" t="s">
        <v>27488</v>
      </c>
      <c r="P6551" t="s">
        <v>30448</v>
      </c>
      <c r="Q6551" t="s">
        <v>30449</v>
      </c>
      <c r="R6551">
        <v>18</v>
      </c>
      <c r="S6551">
        <v>32</v>
      </c>
    </row>
    <row r="6552" spans="1:19" x14ac:dyDescent="0.35">
      <c r="A6552">
        <v>1825</v>
      </c>
      <c r="B6552" t="s">
        <v>30450</v>
      </c>
      <c r="C6552" t="s">
        <v>42</v>
      </c>
      <c r="D6552" t="s">
        <v>30451</v>
      </c>
      <c r="E6552" t="e" cm="1">
        <f t="array" ref="E6552">- AMBROXOL HYDROCHLORIDE</f>
        <v>#NAME?</v>
      </c>
      <c r="F6552" t="s">
        <v>30452</v>
      </c>
      <c r="G6552" t="s">
        <v>2241</v>
      </c>
      <c r="H6552" t="s">
        <v>30453</v>
      </c>
      <c r="I6552" t="s">
        <v>29055</v>
      </c>
      <c r="J6552" t="s">
        <v>1389</v>
      </c>
      <c r="K6552" t="s">
        <v>3952</v>
      </c>
      <c r="L6552" t="s">
        <v>22896</v>
      </c>
      <c r="M6552" t="s">
        <v>824</v>
      </c>
      <c r="N6552" t="s">
        <v>1800</v>
      </c>
      <c r="O6552" t="s">
        <v>29056</v>
      </c>
      <c r="P6552" t="s">
        <v>29113</v>
      </c>
      <c r="Q6552" t="s">
        <v>30454</v>
      </c>
      <c r="R6552">
        <v>18</v>
      </c>
      <c r="S6552">
        <v>32</v>
      </c>
    </row>
    <row r="6553" spans="1:19" x14ac:dyDescent="0.35">
      <c r="A6553">
        <v>1826</v>
      </c>
      <c r="B6553" t="s">
        <v>30450</v>
      </c>
      <c r="C6553" t="s">
        <v>42</v>
      </c>
      <c r="D6553" t="s">
        <v>30451</v>
      </c>
      <c r="E6553" t="e" cm="1">
        <f t="array" ref="E6553">- AMBROXOL HYDROCHLORIDE</f>
        <v>#NAME?</v>
      </c>
      <c r="F6553" t="s">
        <v>30452</v>
      </c>
      <c r="G6553" t="s">
        <v>2241</v>
      </c>
      <c r="H6553" t="s">
        <v>30453</v>
      </c>
      <c r="I6553" t="s">
        <v>29055</v>
      </c>
      <c r="J6553" t="s">
        <v>1389</v>
      </c>
      <c r="K6553" t="s">
        <v>3952</v>
      </c>
      <c r="L6553" t="s">
        <v>22896</v>
      </c>
      <c r="M6553" t="s">
        <v>824</v>
      </c>
      <c r="N6553" t="s">
        <v>1800</v>
      </c>
      <c r="O6553" t="s">
        <v>29056</v>
      </c>
      <c r="P6553" t="s">
        <v>29113</v>
      </c>
      <c r="Q6553" t="s">
        <v>30454</v>
      </c>
      <c r="R6553">
        <v>18</v>
      </c>
      <c r="S6553">
        <v>32</v>
      </c>
    </row>
    <row r="6554" spans="1:19" x14ac:dyDescent="0.35">
      <c r="A6554">
        <v>1829</v>
      </c>
      <c r="B6554" t="s">
        <v>30455</v>
      </c>
      <c r="C6554" t="s">
        <v>42</v>
      </c>
      <c r="D6554" t="s">
        <v>30456</v>
      </c>
      <c r="E6554" t="e" cm="1">
        <f t="array" ref="E6554">- AMBROXOL HYDROCHLORIDE</f>
        <v>#NAME?</v>
      </c>
      <c r="F6554" t="s">
        <v>30457</v>
      </c>
      <c r="G6554" t="s">
        <v>4649</v>
      </c>
      <c r="H6554" t="s">
        <v>30453</v>
      </c>
      <c r="I6554" t="s">
        <v>29055</v>
      </c>
      <c r="J6554" t="s">
        <v>1389</v>
      </c>
      <c r="K6554" t="s">
        <v>3952</v>
      </c>
      <c r="L6554" t="s">
        <v>22896</v>
      </c>
      <c r="M6554" t="s">
        <v>824</v>
      </c>
      <c r="N6554" t="s">
        <v>1800</v>
      </c>
      <c r="O6554" t="s">
        <v>29056</v>
      </c>
      <c r="P6554" t="s">
        <v>29257</v>
      </c>
      <c r="Q6554" t="s">
        <v>30458</v>
      </c>
      <c r="R6554">
        <v>18</v>
      </c>
      <c r="S6554">
        <v>32</v>
      </c>
    </row>
    <row r="6555" spans="1:19" x14ac:dyDescent="0.35">
      <c r="A6555">
        <v>1893</v>
      </c>
      <c r="B6555" t="s">
        <v>30459</v>
      </c>
      <c r="C6555" t="s">
        <v>42</v>
      </c>
      <c r="D6555" t="s">
        <v>30460</v>
      </c>
      <c r="E6555" t="e" cm="1">
        <f t="array" ref="E6555">- AMBROXOL HYDROCHLORIDE</f>
        <v>#NAME?</v>
      </c>
      <c r="F6555" t="s">
        <v>30461</v>
      </c>
      <c r="G6555" t="s">
        <v>30462</v>
      </c>
      <c r="H6555" t="s">
        <v>30463</v>
      </c>
      <c r="I6555" t="s">
        <v>29055</v>
      </c>
      <c r="J6555" t="s">
        <v>1389</v>
      </c>
      <c r="K6555" t="s">
        <v>3952</v>
      </c>
      <c r="L6555" t="s">
        <v>22896</v>
      </c>
      <c r="M6555" t="s">
        <v>824</v>
      </c>
      <c r="N6555" t="s">
        <v>1800</v>
      </c>
      <c r="O6555" t="s">
        <v>29056</v>
      </c>
      <c r="P6555" t="s">
        <v>30236</v>
      </c>
      <c r="Q6555" t="s">
        <v>30464</v>
      </c>
      <c r="R6555">
        <v>18</v>
      </c>
      <c r="S6555">
        <v>32</v>
      </c>
    </row>
    <row r="6556" spans="1:19" x14ac:dyDescent="0.35">
      <c r="A6556">
        <v>1894</v>
      </c>
      <c r="B6556" t="s">
        <v>30459</v>
      </c>
      <c r="C6556" t="s">
        <v>42</v>
      </c>
      <c r="D6556" t="s">
        <v>30460</v>
      </c>
      <c r="E6556" t="e" cm="1">
        <f t="array" ref="E6556">- AMBROXOL HYDROCHLORIDE</f>
        <v>#NAME?</v>
      </c>
      <c r="F6556" t="s">
        <v>30461</v>
      </c>
      <c r="G6556" t="s">
        <v>30462</v>
      </c>
      <c r="H6556" t="s">
        <v>30463</v>
      </c>
      <c r="I6556" t="s">
        <v>29055</v>
      </c>
      <c r="J6556" t="s">
        <v>1389</v>
      </c>
      <c r="K6556" t="s">
        <v>3952</v>
      </c>
      <c r="L6556" t="s">
        <v>22896</v>
      </c>
      <c r="M6556" t="s">
        <v>824</v>
      </c>
      <c r="N6556" t="s">
        <v>1800</v>
      </c>
      <c r="O6556" t="s">
        <v>29056</v>
      </c>
      <c r="P6556" t="s">
        <v>30236</v>
      </c>
      <c r="Q6556" t="s">
        <v>30464</v>
      </c>
      <c r="R6556">
        <v>18</v>
      </c>
      <c r="S6556">
        <v>32</v>
      </c>
    </row>
    <row r="6557" spans="1:19" x14ac:dyDescent="0.35">
      <c r="A6557">
        <v>6309</v>
      </c>
      <c r="B6557" t="s">
        <v>30465</v>
      </c>
      <c r="C6557" t="s">
        <v>42</v>
      </c>
      <c r="D6557" t="s">
        <v>30466</v>
      </c>
      <c r="E6557" t="e" cm="1">
        <f t="array" ref="E6557">- SULFAMETHOXAZOLE</f>
        <v>#NAME?</v>
      </c>
      <c r="F6557" t="s">
        <v>30467</v>
      </c>
      <c r="G6557" t="s">
        <v>2241</v>
      </c>
      <c r="H6557" t="s">
        <v>30468</v>
      </c>
      <c r="I6557" t="s">
        <v>30469</v>
      </c>
      <c r="J6557" t="s">
        <v>6679</v>
      </c>
      <c r="K6557" t="s">
        <v>30470</v>
      </c>
      <c r="L6557" t="s">
        <v>30471</v>
      </c>
      <c r="M6557" t="s">
        <v>340</v>
      </c>
      <c r="N6557" t="s">
        <v>478</v>
      </c>
      <c r="O6557" t="s">
        <v>30472</v>
      </c>
      <c r="P6557" t="s">
        <v>17596</v>
      </c>
      <c r="Q6557" t="s">
        <v>30473</v>
      </c>
      <c r="R6557">
        <v>18</v>
      </c>
      <c r="S6557">
        <v>32</v>
      </c>
    </row>
    <row r="6558" spans="1:19" x14ac:dyDescent="0.35">
      <c r="A6558">
        <v>6308</v>
      </c>
      <c r="B6558" t="s">
        <v>30465</v>
      </c>
      <c r="C6558" t="s">
        <v>42</v>
      </c>
      <c r="D6558" t="s">
        <v>30466</v>
      </c>
      <c r="E6558" t="e" cm="1">
        <f t="array" ref="E6558">- SULFAMETHOXAZOLE</f>
        <v>#NAME?</v>
      </c>
      <c r="F6558" t="s">
        <v>30467</v>
      </c>
      <c r="G6558" t="s">
        <v>2241</v>
      </c>
      <c r="H6558" t="s">
        <v>30468</v>
      </c>
      <c r="I6558" t="s">
        <v>30469</v>
      </c>
      <c r="J6558" t="s">
        <v>6679</v>
      </c>
      <c r="K6558" t="s">
        <v>30470</v>
      </c>
      <c r="L6558" t="s">
        <v>30471</v>
      </c>
      <c r="M6558" t="s">
        <v>340</v>
      </c>
      <c r="N6558" t="s">
        <v>478</v>
      </c>
      <c r="O6558" t="s">
        <v>30472</v>
      </c>
      <c r="P6558" t="s">
        <v>17596</v>
      </c>
      <c r="Q6558" t="s">
        <v>30473</v>
      </c>
      <c r="R6558">
        <v>18</v>
      </c>
      <c r="S6558">
        <v>32</v>
      </c>
    </row>
    <row r="6559" spans="1:19" x14ac:dyDescent="0.35">
      <c r="A6559">
        <v>1919</v>
      </c>
      <c r="B6559" t="s">
        <v>23829</v>
      </c>
      <c r="C6559" t="s">
        <v>20</v>
      </c>
      <c r="D6559" t="s">
        <v>30474</v>
      </c>
      <c r="E6559" t="s">
        <v>23831</v>
      </c>
      <c r="F6559" s="1">
        <v>12000</v>
      </c>
      <c r="G6559" t="s">
        <v>2241</v>
      </c>
      <c r="H6559" t="s">
        <v>23834</v>
      </c>
      <c r="I6559" t="s">
        <v>30475</v>
      </c>
      <c r="J6559" t="s">
        <v>829</v>
      </c>
      <c r="N6559" t="s">
        <v>23836</v>
      </c>
      <c r="O6559" t="s">
        <v>30476</v>
      </c>
      <c r="P6559" t="s">
        <v>23837</v>
      </c>
      <c r="Q6559" t="s">
        <v>30477</v>
      </c>
      <c r="R6559">
        <v>18</v>
      </c>
      <c r="S6559">
        <v>32</v>
      </c>
    </row>
    <row r="6560" spans="1:19" x14ac:dyDescent="0.35">
      <c r="A6560">
        <v>1921</v>
      </c>
      <c r="B6560" t="s">
        <v>23829</v>
      </c>
      <c r="C6560" t="s">
        <v>20</v>
      </c>
      <c r="D6560" t="s">
        <v>30474</v>
      </c>
      <c r="E6560" t="s">
        <v>23831</v>
      </c>
      <c r="F6560" s="1">
        <v>12000</v>
      </c>
      <c r="G6560" t="s">
        <v>2241</v>
      </c>
      <c r="H6560" t="s">
        <v>23834</v>
      </c>
      <c r="I6560" t="s">
        <v>30475</v>
      </c>
      <c r="J6560" t="s">
        <v>829</v>
      </c>
      <c r="N6560" t="s">
        <v>23836</v>
      </c>
      <c r="O6560" t="s">
        <v>30476</v>
      </c>
      <c r="P6560" t="s">
        <v>23837</v>
      </c>
      <c r="Q6560" t="s">
        <v>30477</v>
      </c>
      <c r="R6560">
        <v>18</v>
      </c>
      <c r="S6560">
        <v>32</v>
      </c>
    </row>
    <row r="6561" spans="1:19" x14ac:dyDescent="0.35">
      <c r="A6561">
        <v>840</v>
      </c>
      <c r="B6561" t="s">
        <v>30478</v>
      </c>
      <c r="C6561" t="s">
        <v>42</v>
      </c>
      <c r="D6561" t="s">
        <v>30479</v>
      </c>
      <c r="E6561" t="e" cm="1">
        <f t="array" ref="E6561">- CHLORPHENAMINE MALEATE</f>
        <v>#NAME?</v>
      </c>
      <c r="F6561" t="s">
        <v>28413</v>
      </c>
      <c r="G6561" t="s">
        <v>60</v>
      </c>
      <c r="H6561" t="s">
        <v>24546</v>
      </c>
      <c r="I6561" t="s">
        <v>30480</v>
      </c>
      <c r="J6561" t="s">
        <v>17816</v>
      </c>
      <c r="K6561" t="s">
        <v>30481</v>
      </c>
    </row>
    <row r="6562" spans="1:19" x14ac:dyDescent="0.35">
      <c r="A6562">
        <v>1658</v>
      </c>
      <c r="B6562" t="s">
        <v>30482</v>
      </c>
      <c r="C6562" t="s">
        <v>42</v>
      </c>
      <c r="D6562" t="s">
        <v>30483</v>
      </c>
      <c r="E6562" t="e" cm="1">
        <f t="array" ref="E6562">- AMBROXOL HYDROCHLORIDE</f>
        <v>#NAME?</v>
      </c>
      <c r="F6562" t="s">
        <v>30484</v>
      </c>
      <c r="G6562" t="s">
        <v>2241</v>
      </c>
      <c r="H6562" t="s">
        <v>30367</v>
      </c>
      <c r="I6562" t="s">
        <v>30426</v>
      </c>
      <c r="J6562" t="s">
        <v>381</v>
      </c>
      <c r="K6562" t="s">
        <v>2726</v>
      </c>
      <c r="L6562" t="s">
        <v>29692</v>
      </c>
      <c r="M6562" t="s">
        <v>46</v>
      </c>
      <c r="N6562" t="s">
        <v>1800</v>
      </c>
      <c r="O6562" t="s">
        <v>29056</v>
      </c>
      <c r="P6562" t="s">
        <v>30485</v>
      </c>
      <c r="Q6562" t="s">
        <v>30486</v>
      </c>
      <c r="R6562">
        <v>18</v>
      </c>
      <c r="S6562">
        <v>32</v>
      </c>
    </row>
    <row r="6563" spans="1:19" x14ac:dyDescent="0.35">
      <c r="A6563">
        <v>2121</v>
      </c>
      <c r="B6563" t="s">
        <v>30487</v>
      </c>
      <c r="C6563" t="s">
        <v>42</v>
      </c>
      <c r="D6563" t="s">
        <v>30488</v>
      </c>
      <c r="E6563" t="e" cm="1">
        <f t="array" ref="E6563">- CAFFEINE</f>
        <v>#NAME?</v>
      </c>
      <c r="F6563" t="s">
        <v>30489</v>
      </c>
      <c r="G6563" t="s">
        <v>2241</v>
      </c>
      <c r="H6563" t="s">
        <v>30490</v>
      </c>
      <c r="I6563" t="s">
        <v>30491</v>
      </c>
      <c r="J6563" t="s">
        <v>4657</v>
      </c>
      <c r="K6563" t="s">
        <v>30492</v>
      </c>
      <c r="L6563" t="s">
        <v>30493</v>
      </c>
      <c r="M6563" t="s">
        <v>291</v>
      </c>
      <c r="N6563" t="s">
        <v>2359</v>
      </c>
      <c r="O6563" t="s">
        <v>30494</v>
      </c>
      <c r="P6563" t="s">
        <v>30495</v>
      </c>
      <c r="Q6563" t="s">
        <v>30496</v>
      </c>
      <c r="R6563">
        <v>18</v>
      </c>
      <c r="S6563">
        <v>32</v>
      </c>
    </row>
    <row r="6564" spans="1:19" x14ac:dyDescent="0.35">
      <c r="A6564">
        <v>2183</v>
      </c>
      <c r="B6564" t="s">
        <v>30497</v>
      </c>
      <c r="C6564" t="s">
        <v>42</v>
      </c>
      <c r="D6564" t="s">
        <v>30498</v>
      </c>
      <c r="E6564" t="e" cm="1">
        <f t="array" ref="E6564">- DEXKETOPROFEN TROMETAMOL</f>
        <v>#NAME?</v>
      </c>
      <c r="F6564" t="s">
        <v>30499</v>
      </c>
      <c r="G6564" t="s">
        <v>30500</v>
      </c>
      <c r="H6564" t="s">
        <v>30501</v>
      </c>
      <c r="I6564" t="s">
        <v>30502</v>
      </c>
      <c r="J6564" t="s">
        <v>14046</v>
      </c>
      <c r="K6564" t="s">
        <v>30503</v>
      </c>
      <c r="L6564" t="s">
        <v>30504</v>
      </c>
    </row>
    <row r="6565" spans="1:19" x14ac:dyDescent="0.35">
      <c r="A6565">
        <v>2184</v>
      </c>
      <c r="B6565" t="s">
        <v>30497</v>
      </c>
      <c r="C6565" t="s">
        <v>42</v>
      </c>
      <c r="D6565" t="s">
        <v>30498</v>
      </c>
      <c r="E6565" t="e" cm="1">
        <f t="array" ref="E6565">- DEXKETOPROFEN TROMETAMOL</f>
        <v>#NAME?</v>
      </c>
      <c r="F6565" t="s">
        <v>30499</v>
      </c>
      <c r="G6565" t="s">
        <v>30500</v>
      </c>
      <c r="H6565" t="s">
        <v>30501</v>
      </c>
      <c r="I6565" t="s">
        <v>30502</v>
      </c>
      <c r="J6565" t="s">
        <v>14046</v>
      </c>
      <c r="K6565" t="s">
        <v>30503</v>
      </c>
      <c r="L6565" t="s">
        <v>30504</v>
      </c>
    </row>
    <row r="6566" spans="1:19" x14ac:dyDescent="0.35">
      <c r="A6566">
        <v>1639</v>
      </c>
      <c r="B6566" t="s">
        <v>30505</v>
      </c>
      <c r="C6566" t="s">
        <v>42</v>
      </c>
      <c r="D6566" t="s">
        <v>30506</v>
      </c>
      <c r="E6566" t="e" cm="1">
        <f t="array" ref="E6566">- AMBROXOL HYDROCHLORIDE</f>
        <v>#NAME?</v>
      </c>
      <c r="F6566" t="s">
        <v>30507</v>
      </c>
      <c r="G6566" t="s">
        <v>2241</v>
      </c>
      <c r="H6566" t="s">
        <v>30367</v>
      </c>
      <c r="I6566" t="s">
        <v>30426</v>
      </c>
      <c r="J6566" t="s">
        <v>26988</v>
      </c>
      <c r="L6566" t="s">
        <v>29692</v>
      </c>
      <c r="M6566" t="s">
        <v>46</v>
      </c>
      <c r="N6566" t="s">
        <v>1800</v>
      </c>
      <c r="O6566" t="s">
        <v>29056</v>
      </c>
      <c r="P6566" t="s">
        <v>30508</v>
      </c>
      <c r="Q6566" t="s">
        <v>30509</v>
      </c>
      <c r="R6566">
        <v>18</v>
      </c>
      <c r="S6566">
        <v>32</v>
      </c>
    </row>
    <row r="6567" spans="1:19" x14ac:dyDescent="0.35">
      <c r="A6567">
        <v>2303</v>
      </c>
      <c r="B6567" t="s">
        <v>30510</v>
      </c>
      <c r="C6567" t="s">
        <v>42</v>
      </c>
      <c r="D6567" t="s">
        <v>30511</v>
      </c>
      <c r="E6567" t="e" cm="1">
        <f t="array" ref="E6567">- CAFFEINE</f>
        <v>#NAME?</v>
      </c>
      <c r="F6567" t="s">
        <v>30512</v>
      </c>
      <c r="G6567" t="s">
        <v>2241</v>
      </c>
      <c r="H6567" t="s">
        <v>30513</v>
      </c>
      <c r="I6567" t="s">
        <v>30514</v>
      </c>
      <c r="J6567" t="s">
        <v>1578</v>
      </c>
      <c r="K6567" t="s">
        <v>30515</v>
      </c>
      <c r="L6567" t="s">
        <v>30516</v>
      </c>
    </row>
    <row r="6568" spans="1:19" x14ac:dyDescent="0.35">
      <c r="A6568">
        <v>2321</v>
      </c>
      <c r="B6568" t="s">
        <v>28278</v>
      </c>
      <c r="C6568" t="s">
        <v>42</v>
      </c>
      <c r="D6568" t="s">
        <v>28279</v>
      </c>
      <c r="E6568" t="e" cm="1">
        <f t="array" ref="E6568">- PARACETAMOL. IBUPROFEN</f>
        <v>#NAME?</v>
      </c>
      <c r="F6568" t="s">
        <v>28280</v>
      </c>
      <c r="G6568" t="s">
        <v>4640</v>
      </c>
      <c r="H6568" t="s">
        <v>28281</v>
      </c>
      <c r="I6568" t="s">
        <v>28282</v>
      </c>
      <c r="J6568" t="s">
        <v>28283</v>
      </c>
      <c r="K6568" t="s">
        <v>28284</v>
      </c>
      <c r="L6568" t="s">
        <v>28285</v>
      </c>
      <c r="M6568" t="s">
        <v>46</v>
      </c>
      <c r="N6568" t="s">
        <v>20695</v>
      </c>
      <c r="O6568" t="s">
        <v>25807</v>
      </c>
      <c r="P6568" t="s">
        <v>28286</v>
      </c>
      <c r="Q6568" t="s">
        <v>30517</v>
      </c>
      <c r="R6568">
        <v>18</v>
      </c>
      <c r="S6568">
        <v>32</v>
      </c>
    </row>
    <row r="6569" spans="1:19" x14ac:dyDescent="0.35">
      <c r="A6569">
        <v>2336</v>
      </c>
      <c r="B6569" t="s">
        <v>30518</v>
      </c>
      <c r="C6569" t="s">
        <v>42</v>
      </c>
      <c r="D6569" t="s">
        <v>30519</v>
      </c>
      <c r="E6569" t="e" cm="1">
        <f t="array" ref="E6569">- ACETYLSALICYLIC ACID</f>
        <v>#NAME?</v>
      </c>
      <c r="F6569" t="s">
        <v>30520</v>
      </c>
      <c r="G6569" t="s">
        <v>2241</v>
      </c>
      <c r="H6569" t="s">
        <v>30521</v>
      </c>
    </row>
    <row r="6570" spans="1:19" x14ac:dyDescent="0.35">
      <c r="A6570">
        <v>1620</v>
      </c>
      <c r="B6570" t="s">
        <v>24274</v>
      </c>
      <c r="C6570" t="s">
        <v>42</v>
      </c>
      <c r="D6570" t="s">
        <v>24275</v>
      </c>
      <c r="E6570" t="e" cm="1">
        <f t="array" ref="E6570">- PARACETAMOL. PHENYLPROPANOLAMINE HYDROCHLORIDE. DEXTROMETHORPHAN HYDROBROMIDE</f>
        <v>#NAME?</v>
      </c>
      <c r="F6570" t="s">
        <v>24276</v>
      </c>
      <c r="G6570" t="s">
        <v>1691</v>
      </c>
      <c r="H6570" t="s">
        <v>24277</v>
      </c>
      <c r="I6570" t="s">
        <v>24278</v>
      </c>
      <c r="J6570" t="s">
        <v>334</v>
      </c>
      <c r="K6570" t="s">
        <v>24279</v>
      </c>
      <c r="L6570" t="s">
        <v>24280</v>
      </c>
      <c r="M6570" t="s">
        <v>271</v>
      </c>
      <c r="N6570" t="s">
        <v>30522</v>
      </c>
      <c r="O6570" t="s">
        <v>24281</v>
      </c>
      <c r="P6570" t="s">
        <v>24282</v>
      </c>
      <c r="Q6570" t="s">
        <v>30523</v>
      </c>
      <c r="R6570">
        <v>18</v>
      </c>
      <c r="S6570">
        <v>32</v>
      </c>
    </row>
    <row r="6571" spans="1:19" x14ac:dyDescent="0.35">
      <c r="A6571">
        <v>2421</v>
      </c>
      <c r="B6571" t="s">
        <v>30524</v>
      </c>
      <c r="C6571" t="s">
        <v>42</v>
      </c>
      <c r="D6571" t="s">
        <v>30525</v>
      </c>
      <c r="E6571" t="e" cm="1">
        <f t="array" ref="E6571">- DICLOFENAC SODIUM</f>
        <v>#NAME?</v>
      </c>
      <c r="F6571" t="s">
        <v>30526</v>
      </c>
      <c r="G6571" t="s">
        <v>22321</v>
      </c>
      <c r="H6571" t="s">
        <v>30527</v>
      </c>
      <c r="I6571" t="s">
        <v>30528</v>
      </c>
      <c r="J6571" t="s">
        <v>3197</v>
      </c>
      <c r="M6571" t="s">
        <v>87</v>
      </c>
      <c r="N6571" t="s">
        <v>2597</v>
      </c>
      <c r="O6571" t="s">
        <v>30529</v>
      </c>
      <c r="P6571" t="s">
        <v>30530</v>
      </c>
      <c r="Q6571" t="s">
        <v>30531</v>
      </c>
      <c r="R6571">
        <v>18</v>
      </c>
      <c r="S6571">
        <v>32</v>
      </c>
    </row>
    <row r="6572" spans="1:19" x14ac:dyDescent="0.35">
      <c r="A6572">
        <v>1556</v>
      </c>
      <c r="B6572" t="s">
        <v>30532</v>
      </c>
      <c r="C6572" t="s">
        <v>42</v>
      </c>
      <c r="D6572" t="s">
        <v>30533</v>
      </c>
      <c r="E6572" t="e" cm="1">
        <f t="array" ref="E6572">- DEXTROMETHORPHAN HYDROBROMIDE. PHENYLEPHRINE HYDROCHLORIDE</f>
        <v>#NAME?</v>
      </c>
      <c r="F6572" t="s">
        <v>30534</v>
      </c>
      <c r="G6572" t="s">
        <v>30535</v>
      </c>
      <c r="H6572" t="s">
        <v>30536</v>
      </c>
      <c r="I6572" t="s">
        <v>24338</v>
      </c>
      <c r="J6572" t="s">
        <v>30537</v>
      </c>
      <c r="K6572" t="s">
        <v>30538</v>
      </c>
      <c r="M6572" t="s">
        <v>1280</v>
      </c>
      <c r="N6572" t="s">
        <v>28465</v>
      </c>
      <c r="O6572" t="s">
        <v>24341</v>
      </c>
      <c r="P6572" t="s">
        <v>30539</v>
      </c>
      <c r="Q6572" t="s">
        <v>30540</v>
      </c>
      <c r="R6572">
        <v>18</v>
      </c>
      <c r="S6572">
        <v>32</v>
      </c>
    </row>
    <row r="6573" spans="1:19" x14ac:dyDescent="0.35">
      <c r="A6573">
        <v>3129</v>
      </c>
      <c r="B6573" t="s">
        <v>30541</v>
      </c>
      <c r="C6573" t="s">
        <v>42</v>
      </c>
      <c r="D6573" t="s">
        <v>30542</v>
      </c>
      <c r="E6573" t="e" cm="1">
        <f t="array" ref="E6573">- POLYMIGEL</f>
        <v>#NAME?</v>
      </c>
      <c r="F6573" t="s">
        <v>30543</v>
      </c>
      <c r="G6573" t="s">
        <v>30544</v>
      </c>
      <c r="H6573" t="s">
        <v>30545</v>
      </c>
      <c r="I6573" t="s">
        <v>30546</v>
      </c>
      <c r="J6573" t="s">
        <v>754</v>
      </c>
      <c r="K6573" t="s">
        <v>30547</v>
      </c>
      <c r="L6573" t="s">
        <v>30548</v>
      </c>
      <c r="M6573" t="s">
        <v>46</v>
      </c>
      <c r="N6573" t="s">
        <v>30549</v>
      </c>
      <c r="O6573" t="s">
        <v>30550</v>
      </c>
      <c r="P6573" t="s">
        <v>30551</v>
      </c>
      <c r="Q6573" t="s">
        <v>30552</v>
      </c>
      <c r="R6573">
        <v>18</v>
      </c>
      <c r="S6573">
        <v>32</v>
      </c>
    </row>
    <row r="6574" spans="1:19" x14ac:dyDescent="0.35">
      <c r="A6574">
        <v>1456</v>
      </c>
      <c r="B6574" t="s">
        <v>30423</v>
      </c>
      <c r="C6574" t="s">
        <v>42</v>
      </c>
      <c r="D6574" t="s">
        <v>30424</v>
      </c>
      <c r="E6574" t="e" cm="1">
        <f t="array" ref="E6574">- AMBROXOL HYDROCHLORIDE</f>
        <v>#NAME?</v>
      </c>
      <c r="F6574" t="s">
        <v>30425</v>
      </c>
      <c r="G6574" t="s">
        <v>2241</v>
      </c>
      <c r="H6574" t="s">
        <v>30367</v>
      </c>
      <c r="I6574" t="s">
        <v>30426</v>
      </c>
      <c r="J6574" t="s">
        <v>30427</v>
      </c>
      <c r="K6574" t="s">
        <v>30428</v>
      </c>
      <c r="L6574" t="s">
        <v>29692</v>
      </c>
      <c r="M6574" t="s">
        <v>46</v>
      </c>
      <c r="N6574" t="s">
        <v>1800</v>
      </c>
      <c r="O6574" t="s">
        <v>29056</v>
      </c>
      <c r="P6574" t="s">
        <v>30236</v>
      </c>
      <c r="Q6574" t="s">
        <v>30429</v>
      </c>
      <c r="R6574">
        <v>18</v>
      </c>
      <c r="S6574">
        <v>32</v>
      </c>
    </row>
    <row r="6575" spans="1:19" x14ac:dyDescent="0.35">
      <c r="A6575">
        <v>1448</v>
      </c>
      <c r="B6575" t="s">
        <v>30553</v>
      </c>
      <c r="C6575" t="s">
        <v>42</v>
      </c>
      <c r="D6575" t="s">
        <v>30554</v>
      </c>
      <c r="E6575" t="e" cm="1">
        <f t="array" ref="E6575">- AMBROXOL HYDROCHLORIDE</f>
        <v>#NAME?</v>
      </c>
      <c r="F6575" t="s">
        <v>30555</v>
      </c>
      <c r="G6575" t="s">
        <v>2241</v>
      </c>
      <c r="H6575" t="s">
        <v>30367</v>
      </c>
      <c r="I6575" t="s">
        <v>30426</v>
      </c>
      <c r="J6575" t="s">
        <v>381</v>
      </c>
      <c r="K6575" t="s">
        <v>30556</v>
      </c>
      <c r="L6575" t="s">
        <v>29692</v>
      </c>
      <c r="M6575" t="s">
        <v>46</v>
      </c>
      <c r="N6575" t="s">
        <v>1800</v>
      </c>
      <c r="O6575" t="s">
        <v>29056</v>
      </c>
      <c r="P6575" t="s">
        <v>30557</v>
      </c>
      <c r="Q6575" t="s">
        <v>30558</v>
      </c>
      <c r="R6575">
        <v>18</v>
      </c>
      <c r="S6575">
        <v>32</v>
      </c>
    </row>
    <row r="6576" spans="1:19" x14ac:dyDescent="0.35">
      <c r="A6576">
        <v>5925</v>
      </c>
      <c r="B6576" t="s">
        <v>28900</v>
      </c>
      <c r="C6576" t="s">
        <v>42</v>
      </c>
      <c r="D6576" t="s">
        <v>28901</v>
      </c>
      <c r="E6576" t="e" cm="1">
        <f t="array" ref="E6576">- CHLORAMPHENICOL PALMITATE</f>
        <v>#NAME?</v>
      </c>
      <c r="F6576" t="s">
        <v>28902</v>
      </c>
      <c r="G6576" t="s">
        <v>28903</v>
      </c>
      <c r="H6576" t="s">
        <v>28904</v>
      </c>
      <c r="I6576" t="s">
        <v>28905</v>
      </c>
      <c r="J6576" t="s">
        <v>334</v>
      </c>
      <c r="K6576" t="s">
        <v>28906</v>
      </c>
      <c r="L6576" t="s">
        <v>270</v>
      </c>
      <c r="M6576" t="s">
        <v>340</v>
      </c>
      <c r="N6576" t="s">
        <v>1714</v>
      </c>
      <c r="O6576" t="s">
        <v>28907</v>
      </c>
      <c r="P6576" t="s">
        <v>28908</v>
      </c>
      <c r="Q6576" t="s">
        <v>30559</v>
      </c>
      <c r="R6576">
        <v>18</v>
      </c>
      <c r="S6576">
        <v>32</v>
      </c>
    </row>
    <row r="6577" spans="1:19" x14ac:dyDescent="0.35">
      <c r="A6577">
        <v>2996</v>
      </c>
      <c r="B6577" t="s">
        <v>30560</v>
      </c>
      <c r="C6577" t="s">
        <v>42</v>
      </c>
      <c r="D6577" t="s">
        <v>30561</v>
      </c>
      <c r="E6577" t="e" cm="1">
        <f t="array" ref="E6577">- PARACETAMOL</f>
        <v>#NAME?</v>
      </c>
      <c r="F6577" t="s">
        <v>30562</v>
      </c>
      <c r="H6577" t="s">
        <v>30563</v>
      </c>
      <c r="I6577" t="s">
        <v>30564</v>
      </c>
      <c r="J6577" t="s">
        <v>743</v>
      </c>
      <c r="L6577" t="s">
        <v>30565</v>
      </c>
      <c r="M6577" t="s">
        <v>824</v>
      </c>
      <c r="N6577" t="s">
        <v>584</v>
      </c>
      <c r="O6577" t="s">
        <v>30566</v>
      </c>
      <c r="P6577" t="s">
        <v>30567</v>
      </c>
      <c r="Q6577" t="s">
        <v>30568</v>
      </c>
      <c r="R6577">
        <v>18</v>
      </c>
      <c r="S6577">
        <v>32</v>
      </c>
    </row>
    <row r="6578" spans="1:19" x14ac:dyDescent="0.35">
      <c r="A6578">
        <v>3079</v>
      </c>
      <c r="B6578" t="s">
        <v>30569</v>
      </c>
      <c r="C6578" t="s">
        <v>42</v>
      </c>
      <c r="D6578" t="s">
        <v>30570</v>
      </c>
      <c r="E6578" t="e" cm="1">
        <f t="array" ref="E6578">- REBAMIPIDE</f>
        <v>#NAME?</v>
      </c>
      <c r="F6578" t="s">
        <v>30571</v>
      </c>
      <c r="G6578" t="s">
        <v>30572</v>
      </c>
      <c r="H6578" t="s">
        <v>389</v>
      </c>
      <c r="I6578" t="s">
        <v>30573</v>
      </c>
    </row>
    <row r="6579" spans="1:19" x14ac:dyDescent="0.35">
      <c r="A6579">
        <v>3080</v>
      </c>
      <c r="B6579" t="s">
        <v>30569</v>
      </c>
      <c r="C6579" t="s">
        <v>42</v>
      </c>
      <c r="D6579" t="s">
        <v>30570</v>
      </c>
      <c r="E6579" t="e" cm="1">
        <f t="array" ref="E6579">- REBAMIPIDE</f>
        <v>#NAME?</v>
      </c>
      <c r="F6579" t="s">
        <v>30571</v>
      </c>
      <c r="G6579" t="s">
        <v>30572</v>
      </c>
      <c r="H6579" t="s">
        <v>389</v>
      </c>
      <c r="I6579" t="s">
        <v>30573</v>
      </c>
    </row>
    <row r="6580" spans="1:19" x14ac:dyDescent="0.35">
      <c r="A6580">
        <v>3089</v>
      </c>
      <c r="B6580" t="s">
        <v>30574</v>
      </c>
      <c r="C6580" t="s">
        <v>42</v>
      </c>
      <c r="D6580" t="s">
        <v>30575</v>
      </c>
      <c r="E6580" t="e" cm="1">
        <f t="array" ref="E6580">- RABEPRAZOLE SODIUM</f>
        <v>#NAME?</v>
      </c>
      <c r="F6580" t="s">
        <v>30576</v>
      </c>
      <c r="G6580" t="s">
        <v>30577</v>
      </c>
      <c r="H6580" t="s">
        <v>30578</v>
      </c>
      <c r="I6580" t="s">
        <v>30579</v>
      </c>
      <c r="J6580" t="s">
        <v>27509</v>
      </c>
      <c r="K6580" t="s">
        <v>30580</v>
      </c>
      <c r="L6580" t="s">
        <v>30581</v>
      </c>
      <c r="M6580" t="s">
        <v>46</v>
      </c>
      <c r="N6580" t="s">
        <v>27512</v>
      </c>
      <c r="O6580" t="s">
        <v>30582</v>
      </c>
      <c r="P6580" t="s">
        <v>27514</v>
      </c>
      <c r="Q6580" t="s">
        <v>30583</v>
      </c>
      <c r="R6580">
        <v>18</v>
      </c>
      <c r="S6580">
        <v>32</v>
      </c>
    </row>
    <row r="6581" spans="1:19" x14ac:dyDescent="0.35">
      <c r="A6581">
        <v>1433</v>
      </c>
      <c r="B6581" t="s">
        <v>20471</v>
      </c>
      <c r="C6581" t="s">
        <v>42</v>
      </c>
      <c r="D6581" t="s">
        <v>20472</v>
      </c>
      <c r="E6581" t="e" cm="1">
        <f t="array" ref="E6581">- SUCCUS LIQUIRITIAE. CHLORPHENAMINE MALEATE. GUAIFENESIN. PHENYLEPHRINE HYDROCHLORIDE</f>
        <v>#NAME?</v>
      </c>
      <c r="F6581" t="s">
        <v>20473</v>
      </c>
      <c r="G6581" t="s">
        <v>4545</v>
      </c>
      <c r="H6581" t="s">
        <v>20474</v>
      </c>
      <c r="I6581" t="s">
        <v>20475</v>
      </c>
      <c r="J6581" t="s">
        <v>19210</v>
      </c>
      <c r="K6581" t="s">
        <v>20476</v>
      </c>
      <c r="L6581" t="s">
        <v>20477</v>
      </c>
      <c r="M6581" t="s">
        <v>271</v>
      </c>
      <c r="N6581" t="s">
        <v>30584</v>
      </c>
      <c r="O6581" t="s">
        <v>20478</v>
      </c>
      <c r="P6581" t="s">
        <v>20479</v>
      </c>
      <c r="Q6581" t="s">
        <v>30585</v>
      </c>
      <c r="R6581">
        <v>18</v>
      </c>
      <c r="S6581">
        <v>32</v>
      </c>
    </row>
    <row r="6582" spans="1:19" x14ac:dyDescent="0.35">
      <c r="A6582">
        <v>3090</v>
      </c>
      <c r="B6582" t="s">
        <v>30574</v>
      </c>
      <c r="C6582" t="s">
        <v>42</v>
      </c>
      <c r="D6582" t="s">
        <v>30575</v>
      </c>
      <c r="E6582" t="e" cm="1">
        <f t="array" ref="E6582">- RABEPRAZOLE SODIUM</f>
        <v>#NAME?</v>
      </c>
      <c r="F6582" t="s">
        <v>30576</v>
      </c>
      <c r="G6582" t="s">
        <v>30577</v>
      </c>
      <c r="H6582" t="s">
        <v>30578</v>
      </c>
      <c r="I6582" t="s">
        <v>30579</v>
      </c>
      <c r="J6582" t="s">
        <v>27509</v>
      </c>
      <c r="K6582" t="s">
        <v>30580</v>
      </c>
      <c r="L6582" t="s">
        <v>30581</v>
      </c>
      <c r="M6582" t="s">
        <v>46</v>
      </c>
      <c r="N6582" t="s">
        <v>27512</v>
      </c>
      <c r="O6582" t="s">
        <v>30582</v>
      </c>
      <c r="P6582" t="s">
        <v>27514</v>
      </c>
      <c r="Q6582" t="s">
        <v>30583</v>
      </c>
      <c r="R6582">
        <v>18</v>
      </c>
      <c r="S6582">
        <v>32</v>
      </c>
    </row>
    <row r="6583" spans="1:19" x14ac:dyDescent="0.35">
      <c r="A6583">
        <v>1436</v>
      </c>
      <c r="B6583" t="s">
        <v>20471</v>
      </c>
      <c r="C6583" t="s">
        <v>42</v>
      </c>
      <c r="D6583" t="s">
        <v>20498</v>
      </c>
      <c r="E6583" t="e" cm="1">
        <f t="array" ref="E6583">- SUCCUS LIQUIRITIAE. CHLORPHENAMINE MALEATE. GUAIFENESIN. PHENYLEPHRINE HYDROCHLORIDE</f>
        <v>#NAME?</v>
      </c>
      <c r="F6583" s="1">
        <v>16900</v>
      </c>
      <c r="H6583" t="s">
        <v>20499</v>
      </c>
      <c r="I6583" t="s">
        <v>20475</v>
      </c>
      <c r="J6583" t="s">
        <v>20500</v>
      </c>
      <c r="K6583" t="s">
        <v>20501</v>
      </c>
      <c r="L6583" t="s">
        <v>20502</v>
      </c>
      <c r="M6583" t="s">
        <v>271</v>
      </c>
      <c r="N6583" t="s">
        <v>30584</v>
      </c>
      <c r="O6583" t="s">
        <v>20478</v>
      </c>
      <c r="P6583" t="s">
        <v>20479</v>
      </c>
      <c r="Q6583" t="s">
        <v>30585</v>
      </c>
      <c r="R6583">
        <v>18</v>
      </c>
      <c r="S6583">
        <v>32</v>
      </c>
    </row>
    <row r="6584" spans="1:19" x14ac:dyDescent="0.35">
      <c r="A6584">
        <v>1425</v>
      </c>
      <c r="B6584" t="s">
        <v>30586</v>
      </c>
      <c r="C6584" t="s">
        <v>42</v>
      </c>
      <c r="D6584" t="s">
        <v>30587</v>
      </c>
      <c r="E6584" t="e" cm="1">
        <f t="array" ref="E6584">- AMBROXOL HYDROCHLORIDE</f>
        <v>#NAME?</v>
      </c>
      <c r="F6584" s="1">
        <v>24400</v>
      </c>
      <c r="G6584" t="s">
        <v>2241</v>
      </c>
      <c r="H6584" t="s">
        <v>30367</v>
      </c>
      <c r="I6584" t="s">
        <v>30426</v>
      </c>
      <c r="J6584" t="s">
        <v>381</v>
      </c>
      <c r="K6584" t="s">
        <v>30588</v>
      </c>
      <c r="L6584" t="s">
        <v>29692</v>
      </c>
      <c r="M6584" t="s">
        <v>46</v>
      </c>
      <c r="N6584" t="s">
        <v>1800</v>
      </c>
      <c r="O6584" t="s">
        <v>29056</v>
      </c>
      <c r="P6584" t="s">
        <v>9869</v>
      </c>
      <c r="Q6584" t="s">
        <v>30589</v>
      </c>
      <c r="R6584">
        <v>18</v>
      </c>
      <c r="S6584">
        <v>32</v>
      </c>
    </row>
    <row r="6585" spans="1:19" x14ac:dyDescent="0.35">
      <c r="A6585">
        <v>3091</v>
      </c>
      <c r="B6585" t="s">
        <v>30574</v>
      </c>
      <c r="C6585" t="s">
        <v>42</v>
      </c>
      <c r="D6585" t="s">
        <v>30575</v>
      </c>
      <c r="E6585" t="e" cm="1">
        <f t="array" ref="E6585">- RABEPRAZOLE SODIUM</f>
        <v>#NAME?</v>
      </c>
      <c r="F6585" t="s">
        <v>30576</v>
      </c>
      <c r="G6585" t="s">
        <v>30577</v>
      </c>
      <c r="H6585" t="s">
        <v>30578</v>
      </c>
      <c r="I6585" t="s">
        <v>30579</v>
      </c>
      <c r="J6585" t="s">
        <v>27509</v>
      </c>
      <c r="K6585" t="s">
        <v>30580</v>
      </c>
      <c r="L6585" t="s">
        <v>30581</v>
      </c>
      <c r="M6585" t="s">
        <v>46</v>
      </c>
      <c r="N6585" t="s">
        <v>27512</v>
      </c>
      <c r="O6585" t="s">
        <v>30582</v>
      </c>
      <c r="P6585" t="s">
        <v>27514</v>
      </c>
      <c r="Q6585" t="s">
        <v>30583</v>
      </c>
      <c r="R6585">
        <v>18</v>
      </c>
      <c r="S6585">
        <v>32</v>
      </c>
    </row>
    <row r="6586" spans="1:19" x14ac:dyDescent="0.35">
      <c r="A6586">
        <v>3092</v>
      </c>
      <c r="B6586" t="s">
        <v>30574</v>
      </c>
      <c r="C6586" t="s">
        <v>42</v>
      </c>
      <c r="D6586" t="s">
        <v>30575</v>
      </c>
      <c r="E6586" t="e" cm="1">
        <f t="array" ref="E6586">- RABEPRAZOLE SODIUM</f>
        <v>#NAME?</v>
      </c>
      <c r="F6586" t="s">
        <v>30576</v>
      </c>
      <c r="G6586" t="s">
        <v>30577</v>
      </c>
      <c r="H6586" t="s">
        <v>30578</v>
      </c>
      <c r="I6586" t="s">
        <v>30579</v>
      </c>
      <c r="J6586" t="s">
        <v>27509</v>
      </c>
      <c r="K6586" t="s">
        <v>30580</v>
      </c>
      <c r="L6586" t="s">
        <v>30581</v>
      </c>
      <c r="M6586" t="s">
        <v>46</v>
      </c>
      <c r="N6586" t="s">
        <v>27512</v>
      </c>
      <c r="O6586" t="s">
        <v>30582</v>
      </c>
      <c r="P6586" t="s">
        <v>27514</v>
      </c>
      <c r="Q6586" t="s">
        <v>30583</v>
      </c>
      <c r="R6586">
        <v>18</v>
      </c>
      <c r="S6586">
        <v>32</v>
      </c>
    </row>
    <row r="6587" spans="1:19" x14ac:dyDescent="0.35">
      <c r="A6587">
        <v>2939</v>
      </c>
      <c r="B6587" t="s">
        <v>30590</v>
      </c>
      <c r="C6587" t="s">
        <v>42</v>
      </c>
      <c r="D6587" t="s">
        <v>30591</v>
      </c>
      <c r="E6587" t="e" cm="1">
        <f t="array" ref="E6587">- PARACETAMOL</f>
        <v>#NAME?</v>
      </c>
      <c r="F6587" t="s">
        <v>30592</v>
      </c>
      <c r="G6587" t="s">
        <v>60</v>
      </c>
      <c r="H6587" t="s">
        <v>30593</v>
      </c>
      <c r="I6587" t="s">
        <v>30594</v>
      </c>
      <c r="J6587" t="s">
        <v>334</v>
      </c>
      <c r="K6587" t="s">
        <v>6861</v>
      </c>
      <c r="M6587" t="s">
        <v>271</v>
      </c>
      <c r="N6587" t="s">
        <v>584</v>
      </c>
      <c r="O6587" t="s">
        <v>30595</v>
      </c>
      <c r="P6587" t="s">
        <v>30596</v>
      </c>
      <c r="Q6587" t="s">
        <v>30597</v>
      </c>
      <c r="R6587">
        <v>18</v>
      </c>
      <c r="S6587">
        <v>32</v>
      </c>
    </row>
    <row r="6588" spans="1:19" x14ac:dyDescent="0.35">
      <c r="A6588">
        <v>3128</v>
      </c>
      <c r="B6588" t="s">
        <v>30541</v>
      </c>
      <c r="C6588" t="s">
        <v>42</v>
      </c>
      <c r="D6588" t="s">
        <v>30542</v>
      </c>
      <c r="E6588" t="e" cm="1">
        <f t="array" ref="E6588">- POLYMIGEL</f>
        <v>#NAME?</v>
      </c>
      <c r="F6588" t="s">
        <v>30543</v>
      </c>
      <c r="G6588" t="s">
        <v>30544</v>
      </c>
      <c r="H6588" t="s">
        <v>30545</v>
      </c>
      <c r="I6588" t="s">
        <v>30546</v>
      </c>
      <c r="J6588" t="s">
        <v>754</v>
      </c>
      <c r="K6588" t="s">
        <v>30547</v>
      </c>
      <c r="L6588" t="s">
        <v>30548</v>
      </c>
      <c r="M6588" t="s">
        <v>46</v>
      </c>
      <c r="N6588" t="s">
        <v>30549</v>
      </c>
      <c r="O6588" t="s">
        <v>30550</v>
      </c>
      <c r="P6588" t="s">
        <v>30551</v>
      </c>
      <c r="Q6588" t="s">
        <v>30552</v>
      </c>
      <c r="R6588">
        <v>18</v>
      </c>
      <c r="S6588">
        <v>32</v>
      </c>
    </row>
    <row r="6589" spans="1:19" x14ac:dyDescent="0.35">
      <c r="A6589">
        <v>2997</v>
      </c>
      <c r="B6589" t="s">
        <v>30560</v>
      </c>
      <c r="C6589" t="s">
        <v>42</v>
      </c>
      <c r="D6589" t="s">
        <v>30561</v>
      </c>
      <c r="E6589" t="e" cm="1">
        <f t="array" ref="E6589">- PARACETAMOL</f>
        <v>#NAME?</v>
      </c>
      <c r="F6589" t="s">
        <v>30562</v>
      </c>
      <c r="H6589" t="s">
        <v>30563</v>
      </c>
      <c r="I6589" t="s">
        <v>30564</v>
      </c>
      <c r="J6589" t="s">
        <v>743</v>
      </c>
      <c r="L6589" t="s">
        <v>30565</v>
      </c>
      <c r="M6589" t="s">
        <v>824</v>
      </c>
      <c r="N6589" t="s">
        <v>584</v>
      </c>
      <c r="O6589" t="s">
        <v>30566</v>
      </c>
      <c r="P6589" t="s">
        <v>30567</v>
      </c>
      <c r="Q6589" t="s">
        <v>30568</v>
      </c>
      <c r="R6589">
        <v>18</v>
      </c>
      <c r="S6589">
        <v>32</v>
      </c>
    </row>
    <row r="6590" spans="1:19" x14ac:dyDescent="0.35">
      <c r="A6590">
        <v>9888</v>
      </c>
      <c r="B6590" t="s">
        <v>30598</v>
      </c>
      <c r="C6590" t="s">
        <v>42</v>
      </c>
      <c r="D6590" t="s">
        <v>30599</v>
      </c>
      <c r="E6590" t="e" cm="1">
        <f t="array" ref="E6590">- ACETYLSALICYLIC ACID</f>
        <v>#NAME?</v>
      </c>
      <c r="F6590" t="s">
        <v>30600</v>
      </c>
      <c r="G6590" t="s">
        <v>14911</v>
      </c>
      <c r="H6590" t="s">
        <v>30601</v>
      </c>
      <c r="I6590" t="s">
        <v>30602</v>
      </c>
      <c r="J6590" t="s">
        <v>21693</v>
      </c>
      <c r="K6590" t="s">
        <v>30603</v>
      </c>
      <c r="L6590" t="s">
        <v>30604</v>
      </c>
      <c r="M6590" t="s">
        <v>46</v>
      </c>
      <c r="N6590" t="s">
        <v>2579</v>
      </c>
      <c r="O6590" t="s">
        <v>30605</v>
      </c>
      <c r="P6590" t="s">
        <v>30606</v>
      </c>
      <c r="Q6590" t="s">
        <v>30607</v>
      </c>
      <c r="R6590">
        <v>19</v>
      </c>
      <c r="S6590">
        <v>32</v>
      </c>
    </row>
    <row r="6591" spans="1:19" x14ac:dyDescent="0.35">
      <c r="A6591">
        <v>9901</v>
      </c>
      <c r="B6591" t="s">
        <v>30608</v>
      </c>
      <c r="C6591" t="s">
        <v>42</v>
      </c>
      <c r="D6591" t="s">
        <v>30609</v>
      </c>
      <c r="E6591" t="e" cm="1">
        <f t="array" ref="E6591">- CLOPIDOGREL</f>
        <v>#NAME?</v>
      </c>
      <c r="F6591" t="s">
        <v>30610</v>
      </c>
      <c r="G6591" t="s">
        <v>30611</v>
      </c>
      <c r="H6591" t="s">
        <v>30612</v>
      </c>
      <c r="I6591" t="s">
        <v>30613</v>
      </c>
      <c r="J6591" t="s">
        <v>2100</v>
      </c>
      <c r="K6591" t="s">
        <v>30614</v>
      </c>
      <c r="L6591" t="s">
        <v>30615</v>
      </c>
      <c r="M6591" t="s">
        <v>46</v>
      </c>
      <c r="N6591" t="s">
        <v>22933</v>
      </c>
      <c r="O6591" t="s">
        <v>30616</v>
      </c>
      <c r="P6591" t="s">
        <v>30617</v>
      </c>
      <c r="Q6591" t="s">
        <v>30618</v>
      </c>
      <c r="R6591">
        <v>19</v>
      </c>
      <c r="S6591">
        <v>32</v>
      </c>
    </row>
    <row r="6592" spans="1:19" x14ac:dyDescent="0.35">
      <c r="A6592">
        <v>611</v>
      </c>
      <c r="B6592" t="s">
        <v>30619</v>
      </c>
      <c r="C6592" t="s">
        <v>42</v>
      </c>
      <c r="D6592" t="s">
        <v>30620</v>
      </c>
      <c r="E6592" t="e" cm="1">
        <f t="array" ref="E6592">- IPRATROPIUM BROMIDE MONOHYDRATE</f>
        <v>#NAME?</v>
      </c>
      <c r="F6592" s="1">
        <v>16000</v>
      </c>
      <c r="H6592" t="s">
        <v>30621</v>
      </c>
      <c r="I6592" t="s">
        <v>30622</v>
      </c>
      <c r="J6592" t="s">
        <v>30623</v>
      </c>
      <c r="L6592" t="s">
        <v>30624</v>
      </c>
      <c r="M6592" t="s">
        <v>3423</v>
      </c>
      <c r="N6592" t="s">
        <v>4701</v>
      </c>
      <c r="O6592" t="s">
        <v>30625</v>
      </c>
      <c r="P6592" t="s">
        <v>30626</v>
      </c>
      <c r="Q6592" t="s">
        <v>30627</v>
      </c>
      <c r="R6592">
        <v>19</v>
      </c>
      <c r="S6592">
        <v>32</v>
      </c>
    </row>
    <row r="6593" spans="1:19" x14ac:dyDescent="0.35">
      <c r="A6593">
        <v>9810</v>
      </c>
      <c r="B6593" t="s">
        <v>30628</v>
      </c>
      <c r="C6593" t="s">
        <v>42</v>
      </c>
      <c r="D6593" t="s">
        <v>30629</v>
      </c>
      <c r="E6593" t="e" cm="1">
        <f t="array" ref="E6593">- ROSUVASTATIN CALCIUM</f>
        <v>#NAME?</v>
      </c>
      <c r="F6593" t="s">
        <v>30630</v>
      </c>
      <c r="G6593" t="s">
        <v>3098</v>
      </c>
      <c r="H6593" t="s">
        <v>30631</v>
      </c>
      <c r="I6593" t="s">
        <v>30632</v>
      </c>
      <c r="J6593" t="s">
        <v>13933</v>
      </c>
      <c r="K6593" t="s">
        <v>30633</v>
      </c>
      <c r="L6593" t="s">
        <v>30634</v>
      </c>
      <c r="M6593" t="s">
        <v>46</v>
      </c>
      <c r="N6593" t="s">
        <v>2308</v>
      </c>
      <c r="O6593" t="s">
        <v>30635</v>
      </c>
      <c r="P6593" t="s">
        <v>30636</v>
      </c>
      <c r="Q6593" t="s">
        <v>30637</v>
      </c>
      <c r="R6593">
        <v>19</v>
      </c>
      <c r="S6593">
        <v>32</v>
      </c>
    </row>
    <row r="6594" spans="1:19" x14ac:dyDescent="0.35">
      <c r="A6594">
        <v>9811</v>
      </c>
      <c r="B6594" t="s">
        <v>30628</v>
      </c>
      <c r="C6594" t="s">
        <v>42</v>
      </c>
      <c r="D6594" t="s">
        <v>30629</v>
      </c>
      <c r="E6594" t="e" cm="1">
        <f t="array" ref="E6594">- ROSUVASTATIN CALCIUM</f>
        <v>#NAME?</v>
      </c>
      <c r="F6594" t="s">
        <v>30630</v>
      </c>
      <c r="G6594" t="s">
        <v>3098</v>
      </c>
      <c r="H6594" t="s">
        <v>30631</v>
      </c>
      <c r="I6594" t="s">
        <v>30632</v>
      </c>
      <c r="J6594" t="s">
        <v>13933</v>
      </c>
      <c r="K6594" t="s">
        <v>30633</v>
      </c>
      <c r="L6594" t="s">
        <v>30634</v>
      </c>
      <c r="M6594" t="s">
        <v>46</v>
      </c>
      <c r="N6594" t="s">
        <v>2308</v>
      </c>
      <c r="O6594" t="s">
        <v>30635</v>
      </c>
      <c r="P6594" t="s">
        <v>30636</v>
      </c>
      <c r="Q6594" t="s">
        <v>30637</v>
      </c>
      <c r="R6594">
        <v>19</v>
      </c>
      <c r="S6594">
        <v>32</v>
      </c>
    </row>
    <row r="6595" spans="1:19" x14ac:dyDescent="0.35">
      <c r="A6595">
        <v>8764</v>
      </c>
      <c r="B6595" t="s">
        <v>2388</v>
      </c>
      <c r="C6595" t="s">
        <v>42</v>
      </c>
      <c r="D6595" t="s">
        <v>30638</v>
      </c>
      <c r="E6595" t="e" cm="1">
        <f t="array" ref="E6595">- PIOGLITAZONE HYDROCHLORIDE</f>
        <v>#NAME?</v>
      </c>
      <c r="F6595" t="s">
        <v>30639</v>
      </c>
      <c r="G6595" t="s">
        <v>6869</v>
      </c>
      <c r="H6595" t="s">
        <v>29044</v>
      </c>
      <c r="I6595" t="s">
        <v>30640</v>
      </c>
      <c r="J6595" t="s">
        <v>599</v>
      </c>
      <c r="K6595" t="s">
        <v>29046</v>
      </c>
      <c r="L6595" t="s">
        <v>29047</v>
      </c>
      <c r="M6595" t="s">
        <v>46</v>
      </c>
      <c r="N6595" t="s">
        <v>2389</v>
      </c>
      <c r="O6595" t="s">
        <v>30641</v>
      </c>
      <c r="P6595" t="s">
        <v>30642</v>
      </c>
      <c r="Q6595" t="s">
        <v>30643</v>
      </c>
      <c r="R6595">
        <v>19</v>
      </c>
      <c r="S6595">
        <v>32</v>
      </c>
    </row>
    <row r="6596" spans="1:19" x14ac:dyDescent="0.35">
      <c r="A6596">
        <v>1661</v>
      </c>
      <c r="B6596" t="s">
        <v>30644</v>
      </c>
      <c r="C6596" t="s">
        <v>42</v>
      </c>
      <c r="D6596" t="s">
        <v>30645</v>
      </c>
      <c r="E6596" t="e" cm="1">
        <f t="array" ref="E6596">- AMBROXOL HYDROCHLORIDE</f>
        <v>#NAME?</v>
      </c>
      <c r="F6596" t="s">
        <v>7677</v>
      </c>
      <c r="G6596" t="s">
        <v>2241</v>
      </c>
      <c r="H6596" t="s">
        <v>30646</v>
      </c>
      <c r="I6596" t="s">
        <v>30647</v>
      </c>
      <c r="J6596" t="s">
        <v>381</v>
      </c>
      <c r="K6596" t="s">
        <v>30648</v>
      </c>
      <c r="L6596" t="s">
        <v>8032</v>
      </c>
      <c r="M6596" t="s">
        <v>46</v>
      </c>
      <c r="N6596" t="s">
        <v>1800</v>
      </c>
      <c r="O6596" t="s">
        <v>30649</v>
      </c>
      <c r="P6596" t="s">
        <v>2469</v>
      </c>
      <c r="Q6596" t="s">
        <v>30650</v>
      </c>
      <c r="R6596">
        <v>19</v>
      </c>
      <c r="S6596">
        <v>32</v>
      </c>
    </row>
    <row r="6597" spans="1:19" x14ac:dyDescent="0.35">
      <c r="A6597">
        <v>1662</v>
      </c>
      <c r="B6597" t="s">
        <v>30644</v>
      </c>
      <c r="C6597" t="s">
        <v>42</v>
      </c>
      <c r="D6597" t="s">
        <v>30645</v>
      </c>
      <c r="E6597" t="e" cm="1">
        <f t="array" ref="E6597">- AMBROXOL HYDROCHLORIDE</f>
        <v>#NAME?</v>
      </c>
      <c r="F6597" t="s">
        <v>7677</v>
      </c>
      <c r="G6597" t="s">
        <v>2241</v>
      </c>
      <c r="H6597" t="s">
        <v>30646</v>
      </c>
      <c r="I6597" t="s">
        <v>30647</v>
      </c>
      <c r="J6597" t="s">
        <v>381</v>
      </c>
      <c r="K6597" t="s">
        <v>30648</v>
      </c>
      <c r="L6597" t="s">
        <v>8032</v>
      </c>
      <c r="M6597" t="s">
        <v>46</v>
      </c>
      <c r="N6597" t="s">
        <v>1800</v>
      </c>
      <c r="O6597" t="s">
        <v>30649</v>
      </c>
      <c r="P6597" t="s">
        <v>2469</v>
      </c>
      <c r="Q6597" t="s">
        <v>30650</v>
      </c>
      <c r="R6597">
        <v>19</v>
      </c>
      <c r="S6597">
        <v>32</v>
      </c>
    </row>
    <row r="6598" spans="1:19" x14ac:dyDescent="0.35">
      <c r="A6598">
        <v>5238</v>
      </c>
      <c r="B6598" t="s">
        <v>30651</v>
      </c>
      <c r="C6598" t="s">
        <v>42</v>
      </c>
      <c r="D6598" t="s">
        <v>30652</v>
      </c>
      <c r="E6598" t="e" cm="1">
        <f t="array" ref="E6598">- ACICLOVIR</f>
        <v>#NAME?</v>
      </c>
      <c r="F6598" t="s">
        <v>30653</v>
      </c>
      <c r="G6598" t="s">
        <v>30654</v>
      </c>
      <c r="H6598" t="s">
        <v>30655</v>
      </c>
      <c r="I6598" t="s">
        <v>30656</v>
      </c>
      <c r="J6598" t="s">
        <v>30657</v>
      </c>
      <c r="K6598" t="s">
        <v>30658</v>
      </c>
      <c r="L6598" t="s">
        <v>30659</v>
      </c>
      <c r="M6598" t="s">
        <v>1289</v>
      </c>
      <c r="N6598" t="s">
        <v>1685</v>
      </c>
      <c r="O6598" t="s">
        <v>30660</v>
      </c>
      <c r="P6598" t="s">
        <v>30661</v>
      </c>
      <c r="Q6598" t="s">
        <v>30662</v>
      </c>
      <c r="R6598">
        <v>19</v>
      </c>
      <c r="S6598">
        <v>32</v>
      </c>
    </row>
    <row r="6599" spans="1:19" x14ac:dyDescent="0.35">
      <c r="A6599">
        <v>1946</v>
      </c>
      <c r="B6599" t="s">
        <v>30663</v>
      </c>
      <c r="C6599" t="s">
        <v>20</v>
      </c>
      <c r="D6599" t="s">
        <v>30664</v>
      </c>
      <c r="E6599" t="s">
        <v>30665</v>
      </c>
      <c r="F6599" t="s">
        <v>1340</v>
      </c>
      <c r="G6599" t="s">
        <v>5866</v>
      </c>
      <c r="H6599" t="s">
        <v>24546</v>
      </c>
      <c r="I6599" t="s">
        <v>30666</v>
      </c>
      <c r="J6599" t="s">
        <v>30667</v>
      </c>
      <c r="L6599" t="s">
        <v>30668</v>
      </c>
      <c r="M6599" t="s">
        <v>46</v>
      </c>
      <c r="N6599" t="s">
        <v>30669</v>
      </c>
      <c r="O6599" t="s">
        <v>30670</v>
      </c>
      <c r="P6599" t="s">
        <v>30669</v>
      </c>
      <c r="Q6599" t="s">
        <v>30671</v>
      </c>
      <c r="R6599">
        <v>19</v>
      </c>
      <c r="S6599">
        <v>32</v>
      </c>
    </row>
    <row r="6600" spans="1:19" x14ac:dyDescent="0.35">
      <c r="A6600">
        <v>5109</v>
      </c>
      <c r="B6600" t="s">
        <v>30672</v>
      </c>
      <c r="C6600" t="s">
        <v>42</v>
      </c>
      <c r="D6600" t="s">
        <v>30673</v>
      </c>
      <c r="E6600" t="e" cm="1">
        <f t="array" ref="E6600">- CLOBETASOL PROPIONATE</f>
        <v>#NAME?</v>
      </c>
      <c r="F6600" t="s">
        <v>30674</v>
      </c>
      <c r="G6600" t="s">
        <v>11083</v>
      </c>
      <c r="H6600" t="s">
        <v>30675</v>
      </c>
      <c r="I6600" t="s">
        <v>30676</v>
      </c>
      <c r="J6600" t="s">
        <v>2049</v>
      </c>
      <c r="K6600" t="s">
        <v>30677</v>
      </c>
      <c r="L6600" t="s">
        <v>30678</v>
      </c>
      <c r="M6600" t="s">
        <v>1029</v>
      </c>
      <c r="N6600" t="s">
        <v>3588</v>
      </c>
      <c r="O6600" t="s">
        <v>30679</v>
      </c>
      <c r="P6600" t="s">
        <v>30680</v>
      </c>
      <c r="Q6600" t="s">
        <v>30681</v>
      </c>
      <c r="R6600">
        <v>19</v>
      </c>
      <c r="S6600">
        <v>32</v>
      </c>
    </row>
    <row r="6601" spans="1:19" x14ac:dyDescent="0.35">
      <c r="A6601">
        <v>5237</v>
      </c>
      <c r="B6601" t="s">
        <v>30651</v>
      </c>
      <c r="C6601" t="s">
        <v>42</v>
      </c>
      <c r="D6601" t="s">
        <v>30652</v>
      </c>
      <c r="E6601" t="e" cm="1">
        <f t="array" ref="E6601">- ACICLOVIR</f>
        <v>#NAME?</v>
      </c>
      <c r="F6601" t="s">
        <v>30653</v>
      </c>
      <c r="G6601" t="s">
        <v>30654</v>
      </c>
      <c r="H6601" t="s">
        <v>30655</v>
      </c>
      <c r="I6601" t="s">
        <v>30656</v>
      </c>
      <c r="J6601" t="s">
        <v>30657</v>
      </c>
      <c r="K6601" t="s">
        <v>30658</v>
      </c>
      <c r="L6601" t="s">
        <v>30659</v>
      </c>
      <c r="M6601" t="s">
        <v>1289</v>
      </c>
      <c r="N6601" t="s">
        <v>1685</v>
      </c>
      <c r="O6601" t="s">
        <v>30660</v>
      </c>
      <c r="P6601" t="s">
        <v>30661</v>
      </c>
      <c r="Q6601" t="s">
        <v>30662</v>
      </c>
      <c r="R6601">
        <v>19</v>
      </c>
      <c r="S6601">
        <v>32</v>
      </c>
    </row>
    <row r="6602" spans="1:19" x14ac:dyDescent="0.35">
      <c r="A6602">
        <v>7528</v>
      </c>
      <c r="B6602" t="s">
        <v>30682</v>
      </c>
      <c r="C6602" t="s">
        <v>42</v>
      </c>
      <c r="D6602" t="s">
        <v>30683</v>
      </c>
      <c r="E6602" t="e" cm="1">
        <f t="array" ref="E6602">- CALCIUM CARBONATE. FERROUS FUMARATE. FOLIC ACID. CHOLECALCIFEROL. ASCORBIC ACID. CYANOCOBALAMIN</f>
        <v>#NAME?</v>
      </c>
      <c r="F6602" t="s">
        <v>30684</v>
      </c>
      <c r="G6602" t="s">
        <v>2241</v>
      </c>
      <c r="H6602" t="s">
        <v>18834</v>
      </c>
      <c r="I6602" t="s">
        <v>30685</v>
      </c>
      <c r="J6602" t="s">
        <v>810</v>
      </c>
      <c r="K6602" t="s">
        <v>30686</v>
      </c>
      <c r="L6602" t="s">
        <v>30687</v>
      </c>
      <c r="M6602" t="s">
        <v>38</v>
      </c>
      <c r="N6602" t="s">
        <v>30688</v>
      </c>
      <c r="O6602" t="s">
        <v>30689</v>
      </c>
      <c r="P6602" t="s">
        <v>30690</v>
      </c>
      <c r="Q6602" t="s">
        <v>30691</v>
      </c>
      <c r="R6602">
        <v>19</v>
      </c>
      <c r="S6602">
        <v>32</v>
      </c>
    </row>
    <row r="6603" spans="1:19" x14ac:dyDescent="0.35">
      <c r="A6603">
        <v>7527</v>
      </c>
      <c r="B6603" t="s">
        <v>30682</v>
      </c>
      <c r="C6603" t="s">
        <v>42</v>
      </c>
      <c r="D6603" t="s">
        <v>30683</v>
      </c>
      <c r="E6603" t="e" cm="1">
        <f t="array" ref="E6603">- CALCIUM CARBONATE. FERROUS FUMARATE. FOLIC ACID. CHOLECALCIFEROL. ASCORBIC ACID. CYANOCOBALAMIN</f>
        <v>#NAME?</v>
      </c>
      <c r="F6603" t="s">
        <v>30684</v>
      </c>
      <c r="G6603" t="s">
        <v>2241</v>
      </c>
      <c r="H6603" t="s">
        <v>18834</v>
      </c>
      <c r="I6603" t="s">
        <v>30685</v>
      </c>
      <c r="J6603" t="s">
        <v>810</v>
      </c>
      <c r="K6603" t="s">
        <v>30686</v>
      </c>
      <c r="L6603" t="s">
        <v>30687</v>
      </c>
      <c r="M6603" t="s">
        <v>38</v>
      </c>
      <c r="N6603" t="s">
        <v>30688</v>
      </c>
      <c r="O6603" t="s">
        <v>30689</v>
      </c>
      <c r="P6603" t="s">
        <v>30690</v>
      </c>
      <c r="Q6603" t="s">
        <v>30691</v>
      </c>
      <c r="R6603">
        <v>19</v>
      </c>
      <c r="S6603">
        <v>32</v>
      </c>
    </row>
    <row r="6604" spans="1:19" x14ac:dyDescent="0.35">
      <c r="A6604">
        <v>5173</v>
      </c>
      <c r="B6604" t="s">
        <v>30692</v>
      </c>
      <c r="C6604" t="s">
        <v>42</v>
      </c>
      <c r="D6604" t="s">
        <v>30693</v>
      </c>
      <c r="E6604" t="e" cm="1">
        <f t="array" ref="E6604">- BETAMETHASONE VALERATE. NEOMYCIN SULFATE</f>
        <v>#NAME?</v>
      </c>
      <c r="F6604" t="s">
        <v>30694</v>
      </c>
      <c r="G6604" t="s">
        <v>30695</v>
      </c>
      <c r="H6604" t="s">
        <v>21511</v>
      </c>
      <c r="I6604" t="s">
        <v>27792</v>
      </c>
      <c r="J6604" t="s">
        <v>2040</v>
      </c>
      <c r="K6604" t="s">
        <v>27793</v>
      </c>
      <c r="L6604" t="s">
        <v>27794</v>
      </c>
      <c r="M6604" t="s">
        <v>1289</v>
      </c>
      <c r="N6604" t="s">
        <v>4089</v>
      </c>
      <c r="O6604" t="s">
        <v>27795</v>
      </c>
      <c r="P6604" t="s">
        <v>30696</v>
      </c>
      <c r="Q6604" t="s">
        <v>30697</v>
      </c>
      <c r="R6604">
        <v>19</v>
      </c>
      <c r="S6604">
        <v>32</v>
      </c>
    </row>
    <row r="6605" spans="1:19" x14ac:dyDescent="0.35">
      <c r="A6605">
        <v>1945</v>
      </c>
      <c r="B6605" t="s">
        <v>30663</v>
      </c>
      <c r="C6605" t="s">
        <v>20</v>
      </c>
      <c r="D6605" t="s">
        <v>30664</v>
      </c>
      <c r="E6605" t="s">
        <v>30665</v>
      </c>
      <c r="F6605" t="s">
        <v>1340</v>
      </c>
      <c r="G6605" t="s">
        <v>5866</v>
      </c>
      <c r="H6605" t="s">
        <v>24546</v>
      </c>
      <c r="I6605" t="s">
        <v>30666</v>
      </c>
      <c r="J6605" t="s">
        <v>30667</v>
      </c>
      <c r="L6605" t="s">
        <v>30668</v>
      </c>
      <c r="M6605" t="s">
        <v>46</v>
      </c>
      <c r="N6605" t="s">
        <v>30669</v>
      </c>
      <c r="O6605" t="s">
        <v>30670</v>
      </c>
      <c r="P6605" t="s">
        <v>30669</v>
      </c>
      <c r="Q6605" t="s">
        <v>30671</v>
      </c>
      <c r="R6605">
        <v>19</v>
      </c>
      <c r="S6605">
        <v>32</v>
      </c>
    </row>
    <row r="6606" spans="1:19" x14ac:dyDescent="0.35">
      <c r="A6606">
        <v>1898</v>
      </c>
      <c r="B6606" t="s">
        <v>30698</v>
      </c>
      <c r="C6606" t="s">
        <v>42</v>
      </c>
      <c r="D6606" t="s">
        <v>30699</v>
      </c>
      <c r="E6606" t="e" cm="1">
        <f t="array" ref="E6606">- AMBROXOL HYDROCHLORIDE</f>
        <v>#NAME?</v>
      </c>
      <c r="F6606" t="s">
        <v>30700</v>
      </c>
      <c r="I6606" t="s">
        <v>30701</v>
      </c>
      <c r="M6606" t="s">
        <v>824</v>
      </c>
      <c r="N6606" t="s">
        <v>1800</v>
      </c>
      <c r="O6606" t="s">
        <v>30702</v>
      </c>
      <c r="P6606" t="s">
        <v>28706</v>
      </c>
      <c r="Q6606" t="s">
        <v>30703</v>
      </c>
      <c r="R6606">
        <v>19</v>
      </c>
      <c r="S6606">
        <v>32</v>
      </c>
    </row>
    <row r="6607" spans="1:19" x14ac:dyDescent="0.35">
      <c r="A6607">
        <v>1944</v>
      </c>
      <c r="B6607" t="s">
        <v>30704</v>
      </c>
      <c r="C6607" t="s">
        <v>20</v>
      </c>
      <c r="D6607" t="s">
        <v>30705</v>
      </c>
      <c r="E6607" t="s">
        <v>30706</v>
      </c>
      <c r="F6607" s="1">
        <v>28200</v>
      </c>
      <c r="G6607" t="s">
        <v>2241</v>
      </c>
      <c r="H6607" t="s">
        <v>30707</v>
      </c>
      <c r="I6607" t="s">
        <v>30708</v>
      </c>
      <c r="J6607" t="s">
        <v>1162</v>
      </c>
      <c r="N6607" t="s">
        <v>30709</v>
      </c>
      <c r="O6607" t="s">
        <v>30710</v>
      </c>
      <c r="P6607" t="s">
        <v>30711</v>
      </c>
      <c r="Q6607" t="s">
        <v>30712</v>
      </c>
      <c r="R6607">
        <v>19</v>
      </c>
      <c r="S6607">
        <v>32</v>
      </c>
    </row>
    <row r="6608" spans="1:19" x14ac:dyDescent="0.35">
      <c r="A6608">
        <v>9893</v>
      </c>
      <c r="B6608" t="s">
        <v>30713</v>
      </c>
      <c r="C6608" t="s">
        <v>42</v>
      </c>
      <c r="D6608" t="s">
        <v>30714</v>
      </c>
      <c r="E6608" t="e" cm="1">
        <f t="array" ref="E6608">- ACETYLSALICYLIC ACID</f>
        <v>#NAME?</v>
      </c>
      <c r="F6608" t="s">
        <v>30715</v>
      </c>
      <c r="G6608" t="s">
        <v>13148</v>
      </c>
      <c r="H6608" t="s">
        <v>30716</v>
      </c>
      <c r="I6608" t="s">
        <v>30602</v>
      </c>
      <c r="J6608" t="s">
        <v>13151</v>
      </c>
      <c r="K6608" t="s">
        <v>30603</v>
      </c>
      <c r="L6608" t="s">
        <v>30604</v>
      </c>
      <c r="M6608" t="s">
        <v>46</v>
      </c>
      <c r="N6608" t="s">
        <v>2579</v>
      </c>
      <c r="O6608" t="s">
        <v>30605</v>
      </c>
      <c r="P6608" t="s">
        <v>30717</v>
      </c>
      <c r="Q6608" t="s">
        <v>30718</v>
      </c>
      <c r="R6608">
        <v>19</v>
      </c>
      <c r="S6608">
        <v>32</v>
      </c>
    </row>
    <row r="6609" spans="1:19" x14ac:dyDescent="0.35">
      <c r="A6609">
        <v>9892</v>
      </c>
      <c r="B6609" t="s">
        <v>30713</v>
      </c>
      <c r="C6609" t="s">
        <v>42</v>
      </c>
      <c r="D6609" t="s">
        <v>30714</v>
      </c>
      <c r="E6609" t="e" cm="1">
        <f t="array" ref="E6609">- ACETYLSALICYLIC ACID</f>
        <v>#NAME?</v>
      </c>
      <c r="F6609" t="s">
        <v>30715</v>
      </c>
      <c r="G6609" t="s">
        <v>13148</v>
      </c>
      <c r="H6609" t="s">
        <v>30716</v>
      </c>
      <c r="I6609" t="s">
        <v>30602</v>
      </c>
      <c r="J6609" t="s">
        <v>13151</v>
      </c>
      <c r="K6609" t="s">
        <v>30603</v>
      </c>
      <c r="L6609" t="s">
        <v>30604</v>
      </c>
      <c r="M6609" t="s">
        <v>46</v>
      </c>
      <c r="N6609" t="s">
        <v>2579</v>
      </c>
      <c r="O6609" t="s">
        <v>30605</v>
      </c>
      <c r="P6609" t="s">
        <v>30717</v>
      </c>
      <c r="Q6609" t="s">
        <v>30718</v>
      </c>
      <c r="R6609">
        <v>19</v>
      </c>
      <c r="S6609">
        <v>32</v>
      </c>
    </row>
    <row r="6610" spans="1:19" x14ac:dyDescent="0.35">
      <c r="A6610">
        <v>1943</v>
      </c>
      <c r="B6610" t="s">
        <v>30704</v>
      </c>
      <c r="C6610" t="s">
        <v>20</v>
      </c>
      <c r="D6610" t="s">
        <v>30705</v>
      </c>
      <c r="E6610" t="s">
        <v>30706</v>
      </c>
      <c r="F6610" s="1">
        <v>28200</v>
      </c>
      <c r="G6610" t="s">
        <v>2241</v>
      </c>
      <c r="H6610" t="s">
        <v>30707</v>
      </c>
      <c r="I6610" t="s">
        <v>30708</v>
      </c>
      <c r="J6610" t="s">
        <v>1162</v>
      </c>
      <c r="N6610" t="s">
        <v>30709</v>
      </c>
      <c r="O6610" t="s">
        <v>30710</v>
      </c>
      <c r="P6610" t="s">
        <v>30711</v>
      </c>
      <c r="Q6610" t="s">
        <v>30712</v>
      </c>
      <c r="R6610">
        <v>19</v>
      </c>
      <c r="S6610">
        <v>32</v>
      </c>
    </row>
    <row r="6611" spans="1:19" x14ac:dyDescent="0.35">
      <c r="A6611">
        <v>8747</v>
      </c>
      <c r="B6611" t="s">
        <v>30719</v>
      </c>
      <c r="C6611" t="s">
        <v>42</v>
      </c>
      <c r="D6611" t="s">
        <v>30720</v>
      </c>
      <c r="E6611" t="e" cm="1">
        <f t="array" ref="E6611">- METFORMIN HYDROCHLORIDE</f>
        <v>#NAME?</v>
      </c>
      <c r="F6611" t="s">
        <v>30721</v>
      </c>
      <c r="G6611" t="s">
        <v>30722</v>
      </c>
      <c r="H6611" t="s">
        <v>30723</v>
      </c>
      <c r="I6611" t="s">
        <v>30724</v>
      </c>
      <c r="J6611" t="s">
        <v>30725</v>
      </c>
      <c r="K6611" t="s">
        <v>30726</v>
      </c>
      <c r="L6611" t="s">
        <v>30727</v>
      </c>
      <c r="M6611" t="s">
        <v>46</v>
      </c>
      <c r="N6611" t="s">
        <v>30728</v>
      </c>
      <c r="O6611" t="s">
        <v>30729</v>
      </c>
      <c r="P6611" t="s">
        <v>30730</v>
      </c>
      <c r="Q6611" t="s">
        <v>30731</v>
      </c>
      <c r="R6611">
        <v>19</v>
      </c>
      <c r="S6611">
        <v>32</v>
      </c>
    </row>
    <row r="6612" spans="1:19" x14ac:dyDescent="0.35">
      <c r="A6612">
        <v>1415</v>
      </c>
      <c r="B6612" t="s">
        <v>30732</v>
      </c>
      <c r="C6612" t="s">
        <v>42</v>
      </c>
      <c r="D6612" t="s">
        <v>30733</v>
      </c>
      <c r="E6612" t="e" cm="1">
        <f t="array" ref="E6612">- AMMONIUM CHLORIDE</f>
        <v>#NAME?</v>
      </c>
      <c r="F6612" t="s">
        <v>30734</v>
      </c>
      <c r="G6612" t="s">
        <v>7219</v>
      </c>
      <c r="H6612" t="s">
        <v>30735</v>
      </c>
      <c r="I6612" t="s">
        <v>29641</v>
      </c>
      <c r="J6612" t="s">
        <v>374</v>
      </c>
      <c r="K6612" t="e" cm="1">
        <f t="array" ref="K6612">- penderita yang hipersensitif terhadap komponen obat ini. - penderita dengan gangguan fungsi hati yang berat. - penderita dengan gangguan jantung dan diabetes mellitus.</f>
        <v>#NAME?</v>
      </c>
      <c r="L6612" t="s">
        <v>30736</v>
      </c>
      <c r="M6612" t="s">
        <v>271</v>
      </c>
      <c r="N6612" t="s">
        <v>1672</v>
      </c>
      <c r="O6612" t="s">
        <v>29642</v>
      </c>
      <c r="P6612" t="s">
        <v>30737</v>
      </c>
      <c r="Q6612" t="s">
        <v>30738</v>
      </c>
      <c r="R6612">
        <v>19</v>
      </c>
      <c r="S6612">
        <v>32</v>
      </c>
    </row>
    <row r="6613" spans="1:19" x14ac:dyDescent="0.35">
      <c r="A6613">
        <v>591</v>
      </c>
      <c r="B6613" t="s">
        <v>27164</v>
      </c>
      <c r="C6613" t="s">
        <v>42</v>
      </c>
      <c r="D6613" t="s">
        <v>27165</v>
      </c>
      <c r="E6613" t="e" cm="1">
        <f t="array" ref="E6613">- FORMOTEROL FUMARATE DIHYDRATE. BUDESONIDE</f>
        <v>#NAME?</v>
      </c>
      <c r="F6613" t="s">
        <v>27166</v>
      </c>
      <c r="G6613" t="s">
        <v>19260</v>
      </c>
      <c r="H6613" t="s">
        <v>27167</v>
      </c>
      <c r="I6613" t="s">
        <v>27168</v>
      </c>
      <c r="J6613" t="s">
        <v>27169</v>
      </c>
      <c r="K6613" t="s">
        <v>3952</v>
      </c>
      <c r="L6613" t="s">
        <v>27170</v>
      </c>
      <c r="M6613" t="s">
        <v>1280</v>
      </c>
      <c r="N6613" t="s">
        <v>30739</v>
      </c>
      <c r="O6613" t="s">
        <v>27171</v>
      </c>
      <c r="P6613" t="s">
        <v>27172</v>
      </c>
      <c r="Q6613" t="s">
        <v>30740</v>
      </c>
      <c r="R6613">
        <v>19</v>
      </c>
      <c r="S6613">
        <v>32</v>
      </c>
    </row>
    <row r="6614" spans="1:19" x14ac:dyDescent="0.35">
      <c r="A6614">
        <v>1009</v>
      </c>
      <c r="B6614" t="s">
        <v>26728</v>
      </c>
      <c r="C6614" t="s">
        <v>42</v>
      </c>
      <c r="D6614" t="s">
        <v>26729</v>
      </c>
      <c r="E6614" t="e" cm="1">
        <f t="array" ref="E6614">- PARACETAMOL. ISOTHIPENDYL HYDROCHLORIDE. PHENYLEPHRINE HYDROCHLORIDE</f>
        <v>#NAME?</v>
      </c>
      <c r="F6614" t="s">
        <v>26730</v>
      </c>
      <c r="G6614" t="s">
        <v>60</v>
      </c>
      <c r="H6614" t="s">
        <v>26731</v>
      </c>
      <c r="I6614" t="s">
        <v>26732</v>
      </c>
      <c r="J6614" t="s">
        <v>743</v>
      </c>
      <c r="K6614" t="s">
        <v>26126</v>
      </c>
      <c r="L6614" t="s">
        <v>26733</v>
      </c>
      <c r="M6614" t="s">
        <v>824</v>
      </c>
      <c r="N6614" t="s">
        <v>30741</v>
      </c>
      <c r="O6614" t="s">
        <v>26129</v>
      </c>
      <c r="P6614" t="s">
        <v>26130</v>
      </c>
      <c r="Q6614" t="s">
        <v>30742</v>
      </c>
      <c r="R6614">
        <v>19</v>
      </c>
      <c r="S6614">
        <v>32</v>
      </c>
    </row>
    <row r="6615" spans="1:19" x14ac:dyDescent="0.35">
      <c r="A6615">
        <v>5212</v>
      </c>
      <c r="B6615" t="s">
        <v>30743</v>
      </c>
      <c r="C6615" t="s">
        <v>42</v>
      </c>
      <c r="D6615" t="s">
        <v>30744</v>
      </c>
      <c r="E6615" t="e" cm="1">
        <f t="array" ref="E6615">- NYSTATIN. ZINC OXIDE</f>
        <v>#NAME?</v>
      </c>
      <c r="F6615" t="s">
        <v>30745</v>
      </c>
      <c r="G6615" t="s">
        <v>30746</v>
      </c>
      <c r="H6615" t="s">
        <v>30747</v>
      </c>
      <c r="I6615" t="s">
        <v>30748</v>
      </c>
      <c r="J6615" t="s">
        <v>2049</v>
      </c>
      <c r="K6615" t="s">
        <v>2726</v>
      </c>
      <c r="L6615" t="s">
        <v>30749</v>
      </c>
      <c r="M6615" t="s">
        <v>1029</v>
      </c>
      <c r="N6615" t="s">
        <v>30750</v>
      </c>
      <c r="O6615" t="s">
        <v>30751</v>
      </c>
      <c r="P6615" t="s">
        <v>30752</v>
      </c>
      <c r="Q6615" t="s">
        <v>30753</v>
      </c>
      <c r="R6615">
        <v>19</v>
      </c>
      <c r="S6615">
        <v>32</v>
      </c>
    </row>
    <row r="6616" spans="1:19" x14ac:dyDescent="0.35">
      <c r="A6616">
        <v>7579</v>
      </c>
      <c r="B6616" t="s">
        <v>30754</v>
      </c>
      <c r="C6616" t="s">
        <v>20</v>
      </c>
      <c r="D6616" t="s">
        <v>30755</v>
      </c>
      <c r="E6616" t="s">
        <v>30756</v>
      </c>
      <c r="F6616" t="s">
        <v>30757</v>
      </c>
      <c r="I6616" t="s">
        <v>30758</v>
      </c>
      <c r="J6616" t="s">
        <v>30759</v>
      </c>
      <c r="M6616" t="s">
        <v>63</v>
      </c>
      <c r="N6616" t="s">
        <v>30760</v>
      </c>
      <c r="O6616" t="s">
        <v>30761</v>
      </c>
      <c r="P6616" t="s">
        <v>30762</v>
      </c>
      <c r="Q6616" t="s">
        <v>30763</v>
      </c>
      <c r="R6616">
        <v>19</v>
      </c>
      <c r="S6616">
        <v>32</v>
      </c>
    </row>
    <row r="6617" spans="1:19" x14ac:dyDescent="0.35">
      <c r="A6617">
        <v>8914</v>
      </c>
      <c r="B6617" t="s">
        <v>30764</v>
      </c>
      <c r="C6617" t="s">
        <v>42</v>
      </c>
      <c r="D6617" t="s">
        <v>30765</v>
      </c>
      <c r="E6617" t="e" cm="1">
        <f t="array" ref="E6617">- NIFEDIPINE</f>
        <v>#NAME?</v>
      </c>
      <c r="F6617" t="s">
        <v>30766</v>
      </c>
      <c r="G6617" t="s">
        <v>30767</v>
      </c>
      <c r="H6617" t="s">
        <v>30768</v>
      </c>
      <c r="I6617" t="s">
        <v>30769</v>
      </c>
      <c r="J6617" t="s">
        <v>21862</v>
      </c>
      <c r="K6617" t="s">
        <v>30770</v>
      </c>
      <c r="L6617" t="s">
        <v>30771</v>
      </c>
      <c r="M6617" t="s">
        <v>46</v>
      </c>
      <c r="N6617" t="s">
        <v>22000</v>
      </c>
      <c r="O6617" t="s">
        <v>30772</v>
      </c>
      <c r="P6617" t="s">
        <v>30773</v>
      </c>
      <c r="Q6617" t="s">
        <v>30774</v>
      </c>
      <c r="R6617">
        <v>19</v>
      </c>
      <c r="S6617">
        <v>32</v>
      </c>
    </row>
    <row r="6618" spans="1:19" x14ac:dyDescent="0.35">
      <c r="A6618">
        <v>9808</v>
      </c>
      <c r="B6618" t="s">
        <v>30775</v>
      </c>
      <c r="C6618" t="s">
        <v>42</v>
      </c>
      <c r="D6618" t="s">
        <v>30776</v>
      </c>
      <c r="E6618" t="e" cm="1">
        <f t="array" ref="E6618">- ROSUVASTATIN CALCIUM</f>
        <v>#NAME?</v>
      </c>
      <c r="F6618" t="s">
        <v>30777</v>
      </c>
      <c r="G6618" t="s">
        <v>3098</v>
      </c>
      <c r="H6618" t="s">
        <v>30631</v>
      </c>
      <c r="I6618" t="s">
        <v>30632</v>
      </c>
      <c r="J6618" t="s">
        <v>2478</v>
      </c>
      <c r="K6618" t="s">
        <v>30633</v>
      </c>
      <c r="L6618" t="s">
        <v>30634</v>
      </c>
      <c r="M6618" t="s">
        <v>46</v>
      </c>
      <c r="N6618" t="s">
        <v>2308</v>
      </c>
      <c r="O6618" t="s">
        <v>30635</v>
      </c>
      <c r="P6618" t="s">
        <v>30636</v>
      </c>
      <c r="Q6618" t="s">
        <v>30637</v>
      </c>
      <c r="R6618">
        <v>19</v>
      </c>
      <c r="S6618">
        <v>32</v>
      </c>
    </row>
    <row r="6619" spans="1:19" x14ac:dyDescent="0.35">
      <c r="A6619">
        <v>4674</v>
      </c>
      <c r="B6619" t="s">
        <v>30778</v>
      </c>
      <c r="C6619" t="s">
        <v>42</v>
      </c>
      <c r="D6619" t="s">
        <v>30779</v>
      </c>
      <c r="E6619" t="e" cm="1">
        <f t="array" ref="E6619">- DEXTRAN</f>
        <v>#NAME?</v>
      </c>
      <c r="F6619" s="1">
        <v>43200</v>
      </c>
      <c r="I6619" t="s">
        <v>30780</v>
      </c>
      <c r="J6619" t="s">
        <v>30195</v>
      </c>
      <c r="M6619" t="s">
        <v>824</v>
      </c>
      <c r="N6619" t="s">
        <v>30781</v>
      </c>
      <c r="O6619" t="s">
        <v>30782</v>
      </c>
      <c r="P6619" t="s">
        <v>30783</v>
      </c>
      <c r="Q6619" t="s">
        <v>30784</v>
      </c>
      <c r="R6619">
        <v>19</v>
      </c>
      <c r="S6619">
        <v>32</v>
      </c>
    </row>
    <row r="6620" spans="1:19" x14ac:dyDescent="0.35">
      <c r="A6620">
        <v>4692</v>
      </c>
      <c r="B6620" t="s">
        <v>22938</v>
      </c>
      <c r="C6620" t="s">
        <v>42</v>
      </c>
      <c r="D6620" t="s">
        <v>22939</v>
      </c>
      <c r="E6620" t="e" cm="1">
        <f t="array" ref="E6620">- POLYMYXIN B SULFATE. NEOMYCIN SULFATE. PHENYLEPHRINE HYDROCHLORIDE</f>
        <v>#NAME?</v>
      </c>
      <c r="F6620" t="s">
        <v>22940</v>
      </c>
      <c r="G6620" t="s">
        <v>7569</v>
      </c>
      <c r="H6620" t="s">
        <v>22941</v>
      </c>
      <c r="I6620" t="s">
        <v>22942</v>
      </c>
      <c r="J6620" t="s">
        <v>10248</v>
      </c>
      <c r="K6620" t="s">
        <v>8963</v>
      </c>
      <c r="L6620" t="s">
        <v>270</v>
      </c>
      <c r="M6620" t="s">
        <v>824</v>
      </c>
      <c r="N6620" t="s">
        <v>30785</v>
      </c>
      <c r="O6620" t="s">
        <v>22943</v>
      </c>
      <c r="P6620" t="s">
        <v>22944</v>
      </c>
      <c r="Q6620" t="s">
        <v>30786</v>
      </c>
      <c r="R6620">
        <v>19</v>
      </c>
      <c r="S6620">
        <v>32</v>
      </c>
    </row>
    <row r="6621" spans="1:19" x14ac:dyDescent="0.35">
      <c r="A6621">
        <v>4693</v>
      </c>
      <c r="B6621" t="s">
        <v>22938</v>
      </c>
      <c r="C6621" t="s">
        <v>42</v>
      </c>
      <c r="D6621" t="s">
        <v>22939</v>
      </c>
      <c r="E6621" t="e" cm="1">
        <f t="array" ref="E6621">- POLYMYXIN B SULFATE. NEOMYCIN SULFATE. PHENYLEPHRINE HYDROCHLORIDE</f>
        <v>#NAME?</v>
      </c>
      <c r="F6621" t="s">
        <v>22940</v>
      </c>
      <c r="G6621" t="s">
        <v>7569</v>
      </c>
      <c r="H6621" t="s">
        <v>22941</v>
      </c>
      <c r="I6621" t="s">
        <v>22942</v>
      </c>
      <c r="J6621" t="s">
        <v>10248</v>
      </c>
      <c r="K6621" t="s">
        <v>8963</v>
      </c>
      <c r="L6621" t="s">
        <v>270</v>
      </c>
      <c r="M6621" t="s">
        <v>824</v>
      </c>
      <c r="N6621" t="s">
        <v>30785</v>
      </c>
      <c r="O6621" t="s">
        <v>22943</v>
      </c>
      <c r="P6621" t="s">
        <v>22944</v>
      </c>
      <c r="Q6621" t="s">
        <v>30786</v>
      </c>
      <c r="R6621">
        <v>19</v>
      </c>
      <c r="S6621">
        <v>32</v>
      </c>
    </row>
    <row r="6622" spans="1:19" x14ac:dyDescent="0.35">
      <c r="A6622">
        <v>9670</v>
      </c>
      <c r="B6622" t="s">
        <v>30787</v>
      </c>
      <c r="C6622" t="s">
        <v>42</v>
      </c>
      <c r="D6622" t="s">
        <v>30788</v>
      </c>
      <c r="E6622" t="e" cm="1">
        <f t="array" ref="E6622">- FENOFIBRATE</f>
        <v>#NAME?</v>
      </c>
      <c r="F6622" t="s">
        <v>30789</v>
      </c>
      <c r="G6622" t="s">
        <v>30790</v>
      </c>
      <c r="H6622" t="s">
        <v>30791</v>
      </c>
      <c r="I6622" t="s">
        <v>30792</v>
      </c>
      <c r="J6622" t="s">
        <v>30793</v>
      </c>
      <c r="K6622" t="s">
        <v>30794</v>
      </c>
      <c r="L6622" t="s">
        <v>30795</v>
      </c>
      <c r="M6622" t="s">
        <v>38</v>
      </c>
      <c r="N6622" t="s">
        <v>1137</v>
      </c>
      <c r="O6622" t="s">
        <v>30796</v>
      </c>
      <c r="P6622" t="s">
        <v>1137</v>
      </c>
      <c r="Q6622" t="s">
        <v>30797</v>
      </c>
      <c r="R6622">
        <v>19</v>
      </c>
      <c r="S6622">
        <v>32</v>
      </c>
    </row>
    <row r="6623" spans="1:19" x14ac:dyDescent="0.35">
      <c r="A6623">
        <v>9671</v>
      </c>
      <c r="B6623" t="s">
        <v>30787</v>
      </c>
      <c r="C6623" t="s">
        <v>42</v>
      </c>
      <c r="D6623" t="s">
        <v>30788</v>
      </c>
      <c r="E6623" t="e" cm="1">
        <f t="array" ref="E6623">- FENOFIBRATE</f>
        <v>#NAME?</v>
      </c>
      <c r="F6623" t="s">
        <v>30789</v>
      </c>
      <c r="G6623" t="s">
        <v>30790</v>
      </c>
      <c r="H6623" t="s">
        <v>30791</v>
      </c>
      <c r="I6623" t="s">
        <v>30792</v>
      </c>
      <c r="J6623" t="s">
        <v>30793</v>
      </c>
      <c r="K6623" t="s">
        <v>30794</v>
      </c>
      <c r="L6623" t="s">
        <v>30795</v>
      </c>
      <c r="M6623" t="s">
        <v>38</v>
      </c>
      <c r="N6623" t="s">
        <v>1137</v>
      </c>
      <c r="O6623" t="s">
        <v>30796</v>
      </c>
      <c r="P6623" t="s">
        <v>1137</v>
      </c>
      <c r="Q6623" t="s">
        <v>30797</v>
      </c>
      <c r="R6623">
        <v>19</v>
      </c>
      <c r="S6623">
        <v>32</v>
      </c>
    </row>
    <row r="6624" spans="1:19" x14ac:dyDescent="0.35">
      <c r="A6624">
        <v>9687</v>
      </c>
      <c r="B6624" t="s">
        <v>30798</v>
      </c>
      <c r="C6624" t="s">
        <v>42</v>
      </c>
      <c r="D6624" t="s">
        <v>30799</v>
      </c>
      <c r="E6624" t="e" cm="1">
        <f t="array" ref="E6624">- FENOFIBRATE</f>
        <v>#NAME?</v>
      </c>
      <c r="F6624" t="s">
        <v>30800</v>
      </c>
      <c r="G6624" t="s">
        <v>30790</v>
      </c>
      <c r="H6624" t="s">
        <v>30791</v>
      </c>
      <c r="I6624" t="s">
        <v>30792</v>
      </c>
      <c r="J6624" t="s">
        <v>21354</v>
      </c>
      <c r="K6624" t="s">
        <v>30794</v>
      </c>
      <c r="L6624" t="s">
        <v>30795</v>
      </c>
      <c r="M6624" t="s">
        <v>38</v>
      </c>
      <c r="N6624" t="s">
        <v>1137</v>
      </c>
      <c r="O6624" t="s">
        <v>30796</v>
      </c>
      <c r="P6624" t="s">
        <v>1137</v>
      </c>
      <c r="Q6624" t="s">
        <v>30797</v>
      </c>
      <c r="R6624">
        <v>19</v>
      </c>
      <c r="S6624">
        <v>32</v>
      </c>
    </row>
    <row r="6625" spans="1:19" x14ac:dyDescent="0.35">
      <c r="A6625">
        <v>9688</v>
      </c>
      <c r="B6625" t="s">
        <v>30798</v>
      </c>
      <c r="C6625" t="s">
        <v>42</v>
      </c>
      <c r="D6625" t="s">
        <v>30799</v>
      </c>
      <c r="E6625" t="e" cm="1">
        <f t="array" ref="E6625">- FENOFIBRATE</f>
        <v>#NAME?</v>
      </c>
      <c r="F6625" t="s">
        <v>30800</v>
      </c>
      <c r="G6625" t="s">
        <v>30790</v>
      </c>
      <c r="H6625" t="s">
        <v>30791</v>
      </c>
      <c r="I6625" t="s">
        <v>30792</v>
      </c>
      <c r="J6625" t="s">
        <v>21354</v>
      </c>
      <c r="K6625" t="s">
        <v>30794</v>
      </c>
      <c r="L6625" t="s">
        <v>30795</v>
      </c>
      <c r="M6625" t="s">
        <v>38</v>
      </c>
      <c r="N6625" t="s">
        <v>1137</v>
      </c>
      <c r="O6625" t="s">
        <v>30796</v>
      </c>
      <c r="P6625" t="s">
        <v>1137</v>
      </c>
      <c r="Q6625" t="s">
        <v>30797</v>
      </c>
      <c r="R6625">
        <v>19</v>
      </c>
      <c r="S6625">
        <v>32</v>
      </c>
    </row>
    <row r="6626" spans="1:19" x14ac:dyDescent="0.35">
      <c r="A6626">
        <v>7730</v>
      </c>
      <c r="B6626" t="s">
        <v>30801</v>
      </c>
      <c r="C6626" t="s">
        <v>42</v>
      </c>
      <c r="D6626" t="s">
        <v>30802</v>
      </c>
      <c r="E6626" t="e" cm="1">
        <f t="array" ref="E6626">- CYANOCOBALAMIN</f>
        <v>#NAME?</v>
      </c>
      <c r="F6626" s="1">
        <v>15800</v>
      </c>
      <c r="G6626" t="s">
        <v>4482</v>
      </c>
      <c r="H6626" t="s">
        <v>12365</v>
      </c>
      <c r="I6626" t="s">
        <v>30803</v>
      </c>
      <c r="J6626" t="s">
        <v>30804</v>
      </c>
      <c r="K6626" t="s">
        <v>13068</v>
      </c>
      <c r="L6626" t="s">
        <v>30805</v>
      </c>
      <c r="M6626" t="s">
        <v>46</v>
      </c>
      <c r="N6626" t="s">
        <v>677</v>
      </c>
      <c r="O6626" t="s">
        <v>30806</v>
      </c>
      <c r="P6626" t="s">
        <v>30807</v>
      </c>
      <c r="Q6626" t="s">
        <v>30808</v>
      </c>
      <c r="R6626">
        <v>19</v>
      </c>
      <c r="S6626">
        <v>32</v>
      </c>
    </row>
    <row r="6627" spans="1:19" x14ac:dyDescent="0.35">
      <c r="A6627">
        <v>9706</v>
      </c>
      <c r="B6627" t="s">
        <v>30809</v>
      </c>
      <c r="C6627" t="s">
        <v>42</v>
      </c>
      <c r="D6627" t="s">
        <v>30810</v>
      </c>
      <c r="E6627" t="e" cm="1">
        <f t="array" ref="E6627">- ROSUVASTATIN CALCIUM</f>
        <v>#NAME?</v>
      </c>
      <c r="F6627" t="s">
        <v>30811</v>
      </c>
      <c r="G6627" t="s">
        <v>3098</v>
      </c>
      <c r="H6627" t="s">
        <v>2643</v>
      </c>
      <c r="I6627" t="s">
        <v>30812</v>
      </c>
      <c r="J6627" t="s">
        <v>45</v>
      </c>
      <c r="K6627" t="s">
        <v>30813</v>
      </c>
      <c r="L6627" t="s">
        <v>30814</v>
      </c>
      <c r="M6627" t="s">
        <v>46</v>
      </c>
      <c r="N6627" t="s">
        <v>2308</v>
      </c>
      <c r="O6627" t="s">
        <v>30635</v>
      </c>
      <c r="P6627" t="s">
        <v>22481</v>
      </c>
      <c r="Q6627" t="s">
        <v>30815</v>
      </c>
      <c r="R6627">
        <v>19</v>
      </c>
      <c r="S6627">
        <v>32</v>
      </c>
    </row>
    <row r="6628" spans="1:19" x14ac:dyDescent="0.35">
      <c r="A6628">
        <v>3229</v>
      </c>
      <c r="B6628" t="s">
        <v>30816</v>
      </c>
      <c r="C6628" t="s">
        <v>42</v>
      </c>
      <c r="D6628" t="s">
        <v>30817</v>
      </c>
      <c r="E6628" t="e" cm="1">
        <f t="array" ref="E6628">- DRIED ALUMINIUM HYDROXIDE GEL. MAGNESIUM HYDROXIDE. SIMETHICONE</f>
        <v>#NAME?</v>
      </c>
      <c r="F6628" t="s">
        <v>30818</v>
      </c>
      <c r="G6628" t="s">
        <v>30819</v>
      </c>
      <c r="H6628" t="s">
        <v>30820</v>
      </c>
    </row>
    <row r="6629" spans="1:19" x14ac:dyDescent="0.35">
      <c r="A6629">
        <v>1075</v>
      </c>
      <c r="B6629" t="s">
        <v>25730</v>
      </c>
      <c r="C6629" t="s">
        <v>42</v>
      </c>
      <c r="D6629" t="s">
        <v>25731</v>
      </c>
      <c r="E6629" t="e" cm="1">
        <f t="array" ref="E6629">- PARACETAMOL. PSEUDOEPHEDRINE HYDROCHLORIDE. CHLORPHENAMINE MALEATE</f>
        <v>#NAME?</v>
      </c>
      <c r="F6629" t="s">
        <v>25732</v>
      </c>
      <c r="G6629" t="s">
        <v>60</v>
      </c>
      <c r="H6629" t="s">
        <v>25733</v>
      </c>
      <c r="I6629" t="s">
        <v>25734</v>
      </c>
      <c r="J6629" t="s">
        <v>334</v>
      </c>
      <c r="K6629" t="s">
        <v>24548</v>
      </c>
    </row>
    <row r="6630" spans="1:19" x14ac:dyDescent="0.35">
      <c r="A6630">
        <v>9744</v>
      </c>
      <c r="B6630" t="s">
        <v>30821</v>
      </c>
      <c r="C6630" t="s">
        <v>42</v>
      </c>
      <c r="D6630" t="s">
        <v>30822</v>
      </c>
      <c r="E6630" t="e" cm="1">
        <f t="array" ref="E6630">- FENOFIBRATE</f>
        <v>#NAME?</v>
      </c>
      <c r="F6630" t="s">
        <v>30823</v>
      </c>
      <c r="G6630" t="s">
        <v>30790</v>
      </c>
      <c r="H6630" t="s">
        <v>30791</v>
      </c>
      <c r="I6630" t="s">
        <v>30792</v>
      </c>
      <c r="J6630" t="s">
        <v>30824</v>
      </c>
      <c r="K6630" t="s">
        <v>30794</v>
      </c>
      <c r="L6630" t="s">
        <v>30795</v>
      </c>
      <c r="M6630" t="s">
        <v>38</v>
      </c>
      <c r="N6630" t="s">
        <v>1137</v>
      </c>
      <c r="O6630" t="s">
        <v>30796</v>
      </c>
      <c r="P6630" t="s">
        <v>1137</v>
      </c>
      <c r="Q6630" t="s">
        <v>30797</v>
      </c>
      <c r="R6630">
        <v>19</v>
      </c>
      <c r="S6630">
        <v>32</v>
      </c>
    </row>
    <row r="6631" spans="1:19" x14ac:dyDescent="0.35">
      <c r="A6631">
        <v>7699</v>
      </c>
      <c r="B6631" t="s">
        <v>30825</v>
      </c>
      <c r="C6631" t="s">
        <v>20</v>
      </c>
      <c r="D6631" t="s">
        <v>30826</v>
      </c>
      <c r="E6631" t="s">
        <v>30827</v>
      </c>
      <c r="F6631" t="s">
        <v>30828</v>
      </c>
      <c r="H6631" t="s">
        <v>30829</v>
      </c>
      <c r="I6631" t="s">
        <v>30830</v>
      </c>
      <c r="J6631" t="s">
        <v>30831</v>
      </c>
      <c r="M6631" t="s">
        <v>38</v>
      </c>
      <c r="N6631" t="s">
        <v>30832</v>
      </c>
      <c r="O6631" t="s">
        <v>30833</v>
      </c>
      <c r="P6631" t="s">
        <v>30832</v>
      </c>
      <c r="Q6631" t="s">
        <v>30834</v>
      </c>
      <c r="R6631">
        <v>19</v>
      </c>
      <c r="S6631">
        <v>32</v>
      </c>
    </row>
    <row r="6632" spans="1:19" x14ac:dyDescent="0.35">
      <c r="A6632">
        <v>9809</v>
      </c>
      <c r="B6632" t="s">
        <v>30775</v>
      </c>
      <c r="C6632" t="s">
        <v>42</v>
      </c>
      <c r="D6632" t="s">
        <v>30776</v>
      </c>
      <c r="E6632" t="e" cm="1">
        <f t="array" ref="E6632">- ROSUVASTATIN CALCIUM</f>
        <v>#NAME?</v>
      </c>
      <c r="F6632" t="s">
        <v>30777</v>
      </c>
      <c r="G6632" t="s">
        <v>3098</v>
      </c>
      <c r="H6632" t="s">
        <v>30631</v>
      </c>
      <c r="I6632" t="s">
        <v>30632</v>
      </c>
      <c r="J6632" t="s">
        <v>2478</v>
      </c>
      <c r="K6632" t="s">
        <v>30633</v>
      </c>
      <c r="L6632" t="s">
        <v>30634</v>
      </c>
      <c r="M6632" t="s">
        <v>46</v>
      </c>
      <c r="N6632" t="s">
        <v>2308</v>
      </c>
      <c r="O6632" t="s">
        <v>30635</v>
      </c>
      <c r="P6632" t="s">
        <v>30636</v>
      </c>
      <c r="Q6632" t="s">
        <v>30637</v>
      </c>
      <c r="R6632">
        <v>19</v>
      </c>
      <c r="S6632">
        <v>32</v>
      </c>
    </row>
    <row r="6633" spans="1:19" x14ac:dyDescent="0.35">
      <c r="A6633">
        <v>2116</v>
      </c>
      <c r="B6633" t="s">
        <v>14770</v>
      </c>
      <c r="C6633" t="s">
        <v>42</v>
      </c>
      <c r="D6633" t="s">
        <v>30835</v>
      </c>
      <c r="E6633" t="e" cm="1">
        <f t="array" ref="E6633">- CELECOXIB</f>
        <v>#NAME?</v>
      </c>
      <c r="F6633" t="s">
        <v>30836</v>
      </c>
      <c r="G6633" t="s">
        <v>4545</v>
      </c>
      <c r="H6633" t="s">
        <v>30837</v>
      </c>
      <c r="I6633" t="s">
        <v>30838</v>
      </c>
      <c r="J6633" t="s">
        <v>14775</v>
      </c>
      <c r="K6633" t="s">
        <v>14776</v>
      </c>
      <c r="L6633" t="s">
        <v>17880</v>
      </c>
      <c r="M6633" t="s">
        <v>38</v>
      </c>
      <c r="N6633" t="s">
        <v>14778</v>
      </c>
      <c r="O6633" t="s">
        <v>30839</v>
      </c>
      <c r="P6633" t="s">
        <v>14778</v>
      </c>
      <c r="Q6633" t="s">
        <v>30840</v>
      </c>
      <c r="R6633">
        <v>19</v>
      </c>
      <c r="S6633">
        <v>32</v>
      </c>
    </row>
    <row r="6634" spans="1:19" x14ac:dyDescent="0.35">
      <c r="A6634">
        <v>7665</v>
      </c>
      <c r="B6634" t="s">
        <v>29500</v>
      </c>
      <c r="C6634" t="s">
        <v>20</v>
      </c>
      <c r="D6634" t="s">
        <v>30841</v>
      </c>
      <c r="E6634" t="s">
        <v>29502</v>
      </c>
      <c r="F6634" t="s">
        <v>16133</v>
      </c>
      <c r="G6634" t="s">
        <v>60</v>
      </c>
      <c r="H6634" t="s">
        <v>29447</v>
      </c>
      <c r="I6634" t="s">
        <v>29448</v>
      </c>
      <c r="J6634" t="s">
        <v>12071</v>
      </c>
      <c r="M6634" t="s">
        <v>554</v>
      </c>
      <c r="N6634" t="s">
        <v>29506</v>
      </c>
      <c r="O6634" t="s">
        <v>29450</v>
      </c>
      <c r="P6634" t="s">
        <v>29508</v>
      </c>
      <c r="Q6634" t="s">
        <v>30842</v>
      </c>
      <c r="R6634">
        <v>19</v>
      </c>
      <c r="S6634">
        <v>32</v>
      </c>
    </row>
    <row r="6635" spans="1:19" x14ac:dyDescent="0.35">
      <c r="A6635">
        <v>1072</v>
      </c>
      <c r="B6635" t="s">
        <v>25300</v>
      </c>
      <c r="C6635" t="s">
        <v>42</v>
      </c>
      <c r="D6635" t="s">
        <v>25301</v>
      </c>
      <c r="E6635" t="e" cm="1">
        <f t="array" ref="E6635">- PSEUDOEPHEDRINE HYDROCHLORIDE. PARACETAMOL. GUAIFENESIN. CHLORPHENAMINE MALEATE</f>
        <v>#NAME?</v>
      </c>
      <c r="F6635" t="s">
        <v>25302</v>
      </c>
      <c r="G6635" t="s">
        <v>2241</v>
      </c>
      <c r="H6635" t="s">
        <v>25303</v>
      </c>
      <c r="I6635" t="s">
        <v>25304</v>
      </c>
      <c r="J6635" t="s">
        <v>4657</v>
      </c>
      <c r="K6635" t="s">
        <v>25305</v>
      </c>
      <c r="L6635" t="s">
        <v>25306</v>
      </c>
      <c r="M6635" t="s">
        <v>291</v>
      </c>
      <c r="N6635" t="s">
        <v>30843</v>
      </c>
      <c r="O6635" t="s">
        <v>25307</v>
      </c>
      <c r="P6635" t="s">
        <v>14835</v>
      </c>
      <c r="Q6635" t="s">
        <v>30844</v>
      </c>
      <c r="R6635">
        <v>19</v>
      </c>
      <c r="S6635">
        <v>32</v>
      </c>
    </row>
    <row r="6636" spans="1:19" x14ac:dyDescent="0.35">
      <c r="A6636">
        <v>2078</v>
      </c>
      <c r="B6636" t="s">
        <v>30845</v>
      </c>
      <c r="C6636" t="s">
        <v>42</v>
      </c>
      <c r="D6636" t="s">
        <v>30846</v>
      </c>
      <c r="E6636" t="e" cm="1">
        <f t="array" ref="E6636">- HYOSCINE BUTYLBROMIDE</f>
        <v>#NAME?</v>
      </c>
      <c r="F6636" t="s">
        <v>30847</v>
      </c>
      <c r="G6636" t="s">
        <v>5839</v>
      </c>
      <c r="H6636" t="s">
        <v>30848</v>
      </c>
      <c r="I6636" t="s">
        <v>30849</v>
      </c>
      <c r="J6636" t="s">
        <v>30850</v>
      </c>
      <c r="K6636" t="s">
        <v>30851</v>
      </c>
      <c r="L6636" t="s">
        <v>30852</v>
      </c>
      <c r="M6636" t="s">
        <v>46</v>
      </c>
      <c r="N6636" t="s">
        <v>23642</v>
      </c>
      <c r="O6636" t="s">
        <v>30853</v>
      </c>
      <c r="P6636" t="s">
        <v>30854</v>
      </c>
      <c r="Q6636" t="s">
        <v>30855</v>
      </c>
      <c r="R6636">
        <v>19</v>
      </c>
      <c r="S6636">
        <v>32</v>
      </c>
    </row>
    <row r="6637" spans="1:19" x14ac:dyDescent="0.35">
      <c r="A6637">
        <v>4853</v>
      </c>
      <c r="B6637" t="s">
        <v>30856</v>
      </c>
      <c r="C6637" t="s">
        <v>42</v>
      </c>
      <c r="D6637" t="s">
        <v>30857</v>
      </c>
      <c r="E6637" t="e" cm="1">
        <f t="array" ref="E6637">- GATIFLOXACIN</f>
        <v>#NAME?</v>
      </c>
      <c r="F6637" t="s">
        <v>30858</v>
      </c>
      <c r="G6637" t="s">
        <v>8658</v>
      </c>
      <c r="H6637" t="s">
        <v>30859</v>
      </c>
      <c r="I6637" t="s">
        <v>30860</v>
      </c>
      <c r="J6637" t="s">
        <v>30861</v>
      </c>
      <c r="L6637" t="s">
        <v>270</v>
      </c>
      <c r="M6637" t="s">
        <v>824</v>
      </c>
      <c r="N6637" t="s">
        <v>12470</v>
      </c>
      <c r="O6637" t="s">
        <v>30862</v>
      </c>
      <c r="P6637" t="s">
        <v>30863</v>
      </c>
      <c r="Q6637" t="s">
        <v>30864</v>
      </c>
      <c r="R6637">
        <v>19</v>
      </c>
      <c r="S6637">
        <v>32</v>
      </c>
    </row>
    <row r="6638" spans="1:19" x14ac:dyDescent="0.35">
      <c r="A6638">
        <v>7650</v>
      </c>
      <c r="B6638" t="s">
        <v>30865</v>
      </c>
      <c r="C6638" t="s">
        <v>20</v>
      </c>
      <c r="D6638" t="s">
        <v>30866</v>
      </c>
      <c r="E6638" t="s">
        <v>30867</v>
      </c>
      <c r="F6638" t="s">
        <v>30868</v>
      </c>
      <c r="G6638" t="s">
        <v>25184</v>
      </c>
      <c r="H6638" t="s">
        <v>25185</v>
      </c>
      <c r="I6638" t="s">
        <v>25186</v>
      </c>
      <c r="J6638" t="s">
        <v>13487</v>
      </c>
      <c r="L6638" t="s">
        <v>30869</v>
      </c>
      <c r="M6638" t="s">
        <v>63</v>
      </c>
      <c r="N6638" t="s">
        <v>30870</v>
      </c>
      <c r="O6638" t="s">
        <v>25190</v>
      </c>
      <c r="P6638" t="s">
        <v>30871</v>
      </c>
      <c r="Q6638" t="s">
        <v>30872</v>
      </c>
      <c r="R6638">
        <v>19</v>
      </c>
      <c r="S6638">
        <v>32</v>
      </c>
    </row>
    <row r="6639" spans="1:19" x14ac:dyDescent="0.35">
      <c r="A6639">
        <v>7649</v>
      </c>
      <c r="B6639" t="s">
        <v>30873</v>
      </c>
      <c r="C6639" t="s">
        <v>20</v>
      </c>
      <c r="D6639" t="s">
        <v>30874</v>
      </c>
      <c r="E6639" t="s">
        <v>30875</v>
      </c>
      <c r="F6639" t="s">
        <v>30876</v>
      </c>
      <c r="G6639" t="s">
        <v>2241</v>
      </c>
      <c r="H6639" t="s">
        <v>30877</v>
      </c>
      <c r="I6639" t="s">
        <v>25186</v>
      </c>
      <c r="J6639" t="s">
        <v>30878</v>
      </c>
      <c r="L6639" t="s">
        <v>25188</v>
      </c>
      <c r="M6639" t="s">
        <v>46</v>
      </c>
      <c r="N6639" t="s">
        <v>30879</v>
      </c>
      <c r="O6639" t="s">
        <v>25190</v>
      </c>
      <c r="P6639" t="s">
        <v>30880</v>
      </c>
      <c r="Q6639" t="s">
        <v>30881</v>
      </c>
      <c r="R6639">
        <v>19</v>
      </c>
      <c r="S6639">
        <v>32</v>
      </c>
    </row>
    <row r="6640" spans="1:19" x14ac:dyDescent="0.35">
      <c r="A6640">
        <v>4854</v>
      </c>
      <c r="B6640" t="s">
        <v>30882</v>
      </c>
      <c r="C6640" t="s">
        <v>42</v>
      </c>
      <c r="D6640" t="s">
        <v>30883</v>
      </c>
      <c r="E6640" t="e" cm="1">
        <f t="array" ref="E6640">- GENTAMICIN SULFATE</f>
        <v>#NAME?</v>
      </c>
      <c r="F6640" t="s">
        <v>30884</v>
      </c>
      <c r="G6640" t="s">
        <v>11482</v>
      </c>
      <c r="H6640" t="s">
        <v>30885</v>
      </c>
      <c r="I6640" t="s">
        <v>30886</v>
      </c>
      <c r="J6640" t="s">
        <v>9310</v>
      </c>
      <c r="K6640" t="s">
        <v>3952</v>
      </c>
      <c r="L6640" t="s">
        <v>30887</v>
      </c>
      <c r="M6640" t="s">
        <v>824</v>
      </c>
      <c r="N6640" t="s">
        <v>6119</v>
      </c>
      <c r="O6640" t="s">
        <v>30888</v>
      </c>
      <c r="P6640" t="s">
        <v>30889</v>
      </c>
      <c r="Q6640" t="s">
        <v>30890</v>
      </c>
      <c r="R6640">
        <v>19</v>
      </c>
      <c r="S6640">
        <v>32</v>
      </c>
    </row>
    <row r="6641" spans="1:19" x14ac:dyDescent="0.35">
      <c r="A6641">
        <v>4855</v>
      </c>
      <c r="B6641" t="s">
        <v>30882</v>
      </c>
      <c r="C6641" t="s">
        <v>42</v>
      </c>
      <c r="D6641" t="s">
        <v>30883</v>
      </c>
      <c r="E6641" t="e" cm="1">
        <f t="array" ref="E6641">- GENTAMICIN SULFATE</f>
        <v>#NAME?</v>
      </c>
      <c r="F6641" t="s">
        <v>30884</v>
      </c>
      <c r="G6641" t="s">
        <v>11482</v>
      </c>
      <c r="H6641" t="s">
        <v>30885</v>
      </c>
      <c r="I6641" t="s">
        <v>30886</v>
      </c>
      <c r="J6641" t="s">
        <v>9310</v>
      </c>
      <c r="K6641" t="s">
        <v>3952</v>
      </c>
      <c r="L6641" t="s">
        <v>30887</v>
      </c>
      <c r="M6641" t="s">
        <v>824</v>
      </c>
      <c r="N6641" t="s">
        <v>6119</v>
      </c>
      <c r="O6641" t="s">
        <v>30888</v>
      </c>
      <c r="P6641" t="s">
        <v>30889</v>
      </c>
      <c r="Q6641" t="s">
        <v>30890</v>
      </c>
      <c r="R6641">
        <v>19</v>
      </c>
      <c r="S6641">
        <v>32</v>
      </c>
    </row>
    <row r="6642" spans="1:19" x14ac:dyDescent="0.35">
      <c r="A6642">
        <v>4865</v>
      </c>
      <c r="B6642" t="s">
        <v>30891</v>
      </c>
      <c r="C6642" t="s">
        <v>42</v>
      </c>
      <c r="D6642" t="s">
        <v>30892</v>
      </c>
      <c r="E6642" t="e" cm="1">
        <f t="array" ref="E6642">- TIMOLOL MALEATE. LATANOPROST</f>
        <v>#NAME?</v>
      </c>
      <c r="F6642" t="s">
        <v>30893</v>
      </c>
      <c r="G6642" t="s">
        <v>30894</v>
      </c>
      <c r="H6642" t="s">
        <v>30895</v>
      </c>
      <c r="I6642" t="s">
        <v>30896</v>
      </c>
      <c r="J6642" t="s">
        <v>30897</v>
      </c>
      <c r="K6642" t="s">
        <v>30898</v>
      </c>
      <c r="M6642" t="s">
        <v>824</v>
      </c>
      <c r="N6642" t="s">
        <v>30899</v>
      </c>
      <c r="O6642" t="s">
        <v>30900</v>
      </c>
      <c r="P6642" t="s">
        <v>30901</v>
      </c>
      <c r="Q6642" t="s">
        <v>30902</v>
      </c>
      <c r="R6642">
        <v>19</v>
      </c>
      <c r="S6642">
        <v>32</v>
      </c>
    </row>
    <row r="6643" spans="1:19" x14ac:dyDescent="0.35">
      <c r="A6643">
        <v>4876</v>
      </c>
      <c r="B6643" t="s">
        <v>30903</v>
      </c>
      <c r="C6643" t="s">
        <v>42</v>
      </c>
      <c r="D6643" t="s">
        <v>30904</v>
      </c>
      <c r="E6643" t="e" cm="1">
        <f t="array" ref="E6643">- BETAXOLOL HYDROCHLORIDE</f>
        <v>#NAME?</v>
      </c>
      <c r="F6643" t="s">
        <v>30905</v>
      </c>
      <c r="G6643" t="s">
        <v>11067</v>
      </c>
      <c r="H6643" t="s">
        <v>18993</v>
      </c>
      <c r="I6643" t="s">
        <v>30906</v>
      </c>
      <c r="J6643" t="s">
        <v>9310</v>
      </c>
      <c r="K6643" t="s">
        <v>30907</v>
      </c>
      <c r="L6643" t="s">
        <v>30908</v>
      </c>
      <c r="M6643" t="s">
        <v>824</v>
      </c>
      <c r="N6643" t="s">
        <v>3848</v>
      </c>
      <c r="O6643" t="s">
        <v>30909</v>
      </c>
      <c r="P6643" t="s">
        <v>30910</v>
      </c>
      <c r="Q6643" t="s">
        <v>30911</v>
      </c>
      <c r="R6643">
        <v>19</v>
      </c>
      <c r="S6643">
        <v>32</v>
      </c>
    </row>
    <row r="6644" spans="1:19" x14ac:dyDescent="0.35">
      <c r="A6644">
        <v>9800</v>
      </c>
      <c r="B6644" t="s">
        <v>30912</v>
      </c>
      <c r="C6644" t="s">
        <v>42</v>
      </c>
      <c r="D6644" t="s">
        <v>30913</v>
      </c>
      <c r="E6644" t="e" cm="1">
        <f t="array" ref="E6644">- ROSUVASTATIN CALCIUM</f>
        <v>#NAME?</v>
      </c>
      <c r="F6644" t="s">
        <v>30914</v>
      </c>
      <c r="G6644" t="s">
        <v>3098</v>
      </c>
      <c r="H6644" t="s">
        <v>2643</v>
      </c>
      <c r="I6644" t="s">
        <v>30812</v>
      </c>
      <c r="J6644" t="s">
        <v>2307</v>
      </c>
      <c r="K6644" t="s">
        <v>30813</v>
      </c>
      <c r="L6644" t="s">
        <v>30915</v>
      </c>
      <c r="M6644" t="s">
        <v>46</v>
      </c>
      <c r="N6644" t="s">
        <v>2308</v>
      </c>
      <c r="O6644" t="s">
        <v>30635</v>
      </c>
      <c r="P6644" t="s">
        <v>2309</v>
      </c>
      <c r="Q6644" t="s">
        <v>30916</v>
      </c>
      <c r="R6644">
        <v>19</v>
      </c>
      <c r="S6644">
        <v>32</v>
      </c>
    </row>
    <row r="6645" spans="1:19" x14ac:dyDescent="0.35">
      <c r="A6645">
        <v>1058</v>
      </c>
      <c r="B6645" t="s">
        <v>25147</v>
      </c>
      <c r="C6645" t="s">
        <v>42</v>
      </c>
      <c r="D6645" t="s">
        <v>25148</v>
      </c>
      <c r="E6645" t="e" cm="1">
        <f t="array" ref="E6645">- BROMHEXINE HYDROCHLORIDE. GUAIFENESIN. PHENYLEPHRINE HYDROCHLORIDE. PARACETAMOL</f>
        <v>#NAME?</v>
      </c>
      <c r="F6645" t="s">
        <v>25149</v>
      </c>
      <c r="G6645" t="s">
        <v>1691</v>
      </c>
      <c r="H6645" t="s">
        <v>25150</v>
      </c>
      <c r="I6645" t="s">
        <v>25151</v>
      </c>
      <c r="J6645" t="s">
        <v>10124</v>
      </c>
      <c r="K6645" t="s">
        <v>24475</v>
      </c>
      <c r="L6645" t="s">
        <v>25152</v>
      </c>
      <c r="M6645" t="s">
        <v>271</v>
      </c>
      <c r="N6645" t="s">
        <v>30917</v>
      </c>
      <c r="O6645" t="s">
        <v>25153</v>
      </c>
      <c r="P6645" t="s">
        <v>25154</v>
      </c>
      <c r="Q6645" t="s">
        <v>30918</v>
      </c>
      <c r="R6645">
        <v>19</v>
      </c>
      <c r="S6645">
        <v>32</v>
      </c>
    </row>
    <row r="6646" spans="1:19" x14ac:dyDescent="0.35">
      <c r="A6646">
        <v>8563</v>
      </c>
      <c r="B6646" t="s">
        <v>30919</v>
      </c>
      <c r="C6646" t="s">
        <v>42</v>
      </c>
      <c r="D6646" t="s">
        <v>30920</v>
      </c>
      <c r="E6646" t="e" cm="1">
        <f t="array" ref="E6646">- GLIBENCLAMIDE</f>
        <v>#NAME?</v>
      </c>
      <c r="F6646" t="s">
        <v>30921</v>
      </c>
      <c r="G6646" t="s">
        <v>30922</v>
      </c>
      <c r="H6646" t="s">
        <v>30923</v>
      </c>
      <c r="I6646" t="s">
        <v>30924</v>
      </c>
      <c r="J6646" t="s">
        <v>381</v>
      </c>
      <c r="K6646" t="s">
        <v>30925</v>
      </c>
    </row>
    <row r="6647" spans="1:19" x14ac:dyDescent="0.35">
      <c r="A6647">
        <v>7666</v>
      </c>
      <c r="B6647" t="s">
        <v>29500</v>
      </c>
      <c r="C6647" t="s">
        <v>20</v>
      </c>
      <c r="D6647" t="s">
        <v>30841</v>
      </c>
      <c r="E6647" t="s">
        <v>29502</v>
      </c>
      <c r="F6647" t="s">
        <v>16133</v>
      </c>
      <c r="G6647" t="s">
        <v>60</v>
      </c>
      <c r="H6647" t="s">
        <v>29447</v>
      </c>
      <c r="I6647" t="s">
        <v>29448</v>
      </c>
      <c r="J6647" t="s">
        <v>12071</v>
      </c>
      <c r="M6647" t="s">
        <v>554</v>
      </c>
      <c r="N6647" t="s">
        <v>29506</v>
      </c>
      <c r="O6647" t="s">
        <v>29450</v>
      </c>
      <c r="P6647" t="s">
        <v>29508</v>
      </c>
      <c r="Q6647" t="s">
        <v>30842</v>
      </c>
      <c r="R6647">
        <v>19</v>
      </c>
      <c r="S6647">
        <v>32</v>
      </c>
    </row>
    <row r="6648" spans="1:19" x14ac:dyDescent="0.35">
      <c r="A6648">
        <v>9801</v>
      </c>
      <c r="B6648" t="s">
        <v>30912</v>
      </c>
      <c r="C6648" t="s">
        <v>42</v>
      </c>
      <c r="D6648" t="s">
        <v>30913</v>
      </c>
      <c r="E6648" t="e" cm="1">
        <f t="array" ref="E6648">- ROSUVASTATIN CALCIUM</f>
        <v>#NAME?</v>
      </c>
      <c r="F6648" t="s">
        <v>30914</v>
      </c>
      <c r="G6648" t="s">
        <v>3098</v>
      </c>
      <c r="H6648" t="s">
        <v>2643</v>
      </c>
      <c r="I6648" t="s">
        <v>30812</v>
      </c>
      <c r="J6648" t="s">
        <v>2307</v>
      </c>
      <c r="K6648" t="s">
        <v>30813</v>
      </c>
      <c r="L6648" t="s">
        <v>30915</v>
      </c>
      <c r="M6648" t="s">
        <v>46</v>
      </c>
      <c r="N6648" t="s">
        <v>2308</v>
      </c>
      <c r="O6648" t="s">
        <v>30635</v>
      </c>
      <c r="P6648" t="s">
        <v>2309</v>
      </c>
      <c r="Q6648" t="s">
        <v>30916</v>
      </c>
      <c r="R6648">
        <v>19</v>
      </c>
      <c r="S6648">
        <v>32</v>
      </c>
    </row>
    <row r="6649" spans="1:19" x14ac:dyDescent="0.35">
      <c r="A6649">
        <v>8621</v>
      </c>
      <c r="B6649" t="s">
        <v>30926</v>
      </c>
      <c r="C6649" t="s">
        <v>42</v>
      </c>
      <c r="D6649" t="s">
        <v>30927</v>
      </c>
      <c r="E6649" t="e" cm="1">
        <f t="array" ref="E6649">- PIOGLITAZONE HYDROCHLORIDE</f>
        <v>#NAME?</v>
      </c>
      <c r="F6649" t="s">
        <v>30928</v>
      </c>
      <c r="G6649" t="s">
        <v>6869</v>
      </c>
      <c r="H6649" t="s">
        <v>30929</v>
      </c>
      <c r="I6649" t="s">
        <v>29045</v>
      </c>
      <c r="J6649" t="s">
        <v>1136</v>
      </c>
      <c r="K6649" t="s">
        <v>29046</v>
      </c>
      <c r="L6649" t="s">
        <v>29047</v>
      </c>
      <c r="M6649" t="s">
        <v>46</v>
      </c>
      <c r="N6649" t="s">
        <v>2389</v>
      </c>
      <c r="O6649" t="s">
        <v>29048</v>
      </c>
      <c r="P6649" t="s">
        <v>30930</v>
      </c>
      <c r="Q6649" t="s">
        <v>30931</v>
      </c>
      <c r="R6649">
        <v>19</v>
      </c>
      <c r="S6649">
        <v>32</v>
      </c>
    </row>
    <row r="6650" spans="1:19" x14ac:dyDescent="0.35">
      <c r="A6650">
        <v>4673</v>
      </c>
      <c r="B6650" t="s">
        <v>30932</v>
      </c>
      <c r="C6650" t="s">
        <v>42</v>
      </c>
      <c r="D6650" t="s">
        <v>30933</v>
      </c>
      <c r="E6650" t="e" cm="1">
        <f t="array" ref="E6650">- HYDROXYETHYLCELLULOSE</f>
        <v>#NAME?</v>
      </c>
      <c r="F6650" t="s">
        <v>30934</v>
      </c>
      <c r="H6650" t="s">
        <v>30935</v>
      </c>
      <c r="I6650" t="s">
        <v>30936</v>
      </c>
      <c r="J6650" t="s">
        <v>11321</v>
      </c>
      <c r="K6650" t="s">
        <v>30937</v>
      </c>
      <c r="L6650" t="s">
        <v>18996</v>
      </c>
      <c r="M6650" t="s">
        <v>824</v>
      </c>
      <c r="N6650" t="s">
        <v>30938</v>
      </c>
      <c r="O6650" t="s">
        <v>30939</v>
      </c>
      <c r="P6650" t="s">
        <v>30940</v>
      </c>
      <c r="Q6650" t="s">
        <v>30941</v>
      </c>
      <c r="R6650">
        <v>19</v>
      </c>
      <c r="S6650">
        <v>32</v>
      </c>
    </row>
    <row r="6651" spans="1:19" x14ac:dyDescent="0.35">
      <c r="A6651">
        <v>210</v>
      </c>
      <c r="B6651" t="s">
        <v>2902</v>
      </c>
      <c r="C6651" t="s">
        <v>42</v>
      </c>
      <c r="D6651" t="s">
        <v>30942</v>
      </c>
      <c r="E6651" t="e" cm="1">
        <f t="array" ref="E6651">- SILDENAFIL CITRATE</f>
        <v>#NAME?</v>
      </c>
      <c r="F6651" t="s">
        <v>30943</v>
      </c>
      <c r="G6651" t="s">
        <v>11845</v>
      </c>
      <c r="H6651" t="s">
        <v>1322</v>
      </c>
      <c r="I6651" t="s">
        <v>30944</v>
      </c>
      <c r="J6651" t="s">
        <v>30945</v>
      </c>
      <c r="M6651" t="s">
        <v>46</v>
      </c>
      <c r="N6651" t="s">
        <v>2519</v>
      </c>
      <c r="O6651" t="s">
        <v>30946</v>
      </c>
      <c r="P6651" t="s">
        <v>12013</v>
      </c>
      <c r="Q6651" t="s">
        <v>30947</v>
      </c>
      <c r="R6651">
        <v>19</v>
      </c>
      <c r="S6651">
        <v>32</v>
      </c>
    </row>
    <row r="6652" spans="1:19" x14ac:dyDescent="0.35">
      <c r="A6652">
        <v>7166</v>
      </c>
      <c r="B6652" t="s">
        <v>30948</v>
      </c>
      <c r="C6652" t="s">
        <v>850</v>
      </c>
      <c r="D6652" t="s">
        <v>30949</v>
      </c>
      <c r="E6652" t="e" cm="1">
        <f t="array" ref="E6652">- Menthol</f>
        <v>#NAME?</v>
      </c>
      <c r="F6652" t="s">
        <v>30950</v>
      </c>
      <c r="G6652" t="s">
        <v>11887</v>
      </c>
      <c r="I6652" t="s">
        <v>30951</v>
      </c>
      <c r="J6652" t="s">
        <v>13944</v>
      </c>
      <c r="L6652" t="s">
        <v>30952</v>
      </c>
      <c r="M6652" t="s">
        <v>87</v>
      </c>
      <c r="N6652" t="s">
        <v>2034</v>
      </c>
      <c r="O6652" t="s">
        <v>30953</v>
      </c>
      <c r="P6652" t="s">
        <v>30954</v>
      </c>
      <c r="Q6652" t="s">
        <v>30955</v>
      </c>
      <c r="R6652">
        <v>19</v>
      </c>
      <c r="S6652">
        <v>32</v>
      </c>
    </row>
    <row r="6653" spans="1:19" x14ac:dyDescent="0.35">
      <c r="A6653">
        <v>7160</v>
      </c>
      <c r="B6653" t="s">
        <v>30956</v>
      </c>
      <c r="C6653" t="s">
        <v>850</v>
      </c>
      <c r="D6653" t="s">
        <v>30957</v>
      </c>
      <c r="E6653" t="e" cm="1">
        <f t="array" ref="E6653">- eugenol</f>
        <v>#NAME?</v>
      </c>
      <c r="F6653" t="s">
        <v>30958</v>
      </c>
      <c r="G6653" t="s">
        <v>16824</v>
      </c>
      <c r="H6653" t="s">
        <v>1322</v>
      </c>
      <c r="I6653" t="s">
        <v>30959</v>
      </c>
      <c r="J6653" t="s">
        <v>2939</v>
      </c>
      <c r="M6653" t="s">
        <v>1289</v>
      </c>
      <c r="N6653" t="s">
        <v>19589</v>
      </c>
      <c r="O6653" t="s">
        <v>30960</v>
      </c>
      <c r="P6653" t="s">
        <v>30961</v>
      </c>
      <c r="Q6653" t="s">
        <v>30962</v>
      </c>
      <c r="R6653">
        <v>19</v>
      </c>
      <c r="S6653">
        <v>32</v>
      </c>
    </row>
    <row r="6654" spans="1:19" x14ac:dyDescent="0.35">
      <c r="A6654">
        <v>7159</v>
      </c>
      <c r="B6654" t="s">
        <v>30956</v>
      </c>
      <c r="C6654" t="s">
        <v>850</v>
      </c>
      <c r="D6654" t="s">
        <v>30963</v>
      </c>
      <c r="E6654" t="e" cm="1">
        <f t="array" ref="E6654">- eugenol</f>
        <v>#NAME?</v>
      </c>
      <c r="F6654" t="s">
        <v>30964</v>
      </c>
      <c r="G6654" t="s">
        <v>16824</v>
      </c>
      <c r="H6654" t="s">
        <v>1322</v>
      </c>
      <c r="I6654" t="s">
        <v>30959</v>
      </c>
      <c r="J6654" t="s">
        <v>13944</v>
      </c>
      <c r="M6654" t="s">
        <v>1289</v>
      </c>
      <c r="N6654" t="s">
        <v>19589</v>
      </c>
      <c r="O6654" t="s">
        <v>30960</v>
      </c>
      <c r="P6654" t="s">
        <v>30961</v>
      </c>
      <c r="Q6654" t="s">
        <v>30962</v>
      </c>
      <c r="R6654">
        <v>19</v>
      </c>
      <c r="S6654">
        <v>32</v>
      </c>
    </row>
    <row r="6655" spans="1:19" x14ac:dyDescent="0.35">
      <c r="A6655">
        <v>7144</v>
      </c>
      <c r="B6655" t="s">
        <v>30965</v>
      </c>
      <c r="C6655" t="s">
        <v>20</v>
      </c>
      <c r="D6655" t="s">
        <v>30966</v>
      </c>
      <c r="E6655" t="s">
        <v>30967</v>
      </c>
      <c r="F6655" t="s">
        <v>30968</v>
      </c>
      <c r="G6655" t="s">
        <v>30969</v>
      </c>
      <c r="H6655" t="s">
        <v>30970</v>
      </c>
      <c r="I6655" t="s">
        <v>30971</v>
      </c>
      <c r="J6655" t="s">
        <v>30972</v>
      </c>
      <c r="K6655" t="s">
        <v>2726</v>
      </c>
      <c r="M6655" t="s">
        <v>291</v>
      </c>
      <c r="N6655" t="s">
        <v>30973</v>
      </c>
      <c r="O6655" t="s">
        <v>30974</v>
      </c>
      <c r="P6655" t="s">
        <v>30975</v>
      </c>
      <c r="Q6655" t="s">
        <v>30976</v>
      </c>
      <c r="R6655">
        <v>19</v>
      </c>
      <c r="S6655">
        <v>32</v>
      </c>
    </row>
    <row r="6656" spans="1:19" x14ac:dyDescent="0.35">
      <c r="A6656">
        <v>5629</v>
      </c>
      <c r="B6656" t="s">
        <v>30977</v>
      </c>
      <c r="C6656" t="s">
        <v>42</v>
      </c>
      <c r="D6656" t="s">
        <v>30978</v>
      </c>
      <c r="E6656" t="e" cm="1">
        <f t="array" ref="E6656">- METRONIDAZOLE</f>
        <v>#NAME?</v>
      </c>
      <c r="F6656" t="s">
        <v>30979</v>
      </c>
      <c r="G6656" t="s">
        <v>2241</v>
      </c>
      <c r="H6656" t="s">
        <v>30980</v>
      </c>
      <c r="I6656" t="s">
        <v>30981</v>
      </c>
      <c r="J6656" t="s">
        <v>25332</v>
      </c>
      <c r="K6656" t="s">
        <v>30982</v>
      </c>
      <c r="L6656" t="s">
        <v>30983</v>
      </c>
    </row>
    <row r="6657" spans="1:19" x14ac:dyDescent="0.35">
      <c r="A6657">
        <v>5630</v>
      </c>
      <c r="B6657" t="s">
        <v>30977</v>
      </c>
      <c r="C6657" t="s">
        <v>42</v>
      </c>
      <c r="D6657" t="s">
        <v>30978</v>
      </c>
      <c r="E6657" t="e" cm="1">
        <f t="array" ref="E6657">- METRONIDAZOLE</f>
        <v>#NAME?</v>
      </c>
      <c r="F6657" t="s">
        <v>30979</v>
      </c>
      <c r="G6657" t="s">
        <v>2241</v>
      </c>
      <c r="H6657" t="s">
        <v>30980</v>
      </c>
      <c r="I6657" t="s">
        <v>30981</v>
      </c>
      <c r="J6657" t="s">
        <v>25332</v>
      </c>
      <c r="K6657" t="s">
        <v>30982</v>
      </c>
      <c r="L6657" t="s">
        <v>30983</v>
      </c>
    </row>
    <row r="6658" spans="1:19" x14ac:dyDescent="0.35">
      <c r="A6658">
        <v>7087</v>
      </c>
      <c r="B6658" t="s">
        <v>7954</v>
      </c>
      <c r="C6658" t="s">
        <v>850</v>
      </c>
      <c r="D6658" t="s">
        <v>30984</v>
      </c>
      <c r="E6658" t="e" cm="1">
        <f t="array" ref="E6658">- Menthol</f>
        <v>#NAME?</v>
      </c>
      <c r="F6658" t="s">
        <v>30985</v>
      </c>
      <c r="G6658" t="s">
        <v>7369</v>
      </c>
      <c r="H6658" t="s">
        <v>19714</v>
      </c>
      <c r="I6658" t="s">
        <v>30959</v>
      </c>
      <c r="J6658" t="s">
        <v>30986</v>
      </c>
      <c r="K6658" t="s">
        <v>18335</v>
      </c>
      <c r="L6658" t="s">
        <v>30987</v>
      </c>
      <c r="M6658" t="s">
        <v>87</v>
      </c>
      <c r="N6658" t="s">
        <v>2034</v>
      </c>
      <c r="O6658" t="s">
        <v>30960</v>
      </c>
      <c r="P6658" t="s">
        <v>16830</v>
      </c>
      <c r="Q6658" t="s">
        <v>30988</v>
      </c>
      <c r="R6658">
        <v>19</v>
      </c>
      <c r="S6658">
        <v>32</v>
      </c>
    </row>
    <row r="6659" spans="1:19" x14ac:dyDescent="0.35">
      <c r="A6659">
        <v>7086</v>
      </c>
      <c r="B6659" t="s">
        <v>7954</v>
      </c>
      <c r="C6659" t="s">
        <v>850</v>
      </c>
      <c r="D6659" t="s">
        <v>30984</v>
      </c>
      <c r="E6659" t="e" cm="1">
        <f t="array" ref="E6659">- Menthol</f>
        <v>#NAME?</v>
      </c>
      <c r="F6659" t="s">
        <v>30985</v>
      </c>
      <c r="G6659" t="s">
        <v>7369</v>
      </c>
      <c r="H6659" t="s">
        <v>19714</v>
      </c>
      <c r="I6659" t="s">
        <v>30959</v>
      </c>
      <c r="J6659" t="s">
        <v>30986</v>
      </c>
      <c r="K6659" t="s">
        <v>18335</v>
      </c>
      <c r="L6659" t="s">
        <v>30987</v>
      </c>
      <c r="M6659" t="s">
        <v>87</v>
      </c>
      <c r="N6659" t="s">
        <v>2034</v>
      </c>
      <c r="O6659" t="s">
        <v>30960</v>
      </c>
      <c r="P6659" t="s">
        <v>16830</v>
      </c>
      <c r="Q6659" t="s">
        <v>30988</v>
      </c>
      <c r="R6659">
        <v>19</v>
      </c>
      <c r="S6659">
        <v>32</v>
      </c>
    </row>
    <row r="6660" spans="1:19" x14ac:dyDescent="0.35">
      <c r="A6660">
        <v>10029</v>
      </c>
      <c r="B6660" t="s">
        <v>30989</v>
      </c>
      <c r="C6660" t="s">
        <v>42</v>
      </c>
      <c r="D6660" t="s">
        <v>30990</v>
      </c>
      <c r="E6660" t="e" cm="1">
        <f t="array" ref="E6660">- AMIODARONE HYDROCHLORIDE</f>
        <v>#NAME?</v>
      </c>
      <c r="F6660" t="s">
        <v>30991</v>
      </c>
      <c r="G6660" t="s">
        <v>17641</v>
      </c>
      <c r="H6660" t="s">
        <v>30992</v>
      </c>
      <c r="I6660" t="s">
        <v>30993</v>
      </c>
      <c r="J6660" t="s">
        <v>1136</v>
      </c>
      <c r="K6660" t="s">
        <v>30994</v>
      </c>
      <c r="L6660" t="s">
        <v>30995</v>
      </c>
      <c r="M6660" t="s">
        <v>46</v>
      </c>
      <c r="N6660" t="s">
        <v>17646</v>
      </c>
      <c r="O6660" t="s">
        <v>30996</v>
      </c>
      <c r="P6660" t="s">
        <v>30997</v>
      </c>
      <c r="Q6660" t="s">
        <v>30998</v>
      </c>
      <c r="R6660">
        <v>19</v>
      </c>
      <c r="S6660">
        <v>32</v>
      </c>
    </row>
    <row r="6661" spans="1:19" x14ac:dyDescent="0.35">
      <c r="A6661">
        <v>1766</v>
      </c>
      <c r="B6661" t="s">
        <v>30999</v>
      </c>
      <c r="C6661" t="s">
        <v>850</v>
      </c>
      <c r="D6661" t="s">
        <v>31000</v>
      </c>
      <c r="E6661" t="e" cm="1">
        <f t="array" ref="E6661">- Camphora</f>
        <v>#NAME?</v>
      </c>
      <c r="F6661" t="s">
        <v>31001</v>
      </c>
      <c r="G6661" t="s">
        <v>31002</v>
      </c>
      <c r="H6661" t="s">
        <v>31003</v>
      </c>
      <c r="I6661" t="s">
        <v>31004</v>
      </c>
      <c r="J6661" t="s">
        <v>31005</v>
      </c>
      <c r="M6661" t="s">
        <v>3632</v>
      </c>
      <c r="N6661" t="s">
        <v>3633</v>
      </c>
      <c r="O6661" t="s">
        <v>31006</v>
      </c>
      <c r="P6661" t="s">
        <v>31007</v>
      </c>
      <c r="Q6661" t="s">
        <v>31008</v>
      </c>
      <c r="R6661">
        <v>19</v>
      </c>
      <c r="S6661">
        <v>32</v>
      </c>
    </row>
    <row r="6662" spans="1:19" x14ac:dyDescent="0.35">
      <c r="A6662">
        <v>5707</v>
      </c>
      <c r="B6662" t="s">
        <v>31009</v>
      </c>
      <c r="C6662" t="s">
        <v>42</v>
      </c>
      <c r="D6662" t="s">
        <v>31010</v>
      </c>
      <c r="E6662" t="e" cm="1">
        <f t="array" ref="E6662">- LEVOFLOXACIN HEMIHYDRATE</f>
        <v>#NAME?</v>
      </c>
      <c r="F6662" s="1">
        <v>710400</v>
      </c>
      <c r="G6662" t="s">
        <v>60</v>
      </c>
      <c r="H6662" t="s">
        <v>31011</v>
      </c>
      <c r="I6662" t="s">
        <v>31012</v>
      </c>
      <c r="J6662" t="s">
        <v>2446</v>
      </c>
      <c r="K6662" t="s">
        <v>31013</v>
      </c>
      <c r="L6662" t="s">
        <v>31014</v>
      </c>
      <c r="M6662" t="s">
        <v>46</v>
      </c>
      <c r="N6662" t="s">
        <v>1784</v>
      </c>
      <c r="O6662" t="s">
        <v>31015</v>
      </c>
      <c r="P6662" t="s">
        <v>1785</v>
      </c>
      <c r="Q6662" t="s">
        <v>31016</v>
      </c>
      <c r="R6662">
        <v>19</v>
      </c>
      <c r="S6662">
        <v>32</v>
      </c>
    </row>
    <row r="6663" spans="1:19" x14ac:dyDescent="0.35">
      <c r="A6663">
        <v>5714</v>
      </c>
      <c r="B6663" t="s">
        <v>31017</v>
      </c>
      <c r="C6663" t="s">
        <v>42</v>
      </c>
      <c r="D6663" t="s">
        <v>31018</v>
      </c>
      <c r="E6663" t="e" cm="1">
        <f t="array" ref="E6663">- CIPROFLOXACIN</f>
        <v>#NAME?</v>
      </c>
      <c r="F6663" t="s">
        <v>31019</v>
      </c>
      <c r="G6663" t="s">
        <v>5746</v>
      </c>
      <c r="H6663" t="s">
        <v>1055</v>
      </c>
      <c r="I6663" t="s">
        <v>31020</v>
      </c>
      <c r="J6663" t="s">
        <v>515</v>
      </c>
      <c r="K6663" t="s">
        <v>31021</v>
      </c>
      <c r="L6663" t="s">
        <v>31022</v>
      </c>
      <c r="M6663" t="s">
        <v>291</v>
      </c>
      <c r="N6663" t="s">
        <v>1056</v>
      </c>
      <c r="O6663" t="s">
        <v>31023</v>
      </c>
      <c r="P6663" t="s">
        <v>31024</v>
      </c>
      <c r="Q6663" t="s">
        <v>31025</v>
      </c>
      <c r="R6663">
        <v>19</v>
      </c>
      <c r="S6663">
        <v>32</v>
      </c>
    </row>
    <row r="6664" spans="1:19" x14ac:dyDescent="0.35">
      <c r="A6664">
        <v>7048</v>
      </c>
      <c r="B6664" t="s">
        <v>1803</v>
      </c>
      <c r="C6664" t="s">
        <v>42</v>
      </c>
      <c r="D6664" t="s">
        <v>30942</v>
      </c>
      <c r="E6664" t="e" cm="1">
        <f t="array" ref="E6664">- TIZANIDINE HYDROCHLORIDE</f>
        <v>#NAME?</v>
      </c>
      <c r="F6664" t="s">
        <v>30943</v>
      </c>
      <c r="G6664" t="s">
        <v>11845</v>
      </c>
      <c r="H6664" t="s">
        <v>1322</v>
      </c>
      <c r="I6664" t="s">
        <v>30944</v>
      </c>
      <c r="J6664" t="s">
        <v>30945</v>
      </c>
      <c r="M6664" t="s">
        <v>46</v>
      </c>
      <c r="N6664" t="s">
        <v>1806</v>
      </c>
      <c r="O6664" t="s">
        <v>30946</v>
      </c>
      <c r="P6664" t="s">
        <v>12013</v>
      </c>
      <c r="Q6664" t="s">
        <v>31026</v>
      </c>
      <c r="R6664">
        <v>19</v>
      </c>
      <c r="S6664">
        <v>32</v>
      </c>
    </row>
    <row r="6665" spans="1:19" x14ac:dyDescent="0.35">
      <c r="A6665">
        <v>7183</v>
      </c>
      <c r="B6665" t="s">
        <v>28421</v>
      </c>
      <c r="C6665" t="s">
        <v>850</v>
      </c>
      <c r="D6665" t="s">
        <v>31027</v>
      </c>
      <c r="E6665" t="e" cm="1">
        <f t="array" ref="E6665">- Methyl Salicylate</f>
        <v>#NAME?</v>
      </c>
      <c r="F6665" t="s">
        <v>31028</v>
      </c>
      <c r="G6665" t="s">
        <v>29164</v>
      </c>
      <c r="H6665" t="s">
        <v>28394</v>
      </c>
      <c r="I6665" t="s">
        <v>28395</v>
      </c>
      <c r="J6665" t="s">
        <v>4335</v>
      </c>
      <c r="L6665" t="s">
        <v>28424</v>
      </c>
      <c r="M6665" t="s">
        <v>3632</v>
      </c>
      <c r="N6665" t="s">
        <v>3276</v>
      </c>
      <c r="O6665" t="s">
        <v>28397</v>
      </c>
      <c r="P6665" t="s">
        <v>31029</v>
      </c>
      <c r="Q6665" t="s">
        <v>31030</v>
      </c>
      <c r="R6665">
        <v>19</v>
      </c>
      <c r="S6665">
        <v>32</v>
      </c>
    </row>
    <row r="6666" spans="1:19" x14ac:dyDescent="0.35">
      <c r="A6666">
        <v>1760</v>
      </c>
      <c r="B6666" t="s">
        <v>31031</v>
      </c>
      <c r="C6666" t="s">
        <v>850</v>
      </c>
      <c r="D6666" t="s">
        <v>31032</v>
      </c>
      <c r="E6666" t="e" cm="1">
        <f t="array" ref="E6666">- Borneol</f>
        <v>#NAME?</v>
      </c>
      <c r="F6666" t="s">
        <v>31033</v>
      </c>
      <c r="G6666" t="s">
        <v>31034</v>
      </c>
      <c r="H6666" t="s">
        <v>31035</v>
      </c>
      <c r="I6666" t="s">
        <v>31036</v>
      </c>
      <c r="J6666" t="s">
        <v>31037</v>
      </c>
      <c r="M6666" t="s">
        <v>3632</v>
      </c>
      <c r="N6666" t="s">
        <v>31038</v>
      </c>
      <c r="O6666" t="s">
        <v>31039</v>
      </c>
      <c r="P6666" t="s">
        <v>31040</v>
      </c>
      <c r="Q6666" t="s">
        <v>31041</v>
      </c>
      <c r="R6666">
        <v>19</v>
      </c>
      <c r="S6666">
        <v>32</v>
      </c>
    </row>
    <row r="6667" spans="1:19" x14ac:dyDescent="0.35">
      <c r="A6667">
        <v>6992</v>
      </c>
      <c r="B6667" t="s">
        <v>1803</v>
      </c>
      <c r="C6667" t="s">
        <v>42</v>
      </c>
      <c r="D6667" t="s">
        <v>31042</v>
      </c>
      <c r="E6667" t="e" cm="1">
        <f t="array" ref="E6667">- TIZANIDINE HYDROCHLORIDE</f>
        <v>#NAME?</v>
      </c>
      <c r="F6667" t="s">
        <v>31043</v>
      </c>
      <c r="G6667" t="s">
        <v>31044</v>
      </c>
      <c r="I6667" t="s">
        <v>31045</v>
      </c>
      <c r="J6667" t="s">
        <v>8289</v>
      </c>
      <c r="M6667" t="s">
        <v>46</v>
      </c>
      <c r="N6667" t="s">
        <v>1806</v>
      </c>
      <c r="O6667" t="s">
        <v>31046</v>
      </c>
      <c r="P6667" t="s">
        <v>31047</v>
      </c>
      <c r="Q6667" t="s">
        <v>31048</v>
      </c>
      <c r="R6667">
        <v>19</v>
      </c>
      <c r="S6667">
        <v>32</v>
      </c>
    </row>
    <row r="6668" spans="1:19" x14ac:dyDescent="0.35">
      <c r="A6668">
        <v>6988</v>
      </c>
      <c r="B6668" t="s">
        <v>1803</v>
      </c>
      <c r="C6668" t="s">
        <v>42</v>
      </c>
      <c r="D6668" t="s">
        <v>31049</v>
      </c>
      <c r="E6668" t="e" cm="1">
        <f t="array" ref="E6668">- TIZANIDINE HYDROCHLORIDE</f>
        <v>#NAME?</v>
      </c>
      <c r="F6668" t="s">
        <v>31050</v>
      </c>
      <c r="I6668" t="s">
        <v>31051</v>
      </c>
      <c r="J6668" t="s">
        <v>31052</v>
      </c>
      <c r="M6668" t="s">
        <v>46</v>
      </c>
      <c r="N6668" t="s">
        <v>1806</v>
      </c>
      <c r="O6668" t="s">
        <v>31053</v>
      </c>
      <c r="P6668" t="s">
        <v>31054</v>
      </c>
      <c r="Q6668" t="s">
        <v>31055</v>
      </c>
      <c r="R6668">
        <v>19</v>
      </c>
      <c r="S6668">
        <v>32</v>
      </c>
    </row>
    <row r="6669" spans="1:19" x14ac:dyDescent="0.35">
      <c r="A6669">
        <v>1745</v>
      </c>
      <c r="B6669" t="s">
        <v>5317</v>
      </c>
      <c r="C6669" t="s">
        <v>850</v>
      </c>
      <c r="D6669" t="s">
        <v>31056</v>
      </c>
      <c r="E6669" t="e" cm="1">
        <f t="array" ref="E6669">- Camphor</f>
        <v>#NAME?</v>
      </c>
      <c r="F6669" t="s">
        <v>31057</v>
      </c>
      <c r="G6669" t="s">
        <v>22320</v>
      </c>
      <c r="H6669" t="s">
        <v>16824</v>
      </c>
      <c r="I6669" t="s">
        <v>31058</v>
      </c>
      <c r="J6669" t="s">
        <v>1647</v>
      </c>
      <c r="L6669" t="s">
        <v>31059</v>
      </c>
      <c r="M6669" t="s">
        <v>3338</v>
      </c>
      <c r="N6669" t="s">
        <v>853</v>
      </c>
      <c r="O6669" t="s">
        <v>31060</v>
      </c>
      <c r="P6669" t="s">
        <v>5321</v>
      </c>
      <c r="Q6669" t="s">
        <v>31061</v>
      </c>
      <c r="R6669">
        <v>19</v>
      </c>
      <c r="S6669">
        <v>32</v>
      </c>
    </row>
    <row r="6670" spans="1:19" x14ac:dyDescent="0.35">
      <c r="A6670">
        <v>6937</v>
      </c>
      <c r="B6670" t="s">
        <v>1803</v>
      </c>
      <c r="C6670" t="s">
        <v>42</v>
      </c>
      <c r="D6670" t="s">
        <v>31062</v>
      </c>
      <c r="E6670" t="e" cm="1">
        <f t="array" ref="E6670">- TIZANIDINE HYDROCHLORIDE</f>
        <v>#NAME?</v>
      </c>
      <c r="F6670" t="s">
        <v>31063</v>
      </c>
      <c r="I6670" t="s">
        <v>31064</v>
      </c>
      <c r="J6670" t="s">
        <v>31065</v>
      </c>
      <c r="M6670" t="s">
        <v>46</v>
      </c>
      <c r="N6670" t="s">
        <v>1806</v>
      </c>
      <c r="O6670" t="s">
        <v>31066</v>
      </c>
      <c r="P6670" t="s">
        <v>31067</v>
      </c>
      <c r="Q6670" t="s">
        <v>31068</v>
      </c>
      <c r="R6670">
        <v>19</v>
      </c>
      <c r="S6670">
        <v>32</v>
      </c>
    </row>
    <row r="6671" spans="1:19" x14ac:dyDescent="0.35">
      <c r="A6671">
        <v>6936</v>
      </c>
      <c r="B6671" t="s">
        <v>1803</v>
      </c>
      <c r="C6671" t="s">
        <v>42</v>
      </c>
      <c r="D6671" t="s">
        <v>31069</v>
      </c>
      <c r="E6671" t="e" cm="1">
        <f t="array" ref="E6671">- TIZANIDINE HYDROCHLORIDE</f>
        <v>#NAME?</v>
      </c>
      <c r="F6671" t="s">
        <v>31070</v>
      </c>
      <c r="G6671" t="s">
        <v>31071</v>
      </c>
      <c r="I6671" t="s">
        <v>31064</v>
      </c>
      <c r="J6671" t="s">
        <v>31072</v>
      </c>
      <c r="M6671" t="s">
        <v>46</v>
      </c>
      <c r="N6671" t="s">
        <v>1806</v>
      </c>
      <c r="O6671" t="s">
        <v>31066</v>
      </c>
      <c r="P6671" t="s">
        <v>31067</v>
      </c>
      <c r="Q6671" t="s">
        <v>31068</v>
      </c>
      <c r="R6671">
        <v>19</v>
      </c>
      <c r="S6671">
        <v>32</v>
      </c>
    </row>
    <row r="6672" spans="1:19" x14ac:dyDescent="0.35">
      <c r="A6672">
        <v>6935</v>
      </c>
      <c r="B6672" t="s">
        <v>1803</v>
      </c>
      <c r="C6672" t="s">
        <v>42</v>
      </c>
      <c r="D6672" t="s">
        <v>31073</v>
      </c>
      <c r="E6672" t="e" cm="1">
        <f t="array" ref="E6672">- TIZANIDINE HYDROCHLORIDE</f>
        <v>#NAME?</v>
      </c>
      <c r="F6672" t="s">
        <v>31074</v>
      </c>
      <c r="I6672" t="s">
        <v>31064</v>
      </c>
      <c r="J6672" t="s">
        <v>31075</v>
      </c>
      <c r="M6672" t="s">
        <v>46</v>
      </c>
      <c r="N6672" t="s">
        <v>1806</v>
      </c>
      <c r="O6672" t="s">
        <v>31066</v>
      </c>
      <c r="P6672" t="s">
        <v>31067</v>
      </c>
      <c r="Q6672" t="s">
        <v>31068</v>
      </c>
      <c r="R6672">
        <v>19</v>
      </c>
      <c r="S6672">
        <v>32</v>
      </c>
    </row>
    <row r="6673" spans="1:19" x14ac:dyDescent="0.35">
      <c r="A6673">
        <v>908</v>
      </c>
      <c r="B6673" t="s">
        <v>31076</v>
      </c>
      <c r="C6673" t="s">
        <v>42</v>
      </c>
      <c r="D6673" t="s">
        <v>31077</v>
      </c>
      <c r="E6673" t="e" cm="1">
        <f t="array" ref="E6673">- CHLORPHENAMINE MALEATE</f>
        <v>#NAME?</v>
      </c>
      <c r="F6673" t="s">
        <v>27904</v>
      </c>
      <c r="G6673" t="s">
        <v>2241</v>
      </c>
      <c r="H6673" t="s">
        <v>31078</v>
      </c>
      <c r="I6673" t="s">
        <v>31079</v>
      </c>
      <c r="J6673" t="s">
        <v>2327</v>
      </c>
      <c r="K6673" t="s">
        <v>31080</v>
      </c>
      <c r="L6673" t="s">
        <v>31081</v>
      </c>
      <c r="M6673" t="s">
        <v>291</v>
      </c>
      <c r="N6673" t="s">
        <v>1354</v>
      </c>
      <c r="O6673" t="s">
        <v>31082</v>
      </c>
      <c r="P6673" t="s">
        <v>31083</v>
      </c>
      <c r="Q6673" t="s">
        <v>31084</v>
      </c>
      <c r="R6673">
        <v>19</v>
      </c>
      <c r="S6673">
        <v>32</v>
      </c>
    </row>
    <row r="6674" spans="1:19" x14ac:dyDescent="0.35">
      <c r="A6674">
        <v>8663</v>
      </c>
      <c r="B6674" t="s">
        <v>29041</v>
      </c>
      <c r="C6674" t="s">
        <v>42</v>
      </c>
      <c r="D6674" t="s">
        <v>29042</v>
      </c>
      <c r="E6674" t="e" cm="1">
        <f t="array" ref="E6674">- PIOGLITAZONE HYDROCHLORIDE</f>
        <v>#NAME?</v>
      </c>
      <c r="F6674" t="s">
        <v>29043</v>
      </c>
      <c r="G6674" t="s">
        <v>6869</v>
      </c>
      <c r="H6674" t="s">
        <v>29044</v>
      </c>
      <c r="I6674" t="s">
        <v>29045</v>
      </c>
      <c r="J6674" t="s">
        <v>599</v>
      </c>
      <c r="K6674" t="s">
        <v>29046</v>
      </c>
      <c r="L6674" t="s">
        <v>29047</v>
      </c>
      <c r="M6674" t="s">
        <v>46</v>
      </c>
      <c r="N6674" t="s">
        <v>2389</v>
      </c>
      <c r="O6674" t="s">
        <v>29048</v>
      </c>
      <c r="P6674" t="s">
        <v>29049</v>
      </c>
      <c r="Q6674" t="s">
        <v>31085</v>
      </c>
      <c r="R6674">
        <v>19</v>
      </c>
      <c r="S6674">
        <v>32</v>
      </c>
    </row>
    <row r="6675" spans="1:19" x14ac:dyDescent="0.35">
      <c r="A6675">
        <v>5900</v>
      </c>
      <c r="B6675" t="s">
        <v>31086</v>
      </c>
      <c r="C6675" t="s">
        <v>42</v>
      </c>
      <c r="D6675" t="s">
        <v>31087</v>
      </c>
      <c r="E6675" t="e" cm="1">
        <f t="array" ref="E6675">- AMOXICILLIN TRIHYDRATE</f>
        <v>#NAME?</v>
      </c>
      <c r="F6675" t="s">
        <v>31088</v>
      </c>
      <c r="H6675" t="s">
        <v>31089</v>
      </c>
      <c r="I6675" t="s">
        <v>31090</v>
      </c>
      <c r="J6675" t="s">
        <v>31091</v>
      </c>
      <c r="K6675" t="s">
        <v>2858</v>
      </c>
      <c r="L6675" t="s">
        <v>321</v>
      </c>
      <c r="M6675" t="s">
        <v>38</v>
      </c>
      <c r="N6675" t="s">
        <v>1523</v>
      </c>
      <c r="O6675" t="s">
        <v>31092</v>
      </c>
      <c r="P6675" t="s">
        <v>31093</v>
      </c>
      <c r="Q6675" t="s">
        <v>31094</v>
      </c>
      <c r="R6675">
        <v>19</v>
      </c>
      <c r="S6675">
        <v>32</v>
      </c>
    </row>
    <row r="6676" spans="1:19" x14ac:dyDescent="0.35">
      <c r="A6676">
        <v>1416</v>
      </c>
      <c r="B6676" t="s">
        <v>30732</v>
      </c>
      <c r="C6676" t="s">
        <v>42</v>
      </c>
      <c r="D6676" t="s">
        <v>30733</v>
      </c>
      <c r="E6676" t="e" cm="1">
        <f t="array" ref="E6676">- AMMONIUM CHLORIDE</f>
        <v>#NAME?</v>
      </c>
      <c r="F6676" t="s">
        <v>30734</v>
      </c>
      <c r="G6676" t="s">
        <v>7219</v>
      </c>
      <c r="H6676" t="s">
        <v>30735</v>
      </c>
      <c r="I6676" t="s">
        <v>29641</v>
      </c>
      <c r="J6676" t="s">
        <v>374</v>
      </c>
      <c r="K6676" t="e" cm="1">
        <f t="array" ref="K6676">- penderita yang hipersensitif terhadap komponen obat ini. - penderita dengan gangguan fungsi hati yang berat. - penderita dengan gangguan jantung dan diabetes mellitus.</f>
        <v>#NAME?</v>
      </c>
      <c r="L6676" t="s">
        <v>30736</v>
      </c>
      <c r="M6676" t="s">
        <v>271</v>
      </c>
      <c r="N6676" t="s">
        <v>1672</v>
      </c>
      <c r="O6676" t="s">
        <v>29642</v>
      </c>
      <c r="P6676" t="s">
        <v>30737</v>
      </c>
      <c r="Q6676" t="s">
        <v>30738</v>
      </c>
      <c r="R6676">
        <v>19</v>
      </c>
      <c r="S6676">
        <v>32</v>
      </c>
    </row>
    <row r="6677" spans="1:19" x14ac:dyDescent="0.35">
      <c r="A6677">
        <v>8695</v>
      </c>
      <c r="B6677" t="s">
        <v>31095</v>
      </c>
      <c r="C6677" t="s">
        <v>42</v>
      </c>
      <c r="D6677" t="s">
        <v>31096</v>
      </c>
      <c r="E6677" t="e" cm="1">
        <f t="array" ref="E6677">- GLICLAZIDE</f>
        <v>#NAME?</v>
      </c>
      <c r="F6677" t="s">
        <v>31097</v>
      </c>
      <c r="G6677" t="s">
        <v>835</v>
      </c>
      <c r="H6677" t="s">
        <v>31098</v>
      </c>
      <c r="I6677" t="s">
        <v>31099</v>
      </c>
      <c r="J6677" t="s">
        <v>381</v>
      </c>
      <c r="L6677" t="s">
        <v>270</v>
      </c>
      <c r="M6677" t="s">
        <v>46</v>
      </c>
      <c r="N6677" t="s">
        <v>1268</v>
      </c>
      <c r="O6677" t="s">
        <v>31100</v>
      </c>
      <c r="P6677" t="s">
        <v>31101</v>
      </c>
      <c r="Q6677" t="s">
        <v>31102</v>
      </c>
      <c r="R6677">
        <v>19</v>
      </c>
      <c r="S6677">
        <v>32</v>
      </c>
    </row>
    <row r="6678" spans="1:19" x14ac:dyDescent="0.35">
      <c r="A6678">
        <v>6900</v>
      </c>
      <c r="B6678" t="s">
        <v>31103</v>
      </c>
      <c r="C6678" t="s">
        <v>850</v>
      </c>
      <c r="D6678" t="s">
        <v>31104</v>
      </c>
      <c r="E6678" t="e" cm="1">
        <f t="array" ref="E6678">- L-Menthol</f>
        <v>#NAME?</v>
      </c>
      <c r="F6678" t="s">
        <v>31105</v>
      </c>
      <c r="G6678" t="s">
        <v>31106</v>
      </c>
      <c r="H6678" t="s">
        <v>31107</v>
      </c>
    </row>
    <row r="6679" spans="1:19" x14ac:dyDescent="0.35">
      <c r="A6679">
        <v>6899</v>
      </c>
      <c r="B6679" t="s">
        <v>31103</v>
      </c>
      <c r="C6679" t="s">
        <v>850</v>
      </c>
      <c r="D6679" t="s">
        <v>31108</v>
      </c>
      <c r="E6679" t="e" cm="1">
        <f t="array" ref="E6679">- L-Menthol</f>
        <v>#NAME?</v>
      </c>
      <c r="F6679" s="1">
        <v>21500</v>
      </c>
      <c r="G6679" t="s">
        <v>31109</v>
      </c>
      <c r="H6679" t="s">
        <v>31110</v>
      </c>
      <c r="I6679" t="s">
        <v>31111</v>
      </c>
      <c r="J6679" t="s">
        <v>31112</v>
      </c>
      <c r="L6679" t="s">
        <v>31113</v>
      </c>
      <c r="N6679" t="s">
        <v>31114</v>
      </c>
      <c r="O6679" t="s">
        <v>31115</v>
      </c>
      <c r="P6679" t="s">
        <v>31116</v>
      </c>
      <c r="Q6679" t="s">
        <v>31117</v>
      </c>
      <c r="R6679">
        <v>19</v>
      </c>
      <c r="S6679">
        <v>32</v>
      </c>
    </row>
    <row r="6680" spans="1:19" x14ac:dyDescent="0.35">
      <c r="A6680">
        <v>6892</v>
      </c>
      <c r="B6680" t="s">
        <v>31118</v>
      </c>
      <c r="C6680" t="s">
        <v>42</v>
      </c>
      <c r="D6680" t="s">
        <v>31119</v>
      </c>
      <c r="E6680" t="e" cm="1">
        <f t="array" ref="E6680">- KETOPROFEN</f>
        <v>#NAME?</v>
      </c>
      <c r="F6680" t="s">
        <v>31120</v>
      </c>
      <c r="G6680" t="s">
        <v>31121</v>
      </c>
      <c r="H6680" t="s">
        <v>31122</v>
      </c>
      <c r="I6680" t="s">
        <v>31123</v>
      </c>
      <c r="J6680" t="s">
        <v>31124</v>
      </c>
      <c r="K6680" t="s">
        <v>31125</v>
      </c>
      <c r="L6680" t="s">
        <v>31126</v>
      </c>
      <c r="M6680" t="s">
        <v>87</v>
      </c>
      <c r="N6680" t="s">
        <v>721</v>
      </c>
      <c r="O6680" t="s">
        <v>31127</v>
      </c>
      <c r="P6680" t="s">
        <v>21905</v>
      </c>
      <c r="Q6680" t="s">
        <v>31128</v>
      </c>
      <c r="R6680">
        <v>19</v>
      </c>
      <c r="S6680">
        <v>32</v>
      </c>
    </row>
    <row r="6681" spans="1:19" x14ac:dyDescent="0.35">
      <c r="A6681">
        <v>1747</v>
      </c>
      <c r="B6681" t="s">
        <v>5317</v>
      </c>
      <c r="C6681" t="s">
        <v>850</v>
      </c>
      <c r="D6681" t="s">
        <v>31129</v>
      </c>
      <c r="E6681" t="e" cm="1">
        <f t="array" ref="E6681">- Camphor</f>
        <v>#NAME?</v>
      </c>
      <c r="F6681" t="s">
        <v>31130</v>
      </c>
      <c r="G6681" t="s">
        <v>22320</v>
      </c>
      <c r="H6681" t="s">
        <v>16824</v>
      </c>
      <c r="I6681" t="s">
        <v>31058</v>
      </c>
      <c r="J6681" t="s">
        <v>31131</v>
      </c>
      <c r="L6681" t="s">
        <v>31059</v>
      </c>
      <c r="M6681" t="s">
        <v>3338</v>
      </c>
      <c r="N6681" t="s">
        <v>853</v>
      </c>
      <c r="O6681" t="s">
        <v>31060</v>
      </c>
      <c r="P6681" t="s">
        <v>5321</v>
      </c>
      <c r="Q6681" t="s">
        <v>31061</v>
      </c>
      <c r="R6681">
        <v>19</v>
      </c>
      <c r="S6681">
        <v>32</v>
      </c>
    </row>
    <row r="6682" spans="1:19" x14ac:dyDescent="0.35">
      <c r="A6682">
        <v>7184</v>
      </c>
      <c r="B6682" t="s">
        <v>28421</v>
      </c>
      <c r="C6682" t="s">
        <v>850</v>
      </c>
      <c r="D6682" t="s">
        <v>31027</v>
      </c>
      <c r="E6682" t="e" cm="1">
        <f t="array" ref="E6682">- Methyl Salicylate</f>
        <v>#NAME?</v>
      </c>
      <c r="F6682" t="s">
        <v>31028</v>
      </c>
      <c r="G6682" t="s">
        <v>29164</v>
      </c>
      <c r="H6682" t="s">
        <v>28394</v>
      </c>
      <c r="I6682" t="s">
        <v>28395</v>
      </c>
      <c r="J6682" t="s">
        <v>4335</v>
      </c>
      <c r="L6682" t="s">
        <v>28424</v>
      </c>
      <c r="M6682" t="s">
        <v>3632</v>
      </c>
      <c r="N6682" t="s">
        <v>3276</v>
      </c>
      <c r="O6682" t="s">
        <v>28397</v>
      </c>
      <c r="P6682" t="s">
        <v>31029</v>
      </c>
      <c r="Q6682" t="s">
        <v>31030</v>
      </c>
      <c r="R6682">
        <v>19</v>
      </c>
      <c r="S6682">
        <v>32</v>
      </c>
    </row>
    <row r="6683" spans="1:19" x14ac:dyDescent="0.35">
      <c r="A6683">
        <v>7203</v>
      </c>
      <c r="B6683" t="s">
        <v>31132</v>
      </c>
      <c r="C6683" t="s">
        <v>850</v>
      </c>
      <c r="D6683" t="s">
        <v>31133</v>
      </c>
      <c r="E6683" t="s">
        <v>2069</v>
      </c>
      <c r="F6683" t="s">
        <v>31134</v>
      </c>
      <c r="G6683" t="s">
        <v>31135</v>
      </c>
      <c r="H6683" t="s">
        <v>1322</v>
      </c>
      <c r="I6683" t="s">
        <v>29417</v>
      </c>
      <c r="J6683" t="s">
        <v>31136</v>
      </c>
      <c r="L6683" t="s">
        <v>29419</v>
      </c>
      <c r="M6683" t="s">
        <v>2115</v>
      </c>
      <c r="N6683" t="s">
        <v>2071</v>
      </c>
      <c r="O6683" t="s">
        <v>29421</v>
      </c>
      <c r="P6683" t="s">
        <v>31137</v>
      </c>
      <c r="Q6683" t="s">
        <v>31138</v>
      </c>
      <c r="R6683">
        <v>19</v>
      </c>
      <c r="S6683">
        <v>32</v>
      </c>
    </row>
    <row r="6684" spans="1:19" x14ac:dyDescent="0.35">
      <c r="A6684">
        <v>7204</v>
      </c>
      <c r="B6684" t="s">
        <v>31132</v>
      </c>
      <c r="C6684" t="s">
        <v>850</v>
      </c>
      <c r="D6684" t="s">
        <v>31133</v>
      </c>
      <c r="E6684" t="s">
        <v>2069</v>
      </c>
      <c r="F6684" t="s">
        <v>31134</v>
      </c>
      <c r="G6684" t="s">
        <v>31135</v>
      </c>
      <c r="H6684" t="s">
        <v>1322</v>
      </c>
      <c r="I6684" t="s">
        <v>29417</v>
      </c>
      <c r="J6684" t="s">
        <v>31136</v>
      </c>
      <c r="L6684" t="s">
        <v>29419</v>
      </c>
      <c r="M6684" t="s">
        <v>2115</v>
      </c>
      <c r="N6684" t="s">
        <v>2071</v>
      </c>
      <c r="O6684" t="s">
        <v>29421</v>
      </c>
      <c r="P6684" t="s">
        <v>31137</v>
      </c>
      <c r="Q6684" t="s">
        <v>31138</v>
      </c>
      <c r="R6684">
        <v>19</v>
      </c>
      <c r="S6684">
        <v>32</v>
      </c>
    </row>
    <row r="6685" spans="1:19" x14ac:dyDescent="0.35">
      <c r="A6685">
        <v>7396</v>
      </c>
      <c r="B6685" t="s">
        <v>31139</v>
      </c>
      <c r="C6685" t="s">
        <v>42</v>
      </c>
      <c r="D6685" t="s">
        <v>31140</v>
      </c>
      <c r="E6685" t="e" cm="1">
        <f t="array" ref="E6685">- CYANOCOBALAMIN</f>
        <v>#NAME?</v>
      </c>
      <c r="F6685" t="s">
        <v>31141</v>
      </c>
      <c r="G6685" t="s">
        <v>31142</v>
      </c>
      <c r="H6685" t="s">
        <v>31143</v>
      </c>
      <c r="I6685" t="s">
        <v>31144</v>
      </c>
      <c r="J6685" t="s">
        <v>381</v>
      </c>
      <c r="K6685" t="s">
        <v>31145</v>
      </c>
      <c r="L6685" t="s">
        <v>31146</v>
      </c>
      <c r="M6685" t="s">
        <v>291</v>
      </c>
      <c r="N6685" t="s">
        <v>677</v>
      </c>
      <c r="O6685" t="s">
        <v>31147</v>
      </c>
      <c r="P6685" t="s">
        <v>31148</v>
      </c>
      <c r="Q6685" t="s">
        <v>31149</v>
      </c>
      <c r="R6685">
        <v>19</v>
      </c>
      <c r="S6685">
        <v>32</v>
      </c>
    </row>
    <row r="6686" spans="1:19" x14ac:dyDescent="0.35">
      <c r="A6686">
        <v>7387</v>
      </c>
      <c r="B6686" t="s">
        <v>23313</v>
      </c>
      <c r="C6686" t="s">
        <v>42</v>
      </c>
      <c r="D6686" t="s">
        <v>23314</v>
      </c>
      <c r="E6686" t="e" cm="1">
        <f t="array" ref="E6686">- THIAMINE MONONITRATE. PYRIDOXINE HYDROCHLORIDE. CYANOCOBALAMIN</f>
        <v>#NAME?</v>
      </c>
      <c r="F6686" t="s">
        <v>23315</v>
      </c>
      <c r="G6686" t="s">
        <v>12507</v>
      </c>
      <c r="H6686" t="s">
        <v>23316</v>
      </c>
      <c r="I6686" t="s">
        <v>23317</v>
      </c>
      <c r="J6686" t="s">
        <v>23318</v>
      </c>
      <c r="K6686" t="s">
        <v>4677</v>
      </c>
      <c r="L6686" t="s">
        <v>23319</v>
      </c>
      <c r="M6686" t="s">
        <v>46</v>
      </c>
      <c r="N6686" t="s">
        <v>31150</v>
      </c>
      <c r="O6686" t="s">
        <v>23320</v>
      </c>
      <c r="P6686" t="s">
        <v>23321</v>
      </c>
      <c r="Q6686" t="s">
        <v>31151</v>
      </c>
      <c r="R6686">
        <v>19</v>
      </c>
      <c r="S6686">
        <v>32</v>
      </c>
    </row>
    <row r="6687" spans="1:19" x14ac:dyDescent="0.35">
      <c r="A6687">
        <v>7386</v>
      </c>
      <c r="B6687" t="s">
        <v>23313</v>
      </c>
      <c r="C6687" t="s">
        <v>42</v>
      </c>
      <c r="D6687" t="s">
        <v>23314</v>
      </c>
      <c r="E6687" t="e" cm="1">
        <f t="array" ref="E6687">- THIAMINE MONONITRATE. PYRIDOXINE HYDROCHLORIDE. CYANOCOBALAMIN</f>
        <v>#NAME?</v>
      </c>
      <c r="F6687" t="s">
        <v>23315</v>
      </c>
      <c r="G6687" t="s">
        <v>12507</v>
      </c>
      <c r="H6687" t="s">
        <v>23316</v>
      </c>
      <c r="I6687" t="s">
        <v>23317</v>
      </c>
      <c r="J6687" t="s">
        <v>23318</v>
      </c>
      <c r="K6687" t="s">
        <v>4677</v>
      </c>
      <c r="L6687" t="s">
        <v>23319</v>
      </c>
      <c r="M6687" t="s">
        <v>46</v>
      </c>
      <c r="N6687" t="s">
        <v>31150</v>
      </c>
      <c r="O6687" t="s">
        <v>23320</v>
      </c>
      <c r="P6687" t="s">
        <v>23321</v>
      </c>
      <c r="Q6687" t="s">
        <v>31151</v>
      </c>
      <c r="R6687">
        <v>19</v>
      </c>
      <c r="S6687">
        <v>32</v>
      </c>
    </row>
    <row r="6688" spans="1:19" x14ac:dyDescent="0.35">
      <c r="A6688">
        <v>7385</v>
      </c>
      <c r="B6688" t="s">
        <v>23313</v>
      </c>
      <c r="C6688" t="s">
        <v>42</v>
      </c>
      <c r="D6688" t="s">
        <v>23314</v>
      </c>
      <c r="E6688" t="e" cm="1">
        <f t="array" ref="E6688">- THIAMINE MONONITRATE. PYRIDOXINE HYDROCHLORIDE. CYANOCOBALAMIN</f>
        <v>#NAME?</v>
      </c>
      <c r="F6688" t="s">
        <v>23315</v>
      </c>
      <c r="G6688" t="s">
        <v>12507</v>
      </c>
      <c r="H6688" t="s">
        <v>23316</v>
      </c>
      <c r="I6688" t="s">
        <v>23317</v>
      </c>
      <c r="J6688" t="s">
        <v>23318</v>
      </c>
      <c r="K6688" t="s">
        <v>4677</v>
      </c>
      <c r="L6688" t="s">
        <v>23319</v>
      </c>
      <c r="M6688" t="s">
        <v>46</v>
      </c>
      <c r="N6688" t="s">
        <v>31150</v>
      </c>
      <c r="O6688" t="s">
        <v>23320</v>
      </c>
      <c r="P6688" t="s">
        <v>23321</v>
      </c>
      <c r="Q6688" t="s">
        <v>31151</v>
      </c>
      <c r="R6688">
        <v>19</v>
      </c>
      <c r="S6688">
        <v>32</v>
      </c>
    </row>
    <row r="6689" spans="1:19" x14ac:dyDescent="0.35">
      <c r="A6689">
        <v>1004</v>
      </c>
      <c r="B6689" t="s">
        <v>31152</v>
      </c>
      <c r="C6689" t="s">
        <v>42</v>
      </c>
      <c r="D6689" t="s">
        <v>31153</v>
      </c>
      <c r="E6689" t="e" cm="1">
        <f t="array" ref="E6689">- DEXTROMETHORPHAN HYDROBROMIDE</f>
        <v>#NAME?</v>
      </c>
      <c r="F6689" t="s">
        <v>31154</v>
      </c>
      <c r="G6689" t="s">
        <v>2241</v>
      </c>
      <c r="H6689" t="s">
        <v>31155</v>
      </c>
      <c r="I6689" t="s">
        <v>31156</v>
      </c>
      <c r="J6689" t="s">
        <v>31157</v>
      </c>
      <c r="K6689" t="s">
        <v>31158</v>
      </c>
      <c r="L6689" t="s">
        <v>31159</v>
      </c>
      <c r="M6689" t="s">
        <v>271</v>
      </c>
      <c r="N6689" t="s">
        <v>1376</v>
      </c>
      <c r="O6689" t="s">
        <v>31160</v>
      </c>
      <c r="P6689" t="s">
        <v>31161</v>
      </c>
      <c r="Q6689" t="s">
        <v>31162</v>
      </c>
      <c r="R6689">
        <v>19</v>
      </c>
      <c r="S6689">
        <v>32</v>
      </c>
    </row>
    <row r="6690" spans="1:19" x14ac:dyDescent="0.35">
      <c r="A6690">
        <v>5359</v>
      </c>
      <c r="B6690" t="s">
        <v>31163</v>
      </c>
      <c r="C6690" t="s">
        <v>42</v>
      </c>
      <c r="D6690" t="s">
        <v>31164</v>
      </c>
      <c r="E6690" t="e" cm="1">
        <f t="array" ref="E6690">- CHLORAMPHENICOL</f>
        <v>#NAME?</v>
      </c>
      <c r="F6690" t="s">
        <v>12759</v>
      </c>
      <c r="G6690" t="s">
        <v>31165</v>
      </c>
      <c r="H6690" t="s">
        <v>31166</v>
      </c>
      <c r="I6690" t="s">
        <v>31167</v>
      </c>
      <c r="J6690" t="s">
        <v>31168</v>
      </c>
      <c r="K6690" t="s">
        <v>31169</v>
      </c>
      <c r="L6690" t="s">
        <v>31170</v>
      </c>
      <c r="M6690" t="s">
        <v>1289</v>
      </c>
      <c r="N6690" t="s">
        <v>1188</v>
      </c>
      <c r="O6690" t="s">
        <v>31171</v>
      </c>
      <c r="P6690" t="s">
        <v>31172</v>
      </c>
      <c r="Q6690" t="s">
        <v>31173</v>
      </c>
      <c r="R6690">
        <v>19</v>
      </c>
      <c r="S6690">
        <v>32</v>
      </c>
    </row>
    <row r="6691" spans="1:19" x14ac:dyDescent="0.35">
      <c r="A6691">
        <v>5360</v>
      </c>
      <c r="B6691" t="s">
        <v>2794</v>
      </c>
      <c r="C6691" t="s">
        <v>42</v>
      </c>
      <c r="D6691" t="s">
        <v>27741</v>
      </c>
      <c r="E6691" t="e" cm="1">
        <f t="array" ref="E6691">- BETAMETHASONE VALERATE. GENTAMICIN SULFATE</f>
        <v>#NAME?</v>
      </c>
      <c r="F6691" t="s">
        <v>27742</v>
      </c>
      <c r="H6691" t="s">
        <v>19393</v>
      </c>
      <c r="I6691" t="s">
        <v>27743</v>
      </c>
      <c r="J6691" t="s">
        <v>1367</v>
      </c>
      <c r="K6691" t="s">
        <v>27744</v>
      </c>
      <c r="L6691" t="s">
        <v>321</v>
      </c>
      <c r="M6691" t="s">
        <v>1289</v>
      </c>
      <c r="N6691" t="s">
        <v>6107</v>
      </c>
      <c r="O6691" t="s">
        <v>27745</v>
      </c>
      <c r="P6691" t="s">
        <v>2797</v>
      </c>
      <c r="Q6691" t="s">
        <v>31174</v>
      </c>
      <c r="R6691">
        <v>19</v>
      </c>
      <c r="S6691">
        <v>32</v>
      </c>
    </row>
    <row r="6692" spans="1:19" x14ac:dyDescent="0.35">
      <c r="A6692">
        <v>5361</v>
      </c>
      <c r="B6692" t="s">
        <v>2794</v>
      </c>
      <c r="C6692" t="s">
        <v>42</v>
      </c>
      <c r="D6692" t="s">
        <v>27741</v>
      </c>
      <c r="E6692" t="e" cm="1">
        <f t="array" ref="E6692">- BETAMETHASONE VALERATE. GENTAMICIN SULFATE</f>
        <v>#NAME?</v>
      </c>
      <c r="F6692" t="s">
        <v>27742</v>
      </c>
      <c r="H6692" t="s">
        <v>19393</v>
      </c>
      <c r="I6692" t="s">
        <v>27743</v>
      </c>
      <c r="J6692" t="s">
        <v>1367</v>
      </c>
      <c r="K6692" t="s">
        <v>27744</v>
      </c>
      <c r="L6692" t="s">
        <v>321</v>
      </c>
      <c r="M6692" t="s">
        <v>1289</v>
      </c>
      <c r="N6692" t="s">
        <v>6107</v>
      </c>
      <c r="O6692" t="s">
        <v>27745</v>
      </c>
      <c r="P6692" t="s">
        <v>2797</v>
      </c>
      <c r="Q6692" t="s">
        <v>31174</v>
      </c>
      <c r="R6692">
        <v>19</v>
      </c>
      <c r="S6692">
        <v>32</v>
      </c>
    </row>
    <row r="6693" spans="1:19" x14ac:dyDescent="0.35">
      <c r="A6693">
        <v>8622</v>
      </c>
      <c r="B6693" t="s">
        <v>31175</v>
      </c>
      <c r="C6693" t="s">
        <v>42</v>
      </c>
      <c r="D6693" t="s">
        <v>31176</v>
      </c>
      <c r="E6693" t="e" cm="1">
        <f t="array" ref="E6693">- PIOGLITAZONE HYDROCHLORIDE</f>
        <v>#NAME?</v>
      </c>
      <c r="F6693" t="s">
        <v>31177</v>
      </c>
      <c r="G6693" t="s">
        <v>60</v>
      </c>
      <c r="H6693" t="s">
        <v>31178</v>
      </c>
      <c r="I6693" t="s">
        <v>29045</v>
      </c>
      <c r="J6693" t="s">
        <v>1136</v>
      </c>
      <c r="K6693" t="s">
        <v>29046</v>
      </c>
      <c r="L6693" t="s">
        <v>31179</v>
      </c>
    </row>
    <row r="6694" spans="1:19" x14ac:dyDescent="0.35">
      <c r="A6694">
        <v>983</v>
      </c>
      <c r="B6694" t="s">
        <v>31180</v>
      </c>
      <c r="C6694" t="s">
        <v>42</v>
      </c>
      <c r="D6694" t="s">
        <v>31181</v>
      </c>
      <c r="E6694" t="e" cm="1">
        <f t="array" ref="E6694">- DEXTROMETHORPHAN HYDROBROMIDE</f>
        <v>#NAME?</v>
      </c>
      <c r="F6694" t="s">
        <v>31182</v>
      </c>
      <c r="G6694" t="s">
        <v>1691</v>
      </c>
      <c r="H6694" t="s">
        <v>31183</v>
      </c>
      <c r="I6694" t="s">
        <v>31184</v>
      </c>
      <c r="J6694" t="s">
        <v>334</v>
      </c>
      <c r="K6694" t="s">
        <v>31185</v>
      </c>
      <c r="L6694" t="s">
        <v>31186</v>
      </c>
      <c r="M6694" t="s">
        <v>271</v>
      </c>
      <c r="N6694" t="s">
        <v>1376</v>
      </c>
      <c r="O6694" t="s">
        <v>31187</v>
      </c>
      <c r="P6694" t="s">
        <v>8499</v>
      </c>
      <c r="Q6694" t="s">
        <v>31188</v>
      </c>
      <c r="R6694">
        <v>19</v>
      </c>
      <c r="S6694">
        <v>32</v>
      </c>
    </row>
    <row r="6695" spans="1:19" x14ac:dyDescent="0.35">
      <c r="A6695">
        <v>1885</v>
      </c>
      <c r="B6695" t="s">
        <v>31189</v>
      </c>
      <c r="C6695" t="s">
        <v>42</v>
      </c>
      <c r="D6695" t="s">
        <v>31190</v>
      </c>
      <c r="E6695" t="e" cm="1">
        <f t="array" ref="E6695">- CHLORPHENAMINE MALEATE</f>
        <v>#NAME?</v>
      </c>
      <c r="F6695" t="s">
        <v>31191</v>
      </c>
      <c r="I6695" t="s">
        <v>31192</v>
      </c>
      <c r="M6695" t="s">
        <v>271</v>
      </c>
      <c r="N6695" t="s">
        <v>1354</v>
      </c>
      <c r="O6695" t="s">
        <v>31193</v>
      </c>
      <c r="P6695" t="s">
        <v>31194</v>
      </c>
      <c r="Q6695" t="s">
        <v>31195</v>
      </c>
      <c r="R6695">
        <v>19</v>
      </c>
      <c r="S6695">
        <v>32</v>
      </c>
    </row>
    <row r="6696" spans="1:19" x14ac:dyDescent="0.35">
      <c r="A6696">
        <v>5449</v>
      </c>
      <c r="B6696" t="s">
        <v>30062</v>
      </c>
      <c r="C6696" t="s">
        <v>42</v>
      </c>
      <c r="D6696" t="s">
        <v>30063</v>
      </c>
      <c r="E6696" t="e" cm="1">
        <f t="array" ref="E6696">- CHLORAMPHENICOL. PREDNISOLONE</f>
        <v>#NAME?</v>
      </c>
      <c r="F6696" t="s">
        <v>30064</v>
      </c>
      <c r="G6696" t="s">
        <v>7120</v>
      </c>
      <c r="H6696" t="s">
        <v>30065</v>
      </c>
      <c r="I6696" t="s">
        <v>30066</v>
      </c>
      <c r="J6696" t="s">
        <v>2167</v>
      </c>
      <c r="K6696" t="s">
        <v>30067</v>
      </c>
      <c r="L6696" t="s">
        <v>30068</v>
      </c>
      <c r="M6696" t="s">
        <v>1289</v>
      </c>
      <c r="N6696" t="s">
        <v>25011</v>
      </c>
      <c r="O6696" t="s">
        <v>30069</v>
      </c>
      <c r="P6696" t="s">
        <v>30070</v>
      </c>
      <c r="Q6696" t="s">
        <v>31196</v>
      </c>
      <c r="R6696">
        <v>19</v>
      </c>
      <c r="S6696">
        <v>32</v>
      </c>
    </row>
    <row r="6697" spans="1:19" x14ac:dyDescent="0.35">
      <c r="A6697">
        <v>9923</v>
      </c>
      <c r="B6697" t="s">
        <v>31197</v>
      </c>
      <c r="C6697" t="s">
        <v>42</v>
      </c>
      <c r="D6697" t="s">
        <v>31198</v>
      </c>
      <c r="E6697" t="e" cm="1">
        <f t="array" ref="E6697">- CLOPIDOGREL</f>
        <v>#NAME?</v>
      </c>
      <c r="F6697" t="s">
        <v>31199</v>
      </c>
      <c r="G6697" t="s">
        <v>30611</v>
      </c>
      <c r="H6697" t="s">
        <v>30612</v>
      </c>
      <c r="I6697" t="s">
        <v>30613</v>
      </c>
      <c r="J6697" t="s">
        <v>2100</v>
      </c>
      <c r="K6697" t="s">
        <v>30614</v>
      </c>
      <c r="L6697" t="s">
        <v>31200</v>
      </c>
      <c r="M6697" t="s">
        <v>46</v>
      </c>
      <c r="N6697" t="s">
        <v>22933</v>
      </c>
      <c r="O6697" t="s">
        <v>30616</v>
      </c>
      <c r="P6697" t="s">
        <v>31201</v>
      </c>
      <c r="Q6697" t="s">
        <v>31202</v>
      </c>
      <c r="R6697">
        <v>19</v>
      </c>
      <c r="S6697">
        <v>32</v>
      </c>
    </row>
    <row r="6698" spans="1:19" x14ac:dyDescent="0.35">
      <c r="A6698">
        <v>7299</v>
      </c>
      <c r="B6698" t="s">
        <v>31203</v>
      </c>
      <c r="C6698" t="s">
        <v>850</v>
      </c>
      <c r="D6698" t="s">
        <v>31204</v>
      </c>
      <c r="E6698" t="e" cm="1">
        <f t="array" ref="E6698">- Camphora</f>
        <v>#NAME?</v>
      </c>
      <c r="F6698" t="s">
        <v>31205</v>
      </c>
      <c r="H6698" t="s">
        <v>31206</v>
      </c>
      <c r="I6698" t="s">
        <v>31207</v>
      </c>
      <c r="J6698" t="s">
        <v>3856</v>
      </c>
      <c r="M6698" t="s">
        <v>3632</v>
      </c>
      <c r="N6698" t="s">
        <v>3633</v>
      </c>
      <c r="O6698" t="s">
        <v>31208</v>
      </c>
      <c r="P6698" t="s">
        <v>31209</v>
      </c>
      <c r="Q6698" t="s">
        <v>31210</v>
      </c>
      <c r="R6698">
        <v>19</v>
      </c>
      <c r="S6698">
        <v>32</v>
      </c>
    </row>
    <row r="6699" spans="1:19" x14ac:dyDescent="0.35">
      <c r="A6699">
        <v>7292</v>
      </c>
      <c r="B6699" t="s">
        <v>27541</v>
      </c>
      <c r="C6699" t="s">
        <v>850</v>
      </c>
      <c r="D6699" t="s">
        <v>31211</v>
      </c>
      <c r="E6699" t="e" cm="1">
        <f t="array" ref="E6699">- Camphor</f>
        <v>#NAME?</v>
      </c>
      <c r="F6699" t="s">
        <v>31212</v>
      </c>
      <c r="G6699" t="s">
        <v>27544</v>
      </c>
      <c r="H6699" t="s">
        <v>1322</v>
      </c>
      <c r="I6699" t="s">
        <v>31213</v>
      </c>
      <c r="J6699" t="s">
        <v>3504</v>
      </c>
      <c r="L6699" t="s">
        <v>31214</v>
      </c>
      <c r="M6699" t="s">
        <v>2115</v>
      </c>
      <c r="N6699" t="s">
        <v>853</v>
      </c>
      <c r="O6699" t="s">
        <v>31215</v>
      </c>
      <c r="P6699" t="s">
        <v>27547</v>
      </c>
      <c r="Q6699" t="s">
        <v>31216</v>
      </c>
      <c r="R6699">
        <v>19</v>
      </c>
      <c r="S6699">
        <v>32</v>
      </c>
    </row>
    <row r="6700" spans="1:19" x14ac:dyDescent="0.35">
      <c r="A6700">
        <v>7291</v>
      </c>
      <c r="B6700" t="s">
        <v>27541</v>
      </c>
      <c r="C6700" t="s">
        <v>850</v>
      </c>
      <c r="D6700" t="s">
        <v>31217</v>
      </c>
      <c r="E6700" t="e" cm="1">
        <f t="array" ref="E6700">- Camphor</f>
        <v>#NAME?</v>
      </c>
      <c r="F6700" t="s">
        <v>31218</v>
      </c>
      <c r="I6700" t="s">
        <v>31213</v>
      </c>
      <c r="J6700" t="s">
        <v>31219</v>
      </c>
      <c r="L6700" t="s">
        <v>31214</v>
      </c>
      <c r="M6700" t="s">
        <v>2115</v>
      </c>
      <c r="N6700" t="s">
        <v>853</v>
      </c>
      <c r="O6700" t="s">
        <v>31215</v>
      </c>
      <c r="P6700" t="s">
        <v>27547</v>
      </c>
      <c r="Q6700" t="s">
        <v>31216</v>
      </c>
      <c r="R6700">
        <v>19</v>
      </c>
      <c r="S6700">
        <v>32</v>
      </c>
    </row>
    <row r="6701" spans="1:19" x14ac:dyDescent="0.35">
      <c r="A6701">
        <v>635</v>
      </c>
      <c r="B6701" t="s">
        <v>23403</v>
      </c>
      <c r="C6701" t="s">
        <v>850</v>
      </c>
      <c r="D6701" t="s">
        <v>31220</v>
      </c>
      <c r="E6701" t="e" cm="1">
        <f t="array" ref="E6701">- Chamomile</f>
        <v>#NAME?</v>
      </c>
      <c r="F6701" t="s">
        <v>31221</v>
      </c>
      <c r="G6701" t="s">
        <v>23406</v>
      </c>
      <c r="H6701" t="s">
        <v>31222</v>
      </c>
      <c r="I6701" t="s">
        <v>31223</v>
      </c>
      <c r="J6701" t="s">
        <v>3197</v>
      </c>
      <c r="L6701" t="s">
        <v>31224</v>
      </c>
      <c r="M6701" t="s">
        <v>3632</v>
      </c>
      <c r="N6701" t="s">
        <v>23412</v>
      </c>
      <c r="O6701" t="s">
        <v>31225</v>
      </c>
      <c r="P6701" t="s">
        <v>23414</v>
      </c>
      <c r="Q6701" t="s">
        <v>31226</v>
      </c>
      <c r="R6701">
        <v>19</v>
      </c>
      <c r="S6701">
        <v>32</v>
      </c>
    </row>
    <row r="6702" spans="1:19" x14ac:dyDescent="0.35">
      <c r="A6702">
        <v>7207</v>
      </c>
      <c r="B6702" t="s">
        <v>28391</v>
      </c>
      <c r="C6702" t="s">
        <v>850</v>
      </c>
      <c r="D6702" t="s">
        <v>31227</v>
      </c>
      <c r="E6702" t="e" cm="1">
        <f t="array" ref="E6702">- Methyl Salicyllate</f>
        <v>#NAME?</v>
      </c>
      <c r="F6702" t="s">
        <v>31228</v>
      </c>
      <c r="G6702" t="s">
        <v>22321</v>
      </c>
      <c r="H6702" t="s">
        <v>28394</v>
      </c>
      <c r="I6702" t="s">
        <v>28395</v>
      </c>
      <c r="J6702" t="s">
        <v>31229</v>
      </c>
      <c r="L6702" t="s">
        <v>28424</v>
      </c>
      <c r="M6702" t="s">
        <v>3632</v>
      </c>
      <c r="N6702" t="s">
        <v>23241</v>
      </c>
      <c r="O6702" t="s">
        <v>28397</v>
      </c>
      <c r="P6702" t="s">
        <v>31029</v>
      </c>
      <c r="Q6702" t="s">
        <v>31230</v>
      </c>
      <c r="R6702">
        <v>19</v>
      </c>
      <c r="S6702">
        <v>32</v>
      </c>
    </row>
    <row r="6703" spans="1:19" x14ac:dyDescent="0.35">
      <c r="A6703">
        <v>8625</v>
      </c>
      <c r="B6703" t="s">
        <v>31231</v>
      </c>
      <c r="C6703" t="s">
        <v>42</v>
      </c>
      <c r="D6703" t="s">
        <v>31232</v>
      </c>
      <c r="E6703" t="e" cm="1">
        <f t="array" ref="E6703">- METFORMIN</f>
        <v>#NAME?</v>
      </c>
      <c r="F6703" t="s">
        <v>31233</v>
      </c>
      <c r="G6703" t="s">
        <v>2241</v>
      </c>
      <c r="H6703" t="s">
        <v>31234</v>
      </c>
      <c r="I6703" t="s">
        <v>31235</v>
      </c>
      <c r="J6703" t="s">
        <v>2978</v>
      </c>
      <c r="K6703" t="s">
        <v>31236</v>
      </c>
      <c r="L6703" t="s">
        <v>31237</v>
      </c>
      <c r="M6703" t="s">
        <v>291</v>
      </c>
      <c r="N6703" t="s">
        <v>31238</v>
      </c>
      <c r="O6703" t="s">
        <v>31239</v>
      </c>
      <c r="P6703" t="s">
        <v>31240</v>
      </c>
      <c r="Q6703" t="s">
        <v>31241</v>
      </c>
      <c r="R6703">
        <v>19</v>
      </c>
      <c r="S6703">
        <v>32</v>
      </c>
    </row>
    <row r="6704" spans="1:19" x14ac:dyDescent="0.35">
      <c r="A6704">
        <v>9963</v>
      </c>
      <c r="B6704" t="s">
        <v>31242</v>
      </c>
      <c r="C6704" t="s">
        <v>42</v>
      </c>
      <c r="D6704" t="s">
        <v>31243</v>
      </c>
      <c r="E6704" t="e" cm="1">
        <f t="array" ref="E6704">- ACETYLSALICYLIC ACID</f>
        <v>#NAME?</v>
      </c>
      <c r="F6704" t="s">
        <v>31244</v>
      </c>
      <c r="G6704" t="s">
        <v>13148</v>
      </c>
      <c r="H6704" t="s">
        <v>30716</v>
      </c>
      <c r="I6704" t="s">
        <v>30602</v>
      </c>
      <c r="J6704" t="s">
        <v>31245</v>
      </c>
      <c r="K6704" t="s">
        <v>30603</v>
      </c>
      <c r="L6704" t="s">
        <v>30604</v>
      </c>
      <c r="M6704" t="s">
        <v>46</v>
      </c>
      <c r="N6704" t="s">
        <v>2579</v>
      </c>
      <c r="O6704" t="s">
        <v>30605</v>
      </c>
      <c r="P6704" t="s">
        <v>31246</v>
      </c>
      <c r="Q6704" t="s">
        <v>31247</v>
      </c>
      <c r="R6704">
        <v>19</v>
      </c>
      <c r="S6704">
        <v>32</v>
      </c>
    </row>
    <row r="6705" spans="1:19" x14ac:dyDescent="0.35">
      <c r="A6705">
        <v>953</v>
      </c>
      <c r="B6705" t="s">
        <v>31248</v>
      </c>
      <c r="C6705" t="s">
        <v>42</v>
      </c>
      <c r="D6705" t="s">
        <v>31249</v>
      </c>
      <c r="E6705" t="e" cm="1">
        <f t="array" ref="E6705">- AMBROXOL HYDROCHLORIDE</f>
        <v>#NAME?</v>
      </c>
      <c r="F6705" t="s">
        <v>31250</v>
      </c>
      <c r="G6705" t="s">
        <v>4640</v>
      </c>
      <c r="H6705" t="s">
        <v>30235</v>
      </c>
      <c r="I6705" t="s">
        <v>29055</v>
      </c>
      <c r="J6705" t="s">
        <v>334</v>
      </c>
      <c r="K6705" t="s">
        <v>3952</v>
      </c>
      <c r="L6705" t="s">
        <v>22896</v>
      </c>
      <c r="M6705" t="s">
        <v>271</v>
      </c>
      <c r="N6705" t="s">
        <v>1800</v>
      </c>
      <c r="O6705" t="s">
        <v>29056</v>
      </c>
      <c r="P6705" t="s">
        <v>31251</v>
      </c>
      <c r="Q6705" t="s">
        <v>31252</v>
      </c>
      <c r="R6705">
        <v>19</v>
      </c>
      <c r="S6705">
        <v>32</v>
      </c>
    </row>
    <row r="6706" spans="1:19" x14ac:dyDescent="0.35">
      <c r="A6706">
        <v>954</v>
      </c>
      <c r="B6706" t="s">
        <v>31248</v>
      </c>
      <c r="C6706" t="s">
        <v>42</v>
      </c>
      <c r="D6706" t="s">
        <v>31249</v>
      </c>
      <c r="E6706" t="e" cm="1">
        <f t="array" ref="E6706">- AMBROXOL HYDROCHLORIDE</f>
        <v>#NAME?</v>
      </c>
      <c r="F6706" t="s">
        <v>31250</v>
      </c>
      <c r="G6706" t="s">
        <v>4640</v>
      </c>
      <c r="H6706" t="s">
        <v>30235</v>
      </c>
      <c r="I6706" t="s">
        <v>29055</v>
      </c>
      <c r="J6706" t="s">
        <v>334</v>
      </c>
      <c r="K6706" t="s">
        <v>3952</v>
      </c>
      <c r="L6706" t="s">
        <v>22896</v>
      </c>
      <c r="M6706" t="s">
        <v>271</v>
      </c>
      <c r="N6706" t="s">
        <v>1800</v>
      </c>
      <c r="O6706" t="s">
        <v>29056</v>
      </c>
      <c r="P6706" t="s">
        <v>31251</v>
      </c>
      <c r="Q6706" t="s">
        <v>31252</v>
      </c>
      <c r="R6706">
        <v>19</v>
      </c>
      <c r="S6706">
        <v>32</v>
      </c>
    </row>
    <row r="6707" spans="1:19" x14ac:dyDescent="0.35">
      <c r="A6707">
        <v>649</v>
      </c>
      <c r="B6707" t="s">
        <v>28808</v>
      </c>
      <c r="C6707" t="s">
        <v>42</v>
      </c>
      <c r="D6707" t="s">
        <v>28809</v>
      </c>
      <c r="E6707" t="e" cm="1">
        <f t="array" ref="E6707">- MICONAZOLE NITRATE. ZINC OXIDE</f>
        <v>#NAME?</v>
      </c>
      <c r="F6707" t="s">
        <v>28810</v>
      </c>
      <c r="H6707" t="s">
        <v>28811</v>
      </c>
      <c r="I6707" t="s">
        <v>28812</v>
      </c>
      <c r="J6707" t="s">
        <v>7213</v>
      </c>
      <c r="L6707" t="s">
        <v>28813</v>
      </c>
      <c r="M6707" t="s">
        <v>1029</v>
      </c>
      <c r="N6707" t="s">
        <v>31253</v>
      </c>
      <c r="O6707" t="s">
        <v>28814</v>
      </c>
      <c r="P6707" t="s">
        <v>28815</v>
      </c>
      <c r="Q6707" t="s">
        <v>31254</v>
      </c>
      <c r="R6707">
        <v>19</v>
      </c>
      <c r="S6707">
        <v>32</v>
      </c>
    </row>
    <row r="6708" spans="1:19" x14ac:dyDescent="0.35">
      <c r="A6708">
        <v>8620</v>
      </c>
      <c r="B6708" t="s">
        <v>30926</v>
      </c>
      <c r="C6708" t="s">
        <v>42</v>
      </c>
      <c r="D6708" t="s">
        <v>30927</v>
      </c>
      <c r="E6708" t="e" cm="1">
        <f t="array" ref="E6708">- PIOGLITAZONE HYDROCHLORIDE</f>
        <v>#NAME?</v>
      </c>
      <c r="F6708" t="s">
        <v>30928</v>
      </c>
      <c r="G6708" t="s">
        <v>6869</v>
      </c>
      <c r="H6708" t="s">
        <v>30929</v>
      </c>
      <c r="I6708" t="s">
        <v>29045</v>
      </c>
      <c r="J6708" t="s">
        <v>1136</v>
      </c>
      <c r="K6708" t="s">
        <v>29046</v>
      </c>
      <c r="L6708" t="s">
        <v>29047</v>
      </c>
      <c r="M6708" t="s">
        <v>46</v>
      </c>
      <c r="N6708" t="s">
        <v>2389</v>
      </c>
      <c r="O6708" t="s">
        <v>29048</v>
      </c>
      <c r="P6708" t="s">
        <v>30930</v>
      </c>
      <c r="Q6708" t="s">
        <v>30931</v>
      </c>
      <c r="R6708">
        <v>19</v>
      </c>
      <c r="S6708">
        <v>32</v>
      </c>
    </row>
    <row r="6709" spans="1:19" x14ac:dyDescent="0.35">
      <c r="A6709">
        <v>9962</v>
      </c>
      <c r="B6709" t="s">
        <v>31242</v>
      </c>
      <c r="C6709" t="s">
        <v>42</v>
      </c>
      <c r="D6709" t="s">
        <v>31243</v>
      </c>
      <c r="E6709" t="e" cm="1">
        <f t="array" ref="E6709">- ACETYLSALICYLIC ACID</f>
        <v>#NAME?</v>
      </c>
      <c r="F6709" t="s">
        <v>31244</v>
      </c>
      <c r="G6709" t="s">
        <v>13148</v>
      </c>
      <c r="H6709" t="s">
        <v>30716</v>
      </c>
      <c r="I6709" t="s">
        <v>30602</v>
      </c>
      <c r="J6709" t="s">
        <v>31245</v>
      </c>
      <c r="K6709" t="s">
        <v>30603</v>
      </c>
      <c r="L6709" t="s">
        <v>30604</v>
      </c>
      <c r="M6709" t="s">
        <v>46</v>
      </c>
      <c r="N6709" t="s">
        <v>2579</v>
      </c>
      <c r="O6709" t="s">
        <v>30605</v>
      </c>
      <c r="P6709" t="s">
        <v>31246</v>
      </c>
      <c r="Q6709" t="s">
        <v>31247</v>
      </c>
      <c r="R6709">
        <v>19</v>
      </c>
      <c r="S6709">
        <v>32</v>
      </c>
    </row>
    <row r="6710" spans="1:19" x14ac:dyDescent="0.35">
      <c r="A6710">
        <v>8623</v>
      </c>
      <c r="B6710" t="s">
        <v>31175</v>
      </c>
      <c r="C6710" t="s">
        <v>42</v>
      </c>
      <c r="D6710" t="s">
        <v>31176</v>
      </c>
      <c r="E6710" t="e" cm="1">
        <f t="array" ref="E6710">- PIOGLITAZONE HYDROCHLORIDE</f>
        <v>#NAME?</v>
      </c>
      <c r="F6710" t="s">
        <v>31177</v>
      </c>
      <c r="G6710" t="s">
        <v>60</v>
      </c>
      <c r="H6710" t="s">
        <v>31178</v>
      </c>
      <c r="I6710" t="s">
        <v>29045</v>
      </c>
      <c r="J6710" t="s">
        <v>1136</v>
      </c>
      <c r="K6710" t="s">
        <v>29046</v>
      </c>
      <c r="L6710" t="s">
        <v>31179</v>
      </c>
    </row>
    <row r="6711" spans="1:19" x14ac:dyDescent="0.35">
      <c r="A6711">
        <v>9943</v>
      </c>
      <c r="B6711" t="s">
        <v>31255</v>
      </c>
      <c r="C6711" t="s">
        <v>42</v>
      </c>
      <c r="D6711" t="s">
        <v>31256</v>
      </c>
      <c r="E6711" t="e" cm="1">
        <f t="array" ref="E6711">- CLOPIDOGREL</f>
        <v>#NAME?</v>
      </c>
      <c r="F6711" t="s">
        <v>31257</v>
      </c>
      <c r="G6711" t="s">
        <v>30611</v>
      </c>
      <c r="H6711" t="s">
        <v>30612</v>
      </c>
      <c r="I6711" t="s">
        <v>30613</v>
      </c>
      <c r="J6711" t="s">
        <v>31258</v>
      </c>
      <c r="L6711" t="s">
        <v>31200</v>
      </c>
      <c r="M6711" t="s">
        <v>46</v>
      </c>
      <c r="N6711" t="s">
        <v>22933</v>
      </c>
      <c r="O6711" t="s">
        <v>30616</v>
      </c>
      <c r="P6711" t="s">
        <v>31259</v>
      </c>
      <c r="Q6711" t="s">
        <v>31260</v>
      </c>
      <c r="R6711">
        <v>19</v>
      </c>
      <c r="S6711">
        <v>32</v>
      </c>
    </row>
    <row r="6712" spans="1:19" x14ac:dyDescent="0.35">
      <c r="A6712">
        <v>9925</v>
      </c>
      <c r="B6712" t="s">
        <v>31261</v>
      </c>
      <c r="C6712" t="s">
        <v>42</v>
      </c>
      <c r="D6712" t="s">
        <v>31262</v>
      </c>
      <c r="E6712" t="e" cm="1">
        <f t="array" ref="E6712">- ACETYLSALICYLIC ACID</f>
        <v>#NAME?</v>
      </c>
      <c r="F6712" t="s">
        <v>31263</v>
      </c>
      <c r="G6712" t="s">
        <v>13148</v>
      </c>
      <c r="H6712" t="s">
        <v>30716</v>
      </c>
      <c r="I6712" t="s">
        <v>30602</v>
      </c>
      <c r="J6712" t="s">
        <v>13151</v>
      </c>
      <c r="K6712" t="s">
        <v>30603</v>
      </c>
      <c r="L6712" t="s">
        <v>30604</v>
      </c>
      <c r="M6712" t="s">
        <v>46</v>
      </c>
      <c r="N6712" t="s">
        <v>2579</v>
      </c>
      <c r="O6712" t="s">
        <v>30605</v>
      </c>
      <c r="P6712" t="s">
        <v>31264</v>
      </c>
      <c r="Q6712" t="s">
        <v>31265</v>
      </c>
      <c r="R6712">
        <v>19</v>
      </c>
      <c r="S6712">
        <v>32</v>
      </c>
    </row>
    <row r="6713" spans="1:19" x14ac:dyDescent="0.35">
      <c r="A6713">
        <v>9924</v>
      </c>
      <c r="B6713" t="s">
        <v>31261</v>
      </c>
      <c r="C6713" t="s">
        <v>42</v>
      </c>
      <c r="D6713" t="s">
        <v>31262</v>
      </c>
      <c r="E6713" t="e" cm="1">
        <f t="array" ref="E6713">- ACETYLSALICYLIC ACID</f>
        <v>#NAME?</v>
      </c>
      <c r="F6713" t="s">
        <v>31263</v>
      </c>
      <c r="G6713" t="s">
        <v>13148</v>
      </c>
      <c r="H6713" t="s">
        <v>30716</v>
      </c>
      <c r="I6713" t="s">
        <v>30602</v>
      </c>
      <c r="J6713" t="s">
        <v>13151</v>
      </c>
      <c r="K6713" t="s">
        <v>30603</v>
      </c>
      <c r="L6713" t="s">
        <v>30604</v>
      </c>
      <c r="M6713" t="s">
        <v>46</v>
      </c>
      <c r="N6713" t="s">
        <v>2579</v>
      </c>
      <c r="O6713" t="s">
        <v>30605</v>
      </c>
      <c r="P6713" t="s">
        <v>31264</v>
      </c>
      <c r="Q6713" t="s">
        <v>31265</v>
      </c>
      <c r="R6713">
        <v>19</v>
      </c>
      <c r="S6713">
        <v>32</v>
      </c>
    </row>
    <row r="6714" spans="1:19" x14ac:dyDescent="0.35">
      <c r="A6714">
        <v>637</v>
      </c>
      <c r="B6714" t="s">
        <v>31266</v>
      </c>
      <c r="C6714" t="s">
        <v>850</v>
      </c>
      <c r="D6714" t="s">
        <v>31267</v>
      </c>
      <c r="E6714" t="e" cm="1">
        <f t="array" ref="E6714">- Camphor</f>
        <v>#NAME?</v>
      </c>
      <c r="F6714" t="s">
        <v>31268</v>
      </c>
      <c r="G6714" t="s">
        <v>31269</v>
      </c>
      <c r="H6714" t="s">
        <v>31270</v>
      </c>
      <c r="I6714" t="s">
        <v>31223</v>
      </c>
      <c r="J6714" t="s">
        <v>1367</v>
      </c>
      <c r="L6714" t="s">
        <v>31224</v>
      </c>
      <c r="M6714" t="s">
        <v>3632</v>
      </c>
      <c r="N6714" t="s">
        <v>853</v>
      </c>
      <c r="O6714" t="s">
        <v>31225</v>
      </c>
      <c r="P6714" t="s">
        <v>31271</v>
      </c>
      <c r="Q6714" t="s">
        <v>31272</v>
      </c>
      <c r="R6714">
        <v>19</v>
      </c>
      <c r="S6714">
        <v>32</v>
      </c>
    </row>
    <row r="6715" spans="1:19" x14ac:dyDescent="0.35">
      <c r="A6715">
        <v>636</v>
      </c>
      <c r="B6715" t="s">
        <v>31266</v>
      </c>
      <c r="C6715" t="s">
        <v>850</v>
      </c>
      <c r="D6715" t="s">
        <v>31273</v>
      </c>
      <c r="E6715" t="e" cm="1">
        <f t="array" ref="E6715">- Camphor</f>
        <v>#NAME?</v>
      </c>
      <c r="F6715" t="s">
        <v>31274</v>
      </c>
      <c r="G6715" t="s">
        <v>31269</v>
      </c>
      <c r="H6715" t="s">
        <v>31270</v>
      </c>
      <c r="I6715" t="s">
        <v>31223</v>
      </c>
      <c r="J6715" t="s">
        <v>3197</v>
      </c>
      <c r="L6715" t="s">
        <v>31224</v>
      </c>
      <c r="M6715" t="s">
        <v>3632</v>
      </c>
      <c r="N6715" t="s">
        <v>853</v>
      </c>
      <c r="O6715" t="s">
        <v>31225</v>
      </c>
      <c r="P6715" t="s">
        <v>31271</v>
      </c>
      <c r="Q6715" t="s">
        <v>31272</v>
      </c>
      <c r="R6715">
        <v>19</v>
      </c>
      <c r="S6715">
        <v>32</v>
      </c>
    </row>
    <row r="6716" spans="1:19" x14ac:dyDescent="0.35">
      <c r="A6716">
        <v>9961</v>
      </c>
      <c r="B6716" t="s">
        <v>31242</v>
      </c>
      <c r="C6716" t="s">
        <v>42</v>
      </c>
      <c r="D6716" t="s">
        <v>31243</v>
      </c>
      <c r="E6716" t="e" cm="1">
        <f t="array" ref="E6716">- ACETYLSALICYLIC ACID</f>
        <v>#NAME?</v>
      </c>
      <c r="F6716" t="s">
        <v>31244</v>
      </c>
      <c r="G6716" t="s">
        <v>13148</v>
      </c>
      <c r="H6716" t="s">
        <v>30716</v>
      </c>
      <c r="I6716" t="s">
        <v>30602</v>
      </c>
      <c r="J6716" t="s">
        <v>31245</v>
      </c>
      <c r="K6716" t="s">
        <v>30603</v>
      </c>
      <c r="L6716" t="s">
        <v>30604</v>
      </c>
      <c r="M6716" t="s">
        <v>46</v>
      </c>
      <c r="N6716" t="s">
        <v>2579</v>
      </c>
      <c r="O6716" t="s">
        <v>30605</v>
      </c>
      <c r="P6716" t="s">
        <v>31246</v>
      </c>
      <c r="Q6716" t="s">
        <v>31247</v>
      </c>
      <c r="R6716">
        <v>19</v>
      </c>
      <c r="S6716">
        <v>32</v>
      </c>
    </row>
    <row r="6717" spans="1:19" x14ac:dyDescent="0.35">
      <c r="A6717">
        <v>4672</v>
      </c>
      <c r="B6717" t="s">
        <v>30932</v>
      </c>
      <c r="C6717" t="s">
        <v>42</v>
      </c>
      <c r="D6717" t="s">
        <v>30933</v>
      </c>
      <c r="E6717" t="e" cm="1">
        <f t="array" ref="E6717">- HYDROXYETHYLCELLULOSE</f>
        <v>#NAME?</v>
      </c>
      <c r="F6717" t="s">
        <v>30934</v>
      </c>
      <c r="H6717" t="s">
        <v>30935</v>
      </c>
      <c r="I6717" t="s">
        <v>30936</v>
      </c>
      <c r="J6717" t="s">
        <v>11321</v>
      </c>
      <c r="K6717" t="s">
        <v>30937</v>
      </c>
      <c r="L6717" t="s">
        <v>18996</v>
      </c>
      <c r="M6717" t="s">
        <v>824</v>
      </c>
      <c r="N6717" t="s">
        <v>30938</v>
      </c>
      <c r="O6717" t="s">
        <v>30939</v>
      </c>
      <c r="P6717" t="s">
        <v>30940</v>
      </c>
      <c r="Q6717" t="s">
        <v>30941</v>
      </c>
      <c r="R6717">
        <v>19</v>
      </c>
      <c r="S6717">
        <v>32</v>
      </c>
    </row>
    <row r="6718" spans="1:19" x14ac:dyDescent="0.35">
      <c r="A6718">
        <v>4667</v>
      </c>
      <c r="B6718" t="s">
        <v>30932</v>
      </c>
      <c r="C6718" t="s">
        <v>42</v>
      </c>
      <c r="D6718" t="s">
        <v>30933</v>
      </c>
      <c r="E6718" t="e" cm="1">
        <f t="array" ref="E6718">- HYETELLOSE</f>
        <v>#NAME?</v>
      </c>
      <c r="F6718" t="s">
        <v>30934</v>
      </c>
      <c r="H6718" t="s">
        <v>30935</v>
      </c>
      <c r="I6718" t="s">
        <v>30936</v>
      </c>
      <c r="J6718" t="s">
        <v>11321</v>
      </c>
      <c r="K6718" t="s">
        <v>30937</v>
      </c>
      <c r="L6718" t="s">
        <v>18996</v>
      </c>
      <c r="M6718" t="s">
        <v>824</v>
      </c>
      <c r="N6718" t="s">
        <v>31275</v>
      </c>
      <c r="O6718" t="s">
        <v>30939</v>
      </c>
      <c r="P6718" t="s">
        <v>30940</v>
      </c>
      <c r="Q6718" t="s">
        <v>31276</v>
      </c>
      <c r="R6718">
        <v>19</v>
      </c>
      <c r="S6718">
        <v>32</v>
      </c>
    </row>
    <row r="6719" spans="1:19" x14ac:dyDescent="0.35">
      <c r="A6719">
        <v>4671</v>
      </c>
      <c r="B6719" t="s">
        <v>30932</v>
      </c>
      <c r="C6719" t="s">
        <v>42</v>
      </c>
      <c r="D6719" t="s">
        <v>30933</v>
      </c>
      <c r="E6719" t="e" cm="1">
        <f t="array" ref="E6719">- HYDROXYETHYLCELLULOSE</f>
        <v>#NAME?</v>
      </c>
      <c r="F6719" t="s">
        <v>30934</v>
      </c>
      <c r="H6719" t="s">
        <v>30935</v>
      </c>
      <c r="I6719" t="s">
        <v>30936</v>
      </c>
      <c r="J6719" t="s">
        <v>11321</v>
      </c>
      <c r="K6719" t="s">
        <v>30937</v>
      </c>
      <c r="L6719" t="s">
        <v>18996</v>
      </c>
      <c r="M6719" t="s">
        <v>824</v>
      </c>
      <c r="N6719" t="s">
        <v>30938</v>
      </c>
      <c r="O6719" t="s">
        <v>30939</v>
      </c>
      <c r="P6719" t="s">
        <v>30940</v>
      </c>
      <c r="Q6719" t="s">
        <v>30941</v>
      </c>
      <c r="R6719">
        <v>19</v>
      </c>
      <c r="S6719">
        <v>32</v>
      </c>
    </row>
    <row r="6720" spans="1:19" x14ac:dyDescent="0.35">
      <c r="A6720">
        <v>2981</v>
      </c>
      <c r="B6720" t="s">
        <v>31277</v>
      </c>
      <c r="C6720" t="s">
        <v>42</v>
      </c>
      <c r="D6720" t="s">
        <v>31278</v>
      </c>
      <c r="E6720" t="e" cm="1">
        <f t="array" ref="E6720">- IBUPROFEN</f>
        <v>#NAME?</v>
      </c>
      <c r="F6720" t="s">
        <v>31279</v>
      </c>
      <c r="G6720" t="s">
        <v>2241</v>
      </c>
      <c r="H6720" t="s">
        <v>31280</v>
      </c>
    </row>
    <row r="6721" spans="1:19" x14ac:dyDescent="0.35">
      <c r="A6721">
        <v>1256</v>
      </c>
      <c r="B6721" t="s">
        <v>24500</v>
      </c>
      <c r="C6721" t="s">
        <v>42</v>
      </c>
      <c r="D6721" t="s">
        <v>24501</v>
      </c>
      <c r="E6721" t="e" cm="1">
        <f t="array" ref="E6721">- PARACETAMOL. CHLORPHENAMINE MALEATE. GUAIFENESIN. PHENYLPROPANOLAMINE HYDROCHLORIDE</f>
        <v>#NAME?</v>
      </c>
      <c r="F6721" t="s">
        <v>24502</v>
      </c>
      <c r="H6721" t="s">
        <v>24503</v>
      </c>
      <c r="I6721" t="s">
        <v>24504</v>
      </c>
      <c r="J6721" t="s">
        <v>334</v>
      </c>
      <c r="M6721" t="s">
        <v>271</v>
      </c>
      <c r="N6721" t="s">
        <v>31281</v>
      </c>
      <c r="O6721" t="s">
        <v>24505</v>
      </c>
      <c r="P6721" t="s">
        <v>24506</v>
      </c>
      <c r="Q6721" t="s">
        <v>31282</v>
      </c>
      <c r="R6721">
        <v>19</v>
      </c>
      <c r="S6721">
        <v>32</v>
      </c>
    </row>
    <row r="6722" spans="1:19" x14ac:dyDescent="0.35">
      <c r="A6722">
        <v>1245</v>
      </c>
      <c r="B6722" t="s">
        <v>31283</v>
      </c>
      <c r="C6722" t="s">
        <v>42</v>
      </c>
      <c r="D6722" t="s">
        <v>31284</v>
      </c>
      <c r="E6722" t="e" cm="1">
        <f t="array" ref="E6722">- AMBROXOL HYDROCHLORIDE</f>
        <v>#NAME?</v>
      </c>
      <c r="F6722" t="s">
        <v>31285</v>
      </c>
      <c r="G6722" t="s">
        <v>2241</v>
      </c>
      <c r="H6722" t="s">
        <v>31286</v>
      </c>
      <c r="I6722" t="s">
        <v>31287</v>
      </c>
      <c r="J6722" t="s">
        <v>334</v>
      </c>
      <c r="M6722" t="s">
        <v>271</v>
      </c>
      <c r="N6722" t="s">
        <v>1800</v>
      </c>
      <c r="O6722" t="s">
        <v>31288</v>
      </c>
      <c r="P6722" t="s">
        <v>31289</v>
      </c>
      <c r="Q6722" t="s">
        <v>31290</v>
      </c>
      <c r="R6722">
        <v>19</v>
      </c>
      <c r="S6722">
        <v>32</v>
      </c>
    </row>
    <row r="6723" spans="1:19" x14ac:dyDescent="0.35">
      <c r="A6723">
        <v>2820</v>
      </c>
      <c r="B6723" t="s">
        <v>31291</v>
      </c>
      <c r="C6723" t="s">
        <v>42</v>
      </c>
      <c r="D6723" t="s">
        <v>31292</v>
      </c>
      <c r="E6723" t="e" cm="1">
        <f t="array" ref="E6723">- PARACETAMOL</f>
        <v>#NAME?</v>
      </c>
      <c r="F6723" t="s">
        <v>31293</v>
      </c>
      <c r="G6723" t="s">
        <v>31294</v>
      </c>
      <c r="H6723" t="s">
        <v>31295</v>
      </c>
      <c r="I6723" t="s">
        <v>30383</v>
      </c>
      <c r="J6723" t="s">
        <v>31296</v>
      </c>
      <c r="K6723" t="s">
        <v>23793</v>
      </c>
      <c r="L6723" t="s">
        <v>16925</v>
      </c>
      <c r="M6723" t="s">
        <v>46</v>
      </c>
      <c r="N6723" t="s">
        <v>584</v>
      </c>
      <c r="O6723" t="s">
        <v>30384</v>
      </c>
      <c r="P6723" t="s">
        <v>31297</v>
      </c>
      <c r="Q6723" t="s">
        <v>31298</v>
      </c>
      <c r="R6723">
        <v>19</v>
      </c>
      <c r="S6723">
        <v>32</v>
      </c>
    </row>
    <row r="6724" spans="1:19" x14ac:dyDescent="0.35">
      <c r="A6724">
        <v>1227</v>
      </c>
      <c r="B6724" t="s">
        <v>22629</v>
      </c>
      <c r="C6724" t="s">
        <v>42</v>
      </c>
      <c r="D6724" t="s">
        <v>22630</v>
      </c>
      <c r="E6724" t="e" cm="1">
        <f t="array" ref="E6724">- PARACETAMOL. PHENYLEPHRINE HYDROCHLORIDE. PARACETAMOL. PHENYLEPHRINE HYDROCHLORIDE</f>
        <v>#NAME?</v>
      </c>
      <c r="F6724" t="s">
        <v>20462</v>
      </c>
      <c r="G6724" t="s">
        <v>2241</v>
      </c>
      <c r="H6724" t="s">
        <v>22631</v>
      </c>
      <c r="I6724" t="s">
        <v>22632</v>
      </c>
      <c r="J6724" t="s">
        <v>21381</v>
      </c>
      <c r="M6724" t="s">
        <v>291</v>
      </c>
      <c r="N6724" t="s">
        <v>31299</v>
      </c>
      <c r="O6724" t="s">
        <v>22633</v>
      </c>
      <c r="P6724" t="s">
        <v>22634</v>
      </c>
      <c r="Q6724" t="s">
        <v>31300</v>
      </c>
      <c r="R6724">
        <v>19</v>
      </c>
      <c r="S6724">
        <v>32</v>
      </c>
    </row>
    <row r="6725" spans="1:19" x14ac:dyDescent="0.35">
      <c r="A6725">
        <v>1226</v>
      </c>
      <c r="B6725" t="s">
        <v>22629</v>
      </c>
      <c r="C6725" t="s">
        <v>42</v>
      </c>
      <c r="D6725" t="s">
        <v>22630</v>
      </c>
      <c r="E6725" t="e" cm="1">
        <f t="array" ref="E6725">- PARACETAMOL. PHENYLEPHRINE HYDROCHLORIDE. PARACETAMOL. PHENYLEPHRINE HYDROCHLORIDE</f>
        <v>#NAME?</v>
      </c>
      <c r="F6725" t="s">
        <v>20462</v>
      </c>
      <c r="G6725" t="s">
        <v>2241</v>
      </c>
      <c r="H6725" t="s">
        <v>22631</v>
      </c>
      <c r="I6725" t="s">
        <v>22632</v>
      </c>
      <c r="J6725" t="s">
        <v>21381</v>
      </c>
      <c r="M6725" t="s">
        <v>291</v>
      </c>
      <c r="N6725" t="s">
        <v>31299</v>
      </c>
      <c r="O6725" t="s">
        <v>22633</v>
      </c>
      <c r="P6725" t="s">
        <v>22634</v>
      </c>
      <c r="Q6725" t="s">
        <v>31300</v>
      </c>
      <c r="R6725">
        <v>19</v>
      </c>
      <c r="S6725">
        <v>32</v>
      </c>
    </row>
    <row r="6726" spans="1:19" x14ac:dyDescent="0.35">
      <c r="A6726">
        <v>3931</v>
      </c>
      <c r="B6726" t="s">
        <v>22824</v>
      </c>
      <c r="C6726" t="s">
        <v>42</v>
      </c>
      <c r="D6726" t="s">
        <v>31301</v>
      </c>
      <c r="E6726" t="e" cm="1">
        <f t="array" ref="E6726">- BISACODYL</f>
        <v>#NAME?</v>
      </c>
      <c r="F6726" t="s">
        <v>25914</v>
      </c>
      <c r="G6726" t="s">
        <v>31302</v>
      </c>
      <c r="H6726" t="s">
        <v>31303</v>
      </c>
      <c r="I6726" t="s">
        <v>31304</v>
      </c>
      <c r="J6726" t="s">
        <v>31305</v>
      </c>
      <c r="K6726" t="s">
        <v>31306</v>
      </c>
      <c r="L6726" t="s">
        <v>31307</v>
      </c>
      <c r="M6726" t="s">
        <v>46</v>
      </c>
      <c r="N6726" t="s">
        <v>20824</v>
      </c>
      <c r="O6726" t="s">
        <v>31308</v>
      </c>
      <c r="P6726" t="s">
        <v>31309</v>
      </c>
      <c r="Q6726" t="s">
        <v>31310</v>
      </c>
      <c r="R6726">
        <v>19</v>
      </c>
      <c r="S6726">
        <v>32</v>
      </c>
    </row>
    <row r="6727" spans="1:19" x14ac:dyDescent="0.35">
      <c r="A6727">
        <v>3932</v>
      </c>
      <c r="B6727" t="s">
        <v>22824</v>
      </c>
      <c r="C6727" t="s">
        <v>42</v>
      </c>
      <c r="D6727" t="s">
        <v>31301</v>
      </c>
      <c r="E6727" t="e" cm="1">
        <f t="array" ref="E6727">- BISACODYL</f>
        <v>#NAME?</v>
      </c>
      <c r="F6727" t="s">
        <v>25914</v>
      </c>
      <c r="G6727" t="s">
        <v>31302</v>
      </c>
      <c r="H6727" t="s">
        <v>31303</v>
      </c>
      <c r="I6727" t="s">
        <v>31304</v>
      </c>
      <c r="J6727" t="s">
        <v>31305</v>
      </c>
      <c r="K6727" t="s">
        <v>31306</v>
      </c>
      <c r="L6727" t="s">
        <v>31307</v>
      </c>
      <c r="M6727" t="s">
        <v>46</v>
      </c>
      <c r="N6727" t="s">
        <v>20824</v>
      </c>
      <c r="O6727" t="s">
        <v>31308</v>
      </c>
      <c r="P6727" t="s">
        <v>31309</v>
      </c>
      <c r="Q6727" t="s">
        <v>31310</v>
      </c>
      <c r="R6727">
        <v>19</v>
      </c>
      <c r="S6727">
        <v>32</v>
      </c>
    </row>
    <row r="6728" spans="1:19" x14ac:dyDescent="0.35">
      <c r="A6728">
        <v>2819</v>
      </c>
      <c r="B6728" t="s">
        <v>31291</v>
      </c>
      <c r="C6728" t="s">
        <v>42</v>
      </c>
      <c r="D6728" t="s">
        <v>31292</v>
      </c>
      <c r="E6728" t="e" cm="1">
        <f t="array" ref="E6728">- PARACETAMOL</f>
        <v>#NAME?</v>
      </c>
      <c r="F6728" t="s">
        <v>31293</v>
      </c>
      <c r="G6728" t="s">
        <v>31294</v>
      </c>
      <c r="H6728" t="s">
        <v>31295</v>
      </c>
      <c r="I6728" t="s">
        <v>30383</v>
      </c>
      <c r="J6728" t="s">
        <v>31296</v>
      </c>
      <c r="K6728" t="s">
        <v>23793</v>
      </c>
      <c r="L6728" t="s">
        <v>16925</v>
      </c>
      <c r="M6728" t="s">
        <v>46</v>
      </c>
      <c r="N6728" t="s">
        <v>584</v>
      </c>
      <c r="O6728" t="s">
        <v>30384</v>
      </c>
      <c r="P6728" t="s">
        <v>31297</v>
      </c>
      <c r="Q6728" t="s">
        <v>31298</v>
      </c>
      <c r="R6728">
        <v>19</v>
      </c>
      <c r="S6728">
        <v>32</v>
      </c>
    </row>
    <row r="6729" spans="1:19" x14ac:dyDescent="0.35">
      <c r="A6729">
        <v>2818</v>
      </c>
      <c r="B6729" t="s">
        <v>31291</v>
      </c>
      <c r="C6729" t="s">
        <v>42</v>
      </c>
      <c r="D6729" t="s">
        <v>31292</v>
      </c>
      <c r="E6729" t="e" cm="1">
        <f t="array" ref="E6729">- PARACETAMOL</f>
        <v>#NAME?</v>
      </c>
      <c r="F6729" t="s">
        <v>31293</v>
      </c>
      <c r="G6729" t="s">
        <v>31294</v>
      </c>
      <c r="H6729" t="s">
        <v>31295</v>
      </c>
      <c r="I6729" t="s">
        <v>30383</v>
      </c>
      <c r="J6729" t="s">
        <v>31296</v>
      </c>
      <c r="K6729" t="s">
        <v>23793</v>
      </c>
      <c r="L6729" t="s">
        <v>16925</v>
      </c>
      <c r="M6729" t="s">
        <v>46</v>
      </c>
      <c r="N6729" t="s">
        <v>584</v>
      </c>
      <c r="O6729" t="s">
        <v>30384</v>
      </c>
      <c r="P6729" t="s">
        <v>31297</v>
      </c>
      <c r="Q6729" t="s">
        <v>31298</v>
      </c>
      <c r="R6729">
        <v>19</v>
      </c>
      <c r="S6729">
        <v>32</v>
      </c>
    </row>
    <row r="6730" spans="1:19" x14ac:dyDescent="0.35">
      <c r="A6730">
        <v>1419</v>
      </c>
      <c r="B6730" t="s">
        <v>30732</v>
      </c>
      <c r="C6730" t="s">
        <v>42</v>
      </c>
      <c r="D6730" t="s">
        <v>31311</v>
      </c>
      <c r="E6730" t="e" cm="1">
        <f t="array" ref="E6730">- AMMONIUM CHLORIDE</f>
        <v>#NAME?</v>
      </c>
      <c r="F6730" t="s">
        <v>31312</v>
      </c>
      <c r="G6730" t="s">
        <v>7219</v>
      </c>
      <c r="H6730" t="s">
        <v>30735</v>
      </c>
      <c r="I6730" t="s">
        <v>29641</v>
      </c>
      <c r="J6730" t="s">
        <v>334</v>
      </c>
      <c r="K6730" t="e" cm="1">
        <f t="array" ref="K6730">- penderita yang hipersensitif terhadap komponen obat ini. - penderita dengan gangguan fungsi hati yang berat. - penderita dengan gangguan jantung dan diabetes mellitus.</f>
        <v>#NAME?</v>
      </c>
      <c r="L6730" t="s">
        <v>30736</v>
      </c>
      <c r="M6730" t="s">
        <v>271</v>
      </c>
      <c r="N6730" t="s">
        <v>1672</v>
      </c>
      <c r="O6730" t="s">
        <v>29642</v>
      </c>
      <c r="P6730" t="s">
        <v>30737</v>
      </c>
      <c r="Q6730" t="s">
        <v>30738</v>
      </c>
      <c r="R6730">
        <v>19</v>
      </c>
      <c r="S6730">
        <v>32</v>
      </c>
    </row>
    <row r="6731" spans="1:19" x14ac:dyDescent="0.35">
      <c r="A6731">
        <v>3950</v>
      </c>
      <c r="B6731" t="s">
        <v>29744</v>
      </c>
      <c r="C6731" t="s">
        <v>42</v>
      </c>
      <c r="D6731" t="s">
        <v>29745</v>
      </c>
      <c r="E6731" t="e" cm="1">
        <f t="array" ref="E6731">- LACTULOSE CONCENTRATE</f>
        <v>#NAME?</v>
      </c>
      <c r="F6731" t="s">
        <v>29746</v>
      </c>
      <c r="G6731" t="s">
        <v>7523</v>
      </c>
      <c r="H6731" t="s">
        <v>29747</v>
      </c>
      <c r="I6731" t="s">
        <v>29748</v>
      </c>
      <c r="J6731" t="s">
        <v>846</v>
      </c>
      <c r="K6731" t="s">
        <v>29749</v>
      </c>
      <c r="L6731" t="s">
        <v>29750</v>
      </c>
      <c r="M6731" t="s">
        <v>271</v>
      </c>
      <c r="N6731" t="s">
        <v>1619</v>
      </c>
      <c r="O6731" t="s">
        <v>29751</v>
      </c>
      <c r="P6731" t="s">
        <v>29752</v>
      </c>
      <c r="Q6731" t="s">
        <v>31313</v>
      </c>
      <c r="R6731">
        <v>19</v>
      </c>
      <c r="S6731">
        <v>32</v>
      </c>
    </row>
    <row r="6732" spans="1:19" x14ac:dyDescent="0.35">
      <c r="A6732">
        <v>1373</v>
      </c>
      <c r="B6732" t="s">
        <v>2074</v>
      </c>
      <c r="C6732" t="s">
        <v>42</v>
      </c>
      <c r="D6732" t="s">
        <v>31314</v>
      </c>
      <c r="E6732" t="e" cm="1">
        <f t="array" ref="E6732">- GUAIFENESIN</f>
        <v>#NAME?</v>
      </c>
      <c r="F6732" s="1">
        <v>169000</v>
      </c>
      <c r="G6732" t="s">
        <v>31315</v>
      </c>
      <c r="H6732" t="s">
        <v>31316</v>
      </c>
      <c r="I6732" t="s">
        <v>31317</v>
      </c>
      <c r="J6732" t="s">
        <v>6679</v>
      </c>
      <c r="L6732" t="s">
        <v>31318</v>
      </c>
      <c r="M6732" t="s">
        <v>46</v>
      </c>
      <c r="N6732" t="s">
        <v>361</v>
      </c>
      <c r="O6732" t="s">
        <v>31319</v>
      </c>
      <c r="P6732" t="s">
        <v>31320</v>
      </c>
      <c r="Q6732" t="s">
        <v>31321</v>
      </c>
      <c r="R6732">
        <v>19</v>
      </c>
      <c r="S6732">
        <v>32</v>
      </c>
    </row>
    <row r="6733" spans="1:19" x14ac:dyDescent="0.35">
      <c r="A6733">
        <v>2980</v>
      </c>
      <c r="B6733" t="s">
        <v>31277</v>
      </c>
      <c r="C6733" t="s">
        <v>42</v>
      </c>
      <c r="D6733" t="s">
        <v>31278</v>
      </c>
      <c r="E6733" t="e" cm="1">
        <f t="array" ref="E6733">- IBUPROFEN</f>
        <v>#NAME?</v>
      </c>
      <c r="F6733" t="s">
        <v>31279</v>
      </c>
      <c r="G6733" t="s">
        <v>2241</v>
      </c>
      <c r="H6733" t="s">
        <v>31280</v>
      </c>
    </row>
    <row r="6734" spans="1:19" x14ac:dyDescent="0.35">
      <c r="A6734">
        <v>1216</v>
      </c>
      <c r="B6734" t="s">
        <v>22356</v>
      </c>
      <c r="C6734" t="s">
        <v>42</v>
      </c>
      <c r="D6734" t="s">
        <v>22357</v>
      </c>
      <c r="E6734" t="e" cm="1">
        <f t="array" ref="E6734">- DIPHENHYDRAMINE HYDROCHLORIDE. DEXTROMETHORPHAN HYDROBROMIDE. PHENYLEPHRINE HYDROCHLORIDE. GUAIFENESIN</f>
        <v>#NAME?</v>
      </c>
      <c r="F6734" t="s">
        <v>22358</v>
      </c>
      <c r="G6734" t="s">
        <v>60</v>
      </c>
      <c r="H6734" t="s">
        <v>22359</v>
      </c>
      <c r="I6734" t="s">
        <v>22360</v>
      </c>
      <c r="J6734" t="s">
        <v>334</v>
      </c>
      <c r="K6734" t="s">
        <v>22361</v>
      </c>
      <c r="L6734" t="s">
        <v>22362</v>
      </c>
      <c r="M6734" t="s">
        <v>271</v>
      </c>
      <c r="N6734" t="s">
        <v>31322</v>
      </c>
      <c r="O6734" t="s">
        <v>22363</v>
      </c>
      <c r="P6734" t="s">
        <v>22364</v>
      </c>
      <c r="Q6734" t="s">
        <v>31323</v>
      </c>
      <c r="R6734">
        <v>19</v>
      </c>
      <c r="S6734">
        <v>32</v>
      </c>
    </row>
    <row r="6735" spans="1:19" x14ac:dyDescent="0.35">
      <c r="A6735">
        <v>1211</v>
      </c>
      <c r="B6735" t="s">
        <v>22356</v>
      </c>
      <c r="C6735" t="s">
        <v>42</v>
      </c>
      <c r="D6735" t="s">
        <v>22366</v>
      </c>
      <c r="E6735" t="e" cm="1">
        <f t="array" ref="E6735">- DIPHENHYDRAMINE HYDROCHLORIDE. DEXTROMETHORPHAN HYDROBROMIDE. PHENYLEPHRINE HYDROCHLORIDE. GUAIFENESIN</f>
        <v>#NAME?</v>
      </c>
      <c r="F6735" t="s">
        <v>22367</v>
      </c>
      <c r="G6735" t="s">
        <v>60</v>
      </c>
      <c r="H6735" t="s">
        <v>22359</v>
      </c>
      <c r="I6735" t="s">
        <v>22360</v>
      </c>
      <c r="J6735" t="s">
        <v>22368</v>
      </c>
      <c r="K6735" t="s">
        <v>22361</v>
      </c>
      <c r="L6735" t="s">
        <v>22362</v>
      </c>
      <c r="M6735" t="s">
        <v>271</v>
      </c>
      <c r="N6735" t="s">
        <v>31322</v>
      </c>
      <c r="O6735" t="s">
        <v>22363</v>
      </c>
      <c r="P6735" t="s">
        <v>22364</v>
      </c>
      <c r="Q6735" t="s">
        <v>31323</v>
      </c>
      <c r="R6735">
        <v>19</v>
      </c>
      <c r="S6735">
        <v>32</v>
      </c>
    </row>
    <row r="6736" spans="1:19" x14ac:dyDescent="0.35">
      <c r="A6736">
        <v>1210</v>
      </c>
      <c r="B6736" t="s">
        <v>22356</v>
      </c>
      <c r="C6736" t="s">
        <v>42</v>
      </c>
      <c r="D6736" t="s">
        <v>22366</v>
      </c>
      <c r="E6736" t="e" cm="1">
        <f t="array" ref="E6736">- DIPHENHYDRAMINE HYDROCHLORIDE. DEXTROMETHORPHAN HYDROBROMIDE. PHENYLEPHRINE HYDROCHLORIDE. GUAIFENESIN</f>
        <v>#NAME?</v>
      </c>
      <c r="F6736" t="s">
        <v>22367</v>
      </c>
      <c r="G6736" t="s">
        <v>60</v>
      </c>
      <c r="H6736" t="s">
        <v>22359</v>
      </c>
      <c r="I6736" t="s">
        <v>22360</v>
      </c>
      <c r="J6736" t="s">
        <v>22368</v>
      </c>
      <c r="K6736" t="s">
        <v>22361</v>
      </c>
      <c r="L6736" t="s">
        <v>22362</v>
      </c>
      <c r="M6736" t="s">
        <v>271</v>
      </c>
      <c r="N6736" t="s">
        <v>31322</v>
      </c>
      <c r="O6736" t="s">
        <v>22363</v>
      </c>
      <c r="P6736" t="s">
        <v>22364</v>
      </c>
      <c r="Q6736" t="s">
        <v>31323</v>
      </c>
      <c r="R6736">
        <v>19</v>
      </c>
      <c r="S6736">
        <v>32</v>
      </c>
    </row>
    <row r="6737" spans="1:19" x14ac:dyDescent="0.35">
      <c r="A6737">
        <v>4019</v>
      </c>
      <c r="B6737" t="s">
        <v>31324</v>
      </c>
      <c r="C6737" t="s">
        <v>42</v>
      </c>
      <c r="D6737" t="s">
        <v>31325</v>
      </c>
      <c r="E6737" t="e" cm="1">
        <f t="array" ref="E6737">- BISACODYL</f>
        <v>#NAME?</v>
      </c>
      <c r="F6737" t="s">
        <v>31326</v>
      </c>
      <c r="G6737" t="s">
        <v>31327</v>
      </c>
      <c r="H6737" t="s">
        <v>31328</v>
      </c>
      <c r="I6737" t="s">
        <v>31329</v>
      </c>
      <c r="J6737" t="s">
        <v>31330</v>
      </c>
      <c r="K6737" t="s">
        <v>31331</v>
      </c>
      <c r="L6737" t="s">
        <v>31332</v>
      </c>
      <c r="M6737" t="s">
        <v>46</v>
      </c>
      <c r="N6737" t="s">
        <v>20824</v>
      </c>
      <c r="O6737" t="s">
        <v>31333</v>
      </c>
      <c r="P6737" t="s">
        <v>31334</v>
      </c>
      <c r="Q6737" t="s">
        <v>31335</v>
      </c>
      <c r="R6737">
        <v>19</v>
      </c>
      <c r="S6737">
        <v>32</v>
      </c>
    </row>
    <row r="6738" spans="1:19" x14ac:dyDescent="0.35">
      <c r="A6738">
        <v>4026</v>
      </c>
      <c r="B6738" t="s">
        <v>31336</v>
      </c>
      <c r="C6738" t="s">
        <v>42</v>
      </c>
      <c r="D6738" t="s">
        <v>31337</v>
      </c>
      <c r="E6738" t="e" cm="1">
        <f t="array" ref="E6738">- BISACODYL</f>
        <v>#NAME?</v>
      </c>
      <c r="F6738" t="s">
        <v>13810</v>
      </c>
      <c r="G6738" t="s">
        <v>31302</v>
      </c>
      <c r="H6738" t="s">
        <v>31303</v>
      </c>
      <c r="I6738" t="s">
        <v>31304</v>
      </c>
      <c r="J6738" t="s">
        <v>31338</v>
      </c>
      <c r="K6738" t="s">
        <v>31339</v>
      </c>
      <c r="L6738" t="s">
        <v>31340</v>
      </c>
      <c r="M6738" t="s">
        <v>46</v>
      </c>
      <c r="N6738" t="s">
        <v>20824</v>
      </c>
      <c r="O6738" t="s">
        <v>31308</v>
      </c>
      <c r="P6738" t="s">
        <v>31341</v>
      </c>
      <c r="Q6738" t="s">
        <v>31342</v>
      </c>
      <c r="R6738">
        <v>19</v>
      </c>
      <c r="S6738">
        <v>32</v>
      </c>
    </row>
    <row r="6739" spans="1:19" x14ac:dyDescent="0.35">
      <c r="A6739">
        <v>4027</v>
      </c>
      <c r="B6739" t="s">
        <v>31336</v>
      </c>
      <c r="C6739" t="s">
        <v>42</v>
      </c>
      <c r="D6739" t="s">
        <v>31337</v>
      </c>
      <c r="E6739" t="e" cm="1">
        <f t="array" ref="E6739">- BISACODYL</f>
        <v>#NAME?</v>
      </c>
      <c r="F6739" t="s">
        <v>13810</v>
      </c>
      <c r="G6739" t="s">
        <v>31302</v>
      </c>
      <c r="H6739" t="s">
        <v>31303</v>
      </c>
      <c r="I6739" t="s">
        <v>31304</v>
      </c>
      <c r="J6739" t="s">
        <v>31338</v>
      </c>
      <c r="K6739" t="s">
        <v>31339</v>
      </c>
      <c r="L6739" t="s">
        <v>31340</v>
      </c>
      <c r="M6739" t="s">
        <v>46</v>
      </c>
      <c r="N6739" t="s">
        <v>20824</v>
      </c>
      <c r="O6739" t="s">
        <v>31308</v>
      </c>
      <c r="P6739" t="s">
        <v>31341</v>
      </c>
      <c r="Q6739" t="s">
        <v>31342</v>
      </c>
      <c r="R6739">
        <v>19</v>
      </c>
      <c r="S6739">
        <v>32</v>
      </c>
    </row>
    <row r="6740" spans="1:19" x14ac:dyDescent="0.35">
      <c r="A6740">
        <v>4028</v>
      </c>
      <c r="B6740" t="s">
        <v>31336</v>
      </c>
      <c r="C6740" t="s">
        <v>42</v>
      </c>
      <c r="D6740" t="s">
        <v>31337</v>
      </c>
      <c r="E6740" t="e" cm="1">
        <f t="array" ref="E6740">- BISACODYL</f>
        <v>#NAME?</v>
      </c>
      <c r="F6740" t="s">
        <v>13810</v>
      </c>
      <c r="G6740" t="s">
        <v>31302</v>
      </c>
      <c r="H6740" t="s">
        <v>31303</v>
      </c>
      <c r="I6740" t="s">
        <v>31304</v>
      </c>
      <c r="J6740" t="s">
        <v>31338</v>
      </c>
      <c r="K6740" t="s">
        <v>31339</v>
      </c>
      <c r="L6740" t="s">
        <v>31340</v>
      </c>
      <c r="M6740" t="s">
        <v>46</v>
      </c>
      <c r="N6740" t="s">
        <v>20824</v>
      </c>
      <c r="O6740" t="s">
        <v>31308</v>
      </c>
      <c r="P6740" t="s">
        <v>31341</v>
      </c>
      <c r="Q6740" t="s">
        <v>31342</v>
      </c>
      <c r="R6740">
        <v>19</v>
      </c>
      <c r="S6740">
        <v>32</v>
      </c>
    </row>
    <row r="6741" spans="1:19" x14ac:dyDescent="0.35">
      <c r="A6741">
        <v>8071</v>
      </c>
      <c r="B6741" t="s">
        <v>551</v>
      </c>
      <c r="C6741" t="s">
        <v>42</v>
      </c>
      <c r="D6741" t="s">
        <v>31343</v>
      </c>
      <c r="E6741" t="e" cm="1">
        <f t="array" ref="E6741">- POVIDONE-IODINE</f>
        <v>#NAME?</v>
      </c>
      <c r="F6741" t="s">
        <v>31344</v>
      </c>
      <c r="G6741" t="s">
        <v>25624</v>
      </c>
      <c r="I6741" t="s">
        <v>31345</v>
      </c>
      <c r="J6741" t="s">
        <v>27479</v>
      </c>
      <c r="M6741" t="s">
        <v>554</v>
      </c>
      <c r="N6741" t="s">
        <v>555</v>
      </c>
      <c r="O6741" t="s">
        <v>31346</v>
      </c>
      <c r="P6741" t="s">
        <v>15903</v>
      </c>
      <c r="Q6741" t="s">
        <v>31347</v>
      </c>
      <c r="R6741">
        <v>19</v>
      </c>
      <c r="S6741">
        <v>32</v>
      </c>
    </row>
    <row r="6742" spans="1:19" x14ac:dyDescent="0.35">
      <c r="A6742">
        <v>8070</v>
      </c>
      <c r="B6742" t="s">
        <v>551</v>
      </c>
      <c r="C6742" t="s">
        <v>42</v>
      </c>
      <c r="D6742" t="s">
        <v>31343</v>
      </c>
      <c r="E6742" t="e" cm="1">
        <f t="array" ref="E6742">- POVIDONE-IODINE</f>
        <v>#NAME?</v>
      </c>
      <c r="F6742" t="s">
        <v>31344</v>
      </c>
      <c r="G6742" t="s">
        <v>25624</v>
      </c>
      <c r="I6742" t="s">
        <v>31345</v>
      </c>
      <c r="J6742" t="s">
        <v>27479</v>
      </c>
      <c r="M6742" t="s">
        <v>554</v>
      </c>
      <c r="N6742" t="s">
        <v>555</v>
      </c>
      <c r="O6742" t="s">
        <v>31346</v>
      </c>
      <c r="P6742" t="s">
        <v>15903</v>
      </c>
      <c r="Q6742" t="s">
        <v>31347</v>
      </c>
      <c r="R6742">
        <v>19</v>
      </c>
      <c r="S6742">
        <v>32</v>
      </c>
    </row>
    <row r="6743" spans="1:19" x14ac:dyDescent="0.35">
      <c r="A6743">
        <v>9009</v>
      </c>
      <c r="B6743" t="s">
        <v>29378</v>
      </c>
      <c r="C6743" t="s">
        <v>42</v>
      </c>
      <c r="D6743" t="s">
        <v>29379</v>
      </c>
      <c r="E6743" t="e" cm="1">
        <f t="array" ref="E6743">- PERINDOPRIL ARGININE</f>
        <v>#NAME?</v>
      </c>
      <c r="F6743" t="s">
        <v>29380</v>
      </c>
      <c r="G6743" t="s">
        <v>20763</v>
      </c>
      <c r="H6743" t="s">
        <v>29381</v>
      </c>
      <c r="I6743" t="s">
        <v>29382</v>
      </c>
      <c r="J6743" t="s">
        <v>29383</v>
      </c>
      <c r="K6743" t="s">
        <v>29384</v>
      </c>
      <c r="L6743" t="s">
        <v>29385</v>
      </c>
      <c r="M6743" t="s">
        <v>46</v>
      </c>
      <c r="N6743" t="s">
        <v>31348</v>
      </c>
      <c r="O6743" t="s">
        <v>29386</v>
      </c>
      <c r="P6743" t="s">
        <v>27684</v>
      </c>
      <c r="Q6743" t="s">
        <v>31349</v>
      </c>
      <c r="R6743">
        <v>19</v>
      </c>
      <c r="S6743">
        <v>32</v>
      </c>
    </row>
    <row r="6744" spans="1:19" x14ac:dyDescent="0.35">
      <c r="A6744">
        <v>9018</v>
      </c>
      <c r="B6744" t="s">
        <v>31350</v>
      </c>
      <c r="C6744" t="s">
        <v>42</v>
      </c>
      <c r="D6744" t="s">
        <v>31351</v>
      </c>
      <c r="E6744" t="e" cm="1">
        <f t="array" ref="E6744">- CANDESARTAN CILEXETIL</f>
        <v>#NAME?</v>
      </c>
      <c r="F6744" t="s">
        <v>31352</v>
      </c>
      <c r="G6744" t="s">
        <v>6869</v>
      </c>
      <c r="H6744" t="s">
        <v>31353</v>
      </c>
      <c r="I6744" t="s">
        <v>29299</v>
      </c>
      <c r="J6744" t="s">
        <v>31354</v>
      </c>
      <c r="K6744" t="s">
        <v>31355</v>
      </c>
      <c r="L6744" t="s">
        <v>31356</v>
      </c>
      <c r="M6744" t="s">
        <v>46</v>
      </c>
      <c r="N6744" t="s">
        <v>2447</v>
      </c>
      <c r="O6744" t="e" cm="1">
        <f t="array" ref="O6744">- hipertensi - pengobatan Pasien gagal jantung gangguan fungsi sistolik ventrikel kiri obat penghambat ace Tidak ditoleransi</f>
        <v>#NAME?</v>
      </c>
      <c r="P6744" t="s">
        <v>31357</v>
      </c>
      <c r="Q6744" t="s">
        <v>31358</v>
      </c>
      <c r="R6744">
        <v>19</v>
      </c>
      <c r="S6744">
        <v>32</v>
      </c>
    </row>
    <row r="6745" spans="1:19" x14ac:dyDescent="0.35">
      <c r="A6745">
        <v>9019</v>
      </c>
      <c r="B6745" t="s">
        <v>31359</v>
      </c>
      <c r="C6745" t="s">
        <v>42</v>
      </c>
      <c r="D6745" t="s">
        <v>31360</v>
      </c>
      <c r="E6745" t="e" cm="1">
        <f t="array" ref="E6745">- CANDESARTAN CILEXETIL</f>
        <v>#NAME?</v>
      </c>
      <c r="F6745" t="s">
        <v>31361</v>
      </c>
      <c r="G6745" t="s">
        <v>6869</v>
      </c>
      <c r="H6745" t="s">
        <v>29298</v>
      </c>
      <c r="I6745" t="s">
        <v>29299</v>
      </c>
      <c r="J6745" t="s">
        <v>31354</v>
      </c>
      <c r="K6745" t="s">
        <v>31355</v>
      </c>
      <c r="L6745" t="s">
        <v>31356</v>
      </c>
      <c r="M6745" t="s">
        <v>46</v>
      </c>
      <c r="N6745" t="s">
        <v>2447</v>
      </c>
      <c r="O6745" t="e" cm="1">
        <f t="array" ref="O6745">- hipertensi - pengobatan Pasien gagal jantung gangguan fungsi sistolik ventrikel kiri obat penghambat ace Tidak ditoleransi</f>
        <v>#NAME?</v>
      </c>
      <c r="P6745" t="s">
        <v>31357</v>
      </c>
      <c r="Q6745" t="s">
        <v>31358</v>
      </c>
      <c r="R6745">
        <v>19</v>
      </c>
      <c r="S6745">
        <v>32</v>
      </c>
    </row>
    <row r="6746" spans="1:19" x14ac:dyDescent="0.35">
      <c r="A6746">
        <v>9020</v>
      </c>
      <c r="B6746" t="s">
        <v>31362</v>
      </c>
      <c r="C6746" t="s">
        <v>42</v>
      </c>
      <c r="D6746" t="s">
        <v>31363</v>
      </c>
      <c r="E6746" t="e" cm="1">
        <f t="array" ref="E6746">- CANDESARTAN CILEXETIL</f>
        <v>#NAME?</v>
      </c>
      <c r="F6746" t="s">
        <v>31364</v>
      </c>
      <c r="G6746" t="s">
        <v>6869</v>
      </c>
      <c r="H6746" t="s">
        <v>29298</v>
      </c>
      <c r="I6746" t="s">
        <v>29299</v>
      </c>
      <c r="J6746" t="s">
        <v>22165</v>
      </c>
      <c r="K6746" t="s">
        <v>29300</v>
      </c>
      <c r="L6746" t="s">
        <v>29301</v>
      </c>
      <c r="M6746" t="s">
        <v>46</v>
      </c>
      <c r="N6746" t="s">
        <v>2447</v>
      </c>
      <c r="O6746" t="e" cm="1">
        <f t="array" ref="O6746">- hipertensi - pengobatan Pasien gagal jantung gangguan fungsi sistolik ventrikel kiri obat penghambat ace Tidak ditoleransi</f>
        <v>#NAME?</v>
      </c>
      <c r="P6746" t="s">
        <v>29321</v>
      </c>
      <c r="Q6746" t="s">
        <v>31365</v>
      </c>
      <c r="R6746">
        <v>19</v>
      </c>
      <c r="S6746">
        <v>32</v>
      </c>
    </row>
    <row r="6747" spans="1:19" x14ac:dyDescent="0.35">
      <c r="A6747">
        <v>4067</v>
      </c>
      <c r="B6747" t="s">
        <v>31366</v>
      </c>
      <c r="C6747" t="s">
        <v>42</v>
      </c>
      <c r="D6747" t="s">
        <v>31367</v>
      </c>
      <c r="E6747" t="e" cm="1">
        <f t="array" ref="E6747">- TRIAMCINOLONE ACETONIDE</f>
        <v>#NAME?</v>
      </c>
      <c r="F6747" t="s">
        <v>31368</v>
      </c>
      <c r="G6747" t="s">
        <v>31369</v>
      </c>
      <c r="H6747" t="s">
        <v>31370</v>
      </c>
      <c r="I6747" t="s">
        <v>31371</v>
      </c>
      <c r="J6747" t="s">
        <v>1684</v>
      </c>
      <c r="K6747" t="s">
        <v>31372</v>
      </c>
      <c r="L6747" t="s">
        <v>31373</v>
      </c>
      <c r="M6747" t="s">
        <v>1289</v>
      </c>
      <c r="N6747" t="s">
        <v>11859</v>
      </c>
      <c r="O6747" t="s">
        <v>31374</v>
      </c>
      <c r="P6747" t="s">
        <v>31375</v>
      </c>
      <c r="Q6747" t="s">
        <v>31376</v>
      </c>
      <c r="R6747">
        <v>19</v>
      </c>
      <c r="S6747">
        <v>32</v>
      </c>
    </row>
    <row r="6748" spans="1:19" x14ac:dyDescent="0.35">
      <c r="A6748">
        <v>1215</v>
      </c>
      <c r="B6748" t="s">
        <v>22356</v>
      </c>
      <c r="C6748" t="s">
        <v>42</v>
      </c>
      <c r="D6748" t="s">
        <v>22357</v>
      </c>
      <c r="E6748" t="e" cm="1">
        <f t="array" ref="E6748">- DIPHENHYDRAMINE HYDROCHLORIDE. DEXTROMETHORPHAN HYDROBROMIDE. PHENYLEPHRINE HYDROCHLORIDE. GUAIFENESIN</f>
        <v>#NAME?</v>
      </c>
      <c r="F6748" t="s">
        <v>22358</v>
      </c>
      <c r="G6748" t="s">
        <v>60</v>
      </c>
      <c r="H6748" t="s">
        <v>22359</v>
      </c>
      <c r="I6748" t="s">
        <v>22360</v>
      </c>
      <c r="J6748" t="s">
        <v>334</v>
      </c>
      <c r="K6748" t="s">
        <v>22361</v>
      </c>
      <c r="L6748" t="s">
        <v>22362</v>
      </c>
      <c r="M6748" t="s">
        <v>271</v>
      </c>
      <c r="N6748" t="s">
        <v>31322</v>
      </c>
      <c r="O6748" t="s">
        <v>22363</v>
      </c>
      <c r="P6748" t="s">
        <v>22364</v>
      </c>
      <c r="Q6748" t="s">
        <v>31323</v>
      </c>
      <c r="R6748">
        <v>19</v>
      </c>
      <c r="S6748">
        <v>32</v>
      </c>
    </row>
    <row r="6749" spans="1:19" x14ac:dyDescent="0.35">
      <c r="A6749">
        <v>3426</v>
      </c>
      <c r="B6749" t="s">
        <v>22213</v>
      </c>
      <c r="C6749" t="s">
        <v>42</v>
      </c>
      <c r="D6749" t="s">
        <v>22214</v>
      </c>
      <c r="E6749" t="e" cm="1">
        <f t="array" ref="E6749">- DRIED ALUMINIUM HYDROXIDE GEL. MAGNESIUM HYDROXIDE. SIMETHICONE</f>
        <v>#NAME?</v>
      </c>
      <c r="F6749" t="s">
        <v>22215</v>
      </c>
      <c r="G6749" t="s">
        <v>60</v>
      </c>
      <c r="H6749" t="s">
        <v>22216</v>
      </c>
      <c r="I6749" t="s">
        <v>22217</v>
      </c>
      <c r="J6749" t="s">
        <v>381</v>
      </c>
      <c r="K6749" t="s">
        <v>22218</v>
      </c>
      <c r="L6749" t="s">
        <v>22219</v>
      </c>
      <c r="M6749" t="s">
        <v>291</v>
      </c>
      <c r="N6749" t="s">
        <v>14839</v>
      </c>
      <c r="O6749" t="s">
        <v>22220</v>
      </c>
      <c r="P6749" t="s">
        <v>22221</v>
      </c>
      <c r="Q6749" t="s">
        <v>31377</v>
      </c>
      <c r="R6749">
        <v>19</v>
      </c>
      <c r="S6749">
        <v>32</v>
      </c>
    </row>
    <row r="6750" spans="1:19" x14ac:dyDescent="0.35">
      <c r="A6750">
        <v>1428</v>
      </c>
      <c r="B6750" t="s">
        <v>9861</v>
      </c>
      <c r="C6750" t="s">
        <v>42</v>
      </c>
      <c r="D6750" t="s">
        <v>31378</v>
      </c>
      <c r="E6750" t="e" cm="1">
        <f t="array" ref="E6750">- ABMROXOL</f>
        <v>#NAME?</v>
      </c>
      <c r="F6750" t="s">
        <v>31379</v>
      </c>
      <c r="G6750" t="s">
        <v>2241</v>
      </c>
      <c r="H6750" t="s">
        <v>31380</v>
      </c>
      <c r="I6750" t="s">
        <v>31381</v>
      </c>
      <c r="J6750" t="s">
        <v>31382</v>
      </c>
      <c r="K6750" t="s">
        <v>30588</v>
      </c>
      <c r="L6750" t="s">
        <v>9866</v>
      </c>
      <c r="M6750" t="s">
        <v>271</v>
      </c>
      <c r="N6750" t="s">
        <v>9867</v>
      </c>
      <c r="O6750" t="s">
        <v>31383</v>
      </c>
      <c r="P6750" t="s">
        <v>9869</v>
      </c>
      <c r="Q6750" t="s">
        <v>31384</v>
      </c>
      <c r="R6750">
        <v>19</v>
      </c>
      <c r="S6750">
        <v>32</v>
      </c>
    </row>
    <row r="6751" spans="1:19" x14ac:dyDescent="0.35">
      <c r="A6751">
        <v>8355</v>
      </c>
      <c r="B6751" t="s">
        <v>551</v>
      </c>
      <c r="C6751" t="s">
        <v>42</v>
      </c>
      <c r="D6751" t="s">
        <v>31385</v>
      </c>
      <c r="E6751" t="e" cm="1">
        <f t="array" ref="E6751">- POVIDONE-IODINE</f>
        <v>#NAME?</v>
      </c>
      <c r="F6751" t="s">
        <v>31386</v>
      </c>
      <c r="G6751" t="s">
        <v>31387</v>
      </c>
      <c r="H6751" t="s">
        <v>1322</v>
      </c>
      <c r="I6751" t="s">
        <v>31388</v>
      </c>
      <c r="J6751" t="s">
        <v>17100</v>
      </c>
      <c r="M6751" t="s">
        <v>554</v>
      </c>
      <c r="N6751" t="s">
        <v>555</v>
      </c>
      <c r="O6751" t="s">
        <v>31389</v>
      </c>
      <c r="P6751" t="s">
        <v>31390</v>
      </c>
      <c r="Q6751" t="s">
        <v>31391</v>
      </c>
      <c r="R6751">
        <v>19</v>
      </c>
      <c r="S6751">
        <v>32</v>
      </c>
    </row>
    <row r="6752" spans="1:19" x14ac:dyDescent="0.35">
      <c r="A6752">
        <v>8921</v>
      </c>
      <c r="B6752" t="s">
        <v>31392</v>
      </c>
      <c r="C6752" t="s">
        <v>42</v>
      </c>
      <c r="D6752" t="s">
        <v>31393</v>
      </c>
      <c r="E6752" t="e" cm="1">
        <f t="array" ref="E6752">- CANDESARTAN CILEXETIL</f>
        <v>#NAME?</v>
      </c>
      <c r="F6752" t="s">
        <v>31394</v>
      </c>
      <c r="G6752" t="s">
        <v>6869</v>
      </c>
      <c r="H6752" t="s">
        <v>29298</v>
      </c>
      <c r="I6752" t="s">
        <v>29299</v>
      </c>
      <c r="J6752" t="s">
        <v>2478</v>
      </c>
      <c r="K6752" t="s">
        <v>29300</v>
      </c>
      <c r="L6752" t="s">
        <v>29301</v>
      </c>
      <c r="M6752" t="s">
        <v>46</v>
      </c>
      <c r="N6752" t="s">
        <v>2447</v>
      </c>
      <c r="O6752" t="e" cm="1">
        <f t="array" ref="O6752">- hipertensi - pengobatan Pasien gagal jantung gangguan fungsi sistolik ventrikel kiri obat penghambat ace Tidak ditoleransi</f>
        <v>#NAME?</v>
      </c>
      <c r="P6752" t="s">
        <v>31395</v>
      </c>
      <c r="Q6752" t="s">
        <v>31396</v>
      </c>
      <c r="R6752">
        <v>19</v>
      </c>
      <c r="S6752">
        <v>32</v>
      </c>
    </row>
    <row r="6753" spans="1:19" x14ac:dyDescent="0.35">
      <c r="A6753">
        <v>300</v>
      </c>
      <c r="B6753" t="s">
        <v>31397</v>
      </c>
      <c r="C6753" t="s">
        <v>42</v>
      </c>
      <c r="D6753" t="s">
        <v>31398</v>
      </c>
      <c r="E6753" t="e" cm="1">
        <f t="array" ref="E6753">- CLOMIFENE CITRATE</f>
        <v>#NAME?</v>
      </c>
      <c r="F6753" s="1">
        <v>145200</v>
      </c>
      <c r="G6753" t="s">
        <v>1691</v>
      </c>
      <c r="H6753" t="s">
        <v>31399</v>
      </c>
      <c r="I6753" t="s">
        <v>31400</v>
      </c>
      <c r="J6753" t="s">
        <v>16161</v>
      </c>
      <c r="K6753" t="s">
        <v>31401</v>
      </c>
      <c r="L6753" t="s">
        <v>31402</v>
      </c>
      <c r="M6753" t="s">
        <v>46</v>
      </c>
      <c r="N6753" t="s">
        <v>5738</v>
      </c>
      <c r="O6753" t="s">
        <v>31403</v>
      </c>
      <c r="P6753" t="s">
        <v>31404</v>
      </c>
      <c r="Q6753" t="s">
        <v>31405</v>
      </c>
      <c r="R6753">
        <v>19</v>
      </c>
      <c r="S6753">
        <v>32</v>
      </c>
    </row>
    <row r="6754" spans="1:19" x14ac:dyDescent="0.35">
      <c r="A6754">
        <v>301</v>
      </c>
      <c r="B6754" t="s">
        <v>31397</v>
      </c>
      <c r="C6754" t="s">
        <v>42</v>
      </c>
      <c r="D6754" t="s">
        <v>31398</v>
      </c>
      <c r="E6754" t="e" cm="1">
        <f t="array" ref="E6754">- CLOMIFENE CITRATE</f>
        <v>#NAME?</v>
      </c>
      <c r="F6754" s="1">
        <v>145200</v>
      </c>
      <c r="G6754" t="s">
        <v>1691</v>
      </c>
      <c r="H6754" t="s">
        <v>31399</v>
      </c>
      <c r="I6754" t="s">
        <v>31400</v>
      </c>
      <c r="J6754" t="s">
        <v>16161</v>
      </c>
      <c r="K6754" t="s">
        <v>31401</v>
      </c>
      <c r="L6754" t="s">
        <v>31402</v>
      </c>
      <c r="M6754" t="s">
        <v>46</v>
      </c>
      <c r="N6754" t="s">
        <v>5738</v>
      </c>
      <c r="O6754" t="s">
        <v>31403</v>
      </c>
      <c r="P6754" t="s">
        <v>31404</v>
      </c>
      <c r="Q6754" t="s">
        <v>31405</v>
      </c>
      <c r="R6754">
        <v>19</v>
      </c>
      <c r="S6754">
        <v>32</v>
      </c>
    </row>
    <row r="6755" spans="1:19" x14ac:dyDescent="0.35">
      <c r="A6755">
        <v>8922</v>
      </c>
      <c r="B6755" t="s">
        <v>31392</v>
      </c>
      <c r="C6755" t="s">
        <v>42</v>
      </c>
      <c r="D6755" t="s">
        <v>31393</v>
      </c>
      <c r="E6755" t="e" cm="1">
        <f t="array" ref="E6755">- CANDESARTAN CILEXETIL</f>
        <v>#NAME?</v>
      </c>
      <c r="F6755" t="s">
        <v>31394</v>
      </c>
      <c r="G6755" t="s">
        <v>6869</v>
      </c>
      <c r="H6755" t="s">
        <v>29298</v>
      </c>
      <c r="I6755" t="s">
        <v>29299</v>
      </c>
      <c r="J6755" t="s">
        <v>2478</v>
      </c>
      <c r="K6755" t="s">
        <v>29300</v>
      </c>
      <c r="L6755" t="s">
        <v>29301</v>
      </c>
      <c r="M6755" t="s">
        <v>46</v>
      </c>
      <c r="N6755" t="s">
        <v>2447</v>
      </c>
      <c r="O6755" t="e" cm="1">
        <f t="array" ref="O6755">- hipertensi - pengobatan Pasien gagal jantung gangguan fungsi sistolik ventrikel kiri obat penghambat ace Tidak ditoleransi</f>
        <v>#NAME?</v>
      </c>
      <c r="P6755" t="s">
        <v>31395</v>
      </c>
      <c r="Q6755" t="s">
        <v>31396</v>
      </c>
      <c r="R6755">
        <v>19</v>
      </c>
      <c r="S6755">
        <v>32</v>
      </c>
    </row>
    <row r="6756" spans="1:19" x14ac:dyDescent="0.35">
      <c r="A6756">
        <v>8923</v>
      </c>
      <c r="B6756" t="s">
        <v>31392</v>
      </c>
      <c r="C6756" t="s">
        <v>42</v>
      </c>
      <c r="D6756" t="s">
        <v>31393</v>
      </c>
      <c r="E6756" t="e" cm="1">
        <f t="array" ref="E6756">- CANDESARTAN CILEXETIL</f>
        <v>#NAME?</v>
      </c>
      <c r="F6756" t="s">
        <v>31394</v>
      </c>
      <c r="G6756" t="s">
        <v>6869</v>
      </c>
      <c r="H6756" t="s">
        <v>29298</v>
      </c>
      <c r="I6756" t="s">
        <v>29299</v>
      </c>
      <c r="J6756" t="s">
        <v>2478</v>
      </c>
      <c r="K6756" t="s">
        <v>29300</v>
      </c>
      <c r="L6756" t="s">
        <v>29301</v>
      </c>
      <c r="M6756" t="s">
        <v>46</v>
      </c>
      <c r="N6756" t="s">
        <v>2447</v>
      </c>
      <c r="O6756" t="e" cm="1">
        <f t="array" ref="O6756">- hipertensi - pengobatan Pasien gagal jantung gangguan fungsi sistolik ventrikel kiri obat penghambat ace Tidak ditoleransi</f>
        <v>#NAME?</v>
      </c>
      <c r="P6756" t="s">
        <v>31395</v>
      </c>
      <c r="Q6756" t="s">
        <v>31396</v>
      </c>
      <c r="R6756">
        <v>19</v>
      </c>
      <c r="S6756">
        <v>32</v>
      </c>
    </row>
    <row r="6757" spans="1:19" x14ac:dyDescent="0.35">
      <c r="A6757">
        <v>3588</v>
      </c>
      <c r="B6757" t="s">
        <v>31406</v>
      </c>
      <c r="C6757" t="s">
        <v>42</v>
      </c>
      <c r="D6757" t="s">
        <v>31407</v>
      </c>
      <c r="E6757" t="e" cm="1">
        <f t="array" ref="E6757">- HYOSCINE BUTYLBROMIDE</f>
        <v>#NAME?</v>
      </c>
      <c r="F6757" t="s">
        <v>31408</v>
      </c>
      <c r="G6757" t="s">
        <v>3098</v>
      </c>
      <c r="H6757" t="s">
        <v>31409</v>
      </c>
      <c r="I6757" t="s">
        <v>31410</v>
      </c>
      <c r="J6757" t="s">
        <v>7479</v>
      </c>
      <c r="L6757" t="s">
        <v>31411</v>
      </c>
      <c r="M6757" t="s">
        <v>46</v>
      </c>
      <c r="N6757" t="s">
        <v>23642</v>
      </c>
      <c r="O6757" t="s">
        <v>31412</v>
      </c>
      <c r="P6757" t="s">
        <v>31413</v>
      </c>
      <c r="Q6757" t="s">
        <v>31414</v>
      </c>
      <c r="R6757">
        <v>19</v>
      </c>
      <c r="S6757">
        <v>32</v>
      </c>
    </row>
    <row r="6758" spans="1:19" x14ac:dyDescent="0.35">
      <c r="A6758">
        <v>3598</v>
      </c>
      <c r="B6758" t="s">
        <v>31415</v>
      </c>
      <c r="C6758" t="s">
        <v>42</v>
      </c>
      <c r="D6758" t="s">
        <v>31416</v>
      </c>
      <c r="E6758" t="e" cm="1">
        <f t="array" ref="E6758">- METOCLOPRAMIDE HYDROCHLORIDE</f>
        <v>#NAME?</v>
      </c>
      <c r="F6758" t="s">
        <v>31417</v>
      </c>
      <c r="G6758" t="s">
        <v>31418</v>
      </c>
      <c r="H6758" t="s">
        <v>31419</v>
      </c>
      <c r="I6758" t="s">
        <v>31420</v>
      </c>
      <c r="J6758" t="s">
        <v>381</v>
      </c>
      <c r="K6758" t="s">
        <v>31421</v>
      </c>
      <c r="L6758" t="s">
        <v>31422</v>
      </c>
      <c r="M6758" t="s">
        <v>46</v>
      </c>
      <c r="N6758" t="s">
        <v>1876</v>
      </c>
      <c r="O6758" t="s">
        <v>31423</v>
      </c>
      <c r="P6758" t="s">
        <v>31424</v>
      </c>
      <c r="Q6758" t="s">
        <v>31425</v>
      </c>
      <c r="R6758">
        <v>19</v>
      </c>
      <c r="S6758">
        <v>32</v>
      </c>
    </row>
    <row r="6759" spans="1:19" x14ac:dyDescent="0.35">
      <c r="A6759">
        <v>8924</v>
      </c>
      <c r="B6759" t="s">
        <v>31392</v>
      </c>
      <c r="C6759" t="s">
        <v>42</v>
      </c>
      <c r="D6759" t="s">
        <v>31393</v>
      </c>
      <c r="E6759" t="e" cm="1">
        <f t="array" ref="E6759">- CANDESARTAN CILEXETIL</f>
        <v>#NAME?</v>
      </c>
      <c r="F6759" t="s">
        <v>31394</v>
      </c>
      <c r="G6759" t="s">
        <v>6869</v>
      </c>
      <c r="H6759" t="s">
        <v>29298</v>
      </c>
      <c r="I6759" t="s">
        <v>29299</v>
      </c>
      <c r="J6759" t="s">
        <v>2478</v>
      </c>
      <c r="K6759" t="s">
        <v>29300</v>
      </c>
      <c r="L6759" t="s">
        <v>29301</v>
      </c>
      <c r="M6759" t="s">
        <v>46</v>
      </c>
      <c r="N6759" t="s">
        <v>2447</v>
      </c>
      <c r="O6759" t="e" cm="1">
        <f t="array" ref="O6759">- hipertensi - pengobatan Pasien gagal jantung gangguan fungsi sistolik ventrikel kiri obat penghambat ace Tidak ditoleransi</f>
        <v>#NAME?</v>
      </c>
      <c r="P6759" t="s">
        <v>31395</v>
      </c>
      <c r="Q6759" t="s">
        <v>31396</v>
      </c>
      <c r="R6759">
        <v>19</v>
      </c>
      <c r="S6759">
        <v>32</v>
      </c>
    </row>
    <row r="6760" spans="1:19" x14ac:dyDescent="0.35">
      <c r="A6760">
        <v>8925</v>
      </c>
      <c r="B6760" t="s">
        <v>31392</v>
      </c>
      <c r="C6760" t="s">
        <v>42</v>
      </c>
      <c r="D6760" t="s">
        <v>31393</v>
      </c>
      <c r="E6760" t="e" cm="1">
        <f t="array" ref="E6760">- CANDESARTAN CILEXETIL</f>
        <v>#NAME?</v>
      </c>
      <c r="F6760" t="s">
        <v>31394</v>
      </c>
      <c r="G6760" t="s">
        <v>6869</v>
      </c>
      <c r="H6760" t="s">
        <v>29298</v>
      </c>
      <c r="I6760" t="s">
        <v>29299</v>
      </c>
      <c r="J6760" t="s">
        <v>2478</v>
      </c>
      <c r="K6760" t="s">
        <v>29300</v>
      </c>
      <c r="L6760" t="s">
        <v>29301</v>
      </c>
      <c r="M6760" t="s">
        <v>46</v>
      </c>
      <c r="N6760" t="s">
        <v>2447</v>
      </c>
      <c r="O6760" t="e" cm="1">
        <f t="array" ref="O6760">- hipertensi - pengobatan Pasien gagal jantung gangguan fungsi sistolik ventrikel kiri obat penghambat ace Tidak ditoleransi</f>
        <v>#NAME?</v>
      </c>
      <c r="P6760" t="s">
        <v>31395</v>
      </c>
      <c r="Q6760" t="s">
        <v>31396</v>
      </c>
      <c r="R6760">
        <v>19</v>
      </c>
      <c r="S6760">
        <v>32</v>
      </c>
    </row>
    <row r="6761" spans="1:19" x14ac:dyDescent="0.35">
      <c r="A6761">
        <v>8912</v>
      </c>
      <c r="B6761" t="s">
        <v>30764</v>
      </c>
      <c r="C6761" t="s">
        <v>42</v>
      </c>
      <c r="D6761" t="s">
        <v>30765</v>
      </c>
      <c r="E6761" t="e" cm="1">
        <f t="array" ref="E6761">- NIFEDIPINE</f>
        <v>#NAME?</v>
      </c>
      <c r="F6761" t="s">
        <v>30766</v>
      </c>
      <c r="G6761" t="s">
        <v>30767</v>
      </c>
      <c r="H6761" t="s">
        <v>30768</v>
      </c>
      <c r="I6761" t="s">
        <v>30769</v>
      </c>
      <c r="J6761" t="s">
        <v>21862</v>
      </c>
      <c r="K6761" t="s">
        <v>30770</v>
      </c>
      <c r="L6761" t="s">
        <v>30771</v>
      </c>
      <c r="M6761" t="s">
        <v>46</v>
      </c>
      <c r="N6761" t="s">
        <v>22000</v>
      </c>
      <c r="O6761" t="s">
        <v>30772</v>
      </c>
      <c r="P6761" t="s">
        <v>30773</v>
      </c>
      <c r="Q6761" t="s">
        <v>30774</v>
      </c>
      <c r="R6761">
        <v>19</v>
      </c>
      <c r="S6761">
        <v>32</v>
      </c>
    </row>
    <row r="6762" spans="1:19" x14ac:dyDescent="0.35">
      <c r="A6762">
        <v>3657</v>
      </c>
      <c r="B6762" t="s">
        <v>31426</v>
      </c>
      <c r="C6762" t="s">
        <v>42</v>
      </c>
      <c r="D6762" t="s">
        <v>31427</v>
      </c>
      <c r="E6762" t="e" cm="1">
        <f t="array" ref="E6762">- PARACETAMOL. HYOSCINE BUTYLBROMIDE</f>
        <v>#NAME?</v>
      </c>
      <c r="F6762" t="s">
        <v>31428</v>
      </c>
      <c r="G6762" t="s">
        <v>5839</v>
      </c>
      <c r="H6762" t="s">
        <v>30848</v>
      </c>
      <c r="I6762" t="s">
        <v>30849</v>
      </c>
      <c r="J6762" t="s">
        <v>30850</v>
      </c>
      <c r="K6762" t="s">
        <v>31429</v>
      </c>
      <c r="L6762" t="s">
        <v>31430</v>
      </c>
      <c r="M6762" t="s">
        <v>46</v>
      </c>
      <c r="N6762" t="s">
        <v>9601</v>
      </c>
      <c r="O6762" t="s">
        <v>30853</v>
      </c>
      <c r="P6762" t="s">
        <v>31431</v>
      </c>
      <c r="Q6762" t="s">
        <v>31432</v>
      </c>
      <c r="R6762">
        <v>19</v>
      </c>
      <c r="S6762">
        <v>32</v>
      </c>
    </row>
    <row r="6763" spans="1:19" x14ac:dyDescent="0.35">
      <c r="A6763">
        <v>3658</v>
      </c>
      <c r="B6763" t="s">
        <v>31433</v>
      </c>
      <c r="C6763" t="s">
        <v>42</v>
      </c>
      <c r="D6763" t="s">
        <v>31434</v>
      </c>
      <c r="E6763" t="e" cm="1">
        <f t="array" ref="E6763">- HYOSCINE BUTYLBROMIDE</f>
        <v>#NAME?</v>
      </c>
      <c r="F6763" t="s">
        <v>31435</v>
      </c>
      <c r="I6763" t="s">
        <v>31436</v>
      </c>
      <c r="J6763" t="s">
        <v>1093</v>
      </c>
      <c r="L6763" t="s">
        <v>1308</v>
      </c>
      <c r="M6763" t="s">
        <v>46</v>
      </c>
      <c r="N6763" t="s">
        <v>23642</v>
      </c>
      <c r="O6763" t="s">
        <v>31412</v>
      </c>
      <c r="P6763" t="s">
        <v>31437</v>
      </c>
      <c r="Q6763" t="s">
        <v>31438</v>
      </c>
      <c r="R6763">
        <v>19</v>
      </c>
      <c r="S6763">
        <v>32</v>
      </c>
    </row>
    <row r="6764" spans="1:19" x14ac:dyDescent="0.35">
      <c r="A6764">
        <v>3668</v>
      </c>
      <c r="B6764" t="s">
        <v>29905</v>
      </c>
      <c r="C6764" t="s">
        <v>42</v>
      </c>
      <c r="D6764" t="s">
        <v>29906</v>
      </c>
      <c r="E6764" t="e" cm="1">
        <f t="array" ref="E6764">- METOCLOPRAMIDE HYDROCHLORIDE MONOHYDRATE</f>
        <v>#NAME?</v>
      </c>
      <c r="F6764" t="s">
        <v>23608</v>
      </c>
      <c r="G6764" t="s">
        <v>6774</v>
      </c>
      <c r="H6764" t="s">
        <v>29907</v>
      </c>
      <c r="I6764" t="s">
        <v>29908</v>
      </c>
      <c r="J6764" t="s">
        <v>334</v>
      </c>
      <c r="K6764" t="s">
        <v>29909</v>
      </c>
      <c r="L6764" t="s">
        <v>29910</v>
      </c>
      <c r="M6764" t="s">
        <v>271</v>
      </c>
      <c r="N6764" t="s">
        <v>2774</v>
      </c>
      <c r="O6764" t="s">
        <v>29911</v>
      </c>
      <c r="P6764" t="s">
        <v>29912</v>
      </c>
      <c r="Q6764" t="s">
        <v>31439</v>
      </c>
      <c r="R6764">
        <v>19</v>
      </c>
      <c r="S6764">
        <v>32</v>
      </c>
    </row>
    <row r="6765" spans="1:19" x14ac:dyDescent="0.35">
      <c r="A6765">
        <v>8945</v>
      </c>
      <c r="B6765" t="s">
        <v>31440</v>
      </c>
      <c r="C6765" t="s">
        <v>42</v>
      </c>
      <c r="D6765" t="s">
        <v>31441</v>
      </c>
      <c r="E6765" t="e" cm="1">
        <f t="array" ref="E6765">- CANDESARTAN CILEXETIL</f>
        <v>#NAME?</v>
      </c>
      <c r="F6765" t="s">
        <v>31442</v>
      </c>
      <c r="G6765" t="s">
        <v>6869</v>
      </c>
      <c r="H6765" t="s">
        <v>29298</v>
      </c>
      <c r="I6765" t="s">
        <v>29299</v>
      </c>
      <c r="J6765" t="s">
        <v>2478</v>
      </c>
      <c r="K6765" t="s">
        <v>29300</v>
      </c>
      <c r="L6765" t="s">
        <v>29301</v>
      </c>
      <c r="M6765" t="s">
        <v>46</v>
      </c>
      <c r="N6765" t="s">
        <v>2447</v>
      </c>
      <c r="O6765" t="e" cm="1">
        <f t="array" ref="O6765">- hipertensi - pengobatan Pasien gagal jantung gangguan fungsi sistolik ventrikel kiri obat penghambat ace Tidak ditoleransi</f>
        <v>#NAME?</v>
      </c>
      <c r="P6765" t="s">
        <v>31395</v>
      </c>
      <c r="Q6765" t="s">
        <v>31396</v>
      </c>
      <c r="R6765">
        <v>19</v>
      </c>
      <c r="S6765">
        <v>32</v>
      </c>
    </row>
    <row r="6766" spans="1:19" x14ac:dyDescent="0.35">
      <c r="A6766">
        <v>8946</v>
      </c>
      <c r="B6766" t="s">
        <v>31440</v>
      </c>
      <c r="C6766" t="s">
        <v>42</v>
      </c>
      <c r="D6766" t="s">
        <v>31441</v>
      </c>
      <c r="E6766" t="e" cm="1">
        <f t="array" ref="E6766">- CANDESARTAN CILEXETIL</f>
        <v>#NAME?</v>
      </c>
      <c r="F6766" t="s">
        <v>31442</v>
      </c>
      <c r="G6766" t="s">
        <v>6869</v>
      </c>
      <c r="H6766" t="s">
        <v>29298</v>
      </c>
      <c r="I6766" t="s">
        <v>29299</v>
      </c>
      <c r="J6766" t="s">
        <v>2478</v>
      </c>
      <c r="K6766" t="s">
        <v>29300</v>
      </c>
      <c r="L6766" t="s">
        <v>29301</v>
      </c>
      <c r="M6766" t="s">
        <v>46</v>
      </c>
      <c r="N6766" t="s">
        <v>2447</v>
      </c>
      <c r="O6766" t="e" cm="1">
        <f t="array" ref="O6766">- hipertensi - pengobatan Pasien gagal jantung gangguan fungsi sistolik ventrikel kiri obat penghambat ace Tidak ditoleransi</f>
        <v>#NAME?</v>
      </c>
      <c r="P6766" t="s">
        <v>31395</v>
      </c>
      <c r="Q6766" t="s">
        <v>31396</v>
      </c>
      <c r="R6766">
        <v>19</v>
      </c>
      <c r="S6766">
        <v>32</v>
      </c>
    </row>
    <row r="6767" spans="1:19" x14ac:dyDescent="0.35">
      <c r="A6767">
        <v>8947</v>
      </c>
      <c r="B6767" t="s">
        <v>31440</v>
      </c>
      <c r="C6767" t="s">
        <v>42</v>
      </c>
      <c r="D6767" t="s">
        <v>31441</v>
      </c>
      <c r="E6767" t="e" cm="1">
        <f t="array" ref="E6767">- CANDESARTAN CILEXETIL</f>
        <v>#NAME?</v>
      </c>
      <c r="F6767" t="s">
        <v>31442</v>
      </c>
      <c r="G6767" t="s">
        <v>6869</v>
      </c>
      <c r="H6767" t="s">
        <v>29298</v>
      </c>
      <c r="I6767" t="s">
        <v>29299</v>
      </c>
      <c r="J6767" t="s">
        <v>2478</v>
      </c>
      <c r="K6767" t="s">
        <v>29300</v>
      </c>
      <c r="L6767" t="s">
        <v>29301</v>
      </c>
      <c r="M6767" t="s">
        <v>46</v>
      </c>
      <c r="N6767" t="s">
        <v>2447</v>
      </c>
      <c r="O6767" t="e" cm="1">
        <f t="array" ref="O6767">- hipertensi - pengobatan Pasien gagal jantung gangguan fungsi sistolik ventrikel kiri obat penghambat ace Tidak ditoleransi</f>
        <v>#NAME?</v>
      </c>
      <c r="P6767" t="s">
        <v>31395</v>
      </c>
      <c r="Q6767" t="s">
        <v>31396</v>
      </c>
      <c r="R6767">
        <v>19</v>
      </c>
      <c r="S6767">
        <v>32</v>
      </c>
    </row>
    <row r="6768" spans="1:19" x14ac:dyDescent="0.35">
      <c r="A6768">
        <v>8911</v>
      </c>
      <c r="B6768" t="s">
        <v>30764</v>
      </c>
      <c r="C6768" t="s">
        <v>42</v>
      </c>
      <c r="D6768" t="s">
        <v>30765</v>
      </c>
      <c r="E6768" t="e" cm="1">
        <f t="array" ref="E6768">- NIFEDIPINE</f>
        <v>#NAME?</v>
      </c>
      <c r="F6768" t="s">
        <v>30766</v>
      </c>
      <c r="G6768" t="s">
        <v>30767</v>
      </c>
      <c r="H6768" t="s">
        <v>30768</v>
      </c>
      <c r="I6768" t="s">
        <v>30769</v>
      </c>
      <c r="J6768" t="s">
        <v>21862</v>
      </c>
      <c r="K6768" t="s">
        <v>30770</v>
      </c>
      <c r="L6768" t="s">
        <v>30771</v>
      </c>
      <c r="M6768" t="s">
        <v>46</v>
      </c>
      <c r="N6768" t="s">
        <v>22000</v>
      </c>
      <c r="O6768" t="s">
        <v>30772</v>
      </c>
      <c r="P6768" t="s">
        <v>30773</v>
      </c>
      <c r="Q6768" t="s">
        <v>30774</v>
      </c>
      <c r="R6768">
        <v>19</v>
      </c>
      <c r="S6768">
        <v>32</v>
      </c>
    </row>
    <row r="6769" spans="1:19" x14ac:dyDescent="0.35">
      <c r="A6769">
        <v>833</v>
      </c>
      <c r="B6769" t="s">
        <v>31443</v>
      </c>
      <c r="C6769" t="s">
        <v>42</v>
      </c>
      <c r="D6769" t="s">
        <v>31444</v>
      </c>
      <c r="E6769" t="e" cm="1">
        <f t="array" ref="E6769">- SULFOGAIACOL POTASSIUM. AMMONIUM CHLORIDE. SODIUM CITRATE DIHYDRATE. DIPHENHYDRAMINE HYDROCHLORIDE</f>
        <v>#NAME?</v>
      </c>
      <c r="F6769" t="s">
        <v>31445</v>
      </c>
      <c r="G6769" t="s">
        <v>1691</v>
      </c>
      <c r="H6769" t="s">
        <v>31446</v>
      </c>
      <c r="I6769" t="s">
        <v>31447</v>
      </c>
      <c r="J6769" t="s">
        <v>334</v>
      </c>
      <c r="K6769" t="s">
        <v>17504</v>
      </c>
      <c r="L6769" t="s">
        <v>31448</v>
      </c>
      <c r="M6769" t="s">
        <v>271</v>
      </c>
      <c r="N6769" t="s">
        <v>31449</v>
      </c>
      <c r="O6769" t="s">
        <v>31450</v>
      </c>
      <c r="P6769" t="s">
        <v>31451</v>
      </c>
      <c r="Q6769" t="s">
        <v>31452</v>
      </c>
      <c r="R6769">
        <v>19</v>
      </c>
      <c r="S6769">
        <v>32</v>
      </c>
    </row>
    <row r="6770" spans="1:19" x14ac:dyDescent="0.35">
      <c r="A6770">
        <v>8904</v>
      </c>
      <c r="B6770" t="s">
        <v>31453</v>
      </c>
      <c r="C6770" t="s">
        <v>42</v>
      </c>
      <c r="D6770" t="s">
        <v>31454</v>
      </c>
      <c r="E6770" t="e" cm="1">
        <f t="array" ref="E6770">- CANDESARTAN CILEXETIL</f>
        <v>#NAME?</v>
      </c>
      <c r="F6770" t="s">
        <v>31455</v>
      </c>
      <c r="G6770" t="s">
        <v>6869</v>
      </c>
      <c r="H6770" t="s">
        <v>29298</v>
      </c>
      <c r="I6770" t="s">
        <v>29299</v>
      </c>
      <c r="J6770" t="s">
        <v>2478</v>
      </c>
      <c r="K6770" t="s">
        <v>29300</v>
      </c>
      <c r="L6770" t="s">
        <v>29301</v>
      </c>
      <c r="M6770" t="s">
        <v>46</v>
      </c>
      <c r="N6770" t="s">
        <v>2447</v>
      </c>
      <c r="O6770" t="e" cm="1">
        <f t="array" ref="O6770">- hipertensi - pengobatan Pasien gagal jantung gangguan fungsi sistolik ventrikel kiri obat penghambat ace Tidak ditoleransi</f>
        <v>#NAME?</v>
      </c>
      <c r="P6770" t="s">
        <v>22168</v>
      </c>
      <c r="Q6770" t="s">
        <v>31456</v>
      </c>
      <c r="R6770">
        <v>19</v>
      </c>
      <c r="S6770">
        <v>32</v>
      </c>
    </row>
    <row r="6771" spans="1:19" x14ac:dyDescent="0.35">
      <c r="A6771">
        <v>8962</v>
      </c>
      <c r="B6771" t="s">
        <v>31457</v>
      </c>
      <c r="C6771" t="s">
        <v>42</v>
      </c>
      <c r="D6771" t="s">
        <v>31458</v>
      </c>
      <c r="E6771" t="e" cm="1">
        <f t="array" ref="E6771">- IRBESARTAN</f>
        <v>#NAME?</v>
      </c>
      <c r="F6771" t="s">
        <v>31459</v>
      </c>
      <c r="G6771" t="s">
        <v>4469</v>
      </c>
      <c r="H6771" t="s">
        <v>31460</v>
      </c>
      <c r="I6771" t="s">
        <v>31461</v>
      </c>
      <c r="J6771" t="s">
        <v>14600</v>
      </c>
      <c r="K6771" t="s">
        <v>31462</v>
      </c>
      <c r="L6771" t="s">
        <v>31463</v>
      </c>
      <c r="M6771" t="s">
        <v>46</v>
      </c>
      <c r="N6771" t="s">
        <v>999</v>
      </c>
      <c r="O6771" t="s">
        <v>31464</v>
      </c>
      <c r="P6771" t="s">
        <v>999</v>
      </c>
      <c r="Q6771" t="s">
        <v>31465</v>
      </c>
      <c r="R6771">
        <v>19</v>
      </c>
      <c r="S6771">
        <v>32</v>
      </c>
    </row>
    <row r="6772" spans="1:19" x14ac:dyDescent="0.35">
      <c r="A6772">
        <v>8963</v>
      </c>
      <c r="B6772" t="s">
        <v>31457</v>
      </c>
      <c r="C6772" t="s">
        <v>42</v>
      </c>
      <c r="D6772" t="s">
        <v>31458</v>
      </c>
      <c r="E6772" t="e" cm="1">
        <f t="array" ref="E6772">- IRBESARTAN</f>
        <v>#NAME?</v>
      </c>
      <c r="F6772" t="s">
        <v>31459</v>
      </c>
      <c r="G6772" t="s">
        <v>4469</v>
      </c>
      <c r="H6772" t="s">
        <v>31460</v>
      </c>
      <c r="I6772" t="s">
        <v>31461</v>
      </c>
      <c r="J6772" t="s">
        <v>14600</v>
      </c>
      <c r="K6772" t="s">
        <v>31462</v>
      </c>
      <c r="L6772" t="s">
        <v>31463</v>
      </c>
      <c r="M6772" t="s">
        <v>46</v>
      </c>
      <c r="N6772" t="s">
        <v>999</v>
      </c>
      <c r="O6772" t="s">
        <v>31464</v>
      </c>
      <c r="P6772" t="s">
        <v>999</v>
      </c>
      <c r="Q6772" t="s">
        <v>31465</v>
      </c>
      <c r="R6772">
        <v>19</v>
      </c>
      <c r="S6772">
        <v>32</v>
      </c>
    </row>
    <row r="6773" spans="1:19" x14ac:dyDescent="0.35">
      <c r="A6773">
        <v>5914</v>
      </c>
      <c r="B6773" t="s">
        <v>31466</v>
      </c>
      <c r="C6773" t="s">
        <v>42</v>
      </c>
      <c r="D6773" t="s">
        <v>31467</v>
      </c>
      <c r="E6773" t="e" cm="1">
        <f t="array" ref="E6773">- CEFIXIME</f>
        <v>#NAME?</v>
      </c>
      <c r="F6773" t="s">
        <v>31468</v>
      </c>
      <c r="H6773" t="s">
        <v>1019</v>
      </c>
      <c r="I6773" t="s">
        <v>31469</v>
      </c>
      <c r="J6773" t="s">
        <v>31470</v>
      </c>
      <c r="K6773" t="s">
        <v>1020</v>
      </c>
      <c r="L6773" t="s">
        <v>1021</v>
      </c>
      <c r="M6773" t="s">
        <v>271</v>
      </c>
      <c r="N6773" t="s">
        <v>1022</v>
      </c>
      <c r="O6773" t="s">
        <v>31471</v>
      </c>
      <c r="P6773" t="s">
        <v>31472</v>
      </c>
      <c r="Q6773" t="s">
        <v>31473</v>
      </c>
      <c r="R6773">
        <v>19</v>
      </c>
      <c r="S6773">
        <v>32</v>
      </c>
    </row>
    <row r="6774" spans="1:19" x14ac:dyDescent="0.35">
      <c r="A6774">
        <v>8903</v>
      </c>
      <c r="B6774" t="s">
        <v>31474</v>
      </c>
      <c r="C6774" t="s">
        <v>42</v>
      </c>
      <c r="D6774" t="s">
        <v>31475</v>
      </c>
      <c r="E6774" t="e" cm="1">
        <f t="array" ref="E6774">- CANDESARTAN CILEXETIL</f>
        <v>#NAME?</v>
      </c>
      <c r="F6774" t="s">
        <v>31476</v>
      </c>
      <c r="G6774" t="s">
        <v>6869</v>
      </c>
      <c r="H6774" t="s">
        <v>29298</v>
      </c>
      <c r="I6774" t="s">
        <v>29299</v>
      </c>
      <c r="J6774" t="s">
        <v>2478</v>
      </c>
      <c r="K6774" t="s">
        <v>29300</v>
      </c>
      <c r="L6774" t="s">
        <v>29301</v>
      </c>
      <c r="M6774" t="s">
        <v>46</v>
      </c>
      <c r="N6774" t="s">
        <v>2447</v>
      </c>
      <c r="O6774" t="e" cm="1">
        <f t="array" ref="O6774">- hipertensi - pengobatan Pasien gagal jantung gangguan fungsi sistolik ventrikel kiri obat penghambat ace Tidak ditoleransi</f>
        <v>#NAME?</v>
      </c>
      <c r="P6774" t="s">
        <v>22168</v>
      </c>
      <c r="Q6774" t="s">
        <v>31456</v>
      </c>
      <c r="R6774">
        <v>19</v>
      </c>
      <c r="S6774">
        <v>32</v>
      </c>
    </row>
    <row r="6775" spans="1:19" x14ac:dyDescent="0.35">
      <c r="A6775">
        <v>3492</v>
      </c>
      <c r="B6775" t="s">
        <v>31477</v>
      </c>
      <c r="C6775" t="s">
        <v>42</v>
      </c>
      <c r="D6775" t="s">
        <v>31478</v>
      </c>
      <c r="E6775" t="e" cm="1">
        <f t="array" ref="E6775">- HYOSCINE BUTYLBROMIDE</f>
        <v>#NAME?</v>
      </c>
      <c r="F6775" t="s">
        <v>31479</v>
      </c>
      <c r="G6775" t="s">
        <v>3098</v>
      </c>
      <c r="H6775" t="s">
        <v>31480</v>
      </c>
      <c r="I6775" t="s">
        <v>30849</v>
      </c>
      <c r="J6775" t="s">
        <v>908</v>
      </c>
      <c r="K6775" t="s">
        <v>31481</v>
      </c>
      <c r="L6775" t="s">
        <v>31482</v>
      </c>
      <c r="M6775" t="s">
        <v>291</v>
      </c>
      <c r="N6775" t="s">
        <v>23642</v>
      </c>
      <c r="O6775" t="s">
        <v>30853</v>
      </c>
      <c r="P6775" t="s">
        <v>31483</v>
      </c>
      <c r="Q6775" t="s">
        <v>31484</v>
      </c>
      <c r="R6775">
        <v>19</v>
      </c>
      <c r="S6775">
        <v>32</v>
      </c>
    </row>
    <row r="6776" spans="1:19" x14ac:dyDescent="0.35">
      <c r="A6776">
        <v>2844</v>
      </c>
      <c r="B6776" t="s">
        <v>31485</v>
      </c>
      <c r="C6776" t="s">
        <v>42</v>
      </c>
      <c r="D6776" t="s">
        <v>31486</v>
      </c>
      <c r="E6776" t="e" cm="1">
        <f t="array" ref="E6776">- PARACETAMOL</f>
        <v>#NAME?</v>
      </c>
      <c r="F6776" t="s">
        <v>31487</v>
      </c>
      <c r="G6776" t="s">
        <v>7219</v>
      </c>
      <c r="H6776" t="s">
        <v>17912</v>
      </c>
      <c r="I6776" t="s">
        <v>30403</v>
      </c>
      <c r="J6776" t="s">
        <v>16238</v>
      </c>
      <c r="M6776" t="s">
        <v>340</v>
      </c>
      <c r="N6776" t="s">
        <v>584</v>
      </c>
      <c r="O6776" t="s">
        <v>30404</v>
      </c>
      <c r="P6776" t="s">
        <v>31488</v>
      </c>
      <c r="Q6776" t="s">
        <v>31489</v>
      </c>
      <c r="R6776">
        <v>19</v>
      </c>
      <c r="S6776">
        <v>32</v>
      </c>
    </row>
    <row r="6777" spans="1:19" x14ac:dyDescent="0.35">
      <c r="A6777">
        <v>3482</v>
      </c>
      <c r="B6777" t="s">
        <v>31490</v>
      </c>
      <c r="C6777" t="s">
        <v>42</v>
      </c>
      <c r="D6777" t="s">
        <v>31491</v>
      </c>
      <c r="E6777" t="e" cm="1">
        <f t="array" ref="E6777">- HYOSCINE BUTYLBROMIDE. PARACETAMOL</f>
        <v>#NAME?</v>
      </c>
      <c r="F6777" t="s">
        <v>31492</v>
      </c>
      <c r="G6777" t="s">
        <v>31493</v>
      </c>
      <c r="H6777" t="s">
        <v>31494</v>
      </c>
      <c r="I6777" t="s">
        <v>31495</v>
      </c>
      <c r="J6777" t="s">
        <v>381</v>
      </c>
      <c r="K6777" t="s">
        <v>31496</v>
      </c>
      <c r="L6777" t="s">
        <v>31497</v>
      </c>
      <c r="M6777" t="s">
        <v>291</v>
      </c>
      <c r="N6777" t="s">
        <v>31498</v>
      </c>
      <c r="O6777" t="s">
        <v>31499</v>
      </c>
      <c r="P6777" t="s">
        <v>31500</v>
      </c>
      <c r="Q6777" t="s">
        <v>31501</v>
      </c>
      <c r="R6777">
        <v>19</v>
      </c>
      <c r="S6777">
        <v>32</v>
      </c>
    </row>
    <row r="6778" spans="1:19" x14ac:dyDescent="0.35">
      <c r="A6778">
        <v>3476</v>
      </c>
      <c r="B6778" t="s">
        <v>31502</v>
      </c>
      <c r="C6778" t="s">
        <v>42</v>
      </c>
      <c r="D6778" t="s">
        <v>31503</v>
      </c>
      <c r="E6778" t="e" cm="1">
        <f t="array" ref="E6778">- RANITIDINE HYDROCHLORIDE</f>
        <v>#NAME?</v>
      </c>
      <c r="F6778" s="1">
        <v>7100</v>
      </c>
      <c r="G6778" t="s">
        <v>20347</v>
      </c>
      <c r="H6778" t="s">
        <v>1984</v>
      </c>
      <c r="I6778" t="s">
        <v>31504</v>
      </c>
      <c r="J6778" t="s">
        <v>17030</v>
      </c>
      <c r="K6778" t="s">
        <v>31505</v>
      </c>
      <c r="L6778" t="s">
        <v>31506</v>
      </c>
      <c r="M6778" t="s">
        <v>291</v>
      </c>
      <c r="N6778" t="s">
        <v>1985</v>
      </c>
      <c r="O6778" t="s">
        <v>31507</v>
      </c>
      <c r="P6778" t="s">
        <v>31508</v>
      </c>
      <c r="Q6778" t="s">
        <v>31509</v>
      </c>
      <c r="R6778">
        <v>19</v>
      </c>
      <c r="S6778">
        <v>32</v>
      </c>
    </row>
    <row r="6779" spans="1:19" x14ac:dyDescent="0.35">
      <c r="A6779">
        <v>8354</v>
      </c>
      <c r="B6779" t="s">
        <v>551</v>
      </c>
      <c r="C6779" t="s">
        <v>42</v>
      </c>
      <c r="D6779" t="s">
        <v>31385</v>
      </c>
      <c r="E6779" t="e" cm="1">
        <f t="array" ref="E6779">- POVIDONE-IODINE</f>
        <v>#NAME?</v>
      </c>
      <c r="F6779" t="s">
        <v>31386</v>
      </c>
      <c r="G6779" t="s">
        <v>31387</v>
      </c>
      <c r="H6779" t="s">
        <v>1322</v>
      </c>
      <c r="I6779" t="s">
        <v>31388</v>
      </c>
      <c r="J6779" t="s">
        <v>17100</v>
      </c>
      <c r="M6779" t="s">
        <v>554</v>
      </c>
      <c r="N6779" t="s">
        <v>555</v>
      </c>
      <c r="O6779" t="s">
        <v>31389</v>
      </c>
      <c r="P6779" t="s">
        <v>31390</v>
      </c>
      <c r="Q6779" t="s">
        <v>31391</v>
      </c>
      <c r="R6779">
        <v>19</v>
      </c>
      <c r="S6779">
        <v>32</v>
      </c>
    </row>
    <row r="6780" spans="1:19" x14ac:dyDescent="0.35">
      <c r="A6780">
        <v>1297</v>
      </c>
      <c r="B6780" t="s">
        <v>28883</v>
      </c>
      <c r="C6780" t="s">
        <v>42</v>
      </c>
      <c r="D6780" t="s">
        <v>28884</v>
      </c>
      <c r="E6780" t="e" cm="1">
        <f t="array" ref="E6780">- PSEUDOEPHEDRINE HYDROCHLORIDE. TRIPROLIDINE HYDROCHLORIDE</f>
        <v>#NAME?</v>
      </c>
      <c r="F6780" t="s">
        <v>28885</v>
      </c>
      <c r="G6780" t="s">
        <v>6310</v>
      </c>
      <c r="H6780" t="s">
        <v>28886</v>
      </c>
      <c r="I6780" t="s">
        <v>28887</v>
      </c>
      <c r="J6780" t="s">
        <v>334</v>
      </c>
      <c r="K6780" t="s">
        <v>19456</v>
      </c>
      <c r="L6780" t="s">
        <v>28888</v>
      </c>
      <c r="M6780" t="s">
        <v>271</v>
      </c>
      <c r="N6780" t="s">
        <v>3820</v>
      </c>
      <c r="O6780" t="s">
        <v>28889</v>
      </c>
      <c r="P6780" t="s">
        <v>28890</v>
      </c>
      <c r="Q6780" t="s">
        <v>31510</v>
      </c>
      <c r="R6780">
        <v>19</v>
      </c>
      <c r="S6780">
        <v>32</v>
      </c>
    </row>
    <row r="6781" spans="1:19" x14ac:dyDescent="0.35">
      <c r="A6781">
        <v>9021</v>
      </c>
      <c r="B6781" t="s">
        <v>29318</v>
      </c>
      <c r="C6781" t="s">
        <v>42</v>
      </c>
      <c r="D6781" t="s">
        <v>29319</v>
      </c>
      <c r="E6781" t="e" cm="1">
        <f t="array" ref="E6781">- CANDESARTAN CILEXETIL</f>
        <v>#NAME?</v>
      </c>
      <c r="F6781" t="s">
        <v>29320</v>
      </c>
      <c r="G6781" t="s">
        <v>6869</v>
      </c>
      <c r="H6781" t="s">
        <v>29298</v>
      </c>
      <c r="I6781" t="s">
        <v>29299</v>
      </c>
      <c r="J6781" t="s">
        <v>22165</v>
      </c>
      <c r="K6781" t="s">
        <v>29300</v>
      </c>
      <c r="L6781" t="s">
        <v>29301</v>
      </c>
      <c r="M6781" t="s">
        <v>46</v>
      </c>
      <c r="N6781" t="s">
        <v>2447</v>
      </c>
      <c r="O6781" t="e" cm="1">
        <f t="array" ref="O6781">- hipertensi - pengobatan Pasien gagal jantung gangguan fungsi sistolik ventrikel kiri obat penghambat ace Tidak ditoleransi</f>
        <v>#NAME?</v>
      </c>
      <c r="P6781" t="s">
        <v>29321</v>
      </c>
      <c r="Q6781" t="s">
        <v>31365</v>
      </c>
      <c r="R6781">
        <v>19</v>
      </c>
      <c r="S6781">
        <v>32</v>
      </c>
    </row>
    <row r="6782" spans="1:19" x14ac:dyDescent="0.35">
      <c r="A6782">
        <v>7754</v>
      </c>
      <c r="B6782" t="s">
        <v>31511</v>
      </c>
      <c r="C6782" t="s">
        <v>20</v>
      </c>
      <c r="D6782" t="s">
        <v>31512</v>
      </c>
      <c r="E6782" t="s">
        <v>31513</v>
      </c>
      <c r="F6782" t="s">
        <v>31514</v>
      </c>
      <c r="G6782" t="s">
        <v>60</v>
      </c>
      <c r="H6782" t="s">
        <v>9899</v>
      </c>
      <c r="I6782" t="s">
        <v>31515</v>
      </c>
      <c r="J6782" t="s">
        <v>31516</v>
      </c>
      <c r="K6782" t="s">
        <v>6079</v>
      </c>
      <c r="L6782" t="s">
        <v>7922</v>
      </c>
      <c r="M6782" t="s">
        <v>46</v>
      </c>
      <c r="N6782" t="s">
        <v>31517</v>
      </c>
      <c r="O6782" t="s">
        <v>31518</v>
      </c>
      <c r="P6782" t="s">
        <v>31517</v>
      </c>
      <c r="Q6782" t="s">
        <v>31519</v>
      </c>
      <c r="R6782">
        <v>19</v>
      </c>
      <c r="S6782">
        <v>32</v>
      </c>
    </row>
    <row r="6783" spans="1:19" x14ac:dyDescent="0.35">
      <c r="A6783">
        <v>9023</v>
      </c>
      <c r="B6783" t="s">
        <v>29318</v>
      </c>
      <c r="C6783" t="s">
        <v>42</v>
      </c>
      <c r="D6783" t="s">
        <v>29319</v>
      </c>
      <c r="E6783" t="e" cm="1">
        <f t="array" ref="E6783">- CANDESARTAN CILEXETIL</f>
        <v>#NAME?</v>
      </c>
      <c r="F6783" t="s">
        <v>29320</v>
      </c>
      <c r="G6783" t="s">
        <v>6869</v>
      </c>
      <c r="H6783" t="s">
        <v>29298</v>
      </c>
      <c r="I6783" t="s">
        <v>29299</v>
      </c>
      <c r="J6783" t="s">
        <v>22165</v>
      </c>
      <c r="K6783" t="s">
        <v>29300</v>
      </c>
      <c r="L6783" t="s">
        <v>29301</v>
      </c>
      <c r="M6783" t="s">
        <v>46</v>
      </c>
      <c r="N6783" t="s">
        <v>2447</v>
      </c>
      <c r="O6783" t="e" cm="1">
        <f t="array" ref="O6783">- hipertensi - pengobatan Pasien gagal jantung gangguan fungsi sistolik ventrikel kiri obat penghambat ace Tidak ditoleransi</f>
        <v>#NAME?</v>
      </c>
      <c r="P6783" t="s">
        <v>29321</v>
      </c>
      <c r="Q6783" t="s">
        <v>31365</v>
      </c>
      <c r="R6783">
        <v>19</v>
      </c>
      <c r="S6783">
        <v>32</v>
      </c>
    </row>
    <row r="6784" spans="1:19" x14ac:dyDescent="0.35">
      <c r="A6784">
        <v>9048</v>
      </c>
      <c r="B6784" t="s">
        <v>31520</v>
      </c>
      <c r="C6784" t="s">
        <v>42</v>
      </c>
      <c r="D6784" t="s">
        <v>31521</v>
      </c>
      <c r="E6784" t="e" cm="1">
        <f t="array" ref="E6784">- CANDESARTAN CILEXETIL</f>
        <v>#NAME?</v>
      </c>
      <c r="F6784" t="s">
        <v>31522</v>
      </c>
      <c r="G6784" t="s">
        <v>6869</v>
      </c>
      <c r="H6784" t="s">
        <v>29298</v>
      </c>
      <c r="I6784" t="s">
        <v>29299</v>
      </c>
      <c r="J6784" t="s">
        <v>2446</v>
      </c>
      <c r="K6784" t="s">
        <v>29300</v>
      </c>
      <c r="L6784" t="s">
        <v>29301</v>
      </c>
      <c r="M6784" t="s">
        <v>46</v>
      </c>
      <c r="N6784" t="s">
        <v>2447</v>
      </c>
      <c r="O6784" t="e" cm="1">
        <f t="array" ref="O6784">- hipertensi - pengobatan Pasien gagal jantung gangguan fungsi sistolik ventrikel kiri obat penghambat ace Tidak ditoleransi</f>
        <v>#NAME?</v>
      </c>
      <c r="P6784" t="s">
        <v>31523</v>
      </c>
      <c r="Q6784" t="s">
        <v>31524</v>
      </c>
      <c r="R6784">
        <v>19</v>
      </c>
      <c r="S6784">
        <v>32</v>
      </c>
    </row>
    <row r="6785" spans="1:19" x14ac:dyDescent="0.35">
      <c r="A6785">
        <v>4395</v>
      </c>
      <c r="B6785" t="s">
        <v>19801</v>
      </c>
      <c r="C6785" t="s">
        <v>42</v>
      </c>
      <c r="D6785" t="s">
        <v>31525</v>
      </c>
      <c r="E6785" t="e" cm="1">
        <f t="array" ref="E6785">- BENZYDAMINE HYDROCHLORIDE</f>
        <v>#NAME?</v>
      </c>
      <c r="F6785" t="s">
        <v>31526</v>
      </c>
      <c r="G6785" t="s">
        <v>31527</v>
      </c>
      <c r="H6785" t="s">
        <v>31528</v>
      </c>
      <c r="I6785" t="s">
        <v>31529</v>
      </c>
      <c r="J6785" t="s">
        <v>1144</v>
      </c>
      <c r="K6785" t="s">
        <v>8963</v>
      </c>
      <c r="L6785" t="s">
        <v>31530</v>
      </c>
      <c r="M6785" t="s">
        <v>554</v>
      </c>
      <c r="N6785" t="s">
        <v>19809</v>
      </c>
      <c r="O6785" t="s">
        <v>31531</v>
      </c>
      <c r="P6785" t="s">
        <v>31532</v>
      </c>
      <c r="Q6785" t="s">
        <v>31533</v>
      </c>
      <c r="R6785">
        <v>19</v>
      </c>
      <c r="S6785">
        <v>32</v>
      </c>
    </row>
    <row r="6786" spans="1:19" x14ac:dyDescent="0.35">
      <c r="A6786">
        <v>4396</v>
      </c>
      <c r="B6786" t="s">
        <v>19801</v>
      </c>
      <c r="C6786" t="s">
        <v>42</v>
      </c>
      <c r="D6786" t="s">
        <v>31525</v>
      </c>
      <c r="E6786" t="e" cm="1">
        <f t="array" ref="E6786">- BENZYDAMINE HYDROCHLORIDE</f>
        <v>#NAME?</v>
      </c>
      <c r="F6786" t="s">
        <v>31526</v>
      </c>
      <c r="G6786" t="s">
        <v>31527</v>
      </c>
      <c r="H6786" t="s">
        <v>31528</v>
      </c>
      <c r="I6786" t="s">
        <v>31529</v>
      </c>
      <c r="J6786" t="s">
        <v>1144</v>
      </c>
      <c r="K6786" t="s">
        <v>8963</v>
      </c>
      <c r="L6786" t="s">
        <v>31530</v>
      </c>
      <c r="M6786" t="s">
        <v>554</v>
      </c>
      <c r="N6786" t="s">
        <v>19809</v>
      </c>
      <c r="O6786" t="s">
        <v>31531</v>
      </c>
      <c r="P6786" t="s">
        <v>31532</v>
      </c>
      <c r="Q6786" t="s">
        <v>31533</v>
      </c>
      <c r="R6786">
        <v>19</v>
      </c>
      <c r="S6786">
        <v>32</v>
      </c>
    </row>
    <row r="6787" spans="1:19" x14ac:dyDescent="0.35">
      <c r="A6787">
        <v>4397</v>
      </c>
      <c r="B6787" t="s">
        <v>19801</v>
      </c>
      <c r="C6787" t="s">
        <v>42</v>
      </c>
      <c r="D6787" t="s">
        <v>31525</v>
      </c>
      <c r="E6787" t="e" cm="1">
        <f t="array" ref="E6787">- BENZYDAMINE HYDROCHLORIDE</f>
        <v>#NAME?</v>
      </c>
      <c r="F6787" t="s">
        <v>31526</v>
      </c>
      <c r="G6787" t="s">
        <v>31527</v>
      </c>
      <c r="H6787" t="s">
        <v>31528</v>
      </c>
      <c r="I6787" t="s">
        <v>31529</v>
      </c>
      <c r="J6787" t="s">
        <v>1144</v>
      </c>
      <c r="K6787" t="s">
        <v>8963</v>
      </c>
      <c r="L6787" t="s">
        <v>31530</v>
      </c>
      <c r="M6787" t="s">
        <v>554</v>
      </c>
      <c r="N6787" t="s">
        <v>19809</v>
      </c>
      <c r="O6787" t="s">
        <v>31531</v>
      </c>
      <c r="P6787" t="s">
        <v>31532</v>
      </c>
      <c r="Q6787" t="s">
        <v>31533</v>
      </c>
      <c r="R6787">
        <v>19</v>
      </c>
      <c r="S6787">
        <v>32</v>
      </c>
    </row>
    <row r="6788" spans="1:19" x14ac:dyDescent="0.35">
      <c r="A6788">
        <v>4398</v>
      </c>
      <c r="B6788" t="s">
        <v>19801</v>
      </c>
      <c r="C6788" t="s">
        <v>42</v>
      </c>
      <c r="D6788" t="s">
        <v>31525</v>
      </c>
      <c r="E6788" t="e" cm="1">
        <f t="array" ref="E6788">- BENZYDAMINE HYDROCHLORIDE</f>
        <v>#NAME?</v>
      </c>
      <c r="F6788" t="s">
        <v>31526</v>
      </c>
      <c r="G6788" t="s">
        <v>31527</v>
      </c>
      <c r="H6788" t="s">
        <v>31528</v>
      </c>
      <c r="I6788" t="s">
        <v>31529</v>
      </c>
      <c r="J6788" t="s">
        <v>1144</v>
      </c>
      <c r="K6788" t="s">
        <v>8963</v>
      </c>
      <c r="L6788" t="s">
        <v>31530</v>
      </c>
      <c r="M6788" t="s">
        <v>554</v>
      </c>
      <c r="N6788" t="s">
        <v>19809</v>
      </c>
      <c r="O6788" t="s">
        <v>31531</v>
      </c>
      <c r="P6788" t="s">
        <v>31532</v>
      </c>
      <c r="Q6788" t="s">
        <v>31533</v>
      </c>
      <c r="R6788">
        <v>19</v>
      </c>
      <c r="S6788">
        <v>32</v>
      </c>
    </row>
    <row r="6789" spans="1:19" x14ac:dyDescent="0.35">
      <c r="A6789">
        <v>8789</v>
      </c>
      <c r="B6789" t="s">
        <v>2388</v>
      </c>
      <c r="C6789" t="s">
        <v>42</v>
      </c>
      <c r="D6789" t="s">
        <v>31534</v>
      </c>
      <c r="E6789" t="e" cm="1">
        <f t="array" ref="E6789">- PIOGLITAZONE HYDROCHLORIDE</f>
        <v>#NAME?</v>
      </c>
      <c r="F6789" s="1">
        <v>711800</v>
      </c>
      <c r="I6789" t="s">
        <v>31535</v>
      </c>
      <c r="J6789" t="s">
        <v>13954</v>
      </c>
      <c r="M6789" t="s">
        <v>46</v>
      </c>
      <c r="N6789" t="s">
        <v>2389</v>
      </c>
      <c r="O6789" t="s">
        <v>31536</v>
      </c>
      <c r="P6789" t="s">
        <v>31537</v>
      </c>
      <c r="Q6789" t="s">
        <v>31538</v>
      </c>
      <c r="R6789">
        <v>19</v>
      </c>
      <c r="S6789">
        <v>32</v>
      </c>
    </row>
    <row r="6790" spans="1:19" x14ac:dyDescent="0.35">
      <c r="A6790">
        <v>1598</v>
      </c>
      <c r="B6790" t="s">
        <v>31539</v>
      </c>
      <c r="C6790" t="s">
        <v>42</v>
      </c>
      <c r="D6790" t="s">
        <v>31540</v>
      </c>
      <c r="E6790" t="e" cm="1">
        <f t="array" ref="E6790">- AMBROXOL HYDROCHLORIDE</f>
        <v>#NAME?</v>
      </c>
      <c r="F6790" t="s">
        <v>31541</v>
      </c>
      <c r="G6790" t="s">
        <v>31542</v>
      </c>
      <c r="H6790" t="s">
        <v>31543</v>
      </c>
      <c r="I6790" t="s">
        <v>30701</v>
      </c>
      <c r="J6790" t="s">
        <v>17379</v>
      </c>
      <c r="K6790" t="s">
        <v>31544</v>
      </c>
      <c r="L6790" t="s">
        <v>31545</v>
      </c>
      <c r="M6790" t="s">
        <v>46</v>
      </c>
      <c r="N6790" t="s">
        <v>1800</v>
      </c>
      <c r="O6790" t="s">
        <v>30702</v>
      </c>
      <c r="P6790" t="s">
        <v>28706</v>
      </c>
      <c r="Q6790" t="s">
        <v>31546</v>
      </c>
      <c r="R6790">
        <v>19</v>
      </c>
      <c r="S6790">
        <v>32</v>
      </c>
    </row>
    <row r="6791" spans="1:19" x14ac:dyDescent="0.35">
      <c r="A6791">
        <v>2370</v>
      </c>
      <c r="B6791" t="s">
        <v>12857</v>
      </c>
      <c r="C6791" t="s">
        <v>42</v>
      </c>
      <c r="D6791" t="s">
        <v>12858</v>
      </c>
      <c r="E6791" t="e" cm="1">
        <f t="array" ref="E6791">- METAMIZOLE SODIUM MONOHYDRATE. THIAMINE MONONITRATE. PYRIDOXINE HYDROCHLORIDE. CYANOCOBALAMIN. DL-ALPHA-TOCOPHERYL ACETATE</f>
        <v>#NAME?</v>
      </c>
      <c r="F6791" t="s">
        <v>12859</v>
      </c>
      <c r="H6791" t="s">
        <v>12860</v>
      </c>
      <c r="I6791" t="s">
        <v>12861</v>
      </c>
      <c r="J6791" t="s">
        <v>12862</v>
      </c>
      <c r="L6791" t="s">
        <v>321</v>
      </c>
      <c r="M6791" t="s">
        <v>291</v>
      </c>
      <c r="N6791" t="s">
        <v>31547</v>
      </c>
      <c r="O6791" t="s">
        <v>12863</v>
      </c>
      <c r="P6791" t="s">
        <v>12864</v>
      </c>
      <c r="Q6791" t="s">
        <v>31548</v>
      </c>
      <c r="R6791">
        <v>19</v>
      </c>
      <c r="S6791">
        <v>32</v>
      </c>
    </row>
    <row r="6792" spans="1:19" x14ac:dyDescent="0.35">
      <c r="A6792">
        <v>7874</v>
      </c>
      <c r="B6792" t="s">
        <v>31549</v>
      </c>
      <c r="C6792" t="s">
        <v>20</v>
      </c>
      <c r="D6792" t="s">
        <v>31550</v>
      </c>
      <c r="E6792" t="s">
        <v>31551</v>
      </c>
      <c r="F6792" t="s">
        <v>31552</v>
      </c>
      <c r="G6792" t="s">
        <v>2241</v>
      </c>
      <c r="H6792" t="s">
        <v>31553</v>
      </c>
      <c r="I6792" t="s">
        <v>31554</v>
      </c>
      <c r="J6792" t="s">
        <v>3409</v>
      </c>
      <c r="M6792" t="s">
        <v>38</v>
      </c>
      <c r="N6792" t="s">
        <v>31555</v>
      </c>
      <c r="O6792" t="s">
        <v>31556</v>
      </c>
      <c r="P6792" t="s">
        <v>31557</v>
      </c>
      <c r="Q6792" t="s">
        <v>31558</v>
      </c>
      <c r="R6792">
        <v>19</v>
      </c>
      <c r="S6792">
        <v>32</v>
      </c>
    </row>
    <row r="6793" spans="1:19" x14ac:dyDescent="0.35">
      <c r="A6793">
        <v>4476</v>
      </c>
      <c r="B6793" t="s">
        <v>31559</v>
      </c>
      <c r="C6793" t="s">
        <v>42</v>
      </c>
      <c r="D6793" t="s">
        <v>31560</v>
      </c>
      <c r="E6793" t="e" cm="1">
        <f t="array" ref="E6793">- DEXAMETHASONE SODIUM PHOSPHATE</f>
        <v>#NAME?</v>
      </c>
      <c r="F6793" t="s">
        <v>31561</v>
      </c>
      <c r="G6793" t="s">
        <v>31562</v>
      </c>
      <c r="H6793" t="s">
        <v>31563</v>
      </c>
      <c r="I6793" t="s">
        <v>31564</v>
      </c>
      <c r="J6793" t="s">
        <v>31565</v>
      </c>
      <c r="K6793" t="s">
        <v>31566</v>
      </c>
      <c r="L6793" t="s">
        <v>31567</v>
      </c>
      <c r="M6793" t="s">
        <v>824</v>
      </c>
      <c r="N6793" t="s">
        <v>25402</v>
      </c>
      <c r="O6793" t="s">
        <v>31568</v>
      </c>
      <c r="P6793" t="s">
        <v>31569</v>
      </c>
      <c r="Q6793" t="s">
        <v>31570</v>
      </c>
      <c r="R6793">
        <v>19</v>
      </c>
      <c r="S6793">
        <v>32</v>
      </c>
    </row>
    <row r="6794" spans="1:19" x14ac:dyDescent="0.35">
      <c r="A6794">
        <v>4477</v>
      </c>
      <c r="B6794" t="s">
        <v>31559</v>
      </c>
      <c r="C6794" t="s">
        <v>42</v>
      </c>
      <c r="D6794" t="s">
        <v>31560</v>
      </c>
      <c r="E6794" t="e" cm="1">
        <f t="array" ref="E6794">- DEXAMETHASONE SODIUM PHOSPHATE</f>
        <v>#NAME?</v>
      </c>
      <c r="F6794" t="s">
        <v>31561</v>
      </c>
      <c r="G6794" t="s">
        <v>31562</v>
      </c>
      <c r="H6794" t="s">
        <v>31563</v>
      </c>
      <c r="I6794" t="s">
        <v>31564</v>
      </c>
      <c r="J6794" t="s">
        <v>31565</v>
      </c>
      <c r="K6794" t="s">
        <v>31566</v>
      </c>
      <c r="L6794" t="s">
        <v>31567</v>
      </c>
      <c r="M6794" t="s">
        <v>824</v>
      </c>
      <c r="N6794" t="s">
        <v>25402</v>
      </c>
      <c r="O6794" t="s">
        <v>31568</v>
      </c>
      <c r="P6794" t="s">
        <v>31569</v>
      </c>
      <c r="Q6794" t="s">
        <v>31570</v>
      </c>
      <c r="R6794">
        <v>19</v>
      </c>
      <c r="S6794">
        <v>32</v>
      </c>
    </row>
    <row r="6795" spans="1:19" x14ac:dyDescent="0.35">
      <c r="A6795">
        <v>2369</v>
      </c>
      <c r="B6795" t="s">
        <v>12857</v>
      </c>
      <c r="C6795" t="s">
        <v>42</v>
      </c>
      <c r="D6795" t="s">
        <v>12858</v>
      </c>
      <c r="E6795" t="e" cm="1">
        <f t="array" ref="E6795">- METAMIZOLE SODIUM MONOHYDRATE. THIAMINE MONONITRATE. PYRIDOXINE HYDROCHLORIDE. CYANOCOBALAMIN. DL-ALPHA-TOCOPHERYL ACETATE</f>
        <v>#NAME?</v>
      </c>
      <c r="F6795" t="s">
        <v>12859</v>
      </c>
      <c r="H6795" t="s">
        <v>12860</v>
      </c>
      <c r="I6795" t="s">
        <v>12861</v>
      </c>
      <c r="J6795" t="s">
        <v>12862</v>
      </c>
      <c r="L6795" t="s">
        <v>321</v>
      </c>
      <c r="M6795" t="s">
        <v>291</v>
      </c>
      <c r="N6795" t="s">
        <v>31547</v>
      </c>
      <c r="O6795" t="s">
        <v>12863</v>
      </c>
      <c r="P6795" t="s">
        <v>12864</v>
      </c>
      <c r="Q6795" t="s">
        <v>31548</v>
      </c>
      <c r="R6795">
        <v>19</v>
      </c>
      <c r="S6795">
        <v>32</v>
      </c>
    </row>
    <row r="6796" spans="1:19" x14ac:dyDescent="0.35">
      <c r="A6796">
        <v>2356</v>
      </c>
      <c r="B6796" t="s">
        <v>31571</v>
      </c>
      <c r="C6796" t="s">
        <v>42</v>
      </c>
      <c r="D6796" t="s">
        <v>31572</v>
      </c>
      <c r="E6796" t="e" cm="1">
        <f t="array" ref="E6796">- PARACETAMOL. IBUPROFEN</f>
        <v>#NAME?</v>
      </c>
      <c r="F6796" t="s">
        <v>31573</v>
      </c>
      <c r="G6796" t="s">
        <v>31574</v>
      </c>
      <c r="H6796" t="s">
        <v>31575</v>
      </c>
      <c r="I6796" t="s">
        <v>31576</v>
      </c>
      <c r="J6796" t="s">
        <v>31577</v>
      </c>
      <c r="K6796" t="s">
        <v>31578</v>
      </c>
      <c r="L6796" t="s">
        <v>31579</v>
      </c>
      <c r="M6796" t="s">
        <v>38</v>
      </c>
      <c r="N6796" t="s">
        <v>20695</v>
      </c>
      <c r="O6796" t="s">
        <v>31580</v>
      </c>
      <c r="P6796" t="s">
        <v>31581</v>
      </c>
      <c r="Q6796" t="s">
        <v>31582</v>
      </c>
      <c r="R6796">
        <v>19</v>
      </c>
      <c r="S6796">
        <v>32</v>
      </c>
    </row>
    <row r="6797" spans="1:19" x14ac:dyDescent="0.35">
      <c r="A6797">
        <v>2347</v>
      </c>
      <c r="B6797" t="s">
        <v>31583</v>
      </c>
      <c r="C6797" t="s">
        <v>42</v>
      </c>
      <c r="D6797" t="s">
        <v>31584</v>
      </c>
      <c r="E6797" t="e" cm="1">
        <f t="array" ref="E6797">- LIDOCAINE HYDROCHLORIDE</f>
        <v>#NAME?</v>
      </c>
      <c r="F6797" s="1">
        <v>83600</v>
      </c>
      <c r="H6797" t="s">
        <v>31585</v>
      </c>
      <c r="I6797" t="s">
        <v>31586</v>
      </c>
      <c r="J6797" t="s">
        <v>31587</v>
      </c>
      <c r="L6797" t="s">
        <v>31588</v>
      </c>
      <c r="M6797" t="s">
        <v>87</v>
      </c>
      <c r="N6797" t="s">
        <v>31589</v>
      </c>
      <c r="O6797" t="s">
        <v>31590</v>
      </c>
      <c r="P6797" t="s">
        <v>31591</v>
      </c>
      <c r="Q6797" t="s">
        <v>31592</v>
      </c>
      <c r="R6797">
        <v>19</v>
      </c>
      <c r="S6797">
        <v>32</v>
      </c>
    </row>
    <row r="6798" spans="1:19" x14ac:dyDescent="0.35">
      <c r="A6798">
        <v>3078</v>
      </c>
      <c r="B6798" t="s">
        <v>31593</v>
      </c>
      <c r="C6798" t="s">
        <v>42</v>
      </c>
      <c r="D6798" t="s">
        <v>31594</v>
      </c>
      <c r="E6798" t="e" cm="1">
        <f t="array" ref="E6798">- LANSOPRAZOLE</f>
        <v>#NAME?</v>
      </c>
      <c r="F6798" t="s">
        <v>31595</v>
      </c>
      <c r="G6798" t="s">
        <v>11823</v>
      </c>
      <c r="H6798" t="s">
        <v>4222</v>
      </c>
      <c r="I6798" t="s">
        <v>31596</v>
      </c>
      <c r="J6798" t="s">
        <v>1181</v>
      </c>
      <c r="K6798" t="s">
        <v>31597</v>
      </c>
      <c r="L6798" t="s">
        <v>31598</v>
      </c>
    </row>
    <row r="6799" spans="1:19" x14ac:dyDescent="0.35">
      <c r="A6799">
        <v>3271</v>
      </c>
      <c r="B6799" t="s">
        <v>18154</v>
      </c>
      <c r="C6799" t="s">
        <v>42</v>
      </c>
      <c r="D6799" t="s">
        <v>18155</v>
      </c>
      <c r="E6799" t="s">
        <v>14897</v>
      </c>
      <c r="F6799" t="s">
        <v>18156</v>
      </c>
      <c r="G6799" t="s">
        <v>737</v>
      </c>
      <c r="H6799" t="s">
        <v>18157</v>
      </c>
      <c r="I6799" t="s">
        <v>18158</v>
      </c>
      <c r="J6799" t="s">
        <v>18159</v>
      </c>
      <c r="K6799" t="s">
        <v>4677</v>
      </c>
      <c r="L6799" t="s">
        <v>18160</v>
      </c>
      <c r="M6799" t="s">
        <v>340</v>
      </c>
      <c r="N6799" t="s">
        <v>14898</v>
      </c>
      <c r="O6799" t="s">
        <v>18161</v>
      </c>
      <c r="P6799" t="s">
        <v>18162</v>
      </c>
      <c r="Q6799" t="s">
        <v>31599</v>
      </c>
      <c r="R6799">
        <v>19</v>
      </c>
      <c r="S6799">
        <v>32</v>
      </c>
    </row>
    <row r="6800" spans="1:19" x14ac:dyDescent="0.35">
      <c r="A6800">
        <v>9604</v>
      </c>
      <c r="B6800" t="s">
        <v>6301</v>
      </c>
      <c r="C6800" t="s">
        <v>42</v>
      </c>
      <c r="D6800" t="s">
        <v>31600</v>
      </c>
      <c r="E6800" t="s">
        <v>6303</v>
      </c>
      <c r="F6800" t="s">
        <v>31601</v>
      </c>
      <c r="G6800" t="s">
        <v>31602</v>
      </c>
      <c r="H6800" t="s">
        <v>1322</v>
      </c>
      <c r="I6800" t="s">
        <v>31603</v>
      </c>
      <c r="J6800" t="s">
        <v>846</v>
      </c>
      <c r="K6800" t="s">
        <v>31604</v>
      </c>
      <c r="L6800" t="s">
        <v>31605</v>
      </c>
      <c r="M6800" t="s">
        <v>46</v>
      </c>
      <c r="N6800" t="s">
        <v>6304</v>
      </c>
      <c r="O6800" t="s">
        <v>31606</v>
      </c>
      <c r="P6800" t="s">
        <v>31607</v>
      </c>
      <c r="Q6800" t="s">
        <v>31608</v>
      </c>
      <c r="R6800">
        <v>19</v>
      </c>
      <c r="S6800">
        <v>32</v>
      </c>
    </row>
    <row r="6801" spans="1:19" x14ac:dyDescent="0.35">
      <c r="A6801">
        <v>8771</v>
      </c>
      <c r="B6801" t="s">
        <v>2388</v>
      </c>
      <c r="C6801" t="s">
        <v>42</v>
      </c>
      <c r="D6801" t="s">
        <v>31609</v>
      </c>
      <c r="E6801" t="e" cm="1">
        <f t="array" ref="E6801">- PIOGLITAZONE HYDROCHLORIDE</f>
        <v>#NAME?</v>
      </c>
      <c r="F6801" t="s">
        <v>31610</v>
      </c>
      <c r="G6801" t="s">
        <v>20297</v>
      </c>
      <c r="H6801" t="s">
        <v>1322</v>
      </c>
      <c r="I6801" t="s">
        <v>31611</v>
      </c>
      <c r="J6801" t="s">
        <v>12837</v>
      </c>
      <c r="L6801" t="s">
        <v>20299</v>
      </c>
      <c r="M6801" t="s">
        <v>46</v>
      </c>
      <c r="N6801" t="s">
        <v>2389</v>
      </c>
      <c r="O6801" t="s">
        <v>31612</v>
      </c>
      <c r="P6801" t="s">
        <v>31613</v>
      </c>
      <c r="Q6801" t="s">
        <v>31614</v>
      </c>
      <c r="R6801">
        <v>19</v>
      </c>
      <c r="S6801">
        <v>32</v>
      </c>
    </row>
    <row r="6802" spans="1:19" x14ac:dyDescent="0.35">
      <c r="A6802">
        <v>4529</v>
      </c>
      <c r="B6802" t="s">
        <v>31615</v>
      </c>
      <c r="C6802" t="s">
        <v>42</v>
      </c>
      <c r="D6802" t="s">
        <v>31616</v>
      </c>
      <c r="E6802" t="e" cm="1">
        <f t="array" ref="E6802">- RETINOL PALMITATE</f>
        <v>#NAME?</v>
      </c>
      <c r="F6802" t="s">
        <v>31617</v>
      </c>
      <c r="G6802" t="s">
        <v>31618</v>
      </c>
      <c r="H6802" t="s">
        <v>31619</v>
      </c>
      <c r="I6802" t="s">
        <v>31620</v>
      </c>
      <c r="J6802" t="s">
        <v>28061</v>
      </c>
      <c r="K6802" t="s">
        <v>31621</v>
      </c>
      <c r="L6802" t="s">
        <v>31622</v>
      </c>
      <c r="M6802" t="s">
        <v>87</v>
      </c>
      <c r="N6802" t="s">
        <v>31623</v>
      </c>
      <c r="O6802" t="s">
        <v>31624</v>
      </c>
      <c r="P6802" t="s">
        <v>31625</v>
      </c>
      <c r="Q6802" t="s">
        <v>31626</v>
      </c>
      <c r="R6802">
        <v>19</v>
      </c>
      <c r="S6802">
        <v>32</v>
      </c>
    </row>
    <row r="6803" spans="1:19" x14ac:dyDescent="0.35">
      <c r="A6803">
        <v>3242</v>
      </c>
      <c r="B6803" t="s">
        <v>31627</v>
      </c>
      <c r="C6803" t="s">
        <v>42</v>
      </c>
      <c r="D6803" t="s">
        <v>31628</v>
      </c>
      <c r="E6803" t="e" cm="1">
        <f t="array" ref="E6803">- DRIED ALUMINIUM HYDROXIDE GEL</f>
        <v>#NAME?</v>
      </c>
      <c r="F6803" t="s">
        <v>31629</v>
      </c>
      <c r="G6803" t="s">
        <v>31630</v>
      </c>
      <c r="H6803" t="s">
        <v>31631</v>
      </c>
      <c r="I6803" t="s">
        <v>31632</v>
      </c>
      <c r="J6803" t="s">
        <v>9961</v>
      </c>
      <c r="K6803" t="s">
        <v>29797</v>
      </c>
      <c r="L6803" t="s">
        <v>31633</v>
      </c>
      <c r="M6803" t="s">
        <v>46</v>
      </c>
      <c r="N6803" t="s">
        <v>4172</v>
      </c>
      <c r="O6803" t="s">
        <v>31634</v>
      </c>
      <c r="P6803" t="s">
        <v>4173</v>
      </c>
      <c r="Q6803" t="s">
        <v>31635</v>
      </c>
      <c r="R6803">
        <v>19</v>
      </c>
      <c r="S6803">
        <v>32</v>
      </c>
    </row>
    <row r="6804" spans="1:19" x14ac:dyDescent="0.35">
      <c r="A6804">
        <v>4530</v>
      </c>
      <c r="B6804" t="s">
        <v>31615</v>
      </c>
      <c r="C6804" t="s">
        <v>42</v>
      </c>
      <c r="D6804" t="s">
        <v>31616</v>
      </c>
      <c r="E6804" t="e" cm="1">
        <f t="array" ref="E6804">- RETINOL PALMITATE</f>
        <v>#NAME?</v>
      </c>
      <c r="F6804" t="s">
        <v>31617</v>
      </c>
      <c r="G6804" t="s">
        <v>31618</v>
      </c>
      <c r="H6804" t="s">
        <v>31619</v>
      </c>
      <c r="I6804" t="s">
        <v>31620</v>
      </c>
      <c r="J6804" t="s">
        <v>28061</v>
      </c>
      <c r="K6804" t="s">
        <v>31621</v>
      </c>
      <c r="L6804" t="s">
        <v>31622</v>
      </c>
      <c r="M6804" t="s">
        <v>87</v>
      </c>
      <c r="N6804" t="s">
        <v>31623</v>
      </c>
      <c r="O6804" t="s">
        <v>31624</v>
      </c>
      <c r="P6804" t="s">
        <v>31625</v>
      </c>
      <c r="Q6804" t="s">
        <v>31626</v>
      </c>
      <c r="R6804">
        <v>19</v>
      </c>
      <c r="S6804">
        <v>32</v>
      </c>
    </row>
    <row r="6805" spans="1:19" x14ac:dyDescent="0.35">
      <c r="A6805">
        <v>4531</v>
      </c>
      <c r="B6805" t="s">
        <v>31615</v>
      </c>
      <c r="C6805" t="s">
        <v>42</v>
      </c>
      <c r="D6805" t="s">
        <v>31616</v>
      </c>
      <c r="E6805" t="e" cm="1">
        <f t="array" ref="E6805">- RETINOL PALMITATE</f>
        <v>#NAME?</v>
      </c>
      <c r="F6805" t="s">
        <v>31617</v>
      </c>
      <c r="G6805" t="s">
        <v>31618</v>
      </c>
      <c r="H6805" t="s">
        <v>31619</v>
      </c>
      <c r="I6805" t="s">
        <v>31620</v>
      </c>
      <c r="J6805" t="s">
        <v>28061</v>
      </c>
      <c r="K6805" t="s">
        <v>31621</v>
      </c>
      <c r="L6805" t="s">
        <v>31622</v>
      </c>
      <c r="M6805" t="s">
        <v>87</v>
      </c>
      <c r="N6805" t="s">
        <v>31623</v>
      </c>
      <c r="O6805" t="s">
        <v>31624</v>
      </c>
      <c r="P6805" t="s">
        <v>31625</v>
      </c>
      <c r="Q6805" t="s">
        <v>31626</v>
      </c>
      <c r="R6805">
        <v>19</v>
      </c>
      <c r="S6805">
        <v>32</v>
      </c>
    </row>
    <row r="6806" spans="1:19" x14ac:dyDescent="0.35">
      <c r="A6806">
        <v>4532</v>
      </c>
      <c r="B6806" t="s">
        <v>31615</v>
      </c>
      <c r="C6806" t="s">
        <v>42</v>
      </c>
      <c r="D6806" t="s">
        <v>31616</v>
      </c>
      <c r="E6806" t="e" cm="1">
        <f t="array" ref="E6806">- RETINOL PALMITATE</f>
        <v>#NAME?</v>
      </c>
      <c r="F6806" t="s">
        <v>31617</v>
      </c>
      <c r="G6806" t="s">
        <v>31618</v>
      </c>
      <c r="H6806" t="s">
        <v>31619</v>
      </c>
      <c r="I6806" t="s">
        <v>31620</v>
      </c>
      <c r="J6806" t="s">
        <v>28061</v>
      </c>
      <c r="K6806" t="s">
        <v>31621</v>
      </c>
      <c r="L6806" t="s">
        <v>31622</v>
      </c>
      <c r="M6806" t="s">
        <v>87</v>
      </c>
      <c r="N6806" t="s">
        <v>31623</v>
      </c>
      <c r="O6806" t="s">
        <v>31624</v>
      </c>
      <c r="P6806" t="s">
        <v>31625</v>
      </c>
      <c r="Q6806" t="s">
        <v>31626</v>
      </c>
      <c r="R6806">
        <v>19</v>
      </c>
      <c r="S6806">
        <v>32</v>
      </c>
    </row>
    <row r="6807" spans="1:19" x14ac:dyDescent="0.35">
      <c r="A6807">
        <v>4533</v>
      </c>
      <c r="B6807" t="s">
        <v>31615</v>
      </c>
      <c r="C6807" t="s">
        <v>42</v>
      </c>
      <c r="D6807" t="s">
        <v>31616</v>
      </c>
      <c r="E6807" t="e" cm="1">
        <f t="array" ref="E6807">- RETINOL PALMITATE</f>
        <v>#NAME?</v>
      </c>
      <c r="F6807" t="s">
        <v>31617</v>
      </c>
      <c r="G6807" t="s">
        <v>31618</v>
      </c>
      <c r="H6807" t="s">
        <v>31619</v>
      </c>
      <c r="I6807" t="s">
        <v>31620</v>
      </c>
      <c r="J6807" t="s">
        <v>28061</v>
      </c>
      <c r="K6807" t="s">
        <v>31621</v>
      </c>
      <c r="L6807" t="s">
        <v>31622</v>
      </c>
      <c r="M6807" t="s">
        <v>87</v>
      </c>
      <c r="N6807" t="s">
        <v>31623</v>
      </c>
      <c r="O6807" t="s">
        <v>31624</v>
      </c>
      <c r="P6807" t="s">
        <v>31625</v>
      </c>
      <c r="Q6807" t="s">
        <v>31626</v>
      </c>
      <c r="R6807">
        <v>19</v>
      </c>
      <c r="S6807">
        <v>32</v>
      </c>
    </row>
    <row r="6808" spans="1:19" x14ac:dyDescent="0.35">
      <c r="A6808">
        <v>9669</v>
      </c>
      <c r="B6808" t="s">
        <v>30787</v>
      </c>
      <c r="C6808" t="s">
        <v>42</v>
      </c>
      <c r="D6808" t="s">
        <v>30788</v>
      </c>
      <c r="E6808" t="e" cm="1">
        <f t="array" ref="E6808">- FENOFIBRATE</f>
        <v>#NAME?</v>
      </c>
      <c r="F6808" t="s">
        <v>30789</v>
      </c>
      <c r="G6808" t="s">
        <v>30790</v>
      </c>
      <c r="H6808" t="s">
        <v>30791</v>
      </c>
      <c r="I6808" t="s">
        <v>30792</v>
      </c>
      <c r="J6808" t="s">
        <v>30793</v>
      </c>
      <c r="K6808" t="s">
        <v>30794</v>
      </c>
      <c r="L6808" t="s">
        <v>30795</v>
      </c>
      <c r="M6808" t="s">
        <v>38</v>
      </c>
      <c r="N6808" t="s">
        <v>1137</v>
      </c>
      <c r="O6808" t="s">
        <v>30796</v>
      </c>
      <c r="P6808" t="s">
        <v>1137</v>
      </c>
      <c r="Q6808" t="s">
        <v>30797</v>
      </c>
      <c r="R6808">
        <v>19</v>
      </c>
      <c r="S6808">
        <v>32</v>
      </c>
    </row>
    <row r="6809" spans="1:19" x14ac:dyDescent="0.35">
      <c r="A6809">
        <v>8913</v>
      </c>
      <c r="B6809" t="s">
        <v>30764</v>
      </c>
      <c r="C6809" t="s">
        <v>42</v>
      </c>
      <c r="D6809" t="s">
        <v>30765</v>
      </c>
      <c r="E6809" t="e" cm="1">
        <f t="array" ref="E6809">- NIFEDIPINE</f>
        <v>#NAME?</v>
      </c>
      <c r="F6809" t="s">
        <v>30766</v>
      </c>
      <c r="G6809" t="s">
        <v>30767</v>
      </c>
      <c r="H6809" t="s">
        <v>30768</v>
      </c>
      <c r="I6809" t="s">
        <v>30769</v>
      </c>
      <c r="J6809" t="s">
        <v>21862</v>
      </c>
      <c r="K6809" t="s">
        <v>30770</v>
      </c>
      <c r="L6809" t="s">
        <v>30771</v>
      </c>
      <c r="M6809" t="s">
        <v>46</v>
      </c>
      <c r="N6809" t="s">
        <v>22000</v>
      </c>
      <c r="O6809" t="s">
        <v>30772</v>
      </c>
      <c r="P6809" t="s">
        <v>30773</v>
      </c>
      <c r="Q6809" t="s">
        <v>30774</v>
      </c>
      <c r="R6809">
        <v>19</v>
      </c>
      <c r="S6809">
        <v>32</v>
      </c>
    </row>
    <row r="6810" spans="1:19" x14ac:dyDescent="0.35">
      <c r="A6810">
        <v>4668</v>
      </c>
      <c r="B6810" t="s">
        <v>30932</v>
      </c>
      <c r="C6810" t="s">
        <v>42</v>
      </c>
      <c r="D6810" t="s">
        <v>30933</v>
      </c>
      <c r="E6810" t="e" cm="1">
        <f t="array" ref="E6810">- HYETELLOSE</f>
        <v>#NAME?</v>
      </c>
      <c r="F6810" t="s">
        <v>30934</v>
      </c>
      <c r="H6810" t="s">
        <v>30935</v>
      </c>
      <c r="I6810" t="s">
        <v>30936</v>
      </c>
      <c r="J6810" t="s">
        <v>11321</v>
      </c>
      <c r="K6810" t="s">
        <v>30937</v>
      </c>
      <c r="L6810" t="s">
        <v>18996</v>
      </c>
      <c r="M6810" t="s">
        <v>824</v>
      </c>
      <c r="N6810" t="s">
        <v>31275</v>
      </c>
      <c r="O6810" t="s">
        <v>30939</v>
      </c>
      <c r="P6810" t="s">
        <v>30940</v>
      </c>
      <c r="Q6810" t="s">
        <v>31276</v>
      </c>
      <c r="R6810">
        <v>19</v>
      </c>
      <c r="S6810">
        <v>32</v>
      </c>
    </row>
    <row r="6811" spans="1:19" x14ac:dyDescent="0.35">
      <c r="A6811">
        <v>4669</v>
      </c>
      <c r="B6811" t="s">
        <v>30932</v>
      </c>
      <c r="C6811" t="s">
        <v>42</v>
      </c>
      <c r="D6811" t="s">
        <v>30933</v>
      </c>
      <c r="E6811" t="e" cm="1">
        <f t="array" ref="E6811">- HYETELLOSE</f>
        <v>#NAME?</v>
      </c>
      <c r="F6811" t="s">
        <v>30934</v>
      </c>
      <c r="H6811" t="s">
        <v>30935</v>
      </c>
      <c r="I6811" t="s">
        <v>30936</v>
      </c>
      <c r="J6811" t="s">
        <v>11321</v>
      </c>
      <c r="K6811" t="s">
        <v>30937</v>
      </c>
      <c r="L6811" t="s">
        <v>18996</v>
      </c>
      <c r="M6811" t="s">
        <v>824</v>
      </c>
      <c r="N6811" t="s">
        <v>31275</v>
      </c>
      <c r="O6811" t="s">
        <v>30939</v>
      </c>
      <c r="P6811" t="s">
        <v>30940</v>
      </c>
      <c r="Q6811" t="s">
        <v>31276</v>
      </c>
      <c r="R6811">
        <v>19</v>
      </c>
      <c r="S6811">
        <v>32</v>
      </c>
    </row>
    <row r="6812" spans="1:19" x14ac:dyDescent="0.35">
      <c r="A6812">
        <v>4670</v>
      </c>
      <c r="B6812" t="s">
        <v>30932</v>
      </c>
      <c r="C6812" t="s">
        <v>42</v>
      </c>
      <c r="D6812" t="s">
        <v>30933</v>
      </c>
      <c r="E6812" t="e" cm="1">
        <f t="array" ref="E6812">- HYETELLOSE</f>
        <v>#NAME?</v>
      </c>
      <c r="F6812" t="s">
        <v>30934</v>
      </c>
      <c r="H6812" t="s">
        <v>30935</v>
      </c>
      <c r="I6812" t="s">
        <v>30936</v>
      </c>
      <c r="J6812" t="s">
        <v>11321</v>
      </c>
      <c r="K6812" t="s">
        <v>30937</v>
      </c>
      <c r="L6812" t="s">
        <v>18996</v>
      </c>
      <c r="M6812" t="s">
        <v>824</v>
      </c>
      <c r="N6812" t="s">
        <v>31275</v>
      </c>
      <c r="O6812" t="s">
        <v>30939</v>
      </c>
      <c r="P6812" t="s">
        <v>30940</v>
      </c>
      <c r="Q6812" t="s">
        <v>31276</v>
      </c>
      <c r="R6812">
        <v>19</v>
      </c>
      <c r="S6812">
        <v>32</v>
      </c>
    </row>
    <row r="6813" spans="1:19" x14ac:dyDescent="0.35">
      <c r="A6813">
        <v>3269</v>
      </c>
      <c r="B6813" t="s">
        <v>18154</v>
      </c>
      <c r="C6813" t="s">
        <v>42</v>
      </c>
      <c r="D6813" t="s">
        <v>18164</v>
      </c>
      <c r="E6813" t="s">
        <v>14897</v>
      </c>
      <c r="F6813" t="s">
        <v>18165</v>
      </c>
      <c r="G6813" t="s">
        <v>737</v>
      </c>
      <c r="H6813" t="s">
        <v>18157</v>
      </c>
      <c r="I6813" t="s">
        <v>18158</v>
      </c>
      <c r="J6813" t="s">
        <v>374</v>
      </c>
      <c r="K6813" t="s">
        <v>4677</v>
      </c>
      <c r="L6813" t="s">
        <v>18160</v>
      </c>
      <c r="M6813" t="s">
        <v>340</v>
      </c>
      <c r="N6813" t="s">
        <v>14898</v>
      </c>
      <c r="O6813" t="s">
        <v>18161</v>
      </c>
      <c r="P6813" t="s">
        <v>18162</v>
      </c>
      <c r="Q6813" t="s">
        <v>31599</v>
      </c>
      <c r="R6813">
        <v>19</v>
      </c>
      <c r="S6813">
        <v>32</v>
      </c>
    </row>
    <row r="6814" spans="1:19" x14ac:dyDescent="0.35">
      <c r="A6814">
        <v>4371</v>
      </c>
      <c r="B6814" t="s">
        <v>1637</v>
      </c>
      <c r="C6814" t="s">
        <v>42</v>
      </c>
      <c r="D6814" t="s">
        <v>31314</v>
      </c>
      <c r="E6814" t="e" cm="1">
        <f t="array" ref="E6814">- OFLOXACIN</f>
        <v>#NAME?</v>
      </c>
      <c r="F6814" s="1">
        <v>169000</v>
      </c>
      <c r="G6814" t="s">
        <v>31315</v>
      </c>
      <c r="H6814" t="s">
        <v>31316</v>
      </c>
      <c r="I6814" t="s">
        <v>31317</v>
      </c>
      <c r="J6814" t="s">
        <v>6679</v>
      </c>
      <c r="L6814" t="s">
        <v>31318</v>
      </c>
      <c r="M6814" t="s">
        <v>824</v>
      </c>
      <c r="N6814" t="s">
        <v>1640</v>
      </c>
      <c r="O6814" t="s">
        <v>31319</v>
      </c>
      <c r="P6814" t="s">
        <v>31320</v>
      </c>
      <c r="Q6814" t="s">
        <v>31636</v>
      </c>
      <c r="R6814">
        <v>19</v>
      </c>
      <c r="S6814">
        <v>32</v>
      </c>
    </row>
    <row r="6815" spans="1:19" x14ac:dyDescent="0.35">
      <c r="A6815">
        <v>2531</v>
      </c>
      <c r="B6815" t="s">
        <v>31637</v>
      </c>
      <c r="C6815" t="s">
        <v>42</v>
      </c>
      <c r="D6815" t="s">
        <v>31638</v>
      </c>
      <c r="E6815" t="e" cm="1">
        <f t="array" ref="E6815">- DICLOFENAC POTASSIUM</f>
        <v>#NAME?</v>
      </c>
      <c r="F6815" t="s">
        <v>31639</v>
      </c>
      <c r="G6815" t="s">
        <v>20700</v>
      </c>
      <c r="H6815" t="s">
        <v>2596</v>
      </c>
      <c r="I6815" t="s">
        <v>31640</v>
      </c>
      <c r="J6815" t="s">
        <v>5221</v>
      </c>
      <c r="L6815" t="s">
        <v>270</v>
      </c>
      <c r="M6815" t="s">
        <v>46</v>
      </c>
      <c r="N6815" t="s">
        <v>2637</v>
      </c>
      <c r="O6815" t="s">
        <v>31641</v>
      </c>
      <c r="P6815" t="s">
        <v>31642</v>
      </c>
      <c r="Q6815" t="s">
        <v>31643</v>
      </c>
      <c r="R6815">
        <v>19</v>
      </c>
      <c r="S6815">
        <v>32</v>
      </c>
    </row>
    <row r="6816" spans="1:19" x14ac:dyDescent="0.35">
      <c r="A6816">
        <v>2532</v>
      </c>
      <c r="B6816" t="s">
        <v>31637</v>
      </c>
      <c r="C6816" t="s">
        <v>42</v>
      </c>
      <c r="D6816" t="s">
        <v>31638</v>
      </c>
      <c r="E6816" t="e" cm="1">
        <f t="array" ref="E6816">- DICLOFENAC POTASSIUM</f>
        <v>#NAME?</v>
      </c>
      <c r="F6816" t="s">
        <v>31639</v>
      </c>
      <c r="G6816" t="s">
        <v>20700</v>
      </c>
      <c r="H6816" t="s">
        <v>2596</v>
      </c>
      <c r="I6816" t="s">
        <v>31640</v>
      </c>
      <c r="J6816" t="s">
        <v>5221</v>
      </c>
      <c r="L6816" t="s">
        <v>270</v>
      </c>
      <c r="M6816" t="s">
        <v>46</v>
      </c>
      <c r="N6816" t="s">
        <v>2637</v>
      </c>
      <c r="O6816" t="s">
        <v>31641</v>
      </c>
      <c r="P6816" t="s">
        <v>31642</v>
      </c>
      <c r="Q6816" t="s">
        <v>31643</v>
      </c>
      <c r="R6816">
        <v>19</v>
      </c>
      <c r="S6816">
        <v>32</v>
      </c>
    </row>
    <row r="6817" spans="1:19" x14ac:dyDescent="0.35">
      <c r="A6817">
        <v>1475</v>
      </c>
      <c r="B6817" t="s">
        <v>31644</v>
      </c>
      <c r="C6817" t="s">
        <v>42</v>
      </c>
      <c r="D6817" t="s">
        <v>31645</v>
      </c>
      <c r="E6817" t="e" cm="1">
        <f t="array" ref="E6817">- AMBROXOL HYDROCHLORIDE</f>
        <v>#NAME?</v>
      </c>
      <c r="F6817" t="s">
        <v>31646</v>
      </c>
      <c r="G6817" t="s">
        <v>539</v>
      </c>
      <c r="H6817" t="s">
        <v>30235</v>
      </c>
      <c r="I6817" t="s">
        <v>29055</v>
      </c>
      <c r="J6817" t="s">
        <v>334</v>
      </c>
      <c r="K6817" t="s">
        <v>3952</v>
      </c>
      <c r="L6817" t="s">
        <v>22896</v>
      </c>
      <c r="M6817" t="s">
        <v>271</v>
      </c>
      <c r="N6817" t="s">
        <v>1800</v>
      </c>
      <c r="O6817" t="s">
        <v>29056</v>
      </c>
      <c r="P6817" t="s">
        <v>31647</v>
      </c>
      <c r="Q6817" t="s">
        <v>31648</v>
      </c>
      <c r="R6817">
        <v>19</v>
      </c>
      <c r="S6817">
        <v>32</v>
      </c>
    </row>
    <row r="6818" spans="1:19" x14ac:dyDescent="0.35">
      <c r="A6818">
        <v>9085</v>
      </c>
      <c r="B6818" t="s">
        <v>31649</v>
      </c>
      <c r="C6818" t="s">
        <v>42</v>
      </c>
      <c r="D6818" t="s">
        <v>31650</v>
      </c>
      <c r="E6818" t="e" cm="1">
        <f t="array" ref="E6818">- AMLODIPINE BESILATE</f>
        <v>#NAME?</v>
      </c>
      <c r="F6818" t="s">
        <v>31651</v>
      </c>
      <c r="G6818" t="s">
        <v>31652</v>
      </c>
      <c r="H6818" t="s">
        <v>31653</v>
      </c>
      <c r="I6818" t="s">
        <v>31654</v>
      </c>
      <c r="J6818" t="s">
        <v>31655</v>
      </c>
      <c r="K6818" t="s">
        <v>31656</v>
      </c>
      <c r="L6818" t="s">
        <v>31657</v>
      </c>
      <c r="M6818" t="s">
        <v>46</v>
      </c>
      <c r="N6818" t="s">
        <v>2484</v>
      </c>
      <c r="O6818" t="s">
        <v>31658</v>
      </c>
      <c r="P6818" t="s">
        <v>31659</v>
      </c>
      <c r="Q6818" t="s">
        <v>31660</v>
      </c>
      <c r="R6818">
        <v>19</v>
      </c>
      <c r="S6818">
        <v>32</v>
      </c>
    </row>
    <row r="6819" spans="1:19" x14ac:dyDescent="0.35">
      <c r="A6819">
        <v>3374</v>
      </c>
      <c r="B6819" t="s">
        <v>31661</v>
      </c>
      <c r="C6819" t="s">
        <v>42</v>
      </c>
      <c r="D6819" t="s">
        <v>31662</v>
      </c>
      <c r="E6819" t="e" cm="1">
        <f t="array" ref="E6819">- FAMOTIDINE</f>
        <v>#NAME?</v>
      </c>
      <c r="F6819" t="s">
        <v>15305</v>
      </c>
      <c r="G6819" t="s">
        <v>4420</v>
      </c>
      <c r="H6819" t="s">
        <v>31663</v>
      </c>
      <c r="I6819" t="s">
        <v>31664</v>
      </c>
      <c r="J6819" t="s">
        <v>31665</v>
      </c>
      <c r="K6819" t="s">
        <v>31666</v>
      </c>
      <c r="L6819" t="s">
        <v>31667</v>
      </c>
      <c r="M6819" t="s">
        <v>291</v>
      </c>
      <c r="N6819" t="s">
        <v>10675</v>
      </c>
      <c r="O6819" t="s">
        <v>31668</v>
      </c>
      <c r="P6819" t="s">
        <v>31669</v>
      </c>
      <c r="Q6819" t="s">
        <v>31670</v>
      </c>
      <c r="R6819">
        <v>19</v>
      </c>
      <c r="S6819">
        <v>32</v>
      </c>
    </row>
    <row r="6820" spans="1:19" x14ac:dyDescent="0.35">
      <c r="A6820">
        <v>1173</v>
      </c>
      <c r="B6820" t="s">
        <v>31671</v>
      </c>
      <c r="C6820" t="s">
        <v>42</v>
      </c>
      <c r="D6820" t="s">
        <v>31672</v>
      </c>
      <c r="E6820" t="e" cm="1">
        <f t="array" ref="E6820">- BROMHEXINE HYDROCHLORIDE</f>
        <v>#NAME?</v>
      </c>
      <c r="F6820" t="s">
        <v>31673</v>
      </c>
      <c r="G6820" t="s">
        <v>2241</v>
      </c>
      <c r="H6820" t="s">
        <v>31674</v>
      </c>
      <c r="I6820" t="s">
        <v>31675</v>
      </c>
      <c r="J6820" t="s">
        <v>334</v>
      </c>
      <c r="K6820" t="s">
        <v>25020</v>
      </c>
      <c r="L6820" t="s">
        <v>31676</v>
      </c>
      <c r="M6820" t="s">
        <v>271</v>
      </c>
      <c r="N6820" t="s">
        <v>1342</v>
      </c>
      <c r="O6820" t="s">
        <v>31677</v>
      </c>
      <c r="P6820" t="s">
        <v>31678</v>
      </c>
      <c r="Q6820" t="s">
        <v>31679</v>
      </c>
      <c r="R6820">
        <v>19</v>
      </c>
      <c r="S6820">
        <v>32</v>
      </c>
    </row>
    <row r="6821" spans="1:19" x14ac:dyDescent="0.35">
      <c r="A6821">
        <v>4150</v>
      </c>
      <c r="B6821" t="s">
        <v>31680</v>
      </c>
      <c r="C6821" t="s">
        <v>42</v>
      </c>
      <c r="D6821" t="s">
        <v>31681</v>
      </c>
      <c r="E6821" t="e" cm="1">
        <f t="array" ref="E6821">- OXATOMIDE</f>
        <v>#NAME?</v>
      </c>
      <c r="F6821" t="s">
        <v>31682</v>
      </c>
      <c r="G6821" t="s">
        <v>2241</v>
      </c>
      <c r="H6821" t="s">
        <v>31683</v>
      </c>
      <c r="I6821" t="s">
        <v>31684</v>
      </c>
      <c r="J6821" t="s">
        <v>31685</v>
      </c>
      <c r="K6821" t="s">
        <v>31686</v>
      </c>
      <c r="L6821" t="s">
        <v>31687</v>
      </c>
      <c r="M6821" t="s">
        <v>46</v>
      </c>
      <c r="N6821" t="s">
        <v>31688</v>
      </c>
      <c r="O6821" t="s">
        <v>31689</v>
      </c>
      <c r="P6821" t="s">
        <v>31690</v>
      </c>
      <c r="Q6821" t="s">
        <v>31691</v>
      </c>
      <c r="R6821">
        <v>19</v>
      </c>
      <c r="S6821">
        <v>32</v>
      </c>
    </row>
    <row r="6822" spans="1:19" x14ac:dyDescent="0.35">
      <c r="A6822">
        <v>4151</v>
      </c>
      <c r="B6822" t="s">
        <v>31680</v>
      </c>
      <c r="C6822" t="s">
        <v>42</v>
      </c>
      <c r="D6822" t="s">
        <v>31681</v>
      </c>
      <c r="E6822" t="e" cm="1">
        <f t="array" ref="E6822">- OXATOMIDE</f>
        <v>#NAME?</v>
      </c>
      <c r="F6822" t="s">
        <v>31682</v>
      </c>
      <c r="G6822" t="s">
        <v>2241</v>
      </c>
      <c r="H6822" t="s">
        <v>31683</v>
      </c>
      <c r="I6822" t="s">
        <v>31684</v>
      </c>
      <c r="J6822" t="s">
        <v>31685</v>
      </c>
      <c r="K6822" t="s">
        <v>31686</v>
      </c>
      <c r="L6822" t="s">
        <v>31687</v>
      </c>
      <c r="M6822" t="s">
        <v>46</v>
      </c>
      <c r="N6822" t="s">
        <v>31688</v>
      </c>
      <c r="O6822" t="s">
        <v>31689</v>
      </c>
      <c r="P6822" t="s">
        <v>31690</v>
      </c>
      <c r="Q6822" t="s">
        <v>31691</v>
      </c>
      <c r="R6822">
        <v>19</v>
      </c>
      <c r="S6822">
        <v>32</v>
      </c>
    </row>
    <row r="6823" spans="1:19" x14ac:dyDescent="0.35">
      <c r="A6823">
        <v>1169</v>
      </c>
      <c r="B6823" t="s">
        <v>31692</v>
      </c>
      <c r="C6823" t="s">
        <v>42</v>
      </c>
      <c r="D6823" t="s">
        <v>31693</v>
      </c>
      <c r="E6823" t="e" cm="1">
        <f t="array" ref="E6823">- AMBROXOL HYDROCHLORIDE</f>
        <v>#NAME?</v>
      </c>
      <c r="F6823" t="s">
        <v>31694</v>
      </c>
      <c r="G6823" t="s">
        <v>2241</v>
      </c>
      <c r="H6823" t="s">
        <v>31695</v>
      </c>
      <c r="I6823" t="s">
        <v>31696</v>
      </c>
      <c r="J6823" t="s">
        <v>31697</v>
      </c>
      <c r="K6823" t="s">
        <v>31698</v>
      </c>
      <c r="L6823" t="s">
        <v>31699</v>
      </c>
      <c r="M6823" t="s">
        <v>271</v>
      </c>
      <c r="N6823" t="s">
        <v>1800</v>
      </c>
      <c r="O6823" t="s">
        <v>30702</v>
      </c>
      <c r="P6823" t="s">
        <v>26373</v>
      </c>
      <c r="Q6823" t="s">
        <v>31700</v>
      </c>
      <c r="R6823">
        <v>19</v>
      </c>
      <c r="S6823">
        <v>32</v>
      </c>
    </row>
    <row r="6824" spans="1:19" x14ac:dyDescent="0.35">
      <c r="A6824">
        <v>3373</v>
      </c>
      <c r="B6824" t="s">
        <v>31701</v>
      </c>
      <c r="C6824" t="s">
        <v>42</v>
      </c>
      <c r="D6824" t="s">
        <v>31702</v>
      </c>
      <c r="E6824" t="e" cm="1">
        <f t="array" ref="E6824">- FAMOTIDINE</f>
        <v>#NAME?</v>
      </c>
      <c r="F6824" t="s">
        <v>31703</v>
      </c>
      <c r="G6824" t="s">
        <v>4420</v>
      </c>
      <c r="H6824" t="s">
        <v>31704</v>
      </c>
      <c r="I6824" t="s">
        <v>31664</v>
      </c>
      <c r="J6824" t="s">
        <v>31705</v>
      </c>
      <c r="K6824" t="s">
        <v>31666</v>
      </c>
      <c r="L6824" t="s">
        <v>31667</v>
      </c>
      <c r="M6824" t="s">
        <v>291</v>
      </c>
      <c r="N6824" t="s">
        <v>10675</v>
      </c>
      <c r="O6824" t="s">
        <v>31668</v>
      </c>
      <c r="P6824" t="s">
        <v>31669</v>
      </c>
      <c r="Q6824" t="s">
        <v>31670</v>
      </c>
      <c r="R6824">
        <v>19</v>
      </c>
      <c r="S6824">
        <v>32</v>
      </c>
    </row>
    <row r="6825" spans="1:19" x14ac:dyDescent="0.35">
      <c r="A6825">
        <v>1491</v>
      </c>
      <c r="B6825" t="s">
        <v>31706</v>
      </c>
      <c r="C6825" t="s">
        <v>42</v>
      </c>
      <c r="D6825" t="s">
        <v>31707</v>
      </c>
      <c r="E6825" t="e" cm="1">
        <f t="array" ref="E6825">- GUAIFENESIN</f>
        <v>#NAME?</v>
      </c>
      <c r="F6825" t="s">
        <v>31708</v>
      </c>
      <c r="H6825" t="s">
        <v>31709</v>
      </c>
      <c r="I6825" t="s">
        <v>31710</v>
      </c>
      <c r="J6825" t="s">
        <v>334</v>
      </c>
      <c r="K6825" t="s">
        <v>31711</v>
      </c>
      <c r="L6825" t="s">
        <v>2278</v>
      </c>
      <c r="M6825" t="s">
        <v>271</v>
      </c>
      <c r="N6825" t="s">
        <v>361</v>
      </c>
      <c r="O6825" t="s">
        <v>31712</v>
      </c>
      <c r="P6825" t="s">
        <v>31713</v>
      </c>
      <c r="Q6825" t="s">
        <v>31714</v>
      </c>
      <c r="R6825">
        <v>19</v>
      </c>
      <c r="S6825">
        <v>32</v>
      </c>
    </row>
    <row r="6826" spans="1:19" x14ac:dyDescent="0.35">
      <c r="A6826">
        <v>1499</v>
      </c>
      <c r="B6826" t="s">
        <v>31715</v>
      </c>
      <c r="C6826" t="s">
        <v>42</v>
      </c>
      <c r="D6826" t="s">
        <v>31716</v>
      </c>
      <c r="E6826" t="e" cm="1">
        <f t="array" ref="E6826">- DIPHENHYDRAMINE HYDROCHLORIDE. PHENYLEPHRINE HYDROCHLORIDE. PARACETAMOL</f>
        <v>#NAME?</v>
      </c>
      <c r="F6826" t="s">
        <v>31717</v>
      </c>
      <c r="H6826" t="s">
        <v>31718</v>
      </c>
      <c r="I6826" t="s">
        <v>31719</v>
      </c>
      <c r="J6826" t="s">
        <v>28138</v>
      </c>
      <c r="K6826" t="s">
        <v>31720</v>
      </c>
      <c r="L6826" t="s">
        <v>31721</v>
      </c>
      <c r="M6826" t="s">
        <v>291</v>
      </c>
      <c r="N6826" t="s">
        <v>31722</v>
      </c>
      <c r="O6826" t="s">
        <v>31723</v>
      </c>
      <c r="P6826" t="s">
        <v>31724</v>
      </c>
      <c r="Q6826" t="s">
        <v>31725</v>
      </c>
      <c r="R6826">
        <v>19</v>
      </c>
      <c r="S6826">
        <v>32</v>
      </c>
    </row>
    <row r="6827" spans="1:19" x14ac:dyDescent="0.35">
      <c r="A6827">
        <v>1418</v>
      </c>
      <c r="B6827" t="s">
        <v>30732</v>
      </c>
      <c r="C6827" t="s">
        <v>42</v>
      </c>
      <c r="D6827" t="s">
        <v>31311</v>
      </c>
      <c r="E6827" t="e" cm="1">
        <f t="array" ref="E6827">- AMMONIUM CHLORIDE</f>
        <v>#NAME?</v>
      </c>
      <c r="F6827" t="s">
        <v>31312</v>
      </c>
      <c r="G6827" t="s">
        <v>7219</v>
      </c>
      <c r="H6827" t="s">
        <v>30735</v>
      </c>
      <c r="I6827" t="s">
        <v>29641</v>
      </c>
      <c r="J6827" t="s">
        <v>334</v>
      </c>
      <c r="K6827" t="e" cm="1">
        <f t="array" ref="K6827">- penderita yang hipersensitif terhadap komponen obat ini. - penderita dengan gangguan fungsi hati yang berat. - penderita dengan gangguan jantung dan diabetes mellitus.</f>
        <v>#NAME?</v>
      </c>
      <c r="L6827" t="s">
        <v>30736</v>
      </c>
      <c r="M6827" t="s">
        <v>271</v>
      </c>
      <c r="N6827" t="s">
        <v>1672</v>
      </c>
      <c r="O6827" t="s">
        <v>29642</v>
      </c>
      <c r="P6827" t="s">
        <v>30737</v>
      </c>
      <c r="Q6827" t="s">
        <v>30738</v>
      </c>
      <c r="R6827">
        <v>19</v>
      </c>
      <c r="S6827">
        <v>32</v>
      </c>
    </row>
    <row r="6828" spans="1:19" x14ac:dyDescent="0.35">
      <c r="A6828">
        <v>7993</v>
      </c>
      <c r="B6828" t="s">
        <v>31726</v>
      </c>
      <c r="C6828" t="s">
        <v>20</v>
      </c>
      <c r="D6828" t="s">
        <v>31727</v>
      </c>
      <c r="E6828" t="s">
        <v>31728</v>
      </c>
      <c r="F6828" t="s">
        <v>31729</v>
      </c>
      <c r="H6828" t="s">
        <v>1322</v>
      </c>
      <c r="I6828" t="s">
        <v>31730</v>
      </c>
      <c r="J6828" t="s">
        <v>31731</v>
      </c>
      <c r="L6828" t="s">
        <v>31732</v>
      </c>
      <c r="M6828" t="s">
        <v>2374</v>
      </c>
      <c r="N6828" t="s">
        <v>31733</v>
      </c>
      <c r="O6828" t="s">
        <v>31734</v>
      </c>
      <c r="P6828" t="s">
        <v>31735</v>
      </c>
      <c r="Q6828" t="s">
        <v>31736</v>
      </c>
      <c r="R6828">
        <v>19</v>
      </c>
      <c r="S6828">
        <v>32</v>
      </c>
    </row>
    <row r="6829" spans="1:19" x14ac:dyDescent="0.35">
      <c r="A6829">
        <v>1161</v>
      </c>
      <c r="B6829" t="s">
        <v>31737</v>
      </c>
      <c r="C6829" t="s">
        <v>42</v>
      </c>
      <c r="D6829" t="s">
        <v>31738</v>
      </c>
      <c r="E6829" t="e" cm="1">
        <f t="array" ref="E6829">- CHLORPHENAMINE MALEATE</f>
        <v>#NAME?</v>
      </c>
      <c r="F6829" t="s">
        <v>31739</v>
      </c>
      <c r="G6829" t="s">
        <v>2241</v>
      </c>
      <c r="H6829" t="s">
        <v>31740</v>
      </c>
      <c r="I6829" t="s">
        <v>31741</v>
      </c>
      <c r="J6829" t="s">
        <v>334</v>
      </c>
      <c r="K6829" t="s">
        <v>31742</v>
      </c>
      <c r="L6829" t="s">
        <v>31743</v>
      </c>
      <c r="M6829" t="s">
        <v>271</v>
      </c>
      <c r="N6829" t="s">
        <v>1354</v>
      </c>
      <c r="O6829" t="s">
        <v>31744</v>
      </c>
      <c r="P6829" t="s">
        <v>31745</v>
      </c>
      <c r="Q6829" t="s">
        <v>31746</v>
      </c>
      <c r="R6829">
        <v>19</v>
      </c>
      <c r="S6829">
        <v>32</v>
      </c>
    </row>
    <row r="6830" spans="1:19" x14ac:dyDescent="0.35">
      <c r="A6830">
        <v>1158</v>
      </c>
      <c r="B6830" t="s">
        <v>31747</v>
      </c>
      <c r="C6830" t="s">
        <v>42</v>
      </c>
      <c r="D6830" t="s">
        <v>31748</v>
      </c>
      <c r="E6830" t="e" cm="1">
        <f t="array" ref="E6830">- CHLORPHENAMINE MALEATE</f>
        <v>#NAME?</v>
      </c>
      <c r="F6830" t="s">
        <v>31749</v>
      </c>
      <c r="G6830" t="s">
        <v>2241</v>
      </c>
      <c r="H6830" t="s">
        <v>31750</v>
      </c>
      <c r="I6830" t="s">
        <v>31741</v>
      </c>
      <c r="J6830" t="s">
        <v>334</v>
      </c>
      <c r="K6830" t="s">
        <v>31751</v>
      </c>
      <c r="L6830" t="s">
        <v>31752</v>
      </c>
      <c r="M6830" t="s">
        <v>271</v>
      </c>
      <c r="N6830" t="s">
        <v>1354</v>
      </c>
      <c r="O6830" t="s">
        <v>31744</v>
      </c>
      <c r="P6830" t="s">
        <v>31753</v>
      </c>
      <c r="Q6830" t="s">
        <v>31754</v>
      </c>
      <c r="R6830">
        <v>19</v>
      </c>
      <c r="S6830">
        <v>32</v>
      </c>
    </row>
    <row r="6831" spans="1:19" x14ac:dyDescent="0.35">
      <c r="A6831">
        <v>3340</v>
      </c>
      <c r="B6831" t="s">
        <v>31755</v>
      </c>
      <c r="C6831" t="s">
        <v>42</v>
      </c>
      <c r="D6831" t="s">
        <v>31756</v>
      </c>
      <c r="E6831" t="e" cm="1">
        <f t="array" ref="E6831">- DRIED ALUMINIUM HYDROXIDE GEL</f>
        <v>#NAME?</v>
      </c>
      <c r="F6831" t="s">
        <v>31757</v>
      </c>
      <c r="G6831" t="s">
        <v>31758</v>
      </c>
      <c r="H6831" t="s">
        <v>31759</v>
      </c>
      <c r="I6831" t="s">
        <v>31760</v>
      </c>
      <c r="J6831" t="s">
        <v>614</v>
      </c>
      <c r="K6831" t="s">
        <v>31761</v>
      </c>
      <c r="L6831" t="s">
        <v>21928</v>
      </c>
    </row>
    <row r="6832" spans="1:19" x14ac:dyDescent="0.35">
      <c r="A6832">
        <v>4244</v>
      </c>
      <c r="B6832" t="s">
        <v>31762</v>
      </c>
      <c r="C6832" t="s">
        <v>42</v>
      </c>
      <c r="D6832" t="s">
        <v>31763</v>
      </c>
      <c r="E6832" t="e" cm="1">
        <f t="array" ref="E6832">- DEXAMETHASONE. DEXCHLORPHENIRAMINE MALEATE</f>
        <v>#NAME?</v>
      </c>
      <c r="F6832" t="s">
        <v>31764</v>
      </c>
      <c r="G6832" t="s">
        <v>31765</v>
      </c>
      <c r="H6832" t="s">
        <v>31766</v>
      </c>
      <c r="I6832" t="s">
        <v>27469</v>
      </c>
      <c r="J6832" t="s">
        <v>945</v>
      </c>
      <c r="K6832" t="s">
        <v>31767</v>
      </c>
      <c r="L6832" t="s">
        <v>31768</v>
      </c>
      <c r="M6832" t="s">
        <v>271</v>
      </c>
      <c r="N6832" t="s">
        <v>9152</v>
      </c>
      <c r="O6832" t="s">
        <v>27472</v>
      </c>
      <c r="P6832" t="s">
        <v>3781</v>
      </c>
      <c r="Q6832" t="s">
        <v>31769</v>
      </c>
      <c r="R6832">
        <v>19</v>
      </c>
      <c r="S6832">
        <v>32</v>
      </c>
    </row>
    <row r="6833" spans="1:19" x14ac:dyDescent="0.35">
      <c r="A6833">
        <v>4265</v>
      </c>
      <c r="B6833" t="s">
        <v>27466</v>
      </c>
      <c r="C6833" t="s">
        <v>42</v>
      </c>
      <c r="D6833" t="s">
        <v>27467</v>
      </c>
      <c r="E6833" t="e" cm="1">
        <f t="array" ref="E6833">- DEXCHLORPHENIRAMINE MALEATE. DEXAMETHASONE</f>
        <v>#NAME?</v>
      </c>
      <c r="F6833" t="s">
        <v>1479</v>
      </c>
      <c r="G6833" t="s">
        <v>11294</v>
      </c>
      <c r="H6833" t="s">
        <v>27468</v>
      </c>
      <c r="I6833" t="s">
        <v>27469</v>
      </c>
      <c r="J6833" t="s">
        <v>12734</v>
      </c>
      <c r="K6833" t="s">
        <v>27470</v>
      </c>
      <c r="L6833" t="s">
        <v>27471</v>
      </c>
      <c r="M6833" t="s">
        <v>291</v>
      </c>
      <c r="N6833" t="s">
        <v>31770</v>
      </c>
      <c r="O6833" t="s">
        <v>27472</v>
      </c>
      <c r="P6833" t="s">
        <v>27473</v>
      </c>
      <c r="Q6833" t="s">
        <v>31771</v>
      </c>
      <c r="R6833">
        <v>19</v>
      </c>
      <c r="S6833">
        <v>32</v>
      </c>
    </row>
    <row r="6834" spans="1:19" x14ac:dyDescent="0.35">
      <c r="A6834">
        <v>4309</v>
      </c>
      <c r="B6834" t="s">
        <v>31772</v>
      </c>
      <c r="C6834" t="s">
        <v>850</v>
      </c>
      <c r="D6834" t="s">
        <v>31773</v>
      </c>
      <c r="E6834" t="e" cm="1">
        <f t="array" ref="E6834">- Acidum Benzoicum</f>
        <v>#NAME?</v>
      </c>
      <c r="F6834" t="s">
        <v>31774</v>
      </c>
      <c r="G6834" t="s">
        <v>31775</v>
      </c>
      <c r="H6834" t="s">
        <v>31776</v>
      </c>
      <c r="I6834" t="s">
        <v>31777</v>
      </c>
      <c r="J6834" t="s">
        <v>31778</v>
      </c>
      <c r="L6834" t="s">
        <v>31779</v>
      </c>
      <c r="M6834" t="s">
        <v>1029</v>
      </c>
      <c r="N6834" t="s">
        <v>19569</v>
      </c>
      <c r="O6834" t="s">
        <v>31780</v>
      </c>
      <c r="P6834" t="s">
        <v>31781</v>
      </c>
      <c r="Q6834" t="s">
        <v>31782</v>
      </c>
      <c r="R6834">
        <v>19</v>
      </c>
      <c r="S6834">
        <v>32</v>
      </c>
    </row>
    <row r="6835" spans="1:19" x14ac:dyDescent="0.35">
      <c r="A6835">
        <v>4310</v>
      </c>
      <c r="B6835" t="s">
        <v>31783</v>
      </c>
      <c r="C6835" t="s">
        <v>850</v>
      </c>
      <c r="D6835" t="s">
        <v>31784</v>
      </c>
      <c r="E6835" t="e" cm="1">
        <f t="array" ref="E6835">- Asam Benzoat</f>
        <v>#NAME?</v>
      </c>
      <c r="F6835" t="s">
        <v>31785</v>
      </c>
      <c r="G6835" t="s">
        <v>31786</v>
      </c>
      <c r="H6835" t="s">
        <v>31787</v>
      </c>
      <c r="I6835" t="s">
        <v>31788</v>
      </c>
      <c r="J6835" t="s">
        <v>31789</v>
      </c>
      <c r="K6835" t="s">
        <v>2726</v>
      </c>
      <c r="L6835" t="s">
        <v>31790</v>
      </c>
      <c r="M6835" t="s">
        <v>1029</v>
      </c>
      <c r="N6835" t="s">
        <v>19475</v>
      </c>
      <c r="O6835" t="s">
        <v>31791</v>
      </c>
      <c r="P6835" t="s">
        <v>31792</v>
      </c>
      <c r="Q6835" t="s">
        <v>31793</v>
      </c>
      <c r="R6835">
        <v>19</v>
      </c>
      <c r="S6835">
        <v>32</v>
      </c>
    </row>
    <row r="6836" spans="1:19" x14ac:dyDescent="0.35">
      <c r="A6836">
        <v>4311</v>
      </c>
      <c r="B6836" t="s">
        <v>31783</v>
      </c>
      <c r="C6836" t="s">
        <v>850</v>
      </c>
      <c r="D6836" t="s">
        <v>31794</v>
      </c>
      <c r="E6836" t="e" cm="1">
        <f t="array" ref="E6836">- Asam Benzoat</f>
        <v>#NAME?</v>
      </c>
      <c r="F6836" t="s">
        <v>31795</v>
      </c>
      <c r="G6836" t="s">
        <v>31786</v>
      </c>
      <c r="H6836" t="s">
        <v>29435</v>
      </c>
      <c r="I6836" t="s">
        <v>31796</v>
      </c>
      <c r="J6836" t="s">
        <v>31797</v>
      </c>
      <c r="K6836" t="s">
        <v>2726</v>
      </c>
      <c r="L6836" t="s">
        <v>31798</v>
      </c>
      <c r="M6836" t="s">
        <v>1029</v>
      </c>
      <c r="N6836" t="s">
        <v>19475</v>
      </c>
      <c r="O6836" t="s">
        <v>31791</v>
      </c>
      <c r="P6836" t="s">
        <v>31792</v>
      </c>
      <c r="Q6836" t="s">
        <v>31793</v>
      </c>
      <c r="R6836">
        <v>19</v>
      </c>
      <c r="S6836">
        <v>32</v>
      </c>
    </row>
    <row r="6837" spans="1:19" x14ac:dyDescent="0.35">
      <c r="A6837">
        <v>1118</v>
      </c>
      <c r="B6837" t="s">
        <v>26122</v>
      </c>
      <c r="C6837" t="s">
        <v>42</v>
      </c>
      <c r="D6837" t="s">
        <v>26123</v>
      </c>
      <c r="E6837" t="e" cm="1">
        <f t="array" ref="E6837">- PARACETAMOL. PHENYLEPHRINE HYDROCHLORIDE. ISOTHIPENDYL HYDROCHLORIDE</f>
        <v>#NAME?</v>
      </c>
      <c r="F6837" s="1">
        <v>105800</v>
      </c>
      <c r="G6837" t="s">
        <v>60</v>
      </c>
      <c r="H6837" t="s">
        <v>26124</v>
      </c>
      <c r="I6837" t="s">
        <v>26125</v>
      </c>
      <c r="J6837" t="s">
        <v>374</v>
      </c>
      <c r="K6837" t="s">
        <v>26126</v>
      </c>
      <c r="L6837" t="s">
        <v>26127</v>
      </c>
      <c r="M6837" t="s">
        <v>271</v>
      </c>
      <c r="N6837" t="s">
        <v>31799</v>
      </c>
      <c r="O6837" t="s">
        <v>26129</v>
      </c>
      <c r="P6837" t="s">
        <v>26130</v>
      </c>
      <c r="Q6837" t="s">
        <v>31800</v>
      </c>
      <c r="R6837">
        <v>19</v>
      </c>
      <c r="S6837">
        <v>32</v>
      </c>
    </row>
    <row r="6838" spans="1:19" x14ac:dyDescent="0.35">
      <c r="A6838">
        <v>3339</v>
      </c>
      <c r="B6838" t="s">
        <v>31755</v>
      </c>
      <c r="C6838" t="s">
        <v>42</v>
      </c>
      <c r="D6838" t="s">
        <v>31756</v>
      </c>
      <c r="E6838" t="e" cm="1">
        <f t="array" ref="E6838">- DRIED ALUMINIUM HYDROXIDE GEL</f>
        <v>#NAME?</v>
      </c>
      <c r="F6838" t="s">
        <v>31757</v>
      </c>
      <c r="G6838" t="s">
        <v>31758</v>
      </c>
      <c r="H6838" t="s">
        <v>31759</v>
      </c>
      <c r="I6838" t="s">
        <v>31760</v>
      </c>
      <c r="J6838" t="s">
        <v>614</v>
      </c>
      <c r="K6838" t="s">
        <v>31761</v>
      </c>
      <c r="L6838" t="s">
        <v>21928</v>
      </c>
    </row>
    <row r="6839" spans="1:19" x14ac:dyDescent="0.35">
      <c r="A6839">
        <v>9179</v>
      </c>
      <c r="B6839" t="s">
        <v>31801</v>
      </c>
      <c r="C6839" t="s">
        <v>42</v>
      </c>
      <c r="D6839" t="s">
        <v>31802</v>
      </c>
      <c r="E6839" t="e" cm="1">
        <f t="array" ref="E6839">- IRBESARTAN</f>
        <v>#NAME?</v>
      </c>
      <c r="F6839" t="s">
        <v>31803</v>
      </c>
      <c r="G6839" t="s">
        <v>60</v>
      </c>
      <c r="H6839" t="s">
        <v>31804</v>
      </c>
      <c r="I6839" t="s">
        <v>31805</v>
      </c>
      <c r="J6839" t="s">
        <v>599</v>
      </c>
      <c r="K6839" t="s">
        <v>2919</v>
      </c>
      <c r="L6839" t="s">
        <v>31806</v>
      </c>
      <c r="M6839" t="s">
        <v>46</v>
      </c>
      <c r="N6839" t="s">
        <v>999</v>
      </c>
      <c r="O6839" t="s">
        <v>31807</v>
      </c>
      <c r="P6839" t="s">
        <v>999</v>
      </c>
      <c r="Q6839" t="s">
        <v>31808</v>
      </c>
      <c r="R6839">
        <v>19</v>
      </c>
      <c r="S6839">
        <v>32</v>
      </c>
    </row>
    <row r="6840" spans="1:19" x14ac:dyDescent="0.35">
      <c r="A6840">
        <v>9180</v>
      </c>
      <c r="B6840" t="s">
        <v>31801</v>
      </c>
      <c r="C6840" t="s">
        <v>42</v>
      </c>
      <c r="D6840" t="s">
        <v>31802</v>
      </c>
      <c r="E6840" t="e" cm="1">
        <f t="array" ref="E6840">- IRBESARTAN</f>
        <v>#NAME?</v>
      </c>
      <c r="F6840" t="s">
        <v>31803</v>
      </c>
      <c r="G6840" t="s">
        <v>60</v>
      </c>
      <c r="H6840" t="s">
        <v>31804</v>
      </c>
      <c r="I6840" t="s">
        <v>31805</v>
      </c>
      <c r="J6840" t="s">
        <v>599</v>
      </c>
      <c r="K6840" t="s">
        <v>2919</v>
      </c>
      <c r="L6840" t="s">
        <v>31806</v>
      </c>
      <c r="M6840" t="s">
        <v>46</v>
      </c>
      <c r="N6840" t="s">
        <v>999</v>
      </c>
      <c r="O6840" t="s">
        <v>31807</v>
      </c>
      <c r="P6840" t="s">
        <v>999</v>
      </c>
      <c r="Q6840" t="s">
        <v>31808</v>
      </c>
      <c r="R6840">
        <v>19</v>
      </c>
      <c r="S6840">
        <v>32</v>
      </c>
    </row>
    <row r="6841" spans="1:19" x14ac:dyDescent="0.35">
      <c r="A6841">
        <v>3046</v>
      </c>
      <c r="B6841" t="s">
        <v>23210</v>
      </c>
      <c r="C6841" t="s">
        <v>42</v>
      </c>
      <c r="D6841" t="s">
        <v>23211</v>
      </c>
      <c r="E6841" t="e" cm="1">
        <f t="array" ref="E6841">- MAGNESIUM HYDROXIDE. SIMETHICONE. DRIED ALUMINIUM HYDROXIDE GEL</f>
        <v>#NAME?</v>
      </c>
      <c r="F6841" t="s">
        <v>23212</v>
      </c>
      <c r="G6841" t="s">
        <v>23213</v>
      </c>
      <c r="H6841" t="s">
        <v>23214</v>
      </c>
      <c r="I6841" t="s">
        <v>23215</v>
      </c>
      <c r="J6841" t="s">
        <v>23216</v>
      </c>
      <c r="K6841" t="s">
        <v>23217</v>
      </c>
      <c r="L6841" t="s">
        <v>23218</v>
      </c>
      <c r="M6841" t="s">
        <v>46</v>
      </c>
      <c r="N6841" t="s">
        <v>10430</v>
      </c>
      <c r="O6841" t="s">
        <v>23219</v>
      </c>
      <c r="P6841" t="s">
        <v>23220</v>
      </c>
      <c r="Q6841" t="s">
        <v>31809</v>
      </c>
      <c r="R6841">
        <v>19</v>
      </c>
      <c r="S6841">
        <v>32</v>
      </c>
    </row>
    <row r="6842" spans="1:19" x14ac:dyDescent="0.35">
      <c r="A6842">
        <v>1540</v>
      </c>
      <c r="B6842" t="s">
        <v>31810</v>
      </c>
      <c r="C6842" t="s">
        <v>42</v>
      </c>
      <c r="D6842" t="s">
        <v>31811</v>
      </c>
      <c r="E6842" t="e" cm="1">
        <f t="array" ref="E6842">- CHLORPHENAMINE MALEATE</f>
        <v>#NAME?</v>
      </c>
      <c r="F6842" t="s">
        <v>31812</v>
      </c>
      <c r="G6842" t="s">
        <v>2241</v>
      </c>
      <c r="H6842" t="s">
        <v>31813</v>
      </c>
      <c r="I6842" t="s">
        <v>31814</v>
      </c>
      <c r="J6842" t="s">
        <v>31815</v>
      </c>
      <c r="K6842" t="s">
        <v>31816</v>
      </c>
      <c r="L6842" t="s">
        <v>31817</v>
      </c>
      <c r="M6842" t="s">
        <v>271</v>
      </c>
      <c r="N6842" t="s">
        <v>1354</v>
      </c>
      <c r="O6842" t="s">
        <v>31818</v>
      </c>
      <c r="P6842" t="s">
        <v>31819</v>
      </c>
      <c r="Q6842" t="s">
        <v>31820</v>
      </c>
      <c r="R6842">
        <v>19</v>
      </c>
      <c r="S6842">
        <v>32</v>
      </c>
    </row>
    <row r="6843" spans="1:19" x14ac:dyDescent="0.35">
      <c r="A6843">
        <v>3047</v>
      </c>
      <c r="B6843" t="s">
        <v>23210</v>
      </c>
      <c r="C6843" t="s">
        <v>42</v>
      </c>
      <c r="D6843" t="s">
        <v>23211</v>
      </c>
      <c r="E6843" t="e" cm="1">
        <f t="array" ref="E6843">- SIMETHICONE. DRIED ALUMINIUM HYDROXIDE GEL. MAGNESIUM HYDROXIDE</f>
        <v>#NAME?</v>
      </c>
      <c r="F6843" t="s">
        <v>23212</v>
      </c>
      <c r="G6843" t="s">
        <v>23213</v>
      </c>
      <c r="H6843" t="s">
        <v>23214</v>
      </c>
      <c r="I6843" t="s">
        <v>23215</v>
      </c>
      <c r="J6843" t="s">
        <v>23216</v>
      </c>
      <c r="K6843" t="s">
        <v>23217</v>
      </c>
      <c r="L6843" t="s">
        <v>23218</v>
      </c>
      <c r="M6843" t="s">
        <v>46</v>
      </c>
      <c r="N6843" t="s">
        <v>31821</v>
      </c>
      <c r="O6843" t="s">
        <v>23219</v>
      </c>
      <c r="P6843" t="s">
        <v>23220</v>
      </c>
      <c r="Q6843" t="s">
        <v>31822</v>
      </c>
      <c r="R6843">
        <v>19</v>
      </c>
      <c r="S6843">
        <v>32</v>
      </c>
    </row>
    <row r="6844" spans="1:19" x14ac:dyDescent="0.35">
      <c r="A6844">
        <v>4343</v>
      </c>
      <c r="B6844" t="s">
        <v>16575</v>
      </c>
      <c r="C6844" t="s">
        <v>42</v>
      </c>
      <c r="D6844" t="s">
        <v>16576</v>
      </c>
      <c r="E6844" t="e" cm="1">
        <f t="array" ref="E6844">- POLYMYXIN B SULFATE. NEOMYCIN SULFATE. FLUDROCORTISONE ACETATE. LIDOCAINE HYDROCHLORIDE</f>
        <v>#NAME?</v>
      </c>
      <c r="F6844" t="s">
        <v>16577</v>
      </c>
      <c r="G6844" t="s">
        <v>16578</v>
      </c>
      <c r="H6844" t="s">
        <v>16579</v>
      </c>
      <c r="I6844" t="s">
        <v>16580</v>
      </c>
      <c r="J6844" t="s">
        <v>16581</v>
      </c>
      <c r="K6844" t="s">
        <v>16582</v>
      </c>
      <c r="L6844" t="s">
        <v>16583</v>
      </c>
      <c r="M6844" t="s">
        <v>824</v>
      </c>
      <c r="N6844" t="s">
        <v>27475</v>
      </c>
      <c r="O6844" t="s">
        <v>16584</v>
      </c>
      <c r="P6844" t="s">
        <v>16585</v>
      </c>
      <c r="Q6844" t="s">
        <v>31823</v>
      </c>
      <c r="R6844">
        <v>19</v>
      </c>
      <c r="S6844">
        <v>32</v>
      </c>
    </row>
    <row r="6845" spans="1:19" x14ac:dyDescent="0.35">
      <c r="A6845">
        <v>4346</v>
      </c>
      <c r="B6845" t="s">
        <v>31824</v>
      </c>
      <c r="C6845" t="s">
        <v>42</v>
      </c>
      <c r="D6845" t="s">
        <v>31825</v>
      </c>
      <c r="E6845" t="e" cm="1">
        <f t="array" ref="E6845">- BETAMETHASONE</f>
        <v>#NAME?</v>
      </c>
      <c r="F6845" t="s">
        <v>31826</v>
      </c>
      <c r="G6845" t="s">
        <v>31827</v>
      </c>
      <c r="H6845" t="s">
        <v>31828</v>
      </c>
      <c r="I6845" t="s">
        <v>31829</v>
      </c>
      <c r="J6845" t="s">
        <v>31830</v>
      </c>
      <c r="K6845" t="s">
        <v>31831</v>
      </c>
      <c r="L6845" t="s">
        <v>31832</v>
      </c>
      <c r="M6845" t="s">
        <v>824</v>
      </c>
      <c r="N6845" t="s">
        <v>1118</v>
      </c>
      <c r="O6845" t="s">
        <v>31833</v>
      </c>
      <c r="P6845" t="s">
        <v>31834</v>
      </c>
      <c r="Q6845" t="s">
        <v>31835</v>
      </c>
      <c r="R6845">
        <v>19</v>
      </c>
      <c r="S6845">
        <v>32</v>
      </c>
    </row>
    <row r="6846" spans="1:19" x14ac:dyDescent="0.35">
      <c r="A6846">
        <v>9047</v>
      </c>
      <c r="B6846" t="s">
        <v>31836</v>
      </c>
      <c r="C6846" t="s">
        <v>42</v>
      </c>
      <c r="D6846" t="s">
        <v>31837</v>
      </c>
      <c r="E6846" t="e" cm="1">
        <f t="array" ref="E6846">- CANDESARTAN CILEXETIL</f>
        <v>#NAME?</v>
      </c>
      <c r="F6846" t="s">
        <v>31838</v>
      </c>
      <c r="G6846" t="s">
        <v>6869</v>
      </c>
      <c r="H6846" t="s">
        <v>29298</v>
      </c>
      <c r="I6846" t="s">
        <v>29299</v>
      </c>
      <c r="J6846" t="s">
        <v>2446</v>
      </c>
      <c r="K6846" t="s">
        <v>29300</v>
      </c>
      <c r="L6846" t="s">
        <v>29301</v>
      </c>
      <c r="M6846" t="s">
        <v>46</v>
      </c>
      <c r="N6846" t="s">
        <v>2447</v>
      </c>
      <c r="O6846" t="e" cm="1">
        <f t="array" ref="O6846">- hipertensi - pengobatan Pasien gagal jantung gangguan fungsi sistolik ventrikel kiri obat penghambat ace Tidak ditoleransi</f>
        <v>#NAME?</v>
      </c>
      <c r="P6846" t="s">
        <v>31523</v>
      </c>
      <c r="Q6846" t="s">
        <v>31524</v>
      </c>
      <c r="R6846">
        <v>19</v>
      </c>
      <c r="S6846">
        <v>32</v>
      </c>
    </row>
    <row r="6847" spans="1:19" x14ac:dyDescent="0.35">
      <c r="A6847">
        <v>8696</v>
      </c>
      <c r="B6847" t="s">
        <v>31095</v>
      </c>
      <c r="C6847" t="s">
        <v>42</v>
      </c>
      <c r="D6847" t="s">
        <v>31096</v>
      </c>
      <c r="E6847" t="e" cm="1">
        <f t="array" ref="E6847">- GLICLAZIDE</f>
        <v>#NAME?</v>
      </c>
      <c r="F6847" t="s">
        <v>31097</v>
      </c>
      <c r="G6847" t="s">
        <v>835</v>
      </c>
      <c r="H6847" t="s">
        <v>31098</v>
      </c>
      <c r="I6847" t="s">
        <v>31099</v>
      </c>
      <c r="J6847" t="s">
        <v>381</v>
      </c>
      <c r="L6847" t="s">
        <v>270</v>
      </c>
      <c r="M6847" t="s">
        <v>46</v>
      </c>
      <c r="N6847" t="s">
        <v>1268</v>
      </c>
      <c r="O6847" t="s">
        <v>31100</v>
      </c>
      <c r="P6847" t="s">
        <v>31101</v>
      </c>
      <c r="Q6847" t="s">
        <v>31102</v>
      </c>
      <c r="R6847">
        <v>19</v>
      </c>
      <c r="S6847">
        <v>32</v>
      </c>
    </row>
    <row r="6848" spans="1:19" x14ac:dyDescent="0.35">
      <c r="A6848">
        <v>832</v>
      </c>
      <c r="B6848" t="s">
        <v>31443</v>
      </c>
      <c r="C6848" t="s">
        <v>42</v>
      </c>
      <c r="D6848" t="s">
        <v>31444</v>
      </c>
      <c r="E6848" t="e" cm="1">
        <f t="array" ref="E6848">- DIPHENHYDRAMINE HYDROCHLORIDE. AMMONIUM CHLORIDE. SULFOGAIACOL POTASSIUM. SODIUM CITRATE DIHYDRATE</f>
        <v>#NAME?</v>
      </c>
      <c r="F6848" t="s">
        <v>31445</v>
      </c>
      <c r="G6848" t="s">
        <v>1691</v>
      </c>
      <c r="H6848" t="s">
        <v>31446</v>
      </c>
      <c r="I6848" t="s">
        <v>31447</v>
      </c>
      <c r="J6848" t="s">
        <v>334</v>
      </c>
      <c r="K6848" t="s">
        <v>17504</v>
      </c>
      <c r="L6848" t="s">
        <v>31448</v>
      </c>
      <c r="M6848" t="s">
        <v>271</v>
      </c>
      <c r="N6848" t="s">
        <v>15042</v>
      </c>
      <c r="O6848" t="s">
        <v>31450</v>
      </c>
      <c r="P6848" t="s">
        <v>31451</v>
      </c>
      <c r="Q6848" t="s">
        <v>31839</v>
      </c>
      <c r="R6848">
        <v>19</v>
      </c>
      <c r="S6848">
        <v>32</v>
      </c>
    </row>
    <row r="6849" spans="1:19" x14ac:dyDescent="0.35">
      <c r="A6849">
        <v>907</v>
      </c>
      <c r="B6849" t="s">
        <v>31076</v>
      </c>
      <c r="C6849" t="s">
        <v>42</v>
      </c>
      <c r="D6849" t="s">
        <v>31077</v>
      </c>
      <c r="E6849" t="e" cm="1">
        <f t="array" ref="E6849">- CHLORPHENAMINE MALEATE</f>
        <v>#NAME?</v>
      </c>
      <c r="F6849" t="s">
        <v>27904</v>
      </c>
      <c r="G6849" t="s">
        <v>2241</v>
      </c>
      <c r="H6849" t="s">
        <v>31078</v>
      </c>
      <c r="I6849" t="s">
        <v>31079</v>
      </c>
      <c r="J6849" t="s">
        <v>2327</v>
      </c>
      <c r="K6849" t="s">
        <v>31080</v>
      </c>
      <c r="L6849" t="s">
        <v>31081</v>
      </c>
      <c r="M6849" t="s">
        <v>291</v>
      </c>
      <c r="N6849" t="s">
        <v>1354</v>
      </c>
      <c r="O6849" t="s">
        <v>31082</v>
      </c>
      <c r="P6849" t="s">
        <v>31083</v>
      </c>
      <c r="Q6849" t="s">
        <v>31084</v>
      </c>
      <c r="R6849">
        <v>19</v>
      </c>
      <c r="S6849">
        <v>32</v>
      </c>
    </row>
    <row r="6850" spans="1:19" x14ac:dyDescent="0.35">
      <c r="A6850">
        <v>6161</v>
      </c>
      <c r="B6850" t="s">
        <v>31840</v>
      </c>
      <c r="C6850" t="s">
        <v>42</v>
      </c>
      <c r="D6850" t="s">
        <v>31841</v>
      </c>
      <c r="E6850" t="e" cm="1">
        <f t="array" ref="E6850">- LEVOFLOXACIN HEMIHYDRATE</f>
        <v>#NAME?</v>
      </c>
      <c r="F6850" t="s">
        <v>31842</v>
      </c>
      <c r="G6850" t="s">
        <v>1691</v>
      </c>
      <c r="H6850" t="s">
        <v>31843</v>
      </c>
      <c r="I6850" t="s">
        <v>31844</v>
      </c>
      <c r="J6850" t="s">
        <v>31845</v>
      </c>
      <c r="K6850" t="s">
        <v>31846</v>
      </c>
      <c r="L6850" t="s">
        <v>31847</v>
      </c>
      <c r="M6850" t="s">
        <v>46</v>
      </c>
      <c r="N6850" t="s">
        <v>1784</v>
      </c>
      <c r="O6850" t="s">
        <v>31848</v>
      </c>
      <c r="P6850" t="s">
        <v>31849</v>
      </c>
      <c r="Q6850" t="s">
        <v>31850</v>
      </c>
      <c r="R6850">
        <v>19</v>
      </c>
      <c r="S6850">
        <v>32</v>
      </c>
    </row>
    <row r="6851" spans="1:19" x14ac:dyDescent="0.35">
      <c r="A6851">
        <v>6306</v>
      </c>
      <c r="B6851" t="s">
        <v>30465</v>
      </c>
      <c r="C6851" t="s">
        <v>42</v>
      </c>
      <c r="D6851" t="s">
        <v>30466</v>
      </c>
      <c r="E6851" t="e" cm="1">
        <f t="array" ref="E6851">- SULFAMETHOXAZOLE. TRIMETHOPRIM</f>
        <v>#NAME?</v>
      </c>
      <c r="F6851" t="s">
        <v>30467</v>
      </c>
      <c r="G6851" t="s">
        <v>2241</v>
      </c>
      <c r="H6851" t="s">
        <v>30468</v>
      </c>
      <c r="I6851" t="s">
        <v>30469</v>
      </c>
      <c r="J6851" t="s">
        <v>6679</v>
      </c>
      <c r="K6851" t="s">
        <v>30470</v>
      </c>
      <c r="L6851" t="s">
        <v>30471</v>
      </c>
      <c r="M6851" t="s">
        <v>340</v>
      </c>
      <c r="N6851" t="s">
        <v>1379</v>
      </c>
      <c r="O6851" t="s">
        <v>30472</v>
      </c>
      <c r="P6851" t="s">
        <v>17596</v>
      </c>
      <c r="Q6851" t="s">
        <v>31851</v>
      </c>
      <c r="R6851">
        <v>19</v>
      </c>
      <c r="S6851">
        <v>32</v>
      </c>
    </row>
    <row r="6852" spans="1:19" x14ac:dyDescent="0.35">
      <c r="A6852">
        <v>6307</v>
      </c>
      <c r="B6852" t="s">
        <v>30465</v>
      </c>
      <c r="C6852" t="s">
        <v>42</v>
      </c>
      <c r="D6852" t="s">
        <v>30466</v>
      </c>
      <c r="E6852" t="e" cm="1">
        <f t="array" ref="E6852">- SULFAMETHOXAZOLE. TRIMETHOPRIM</f>
        <v>#NAME?</v>
      </c>
      <c r="F6852" t="s">
        <v>30467</v>
      </c>
      <c r="G6852" t="s">
        <v>2241</v>
      </c>
      <c r="H6852" t="s">
        <v>30468</v>
      </c>
      <c r="I6852" t="s">
        <v>30469</v>
      </c>
      <c r="J6852" t="s">
        <v>6679</v>
      </c>
      <c r="K6852" t="s">
        <v>30470</v>
      </c>
      <c r="L6852" t="s">
        <v>30471</v>
      </c>
      <c r="M6852" t="s">
        <v>340</v>
      </c>
      <c r="N6852" t="s">
        <v>1379</v>
      </c>
      <c r="O6852" t="s">
        <v>30472</v>
      </c>
      <c r="P6852" t="s">
        <v>17596</v>
      </c>
      <c r="Q6852" t="s">
        <v>31851</v>
      </c>
      <c r="R6852">
        <v>19</v>
      </c>
      <c r="S6852">
        <v>32</v>
      </c>
    </row>
    <row r="6853" spans="1:19" x14ac:dyDescent="0.35">
      <c r="A6853">
        <v>6378</v>
      </c>
      <c r="B6853" t="s">
        <v>31852</v>
      </c>
      <c r="C6853" t="s">
        <v>42</v>
      </c>
      <c r="D6853" t="s">
        <v>31853</v>
      </c>
      <c r="E6853" t="e" cm="1">
        <f t="array" ref="E6853">- CEFADROXIL MONOHYDRATE</f>
        <v>#NAME?</v>
      </c>
      <c r="F6853" t="s">
        <v>31854</v>
      </c>
      <c r="H6853" t="s">
        <v>31855</v>
      </c>
      <c r="I6853" t="s">
        <v>29221</v>
      </c>
      <c r="J6853" t="s">
        <v>334</v>
      </c>
      <c r="K6853" t="s">
        <v>29222</v>
      </c>
      <c r="L6853" t="s">
        <v>29223</v>
      </c>
      <c r="M6853" t="s">
        <v>271</v>
      </c>
      <c r="N6853" t="s">
        <v>1777</v>
      </c>
      <c r="O6853" t="s">
        <v>29224</v>
      </c>
      <c r="P6853" t="s">
        <v>31856</v>
      </c>
      <c r="Q6853" t="s">
        <v>31857</v>
      </c>
      <c r="R6853">
        <v>19</v>
      </c>
      <c r="S6853">
        <v>32</v>
      </c>
    </row>
    <row r="6854" spans="1:19" x14ac:dyDescent="0.35">
      <c r="A6854">
        <v>6462</v>
      </c>
      <c r="B6854" t="s">
        <v>31858</v>
      </c>
      <c r="C6854" t="s">
        <v>42</v>
      </c>
      <c r="D6854" t="s">
        <v>31859</v>
      </c>
      <c r="E6854" t="e" cm="1">
        <f t="array" ref="E6854">- AMOXICILLIN TRIHYDRATE</f>
        <v>#NAME?</v>
      </c>
      <c r="F6854" t="s">
        <v>31860</v>
      </c>
      <c r="G6854" t="s">
        <v>31861</v>
      </c>
      <c r="H6854" t="s">
        <v>31862</v>
      </c>
    </row>
    <row r="6855" spans="1:19" x14ac:dyDescent="0.35">
      <c r="A6855">
        <v>852</v>
      </c>
      <c r="B6855" t="s">
        <v>30326</v>
      </c>
      <c r="C6855" t="s">
        <v>42</v>
      </c>
      <c r="D6855" t="s">
        <v>31863</v>
      </c>
      <c r="E6855" t="e" cm="1">
        <f t="array" ref="E6855">- AMMONIUM CHLORIDE</f>
        <v>#NAME?</v>
      </c>
      <c r="F6855" t="s">
        <v>31864</v>
      </c>
      <c r="G6855" t="s">
        <v>31865</v>
      </c>
      <c r="H6855" t="s">
        <v>31866</v>
      </c>
      <c r="I6855" t="s">
        <v>31867</v>
      </c>
      <c r="J6855" t="s">
        <v>374</v>
      </c>
      <c r="K6855" t="s">
        <v>30331</v>
      </c>
      <c r="L6855" t="s">
        <v>30332</v>
      </c>
      <c r="M6855" t="s">
        <v>271</v>
      </c>
      <c r="N6855" t="s">
        <v>1672</v>
      </c>
      <c r="O6855" t="s">
        <v>27871</v>
      </c>
      <c r="P6855" t="s">
        <v>30333</v>
      </c>
      <c r="Q6855" t="s">
        <v>31868</v>
      </c>
      <c r="R6855">
        <v>19</v>
      </c>
      <c r="S6855">
        <v>32</v>
      </c>
    </row>
    <row r="6856" spans="1:19" x14ac:dyDescent="0.35">
      <c r="A6856">
        <v>6035</v>
      </c>
      <c r="B6856" t="s">
        <v>31869</v>
      </c>
      <c r="C6856" t="s">
        <v>42</v>
      </c>
      <c r="D6856" t="s">
        <v>31870</v>
      </c>
      <c r="E6856" t="e" cm="1">
        <f t="array" ref="E6856">- LEVOFLOXACIN HEMIHYDRATE</f>
        <v>#NAME?</v>
      </c>
      <c r="F6856" t="s">
        <v>31871</v>
      </c>
      <c r="G6856" t="s">
        <v>60</v>
      </c>
      <c r="H6856" t="s">
        <v>31011</v>
      </c>
      <c r="I6856" t="s">
        <v>31872</v>
      </c>
      <c r="J6856" t="s">
        <v>31873</v>
      </c>
      <c r="L6856" t="s">
        <v>31014</v>
      </c>
      <c r="M6856" t="s">
        <v>291</v>
      </c>
      <c r="N6856" t="s">
        <v>1784</v>
      </c>
      <c r="O6856" t="s">
        <v>31015</v>
      </c>
      <c r="P6856" t="s">
        <v>31874</v>
      </c>
      <c r="Q6856" t="s">
        <v>31875</v>
      </c>
      <c r="R6856">
        <v>19</v>
      </c>
      <c r="S6856">
        <v>32</v>
      </c>
    </row>
    <row r="6857" spans="1:19" x14ac:dyDescent="0.35">
      <c r="A6857">
        <v>6315</v>
      </c>
      <c r="B6857" t="s">
        <v>31876</v>
      </c>
      <c r="C6857" t="s">
        <v>42</v>
      </c>
      <c r="D6857" t="s">
        <v>31877</v>
      </c>
      <c r="E6857" t="e" cm="1">
        <f t="array" ref="E6857">- CLINDAMYCIN HYDROCHLORIDE</f>
        <v>#NAME?</v>
      </c>
      <c r="F6857" t="s">
        <v>31878</v>
      </c>
      <c r="G6857" t="s">
        <v>31879</v>
      </c>
      <c r="H6857" t="s">
        <v>31880</v>
      </c>
      <c r="I6857" t="s">
        <v>31881</v>
      </c>
      <c r="J6857" t="s">
        <v>12241</v>
      </c>
      <c r="L6857" t="s">
        <v>31882</v>
      </c>
      <c r="M6857" t="s">
        <v>38</v>
      </c>
      <c r="N6857" t="s">
        <v>23622</v>
      </c>
      <c r="O6857" t="s">
        <v>31883</v>
      </c>
      <c r="P6857" t="s">
        <v>31884</v>
      </c>
      <c r="Q6857" t="s">
        <v>31885</v>
      </c>
      <c r="R6857">
        <v>19</v>
      </c>
      <c r="S6857">
        <v>32</v>
      </c>
    </row>
    <row r="6858" spans="1:19" x14ac:dyDescent="0.35">
      <c r="A6858">
        <v>6461</v>
      </c>
      <c r="B6858" t="s">
        <v>31858</v>
      </c>
      <c r="C6858" t="s">
        <v>42</v>
      </c>
      <c r="D6858" t="s">
        <v>31859</v>
      </c>
      <c r="E6858" t="e" cm="1">
        <f t="array" ref="E6858">- AMOXICILLIN TRIHYDRATE</f>
        <v>#NAME?</v>
      </c>
      <c r="F6858" t="s">
        <v>31860</v>
      </c>
      <c r="G6858" t="s">
        <v>31861</v>
      </c>
      <c r="H6858" t="s">
        <v>31862</v>
      </c>
    </row>
    <row r="6859" spans="1:19" x14ac:dyDescent="0.35">
      <c r="A6859">
        <v>893</v>
      </c>
      <c r="B6859" t="s">
        <v>31886</v>
      </c>
      <c r="C6859" t="s">
        <v>42</v>
      </c>
      <c r="D6859" t="s">
        <v>31887</v>
      </c>
      <c r="E6859" t="e" cm="1">
        <f t="array" ref="E6859">- PARACETAMOL. CHLORPHENAMINE MALEATE. PSEUDOEPHEDRINE HYDROCHLORIDE</f>
        <v>#NAME?</v>
      </c>
      <c r="F6859" s="1">
        <v>7200</v>
      </c>
      <c r="G6859" t="s">
        <v>60</v>
      </c>
      <c r="H6859" t="s">
        <v>31888</v>
      </c>
      <c r="I6859" t="s">
        <v>24483</v>
      </c>
      <c r="J6859" t="s">
        <v>12700</v>
      </c>
      <c r="K6859" t="s">
        <v>31889</v>
      </c>
      <c r="L6859" t="s">
        <v>31890</v>
      </c>
      <c r="M6859" t="s">
        <v>291</v>
      </c>
      <c r="N6859" t="s">
        <v>31891</v>
      </c>
      <c r="O6859" t="s">
        <v>24487</v>
      </c>
      <c r="P6859" t="s">
        <v>31892</v>
      </c>
      <c r="Q6859" t="s">
        <v>31893</v>
      </c>
      <c r="R6859">
        <v>19</v>
      </c>
      <c r="S6859">
        <v>32</v>
      </c>
    </row>
    <row r="6860" spans="1:19" x14ac:dyDescent="0.35">
      <c r="A6860">
        <v>6460</v>
      </c>
      <c r="B6860" t="s">
        <v>31894</v>
      </c>
      <c r="C6860" t="s">
        <v>42</v>
      </c>
      <c r="D6860" t="s">
        <v>31895</v>
      </c>
      <c r="E6860" t="e" cm="1">
        <f t="array" ref="E6860">- AMOXICILLIN TRIHYDRATE</f>
        <v>#NAME?</v>
      </c>
      <c r="F6860" t="s">
        <v>31896</v>
      </c>
      <c r="G6860" t="s">
        <v>31861</v>
      </c>
      <c r="H6860" t="s">
        <v>31862</v>
      </c>
    </row>
    <row r="6861" spans="1:19" x14ac:dyDescent="0.35">
      <c r="A6861">
        <v>894</v>
      </c>
      <c r="B6861" t="s">
        <v>31886</v>
      </c>
      <c r="C6861" t="s">
        <v>42</v>
      </c>
      <c r="D6861" t="s">
        <v>31887</v>
      </c>
      <c r="E6861" t="e" cm="1">
        <f t="array" ref="E6861">- PARACETAMOL. CHLORPHENAMINE MALEATE. PSEUDOEPHEDRINE HYDROCHLORIDE</f>
        <v>#NAME?</v>
      </c>
      <c r="F6861" s="1">
        <v>7200</v>
      </c>
      <c r="G6861" t="s">
        <v>60</v>
      </c>
      <c r="H6861" t="s">
        <v>31888</v>
      </c>
      <c r="I6861" t="s">
        <v>24483</v>
      </c>
      <c r="J6861" t="s">
        <v>12700</v>
      </c>
      <c r="K6861" t="s">
        <v>31889</v>
      </c>
      <c r="L6861" t="s">
        <v>31890</v>
      </c>
      <c r="M6861" t="s">
        <v>291</v>
      </c>
      <c r="N6861" t="s">
        <v>31891</v>
      </c>
      <c r="O6861" t="s">
        <v>24487</v>
      </c>
      <c r="P6861" t="s">
        <v>31892</v>
      </c>
      <c r="Q6861" t="s">
        <v>31893</v>
      </c>
      <c r="R6861">
        <v>19</v>
      </c>
      <c r="S6861">
        <v>32</v>
      </c>
    </row>
    <row r="6862" spans="1:19" x14ac:dyDescent="0.35">
      <c r="A6862">
        <v>6194</v>
      </c>
      <c r="B6862" t="s">
        <v>31897</v>
      </c>
      <c r="C6862" t="s">
        <v>42</v>
      </c>
      <c r="D6862" t="s">
        <v>31898</v>
      </c>
      <c r="E6862" t="e" cm="1">
        <f t="array" ref="E6862">- CIPROFLOXACIN HYDROCHLORIDE</f>
        <v>#NAME?</v>
      </c>
      <c r="F6862" t="s">
        <v>31899</v>
      </c>
      <c r="G6862" t="s">
        <v>31900</v>
      </c>
      <c r="H6862" t="s">
        <v>21015</v>
      </c>
      <c r="I6862" t="s">
        <v>31901</v>
      </c>
      <c r="J6862" t="s">
        <v>24699</v>
      </c>
      <c r="K6862" t="s">
        <v>31902</v>
      </c>
      <c r="L6862" t="s">
        <v>31903</v>
      </c>
      <c r="M6862" t="s">
        <v>46</v>
      </c>
      <c r="N6862" t="s">
        <v>1624</v>
      </c>
      <c r="O6862" t="s">
        <v>31904</v>
      </c>
      <c r="P6862" t="s">
        <v>31905</v>
      </c>
      <c r="Q6862" t="s">
        <v>31906</v>
      </c>
      <c r="R6862">
        <v>19</v>
      </c>
      <c r="S6862">
        <v>32</v>
      </c>
    </row>
    <row r="6863" spans="1:19" x14ac:dyDescent="0.35">
      <c r="A6863">
        <v>6451</v>
      </c>
      <c r="B6863" t="s">
        <v>31907</v>
      </c>
      <c r="C6863" t="s">
        <v>42</v>
      </c>
      <c r="D6863" t="s">
        <v>31908</v>
      </c>
      <c r="E6863" t="e" cm="1">
        <f t="array" ref="E6863">- THIAMPHENICOL</f>
        <v>#NAME?</v>
      </c>
      <c r="F6863" t="s">
        <v>31909</v>
      </c>
      <c r="G6863" t="s">
        <v>737</v>
      </c>
      <c r="H6863" t="s">
        <v>31910</v>
      </c>
      <c r="I6863" t="s">
        <v>31911</v>
      </c>
      <c r="J6863" t="s">
        <v>334</v>
      </c>
      <c r="K6863" t="s">
        <v>31912</v>
      </c>
      <c r="L6863" t="s">
        <v>31913</v>
      </c>
      <c r="M6863" t="s">
        <v>271</v>
      </c>
      <c r="N6863" t="s">
        <v>272</v>
      </c>
      <c r="O6863" t="s">
        <v>31914</v>
      </c>
      <c r="P6863" t="s">
        <v>30113</v>
      </c>
      <c r="Q6863" t="s">
        <v>31915</v>
      </c>
      <c r="R6863">
        <v>19</v>
      </c>
      <c r="S6863">
        <v>32</v>
      </c>
    </row>
    <row r="6864" spans="1:19" x14ac:dyDescent="0.35">
      <c r="A6864">
        <v>6316</v>
      </c>
      <c r="B6864" t="s">
        <v>31876</v>
      </c>
      <c r="C6864" t="s">
        <v>42</v>
      </c>
      <c r="D6864" t="s">
        <v>31877</v>
      </c>
      <c r="E6864" t="e" cm="1">
        <f t="array" ref="E6864">- CLINDAMYCIN HYDROCHLORIDE</f>
        <v>#NAME?</v>
      </c>
      <c r="F6864" t="s">
        <v>31878</v>
      </c>
      <c r="G6864" t="s">
        <v>31879</v>
      </c>
      <c r="H6864" t="s">
        <v>31880</v>
      </c>
      <c r="I6864" t="s">
        <v>31881</v>
      </c>
      <c r="J6864" t="s">
        <v>12241</v>
      </c>
      <c r="L6864" t="s">
        <v>31882</v>
      </c>
      <c r="M6864" t="s">
        <v>38</v>
      </c>
      <c r="N6864" t="s">
        <v>23622</v>
      </c>
      <c r="O6864" t="s">
        <v>31883</v>
      </c>
      <c r="P6864" t="s">
        <v>31884</v>
      </c>
      <c r="Q6864" t="s">
        <v>31885</v>
      </c>
      <c r="R6864">
        <v>19</v>
      </c>
      <c r="S6864">
        <v>32</v>
      </c>
    </row>
    <row r="6865" spans="1:19" x14ac:dyDescent="0.35">
      <c r="A6865">
        <v>6317</v>
      </c>
      <c r="B6865" t="s">
        <v>31876</v>
      </c>
      <c r="C6865" t="s">
        <v>42</v>
      </c>
      <c r="D6865" t="s">
        <v>31877</v>
      </c>
      <c r="E6865" t="e" cm="1">
        <f t="array" ref="E6865">- CLINDAMYCIN HYDROCHLORIDE</f>
        <v>#NAME?</v>
      </c>
      <c r="F6865" t="s">
        <v>31878</v>
      </c>
      <c r="G6865" t="s">
        <v>31879</v>
      </c>
      <c r="H6865" t="s">
        <v>31880</v>
      </c>
      <c r="I6865" t="s">
        <v>31881</v>
      </c>
      <c r="J6865" t="s">
        <v>12241</v>
      </c>
      <c r="L6865" t="s">
        <v>31882</v>
      </c>
      <c r="M6865" t="s">
        <v>38</v>
      </c>
      <c r="N6865" t="s">
        <v>23622</v>
      </c>
      <c r="O6865" t="s">
        <v>31883</v>
      </c>
      <c r="P6865" t="s">
        <v>31884</v>
      </c>
      <c r="Q6865" t="s">
        <v>31885</v>
      </c>
      <c r="R6865">
        <v>19</v>
      </c>
      <c r="S6865">
        <v>32</v>
      </c>
    </row>
    <row r="6866" spans="1:19" x14ac:dyDescent="0.35">
      <c r="A6866">
        <v>6388</v>
      </c>
      <c r="B6866" t="s">
        <v>31916</v>
      </c>
      <c r="C6866" t="s">
        <v>42</v>
      </c>
      <c r="D6866" t="s">
        <v>31917</v>
      </c>
      <c r="E6866" t="e" cm="1">
        <f t="array" ref="E6866">- AMPICILLIN TRIHYDRATE</f>
        <v>#NAME?</v>
      </c>
      <c r="F6866" t="s">
        <v>31918</v>
      </c>
      <c r="G6866" t="s">
        <v>5568</v>
      </c>
      <c r="H6866" t="s">
        <v>31919</v>
      </c>
      <c r="I6866" t="s">
        <v>31920</v>
      </c>
      <c r="J6866" t="s">
        <v>334</v>
      </c>
      <c r="K6866" t="s">
        <v>28016</v>
      </c>
      <c r="L6866" t="s">
        <v>28017</v>
      </c>
      <c r="M6866" t="s">
        <v>271</v>
      </c>
      <c r="N6866" t="s">
        <v>1945</v>
      </c>
      <c r="O6866" t="s">
        <v>31921</v>
      </c>
      <c r="P6866" t="s">
        <v>31922</v>
      </c>
      <c r="Q6866" t="s">
        <v>31923</v>
      </c>
      <c r="R6866">
        <v>19</v>
      </c>
      <c r="S6866">
        <v>32</v>
      </c>
    </row>
    <row r="6867" spans="1:19" x14ac:dyDescent="0.35">
      <c r="A6867">
        <v>6036</v>
      </c>
      <c r="B6867" t="s">
        <v>31869</v>
      </c>
      <c r="C6867" t="s">
        <v>42</v>
      </c>
      <c r="D6867" t="s">
        <v>31870</v>
      </c>
      <c r="E6867" t="e" cm="1">
        <f t="array" ref="E6867">- LEVOFLOXACIN HEMIHYDRATE</f>
        <v>#NAME?</v>
      </c>
      <c r="F6867" t="s">
        <v>31871</v>
      </c>
      <c r="G6867" t="s">
        <v>60</v>
      </c>
      <c r="H6867" t="s">
        <v>31011</v>
      </c>
      <c r="I6867" t="s">
        <v>31872</v>
      </c>
      <c r="J6867" t="s">
        <v>31873</v>
      </c>
      <c r="L6867" t="s">
        <v>31014</v>
      </c>
      <c r="M6867" t="s">
        <v>291</v>
      </c>
      <c r="N6867" t="s">
        <v>1784</v>
      </c>
      <c r="O6867" t="s">
        <v>31015</v>
      </c>
      <c r="P6867" t="s">
        <v>31874</v>
      </c>
      <c r="Q6867" t="s">
        <v>31875</v>
      </c>
      <c r="R6867">
        <v>19</v>
      </c>
      <c r="S6867">
        <v>32</v>
      </c>
    </row>
    <row r="6868" spans="1:19" x14ac:dyDescent="0.35">
      <c r="A6868">
        <v>886</v>
      </c>
      <c r="B6868" t="s">
        <v>18869</v>
      </c>
      <c r="C6868" t="s">
        <v>42</v>
      </c>
      <c r="D6868" t="s">
        <v>31924</v>
      </c>
      <c r="E6868" t="e" cm="1">
        <f t="array" ref="E6868">- CHLORPHENAMINE MALEATE</f>
        <v>#NAME?</v>
      </c>
      <c r="F6868" t="s">
        <v>31925</v>
      </c>
      <c r="I6868" t="s">
        <v>31926</v>
      </c>
      <c r="J6868" t="s">
        <v>852</v>
      </c>
      <c r="M6868" t="s">
        <v>271</v>
      </c>
      <c r="N6868" t="s">
        <v>1354</v>
      </c>
      <c r="O6868" t="s">
        <v>31927</v>
      </c>
      <c r="P6868" t="s">
        <v>18877</v>
      </c>
      <c r="Q6868" t="s">
        <v>31928</v>
      </c>
      <c r="R6868">
        <v>19</v>
      </c>
      <c r="S6868">
        <v>32</v>
      </c>
    </row>
    <row r="6869" spans="1:19" x14ac:dyDescent="0.35">
      <c r="A6869">
        <v>6073</v>
      </c>
      <c r="B6869" t="s">
        <v>31929</v>
      </c>
      <c r="C6869" t="s">
        <v>42</v>
      </c>
      <c r="D6869" t="s">
        <v>31930</v>
      </c>
      <c r="E6869" t="e" cm="1">
        <f t="array" ref="E6869">- THIAMPHENICOL</f>
        <v>#NAME?</v>
      </c>
      <c r="F6869" t="s">
        <v>31931</v>
      </c>
      <c r="G6869" t="s">
        <v>1691</v>
      </c>
      <c r="H6869" t="s">
        <v>31932</v>
      </c>
      <c r="I6869" t="s">
        <v>31933</v>
      </c>
      <c r="J6869" t="s">
        <v>31934</v>
      </c>
      <c r="K6869" t="s">
        <v>31935</v>
      </c>
      <c r="L6869" t="s">
        <v>31936</v>
      </c>
      <c r="M6869" t="s">
        <v>38</v>
      </c>
      <c r="N6869" t="s">
        <v>272</v>
      </c>
      <c r="O6869" t="s">
        <v>31937</v>
      </c>
      <c r="P6869" t="s">
        <v>31938</v>
      </c>
      <c r="Q6869" t="s">
        <v>31939</v>
      </c>
      <c r="R6869">
        <v>19</v>
      </c>
      <c r="S6869">
        <v>32</v>
      </c>
    </row>
    <row r="6870" spans="1:19" x14ac:dyDescent="0.35">
      <c r="A6870">
        <v>6072</v>
      </c>
      <c r="B6870" t="s">
        <v>31929</v>
      </c>
      <c r="C6870" t="s">
        <v>42</v>
      </c>
      <c r="D6870" t="s">
        <v>31930</v>
      </c>
      <c r="E6870" t="e" cm="1">
        <f t="array" ref="E6870">- THIAMPHENICOL</f>
        <v>#NAME?</v>
      </c>
      <c r="F6870" t="s">
        <v>31931</v>
      </c>
      <c r="G6870" t="s">
        <v>1691</v>
      </c>
      <c r="H6870" t="s">
        <v>31932</v>
      </c>
      <c r="I6870" t="s">
        <v>31933</v>
      </c>
      <c r="J6870" t="s">
        <v>31934</v>
      </c>
      <c r="K6870" t="s">
        <v>31935</v>
      </c>
      <c r="L6870" t="s">
        <v>31936</v>
      </c>
      <c r="M6870" t="s">
        <v>38</v>
      </c>
      <c r="N6870" t="s">
        <v>272</v>
      </c>
      <c r="O6870" t="s">
        <v>31937</v>
      </c>
      <c r="P6870" t="s">
        <v>31938</v>
      </c>
      <c r="Q6870" t="s">
        <v>31939</v>
      </c>
      <c r="R6870">
        <v>19</v>
      </c>
      <c r="S6870">
        <v>32</v>
      </c>
    </row>
    <row r="6871" spans="1:19" x14ac:dyDescent="0.35">
      <c r="A6871">
        <v>6071</v>
      </c>
      <c r="B6871" t="s">
        <v>31940</v>
      </c>
      <c r="C6871" t="s">
        <v>42</v>
      </c>
      <c r="D6871" t="s">
        <v>31941</v>
      </c>
      <c r="E6871" t="e" cm="1">
        <f t="array" ref="E6871">- THIAMPHENICOL</f>
        <v>#NAME?</v>
      </c>
      <c r="F6871" t="s">
        <v>31942</v>
      </c>
      <c r="H6871" t="s">
        <v>319</v>
      </c>
      <c r="I6871" t="s">
        <v>31933</v>
      </c>
      <c r="J6871" t="s">
        <v>334</v>
      </c>
      <c r="L6871" t="s">
        <v>321</v>
      </c>
      <c r="M6871" t="s">
        <v>271</v>
      </c>
      <c r="N6871" t="s">
        <v>272</v>
      </c>
      <c r="O6871" t="s">
        <v>31937</v>
      </c>
      <c r="P6871" t="s">
        <v>31938</v>
      </c>
      <c r="Q6871" t="s">
        <v>31943</v>
      </c>
      <c r="R6871">
        <v>19</v>
      </c>
      <c r="S6871">
        <v>32</v>
      </c>
    </row>
    <row r="6872" spans="1:19" x14ac:dyDescent="0.35">
      <c r="A6872">
        <v>6070</v>
      </c>
      <c r="B6872" t="s">
        <v>31944</v>
      </c>
      <c r="C6872" t="s">
        <v>42</v>
      </c>
      <c r="D6872" t="s">
        <v>31945</v>
      </c>
      <c r="E6872" t="e" cm="1">
        <f t="array" ref="E6872">- THIAMPHENICOL</f>
        <v>#NAME?</v>
      </c>
      <c r="F6872" t="s">
        <v>31946</v>
      </c>
      <c r="H6872" t="s">
        <v>319</v>
      </c>
      <c r="I6872" t="s">
        <v>31933</v>
      </c>
      <c r="J6872" t="s">
        <v>334</v>
      </c>
      <c r="L6872" t="s">
        <v>321</v>
      </c>
      <c r="M6872" t="s">
        <v>271</v>
      </c>
      <c r="N6872" t="s">
        <v>272</v>
      </c>
      <c r="O6872" t="s">
        <v>31937</v>
      </c>
      <c r="P6872" t="s">
        <v>31938</v>
      </c>
      <c r="Q6872" t="s">
        <v>31943</v>
      </c>
      <c r="R6872">
        <v>19</v>
      </c>
      <c r="S6872">
        <v>32</v>
      </c>
    </row>
    <row r="6873" spans="1:19" x14ac:dyDescent="0.35">
      <c r="A6873">
        <v>887</v>
      </c>
      <c r="B6873" t="s">
        <v>18869</v>
      </c>
      <c r="C6873" t="s">
        <v>42</v>
      </c>
      <c r="D6873" t="s">
        <v>31924</v>
      </c>
      <c r="E6873" t="e" cm="1">
        <f t="array" ref="E6873">- CHLORPHENAMINE MALEATE</f>
        <v>#NAME?</v>
      </c>
      <c r="F6873" t="s">
        <v>31925</v>
      </c>
      <c r="I6873" t="s">
        <v>31926</v>
      </c>
      <c r="J6873" t="s">
        <v>852</v>
      </c>
      <c r="M6873" t="s">
        <v>271</v>
      </c>
      <c r="N6873" t="s">
        <v>1354</v>
      </c>
      <c r="O6873" t="s">
        <v>31927</v>
      </c>
      <c r="P6873" t="s">
        <v>18877</v>
      </c>
      <c r="Q6873" t="s">
        <v>31928</v>
      </c>
      <c r="R6873">
        <v>19</v>
      </c>
      <c r="S6873">
        <v>32</v>
      </c>
    </row>
    <row r="6874" spans="1:19" x14ac:dyDescent="0.35">
      <c r="A6874">
        <v>6495</v>
      </c>
      <c r="B6874" t="s">
        <v>31947</v>
      </c>
      <c r="C6874" t="s">
        <v>42</v>
      </c>
      <c r="D6874" t="s">
        <v>31948</v>
      </c>
      <c r="E6874" t="e" cm="1">
        <f t="array" ref="E6874">- LEVOFLOXACIN HEMIHYDRATE</f>
        <v>#NAME?</v>
      </c>
      <c r="F6874" t="s">
        <v>31949</v>
      </c>
      <c r="G6874" t="s">
        <v>5568</v>
      </c>
      <c r="H6874" t="s">
        <v>31950</v>
      </c>
      <c r="I6874" t="s">
        <v>31951</v>
      </c>
      <c r="J6874" t="s">
        <v>31952</v>
      </c>
      <c r="K6874" t="s">
        <v>31953</v>
      </c>
      <c r="L6874" t="s">
        <v>31954</v>
      </c>
      <c r="M6874" t="s">
        <v>291</v>
      </c>
      <c r="N6874" t="s">
        <v>1784</v>
      </c>
      <c r="O6874" t="s">
        <v>31955</v>
      </c>
      <c r="P6874" t="s">
        <v>31956</v>
      </c>
      <c r="Q6874" t="s">
        <v>31957</v>
      </c>
      <c r="R6874">
        <v>19</v>
      </c>
      <c r="S6874">
        <v>32</v>
      </c>
    </row>
    <row r="6875" spans="1:19" x14ac:dyDescent="0.35">
      <c r="A6875">
        <v>888</v>
      </c>
      <c r="B6875" t="s">
        <v>18869</v>
      </c>
      <c r="C6875" t="s">
        <v>42</v>
      </c>
      <c r="D6875" t="s">
        <v>31924</v>
      </c>
      <c r="E6875" t="e" cm="1">
        <f t="array" ref="E6875">- CHLORPHENAMINE MALEATE</f>
        <v>#NAME?</v>
      </c>
      <c r="F6875" t="s">
        <v>31925</v>
      </c>
      <c r="I6875" t="s">
        <v>31926</v>
      </c>
      <c r="J6875" t="s">
        <v>852</v>
      </c>
      <c r="M6875" t="s">
        <v>271</v>
      </c>
      <c r="N6875" t="s">
        <v>1354</v>
      </c>
      <c r="O6875" t="s">
        <v>31927</v>
      </c>
      <c r="P6875" t="s">
        <v>18877</v>
      </c>
      <c r="Q6875" t="s">
        <v>31928</v>
      </c>
      <c r="R6875">
        <v>19</v>
      </c>
      <c r="S6875">
        <v>32</v>
      </c>
    </row>
    <row r="6876" spans="1:19" x14ac:dyDescent="0.35">
      <c r="A6876">
        <v>6507</v>
      </c>
      <c r="B6876" t="s">
        <v>31958</v>
      </c>
      <c r="C6876" t="s">
        <v>42</v>
      </c>
      <c r="D6876" t="s">
        <v>31959</v>
      </c>
      <c r="E6876" t="e" cm="1">
        <f t="array" ref="E6876">- AMOXICILLIN TRIHYDRATE</f>
        <v>#NAME?</v>
      </c>
      <c r="F6876" t="s">
        <v>31960</v>
      </c>
      <c r="H6876" t="s">
        <v>31961</v>
      </c>
      <c r="I6876" t="s">
        <v>31962</v>
      </c>
      <c r="J6876" t="s">
        <v>727</v>
      </c>
      <c r="K6876" t="s">
        <v>2726</v>
      </c>
      <c r="L6876" t="s">
        <v>31963</v>
      </c>
      <c r="M6876" t="s">
        <v>291</v>
      </c>
      <c r="N6876" t="s">
        <v>1523</v>
      </c>
      <c r="O6876" t="s">
        <v>31964</v>
      </c>
      <c r="P6876" t="s">
        <v>31965</v>
      </c>
      <c r="Q6876" t="s">
        <v>31966</v>
      </c>
      <c r="R6876">
        <v>19</v>
      </c>
      <c r="S6876">
        <v>32</v>
      </c>
    </row>
    <row r="6877" spans="1:19" x14ac:dyDescent="0.35">
      <c r="A6877">
        <v>6505</v>
      </c>
      <c r="B6877" t="s">
        <v>31967</v>
      </c>
      <c r="C6877" t="s">
        <v>42</v>
      </c>
      <c r="D6877" t="s">
        <v>31968</v>
      </c>
      <c r="E6877" t="e" cm="1">
        <f t="array" ref="E6877">- AMOXICILLIN TRIHYDRATE</f>
        <v>#NAME?</v>
      </c>
      <c r="F6877" t="s">
        <v>31969</v>
      </c>
      <c r="G6877" t="s">
        <v>6135</v>
      </c>
      <c r="H6877" t="s">
        <v>31970</v>
      </c>
      <c r="I6877" t="s">
        <v>31971</v>
      </c>
    </row>
    <row r="6878" spans="1:19" x14ac:dyDescent="0.35">
      <c r="A6878">
        <v>5942</v>
      </c>
      <c r="B6878" t="s">
        <v>31972</v>
      </c>
      <c r="C6878" t="s">
        <v>42</v>
      </c>
      <c r="D6878" t="s">
        <v>31973</v>
      </c>
      <c r="E6878" t="e" cm="1">
        <f t="array" ref="E6878">- AMOXICILLIN TRIHYDRATE</f>
        <v>#NAME?</v>
      </c>
      <c r="F6878" t="s">
        <v>31974</v>
      </c>
      <c r="G6878" t="s">
        <v>31975</v>
      </c>
      <c r="H6878" t="s">
        <v>31976</v>
      </c>
    </row>
    <row r="6879" spans="1:19" x14ac:dyDescent="0.35">
      <c r="A6879">
        <v>6504</v>
      </c>
      <c r="B6879" t="s">
        <v>31977</v>
      </c>
      <c r="C6879" t="s">
        <v>42</v>
      </c>
      <c r="D6879" t="s">
        <v>31978</v>
      </c>
      <c r="E6879" t="e" cm="1">
        <f t="array" ref="E6879">- AMOXICILLIN TRIHYDRATE</f>
        <v>#NAME?</v>
      </c>
      <c r="F6879" s="1">
        <v>36400</v>
      </c>
      <c r="G6879" t="s">
        <v>6135</v>
      </c>
      <c r="H6879" t="s">
        <v>31970</v>
      </c>
      <c r="I6879" t="s">
        <v>31971</v>
      </c>
    </row>
    <row r="6880" spans="1:19" x14ac:dyDescent="0.35">
      <c r="A6880">
        <v>6621</v>
      </c>
      <c r="B6880" t="s">
        <v>31979</v>
      </c>
      <c r="C6880" t="s">
        <v>42</v>
      </c>
      <c r="D6880" t="s">
        <v>31980</v>
      </c>
      <c r="E6880" t="e" cm="1">
        <f t="array" ref="E6880">- VALACICLOVIR HYDROCHLORIDE MONOHYDRATE</f>
        <v>#NAME?</v>
      </c>
      <c r="F6880" t="s">
        <v>31981</v>
      </c>
      <c r="G6880" t="s">
        <v>60</v>
      </c>
      <c r="H6880" t="s">
        <v>31982</v>
      </c>
      <c r="I6880" t="s">
        <v>31983</v>
      </c>
      <c r="J6880" t="s">
        <v>26053</v>
      </c>
      <c r="K6880" t="s">
        <v>27027</v>
      </c>
      <c r="L6880" t="s">
        <v>31984</v>
      </c>
    </row>
    <row r="6881" spans="1:19" x14ac:dyDescent="0.35">
      <c r="A6881">
        <v>6037</v>
      </c>
      <c r="B6881" t="s">
        <v>31985</v>
      </c>
      <c r="C6881" t="s">
        <v>42</v>
      </c>
      <c r="D6881" t="s">
        <v>31986</v>
      </c>
      <c r="E6881" t="e" cm="1">
        <f t="array" ref="E6881">- LEVOFLOXACIN HEMIHYDRATE</f>
        <v>#NAME?</v>
      </c>
      <c r="F6881" t="s">
        <v>31987</v>
      </c>
      <c r="G6881" t="s">
        <v>60</v>
      </c>
      <c r="H6881" t="s">
        <v>31011</v>
      </c>
      <c r="I6881" t="s">
        <v>31872</v>
      </c>
      <c r="J6881" t="s">
        <v>31873</v>
      </c>
      <c r="L6881" t="s">
        <v>31014</v>
      </c>
      <c r="M6881" t="s">
        <v>291</v>
      </c>
      <c r="N6881" t="s">
        <v>1784</v>
      </c>
      <c r="O6881" t="s">
        <v>31015</v>
      </c>
      <c r="P6881" t="s">
        <v>31874</v>
      </c>
      <c r="Q6881" t="s">
        <v>31875</v>
      </c>
      <c r="R6881">
        <v>19</v>
      </c>
      <c r="S6881">
        <v>32</v>
      </c>
    </row>
    <row r="6882" spans="1:19" x14ac:dyDescent="0.35">
      <c r="A6882">
        <v>788</v>
      </c>
      <c r="B6882" t="s">
        <v>31988</v>
      </c>
      <c r="C6882" t="s">
        <v>42</v>
      </c>
      <c r="D6882" t="s">
        <v>31989</v>
      </c>
      <c r="E6882" t="e" cm="1">
        <f t="array" ref="E6882">- ERDOSTEINE</f>
        <v>#NAME?</v>
      </c>
      <c r="F6882" t="s">
        <v>31990</v>
      </c>
      <c r="G6882" t="s">
        <v>31991</v>
      </c>
      <c r="H6882" t="s">
        <v>31992</v>
      </c>
      <c r="I6882" t="s">
        <v>31993</v>
      </c>
      <c r="J6882" t="s">
        <v>190</v>
      </c>
      <c r="K6882" t="s">
        <v>31994</v>
      </c>
      <c r="L6882" t="s">
        <v>31995</v>
      </c>
      <c r="M6882" t="s">
        <v>38</v>
      </c>
      <c r="N6882" t="s">
        <v>471</v>
      </c>
      <c r="O6882" t="s">
        <v>31996</v>
      </c>
      <c r="P6882" t="s">
        <v>31997</v>
      </c>
      <c r="Q6882" t="s">
        <v>31998</v>
      </c>
      <c r="R6882">
        <v>19</v>
      </c>
      <c r="S6882">
        <v>32</v>
      </c>
    </row>
    <row r="6883" spans="1:19" x14ac:dyDescent="0.35">
      <c r="A6883">
        <v>5980</v>
      </c>
      <c r="B6883" t="s">
        <v>31999</v>
      </c>
      <c r="C6883" t="s">
        <v>42</v>
      </c>
      <c r="D6883" t="s">
        <v>32000</v>
      </c>
      <c r="E6883" t="e" cm="1">
        <f t="array" ref="E6883">- LEVOFLOXACIN HEMIHYDRATE</f>
        <v>#NAME?</v>
      </c>
      <c r="F6883" t="s">
        <v>32001</v>
      </c>
      <c r="G6883" t="s">
        <v>60</v>
      </c>
      <c r="H6883" t="s">
        <v>31011</v>
      </c>
      <c r="I6883" t="s">
        <v>31872</v>
      </c>
      <c r="J6883" t="s">
        <v>2446</v>
      </c>
      <c r="K6883" t="s">
        <v>31013</v>
      </c>
      <c r="L6883" t="s">
        <v>31014</v>
      </c>
      <c r="M6883" t="s">
        <v>46</v>
      </c>
      <c r="N6883" t="s">
        <v>1784</v>
      </c>
      <c r="O6883" t="s">
        <v>31015</v>
      </c>
      <c r="P6883" t="s">
        <v>1785</v>
      </c>
      <c r="Q6883" t="s">
        <v>31016</v>
      </c>
      <c r="R6883">
        <v>19</v>
      </c>
      <c r="S6883">
        <v>32</v>
      </c>
    </row>
    <row r="6884" spans="1:19" x14ac:dyDescent="0.35">
      <c r="A6884">
        <v>6160</v>
      </c>
      <c r="B6884" t="s">
        <v>32002</v>
      </c>
      <c r="C6884" t="s">
        <v>42</v>
      </c>
      <c r="D6884" t="s">
        <v>32003</v>
      </c>
      <c r="E6884" t="e" cm="1">
        <f t="array" ref="E6884">- LEVOFLOXACIN HEMIHYDRATE</f>
        <v>#NAME?</v>
      </c>
      <c r="F6884" t="s">
        <v>32004</v>
      </c>
      <c r="G6884" t="s">
        <v>60</v>
      </c>
      <c r="H6884" t="s">
        <v>31011</v>
      </c>
      <c r="I6884" t="s">
        <v>31872</v>
      </c>
      <c r="J6884" t="s">
        <v>31845</v>
      </c>
      <c r="K6884" t="s">
        <v>3952</v>
      </c>
      <c r="L6884" t="s">
        <v>31014</v>
      </c>
      <c r="M6884" t="s">
        <v>291</v>
      </c>
      <c r="N6884" t="s">
        <v>1784</v>
      </c>
      <c r="O6884" t="s">
        <v>31015</v>
      </c>
      <c r="P6884" t="s">
        <v>32005</v>
      </c>
      <c r="Q6884" t="s">
        <v>32006</v>
      </c>
      <c r="R6884">
        <v>19</v>
      </c>
      <c r="S6884">
        <v>32</v>
      </c>
    </row>
    <row r="6885" spans="1:19" x14ac:dyDescent="0.35">
      <c r="A6885">
        <v>6370</v>
      </c>
      <c r="B6885" t="s">
        <v>29211</v>
      </c>
      <c r="C6885" t="s">
        <v>42</v>
      </c>
      <c r="D6885" t="s">
        <v>29212</v>
      </c>
      <c r="E6885" t="e" cm="1">
        <f t="array" ref="E6885">- CIPROFLOXACIN HYDROCHLORIDE MONOHYDRATE</f>
        <v>#NAME?</v>
      </c>
      <c r="F6885" s="1">
        <v>142300</v>
      </c>
      <c r="G6885" t="s">
        <v>29213</v>
      </c>
      <c r="H6885" t="s">
        <v>29214</v>
      </c>
      <c r="I6885" t="s">
        <v>29215</v>
      </c>
    </row>
    <row r="6886" spans="1:19" x14ac:dyDescent="0.35">
      <c r="A6886">
        <v>859</v>
      </c>
      <c r="B6886" t="s">
        <v>25938</v>
      </c>
      <c r="C6886" t="s">
        <v>42</v>
      </c>
      <c r="D6886" t="s">
        <v>25939</v>
      </c>
      <c r="E6886" t="e" cm="1">
        <f t="array" ref="E6886">- CHLORPHENAMINE MALEATE. PARACETAMOL. PHENYLEPHRINE HYDROCHLORIDE</f>
        <v>#NAME?</v>
      </c>
      <c r="F6886" t="s">
        <v>25940</v>
      </c>
      <c r="G6886" t="s">
        <v>6869</v>
      </c>
      <c r="H6886" t="s">
        <v>25941</v>
      </c>
      <c r="I6886" t="s">
        <v>25942</v>
      </c>
      <c r="J6886" t="s">
        <v>25943</v>
      </c>
      <c r="K6886" t="s">
        <v>2858</v>
      </c>
      <c r="L6886" t="s">
        <v>25944</v>
      </c>
      <c r="M6886" t="s">
        <v>291</v>
      </c>
      <c r="N6886" t="s">
        <v>32007</v>
      </c>
      <c r="O6886" t="s">
        <v>25945</v>
      </c>
      <c r="P6886" t="s">
        <v>25946</v>
      </c>
      <c r="Q6886" t="s">
        <v>32008</v>
      </c>
      <c r="R6886">
        <v>19</v>
      </c>
      <c r="S6886">
        <v>32</v>
      </c>
    </row>
    <row r="6887" spans="1:19" x14ac:dyDescent="0.35">
      <c r="A6887">
        <v>834</v>
      </c>
      <c r="B6887" t="s">
        <v>31443</v>
      </c>
      <c r="C6887" t="s">
        <v>42</v>
      </c>
      <c r="D6887" t="s">
        <v>32009</v>
      </c>
      <c r="E6887" t="e" cm="1">
        <f t="array" ref="E6887">- DIPHENHYDRAMINE HYDROCHLORIDE. AMMONIUM CHLORIDE. SULFOGAIACOL POTASSIUM. SODIUM CITRATE DIHYDRATE</f>
        <v>#NAME?</v>
      </c>
      <c r="F6887" t="s">
        <v>10443</v>
      </c>
      <c r="G6887" t="s">
        <v>32010</v>
      </c>
      <c r="H6887" t="s">
        <v>32011</v>
      </c>
      <c r="I6887" t="s">
        <v>31447</v>
      </c>
      <c r="J6887" t="s">
        <v>1144</v>
      </c>
      <c r="K6887" t="s">
        <v>4677</v>
      </c>
      <c r="L6887" t="s">
        <v>32012</v>
      </c>
      <c r="M6887" t="s">
        <v>271</v>
      </c>
      <c r="N6887" t="s">
        <v>15042</v>
      </c>
      <c r="O6887" t="s">
        <v>31450</v>
      </c>
      <c r="P6887" t="s">
        <v>31451</v>
      </c>
      <c r="Q6887" t="s">
        <v>31839</v>
      </c>
      <c r="R6887">
        <v>19</v>
      </c>
      <c r="S6887">
        <v>32</v>
      </c>
    </row>
    <row r="6888" spans="1:19" x14ac:dyDescent="0.35">
      <c r="A6888">
        <v>853</v>
      </c>
      <c r="B6888" t="s">
        <v>30326</v>
      </c>
      <c r="C6888" t="s">
        <v>42</v>
      </c>
      <c r="D6888" t="s">
        <v>31863</v>
      </c>
      <c r="E6888" t="e" cm="1">
        <f t="array" ref="E6888">- AMMONIUM CHLORIDE</f>
        <v>#NAME?</v>
      </c>
      <c r="F6888" t="s">
        <v>31864</v>
      </c>
      <c r="G6888" t="s">
        <v>31865</v>
      </c>
      <c r="H6888" t="s">
        <v>31866</v>
      </c>
      <c r="I6888" t="s">
        <v>31867</v>
      </c>
      <c r="J6888" t="s">
        <v>374</v>
      </c>
      <c r="K6888" t="s">
        <v>30331</v>
      </c>
      <c r="L6888" t="s">
        <v>30332</v>
      </c>
      <c r="M6888" t="s">
        <v>271</v>
      </c>
      <c r="N6888" t="s">
        <v>1672</v>
      </c>
      <c r="O6888" t="s">
        <v>27871</v>
      </c>
      <c r="P6888" t="s">
        <v>30333</v>
      </c>
      <c r="Q6888" t="s">
        <v>31868</v>
      </c>
      <c r="R6888">
        <v>19</v>
      </c>
      <c r="S6888">
        <v>32</v>
      </c>
    </row>
    <row r="6889" spans="1:19" x14ac:dyDescent="0.35">
      <c r="A6889">
        <v>6318</v>
      </c>
      <c r="B6889" t="s">
        <v>31876</v>
      </c>
      <c r="C6889" t="s">
        <v>42</v>
      </c>
      <c r="D6889" t="s">
        <v>31877</v>
      </c>
      <c r="E6889" t="e" cm="1">
        <f t="array" ref="E6889">- CLINDAMYCIN HYDROCHLORIDE</f>
        <v>#NAME?</v>
      </c>
      <c r="F6889" t="s">
        <v>31878</v>
      </c>
      <c r="G6889" t="s">
        <v>31879</v>
      </c>
      <c r="H6889" t="s">
        <v>31880</v>
      </c>
      <c r="I6889" t="s">
        <v>31881</v>
      </c>
      <c r="J6889" t="s">
        <v>12241</v>
      </c>
      <c r="L6889" t="s">
        <v>31882</v>
      </c>
      <c r="M6889" t="s">
        <v>38</v>
      </c>
      <c r="N6889" t="s">
        <v>23622</v>
      </c>
      <c r="O6889" t="s">
        <v>31883</v>
      </c>
      <c r="P6889" t="s">
        <v>31884</v>
      </c>
      <c r="Q6889" t="s">
        <v>31885</v>
      </c>
      <c r="R6889">
        <v>19</v>
      </c>
      <c r="S6889">
        <v>32</v>
      </c>
    </row>
    <row r="6890" spans="1:19" x14ac:dyDescent="0.35">
      <c r="A6890">
        <v>5979</v>
      </c>
      <c r="B6890" t="s">
        <v>31999</v>
      </c>
      <c r="C6890" t="s">
        <v>42</v>
      </c>
      <c r="D6890" t="s">
        <v>32000</v>
      </c>
      <c r="E6890" t="e" cm="1">
        <f t="array" ref="E6890">- LEVOFLOXACIN HEMIHYDRATE</f>
        <v>#NAME?</v>
      </c>
      <c r="F6890" t="s">
        <v>32001</v>
      </c>
      <c r="G6890" t="s">
        <v>60</v>
      </c>
      <c r="H6890" t="s">
        <v>31011</v>
      </c>
      <c r="I6890" t="s">
        <v>31872</v>
      </c>
      <c r="J6890" t="s">
        <v>2446</v>
      </c>
      <c r="K6890" t="s">
        <v>31013</v>
      </c>
      <c r="L6890" t="s">
        <v>31014</v>
      </c>
      <c r="M6890" t="s">
        <v>46</v>
      </c>
      <c r="N6890" t="s">
        <v>1784</v>
      </c>
      <c r="O6890" t="s">
        <v>31015</v>
      </c>
      <c r="P6890" t="s">
        <v>1785</v>
      </c>
      <c r="Q6890" t="s">
        <v>31016</v>
      </c>
      <c r="R6890">
        <v>19</v>
      </c>
      <c r="S6890">
        <v>32</v>
      </c>
    </row>
    <row r="6891" spans="1:19" x14ac:dyDescent="0.35">
      <c r="A6891">
        <v>835</v>
      </c>
      <c r="B6891" t="s">
        <v>31443</v>
      </c>
      <c r="C6891" t="s">
        <v>42</v>
      </c>
      <c r="D6891" t="s">
        <v>32009</v>
      </c>
      <c r="E6891" t="e" cm="1">
        <f t="array" ref="E6891">- SULFOGAIACOL POTASSIUM. AMMONIUM CHLORIDE. SODIUM CITRATE DIHYDRATE. DIPHENHYDRAMINE HYDROCHLORIDE</f>
        <v>#NAME?</v>
      </c>
      <c r="F6891" t="s">
        <v>10443</v>
      </c>
      <c r="G6891" t="s">
        <v>32010</v>
      </c>
      <c r="H6891" t="s">
        <v>32011</v>
      </c>
      <c r="I6891" t="s">
        <v>31447</v>
      </c>
      <c r="J6891" t="s">
        <v>1144</v>
      </c>
      <c r="K6891" t="s">
        <v>4677</v>
      </c>
      <c r="L6891" t="s">
        <v>32012</v>
      </c>
      <c r="M6891" t="s">
        <v>271</v>
      </c>
      <c r="N6891" t="s">
        <v>31449</v>
      </c>
      <c r="O6891" t="s">
        <v>31450</v>
      </c>
      <c r="P6891" t="s">
        <v>31451</v>
      </c>
      <c r="Q6891" t="s">
        <v>31452</v>
      </c>
      <c r="R6891">
        <v>19</v>
      </c>
      <c r="S6891">
        <v>32</v>
      </c>
    </row>
    <row r="6892" spans="1:19" x14ac:dyDescent="0.35">
      <c r="A6892">
        <v>1522</v>
      </c>
      <c r="B6892" t="s">
        <v>32013</v>
      </c>
      <c r="C6892" t="s">
        <v>42</v>
      </c>
      <c r="D6892" t="s">
        <v>32014</v>
      </c>
      <c r="E6892" t="e" cm="1">
        <f t="array" ref="E6892">- SUCCUS LIQUIRITIAE. AMMONIUM CHLORIDE. GUAIFENESIN</f>
        <v>#NAME?</v>
      </c>
      <c r="F6892" t="s">
        <v>32015</v>
      </c>
      <c r="G6892" t="s">
        <v>5033</v>
      </c>
      <c r="H6892" t="s">
        <v>26608</v>
      </c>
      <c r="I6892" t="s">
        <v>26609</v>
      </c>
      <c r="J6892" t="s">
        <v>26610</v>
      </c>
      <c r="L6892" t="s">
        <v>26611</v>
      </c>
      <c r="M6892" t="s">
        <v>271</v>
      </c>
      <c r="N6892" t="s">
        <v>32016</v>
      </c>
      <c r="O6892" t="s">
        <v>26612</v>
      </c>
      <c r="P6892" t="s">
        <v>32017</v>
      </c>
      <c r="Q6892" t="s">
        <v>32018</v>
      </c>
      <c r="R6892">
        <v>20</v>
      </c>
      <c r="S6892">
        <v>32</v>
      </c>
    </row>
    <row r="6893" spans="1:19" x14ac:dyDescent="0.35">
      <c r="A6893">
        <v>2592</v>
      </c>
      <c r="B6893" t="s">
        <v>32019</v>
      </c>
      <c r="C6893" t="s">
        <v>42</v>
      </c>
      <c r="D6893" t="s">
        <v>32020</v>
      </c>
      <c r="E6893" t="e" cm="1">
        <f t="array" ref="E6893">- TENOXICAM</f>
        <v>#NAME?</v>
      </c>
      <c r="F6893" t="s">
        <v>32021</v>
      </c>
      <c r="G6893" t="s">
        <v>1258</v>
      </c>
      <c r="H6893" t="s">
        <v>15170</v>
      </c>
      <c r="I6893" t="s">
        <v>32022</v>
      </c>
      <c r="J6893" t="s">
        <v>32023</v>
      </c>
      <c r="K6893" t="s">
        <v>32024</v>
      </c>
      <c r="L6893" t="s">
        <v>32025</v>
      </c>
      <c r="M6893" t="s">
        <v>291</v>
      </c>
      <c r="N6893" t="s">
        <v>840</v>
      </c>
      <c r="O6893" t="s">
        <v>32026</v>
      </c>
      <c r="P6893" t="s">
        <v>32027</v>
      </c>
      <c r="Q6893" t="s">
        <v>32028</v>
      </c>
      <c r="R6893">
        <v>20</v>
      </c>
      <c r="S6893">
        <v>32</v>
      </c>
    </row>
    <row r="6894" spans="1:19" x14ac:dyDescent="0.35">
      <c r="A6894">
        <v>1537</v>
      </c>
      <c r="B6894" t="s">
        <v>26605</v>
      </c>
      <c r="C6894" t="s">
        <v>42</v>
      </c>
      <c r="D6894" t="s">
        <v>32029</v>
      </c>
      <c r="E6894" t="e" cm="1">
        <f t="array" ref="E6894">- AMMONIUM CHLORIDE</f>
        <v>#NAME?</v>
      </c>
      <c r="F6894" t="s">
        <v>32030</v>
      </c>
      <c r="G6894" t="s">
        <v>2241</v>
      </c>
      <c r="H6894" t="s">
        <v>32031</v>
      </c>
      <c r="I6894" t="s">
        <v>32032</v>
      </c>
      <c r="J6894" t="s">
        <v>32033</v>
      </c>
      <c r="K6894" t="s">
        <v>32034</v>
      </c>
      <c r="L6894" t="s">
        <v>32035</v>
      </c>
      <c r="M6894" t="s">
        <v>271</v>
      </c>
      <c r="N6894" t="s">
        <v>1672</v>
      </c>
      <c r="O6894" t="s">
        <v>32036</v>
      </c>
      <c r="P6894" t="s">
        <v>26613</v>
      </c>
      <c r="Q6894" t="s">
        <v>32037</v>
      </c>
      <c r="R6894">
        <v>20</v>
      </c>
      <c r="S6894">
        <v>32</v>
      </c>
    </row>
    <row r="6895" spans="1:19" x14ac:dyDescent="0.35">
      <c r="A6895">
        <v>5936</v>
      </c>
      <c r="B6895" t="s">
        <v>32038</v>
      </c>
      <c r="C6895" t="s">
        <v>42</v>
      </c>
      <c r="D6895" t="s">
        <v>32039</v>
      </c>
      <c r="E6895" t="e" cm="1">
        <f t="array" ref="E6895">- AMOXICILLIN SODIUM</f>
        <v>#NAME?</v>
      </c>
      <c r="F6895" t="s">
        <v>32040</v>
      </c>
      <c r="G6895" t="s">
        <v>32041</v>
      </c>
      <c r="H6895" t="s">
        <v>27917</v>
      </c>
      <c r="I6895" t="s">
        <v>32042</v>
      </c>
      <c r="J6895" t="s">
        <v>334</v>
      </c>
      <c r="K6895" t="s">
        <v>27919</v>
      </c>
      <c r="L6895" t="s">
        <v>28937</v>
      </c>
      <c r="M6895" t="s">
        <v>271</v>
      </c>
      <c r="N6895" t="s">
        <v>28938</v>
      </c>
      <c r="O6895" t="s">
        <v>32043</v>
      </c>
      <c r="P6895" t="s">
        <v>32044</v>
      </c>
      <c r="Q6895" t="s">
        <v>32045</v>
      </c>
      <c r="R6895">
        <v>20</v>
      </c>
      <c r="S6895">
        <v>32</v>
      </c>
    </row>
    <row r="6896" spans="1:19" x14ac:dyDescent="0.35">
      <c r="A6896">
        <v>5466</v>
      </c>
      <c r="B6896" t="s">
        <v>30159</v>
      </c>
      <c r="C6896" t="s">
        <v>42</v>
      </c>
      <c r="D6896" t="s">
        <v>30160</v>
      </c>
      <c r="E6896" t="e" cm="1">
        <f t="array" ref="E6896">- BACITRACIN ZINC. NEOMYCIN SULFATE</f>
        <v>#NAME?</v>
      </c>
      <c r="F6896" t="s">
        <v>30161</v>
      </c>
      <c r="G6896" t="s">
        <v>30162</v>
      </c>
      <c r="H6896" t="s">
        <v>269</v>
      </c>
      <c r="I6896" t="s">
        <v>30163</v>
      </c>
      <c r="J6896" t="s">
        <v>30164</v>
      </c>
      <c r="K6896" t="s">
        <v>2726</v>
      </c>
      <c r="L6896" t="s">
        <v>30165</v>
      </c>
      <c r="M6896" t="s">
        <v>1029</v>
      </c>
      <c r="N6896" t="s">
        <v>11741</v>
      </c>
      <c r="O6896" t="s">
        <v>30166</v>
      </c>
      <c r="P6896" t="s">
        <v>30167</v>
      </c>
      <c r="Q6896" t="s">
        <v>32046</v>
      </c>
      <c r="R6896">
        <v>20</v>
      </c>
      <c r="S6896">
        <v>32</v>
      </c>
    </row>
    <row r="6897" spans="1:19" x14ac:dyDescent="0.35">
      <c r="A6897">
        <v>973</v>
      </c>
      <c r="B6897" t="s">
        <v>32047</v>
      </c>
      <c r="C6897" t="s">
        <v>42</v>
      </c>
      <c r="D6897" t="s">
        <v>32048</v>
      </c>
      <c r="E6897" t="e" cm="1">
        <f t="array" ref="E6897">- ACETYL CYSTEINE</f>
        <v>#NAME?</v>
      </c>
      <c r="F6897" t="s">
        <v>32049</v>
      </c>
      <c r="G6897" t="s">
        <v>2241</v>
      </c>
      <c r="H6897" t="s">
        <v>32050</v>
      </c>
      <c r="I6897" t="s">
        <v>32051</v>
      </c>
      <c r="J6897" t="s">
        <v>14600</v>
      </c>
      <c r="K6897" t="s">
        <v>32052</v>
      </c>
      <c r="L6897" t="s">
        <v>32053</v>
      </c>
      <c r="M6897" t="s">
        <v>38</v>
      </c>
      <c r="N6897" t="s">
        <v>1309</v>
      </c>
      <c r="O6897" t="s">
        <v>32054</v>
      </c>
      <c r="P6897" t="s">
        <v>32055</v>
      </c>
      <c r="Q6897" t="s">
        <v>32056</v>
      </c>
      <c r="R6897">
        <v>20</v>
      </c>
      <c r="S6897">
        <v>32</v>
      </c>
    </row>
    <row r="6898" spans="1:19" x14ac:dyDescent="0.35">
      <c r="A6898">
        <v>1524</v>
      </c>
      <c r="B6898" t="s">
        <v>32013</v>
      </c>
      <c r="C6898" t="s">
        <v>42</v>
      </c>
      <c r="D6898" t="s">
        <v>32057</v>
      </c>
      <c r="E6898" t="e" cm="1">
        <f t="array" ref="E6898">- SUCCUS LIQUIRITIAE. AMMONIUM CHLORIDE. GUAIFENESIN</f>
        <v>#NAME?</v>
      </c>
      <c r="F6898" t="s">
        <v>32058</v>
      </c>
      <c r="G6898" t="s">
        <v>5033</v>
      </c>
      <c r="H6898" t="s">
        <v>26608</v>
      </c>
      <c r="I6898" t="s">
        <v>26609</v>
      </c>
      <c r="J6898" t="s">
        <v>10124</v>
      </c>
      <c r="L6898" t="s">
        <v>26611</v>
      </c>
      <c r="M6898" t="s">
        <v>271</v>
      </c>
      <c r="N6898" t="s">
        <v>32016</v>
      </c>
      <c r="O6898" t="s">
        <v>26612</v>
      </c>
      <c r="P6898" t="s">
        <v>32017</v>
      </c>
      <c r="Q6898" t="s">
        <v>32018</v>
      </c>
      <c r="R6898">
        <v>20</v>
      </c>
      <c r="S6898">
        <v>32</v>
      </c>
    </row>
    <row r="6899" spans="1:19" x14ac:dyDescent="0.35">
      <c r="A6899">
        <v>1523</v>
      </c>
      <c r="B6899" t="s">
        <v>32013</v>
      </c>
      <c r="C6899" t="s">
        <v>42</v>
      </c>
      <c r="D6899" t="s">
        <v>32057</v>
      </c>
      <c r="E6899" t="e" cm="1">
        <f t="array" ref="E6899">- SUCCUS LIQUIRITIAE. AMMONIUM CHLORIDE. GUAIFENESIN</f>
        <v>#NAME?</v>
      </c>
      <c r="F6899" t="s">
        <v>32058</v>
      </c>
      <c r="G6899" t="s">
        <v>5033</v>
      </c>
      <c r="H6899" t="s">
        <v>26608</v>
      </c>
      <c r="I6899" t="s">
        <v>26609</v>
      </c>
      <c r="J6899" t="s">
        <v>10124</v>
      </c>
      <c r="L6899" t="s">
        <v>26611</v>
      </c>
      <c r="M6899" t="s">
        <v>271</v>
      </c>
      <c r="N6899" t="s">
        <v>32016</v>
      </c>
      <c r="O6899" t="s">
        <v>26612</v>
      </c>
      <c r="P6899" t="s">
        <v>32017</v>
      </c>
      <c r="Q6899" t="s">
        <v>32018</v>
      </c>
      <c r="R6899">
        <v>20</v>
      </c>
      <c r="S6899">
        <v>32</v>
      </c>
    </row>
    <row r="6900" spans="1:19" x14ac:dyDescent="0.35">
      <c r="A6900">
        <v>8763</v>
      </c>
      <c r="B6900" t="s">
        <v>2388</v>
      </c>
      <c r="C6900" t="s">
        <v>42</v>
      </c>
      <c r="D6900" t="s">
        <v>32059</v>
      </c>
      <c r="E6900" t="e" cm="1">
        <f t="array" ref="E6900">- PIOGLITAZONE HYDROCHLORIDE</f>
        <v>#NAME?</v>
      </c>
      <c r="F6900" t="s">
        <v>32060</v>
      </c>
      <c r="G6900" t="s">
        <v>6869</v>
      </c>
      <c r="H6900" t="s">
        <v>29044</v>
      </c>
      <c r="I6900" t="s">
        <v>29045</v>
      </c>
      <c r="J6900" t="s">
        <v>599</v>
      </c>
      <c r="K6900" t="s">
        <v>29046</v>
      </c>
      <c r="L6900" t="s">
        <v>29047</v>
      </c>
      <c r="M6900" t="s">
        <v>46</v>
      </c>
      <c r="N6900" t="s">
        <v>2389</v>
      </c>
      <c r="O6900" t="s">
        <v>29048</v>
      </c>
      <c r="P6900" t="s">
        <v>30642</v>
      </c>
      <c r="Q6900" t="s">
        <v>32061</v>
      </c>
      <c r="R6900">
        <v>20</v>
      </c>
      <c r="S6900">
        <v>32</v>
      </c>
    </row>
    <row r="6901" spans="1:19" x14ac:dyDescent="0.35">
      <c r="A6901">
        <v>5493</v>
      </c>
      <c r="B6901" t="s">
        <v>30151</v>
      </c>
      <c r="C6901" t="s">
        <v>42</v>
      </c>
      <c r="D6901" t="s">
        <v>30152</v>
      </c>
      <c r="E6901" t="e" cm="1">
        <f t="array" ref="E6901">- HYDROCORTISONE. OXYTETRACYCLINE HYDROCHLORIDE</f>
        <v>#NAME?</v>
      </c>
      <c r="F6901" t="s">
        <v>30153</v>
      </c>
      <c r="H6901" t="s">
        <v>30154</v>
      </c>
      <c r="I6901" t="s">
        <v>30155</v>
      </c>
      <c r="J6901" t="s">
        <v>30156</v>
      </c>
      <c r="K6901" t="s">
        <v>30157</v>
      </c>
      <c r="L6901" t="s">
        <v>30158</v>
      </c>
    </row>
    <row r="6902" spans="1:19" x14ac:dyDescent="0.35">
      <c r="A6902">
        <v>8583</v>
      </c>
      <c r="B6902" t="s">
        <v>32062</v>
      </c>
      <c r="C6902" t="s">
        <v>42</v>
      </c>
      <c r="D6902" t="s">
        <v>32063</v>
      </c>
      <c r="E6902" t="e" cm="1">
        <f t="array" ref="E6902">- LINAGLIPTIN</f>
        <v>#NAME?</v>
      </c>
      <c r="F6902" t="s">
        <v>32064</v>
      </c>
      <c r="G6902" t="s">
        <v>32065</v>
      </c>
      <c r="H6902" t="s">
        <v>32066</v>
      </c>
      <c r="I6902" t="s">
        <v>32067</v>
      </c>
      <c r="J6902" t="s">
        <v>2100</v>
      </c>
      <c r="K6902" t="s">
        <v>22423</v>
      </c>
      <c r="L6902" t="s">
        <v>32068</v>
      </c>
      <c r="M6902" t="s">
        <v>46</v>
      </c>
      <c r="N6902" t="s">
        <v>32069</v>
      </c>
      <c r="O6902" t="s">
        <v>32070</v>
      </c>
      <c r="P6902" t="s">
        <v>32071</v>
      </c>
      <c r="Q6902" t="s">
        <v>32072</v>
      </c>
      <c r="R6902">
        <v>20</v>
      </c>
      <c r="S6902">
        <v>32</v>
      </c>
    </row>
    <row r="6903" spans="1:19" x14ac:dyDescent="0.35">
      <c r="A6903">
        <v>3105</v>
      </c>
      <c r="B6903" t="s">
        <v>32073</v>
      </c>
      <c r="C6903" t="s">
        <v>42</v>
      </c>
      <c r="D6903" t="s">
        <v>32074</v>
      </c>
      <c r="E6903" t="e" cm="1">
        <f t="array" ref="E6903">- KOMBINASI-LANSOPRAZOLE PELLETS</f>
        <v>#NAME?</v>
      </c>
      <c r="F6903" t="s">
        <v>32075</v>
      </c>
      <c r="G6903" t="s">
        <v>11823</v>
      </c>
      <c r="H6903" t="s">
        <v>4222</v>
      </c>
      <c r="I6903" t="s">
        <v>31596</v>
      </c>
      <c r="J6903" t="s">
        <v>1181</v>
      </c>
      <c r="K6903" t="s">
        <v>31597</v>
      </c>
      <c r="L6903" t="s">
        <v>31598</v>
      </c>
    </row>
    <row r="6904" spans="1:19" x14ac:dyDescent="0.35">
      <c r="A6904">
        <v>3153</v>
      </c>
      <c r="B6904" t="s">
        <v>32076</v>
      </c>
      <c r="C6904" t="s">
        <v>42</v>
      </c>
      <c r="D6904" t="s">
        <v>32077</v>
      </c>
      <c r="E6904" t="e" cm="1">
        <f t="array" ref="E6904">- MAGNESIUM HYDROXIDE. DRIED ALUMINIUM HYDROXIDE GEL. SIMETHICONE</f>
        <v>#NAME?</v>
      </c>
      <c r="F6904" t="s">
        <v>32078</v>
      </c>
      <c r="G6904" t="s">
        <v>32079</v>
      </c>
      <c r="H6904" t="s">
        <v>29822</v>
      </c>
      <c r="I6904" t="s">
        <v>32080</v>
      </c>
      <c r="J6904" t="s">
        <v>32081</v>
      </c>
      <c r="K6904" t="s">
        <v>2858</v>
      </c>
      <c r="L6904" t="s">
        <v>32082</v>
      </c>
      <c r="M6904" t="s">
        <v>46</v>
      </c>
      <c r="N6904" t="s">
        <v>10805</v>
      </c>
      <c r="O6904" t="s">
        <v>32083</v>
      </c>
      <c r="P6904" t="s">
        <v>32084</v>
      </c>
      <c r="Q6904" t="s">
        <v>32085</v>
      </c>
      <c r="R6904">
        <v>20</v>
      </c>
      <c r="S6904">
        <v>32</v>
      </c>
    </row>
    <row r="6905" spans="1:19" x14ac:dyDescent="0.35">
      <c r="A6905">
        <v>3106</v>
      </c>
      <c r="B6905" t="s">
        <v>32073</v>
      </c>
      <c r="C6905" t="s">
        <v>42</v>
      </c>
      <c r="D6905" t="s">
        <v>32074</v>
      </c>
      <c r="E6905" t="e" cm="1">
        <f t="array" ref="E6905">- KOMBINASI-LANSOPRAZOLE PELLETS</f>
        <v>#NAME?</v>
      </c>
      <c r="F6905" t="s">
        <v>32075</v>
      </c>
      <c r="G6905" t="s">
        <v>11823</v>
      </c>
      <c r="H6905" t="s">
        <v>4222</v>
      </c>
      <c r="I6905" t="s">
        <v>31596</v>
      </c>
      <c r="J6905" t="s">
        <v>1181</v>
      </c>
      <c r="K6905" t="s">
        <v>31597</v>
      </c>
      <c r="L6905" t="s">
        <v>31598</v>
      </c>
    </row>
    <row r="6906" spans="1:19" x14ac:dyDescent="0.35">
      <c r="A6906">
        <v>3139</v>
      </c>
      <c r="B6906" t="s">
        <v>32086</v>
      </c>
      <c r="C6906" t="s">
        <v>42</v>
      </c>
      <c r="D6906" t="s">
        <v>32087</v>
      </c>
      <c r="E6906" t="e" cm="1">
        <f t="array" ref="E6906">- DRIED ALUMINIUM HYDROXIDE GEL</f>
        <v>#NAME?</v>
      </c>
      <c r="F6906" t="s">
        <v>32088</v>
      </c>
      <c r="G6906" t="s">
        <v>32089</v>
      </c>
      <c r="H6906" t="s">
        <v>32090</v>
      </c>
      <c r="I6906" t="s">
        <v>32091</v>
      </c>
      <c r="J6906" t="s">
        <v>32092</v>
      </c>
      <c r="K6906" t="s">
        <v>32093</v>
      </c>
      <c r="L6906" t="s">
        <v>32094</v>
      </c>
      <c r="M6906" t="s">
        <v>46</v>
      </c>
      <c r="N6906" t="s">
        <v>4172</v>
      </c>
      <c r="O6906" t="s">
        <v>32095</v>
      </c>
      <c r="P6906" t="s">
        <v>32096</v>
      </c>
      <c r="Q6906" t="s">
        <v>32097</v>
      </c>
      <c r="R6906">
        <v>20</v>
      </c>
      <c r="S6906">
        <v>32</v>
      </c>
    </row>
    <row r="6907" spans="1:19" x14ac:dyDescent="0.35">
      <c r="A6907">
        <v>3135</v>
      </c>
      <c r="B6907" t="s">
        <v>32086</v>
      </c>
      <c r="C6907" t="s">
        <v>42</v>
      </c>
      <c r="D6907" t="s">
        <v>32098</v>
      </c>
      <c r="E6907" t="e" cm="1">
        <f t="array" ref="E6907">- DRIED ALUMINIUM HYDROXIDE GEL</f>
        <v>#NAME?</v>
      </c>
      <c r="F6907" s="1">
        <v>19000</v>
      </c>
      <c r="G6907" t="s">
        <v>32089</v>
      </c>
      <c r="H6907" t="s">
        <v>32090</v>
      </c>
      <c r="I6907" t="s">
        <v>32099</v>
      </c>
      <c r="J6907" t="s">
        <v>8495</v>
      </c>
      <c r="K6907" t="s">
        <v>32100</v>
      </c>
      <c r="M6907" t="s">
        <v>46</v>
      </c>
      <c r="N6907" t="s">
        <v>4172</v>
      </c>
      <c r="O6907" t="s">
        <v>32095</v>
      </c>
      <c r="P6907" t="s">
        <v>32096</v>
      </c>
      <c r="Q6907" t="s">
        <v>32097</v>
      </c>
      <c r="R6907">
        <v>20</v>
      </c>
      <c r="S6907">
        <v>32</v>
      </c>
    </row>
    <row r="6908" spans="1:19" x14ac:dyDescent="0.35">
      <c r="A6908">
        <v>956</v>
      </c>
      <c r="B6908" t="s">
        <v>32101</v>
      </c>
      <c r="C6908" t="s">
        <v>42</v>
      </c>
      <c r="D6908" t="s">
        <v>32102</v>
      </c>
      <c r="E6908" t="e" cm="1">
        <f t="array" ref="E6908">- PSEUDOEPHEDRINE HYDROCHLORIDE</f>
        <v>#NAME?</v>
      </c>
      <c r="F6908" t="s">
        <v>25890</v>
      </c>
      <c r="G6908" t="s">
        <v>5233</v>
      </c>
      <c r="H6908" t="s">
        <v>269</v>
      </c>
      <c r="I6908" t="s">
        <v>32103</v>
      </c>
      <c r="J6908" t="s">
        <v>727</v>
      </c>
      <c r="K6908" t="s">
        <v>32104</v>
      </c>
      <c r="L6908" t="s">
        <v>321</v>
      </c>
      <c r="M6908" t="s">
        <v>291</v>
      </c>
      <c r="N6908" t="s">
        <v>8326</v>
      </c>
      <c r="O6908" t="s">
        <v>32105</v>
      </c>
      <c r="P6908" t="s">
        <v>17921</v>
      </c>
      <c r="Q6908" t="s">
        <v>32106</v>
      </c>
      <c r="R6908">
        <v>20</v>
      </c>
      <c r="S6908">
        <v>32</v>
      </c>
    </row>
    <row r="6909" spans="1:19" x14ac:dyDescent="0.35">
      <c r="A6909">
        <v>8770</v>
      </c>
      <c r="B6909" t="s">
        <v>2388</v>
      </c>
      <c r="C6909" t="s">
        <v>42</v>
      </c>
      <c r="D6909" t="s">
        <v>32107</v>
      </c>
      <c r="E6909" t="e" cm="1">
        <f t="array" ref="E6909">- PIOGLITAZONE HYDROCHLORIDE</f>
        <v>#NAME?</v>
      </c>
      <c r="F6909" t="s">
        <v>32108</v>
      </c>
      <c r="G6909" t="s">
        <v>16042</v>
      </c>
      <c r="H6909" t="s">
        <v>1322</v>
      </c>
      <c r="I6909" t="s">
        <v>32109</v>
      </c>
      <c r="J6909" t="s">
        <v>32110</v>
      </c>
      <c r="L6909" t="s">
        <v>16045</v>
      </c>
      <c r="M6909" t="s">
        <v>46</v>
      </c>
      <c r="N6909" t="s">
        <v>2389</v>
      </c>
      <c r="O6909" t="s">
        <v>32111</v>
      </c>
      <c r="P6909" t="s">
        <v>32112</v>
      </c>
      <c r="Q6909" t="s">
        <v>32113</v>
      </c>
      <c r="R6909">
        <v>20</v>
      </c>
      <c r="S6909">
        <v>32</v>
      </c>
    </row>
    <row r="6910" spans="1:19" x14ac:dyDescent="0.35">
      <c r="A6910">
        <v>5503</v>
      </c>
      <c r="B6910" t="s">
        <v>24087</v>
      </c>
      <c r="C6910" t="s">
        <v>42</v>
      </c>
      <c r="D6910" t="s">
        <v>24088</v>
      </c>
      <c r="E6910" t="e" cm="1">
        <f t="array" ref="E6910">- BACITRACIN ZINC. POLYMYXIN B SULFATE. NEOMYCIN SULFATE</f>
        <v>#NAME?</v>
      </c>
      <c r="F6910" t="s">
        <v>24089</v>
      </c>
      <c r="G6910" t="s">
        <v>24090</v>
      </c>
      <c r="H6910" t="s">
        <v>24091</v>
      </c>
      <c r="I6910" t="s">
        <v>24092</v>
      </c>
      <c r="J6910" t="s">
        <v>7213</v>
      </c>
      <c r="K6910" t="s">
        <v>3952</v>
      </c>
      <c r="L6910" t="s">
        <v>24093</v>
      </c>
      <c r="M6910" t="s">
        <v>1029</v>
      </c>
      <c r="N6910" t="s">
        <v>32114</v>
      </c>
      <c r="O6910" t="s">
        <v>24094</v>
      </c>
      <c r="P6910" t="s">
        <v>24095</v>
      </c>
      <c r="Q6910" t="s">
        <v>32115</v>
      </c>
      <c r="R6910">
        <v>20</v>
      </c>
      <c r="S6910">
        <v>32</v>
      </c>
    </row>
    <row r="6911" spans="1:19" x14ac:dyDescent="0.35">
      <c r="A6911">
        <v>8584</v>
      </c>
      <c r="B6911" t="s">
        <v>32062</v>
      </c>
      <c r="C6911" t="s">
        <v>42</v>
      </c>
      <c r="D6911" t="s">
        <v>32063</v>
      </c>
      <c r="E6911" t="e" cm="1">
        <f t="array" ref="E6911">- LINAGLIPTIN</f>
        <v>#NAME?</v>
      </c>
      <c r="F6911" t="s">
        <v>32064</v>
      </c>
      <c r="G6911" t="s">
        <v>32065</v>
      </c>
      <c r="H6911" t="s">
        <v>32066</v>
      </c>
      <c r="I6911" t="s">
        <v>32067</v>
      </c>
      <c r="J6911" t="s">
        <v>2100</v>
      </c>
      <c r="K6911" t="s">
        <v>22423</v>
      </c>
      <c r="L6911" t="s">
        <v>32068</v>
      </c>
      <c r="M6911" t="s">
        <v>46</v>
      </c>
      <c r="N6911" t="s">
        <v>32069</v>
      </c>
      <c r="O6911" t="s">
        <v>32070</v>
      </c>
      <c r="P6911" t="s">
        <v>32071</v>
      </c>
      <c r="Q6911" t="s">
        <v>32072</v>
      </c>
      <c r="R6911">
        <v>20</v>
      </c>
      <c r="S6911">
        <v>32</v>
      </c>
    </row>
    <row r="6912" spans="1:19" x14ac:dyDescent="0.35">
      <c r="A6912">
        <v>3198</v>
      </c>
      <c r="B6912" t="s">
        <v>15915</v>
      </c>
      <c r="C6912" t="s">
        <v>42</v>
      </c>
      <c r="D6912" t="s">
        <v>32116</v>
      </c>
      <c r="E6912" t="e" cm="1">
        <f t="array" ref="E6912">- LANSOPRAZOLE</f>
        <v>#NAME?</v>
      </c>
      <c r="F6912" t="s">
        <v>32117</v>
      </c>
      <c r="G6912" t="s">
        <v>11823</v>
      </c>
      <c r="H6912" t="s">
        <v>4222</v>
      </c>
      <c r="I6912" t="s">
        <v>31596</v>
      </c>
      <c r="J6912" t="s">
        <v>15918</v>
      </c>
      <c r="K6912" t="s">
        <v>31597</v>
      </c>
      <c r="L6912" t="s">
        <v>31598</v>
      </c>
    </row>
    <row r="6913" spans="1:19" x14ac:dyDescent="0.35">
      <c r="A6913">
        <v>3221</v>
      </c>
      <c r="B6913" t="s">
        <v>32118</v>
      </c>
      <c r="C6913" t="s">
        <v>42</v>
      </c>
      <c r="D6913" t="s">
        <v>32119</v>
      </c>
      <c r="E6913" t="e" cm="1">
        <f t="array" ref="E6913">- DRIED ALUMINIUM HYDROXIDE GEL</f>
        <v>#NAME?</v>
      </c>
      <c r="F6913" t="s">
        <v>32120</v>
      </c>
      <c r="G6913" t="s">
        <v>32121</v>
      </c>
      <c r="H6913" t="s">
        <v>32122</v>
      </c>
    </row>
    <row r="6914" spans="1:19" x14ac:dyDescent="0.35">
      <c r="A6914">
        <v>7346</v>
      </c>
      <c r="B6914" t="s">
        <v>32123</v>
      </c>
      <c r="C6914" t="s">
        <v>42</v>
      </c>
      <c r="D6914" t="s">
        <v>32124</v>
      </c>
      <c r="E6914" t="e" cm="1">
        <f t="array" ref="E6914">- POVIDONE-IODINE</f>
        <v>#NAME?</v>
      </c>
      <c r="F6914" t="s">
        <v>32125</v>
      </c>
      <c r="G6914" t="s">
        <v>32126</v>
      </c>
      <c r="H6914" t="s">
        <v>32127</v>
      </c>
      <c r="I6914" t="s">
        <v>32128</v>
      </c>
      <c r="J6914" t="s">
        <v>32129</v>
      </c>
      <c r="K6914" t="s">
        <v>32130</v>
      </c>
      <c r="L6914" t="s">
        <v>32131</v>
      </c>
      <c r="M6914" t="s">
        <v>554</v>
      </c>
      <c r="N6914" t="s">
        <v>555</v>
      </c>
      <c r="O6914" t="s">
        <v>32132</v>
      </c>
      <c r="P6914" t="s">
        <v>32133</v>
      </c>
      <c r="Q6914" t="s">
        <v>32134</v>
      </c>
      <c r="R6914">
        <v>20</v>
      </c>
      <c r="S6914">
        <v>32</v>
      </c>
    </row>
    <row r="6915" spans="1:19" x14ac:dyDescent="0.35">
      <c r="A6915">
        <v>7345</v>
      </c>
      <c r="B6915" t="s">
        <v>32123</v>
      </c>
      <c r="C6915" t="s">
        <v>42</v>
      </c>
      <c r="D6915" t="s">
        <v>32124</v>
      </c>
      <c r="E6915" t="e" cm="1">
        <f t="array" ref="E6915">- POVIDONE-IODINE</f>
        <v>#NAME?</v>
      </c>
      <c r="F6915" t="s">
        <v>32125</v>
      </c>
      <c r="G6915" t="s">
        <v>32126</v>
      </c>
      <c r="H6915" t="s">
        <v>32127</v>
      </c>
      <c r="I6915" t="s">
        <v>32128</v>
      </c>
      <c r="J6915" t="s">
        <v>32129</v>
      </c>
      <c r="K6915" t="s">
        <v>32130</v>
      </c>
      <c r="L6915" t="s">
        <v>32131</v>
      </c>
      <c r="M6915" t="s">
        <v>554</v>
      </c>
      <c r="N6915" t="s">
        <v>555</v>
      </c>
      <c r="O6915" t="s">
        <v>32132</v>
      </c>
      <c r="P6915" t="s">
        <v>32133</v>
      </c>
      <c r="Q6915" t="s">
        <v>32134</v>
      </c>
      <c r="R6915">
        <v>20</v>
      </c>
      <c r="S6915">
        <v>32</v>
      </c>
    </row>
    <row r="6916" spans="1:19" x14ac:dyDescent="0.35">
      <c r="A6916">
        <v>7344</v>
      </c>
      <c r="B6916" t="s">
        <v>32123</v>
      </c>
      <c r="C6916" t="s">
        <v>42</v>
      </c>
      <c r="D6916" t="s">
        <v>32124</v>
      </c>
      <c r="E6916" t="e" cm="1">
        <f t="array" ref="E6916">- POVIDONE-IODINE</f>
        <v>#NAME?</v>
      </c>
      <c r="F6916" t="s">
        <v>32125</v>
      </c>
      <c r="G6916" t="s">
        <v>32126</v>
      </c>
      <c r="H6916" t="s">
        <v>32127</v>
      </c>
      <c r="I6916" t="s">
        <v>32128</v>
      </c>
      <c r="J6916" t="s">
        <v>32129</v>
      </c>
      <c r="K6916" t="s">
        <v>32130</v>
      </c>
      <c r="L6916" t="s">
        <v>32131</v>
      </c>
      <c r="M6916" t="s">
        <v>554</v>
      </c>
      <c r="N6916" t="s">
        <v>555</v>
      </c>
      <c r="O6916" t="s">
        <v>32132</v>
      </c>
      <c r="P6916" t="s">
        <v>32133</v>
      </c>
      <c r="Q6916" t="s">
        <v>32134</v>
      </c>
      <c r="R6916">
        <v>20</v>
      </c>
      <c r="S6916">
        <v>32</v>
      </c>
    </row>
    <row r="6917" spans="1:19" x14ac:dyDescent="0.35">
      <c r="A6917">
        <v>7343</v>
      </c>
      <c r="B6917" t="s">
        <v>32123</v>
      </c>
      <c r="C6917" t="s">
        <v>42</v>
      </c>
      <c r="D6917" t="s">
        <v>32124</v>
      </c>
      <c r="E6917" t="e" cm="1">
        <f t="array" ref="E6917">- POVIDONE-IODINE</f>
        <v>#NAME?</v>
      </c>
      <c r="F6917" t="s">
        <v>32125</v>
      </c>
      <c r="G6917" t="s">
        <v>32126</v>
      </c>
      <c r="H6917" t="s">
        <v>32127</v>
      </c>
      <c r="I6917" t="s">
        <v>32128</v>
      </c>
      <c r="J6917" t="s">
        <v>32129</v>
      </c>
      <c r="K6917" t="s">
        <v>32130</v>
      </c>
      <c r="L6917" t="s">
        <v>32131</v>
      </c>
      <c r="M6917" t="s">
        <v>554</v>
      </c>
      <c r="N6917" t="s">
        <v>555</v>
      </c>
      <c r="O6917" t="s">
        <v>32132</v>
      </c>
      <c r="P6917" t="s">
        <v>32133</v>
      </c>
      <c r="Q6917" t="s">
        <v>32134</v>
      </c>
      <c r="R6917">
        <v>20</v>
      </c>
      <c r="S6917">
        <v>32</v>
      </c>
    </row>
    <row r="6918" spans="1:19" x14ac:dyDescent="0.35">
      <c r="A6918">
        <v>6557</v>
      </c>
      <c r="B6918" t="s">
        <v>32135</v>
      </c>
      <c r="C6918" t="s">
        <v>42</v>
      </c>
      <c r="D6918" t="s">
        <v>32136</v>
      </c>
      <c r="E6918" t="e" cm="1">
        <f t="array" ref="E6918">- FLUCONAZOLE</f>
        <v>#NAME?</v>
      </c>
      <c r="F6918" s="1">
        <v>53900</v>
      </c>
      <c r="G6918" t="s">
        <v>2734</v>
      </c>
      <c r="H6918" t="s">
        <v>32137</v>
      </c>
      <c r="I6918" t="s">
        <v>32138</v>
      </c>
      <c r="J6918" t="s">
        <v>17853</v>
      </c>
      <c r="K6918" t="s">
        <v>2726</v>
      </c>
      <c r="L6918" t="s">
        <v>32139</v>
      </c>
      <c r="M6918" t="s">
        <v>38</v>
      </c>
      <c r="N6918" t="s">
        <v>7992</v>
      </c>
      <c r="O6918" t="s">
        <v>32140</v>
      </c>
      <c r="P6918" t="s">
        <v>32141</v>
      </c>
      <c r="Q6918" t="s">
        <v>32142</v>
      </c>
      <c r="R6918">
        <v>20</v>
      </c>
      <c r="S6918">
        <v>32</v>
      </c>
    </row>
    <row r="6919" spans="1:19" x14ac:dyDescent="0.35">
      <c r="A6919">
        <v>6556</v>
      </c>
      <c r="B6919" t="s">
        <v>32135</v>
      </c>
      <c r="C6919" t="s">
        <v>42</v>
      </c>
      <c r="D6919" t="s">
        <v>32136</v>
      </c>
      <c r="E6919" t="e" cm="1">
        <f t="array" ref="E6919">- FLUCONAZOLE</f>
        <v>#NAME?</v>
      </c>
      <c r="F6919" s="1">
        <v>53900</v>
      </c>
      <c r="G6919" t="s">
        <v>2734</v>
      </c>
      <c r="H6919" t="s">
        <v>32137</v>
      </c>
      <c r="I6919" t="s">
        <v>32138</v>
      </c>
      <c r="J6919" t="s">
        <v>17853</v>
      </c>
      <c r="K6919" t="s">
        <v>2726</v>
      </c>
      <c r="L6919" t="s">
        <v>32139</v>
      </c>
      <c r="M6919" t="s">
        <v>38</v>
      </c>
      <c r="N6919" t="s">
        <v>7992</v>
      </c>
      <c r="O6919" t="s">
        <v>32140</v>
      </c>
      <c r="P6919" t="s">
        <v>32141</v>
      </c>
      <c r="Q6919" t="s">
        <v>32142</v>
      </c>
      <c r="R6919">
        <v>20</v>
      </c>
      <c r="S6919">
        <v>32</v>
      </c>
    </row>
    <row r="6920" spans="1:19" x14ac:dyDescent="0.35">
      <c r="A6920">
        <v>3371</v>
      </c>
      <c r="B6920" t="s">
        <v>32143</v>
      </c>
      <c r="C6920" t="s">
        <v>42</v>
      </c>
      <c r="D6920" t="s">
        <v>32144</v>
      </c>
      <c r="E6920" t="e" cm="1">
        <f t="array" ref="E6920">- ALUMINIUM HYDROXIDE</f>
        <v>#NAME?</v>
      </c>
      <c r="F6920" t="s">
        <v>32145</v>
      </c>
      <c r="G6920" t="s">
        <v>29813</v>
      </c>
      <c r="H6920" t="s">
        <v>32146</v>
      </c>
      <c r="I6920" t="s">
        <v>32147</v>
      </c>
      <c r="J6920" t="s">
        <v>32148</v>
      </c>
      <c r="K6920" t="s">
        <v>32149</v>
      </c>
      <c r="L6920" t="s">
        <v>32150</v>
      </c>
      <c r="M6920" t="s">
        <v>340</v>
      </c>
      <c r="N6920" t="s">
        <v>1771</v>
      </c>
      <c r="O6920" t="s">
        <v>32151</v>
      </c>
      <c r="P6920" t="s">
        <v>32152</v>
      </c>
      <c r="Q6920" t="s">
        <v>32153</v>
      </c>
      <c r="R6920">
        <v>20</v>
      </c>
      <c r="S6920">
        <v>32</v>
      </c>
    </row>
    <row r="6921" spans="1:19" x14ac:dyDescent="0.35">
      <c r="A6921">
        <v>3370</v>
      </c>
      <c r="B6921" t="s">
        <v>32143</v>
      </c>
      <c r="C6921" t="s">
        <v>42</v>
      </c>
      <c r="D6921" t="s">
        <v>32144</v>
      </c>
      <c r="E6921" t="e" cm="1">
        <f t="array" ref="E6921">- ALUMINIUM HYDROXIDE</f>
        <v>#NAME?</v>
      </c>
      <c r="F6921" t="s">
        <v>32145</v>
      </c>
      <c r="G6921" t="s">
        <v>29813</v>
      </c>
      <c r="H6921" t="s">
        <v>32146</v>
      </c>
      <c r="I6921" t="s">
        <v>32147</v>
      </c>
      <c r="J6921" t="s">
        <v>32148</v>
      </c>
      <c r="K6921" t="s">
        <v>32149</v>
      </c>
      <c r="L6921" t="s">
        <v>32150</v>
      </c>
      <c r="M6921" t="s">
        <v>340</v>
      </c>
      <c r="N6921" t="s">
        <v>1771</v>
      </c>
      <c r="O6921" t="s">
        <v>32151</v>
      </c>
      <c r="P6921" t="s">
        <v>32152</v>
      </c>
      <c r="Q6921" t="s">
        <v>32153</v>
      </c>
      <c r="R6921">
        <v>20</v>
      </c>
      <c r="S6921">
        <v>32</v>
      </c>
    </row>
    <row r="6922" spans="1:19" x14ac:dyDescent="0.35">
      <c r="A6922">
        <v>3369</v>
      </c>
      <c r="B6922" t="s">
        <v>32143</v>
      </c>
      <c r="C6922" t="s">
        <v>42</v>
      </c>
      <c r="D6922" t="s">
        <v>32154</v>
      </c>
      <c r="E6922" t="e" cm="1">
        <f t="array" ref="E6922">- ALUMINIUM HYDROXIDE</f>
        <v>#NAME?</v>
      </c>
      <c r="F6922" t="s">
        <v>32155</v>
      </c>
      <c r="G6922" t="s">
        <v>32156</v>
      </c>
      <c r="H6922" t="s">
        <v>32146</v>
      </c>
      <c r="I6922" t="s">
        <v>32147</v>
      </c>
      <c r="J6922" t="s">
        <v>614</v>
      </c>
      <c r="K6922" t="s">
        <v>32149</v>
      </c>
      <c r="L6922" t="s">
        <v>32157</v>
      </c>
      <c r="M6922" t="s">
        <v>340</v>
      </c>
      <c r="N6922" t="s">
        <v>1771</v>
      </c>
      <c r="O6922" t="s">
        <v>32151</v>
      </c>
      <c r="P6922" t="s">
        <v>32152</v>
      </c>
      <c r="Q6922" t="s">
        <v>32153</v>
      </c>
      <c r="R6922">
        <v>20</v>
      </c>
      <c r="S6922">
        <v>32</v>
      </c>
    </row>
    <row r="6923" spans="1:19" x14ac:dyDescent="0.35">
      <c r="A6923">
        <v>3368</v>
      </c>
      <c r="B6923" t="s">
        <v>32143</v>
      </c>
      <c r="C6923" t="s">
        <v>42</v>
      </c>
      <c r="D6923" t="s">
        <v>32154</v>
      </c>
      <c r="E6923" t="e" cm="1">
        <f t="array" ref="E6923">- ALUMINIUM HYDROXIDE</f>
        <v>#NAME?</v>
      </c>
      <c r="F6923" t="s">
        <v>32155</v>
      </c>
      <c r="G6923" t="s">
        <v>32156</v>
      </c>
      <c r="H6923" t="s">
        <v>32146</v>
      </c>
      <c r="I6923" t="s">
        <v>32147</v>
      </c>
      <c r="J6923" t="s">
        <v>614</v>
      </c>
      <c r="K6923" t="s">
        <v>32149</v>
      </c>
      <c r="L6923" t="s">
        <v>32157</v>
      </c>
      <c r="M6923" t="s">
        <v>340</v>
      </c>
      <c r="N6923" t="s">
        <v>1771</v>
      </c>
      <c r="O6923" t="s">
        <v>32151</v>
      </c>
      <c r="P6923" t="s">
        <v>32152</v>
      </c>
      <c r="Q6923" t="s">
        <v>32153</v>
      </c>
      <c r="R6923">
        <v>20</v>
      </c>
      <c r="S6923">
        <v>32</v>
      </c>
    </row>
    <row r="6924" spans="1:19" x14ac:dyDescent="0.35">
      <c r="A6924">
        <v>3197</v>
      </c>
      <c r="B6924" t="s">
        <v>15915</v>
      </c>
      <c r="C6924" t="s">
        <v>42</v>
      </c>
      <c r="D6924" t="s">
        <v>32116</v>
      </c>
      <c r="E6924" t="e" cm="1">
        <f t="array" ref="E6924">- LANSOPRAZOLE</f>
        <v>#NAME?</v>
      </c>
      <c r="F6924" t="s">
        <v>32117</v>
      </c>
      <c r="G6924" t="s">
        <v>11823</v>
      </c>
      <c r="H6924" t="s">
        <v>4222</v>
      </c>
      <c r="I6924" t="s">
        <v>31596</v>
      </c>
      <c r="J6924" t="s">
        <v>15918</v>
      </c>
      <c r="K6924" t="s">
        <v>31597</v>
      </c>
      <c r="L6924" t="s">
        <v>31598</v>
      </c>
    </row>
    <row r="6925" spans="1:19" x14ac:dyDescent="0.35">
      <c r="A6925">
        <v>3367</v>
      </c>
      <c r="B6925" t="s">
        <v>32143</v>
      </c>
      <c r="C6925" t="s">
        <v>42</v>
      </c>
      <c r="D6925" t="s">
        <v>32158</v>
      </c>
      <c r="E6925" t="e" cm="1">
        <f t="array" ref="E6925">- ALUMINIUM HYDROXIDE</f>
        <v>#NAME?</v>
      </c>
      <c r="F6925" t="s">
        <v>32159</v>
      </c>
      <c r="G6925" t="s">
        <v>32156</v>
      </c>
      <c r="H6925" t="s">
        <v>32160</v>
      </c>
      <c r="I6925" t="s">
        <v>32147</v>
      </c>
      <c r="J6925" t="s">
        <v>11903</v>
      </c>
      <c r="K6925" t="s">
        <v>32149</v>
      </c>
      <c r="L6925" t="s">
        <v>32157</v>
      </c>
      <c r="M6925" t="s">
        <v>340</v>
      </c>
      <c r="N6925" t="s">
        <v>1771</v>
      </c>
      <c r="O6925" t="s">
        <v>32151</v>
      </c>
      <c r="P6925" t="s">
        <v>32152</v>
      </c>
      <c r="Q6925" t="s">
        <v>32153</v>
      </c>
      <c r="R6925">
        <v>20</v>
      </c>
      <c r="S6925">
        <v>32</v>
      </c>
    </row>
    <row r="6926" spans="1:19" x14ac:dyDescent="0.35">
      <c r="A6926">
        <v>3361</v>
      </c>
      <c r="B6926" t="s">
        <v>32161</v>
      </c>
      <c r="C6926" t="s">
        <v>42</v>
      </c>
      <c r="D6926" t="s">
        <v>32162</v>
      </c>
      <c r="E6926" t="e" cm="1">
        <f t="array" ref="E6926">- PANTOPRAZOLE</f>
        <v>#NAME?</v>
      </c>
      <c r="F6926" t="s">
        <v>32163</v>
      </c>
      <c r="G6926" t="s">
        <v>25424</v>
      </c>
      <c r="H6926" t="s">
        <v>32164</v>
      </c>
      <c r="I6926" t="s">
        <v>32165</v>
      </c>
    </row>
    <row r="6927" spans="1:19" x14ac:dyDescent="0.35">
      <c r="A6927">
        <v>6544</v>
      </c>
      <c r="B6927" t="s">
        <v>32166</v>
      </c>
      <c r="C6927" t="s">
        <v>42</v>
      </c>
      <c r="D6927" t="s">
        <v>32167</v>
      </c>
      <c r="E6927" t="e" cm="1">
        <f t="array" ref="E6927">- FLUCONAZOLE</f>
        <v>#NAME?</v>
      </c>
      <c r="F6927" s="1">
        <v>190000</v>
      </c>
      <c r="G6927" t="s">
        <v>2734</v>
      </c>
      <c r="H6927" t="s">
        <v>32137</v>
      </c>
      <c r="I6927" t="s">
        <v>32168</v>
      </c>
      <c r="J6927" t="s">
        <v>32169</v>
      </c>
      <c r="K6927" t="s">
        <v>2726</v>
      </c>
      <c r="L6927" t="s">
        <v>32170</v>
      </c>
      <c r="M6927" t="s">
        <v>38</v>
      </c>
      <c r="N6927" t="s">
        <v>7992</v>
      </c>
      <c r="O6927" t="s">
        <v>32140</v>
      </c>
      <c r="P6927" t="s">
        <v>32141</v>
      </c>
      <c r="Q6927" t="s">
        <v>32142</v>
      </c>
      <c r="R6927">
        <v>20</v>
      </c>
      <c r="S6927">
        <v>32</v>
      </c>
    </row>
    <row r="6928" spans="1:19" x14ac:dyDescent="0.35">
      <c r="A6928">
        <v>6543</v>
      </c>
      <c r="B6928" t="s">
        <v>32166</v>
      </c>
      <c r="C6928" t="s">
        <v>42</v>
      </c>
      <c r="D6928" t="s">
        <v>32167</v>
      </c>
      <c r="E6928" t="e" cm="1">
        <f t="array" ref="E6928">- FLUCONAZOLE</f>
        <v>#NAME?</v>
      </c>
      <c r="F6928" s="1">
        <v>190000</v>
      </c>
      <c r="G6928" t="s">
        <v>2734</v>
      </c>
      <c r="H6928" t="s">
        <v>32137</v>
      </c>
      <c r="I6928" t="s">
        <v>32168</v>
      </c>
      <c r="J6928" t="s">
        <v>32169</v>
      </c>
      <c r="K6928" t="s">
        <v>2726</v>
      </c>
      <c r="L6928" t="s">
        <v>32170</v>
      </c>
      <c r="M6928" t="s">
        <v>38</v>
      </c>
      <c r="N6928" t="s">
        <v>7992</v>
      </c>
      <c r="O6928" t="s">
        <v>32140</v>
      </c>
      <c r="P6928" t="s">
        <v>32141</v>
      </c>
      <c r="Q6928" t="s">
        <v>32142</v>
      </c>
      <c r="R6928">
        <v>20</v>
      </c>
      <c r="S6928">
        <v>32</v>
      </c>
    </row>
    <row r="6929" spans="1:19" x14ac:dyDescent="0.35">
      <c r="A6929">
        <v>6119</v>
      </c>
      <c r="B6929" t="s">
        <v>32171</v>
      </c>
      <c r="C6929" t="s">
        <v>42</v>
      </c>
      <c r="D6929" t="s">
        <v>32172</v>
      </c>
      <c r="E6929" t="e" cm="1">
        <f t="array" ref="E6929">- CHLORAMPHENICOL</f>
        <v>#NAME?</v>
      </c>
      <c r="F6929" t="s">
        <v>32173</v>
      </c>
      <c r="G6929" t="s">
        <v>5568</v>
      </c>
      <c r="H6929" t="s">
        <v>32174</v>
      </c>
      <c r="I6929" t="s">
        <v>32175</v>
      </c>
    </row>
    <row r="6930" spans="1:19" x14ac:dyDescent="0.35">
      <c r="A6930">
        <v>2576</v>
      </c>
      <c r="B6930" t="s">
        <v>32176</v>
      </c>
      <c r="C6930" t="s">
        <v>42</v>
      </c>
      <c r="D6930" t="s">
        <v>32177</v>
      </c>
      <c r="E6930" t="e" cm="1">
        <f t="array" ref="E6930">- MEFENAMIC ACID</f>
        <v>#NAME?</v>
      </c>
      <c r="F6930" t="s">
        <v>32178</v>
      </c>
      <c r="G6930" t="s">
        <v>2241</v>
      </c>
      <c r="I6930" t="s">
        <v>32179</v>
      </c>
      <c r="J6930" t="s">
        <v>1578</v>
      </c>
      <c r="L6930" t="s">
        <v>1308</v>
      </c>
      <c r="M6930" t="s">
        <v>291</v>
      </c>
      <c r="N6930" t="s">
        <v>2235</v>
      </c>
      <c r="O6930" t="s">
        <v>32180</v>
      </c>
      <c r="P6930" t="s">
        <v>32181</v>
      </c>
      <c r="Q6930" t="s">
        <v>32182</v>
      </c>
      <c r="R6930">
        <v>20</v>
      </c>
      <c r="S6930">
        <v>32</v>
      </c>
    </row>
    <row r="6931" spans="1:19" x14ac:dyDescent="0.35">
      <c r="A6931">
        <v>6120</v>
      </c>
      <c r="B6931" t="s">
        <v>32171</v>
      </c>
      <c r="C6931" t="s">
        <v>42</v>
      </c>
      <c r="D6931" t="s">
        <v>32172</v>
      </c>
      <c r="E6931" t="e" cm="1">
        <f t="array" ref="E6931">- CHLORAMPHENICOL</f>
        <v>#NAME?</v>
      </c>
      <c r="F6931" t="s">
        <v>32173</v>
      </c>
      <c r="G6931" t="s">
        <v>5568</v>
      </c>
      <c r="H6931" t="s">
        <v>32174</v>
      </c>
      <c r="I6931" t="s">
        <v>32175</v>
      </c>
    </row>
    <row r="6932" spans="1:19" x14ac:dyDescent="0.35">
      <c r="A6932">
        <v>6122</v>
      </c>
      <c r="B6932" t="s">
        <v>32183</v>
      </c>
      <c r="C6932" t="s">
        <v>42</v>
      </c>
      <c r="D6932" t="s">
        <v>32184</v>
      </c>
      <c r="E6932" t="e" cm="1">
        <f t="array" ref="E6932">- AMOXICILLIN TRIHYDRATE</f>
        <v>#NAME?</v>
      </c>
      <c r="F6932" t="s">
        <v>32185</v>
      </c>
      <c r="G6932" t="s">
        <v>1691</v>
      </c>
      <c r="H6932" t="s">
        <v>32186</v>
      </c>
      <c r="I6932" t="s">
        <v>32187</v>
      </c>
      <c r="J6932" t="s">
        <v>32188</v>
      </c>
      <c r="K6932" t="s">
        <v>32189</v>
      </c>
      <c r="L6932" t="s">
        <v>14289</v>
      </c>
      <c r="M6932" t="s">
        <v>271</v>
      </c>
      <c r="N6932" t="s">
        <v>1523</v>
      </c>
      <c r="O6932" t="s">
        <v>32190</v>
      </c>
      <c r="P6932" t="s">
        <v>32191</v>
      </c>
      <c r="Q6932" t="s">
        <v>32192</v>
      </c>
      <c r="R6932">
        <v>20</v>
      </c>
      <c r="S6932">
        <v>32</v>
      </c>
    </row>
    <row r="6933" spans="1:19" x14ac:dyDescent="0.35">
      <c r="A6933">
        <v>5446</v>
      </c>
      <c r="B6933" t="s">
        <v>32193</v>
      </c>
      <c r="C6933" t="s">
        <v>42</v>
      </c>
      <c r="D6933" t="s">
        <v>32194</v>
      </c>
      <c r="E6933" t="e" cm="1">
        <f t="array" ref="E6933">- GENTAMICIN SULFATE</f>
        <v>#NAME?</v>
      </c>
      <c r="F6933" s="1">
        <v>26100</v>
      </c>
      <c r="G6933" t="s">
        <v>19294</v>
      </c>
      <c r="H6933" t="s">
        <v>32195</v>
      </c>
      <c r="I6933" t="s">
        <v>32196</v>
      </c>
      <c r="J6933" t="s">
        <v>7114</v>
      </c>
      <c r="K6933" t="s">
        <v>27744</v>
      </c>
      <c r="L6933" t="s">
        <v>32197</v>
      </c>
      <c r="M6933" t="s">
        <v>1029</v>
      </c>
      <c r="N6933" t="s">
        <v>6119</v>
      </c>
      <c r="O6933" t="s">
        <v>32198</v>
      </c>
      <c r="P6933" t="s">
        <v>32199</v>
      </c>
      <c r="Q6933" t="s">
        <v>32200</v>
      </c>
      <c r="R6933">
        <v>20</v>
      </c>
      <c r="S6933">
        <v>32</v>
      </c>
    </row>
    <row r="6934" spans="1:19" x14ac:dyDescent="0.35">
      <c r="A6934">
        <v>8494</v>
      </c>
      <c r="B6934" t="s">
        <v>551</v>
      </c>
      <c r="C6934" t="s">
        <v>42</v>
      </c>
      <c r="D6934" t="s">
        <v>32201</v>
      </c>
      <c r="E6934" t="e" cm="1">
        <f t="array" ref="E6934">- POVIDONE-IODINE</f>
        <v>#NAME?</v>
      </c>
      <c r="F6934" t="s">
        <v>32202</v>
      </c>
      <c r="I6934" t="s">
        <v>32203</v>
      </c>
      <c r="J6934" t="s">
        <v>32204</v>
      </c>
      <c r="M6934" t="s">
        <v>554</v>
      </c>
      <c r="N6934" t="s">
        <v>555</v>
      </c>
      <c r="O6934" t="s">
        <v>32205</v>
      </c>
      <c r="P6934" t="s">
        <v>32206</v>
      </c>
      <c r="Q6934" t="s">
        <v>32207</v>
      </c>
      <c r="R6934">
        <v>20</v>
      </c>
      <c r="S6934">
        <v>32</v>
      </c>
    </row>
    <row r="6935" spans="1:19" x14ac:dyDescent="0.35">
      <c r="A6935">
        <v>8495</v>
      </c>
      <c r="B6935" t="s">
        <v>551</v>
      </c>
      <c r="C6935" t="s">
        <v>42</v>
      </c>
      <c r="D6935" t="s">
        <v>32201</v>
      </c>
      <c r="E6935" t="e" cm="1">
        <f t="array" ref="E6935">- POVIDONE-IODINE</f>
        <v>#NAME?</v>
      </c>
      <c r="F6935" t="s">
        <v>32202</v>
      </c>
      <c r="I6935" t="s">
        <v>32203</v>
      </c>
      <c r="J6935" t="s">
        <v>32204</v>
      </c>
      <c r="M6935" t="s">
        <v>554</v>
      </c>
      <c r="N6935" t="s">
        <v>555</v>
      </c>
      <c r="O6935" t="s">
        <v>32205</v>
      </c>
      <c r="P6935" t="s">
        <v>32206</v>
      </c>
      <c r="Q6935" t="s">
        <v>32207</v>
      </c>
      <c r="R6935">
        <v>20</v>
      </c>
      <c r="S6935">
        <v>32</v>
      </c>
    </row>
    <row r="6936" spans="1:19" x14ac:dyDescent="0.35">
      <c r="A6936">
        <v>3366</v>
      </c>
      <c r="B6936" t="s">
        <v>32143</v>
      </c>
      <c r="C6936" t="s">
        <v>42</v>
      </c>
      <c r="D6936" t="s">
        <v>32158</v>
      </c>
      <c r="E6936" t="e" cm="1">
        <f t="array" ref="E6936">- ALUMINIUM HYDROXIDE</f>
        <v>#NAME?</v>
      </c>
      <c r="F6936" t="s">
        <v>32159</v>
      </c>
      <c r="G6936" t="s">
        <v>32156</v>
      </c>
      <c r="H6936" t="s">
        <v>32160</v>
      </c>
      <c r="I6936" t="s">
        <v>32147</v>
      </c>
      <c r="J6936" t="s">
        <v>11903</v>
      </c>
      <c r="K6936" t="s">
        <v>32149</v>
      </c>
      <c r="L6936" t="s">
        <v>32157</v>
      </c>
      <c r="M6936" t="s">
        <v>340</v>
      </c>
      <c r="N6936" t="s">
        <v>1771</v>
      </c>
      <c r="O6936" t="s">
        <v>32151</v>
      </c>
      <c r="P6936" t="s">
        <v>32152</v>
      </c>
      <c r="Q6936" t="s">
        <v>32153</v>
      </c>
      <c r="R6936">
        <v>20</v>
      </c>
      <c r="S6936">
        <v>32</v>
      </c>
    </row>
    <row r="6937" spans="1:19" x14ac:dyDescent="0.35">
      <c r="A6937">
        <v>7256</v>
      </c>
      <c r="B6937" t="s">
        <v>32208</v>
      </c>
      <c r="C6937" t="s">
        <v>850</v>
      </c>
      <c r="D6937" t="s">
        <v>32209</v>
      </c>
      <c r="E6937" t="e" cm="1">
        <f t="array" ref="E6937">- Camphora</f>
        <v>#NAME?</v>
      </c>
      <c r="F6937" t="s">
        <v>32210</v>
      </c>
      <c r="G6937" t="s">
        <v>32211</v>
      </c>
      <c r="H6937" t="s">
        <v>32212</v>
      </c>
      <c r="I6937" t="s">
        <v>32213</v>
      </c>
      <c r="J6937" t="s">
        <v>32214</v>
      </c>
      <c r="L6937" t="s">
        <v>32215</v>
      </c>
      <c r="M6937" t="s">
        <v>3632</v>
      </c>
      <c r="N6937" t="s">
        <v>3633</v>
      </c>
      <c r="O6937" t="s">
        <v>32216</v>
      </c>
      <c r="P6937" t="s">
        <v>32217</v>
      </c>
      <c r="Q6937" t="s">
        <v>32218</v>
      </c>
      <c r="R6937">
        <v>20</v>
      </c>
      <c r="S6937">
        <v>32</v>
      </c>
    </row>
    <row r="6938" spans="1:19" x14ac:dyDescent="0.35">
      <c r="A6938">
        <v>1521</v>
      </c>
      <c r="B6938" t="s">
        <v>32013</v>
      </c>
      <c r="C6938" t="s">
        <v>42</v>
      </c>
      <c r="D6938" t="s">
        <v>32014</v>
      </c>
      <c r="E6938" t="e" cm="1">
        <f t="array" ref="E6938">- SUCCUS LIQUIRITIAE. AMMONIUM CHLORIDE. GUAIFENESIN</f>
        <v>#NAME?</v>
      </c>
      <c r="F6938" t="s">
        <v>32015</v>
      </c>
      <c r="G6938" t="s">
        <v>5033</v>
      </c>
      <c r="H6938" t="s">
        <v>26608</v>
      </c>
      <c r="I6938" t="s">
        <v>26609</v>
      </c>
      <c r="J6938" t="s">
        <v>26610</v>
      </c>
      <c r="L6938" t="s">
        <v>26611</v>
      </c>
      <c r="M6938" t="s">
        <v>271</v>
      </c>
      <c r="N6938" t="s">
        <v>32016</v>
      </c>
      <c r="O6938" t="s">
        <v>26612</v>
      </c>
      <c r="P6938" t="s">
        <v>32017</v>
      </c>
      <c r="Q6938" t="s">
        <v>32018</v>
      </c>
      <c r="R6938">
        <v>20</v>
      </c>
      <c r="S6938">
        <v>32</v>
      </c>
    </row>
    <row r="6939" spans="1:19" x14ac:dyDescent="0.35">
      <c r="A6939">
        <v>8823</v>
      </c>
      <c r="B6939" t="s">
        <v>32219</v>
      </c>
      <c r="C6939" t="s">
        <v>42</v>
      </c>
      <c r="D6939" t="s">
        <v>32220</v>
      </c>
      <c r="E6939" t="e" cm="1">
        <f t="array" ref="E6939">- GLIBENCLAMIDE</f>
        <v>#NAME?</v>
      </c>
      <c r="F6939" t="s">
        <v>32221</v>
      </c>
      <c r="G6939" t="s">
        <v>30922</v>
      </c>
      <c r="H6939" t="s">
        <v>30923</v>
      </c>
      <c r="I6939" t="s">
        <v>30924</v>
      </c>
      <c r="J6939" t="s">
        <v>381</v>
      </c>
      <c r="K6939" t="s">
        <v>30925</v>
      </c>
    </row>
    <row r="6940" spans="1:19" x14ac:dyDescent="0.35">
      <c r="A6940">
        <v>2781</v>
      </c>
      <c r="B6940" t="s">
        <v>32222</v>
      </c>
      <c r="C6940" t="s">
        <v>42</v>
      </c>
      <c r="D6940" t="s">
        <v>32223</v>
      </c>
      <c r="E6940" t="e" cm="1">
        <f t="array" ref="E6940">- PARACETAMOL</f>
        <v>#NAME?</v>
      </c>
      <c r="F6940" t="s">
        <v>1983</v>
      </c>
      <c r="I6940" t="s">
        <v>32224</v>
      </c>
      <c r="J6940" t="s">
        <v>381</v>
      </c>
      <c r="M6940" t="s">
        <v>46</v>
      </c>
      <c r="N6940" t="s">
        <v>584</v>
      </c>
      <c r="O6940" t="s">
        <v>32225</v>
      </c>
      <c r="P6940" t="s">
        <v>25100</v>
      </c>
      <c r="Q6940" t="s">
        <v>32226</v>
      </c>
      <c r="R6940">
        <v>20</v>
      </c>
      <c r="S6940">
        <v>32</v>
      </c>
    </row>
    <row r="6941" spans="1:19" x14ac:dyDescent="0.35">
      <c r="A6941">
        <v>9063</v>
      </c>
      <c r="B6941" t="s">
        <v>32227</v>
      </c>
      <c r="C6941" t="s">
        <v>42</v>
      </c>
      <c r="D6941" t="s">
        <v>32228</v>
      </c>
      <c r="E6941" t="e" cm="1">
        <f t="array" ref="E6941">- SPIRONOLACTONE</f>
        <v>#NAME?</v>
      </c>
      <c r="F6941" t="s">
        <v>32229</v>
      </c>
      <c r="G6941" t="s">
        <v>5970</v>
      </c>
      <c r="H6941" t="s">
        <v>32230</v>
      </c>
      <c r="I6941" t="s">
        <v>32231</v>
      </c>
      <c r="J6941" t="s">
        <v>1093</v>
      </c>
      <c r="K6941" t="s">
        <v>32232</v>
      </c>
      <c r="L6941" t="s">
        <v>32233</v>
      </c>
      <c r="M6941" t="s">
        <v>46</v>
      </c>
      <c r="N6941" t="s">
        <v>2538</v>
      </c>
      <c r="O6941" t="s">
        <v>32234</v>
      </c>
      <c r="P6941" t="s">
        <v>32235</v>
      </c>
      <c r="Q6941" t="s">
        <v>32236</v>
      </c>
      <c r="R6941">
        <v>20</v>
      </c>
      <c r="S6941">
        <v>32</v>
      </c>
    </row>
    <row r="6942" spans="1:19" x14ac:dyDescent="0.35">
      <c r="A6942">
        <v>7202</v>
      </c>
      <c r="B6942" t="s">
        <v>29415</v>
      </c>
      <c r="C6942" t="s">
        <v>850</v>
      </c>
      <c r="D6942" t="s">
        <v>32237</v>
      </c>
      <c r="E6942" t="e" cm="1">
        <f t="array" ref="E6942">- Methyl Salisilat</f>
        <v>#NAME?</v>
      </c>
      <c r="F6942" t="s">
        <v>32238</v>
      </c>
      <c r="G6942" t="s">
        <v>17269</v>
      </c>
      <c r="H6942" t="s">
        <v>21196</v>
      </c>
      <c r="I6942" t="s">
        <v>29417</v>
      </c>
      <c r="J6942" t="s">
        <v>21274</v>
      </c>
      <c r="L6942" t="s">
        <v>29419</v>
      </c>
      <c r="M6942" t="s">
        <v>3632</v>
      </c>
      <c r="N6942" t="s">
        <v>29420</v>
      </c>
      <c r="O6942" t="s">
        <v>29421</v>
      </c>
      <c r="P6942" t="s">
        <v>32239</v>
      </c>
      <c r="Q6942" t="s">
        <v>32240</v>
      </c>
      <c r="R6942">
        <v>20</v>
      </c>
      <c r="S6942">
        <v>32</v>
      </c>
    </row>
    <row r="6943" spans="1:19" x14ac:dyDescent="0.35">
      <c r="A6943">
        <v>6167</v>
      </c>
      <c r="B6943" t="s">
        <v>32241</v>
      </c>
      <c r="C6943" t="s">
        <v>42</v>
      </c>
      <c r="D6943" t="s">
        <v>32242</v>
      </c>
      <c r="E6943" t="e" cm="1">
        <f t="array" ref="E6943">- CLINDAMYCIN HYDROCHLORIDE</f>
        <v>#NAME?</v>
      </c>
      <c r="F6943" t="s">
        <v>32243</v>
      </c>
      <c r="G6943" t="s">
        <v>3083</v>
      </c>
      <c r="H6943" t="s">
        <v>32244</v>
      </c>
      <c r="I6943" t="s">
        <v>32245</v>
      </c>
      <c r="J6943" t="s">
        <v>32246</v>
      </c>
      <c r="K6943" t="s">
        <v>32247</v>
      </c>
      <c r="L6943" t="s">
        <v>32248</v>
      </c>
      <c r="M6943" t="s">
        <v>38</v>
      </c>
      <c r="N6943" t="s">
        <v>23622</v>
      </c>
      <c r="O6943" t="s">
        <v>32249</v>
      </c>
      <c r="P6943" t="s">
        <v>32250</v>
      </c>
      <c r="Q6943" t="s">
        <v>32251</v>
      </c>
      <c r="R6943">
        <v>20</v>
      </c>
      <c r="S6943">
        <v>32</v>
      </c>
    </row>
    <row r="6944" spans="1:19" x14ac:dyDescent="0.35">
      <c r="A6944">
        <v>2892</v>
      </c>
      <c r="B6944" t="s">
        <v>32252</v>
      </c>
      <c r="C6944" t="s">
        <v>42</v>
      </c>
      <c r="D6944" t="s">
        <v>32253</v>
      </c>
      <c r="E6944" t="e" cm="1">
        <f t="array" ref="E6944">- PARACETAMOL</f>
        <v>#NAME?</v>
      </c>
      <c r="F6944" t="s">
        <v>32254</v>
      </c>
      <c r="G6944" t="s">
        <v>60</v>
      </c>
      <c r="H6944" t="s">
        <v>32255</v>
      </c>
    </row>
    <row r="6945" spans="1:19" x14ac:dyDescent="0.35">
      <c r="A6945">
        <v>9062</v>
      </c>
      <c r="B6945" t="s">
        <v>32227</v>
      </c>
      <c r="C6945" t="s">
        <v>42</v>
      </c>
      <c r="D6945" t="s">
        <v>32228</v>
      </c>
      <c r="E6945" t="e" cm="1">
        <f t="array" ref="E6945">- SPIRONOLACTONE</f>
        <v>#NAME?</v>
      </c>
      <c r="F6945" t="s">
        <v>32229</v>
      </c>
      <c r="G6945" t="s">
        <v>5970</v>
      </c>
      <c r="H6945" t="s">
        <v>32230</v>
      </c>
      <c r="I6945" t="s">
        <v>32231</v>
      </c>
      <c r="J6945" t="s">
        <v>1093</v>
      </c>
      <c r="K6945" t="s">
        <v>32232</v>
      </c>
      <c r="L6945" t="s">
        <v>32233</v>
      </c>
      <c r="M6945" t="s">
        <v>46</v>
      </c>
      <c r="N6945" t="s">
        <v>2538</v>
      </c>
      <c r="O6945" t="s">
        <v>32234</v>
      </c>
      <c r="P6945" t="s">
        <v>32235</v>
      </c>
      <c r="Q6945" t="s">
        <v>32236</v>
      </c>
      <c r="R6945">
        <v>20</v>
      </c>
      <c r="S6945">
        <v>32</v>
      </c>
    </row>
    <row r="6946" spans="1:19" x14ac:dyDescent="0.35">
      <c r="A6946">
        <v>2891</v>
      </c>
      <c r="B6946" t="s">
        <v>32252</v>
      </c>
      <c r="C6946" t="s">
        <v>42</v>
      </c>
      <c r="D6946" t="s">
        <v>32253</v>
      </c>
      <c r="E6946" t="e" cm="1">
        <f t="array" ref="E6946">- PARACETAMOL</f>
        <v>#NAME?</v>
      </c>
      <c r="F6946" t="s">
        <v>32254</v>
      </c>
      <c r="G6946" t="s">
        <v>60</v>
      </c>
      <c r="H6946" t="s">
        <v>32255</v>
      </c>
    </row>
    <row r="6947" spans="1:19" x14ac:dyDescent="0.35">
      <c r="A6947">
        <v>170</v>
      </c>
      <c r="B6947" t="s">
        <v>2902</v>
      </c>
      <c r="C6947" t="s">
        <v>42</v>
      </c>
      <c r="D6947" t="s">
        <v>32256</v>
      </c>
      <c r="E6947" t="e" cm="1">
        <f t="array" ref="E6947">- SILDENAFIL CITRATE</f>
        <v>#NAME?</v>
      </c>
      <c r="F6947" t="s">
        <v>32257</v>
      </c>
      <c r="I6947" t="s">
        <v>32258</v>
      </c>
      <c r="J6947" t="s">
        <v>4245</v>
      </c>
      <c r="M6947" t="s">
        <v>46</v>
      </c>
      <c r="N6947" t="s">
        <v>2519</v>
      </c>
      <c r="O6947" t="s">
        <v>32259</v>
      </c>
      <c r="P6947" t="s">
        <v>32260</v>
      </c>
      <c r="Q6947" t="s">
        <v>32261</v>
      </c>
      <c r="R6947">
        <v>20</v>
      </c>
      <c r="S6947">
        <v>32</v>
      </c>
    </row>
    <row r="6948" spans="1:19" x14ac:dyDescent="0.35">
      <c r="A6948">
        <v>667</v>
      </c>
      <c r="B6948" t="s">
        <v>8258</v>
      </c>
      <c r="C6948" t="s">
        <v>20</v>
      </c>
      <c r="D6948" t="s">
        <v>32262</v>
      </c>
      <c r="E6948" t="s">
        <v>8260</v>
      </c>
      <c r="F6948" t="s">
        <v>32263</v>
      </c>
      <c r="G6948" t="s">
        <v>8262</v>
      </c>
      <c r="H6948" t="s">
        <v>8263</v>
      </c>
      <c r="I6948" t="s">
        <v>32264</v>
      </c>
      <c r="J6948" t="s">
        <v>614</v>
      </c>
      <c r="L6948" t="s">
        <v>8264</v>
      </c>
      <c r="M6948" t="s">
        <v>2115</v>
      </c>
      <c r="N6948" t="s">
        <v>8265</v>
      </c>
      <c r="O6948" t="s">
        <v>32265</v>
      </c>
      <c r="P6948" t="s">
        <v>8266</v>
      </c>
      <c r="Q6948" t="s">
        <v>32266</v>
      </c>
      <c r="R6948">
        <v>20</v>
      </c>
      <c r="S6948">
        <v>32</v>
      </c>
    </row>
    <row r="6949" spans="1:19" x14ac:dyDescent="0.35">
      <c r="A6949">
        <v>9061</v>
      </c>
      <c r="B6949" t="s">
        <v>32267</v>
      </c>
      <c r="C6949" t="s">
        <v>42</v>
      </c>
      <c r="D6949" t="s">
        <v>32268</v>
      </c>
      <c r="E6949" t="e" cm="1">
        <f t="array" ref="E6949">- SPIRONOLACTONE</f>
        <v>#NAME?</v>
      </c>
      <c r="F6949" t="s">
        <v>32269</v>
      </c>
      <c r="G6949" t="s">
        <v>5970</v>
      </c>
      <c r="H6949" t="s">
        <v>32230</v>
      </c>
      <c r="I6949" t="s">
        <v>32231</v>
      </c>
      <c r="J6949" t="s">
        <v>7479</v>
      </c>
      <c r="K6949" t="s">
        <v>32270</v>
      </c>
      <c r="L6949" t="s">
        <v>32233</v>
      </c>
      <c r="M6949" t="s">
        <v>46</v>
      </c>
      <c r="N6949" t="s">
        <v>2538</v>
      </c>
      <c r="O6949" t="s">
        <v>32234</v>
      </c>
      <c r="P6949" t="s">
        <v>32235</v>
      </c>
      <c r="Q6949" t="s">
        <v>32236</v>
      </c>
      <c r="R6949">
        <v>20</v>
      </c>
      <c r="S6949">
        <v>32</v>
      </c>
    </row>
    <row r="6950" spans="1:19" x14ac:dyDescent="0.35">
      <c r="A6950">
        <v>9060</v>
      </c>
      <c r="B6950" t="s">
        <v>32267</v>
      </c>
      <c r="C6950" t="s">
        <v>42</v>
      </c>
      <c r="D6950" t="s">
        <v>32268</v>
      </c>
      <c r="E6950" t="e" cm="1">
        <f t="array" ref="E6950">- SPIRONOLACTONE</f>
        <v>#NAME?</v>
      </c>
      <c r="F6950" t="s">
        <v>32269</v>
      </c>
      <c r="G6950" t="s">
        <v>5970</v>
      </c>
      <c r="H6950" t="s">
        <v>32230</v>
      </c>
      <c r="I6950" t="s">
        <v>32231</v>
      </c>
      <c r="J6950" t="s">
        <v>7479</v>
      </c>
      <c r="K6950" t="s">
        <v>32270</v>
      </c>
      <c r="L6950" t="s">
        <v>32233</v>
      </c>
      <c r="M6950" t="s">
        <v>46</v>
      </c>
      <c r="N6950" t="s">
        <v>2538</v>
      </c>
      <c r="O6950" t="s">
        <v>32234</v>
      </c>
      <c r="P6950" t="s">
        <v>32235</v>
      </c>
      <c r="Q6950" t="s">
        <v>32236</v>
      </c>
      <c r="R6950">
        <v>20</v>
      </c>
      <c r="S6950">
        <v>32</v>
      </c>
    </row>
    <row r="6951" spans="1:19" x14ac:dyDescent="0.35">
      <c r="A6951">
        <v>9059</v>
      </c>
      <c r="B6951" t="s">
        <v>32267</v>
      </c>
      <c r="C6951" t="s">
        <v>42</v>
      </c>
      <c r="D6951" t="s">
        <v>32268</v>
      </c>
      <c r="E6951" t="e" cm="1">
        <f t="array" ref="E6951">- SPIRONOLACTONE</f>
        <v>#NAME?</v>
      </c>
      <c r="F6951" t="s">
        <v>32269</v>
      </c>
      <c r="G6951" t="s">
        <v>5970</v>
      </c>
      <c r="H6951" t="s">
        <v>32230</v>
      </c>
      <c r="I6951" t="s">
        <v>32231</v>
      </c>
      <c r="J6951" t="s">
        <v>7479</v>
      </c>
      <c r="K6951" t="s">
        <v>32270</v>
      </c>
      <c r="L6951" t="s">
        <v>32233</v>
      </c>
      <c r="M6951" t="s">
        <v>46</v>
      </c>
      <c r="N6951" t="s">
        <v>2538</v>
      </c>
      <c r="O6951" t="s">
        <v>32234</v>
      </c>
      <c r="P6951" t="s">
        <v>32235</v>
      </c>
      <c r="Q6951" t="s">
        <v>32236</v>
      </c>
      <c r="R6951">
        <v>20</v>
      </c>
      <c r="S6951">
        <v>32</v>
      </c>
    </row>
    <row r="6952" spans="1:19" x14ac:dyDescent="0.35">
      <c r="A6952">
        <v>9054</v>
      </c>
      <c r="B6952" t="s">
        <v>32271</v>
      </c>
      <c r="C6952" t="s">
        <v>42</v>
      </c>
      <c r="D6952" t="s">
        <v>32272</v>
      </c>
      <c r="E6952" t="e" cm="1">
        <f t="array" ref="E6952">- AMLODIPINE BESILATE</f>
        <v>#NAME?</v>
      </c>
      <c r="F6952" t="s">
        <v>32273</v>
      </c>
      <c r="G6952" t="s">
        <v>60</v>
      </c>
      <c r="H6952" t="s">
        <v>32274</v>
      </c>
      <c r="I6952" t="s">
        <v>32275</v>
      </c>
      <c r="J6952" t="s">
        <v>28177</v>
      </c>
      <c r="K6952" t="s">
        <v>32276</v>
      </c>
      <c r="L6952" t="s">
        <v>32277</v>
      </c>
      <c r="M6952" t="s">
        <v>46</v>
      </c>
      <c r="N6952" t="s">
        <v>2484</v>
      </c>
      <c r="O6952" t="s">
        <v>32278</v>
      </c>
      <c r="P6952" t="s">
        <v>32279</v>
      </c>
      <c r="Q6952" t="s">
        <v>32280</v>
      </c>
      <c r="R6952">
        <v>20</v>
      </c>
      <c r="S6952">
        <v>32</v>
      </c>
    </row>
    <row r="6953" spans="1:19" x14ac:dyDescent="0.35">
      <c r="A6953">
        <v>7186</v>
      </c>
      <c r="B6953" t="s">
        <v>32281</v>
      </c>
      <c r="C6953" t="s">
        <v>850</v>
      </c>
      <c r="D6953" t="s">
        <v>32282</v>
      </c>
      <c r="E6953" t="e" cm="1">
        <f t="array" ref="E6953">- Camphor</f>
        <v>#NAME?</v>
      </c>
      <c r="F6953" t="s">
        <v>32283</v>
      </c>
      <c r="G6953" t="s">
        <v>32284</v>
      </c>
      <c r="H6953" t="s">
        <v>22320</v>
      </c>
      <c r="I6953" t="s">
        <v>32285</v>
      </c>
      <c r="J6953" t="s">
        <v>374</v>
      </c>
      <c r="K6953" t="s">
        <v>2858</v>
      </c>
      <c r="L6953" t="s">
        <v>32286</v>
      </c>
      <c r="M6953" t="s">
        <v>2115</v>
      </c>
      <c r="N6953" t="s">
        <v>853</v>
      </c>
      <c r="O6953" t="s">
        <v>32287</v>
      </c>
      <c r="P6953" t="s">
        <v>32288</v>
      </c>
      <c r="Q6953" t="s">
        <v>32289</v>
      </c>
      <c r="R6953">
        <v>20</v>
      </c>
      <c r="S6953">
        <v>32</v>
      </c>
    </row>
    <row r="6954" spans="1:19" x14ac:dyDescent="0.35">
      <c r="A6954">
        <v>7185</v>
      </c>
      <c r="B6954" t="s">
        <v>32281</v>
      </c>
      <c r="C6954" t="s">
        <v>850</v>
      </c>
      <c r="D6954" t="s">
        <v>32290</v>
      </c>
      <c r="E6954" t="e" cm="1">
        <f t="array" ref="E6954">- Camphor</f>
        <v>#NAME?</v>
      </c>
      <c r="F6954" t="s">
        <v>32291</v>
      </c>
      <c r="G6954" t="s">
        <v>32284</v>
      </c>
      <c r="H6954" t="s">
        <v>22320</v>
      </c>
      <c r="I6954" t="s">
        <v>32285</v>
      </c>
      <c r="J6954" t="s">
        <v>846</v>
      </c>
      <c r="K6954" t="s">
        <v>2858</v>
      </c>
      <c r="L6954" t="s">
        <v>32286</v>
      </c>
      <c r="M6954" t="s">
        <v>2115</v>
      </c>
      <c r="N6954" t="s">
        <v>853</v>
      </c>
      <c r="O6954" t="s">
        <v>32287</v>
      </c>
      <c r="P6954" t="s">
        <v>32288</v>
      </c>
      <c r="Q6954" t="s">
        <v>32289</v>
      </c>
      <c r="R6954">
        <v>20</v>
      </c>
      <c r="S6954">
        <v>32</v>
      </c>
    </row>
    <row r="6955" spans="1:19" x14ac:dyDescent="0.35">
      <c r="A6955">
        <v>9053</v>
      </c>
      <c r="B6955" t="s">
        <v>32271</v>
      </c>
      <c r="C6955" t="s">
        <v>42</v>
      </c>
      <c r="D6955" t="s">
        <v>32272</v>
      </c>
      <c r="E6955" t="e" cm="1">
        <f t="array" ref="E6955">- AMLODIPINE BESILATE</f>
        <v>#NAME?</v>
      </c>
      <c r="F6955" t="s">
        <v>32273</v>
      </c>
      <c r="G6955" t="s">
        <v>60</v>
      </c>
      <c r="H6955" t="s">
        <v>32274</v>
      </c>
      <c r="I6955" t="s">
        <v>32275</v>
      </c>
      <c r="J6955" t="s">
        <v>28177</v>
      </c>
      <c r="K6955" t="s">
        <v>32276</v>
      </c>
      <c r="L6955" t="s">
        <v>32277</v>
      </c>
      <c r="M6955" t="s">
        <v>46</v>
      </c>
      <c r="N6955" t="s">
        <v>2484</v>
      </c>
      <c r="O6955" t="s">
        <v>32278</v>
      </c>
      <c r="P6955" t="s">
        <v>32279</v>
      </c>
      <c r="Q6955" t="s">
        <v>32280</v>
      </c>
      <c r="R6955">
        <v>20</v>
      </c>
      <c r="S6955">
        <v>32</v>
      </c>
    </row>
    <row r="6956" spans="1:19" x14ac:dyDescent="0.35">
      <c r="A6956">
        <v>5621</v>
      </c>
      <c r="B6956" t="s">
        <v>32292</v>
      </c>
      <c r="C6956" t="s">
        <v>42</v>
      </c>
      <c r="D6956" t="s">
        <v>32293</v>
      </c>
      <c r="E6956" t="e" cm="1">
        <f t="array" ref="E6956">- METRONIDAZOLE</f>
        <v>#NAME?</v>
      </c>
      <c r="F6956" t="s">
        <v>32294</v>
      </c>
      <c r="G6956" t="s">
        <v>2241</v>
      </c>
      <c r="H6956" t="s">
        <v>30980</v>
      </c>
      <c r="I6956" t="s">
        <v>30981</v>
      </c>
      <c r="J6956" t="s">
        <v>381</v>
      </c>
      <c r="K6956" t="s">
        <v>30982</v>
      </c>
      <c r="L6956" t="s">
        <v>30983</v>
      </c>
    </row>
    <row r="6957" spans="1:19" x14ac:dyDescent="0.35">
      <c r="A6957">
        <v>5620</v>
      </c>
      <c r="B6957" t="s">
        <v>32292</v>
      </c>
      <c r="C6957" t="s">
        <v>42</v>
      </c>
      <c r="D6957" t="s">
        <v>32293</v>
      </c>
      <c r="E6957" t="e" cm="1">
        <f t="array" ref="E6957">- METRONIDAZOLE</f>
        <v>#NAME?</v>
      </c>
      <c r="F6957" t="s">
        <v>32294</v>
      </c>
      <c r="G6957" t="s">
        <v>2241</v>
      </c>
      <c r="H6957" t="s">
        <v>30980</v>
      </c>
      <c r="I6957" t="s">
        <v>30981</v>
      </c>
      <c r="J6957" t="s">
        <v>381</v>
      </c>
      <c r="K6957" t="s">
        <v>30982</v>
      </c>
      <c r="L6957" t="s">
        <v>30983</v>
      </c>
    </row>
    <row r="6958" spans="1:19" x14ac:dyDescent="0.35">
      <c r="A6958">
        <v>5619</v>
      </c>
      <c r="B6958" t="s">
        <v>32292</v>
      </c>
      <c r="C6958" t="s">
        <v>42</v>
      </c>
      <c r="D6958" t="s">
        <v>32293</v>
      </c>
      <c r="E6958" t="e" cm="1">
        <f t="array" ref="E6958">- METRONIDAZOLE</f>
        <v>#NAME?</v>
      </c>
      <c r="F6958" t="s">
        <v>32294</v>
      </c>
      <c r="G6958" t="s">
        <v>2241</v>
      </c>
      <c r="H6958" t="s">
        <v>30980</v>
      </c>
      <c r="I6958" t="s">
        <v>30981</v>
      </c>
      <c r="J6958" t="s">
        <v>381</v>
      </c>
      <c r="K6958" t="s">
        <v>30982</v>
      </c>
      <c r="L6958" t="s">
        <v>30983</v>
      </c>
    </row>
    <row r="6959" spans="1:19" x14ac:dyDescent="0.35">
      <c r="A6959">
        <v>7154</v>
      </c>
      <c r="B6959" t="s">
        <v>32295</v>
      </c>
      <c r="C6959" t="s">
        <v>42</v>
      </c>
      <c r="D6959" t="s">
        <v>32296</v>
      </c>
      <c r="E6959" t="e" cm="1">
        <f t="array" ref="E6959">- TIZANIDINE HYDROCHLORIDE</f>
        <v>#NAME?</v>
      </c>
      <c r="F6959" s="1">
        <v>105500</v>
      </c>
      <c r="G6959" t="s">
        <v>32297</v>
      </c>
      <c r="H6959" t="s">
        <v>32298</v>
      </c>
      <c r="I6959" t="s">
        <v>32299</v>
      </c>
    </row>
    <row r="6960" spans="1:19" x14ac:dyDescent="0.35">
      <c r="A6960">
        <v>7155</v>
      </c>
      <c r="B6960" t="s">
        <v>32295</v>
      </c>
      <c r="C6960" t="s">
        <v>42</v>
      </c>
      <c r="D6960" t="s">
        <v>32296</v>
      </c>
      <c r="E6960" t="e" cm="1">
        <f t="array" ref="E6960">- TIZANIDINE HYDROCHLORIDE</f>
        <v>#NAME?</v>
      </c>
      <c r="F6960" s="1">
        <v>105500</v>
      </c>
      <c r="G6960" t="s">
        <v>32297</v>
      </c>
      <c r="H6960" t="s">
        <v>32298</v>
      </c>
      <c r="I6960" t="s">
        <v>32299</v>
      </c>
    </row>
    <row r="6961" spans="1:19" x14ac:dyDescent="0.35">
      <c r="A6961">
        <v>2924</v>
      </c>
      <c r="B6961" t="s">
        <v>680</v>
      </c>
      <c r="C6961" t="s">
        <v>42</v>
      </c>
      <c r="D6961" t="s">
        <v>32300</v>
      </c>
      <c r="E6961" t="e" cm="1">
        <f t="array" ref="E6961">- PARACETAMOL</f>
        <v>#NAME?</v>
      </c>
      <c r="F6961" t="s">
        <v>21074</v>
      </c>
      <c r="G6961" t="s">
        <v>2241</v>
      </c>
      <c r="H6961" t="s">
        <v>32301</v>
      </c>
      <c r="I6961" t="s">
        <v>32302</v>
      </c>
      <c r="J6961" t="s">
        <v>846</v>
      </c>
      <c r="M6961" t="s">
        <v>271</v>
      </c>
      <c r="N6961" t="s">
        <v>584</v>
      </c>
      <c r="O6961" t="s">
        <v>32303</v>
      </c>
      <c r="P6961" t="s">
        <v>683</v>
      </c>
      <c r="Q6961" t="s">
        <v>32304</v>
      </c>
      <c r="R6961">
        <v>20</v>
      </c>
      <c r="S6961">
        <v>32</v>
      </c>
    </row>
    <row r="6962" spans="1:19" x14ac:dyDescent="0.35">
      <c r="A6962">
        <v>7255</v>
      </c>
      <c r="B6962" t="s">
        <v>32208</v>
      </c>
      <c r="C6962" t="s">
        <v>850</v>
      </c>
      <c r="D6962" t="s">
        <v>32305</v>
      </c>
      <c r="E6962" t="e" cm="1">
        <f t="array" ref="E6962">- Camphora</f>
        <v>#NAME?</v>
      </c>
      <c r="F6962" t="s">
        <v>32306</v>
      </c>
      <c r="G6962" t="s">
        <v>32211</v>
      </c>
      <c r="H6962" t="s">
        <v>32212</v>
      </c>
      <c r="I6962" t="s">
        <v>32307</v>
      </c>
      <c r="J6962" t="s">
        <v>32308</v>
      </c>
      <c r="L6962" t="s">
        <v>32309</v>
      </c>
      <c r="M6962" t="s">
        <v>3632</v>
      </c>
      <c r="N6962" t="s">
        <v>3633</v>
      </c>
      <c r="O6962" t="s">
        <v>32310</v>
      </c>
      <c r="P6962" t="s">
        <v>32217</v>
      </c>
      <c r="Q6962" t="s">
        <v>32311</v>
      </c>
      <c r="R6962">
        <v>20</v>
      </c>
      <c r="S6962">
        <v>32</v>
      </c>
    </row>
    <row r="6963" spans="1:19" x14ac:dyDescent="0.35">
      <c r="A6963">
        <v>2931</v>
      </c>
      <c r="B6963" t="s">
        <v>32312</v>
      </c>
      <c r="C6963" t="s">
        <v>42</v>
      </c>
      <c r="D6963" t="s">
        <v>32313</v>
      </c>
      <c r="E6963" t="e" cm="1">
        <f t="array" ref="E6963">- PARACETAMOL</f>
        <v>#NAME?</v>
      </c>
      <c r="F6963" t="s">
        <v>32314</v>
      </c>
      <c r="I6963" t="s">
        <v>32224</v>
      </c>
      <c r="J6963" t="s">
        <v>334</v>
      </c>
      <c r="M6963" t="s">
        <v>271</v>
      </c>
      <c r="N6963" t="s">
        <v>584</v>
      </c>
      <c r="O6963" t="s">
        <v>32225</v>
      </c>
      <c r="P6963" t="s">
        <v>24359</v>
      </c>
      <c r="Q6963" t="s">
        <v>32315</v>
      </c>
      <c r="R6963">
        <v>20</v>
      </c>
      <c r="S6963">
        <v>32</v>
      </c>
    </row>
    <row r="6964" spans="1:19" x14ac:dyDescent="0.35">
      <c r="A6964">
        <v>2933</v>
      </c>
      <c r="B6964" t="s">
        <v>32312</v>
      </c>
      <c r="C6964" t="s">
        <v>42</v>
      </c>
      <c r="D6964" t="s">
        <v>32313</v>
      </c>
      <c r="E6964" t="e" cm="1">
        <f t="array" ref="E6964">- PARACETAMOL</f>
        <v>#NAME?</v>
      </c>
      <c r="F6964" t="s">
        <v>32314</v>
      </c>
      <c r="I6964" t="s">
        <v>32224</v>
      </c>
      <c r="J6964" t="s">
        <v>334</v>
      </c>
      <c r="M6964" t="s">
        <v>271</v>
      </c>
      <c r="N6964" t="s">
        <v>584</v>
      </c>
      <c r="O6964" t="s">
        <v>32225</v>
      </c>
      <c r="P6964" t="s">
        <v>24359</v>
      </c>
      <c r="Q6964" t="s">
        <v>32315</v>
      </c>
      <c r="R6964">
        <v>20</v>
      </c>
      <c r="S6964">
        <v>32</v>
      </c>
    </row>
    <row r="6965" spans="1:19" x14ac:dyDescent="0.35">
      <c r="A6965">
        <v>2691</v>
      </c>
      <c r="B6965" t="s">
        <v>32316</v>
      </c>
      <c r="C6965" t="s">
        <v>42</v>
      </c>
      <c r="D6965" t="s">
        <v>32317</v>
      </c>
      <c r="E6965" t="e" cm="1">
        <f t="array" ref="E6965">- PARACETAMOL</f>
        <v>#NAME?</v>
      </c>
      <c r="F6965" s="1">
        <v>9200</v>
      </c>
      <c r="G6965" t="s">
        <v>6869</v>
      </c>
      <c r="H6965" t="s">
        <v>32318</v>
      </c>
      <c r="I6965" t="s">
        <v>32224</v>
      </c>
      <c r="J6965" t="s">
        <v>1081</v>
      </c>
      <c r="K6965" t="s">
        <v>15139</v>
      </c>
      <c r="L6965" t="s">
        <v>32319</v>
      </c>
      <c r="M6965" t="s">
        <v>291</v>
      </c>
      <c r="N6965" t="s">
        <v>584</v>
      </c>
      <c r="O6965" t="s">
        <v>32225</v>
      </c>
      <c r="P6965" t="s">
        <v>32320</v>
      </c>
      <c r="Q6965" t="s">
        <v>32321</v>
      </c>
      <c r="R6965">
        <v>20</v>
      </c>
      <c r="S6965">
        <v>32</v>
      </c>
    </row>
    <row r="6966" spans="1:19" x14ac:dyDescent="0.35">
      <c r="A6966">
        <v>8824</v>
      </c>
      <c r="B6966" t="s">
        <v>32219</v>
      </c>
      <c r="C6966" t="s">
        <v>42</v>
      </c>
      <c r="D6966" t="s">
        <v>32220</v>
      </c>
      <c r="E6966" t="e" cm="1">
        <f t="array" ref="E6966">- GLIBENCLAMIDE</f>
        <v>#NAME?</v>
      </c>
      <c r="F6966" t="s">
        <v>32221</v>
      </c>
      <c r="G6966" t="s">
        <v>30922</v>
      </c>
      <c r="H6966" t="s">
        <v>30923</v>
      </c>
      <c r="I6966" t="s">
        <v>30924</v>
      </c>
      <c r="J6966" t="s">
        <v>381</v>
      </c>
      <c r="K6966" t="s">
        <v>30925</v>
      </c>
    </row>
    <row r="6967" spans="1:19" x14ac:dyDescent="0.35">
      <c r="A6967">
        <v>2692</v>
      </c>
      <c r="B6967" t="s">
        <v>32316</v>
      </c>
      <c r="C6967" t="s">
        <v>42</v>
      </c>
      <c r="D6967" t="s">
        <v>32317</v>
      </c>
      <c r="E6967" t="e" cm="1">
        <f t="array" ref="E6967">- PARACETAMOL</f>
        <v>#NAME?</v>
      </c>
      <c r="F6967" s="1">
        <v>9200</v>
      </c>
      <c r="G6967" t="s">
        <v>6869</v>
      </c>
      <c r="H6967" t="s">
        <v>32318</v>
      </c>
      <c r="I6967" t="s">
        <v>32224</v>
      </c>
      <c r="J6967" t="s">
        <v>1081</v>
      </c>
      <c r="K6967" t="s">
        <v>15139</v>
      </c>
      <c r="L6967" t="s">
        <v>32319</v>
      </c>
      <c r="M6967" t="s">
        <v>291</v>
      </c>
      <c r="N6967" t="s">
        <v>584</v>
      </c>
      <c r="O6967" t="s">
        <v>32225</v>
      </c>
      <c r="P6967" t="s">
        <v>32320</v>
      </c>
      <c r="Q6967" t="s">
        <v>32321</v>
      </c>
      <c r="R6967">
        <v>20</v>
      </c>
      <c r="S6967">
        <v>32</v>
      </c>
    </row>
    <row r="6968" spans="1:19" x14ac:dyDescent="0.35">
      <c r="A6968">
        <v>8854</v>
      </c>
      <c r="B6968" t="s">
        <v>32322</v>
      </c>
      <c r="C6968" t="s">
        <v>20</v>
      </c>
      <c r="D6968" t="s">
        <v>32323</v>
      </c>
      <c r="E6968" t="s">
        <v>32324</v>
      </c>
      <c r="F6968" t="s">
        <v>32325</v>
      </c>
      <c r="G6968" t="s">
        <v>2241</v>
      </c>
      <c r="H6968" t="s">
        <v>17987</v>
      </c>
      <c r="I6968" t="s">
        <v>32326</v>
      </c>
      <c r="J6968" t="s">
        <v>4547</v>
      </c>
      <c r="M6968" t="s">
        <v>38</v>
      </c>
      <c r="N6968" t="s">
        <v>32327</v>
      </c>
      <c r="O6968" t="s">
        <v>32328</v>
      </c>
      <c r="P6968" t="s">
        <v>32329</v>
      </c>
      <c r="Q6968" t="s">
        <v>32330</v>
      </c>
      <c r="R6968">
        <v>20</v>
      </c>
      <c r="S6968">
        <v>32</v>
      </c>
    </row>
    <row r="6969" spans="1:19" x14ac:dyDescent="0.35">
      <c r="A6969">
        <v>3005</v>
      </c>
      <c r="B6969" t="s">
        <v>32331</v>
      </c>
      <c r="C6969" t="s">
        <v>42</v>
      </c>
      <c r="D6969" t="s">
        <v>32332</v>
      </c>
      <c r="E6969" t="e" cm="1">
        <f t="array" ref="E6969">- KOMBINASI-LANSOPRAZOLE PELLETS</f>
        <v>#NAME?</v>
      </c>
      <c r="F6969" t="s">
        <v>32333</v>
      </c>
      <c r="G6969" t="s">
        <v>11823</v>
      </c>
      <c r="H6969" t="s">
        <v>4222</v>
      </c>
      <c r="I6969" t="s">
        <v>31596</v>
      </c>
      <c r="J6969" t="s">
        <v>14600</v>
      </c>
      <c r="K6969" t="s">
        <v>31597</v>
      </c>
      <c r="L6969" t="s">
        <v>31598</v>
      </c>
    </row>
    <row r="6970" spans="1:19" x14ac:dyDescent="0.35">
      <c r="A6970">
        <v>8883</v>
      </c>
      <c r="B6970" t="s">
        <v>32334</v>
      </c>
      <c r="C6970" t="s">
        <v>42</v>
      </c>
      <c r="D6970" t="s">
        <v>32335</v>
      </c>
      <c r="E6970" t="e" cm="1">
        <f t="array" ref="E6970">- INSULIN GLARGINE</f>
        <v>#NAME?</v>
      </c>
      <c r="F6970" t="s">
        <v>32336</v>
      </c>
      <c r="G6970" t="s">
        <v>23396</v>
      </c>
      <c r="H6970" t="s">
        <v>32337</v>
      </c>
      <c r="I6970" t="s">
        <v>32338</v>
      </c>
      <c r="J6970" t="s">
        <v>32339</v>
      </c>
      <c r="K6970" t="s">
        <v>32340</v>
      </c>
      <c r="L6970" t="s">
        <v>32341</v>
      </c>
      <c r="M6970" t="s">
        <v>2403</v>
      </c>
      <c r="N6970" t="s">
        <v>23343</v>
      </c>
      <c r="O6970" t="s">
        <v>32342</v>
      </c>
      <c r="P6970" t="s">
        <v>32343</v>
      </c>
      <c r="Q6970" t="s">
        <v>32344</v>
      </c>
      <c r="R6970">
        <v>20</v>
      </c>
      <c r="S6970">
        <v>32</v>
      </c>
    </row>
    <row r="6971" spans="1:19" x14ac:dyDescent="0.35">
      <c r="A6971">
        <v>2693</v>
      </c>
      <c r="B6971" t="s">
        <v>32316</v>
      </c>
      <c r="C6971" t="s">
        <v>42</v>
      </c>
      <c r="D6971" t="s">
        <v>32317</v>
      </c>
      <c r="E6971" t="e" cm="1">
        <f t="array" ref="E6971">- PARACETAMOL</f>
        <v>#NAME?</v>
      </c>
      <c r="F6971" s="1">
        <v>9200</v>
      </c>
      <c r="G6971" t="s">
        <v>6869</v>
      </c>
      <c r="H6971" t="s">
        <v>32318</v>
      </c>
      <c r="I6971" t="s">
        <v>32224</v>
      </c>
      <c r="J6971" t="s">
        <v>1081</v>
      </c>
      <c r="K6971" t="s">
        <v>15139</v>
      </c>
      <c r="L6971" t="s">
        <v>32319</v>
      </c>
      <c r="M6971" t="s">
        <v>291</v>
      </c>
      <c r="N6971" t="s">
        <v>584</v>
      </c>
      <c r="O6971" t="s">
        <v>32225</v>
      </c>
      <c r="P6971" t="s">
        <v>32320</v>
      </c>
      <c r="Q6971" t="s">
        <v>32321</v>
      </c>
      <c r="R6971">
        <v>20</v>
      </c>
      <c r="S6971">
        <v>32</v>
      </c>
    </row>
    <row r="6972" spans="1:19" x14ac:dyDescent="0.35">
      <c r="A6972">
        <v>6228</v>
      </c>
      <c r="B6972" t="s">
        <v>32345</v>
      </c>
      <c r="C6972" t="s">
        <v>42</v>
      </c>
      <c r="D6972" t="s">
        <v>32346</v>
      </c>
      <c r="E6972" t="e" cm="1">
        <f t="array" ref="E6972">- THIAMPHENICOL</f>
        <v>#NAME?</v>
      </c>
      <c r="F6972" t="s">
        <v>32347</v>
      </c>
      <c r="H6972" t="s">
        <v>27856</v>
      </c>
      <c r="I6972" t="s">
        <v>32348</v>
      </c>
      <c r="J6972" t="s">
        <v>810</v>
      </c>
      <c r="K6972" t="s">
        <v>19081</v>
      </c>
      <c r="L6972" t="s">
        <v>32349</v>
      </c>
      <c r="M6972" t="s">
        <v>38</v>
      </c>
      <c r="N6972" t="s">
        <v>272</v>
      </c>
      <c r="O6972" t="s">
        <v>32350</v>
      </c>
      <c r="P6972" t="s">
        <v>32351</v>
      </c>
      <c r="Q6972" t="s">
        <v>32352</v>
      </c>
      <c r="R6972">
        <v>20</v>
      </c>
      <c r="S6972">
        <v>32</v>
      </c>
    </row>
    <row r="6973" spans="1:19" x14ac:dyDescent="0.35">
      <c r="A6973">
        <v>6227</v>
      </c>
      <c r="B6973" t="s">
        <v>32345</v>
      </c>
      <c r="C6973" t="s">
        <v>42</v>
      </c>
      <c r="D6973" t="s">
        <v>32346</v>
      </c>
      <c r="E6973" t="e" cm="1">
        <f t="array" ref="E6973">- THIAMPHENICOL</f>
        <v>#NAME?</v>
      </c>
      <c r="F6973" t="s">
        <v>32347</v>
      </c>
      <c r="H6973" t="s">
        <v>27856</v>
      </c>
      <c r="I6973" t="s">
        <v>32348</v>
      </c>
      <c r="J6973" t="s">
        <v>810</v>
      </c>
      <c r="K6973" t="s">
        <v>19081</v>
      </c>
      <c r="L6973" t="s">
        <v>32349</v>
      </c>
      <c r="M6973" t="s">
        <v>38</v>
      </c>
      <c r="N6973" t="s">
        <v>272</v>
      </c>
      <c r="O6973" t="s">
        <v>32350</v>
      </c>
      <c r="P6973" t="s">
        <v>32351</v>
      </c>
      <c r="Q6973" t="s">
        <v>32352</v>
      </c>
      <c r="R6973">
        <v>20</v>
      </c>
      <c r="S6973">
        <v>32</v>
      </c>
    </row>
    <row r="6974" spans="1:19" x14ac:dyDescent="0.35">
      <c r="A6974">
        <v>7227</v>
      </c>
      <c r="B6974" t="s">
        <v>32353</v>
      </c>
      <c r="C6974" t="s">
        <v>850</v>
      </c>
      <c r="D6974" t="s">
        <v>32354</v>
      </c>
      <c r="E6974" t="e" cm="1">
        <f t="array" ref="E6974">- Camphor</f>
        <v>#NAME?</v>
      </c>
      <c r="F6974" t="s">
        <v>32355</v>
      </c>
      <c r="G6974" t="s">
        <v>32284</v>
      </c>
      <c r="H6974" t="s">
        <v>22320</v>
      </c>
      <c r="I6974" t="s">
        <v>32285</v>
      </c>
      <c r="J6974" t="s">
        <v>829</v>
      </c>
      <c r="K6974" t="s">
        <v>2858</v>
      </c>
      <c r="L6974" t="s">
        <v>32286</v>
      </c>
      <c r="M6974" t="s">
        <v>2115</v>
      </c>
      <c r="N6974" t="s">
        <v>853</v>
      </c>
      <c r="O6974" t="s">
        <v>32287</v>
      </c>
      <c r="P6974" t="s">
        <v>32356</v>
      </c>
      <c r="Q6974" t="s">
        <v>32357</v>
      </c>
      <c r="R6974">
        <v>20</v>
      </c>
      <c r="S6974">
        <v>32</v>
      </c>
    </row>
    <row r="6975" spans="1:19" x14ac:dyDescent="0.35">
      <c r="A6975">
        <v>2750</v>
      </c>
      <c r="B6975" t="s">
        <v>32358</v>
      </c>
      <c r="C6975" t="s">
        <v>42</v>
      </c>
      <c r="D6975" t="s">
        <v>32359</v>
      </c>
      <c r="E6975" t="e" cm="1">
        <f t="array" ref="E6975">- MEFENAMIC ACID</f>
        <v>#NAME?</v>
      </c>
      <c r="F6975" t="s">
        <v>32360</v>
      </c>
      <c r="G6975" t="s">
        <v>32361</v>
      </c>
      <c r="H6975" t="s">
        <v>32362</v>
      </c>
      <c r="I6975" t="s">
        <v>32363</v>
      </c>
      <c r="J6975" t="s">
        <v>32364</v>
      </c>
      <c r="K6975" t="s">
        <v>32365</v>
      </c>
      <c r="L6975" t="s">
        <v>32366</v>
      </c>
      <c r="M6975" t="s">
        <v>291</v>
      </c>
      <c r="N6975" t="s">
        <v>2235</v>
      </c>
      <c r="O6975" t="s">
        <v>32367</v>
      </c>
      <c r="P6975" t="s">
        <v>32368</v>
      </c>
      <c r="Q6975" t="s">
        <v>32369</v>
      </c>
      <c r="R6975">
        <v>20</v>
      </c>
      <c r="S6975">
        <v>32</v>
      </c>
    </row>
    <row r="6976" spans="1:19" x14ac:dyDescent="0.35">
      <c r="A6976">
        <v>2751</v>
      </c>
      <c r="B6976" t="s">
        <v>32358</v>
      </c>
      <c r="C6976" t="s">
        <v>42</v>
      </c>
      <c r="D6976" t="s">
        <v>32359</v>
      </c>
      <c r="E6976" t="e" cm="1">
        <f t="array" ref="E6976">- MEFENAMIC ACID</f>
        <v>#NAME?</v>
      </c>
      <c r="F6976" t="s">
        <v>32360</v>
      </c>
      <c r="G6976" t="s">
        <v>32361</v>
      </c>
      <c r="H6976" t="s">
        <v>32362</v>
      </c>
      <c r="I6976" t="s">
        <v>32363</v>
      </c>
      <c r="J6976" t="s">
        <v>32364</v>
      </c>
      <c r="K6976" t="s">
        <v>32365</v>
      </c>
      <c r="L6976" t="s">
        <v>32366</v>
      </c>
      <c r="M6976" t="s">
        <v>291</v>
      </c>
      <c r="N6976" t="s">
        <v>2235</v>
      </c>
      <c r="O6976" t="s">
        <v>32367</v>
      </c>
      <c r="P6976" t="s">
        <v>32368</v>
      </c>
      <c r="Q6976" t="s">
        <v>32369</v>
      </c>
      <c r="R6976">
        <v>20</v>
      </c>
      <c r="S6976">
        <v>32</v>
      </c>
    </row>
    <row r="6977" spans="1:19" x14ac:dyDescent="0.35">
      <c r="A6977">
        <v>7226</v>
      </c>
      <c r="B6977" t="s">
        <v>32353</v>
      </c>
      <c r="C6977" t="s">
        <v>850</v>
      </c>
      <c r="D6977" t="s">
        <v>32354</v>
      </c>
      <c r="E6977" t="s">
        <v>2069</v>
      </c>
      <c r="F6977" t="s">
        <v>32355</v>
      </c>
      <c r="G6977" t="s">
        <v>32284</v>
      </c>
      <c r="H6977" t="s">
        <v>22320</v>
      </c>
      <c r="I6977" t="s">
        <v>32285</v>
      </c>
      <c r="J6977" t="s">
        <v>829</v>
      </c>
      <c r="K6977" t="s">
        <v>2858</v>
      </c>
      <c r="L6977" t="s">
        <v>32286</v>
      </c>
      <c r="M6977" t="s">
        <v>2115</v>
      </c>
      <c r="N6977" t="s">
        <v>2071</v>
      </c>
      <c r="O6977" t="s">
        <v>32287</v>
      </c>
      <c r="P6977" t="s">
        <v>32356</v>
      </c>
      <c r="Q6977" t="s">
        <v>32370</v>
      </c>
      <c r="R6977">
        <v>20</v>
      </c>
      <c r="S6977">
        <v>32</v>
      </c>
    </row>
    <row r="6978" spans="1:19" x14ac:dyDescent="0.35">
      <c r="A6978">
        <v>1429</v>
      </c>
      <c r="B6978" t="s">
        <v>9861</v>
      </c>
      <c r="C6978" t="s">
        <v>42</v>
      </c>
      <c r="D6978" t="s">
        <v>31378</v>
      </c>
      <c r="E6978" t="e" cm="1">
        <f t="array" ref="E6978">- AMBROXOL HYDROCHLORIDE</f>
        <v>#NAME?</v>
      </c>
      <c r="F6978" t="s">
        <v>31379</v>
      </c>
      <c r="G6978" t="s">
        <v>2241</v>
      </c>
      <c r="H6978" t="s">
        <v>31380</v>
      </c>
      <c r="I6978" t="s">
        <v>31381</v>
      </c>
      <c r="J6978" t="s">
        <v>31382</v>
      </c>
      <c r="K6978" t="s">
        <v>30588</v>
      </c>
      <c r="L6978" t="s">
        <v>9866</v>
      </c>
      <c r="M6978" t="s">
        <v>271</v>
      </c>
      <c r="N6978" t="s">
        <v>1800</v>
      </c>
      <c r="O6978" t="s">
        <v>31383</v>
      </c>
      <c r="P6978" t="s">
        <v>9869</v>
      </c>
      <c r="Q6978" t="s">
        <v>32371</v>
      </c>
      <c r="R6978">
        <v>20</v>
      </c>
      <c r="S6978">
        <v>32</v>
      </c>
    </row>
    <row r="6979" spans="1:19" x14ac:dyDescent="0.35">
      <c r="A6979">
        <v>7347</v>
      </c>
      <c r="B6979" t="s">
        <v>32123</v>
      </c>
      <c r="C6979" t="s">
        <v>42</v>
      </c>
      <c r="D6979" t="s">
        <v>32124</v>
      </c>
      <c r="E6979" t="e" cm="1">
        <f t="array" ref="E6979">- POVIDONE-IODINE</f>
        <v>#NAME?</v>
      </c>
      <c r="F6979" t="s">
        <v>32125</v>
      </c>
      <c r="G6979" t="s">
        <v>32126</v>
      </c>
      <c r="H6979" t="s">
        <v>32127</v>
      </c>
      <c r="I6979" t="s">
        <v>32128</v>
      </c>
      <c r="J6979" t="s">
        <v>32129</v>
      </c>
      <c r="K6979" t="s">
        <v>32130</v>
      </c>
      <c r="L6979" t="s">
        <v>32131</v>
      </c>
      <c r="M6979" t="s">
        <v>554</v>
      </c>
      <c r="N6979" t="s">
        <v>555</v>
      </c>
      <c r="O6979" t="s">
        <v>32132</v>
      </c>
      <c r="P6979" t="s">
        <v>32133</v>
      </c>
      <c r="Q6979" t="s">
        <v>32134</v>
      </c>
      <c r="R6979">
        <v>20</v>
      </c>
      <c r="S6979">
        <v>32</v>
      </c>
    </row>
    <row r="6980" spans="1:19" x14ac:dyDescent="0.35">
      <c r="A6980">
        <v>9083</v>
      </c>
      <c r="B6980" t="s">
        <v>32372</v>
      </c>
      <c r="C6980" t="s">
        <v>42</v>
      </c>
      <c r="D6980" t="s">
        <v>32373</v>
      </c>
      <c r="E6980" t="e" cm="1">
        <f t="array" ref="E6980">- AMLODIPINE BESILATE</f>
        <v>#NAME?</v>
      </c>
      <c r="F6980" t="s">
        <v>32374</v>
      </c>
      <c r="G6980" t="s">
        <v>31652</v>
      </c>
      <c r="H6980" t="s">
        <v>31653</v>
      </c>
      <c r="I6980" t="s">
        <v>32375</v>
      </c>
      <c r="J6980" t="s">
        <v>32376</v>
      </c>
      <c r="K6980" t="s">
        <v>31656</v>
      </c>
      <c r="L6980" t="s">
        <v>32377</v>
      </c>
      <c r="M6980" t="s">
        <v>46</v>
      </c>
      <c r="N6980" t="s">
        <v>2484</v>
      </c>
      <c r="O6980" t="s">
        <v>32378</v>
      </c>
      <c r="P6980" t="s">
        <v>31659</v>
      </c>
      <c r="Q6980" t="s">
        <v>32379</v>
      </c>
      <c r="R6980">
        <v>20</v>
      </c>
      <c r="S6980">
        <v>32</v>
      </c>
    </row>
    <row r="6981" spans="1:19" x14ac:dyDescent="0.35">
      <c r="A6981">
        <v>936</v>
      </c>
      <c r="B6981" t="s">
        <v>30117</v>
      </c>
      <c r="C6981" t="s">
        <v>42</v>
      </c>
      <c r="D6981" t="s">
        <v>30118</v>
      </c>
      <c r="E6981" t="e" cm="1">
        <f t="array" ref="E6981">- PSEUDOEPHEDRINE HYDROCHLORIDE. DEXTROMETHORPHAN HYDROBROMIDE</f>
        <v>#NAME?</v>
      </c>
      <c r="F6981" t="s">
        <v>30119</v>
      </c>
      <c r="G6981" t="s">
        <v>5839</v>
      </c>
      <c r="H6981" t="s">
        <v>30120</v>
      </c>
      <c r="I6981" t="s">
        <v>30121</v>
      </c>
      <c r="J6981" t="s">
        <v>334</v>
      </c>
      <c r="K6981" t="s">
        <v>30122</v>
      </c>
      <c r="L6981" t="s">
        <v>30123</v>
      </c>
      <c r="M6981" t="s">
        <v>271</v>
      </c>
      <c r="N6981" t="s">
        <v>32380</v>
      </c>
      <c r="O6981" t="s">
        <v>30124</v>
      </c>
      <c r="P6981" t="s">
        <v>30125</v>
      </c>
      <c r="Q6981" t="s">
        <v>32381</v>
      </c>
      <c r="R6981">
        <v>20</v>
      </c>
      <c r="S6981">
        <v>32</v>
      </c>
    </row>
    <row r="6982" spans="1:19" x14ac:dyDescent="0.35">
      <c r="A6982">
        <v>935</v>
      </c>
      <c r="B6982" t="s">
        <v>30117</v>
      </c>
      <c r="C6982" t="s">
        <v>42</v>
      </c>
      <c r="D6982" t="s">
        <v>30118</v>
      </c>
      <c r="E6982" t="e" cm="1">
        <f t="array" ref="E6982">- PSEUDOEPHEDRINE HYDROCHLORIDE. DEXTROMETHORPHAN HYDROBROMIDE</f>
        <v>#NAME?</v>
      </c>
      <c r="F6982" t="s">
        <v>30119</v>
      </c>
      <c r="G6982" t="s">
        <v>5839</v>
      </c>
      <c r="H6982" t="s">
        <v>30120</v>
      </c>
      <c r="I6982" t="s">
        <v>30121</v>
      </c>
      <c r="J6982" t="s">
        <v>334</v>
      </c>
      <c r="K6982" t="s">
        <v>30122</v>
      </c>
      <c r="L6982" t="s">
        <v>30123</v>
      </c>
      <c r="M6982" t="s">
        <v>271</v>
      </c>
      <c r="N6982" t="s">
        <v>32380</v>
      </c>
      <c r="O6982" t="s">
        <v>30124</v>
      </c>
      <c r="P6982" t="s">
        <v>30125</v>
      </c>
      <c r="Q6982" t="s">
        <v>32381</v>
      </c>
      <c r="R6982">
        <v>20</v>
      </c>
      <c r="S6982">
        <v>32</v>
      </c>
    </row>
    <row r="6983" spans="1:19" x14ac:dyDescent="0.35">
      <c r="A6983">
        <v>6166</v>
      </c>
      <c r="B6983" t="s">
        <v>32382</v>
      </c>
      <c r="C6983" t="s">
        <v>42</v>
      </c>
      <c r="D6983" t="s">
        <v>32383</v>
      </c>
      <c r="E6983" t="e" cm="1">
        <f t="array" ref="E6983">- LINCOMYCIN HYDROCHLORIDE</f>
        <v>#NAME?</v>
      </c>
      <c r="F6983" t="s">
        <v>32384</v>
      </c>
      <c r="G6983" t="s">
        <v>5568</v>
      </c>
      <c r="H6983" t="s">
        <v>32385</v>
      </c>
      <c r="I6983" t="s">
        <v>32386</v>
      </c>
      <c r="J6983" t="s">
        <v>25843</v>
      </c>
      <c r="K6983" t="s">
        <v>32387</v>
      </c>
      <c r="L6983" t="s">
        <v>32388</v>
      </c>
      <c r="M6983" t="s">
        <v>38</v>
      </c>
      <c r="N6983" t="s">
        <v>9272</v>
      </c>
      <c r="O6983" t="s">
        <v>32389</v>
      </c>
      <c r="P6983" t="s">
        <v>32390</v>
      </c>
      <c r="Q6983" t="s">
        <v>32391</v>
      </c>
      <c r="R6983">
        <v>20</v>
      </c>
      <c r="S6983">
        <v>32</v>
      </c>
    </row>
    <row r="6984" spans="1:19" x14ac:dyDescent="0.35">
      <c r="A6984">
        <v>2935</v>
      </c>
      <c r="B6984" t="s">
        <v>32392</v>
      </c>
      <c r="C6984" t="s">
        <v>42</v>
      </c>
      <c r="D6984" t="s">
        <v>32393</v>
      </c>
      <c r="E6984" t="e" cm="1">
        <f t="array" ref="E6984">- PARACETAMOL</f>
        <v>#NAME?</v>
      </c>
      <c r="F6984" t="s">
        <v>32394</v>
      </c>
      <c r="G6984" t="s">
        <v>2241</v>
      </c>
      <c r="H6984" t="s">
        <v>32395</v>
      </c>
      <c r="I6984" t="s">
        <v>32224</v>
      </c>
      <c r="J6984" t="s">
        <v>32396</v>
      </c>
      <c r="M6984" t="s">
        <v>824</v>
      </c>
      <c r="N6984" t="s">
        <v>584</v>
      </c>
      <c r="O6984" t="s">
        <v>32225</v>
      </c>
      <c r="P6984" t="s">
        <v>24359</v>
      </c>
      <c r="Q6984" t="s">
        <v>32397</v>
      </c>
      <c r="R6984">
        <v>20</v>
      </c>
      <c r="S6984">
        <v>32</v>
      </c>
    </row>
    <row r="6985" spans="1:19" x14ac:dyDescent="0.35">
      <c r="A6985">
        <v>2934</v>
      </c>
      <c r="B6985" t="s">
        <v>32392</v>
      </c>
      <c r="C6985" t="s">
        <v>42</v>
      </c>
      <c r="D6985" t="s">
        <v>32393</v>
      </c>
      <c r="E6985" t="e" cm="1">
        <f t="array" ref="E6985">- PARACETAMOL</f>
        <v>#NAME?</v>
      </c>
      <c r="F6985" t="s">
        <v>32394</v>
      </c>
      <c r="G6985" t="s">
        <v>2241</v>
      </c>
      <c r="H6985" t="s">
        <v>32395</v>
      </c>
      <c r="I6985" t="s">
        <v>32224</v>
      </c>
      <c r="J6985" t="s">
        <v>32396</v>
      </c>
      <c r="M6985" t="s">
        <v>824</v>
      </c>
      <c r="N6985" t="s">
        <v>584</v>
      </c>
      <c r="O6985" t="s">
        <v>32225</v>
      </c>
      <c r="P6985" t="s">
        <v>24359</v>
      </c>
      <c r="Q6985" t="s">
        <v>32397</v>
      </c>
      <c r="R6985">
        <v>20</v>
      </c>
      <c r="S6985">
        <v>32</v>
      </c>
    </row>
    <row r="6986" spans="1:19" x14ac:dyDescent="0.35">
      <c r="A6986">
        <v>2932</v>
      </c>
      <c r="B6986" t="s">
        <v>32312</v>
      </c>
      <c r="C6986" t="s">
        <v>42</v>
      </c>
      <c r="D6986" t="s">
        <v>32313</v>
      </c>
      <c r="E6986" t="e" cm="1">
        <f t="array" ref="E6986">- PARACETAMOL</f>
        <v>#NAME?</v>
      </c>
      <c r="F6986" t="s">
        <v>32314</v>
      </c>
      <c r="I6986" t="s">
        <v>32224</v>
      </c>
      <c r="J6986" t="s">
        <v>334</v>
      </c>
      <c r="M6986" t="s">
        <v>271</v>
      </c>
      <c r="N6986" t="s">
        <v>584</v>
      </c>
      <c r="O6986" t="s">
        <v>32225</v>
      </c>
      <c r="P6986" t="s">
        <v>24359</v>
      </c>
      <c r="Q6986" t="s">
        <v>32315</v>
      </c>
      <c r="R6986">
        <v>20</v>
      </c>
      <c r="S6986">
        <v>32</v>
      </c>
    </row>
    <row r="6987" spans="1:19" x14ac:dyDescent="0.35">
      <c r="A6987">
        <v>7348</v>
      </c>
      <c r="B6987" t="s">
        <v>32123</v>
      </c>
      <c r="C6987" t="s">
        <v>42</v>
      </c>
      <c r="D6987" t="s">
        <v>32124</v>
      </c>
      <c r="E6987" t="e" cm="1">
        <f t="array" ref="E6987">- POVIDONE-IODINE</f>
        <v>#NAME?</v>
      </c>
      <c r="F6987" t="s">
        <v>32125</v>
      </c>
      <c r="G6987" t="s">
        <v>32126</v>
      </c>
      <c r="H6987" t="s">
        <v>32127</v>
      </c>
      <c r="I6987" t="s">
        <v>32128</v>
      </c>
      <c r="J6987" t="s">
        <v>32129</v>
      </c>
      <c r="K6987" t="s">
        <v>32130</v>
      </c>
      <c r="L6987" t="s">
        <v>32131</v>
      </c>
      <c r="M6987" t="s">
        <v>554</v>
      </c>
      <c r="N6987" t="s">
        <v>555</v>
      </c>
      <c r="O6987" t="s">
        <v>32132</v>
      </c>
      <c r="P6987" t="s">
        <v>32133</v>
      </c>
      <c r="Q6987" t="s">
        <v>32134</v>
      </c>
      <c r="R6987">
        <v>20</v>
      </c>
      <c r="S6987">
        <v>32</v>
      </c>
    </row>
    <row r="6988" spans="1:19" x14ac:dyDescent="0.35">
      <c r="A6988">
        <v>3564</v>
      </c>
      <c r="B6988" t="s">
        <v>32398</v>
      </c>
      <c r="C6988" t="s">
        <v>42</v>
      </c>
      <c r="D6988" t="s">
        <v>32399</v>
      </c>
      <c r="E6988" t="e" cm="1">
        <f t="array" ref="E6988">- DOMPERIDONE</f>
        <v>#NAME?</v>
      </c>
      <c r="F6988" s="1">
        <v>35700</v>
      </c>
      <c r="G6988" t="s">
        <v>10502</v>
      </c>
      <c r="H6988" t="s">
        <v>32400</v>
      </c>
      <c r="I6988" t="s">
        <v>32401</v>
      </c>
    </row>
    <row r="6989" spans="1:19" x14ac:dyDescent="0.35">
      <c r="A6989">
        <v>3405</v>
      </c>
      <c r="B6989" t="s">
        <v>32402</v>
      </c>
      <c r="C6989" t="s">
        <v>42</v>
      </c>
      <c r="D6989" t="s">
        <v>32403</v>
      </c>
      <c r="E6989" t="e" cm="1">
        <f t="array" ref="E6989">- CIMETIDINE</f>
        <v>#NAME?</v>
      </c>
      <c r="F6989" t="s">
        <v>32404</v>
      </c>
      <c r="G6989" t="s">
        <v>32405</v>
      </c>
      <c r="H6989" t="s">
        <v>32406</v>
      </c>
      <c r="I6989" t="s">
        <v>32407</v>
      </c>
      <c r="J6989" t="s">
        <v>5221</v>
      </c>
      <c r="K6989" t="s">
        <v>3473</v>
      </c>
      <c r="L6989" t="s">
        <v>32408</v>
      </c>
      <c r="M6989" t="s">
        <v>46</v>
      </c>
      <c r="N6989" t="s">
        <v>396</v>
      </c>
      <c r="O6989" t="s">
        <v>32409</v>
      </c>
      <c r="P6989" t="s">
        <v>32410</v>
      </c>
      <c r="Q6989" t="s">
        <v>32411</v>
      </c>
      <c r="R6989">
        <v>20</v>
      </c>
      <c r="S6989">
        <v>32</v>
      </c>
    </row>
    <row r="6990" spans="1:19" x14ac:dyDescent="0.35">
      <c r="A6990">
        <v>7584</v>
      </c>
      <c r="B6990" t="s">
        <v>32412</v>
      </c>
      <c r="C6990" t="s">
        <v>20</v>
      </c>
      <c r="D6990" t="s">
        <v>32413</v>
      </c>
      <c r="E6990" t="s">
        <v>32414</v>
      </c>
      <c r="F6990" t="s">
        <v>32415</v>
      </c>
      <c r="I6990" t="s">
        <v>32416</v>
      </c>
      <c r="J6990" t="s">
        <v>846</v>
      </c>
      <c r="M6990" t="s">
        <v>271</v>
      </c>
      <c r="N6990" t="s">
        <v>32417</v>
      </c>
      <c r="O6990" t="s">
        <v>32418</v>
      </c>
      <c r="P6990" t="s">
        <v>32419</v>
      </c>
      <c r="Q6990" t="s">
        <v>32420</v>
      </c>
      <c r="R6990">
        <v>20</v>
      </c>
      <c r="S6990">
        <v>32</v>
      </c>
    </row>
    <row r="6991" spans="1:19" x14ac:dyDescent="0.35">
      <c r="A6991">
        <v>7581</v>
      </c>
      <c r="B6991" t="s">
        <v>32421</v>
      </c>
      <c r="C6991" t="s">
        <v>20</v>
      </c>
      <c r="D6991" t="s">
        <v>32422</v>
      </c>
      <c r="E6991" t="s">
        <v>32423</v>
      </c>
      <c r="F6991" t="s">
        <v>32424</v>
      </c>
      <c r="G6991" t="s">
        <v>1724</v>
      </c>
      <c r="H6991" t="s">
        <v>32425</v>
      </c>
      <c r="I6991" t="s">
        <v>32426</v>
      </c>
      <c r="J6991" t="s">
        <v>32427</v>
      </c>
      <c r="M6991" t="s">
        <v>271</v>
      </c>
      <c r="N6991" t="s">
        <v>32428</v>
      </c>
      <c r="O6991" t="s">
        <v>32429</v>
      </c>
      <c r="P6991" t="s">
        <v>32428</v>
      </c>
      <c r="Q6991" t="s">
        <v>32430</v>
      </c>
      <c r="R6991">
        <v>20</v>
      </c>
      <c r="S6991">
        <v>32</v>
      </c>
    </row>
    <row r="6992" spans="1:19" x14ac:dyDescent="0.35">
      <c r="A6992">
        <v>7580</v>
      </c>
      <c r="B6992" t="s">
        <v>32421</v>
      </c>
      <c r="C6992" t="s">
        <v>20</v>
      </c>
      <c r="D6992" t="s">
        <v>32431</v>
      </c>
      <c r="E6992" t="s">
        <v>32423</v>
      </c>
      <c r="F6992" t="s">
        <v>32432</v>
      </c>
      <c r="G6992" t="s">
        <v>1724</v>
      </c>
      <c r="H6992" t="s">
        <v>32433</v>
      </c>
      <c r="I6992" t="s">
        <v>32434</v>
      </c>
      <c r="J6992" t="s">
        <v>32435</v>
      </c>
      <c r="M6992" t="s">
        <v>554</v>
      </c>
      <c r="N6992" t="s">
        <v>32428</v>
      </c>
      <c r="O6992" t="s">
        <v>32436</v>
      </c>
      <c r="P6992" t="s">
        <v>32437</v>
      </c>
      <c r="Q6992" t="s">
        <v>32438</v>
      </c>
      <c r="R6992">
        <v>20</v>
      </c>
      <c r="S6992">
        <v>32</v>
      </c>
    </row>
    <row r="6993" spans="1:19" x14ac:dyDescent="0.35">
      <c r="A6993">
        <v>5034</v>
      </c>
      <c r="B6993" t="s">
        <v>32439</v>
      </c>
      <c r="C6993" t="s">
        <v>42</v>
      </c>
      <c r="D6993" t="s">
        <v>32440</v>
      </c>
      <c r="E6993" t="e" cm="1">
        <f t="array" ref="E6993">- BETAMETHASONE DIPROPIONATE. Salicylic ACID</f>
        <v>#NAME?</v>
      </c>
      <c r="F6993" t="s">
        <v>32441</v>
      </c>
      <c r="G6993" t="s">
        <v>32442</v>
      </c>
      <c r="H6993" t="s">
        <v>32443</v>
      </c>
      <c r="I6993" t="s">
        <v>32444</v>
      </c>
      <c r="J6993" t="s">
        <v>11915</v>
      </c>
      <c r="K6993" t="s">
        <v>32445</v>
      </c>
      <c r="L6993" t="s">
        <v>32446</v>
      </c>
      <c r="M6993" t="s">
        <v>1029</v>
      </c>
      <c r="N6993" t="s">
        <v>32447</v>
      </c>
      <c r="O6993" t="s">
        <v>32448</v>
      </c>
      <c r="P6993" t="s">
        <v>32449</v>
      </c>
      <c r="Q6993" t="s">
        <v>32450</v>
      </c>
      <c r="R6993">
        <v>20</v>
      </c>
      <c r="S6993">
        <v>32</v>
      </c>
    </row>
    <row r="6994" spans="1:19" x14ac:dyDescent="0.35">
      <c r="A6994">
        <v>5947</v>
      </c>
      <c r="B6994" t="s">
        <v>32451</v>
      </c>
      <c r="C6994" t="s">
        <v>42</v>
      </c>
      <c r="D6994" t="s">
        <v>32452</v>
      </c>
      <c r="E6994" t="e" cm="1">
        <f t="array" ref="E6994">- CLINDAMYCIN HYDROCHLORIDE</f>
        <v>#NAME?</v>
      </c>
      <c r="F6994" t="s">
        <v>32453</v>
      </c>
      <c r="G6994" t="s">
        <v>2266</v>
      </c>
      <c r="H6994" t="s">
        <v>32454</v>
      </c>
      <c r="I6994" t="s">
        <v>32455</v>
      </c>
      <c r="J6994" t="s">
        <v>32456</v>
      </c>
      <c r="K6994" t="s">
        <v>32457</v>
      </c>
      <c r="L6994" t="s">
        <v>32458</v>
      </c>
      <c r="M6994" t="s">
        <v>38</v>
      </c>
      <c r="N6994" t="s">
        <v>23622</v>
      </c>
      <c r="O6994" t="s">
        <v>32459</v>
      </c>
      <c r="P6994" t="s">
        <v>32460</v>
      </c>
      <c r="Q6994" t="s">
        <v>32461</v>
      </c>
      <c r="R6994">
        <v>20</v>
      </c>
      <c r="S6994">
        <v>32</v>
      </c>
    </row>
    <row r="6995" spans="1:19" x14ac:dyDescent="0.35">
      <c r="A6995">
        <v>4329</v>
      </c>
      <c r="B6995" t="s">
        <v>32462</v>
      </c>
      <c r="C6995" t="s">
        <v>20</v>
      </c>
      <c r="D6995" t="s">
        <v>32463</v>
      </c>
      <c r="E6995" t="s">
        <v>32464</v>
      </c>
      <c r="F6995" t="s">
        <v>7486</v>
      </c>
      <c r="I6995" t="s">
        <v>32465</v>
      </c>
      <c r="J6995" t="s">
        <v>32466</v>
      </c>
      <c r="N6995" t="s">
        <v>32467</v>
      </c>
      <c r="O6995" t="s">
        <v>32468</v>
      </c>
      <c r="P6995" t="s">
        <v>32469</v>
      </c>
      <c r="Q6995" t="s">
        <v>32470</v>
      </c>
      <c r="R6995">
        <v>20</v>
      </c>
      <c r="S6995">
        <v>32</v>
      </c>
    </row>
    <row r="6996" spans="1:19" x14ac:dyDescent="0.35">
      <c r="A6996">
        <v>4325</v>
      </c>
      <c r="B6996" t="s">
        <v>32471</v>
      </c>
      <c r="C6996" t="s">
        <v>850</v>
      </c>
      <c r="D6996" t="s">
        <v>32472</v>
      </c>
      <c r="E6996" t="e" cm="1">
        <f t="array" ref="E6996">- Acidum Benzoicum</f>
        <v>#NAME?</v>
      </c>
      <c r="F6996" t="s">
        <v>30489</v>
      </c>
      <c r="G6996" t="s">
        <v>32473</v>
      </c>
      <c r="H6996" t="s">
        <v>6227</v>
      </c>
      <c r="I6996" t="s">
        <v>32474</v>
      </c>
      <c r="J6996" t="s">
        <v>32475</v>
      </c>
      <c r="L6996" t="s">
        <v>32476</v>
      </c>
      <c r="M6996" t="s">
        <v>1029</v>
      </c>
      <c r="N6996" t="s">
        <v>19569</v>
      </c>
      <c r="O6996" t="s">
        <v>32477</v>
      </c>
      <c r="P6996" t="s">
        <v>32478</v>
      </c>
      <c r="Q6996" t="s">
        <v>32479</v>
      </c>
      <c r="R6996">
        <v>20</v>
      </c>
      <c r="S6996">
        <v>32</v>
      </c>
    </row>
    <row r="6997" spans="1:19" x14ac:dyDescent="0.35">
      <c r="A6997">
        <v>1140</v>
      </c>
      <c r="B6997" t="s">
        <v>22347</v>
      </c>
      <c r="C6997" t="s">
        <v>42</v>
      </c>
      <c r="D6997" t="s">
        <v>23120</v>
      </c>
      <c r="E6997" t="e" cm="1">
        <f t="array" ref="E6997">- SUCCUS LIQUIRITIAE. AMMONIUM CHLORIDE. PSEUDOEPHEDRINE HYDROCHLORIDE. CHLORPHENAMINE MALEATE</f>
        <v>#NAME?</v>
      </c>
      <c r="F6997" t="s">
        <v>23121</v>
      </c>
      <c r="H6997" t="s">
        <v>22350</v>
      </c>
      <c r="I6997" t="s">
        <v>22351</v>
      </c>
      <c r="J6997" t="s">
        <v>374</v>
      </c>
      <c r="K6997" t="s">
        <v>22352</v>
      </c>
      <c r="M6997" t="s">
        <v>271</v>
      </c>
      <c r="N6997" t="s">
        <v>32480</v>
      </c>
      <c r="O6997" t="s">
        <v>22353</v>
      </c>
      <c r="P6997" t="s">
        <v>22354</v>
      </c>
      <c r="Q6997" t="s">
        <v>32481</v>
      </c>
      <c r="R6997">
        <v>20</v>
      </c>
      <c r="S6997">
        <v>32</v>
      </c>
    </row>
    <row r="6998" spans="1:19" x14ac:dyDescent="0.35">
      <c r="A6998">
        <v>1141</v>
      </c>
      <c r="B6998" t="s">
        <v>22347</v>
      </c>
      <c r="C6998" t="s">
        <v>42</v>
      </c>
      <c r="D6998" t="s">
        <v>23120</v>
      </c>
      <c r="E6998" t="e" cm="1">
        <f t="array" ref="E6998">- SUCCUS LIQUIRITIAE. AMMONIUM CHLORIDE. PSEUDOEPHEDRINE HYDROCHLORIDE. CHLORPHENAMINE MALEATE</f>
        <v>#NAME?</v>
      </c>
      <c r="F6998" t="s">
        <v>23121</v>
      </c>
      <c r="H6998" t="s">
        <v>22350</v>
      </c>
      <c r="I6998" t="s">
        <v>22351</v>
      </c>
      <c r="J6998" t="s">
        <v>374</v>
      </c>
      <c r="K6998" t="s">
        <v>22352</v>
      </c>
      <c r="M6998" t="s">
        <v>271</v>
      </c>
      <c r="N6998" t="s">
        <v>32480</v>
      </c>
      <c r="O6998" t="s">
        <v>22353</v>
      </c>
      <c r="P6998" t="s">
        <v>22354</v>
      </c>
      <c r="Q6998" t="s">
        <v>32481</v>
      </c>
      <c r="R6998">
        <v>20</v>
      </c>
      <c r="S6998">
        <v>32</v>
      </c>
    </row>
    <row r="6999" spans="1:19" x14ac:dyDescent="0.35">
      <c r="A6999">
        <v>1144</v>
      </c>
      <c r="B6999" t="s">
        <v>22347</v>
      </c>
      <c r="C6999" t="s">
        <v>42</v>
      </c>
      <c r="D6999" t="s">
        <v>22348</v>
      </c>
      <c r="E6999" t="e" cm="1">
        <f t="array" ref="E6999">- SUCCUS LIQUIRITIAE. AMMONIUM CHLORIDE. PSEUDOEPHEDRINE HYDROCHLORIDE. CHLORPHENAMINE MALEATE</f>
        <v>#NAME?</v>
      </c>
      <c r="F6999" t="s">
        <v>22349</v>
      </c>
      <c r="H6999" t="s">
        <v>22350</v>
      </c>
      <c r="I6999" t="s">
        <v>22351</v>
      </c>
      <c r="J6999" t="s">
        <v>334</v>
      </c>
      <c r="K6999" t="s">
        <v>22352</v>
      </c>
      <c r="M6999" t="s">
        <v>271</v>
      </c>
      <c r="N6999" t="s">
        <v>32480</v>
      </c>
      <c r="O6999" t="s">
        <v>22353</v>
      </c>
      <c r="P6999" t="s">
        <v>22354</v>
      </c>
      <c r="Q6999" t="s">
        <v>32481</v>
      </c>
      <c r="R6999">
        <v>20</v>
      </c>
      <c r="S6999">
        <v>32</v>
      </c>
    </row>
    <row r="7000" spans="1:19" x14ac:dyDescent="0.35">
      <c r="A7000">
        <v>1145</v>
      </c>
      <c r="B7000" t="s">
        <v>22347</v>
      </c>
      <c r="C7000" t="s">
        <v>42</v>
      </c>
      <c r="D7000" t="s">
        <v>22348</v>
      </c>
      <c r="E7000" t="e" cm="1">
        <f t="array" ref="E7000">- SUCCUS LIQUIRITIAE. AMMONIUM CHLORIDE. PSEUDOEPHEDRINE HYDROCHLORIDE. CHLORPHENAMINE MALEATE</f>
        <v>#NAME?</v>
      </c>
      <c r="F7000" t="s">
        <v>22349</v>
      </c>
      <c r="H7000" t="s">
        <v>22350</v>
      </c>
      <c r="I7000" t="s">
        <v>22351</v>
      </c>
      <c r="J7000" t="s">
        <v>334</v>
      </c>
      <c r="K7000" t="s">
        <v>22352</v>
      </c>
      <c r="M7000" t="s">
        <v>271</v>
      </c>
      <c r="N7000" t="s">
        <v>32480</v>
      </c>
      <c r="O7000" t="s">
        <v>22353</v>
      </c>
      <c r="P7000" t="s">
        <v>22354</v>
      </c>
      <c r="Q7000" t="s">
        <v>32481</v>
      </c>
      <c r="R7000">
        <v>20</v>
      </c>
      <c r="S7000">
        <v>32</v>
      </c>
    </row>
    <row r="7001" spans="1:19" x14ac:dyDescent="0.35">
      <c r="A7001">
        <v>7585</v>
      </c>
      <c r="B7001" t="s">
        <v>32482</v>
      </c>
      <c r="C7001" t="s">
        <v>20</v>
      </c>
      <c r="D7001" t="s">
        <v>32483</v>
      </c>
      <c r="E7001" t="s">
        <v>32484</v>
      </c>
      <c r="F7001" t="s">
        <v>32485</v>
      </c>
      <c r="I7001" t="s">
        <v>32416</v>
      </c>
      <c r="J7001" t="s">
        <v>334</v>
      </c>
      <c r="M7001" t="s">
        <v>271</v>
      </c>
      <c r="N7001" t="s">
        <v>32486</v>
      </c>
      <c r="O7001" t="s">
        <v>32418</v>
      </c>
      <c r="P7001" t="s">
        <v>32487</v>
      </c>
      <c r="Q7001" t="s">
        <v>32488</v>
      </c>
      <c r="R7001">
        <v>20</v>
      </c>
      <c r="S7001">
        <v>32</v>
      </c>
    </row>
    <row r="7002" spans="1:19" x14ac:dyDescent="0.35">
      <c r="A7002">
        <v>1154</v>
      </c>
      <c r="B7002" t="s">
        <v>26547</v>
      </c>
      <c r="C7002" t="s">
        <v>42</v>
      </c>
      <c r="D7002" t="s">
        <v>26548</v>
      </c>
      <c r="E7002" t="e" cm="1">
        <f t="array" ref="E7002">- PARACETAMOL. PHENYLPROPANOLAMINE HYDROCHLORIDE. CHLORPHENAMINE MALEATE. GUAIFENESIN</f>
        <v>#NAME?</v>
      </c>
      <c r="F7002" s="1">
        <v>11500</v>
      </c>
      <c r="G7002" t="s">
        <v>2241</v>
      </c>
      <c r="H7002" t="s">
        <v>16054</v>
      </c>
      <c r="I7002" t="s">
        <v>26549</v>
      </c>
      <c r="J7002" t="s">
        <v>26550</v>
      </c>
      <c r="K7002" t="s">
        <v>2726</v>
      </c>
      <c r="L7002" t="s">
        <v>26551</v>
      </c>
      <c r="M7002" t="s">
        <v>291</v>
      </c>
      <c r="N7002" t="s">
        <v>32489</v>
      </c>
      <c r="O7002" t="s">
        <v>26523</v>
      </c>
      <c r="P7002" t="s">
        <v>8449</v>
      </c>
      <c r="Q7002" t="s">
        <v>32490</v>
      </c>
      <c r="R7002">
        <v>20</v>
      </c>
      <c r="S7002">
        <v>32</v>
      </c>
    </row>
    <row r="7003" spans="1:19" x14ac:dyDescent="0.35">
      <c r="A7003">
        <v>4148</v>
      </c>
      <c r="B7003" t="s">
        <v>32491</v>
      </c>
      <c r="C7003" t="s">
        <v>42</v>
      </c>
      <c r="D7003" t="s">
        <v>32492</v>
      </c>
      <c r="E7003" t="e" cm="1">
        <f t="array" ref="E7003">- CHLORPHENAMINE MALEATE</f>
        <v>#NAME?</v>
      </c>
      <c r="F7003" t="s">
        <v>32493</v>
      </c>
      <c r="G7003" t="s">
        <v>6135</v>
      </c>
      <c r="H7003" t="s">
        <v>32494</v>
      </c>
      <c r="I7003" t="s">
        <v>32495</v>
      </c>
      <c r="J7003" t="s">
        <v>32496</v>
      </c>
      <c r="K7003" t="s">
        <v>32497</v>
      </c>
      <c r="L7003" t="s">
        <v>2266</v>
      </c>
      <c r="M7003" t="s">
        <v>291</v>
      </c>
      <c r="N7003" t="s">
        <v>1354</v>
      </c>
      <c r="O7003" t="s">
        <v>32498</v>
      </c>
      <c r="P7003" t="s">
        <v>32499</v>
      </c>
      <c r="Q7003" t="s">
        <v>32500</v>
      </c>
      <c r="R7003">
        <v>20</v>
      </c>
      <c r="S7003">
        <v>32</v>
      </c>
    </row>
    <row r="7004" spans="1:19" x14ac:dyDescent="0.35">
      <c r="A7004">
        <v>5145</v>
      </c>
      <c r="B7004" t="s">
        <v>11874</v>
      </c>
      <c r="C7004" t="s">
        <v>42</v>
      </c>
      <c r="D7004" t="s">
        <v>32501</v>
      </c>
      <c r="E7004" t="e" cm="1">
        <f t="array" ref="E7004">- BETAMETHASONE DIPROPIONATE</f>
        <v>#NAME?</v>
      </c>
      <c r="F7004" t="s">
        <v>32502</v>
      </c>
      <c r="H7004" t="s">
        <v>32503</v>
      </c>
      <c r="I7004" t="s">
        <v>32504</v>
      </c>
      <c r="J7004" t="s">
        <v>32505</v>
      </c>
      <c r="K7004" t="s">
        <v>32506</v>
      </c>
      <c r="L7004" t="s">
        <v>32507</v>
      </c>
      <c r="M7004" t="s">
        <v>1289</v>
      </c>
      <c r="N7004" t="s">
        <v>2685</v>
      </c>
      <c r="O7004" t="s">
        <v>32508</v>
      </c>
      <c r="P7004" t="s">
        <v>11883</v>
      </c>
      <c r="Q7004" t="s">
        <v>32509</v>
      </c>
      <c r="R7004">
        <v>20</v>
      </c>
      <c r="S7004">
        <v>32</v>
      </c>
    </row>
    <row r="7005" spans="1:19" x14ac:dyDescent="0.35">
      <c r="A7005">
        <v>4147</v>
      </c>
      <c r="B7005" t="s">
        <v>32491</v>
      </c>
      <c r="C7005" t="s">
        <v>42</v>
      </c>
      <c r="D7005" t="s">
        <v>32492</v>
      </c>
      <c r="E7005" t="e" cm="1">
        <f t="array" ref="E7005">- CHLORPHENAMINE MALEATE</f>
        <v>#NAME?</v>
      </c>
      <c r="F7005" t="s">
        <v>32493</v>
      </c>
      <c r="G7005" t="s">
        <v>6135</v>
      </c>
      <c r="H7005" t="s">
        <v>32494</v>
      </c>
      <c r="I7005" t="s">
        <v>32495</v>
      </c>
      <c r="J7005" t="s">
        <v>32496</v>
      </c>
      <c r="K7005" t="s">
        <v>32497</v>
      </c>
      <c r="L7005" t="s">
        <v>2266</v>
      </c>
      <c r="M7005" t="s">
        <v>291</v>
      </c>
      <c r="N7005" t="s">
        <v>1354</v>
      </c>
      <c r="O7005" t="s">
        <v>32498</v>
      </c>
      <c r="P7005" t="s">
        <v>32499</v>
      </c>
      <c r="Q7005" t="s">
        <v>32500</v>
      </c>
      <c r="R7005">
        <v>20</v>
      </c>
      <c r="S7005">
        <v>32</v>
      </c>
    </row>
    <row r="7006" spans="1:19" x14ac:dyDescent="0.35">
      <c r="A7006">
        <v>4146</v>
      </c>
      <c r="B7006" t="s">
        <v>32491</v>
      </c>
      <c r="C7006" t="s">
        <v>42</v>
      </c>
      <c r="D7006" t="s">
        <v>32492</v>
      </c>
      <c r="E7006" t="e" cm="1">
        <f t="array" ref="E7006">- CHLORPHENAMINE MALEATE</f>
        <v>#NAME?</v>
      </c>
      <c r="F7006" t="s">
        <v>32493</v>
      </c>
      <c r="G7006" t="s">
        <v>6135</v>
      </c>
      <c r="H7006" t="s">
        <v>32494</v>
      </c>
      <c r="I7006" t="s">
        <v>32495</v>
      </c>
      <c r="J7006" t="s">
        <v>32496</v>
      </c>
      <c r="K7006" t="s">
        <v>32497</v>
      </c>
      <c r="L7006" t="s">
        <v>2266</v>
      </c>
      <c r="M7006" t="s">
        <v>291</v>
      </c>
      <c r="N7006" t="s">
        <v>1354</v>
      </c>
      <c r="O7006" t="s">
        <v>32498</v>
      </c>
      <c r="P7006" t="s">
        <v>32499</v>
      </c>
      <c r="Q7006" t="s">
        <v>32500</v>
      </c>
      <c r="R7006">
        <v>20</v>
      </c>
      <c r="S7006">
        <v>32</v>
      </c>
    </row>
    <row r="7007" spans="1:19" x14ac:dyDescent="0.35">
      <c r="A7007">
        <v>5150</v>
      </c>
      <c r="B7007" t="s">
        <v>11850</v>
      </c>
      <c r="C7007" t="s">
        <v>42</v>
      </c>
      <c r="D7007" t="s">
        <v>32510</v>
      </c>
      <c r="E7007" t="e" cm="1">
        <f t="array" ref="E7007">- TRIAMCINOLONE ACETONIDE</f>
        <v>#NAME?</v>
      </c>
      <c r="F7007" t="s">
        <v>32511</v>
      </c>
      <c r="H7007">
        <v>0</v>
      </c>
      <c r="I7007" t="s">
        <v>32512</v>
      </c>
      <c r="J7007" t="s">
        <v>32513</v>
      </c>
      <c r="L7007" t="s">
        <v>1403</v>
      </c>
      <c r="M7007" t="s">
        <v>1289</v>
      </c>
      <c r="N7007" t="s">
        <v>11859</v>
      </c>
      <c r="O7007" t="s">
        <v>32514</v>
      </c>
      <c r="P7007" t="s">
        <v>32515</v>
      </c>
      <c r="Q7007" t="s">
        <v>32516</v>
      </c>
      <c r="R7007">
        <v>20</v>
      </c>
      <c r="S7007">
        <v>32</v>
      </c>
    </row>
    <row r="7008" spans="1:19" x14ac:dyDescent="0.35">
      <c r="A7008">
        <v>4076</v>
      </c>
      <c r="B7008" t="s">
        <v>32517</v>
      </c>
      <c r="C7008" t="s">
        <v>42</v>
      </c>
      <c r="D7008" t="s">
        <v>32518</v>
      </c>
      <c r="E7008" t="e" cm="1">
        <f t="array" ref="E7008">- CHLORPHENAMINE MALEATE</f>
        <v>#NAME?</v>
      </c>
      <c r="F7008" t="s">
        <v>32519</v>
      </c>
      <c r="G7008" t="s">
        <v>2266</v>
      </c>
      <c r="H7008" t="s">
        <v>32520</v>
      </c>
      <c r="I7008" t="s">
        <v>32495</v>
      </c>
      <c r="J7008" t="s">
        <v>32521</v>
      </c>
      <c r="K7008" t="s">
        <v>2858</v>
      </c>
      <c r="L7008" t="s">
        <v>32522</v>
      </c>
      <c r="M7008" t="s">
        <v>46</v>
      </c>
      <c r="N7008" t="s">
        <v>1354</v>
      </c>
      <c r="O7008" t="s">
        <v>32498</v>
      </c>
      <c r="P7008" t="s">
        <v>32523</v>
      </c>
      <c r="Q7008" t="s">
        <v>32524</v>
      </c>
      <c r="R7008">
        <v>20</v>
      </c>
      <c r="S7008">
        <v>32</v>
      </c>
    </row>
    <row r="7009" spans="1:19" x14ac:dyDescent="0.35">
      <c r="A7009">
        <v>8052</v>
      </c>
      <c r="B7009" t="s">
        <v>551</v>
      </c>
      <c r="C7009" t="s">
        <v>42</v>
      </c>
      <c r="D7009" t="s">
        <v>32525</v>
      </c>
      <c r="E7009" t="e" cm="1">
        <f t="array" ref="E7009">- POVIDONE-IODINE</f>
        <v>#NAME?</v>
      </c>
      <c r="F7009" t="s">
        <v>32526</v>
      </c>
      <c r="G7009" t="s">
        <v>22321</v>
      </c>
      <c r="H7009" t="s">
        <v>1322</v>
      </c>
      <c r="I7009" t="s">
        <v>32527</v>
      </c>
      <c r="J7009" t="s">
        <v>32528</v>
      </c>
      <c r="L7009" t="s">
        <v>32529</v>
      </c>
      <c r="M7009" t="s">
        <v>554</v>
      </c>
      <c r="N7009" t="s">
        <v>555</v>
      </c>
      <c r="O7009" t="s">
        <v>32530</v>
      </c>
      <c r="P7009" t="s">
        <v>32531</v>
      </c>
      <c r="Q7009" t="s">
        <v>32532</v>
      </c>
      <c r="R7009">
        <v>20</v>
      </c>
      <c r="S7009">
        <v>32</v>
      </c>
    </row>
    <row r="7010" spans="1:19" x14ac:dyDescent="0.35">
      <c r="A7010">
        <v>8053</v>
      </c>
      <c r="B7010" t="s">
        <v>551</v>
      </c>
      <c r="C7010" t="s">
        <v>42</v>
      </c>
      <c r="D7010" t="s">
        <v>32525</v>
      </c>
      <c r="E7010" t="e" cm="1">
        <f t="array" ref="E7010">- POVIDONE-IODINE</f>
        <v>#NAME?</v>
      </c>
      <c r="F7010" t="s">
        <v>32526</v>
      </c>
      <c r="G7010" t="s">
        <v>22321</v>
      </c>
      <c r="H7010" t="s">
        <v>1322</v>
      </c>
      <c r="I7010" t="s">
        <v>32527</v>
      </c>
      <c r="J7010" t="s">
        <v>32528</v>
      </c>
      <c r="L7010" t="s">
        <v>32529</v>
      </c>
      <c r="M7010" t="s">
        <v>554</v>
      </c>
      <c r="N7010" t="s">
        <v>555</v>
      </c>
      <c r="O7010" t="s">
        <v>32530</v>
      </c>
      <c r="P7010" t="s">
        <v>32531</v>
      </c>
      <c r="Q7010" t="s">
        <v>32532</v>
      </c>
      <c r="R7010">
        <v>20</v>
      </c>
      <c r="S7010">
        <v>32</v>
      </c>
    </row>
    <row r="7011" spans="1:19" x14ac:dyDescent="0.35">
      <c r="A7011">
        <v>8054</v>
      </c>
      <c r="B7011" t="s">
        <v>551</v>
      </c>
      <c r="C7011" t="s">
        <v>42</v>
      </c>
      <c r="D7011" t="s">
        <v>32533</v>
      </c>
      <c r="E7011" t="e" cm="1">
        <f t="array" ref="E7011">- POVIDONE-IODINE</f>
        <v>#NAME?</v>
      </c>
      <c r="F7011" t="s">
        <v>32534</v>
      </c>
      <c r="G7011" t="s">
        <v>22321</v>
      </c>
      <c r="H7011" t="s">
        <v>1322</v>
      </c>
      <c r="I7011" t="s">
        <v>32527</v>
      </c>
      <c r="J7011" t="s">
        <v>32535</v>
      </c>
      <c r="K7011" t="s">
        <v>2858</v>
      </c>
      <c r="L7011" t="s">
        <v>32529</v>
      </c>
      <c r="M7011" t="s">
        <v>554</v>
      </c>
      <c r="N7011" t="s">
        <v>555</v>
      </c>
      <c r="O7011" t="s">
        <v>32530</v>
      </c>
      <c r="P7011" t="s">
        <v>32531</v>
      </c>
      <c r="Q7011" t="s">
        <v>32532</v>
      </c>
      <c r="R7011">
        <v>20</v>
      </c>
      <c r="S7011">
        <v>32</v>
      </c>
    </row>
    <row r="7012" spans="1:19" x14ac:dyDescent="0.35">
      <c r="A7012">
        <v>8055</v>
      </c>
      <c r="B7012" t="s">
        <v>551</v>
      </c>
      <c r="C7012" t="s">
        <v>42</v>
      </c>
      <c r="D7012" t="s">
        <v>32533</v>
      </c>
      <c r="E7012" t="e" cm="1">
        <f t="array" ref="E7012">- POVIDONE-IODINE</f>
        <v>#NAME?</v>
      </c>
      <c r="F7012" t="s">
        <v>32534</v>
      </c>
      <c r="G7012" t="s">
        <v>22321</v>
      </c>
      <c r="H7012" t="s">
        <v>1322</v>
      </c>
      <c r="I7012" t="s">
        <v>32527</v>
      </c>
      <c r="J7012" t="s">
        <v>32535</v>
      </c>
      <c r="K7012" t="s">
        <v>2858</v>
      </c>
      <c r="L7012" t="s">
        <v>32529</v>
      </c>
      <c r="M7012" t="s">
        <v>554</v>
      </c>
      <c r="N7012" t="s">
        <v>555</v>
      </c>
      <c r="O7012" t="s">
        <v>32530</v>
      </c>
      <c r="P7012" t="s">
        <v>32531</v>
      </c>
      <c r="Q7012" t="s">
        <v>32532</v>
      </c>
      <c r="R7012">
        <v>20</v>
      </c>
      <c r="S7012">
        <v>32</v>
      </c>
    </row>
    <row r="7013" spans="1:19" x14ac:dyDescent="0.35">
      <c r="A7013">
        <v>8056</v>
      </c>
      <c r="B7013" t="s">
        <v>551</v>
      </c>
      <c r="C7013" t="s">
        <v>42</v>
      </c>
      <c r="D7013" t="s">
        <v>32536</v>
      </c>
      <c r="E7013" t="e" cm="1">
        <f t="array" ref="E7013">- POVIDONE-IODINE</f>
        <v>#NAME?</v>
      </c>
      <c r="F7013" s="1">
        <v>10000</v>
      </c>
      <c r="G7013" t="s">
        <v>22321</v>
      </c>
      <c r="H7013" t="s">
        <v>1322</v>
      </c>
      <c r="I7013" t="s">
        <v>32527</v>
      </c>
      <c r="J7013" t="s">
        <v>846</v>
      </c>
      <c r="K7013" t="s">
        <v>2858</v>
      </c>
      <c r="L7013" t="s">
        <v>32529</v>
      </c>
      <c r="M7013" t="s">
        <v>554</v>
      </c>
      <c r="N7013" t="s">
        <v>555</v>
      </c>
      <c r="O7013" t="s">
        <v>32530</v>
      </c>
      <c r="P7013" t="s">
        <v>32531</v>
      </c>
      <c r="Q7013" t="s">
        <v>32532</v>
      </c>
      <c r="R7013">
        <v>20</v>
      </c>
      <c r="S7013">
        <v>32</v>
      </c>
    </row>
    <row r="7014" spans="1:19" x14ac:dyDescent="0.35">
      <c r="A7014">
        <v>4149</v>
      </c>
      <c r="B7014" t="s">
        <v>32491</v>
      </c>
      <c r="C7014" t="s">
        <v>42</v>
      </c>
      <c r="D7014" t="s">
        <v>32492</v>
      </c>
      <c r="E7014" t="e" cm="1">
        <f t="array" ref="E7014">- CHLORPHENAMINE MALEATE</f>
        <v>#NAME?</v>
      </c>
      <c r="F7014" t="s">
        <v>32493</v>
      </c>
      <c r="G7014" t="s">
        <v>6135</v>
      </c>
      <c r="H7014" t="s">
        <v>32494</v>
      </c>
      <c r="I7014" t="s">
        <v>32495</v>
      </c>
      <c r="J7014" t="s">
        <v>32496</v>
      </c>
      <c r="K7014" t="s">
        <v>32497</v>
      </c>
      <c r="L7014" t="s">
        <v>2266</v>
      </c>
      <c r="M7014" t="s">
        <v>291</v>
      </c>
      <c r="N7014" t="s">
        <v>1354</v>
      </c>
      <c r="O7014" t="s">
        <v>32498</v>
      </c>
      <c r="P7014" t="s">
        <v>32499</v>
      </c>
      <c r="Q7014" t="s">
        <v>32500</v>
      </c>
      <c r="R7014">
        <v>20</v>
      </c>
      <c r="S7014">
        <v>32</v>
      </c>
    </row>
    <row r="7015" spans="1:19" x14ac:dyDescent="0.35">
      <c r="A7015">
        <v>4480</v>
      </c>
      <c r="B7015" t="s">
        <v>31559</v>
      </c>
      <c r="C7015" t="s">
        <v>42</v>
      </c>
      <c r="D7015" t="s">
        <v>32537</v>
      </c>
      <c r="E7015" t="e" cm="1">
        <f t="array" ref="E7015">- DEXAMETHASONE SODIUM PHOSPHATE</f>
        <v>#NAME?</v>
      </c>
      <c r="F7015" t="s">
        <v>19418</v>
      </c>
      <c r="G7015" t="s">
        <v>31562</v>
      </c>
      <c r="H7015" t="s">
        <v>31563</v>
      </c>
      <c r="I7015" t="s">
        <v>31564</v>
      </c>
      <c r="J7015" t="s">
        <v>11321</v>
      </c>
      <c r="K7015" t="s">
        <v>31566</v>
      </c>
      <c r="L7015" t="s">
        <v>31567</v>
      </c>
      <c r="M7015" t="s">
        <v>824</v>
      </c>
      <c r="N7015" t="s">
        <v>25402</v>
      </c>
      <c r="O7015" t="s">
        <v>31568</v>
      </c>
      <c r="P7015" t="s">
        <v>32538</v>
      </c>
      <c r="Q7015" t="s">
        <v>32539</v>
      </c>
      <c r="R7015">
        <v>20</v>
      </c>
      <c r="S7015">
        <v>32</v>
      </c>
    </row>
    <row r="7016" spans="1:19" x14ac:dyDescent="0.35">
      <c r="A7016">
        <v>4481</v>
      </c>
      <c r="B7016" t="s">
        <v>31559</v>
      </c>
      <c r="C7016" t="s">
        <v>42</v>
      </c>
      <c r="D7016" t="s">
        <v>32537</v>
      </c>
      <c r="E7016" t="e" cm="1">
        <f t="array" ref="E7016">- DEXAMETHASONE SODIUM PHOSPHATE</f>
        <v>#NAME?</v>
      </c>
      <c r="F7016" t="s">
        <v>19418</v>
      </c>
      <c r="G7016" t="s">
        <v>31562</v>
      </c>
      <c r="H7016" t="s">
        <v>31563</v>
      </c>
      <c r="I7016" t="s">
        <v>31564</v>
      </c>
      <c r="J7016" t="s">
        <v>11321</v>
      </c>
      <c r="K7016" t="s">
        <v>31566</v>
      </c>
      <c r="L7016" t="s">
        <v>31567</v>
      </c>
      <c r="M7016" t="s">
        <v>824</v>
      </c>
      <c r="N7016" t="s">
        <v>25402</v>
      </c>
      <c r="O7016" t="s">
        <v>31568</v>
      </c>
      <c r="P7016" t="s">
        <v>32538</v>
      </c>
      <c r="Q7016" t="s">
        <v>32539</v>
      </c>
      <c r="R7016">
        <v>20</v>
      </c>
      <c r="S7016">
        <v>32</v>
      </c>
    </row>
    <row r="7017" spans="1:19" x14ac:dyDescent="0.35">
      <c r="A7017">
        <v>7854</v>
      </c>
      <c r="B7017" t="s">
        <v>32540</v>
      </c>
      <c r="C7017" t="s">
        <v>20</v>
      </c>
      <c r="D7017" t="s">
        <v>32541</v>
      </c>
      <c r="E7017" t="s">
        <v>32542</v>
      </c>
      <c r="F7017" t="s">
        <v>32543</v>
      </c>
      <c r="G7017" t="s">
        <v>2453</v>
      </c>
      <c r="H7017" t="s">
        <v>32544</v>
      </c>
      <c r="I7017" t="s">
        <v>32545</v>
      </c>
      <c r="J7017" t="s">
        <v>30667</v>
      </c>
      <c r="K7017" t="s">
        <v>19135</v>
      </c>
      <c r="L7017" t="s">
        <v>32546</v>
      </c>
      <c r="M7017" t="s">
        <v>46</v>
      </c>
      <c r="N7017" t="s">
        <v>32547</v>
      </c>
      <c r="O7017" t="s">
        <v>32548</v>
      </c>
      <c r="P7017" t="s">
        <v>32547</v>
      </c>
      <c r="Q7017" t="s">
        <v>32549</v>
      </c>
      <c r="R7017">
        <v>20</v>
      </c>
      <c r="S7017">
        <v>32</v>
      </c>
    </row>
    <row r="7018" spans="1:19" x14ac:dyDescent="0.35">
      <c r="A7018">
        <v>4743</v>
      </c>
      <c r="B7018" t="s">
        <v>32550</v>
      </c>
      <c r="C7018" t="s">
        <v>42</v>
      </c>
      <c r="D7018" t="s">
        <v>32551</v>
      </c>
      <c r="E7018" t="e" cm="1">
        <f t="array" ref="E7018">- DEXAMETHASONE</f>
        <v>#NAME?</v>
      </c>
      <c r="F7018" t="s">
        <v>32552</v>
      </c>
      <c r="G7018" t="s">
        <v>24870</v>
      </c>
      <c r="H7018" t="s">
        <v>32553</v>
      </c>
      <c r="I7018" t="s">
        <v>32554</v>
      </c>
      <c r="J7018" t="s">
        <v>7544</v>
      </c>
      <c r="K7018" t="s">
        <v>31566</v>
      </c>
      <c r="L7018" t="s">
        <v>32555</v>
      </c>
      <c r="M7018" t="s">
        <v>1029</v>
      </c>
      <c r="N7018" t="s">
        <v>3779</v>
      </c>
      <c r="O7018" t="s">
        <v>32556</v>
      </c>
      <c r="P7018" t="s">
        <v>32557</v>
      </c>
      <c r="Q7018" t="s">
        <v>32558</v>
      </c>
      <c r="R7018">
        <v>20</v>
      </c>
      <c r="S7018">
        <v>32</v>
      </c>
    </row>
    <row r="7019" spans="1:19" x14ac:dyDescent="0.35">
      <c r="A7019">
        <v>4742</v>
      </c>
      <c r="B7019" t="s">
        <v>32550</v>
      </c>
      <c r="C7019" t="s">
        <v>42</v>
      </c>
      <c r="D7019" t="s">
        <v>32551</v>
      </c>
      <c r="E7019" t="e" cm="1">
        <f t="array" ref="E7019">- DEXAMETHASONE</f>
        <v>#NAME?</v>
      </c>
      <c r="F7019" t="s">
        <v>32552</v>
      </c>
      <c r="G7019" t="s">
        <v>24870</v>
      </c>
      <c r="H7019" t="s">
        <v>32553</v>
      </c>
      <c r="I7019" t="s">
        <v>32554</v>
      </c>
      <c r="J7019" t="s">
        <v>7544</v>
      </c>
      <c r="K7019" t="s">
        <v>31566</v>
      </c>
      <c r="L7019" t="s">
        <v>32555</v>
      </c>
      <c r="M7019" t="s">
        <v>1029</v>
      </c>
      <c r="N7019" t="s">
        <v>3779</v>
      </c>
      <c r="O7019" t="s">
        <v>32556</v>
      </c>
      <c r="P7019" t="s">
        <v>32557</v>
      </c>
      <c r="Q7019" t="s">
        <v>32558</v>
      </c>
      <c r="R7019">
        <v>20</v>
      </c>
      <c r="S7019">
        <v>32</v>
      </c>
    </row>
    <row r="7020" spans="1:19" x14ac:dyDescent="0.35">
      <c r="A7020">
        <v>4736</v>
      </c>
      <c r="B7020" t="s">
        <v>32559</v>
      </c>
      <c r="C7020" t="s">
        <v>42</v>
      </c>
      <c r="D7020" t="s">
        <v>32560</v>
      </c>
      <c r="E7020" t="s">
        <v>26431</v>
      </c>
      <c r="F7020" t="s">
        <v>6641</v>
      </c>
      <c r="H7020" t="s">
        <v>32561</v>
      </c>
      <c r="I7020" t="s">
        <v>30780</v>
      </c>
      <c r="J7020" t="s">
        <v>32562</v>
      </c>
      <c r="L7020" t="s">
        <v>32563</v>
      </c>
      <c r="M7020" t="s">
        <v>824</v>
      </c>
      <c r="N7020" t="s">
        <v>26432</v>
      </c>
      <c r="O7020" t="s">
        <v>30782</v>
      </c>
      <c r="P7020" t="s">
        <v>32564</v>
      </c>
      <c r="Q7020" t="s">
        <v>32565</v>
      </c>
      <c r="R7020">
        <v>20</v>
      </c>
      <c r="S7020">
        <v>32</v>
      </c>
    </row>
    <row r="7021" spans="1:19" x14ac:dyDescent="0.35">
      <c r="A7021">
        <v>4810</v>
      </c>
      <c r="B7021" t="s">
        <v>32566</v>
      </c>
      <c r="C7021" t="s">
        <v>42</v>
      </c>
      <c r="D7021" t="s">
        <v>32567</v>
      </c>
      <c r="E7021" t="e" cm="1">
        <f t="array" ref="E7021">- DEXAMETHASONE SODIUM PHOSPHATE</f>
        <v>#NAME?</v>
      </c>
      <c r="F7021" t="s">
        <v>32568</v>
      </c>
      <c r="G7021" t="s">
        <v>7569</v>
      </c>
      <c r="H7021" t="s">
        <v>7570</v>
      </c>
      <c r="I7021" t="s">
        <v>32569</v>
      </c>
      <c r="J7021" t="s">
        <v>11321</v>
      </c>
      <c r="L7021" t="s">
        <v>16435</v>
      </c>
      <c r="M7021" t="s">
        <v>824</v>
      </c>
      <c r="N7021" t="s">
        <v>25402</v>
      </c>
      <c r="O7021" t="s">
        <v>32570</v>
      </c>
      <c r="P7021" t="s">
        <v>32571</v>
      </c>
      <c r="Q7021" t="s">
        <v>32572</v>
      </c>
      <c r="R7021">
        <v>20</v>
      </c>
      <c r="S7021">
        <v>32</v>
      </c>
    </row>
    <row r="7022" spans="1:19" x14ac:dyDescent="0.35">
      <c r="A7022">
        <v>7661</v>
      </c>
      <c r="B7022" t="s">
        <v>29443</v>
      </c>
      <c r="C7022" t="s">
        <v>20</v>
      </c>
      <c r="D7022" t="s">
        <v>32573</v>
      </c>
      <c r="E7022" t="s">
        <v>29445</v>
      </c>
      <c r="F7022" t="s">
        <v>7289</v>
      </c>
      <c r="G7022" t="s">
        <v>32574</v>
      </c>
      <c r="H7022" t="s">
        <v>32575</v>
      </c>
      <c r="I7022" t="s">
        <v>32576</v>
      </c>
      <c r="J7022" t="s">
        <v>12071</v>
      </c>
      <c r="L7022" t="s">
        <v>32577</v>
      </c>
      <c r="M7022" t="s">
        <v>554</v>
      </c>
      <c r="N7022" t="s">
        <v>29449</v>
      </c>
      <c r="O7022" t="s">
        <v>32578</v>
      </c>
      <c r="P7022" t="s">
        <v>29451</v>
      </c>
      <c r="Q7022" t="s">
        <v>32579</v>
      </c>
      <c r="R7022">
        <v>20</v>
      </c>
      <c r="S7022">
        <v>32</v>
      </c>
    </row>
    <row r="7023" spans="1:19" x14ac:dyDescent="0.35">
      <c r="A7023">
        <v>4811</v>
      </c>
      <c r="B7023" t="s">
        <v>32566</v>
      </c>
      <c r="C7023" t="s">
        <v>42</v>
      </c>
      <c r="D7023" t="s">
        <v>32567</v>
      </c>
      <c r="E7023" t="e" cm="1">
        <f t="array" ref="E7023">- DEXAMETHASONE SODIUM PHOSPHATE</f>
        <v>#NAME?</v>
      </c>
      <c r="F7023" t="s">
        <v>32568</v>
      </c>
      <c r="G7023" t="s">
        <v>7569</v>
      </c>
      <c r="H7023" t="s">
        <v>7570</v>
      </c>
      <c r="I7023" t="s">
        <v>32569</v>
      </c>
      <c r="J7023" t="s">
        <v>11321</v>
      </c>
      <c r="L7023" t="s">
        <v>16435</v>
      </c>
      <c r="M7023" t="s">
        <v>824</v>
      </c>
      <c r="N7023" t="s">
        <v>25402</v>
      </c>
      <c r="O7023" t="s">
        <v>32570</v>
      </c>
      <c r="P7023" t="s">
        <v>32571</v>
      </c>
      <c r="Q7023" t="s">
        <v>32572</v>
      </c>
      <c r="R7023">
        <v>20</v>
      </c>
      <c r="S7023">
        <v>32</v>
      </c>
    </row>
    <row r="7024" spans="1:19" x14ac:dyDescent="0.35">
      <c r="A7024">
        <v>4852</v>
      </c>
      <c r="B7024" t="s">
        <v>30856</v>
      </c>
      <c r="C7024" t="s">
        <v>42</v>
      </c>
      <c r="D7024" t="s">
        <v>30857</v>
      </c>
      <c r="E7024" t="e" cm="1">
        <f t="array" ref="E7024">- GATIFLOXACIN SESQUIHYDRATE</f>
        <v>#NAME?</v>
      </c>
      <c r="F7024" t="s">
        <v>30858</v>
      </c>
      <c r="G7024" t="s">
        <v>8658</v>
      </c>
      <c r="H7024" t="s">
        <v>30859</v>
      </c>
      <c r="I7024" t="s">
        <v>30860</v>
      </c>
      <c r="J7024" t="s">
        <v>30861</v>
      </c>
      <c r="L7024" t="s">
        <v>270</v>
      </c>
      <c r="M7024" t="s">
        <v>824</v>
      </c>
      <c r="N7024" t="s">
        <v>13731</v>
      </c>
      <c r="O7024" t="s">
        <v>30862</v>
      </c>
      <c r="P7024" t="s">
        <v>30863</v>
      </c>
      <c r="Q7024" t="s">
        <v>32580</v>
      </c>
      <c r="R7024">
        <v>20</v>
      </c>
      <c r="S7024">
        <v>32</v>
      </c>
    </row>
    <row r="7025" spans="1:19" x14ac:dyDescent="0.35">
      <c r="A7025">
        <v>5950</v>
      </c>
      <c r="B7025" t="s">
        <v>32581</v>
      </c>
      <c r="C7025" t="s">
        <v>42</v>
      </c>
      <c r="D7025" t="s">
        <v>32582</v>
      </c>
      <c r="E7025" t="e" cm="1">
        <f t="array" ref="E7025">- CLINDAMYCIN HYDROCHLORIDE</f>
        <v>#NAME?</v>
      </c>
      <c r="F7025" t="s">
        <v>32583</v>
      </c>
      <c r="G7025" t="s">
        <v>2248</v>
      </c>
      <c r="H7025" t="s">
        <v>32584</v>
      </c>
      <c r="I7025" t="s">
        <v>32585</v>
      </c>
      <c r="J7025" t="s">
        <v>4095</v>
      </c>
      <c r="K7025" t="s">
        <v>32457</v>
      </c>
      <c r="L7025" t="s">
        <v>32586</v>
      </c>
      <c r="M7025" t="s">
        <v>38</v>
      </c>
      <c r="N7025" t="s">
        <v>23622</v>
      </c>
      <c r="O7025" t="s">
        <v>32587</v>
      </c>
      <c r="P7025" t="s">
        <v>32588</v>
      </c>
      <c r="Q7025" t="s">
        <v>32589</v>
      </c>
      <c r="R7025">
        <v>20</v>
      </c>
      <c r="S7025">
        <v>32</v>
      </c>
    </row>
    <row r="7026" spans="1:19" x14ac:dyDescent="0.35">
      <c r="A7026">
        <v>5949</v>
      </c>
      <c r="B7026" t="s">
        <v>32581</v>
      </c>
      <c r="C7026" t="s">
        <v>42</v>
      </c>
      <c r="D7026" t="s">
        <v>32582</v>
      </c>
      <c r="E7026" t="e" cm="1">
        <f t="array" ref="E7026">- CLINDAMYCIN HYDROCHLORIDE</f>
        <v>#NAME?</v>
      </c>
      <c r="F7026" t="s">
        <v>32583</v>
      </c>
      <c r="G7026" t="s">
        <v>2248</v>
      </c>
      <c r="H7026" t="s">
        <v>32584</v>
      </c>
      <c r="I7026" t="s">
        <v>32585</v>
      </c>
      <c r="J7026" t="s">
        <v>4095</v>
      </c>
      <c r="K7026" t="s">
        <v>32457</v>
      </c>
      <c r="L7026" t="s">
        <v>32586</v>
      </c>
      <c r="M7026" t="s">
        <v>38</v>
      </c>
      <c r="N7026" t="s">
        <v>23622</v>
      </c>
      <c r="O7026" t="s">
        <v>32587</v>
      </c>
      <c r="P7026" t="s">
        <v>32588</v>
      </c>
      <c r="Q7026" t="s">
        <v>32589</v>
      </c>
      <c r="R7026">
        <v>20</v>
      </c>
      <c r="S7026">
        <v>32</v>
      </c>
    </row>
    <row r="7027" spans="1:19" x14ac:dyDescent="0.35">
      <c r="A7027">
        <v>6739</v>
      </c>
      <c r="B7027" t="s">
        <v>32590</v>
      </c>
      <c r="C7027" t="s">
        <v>42</v>
      </c>
      <c r="D7027" t="s">
        <v>32591</v>
      </c>
      <c r="E7027" t="e" cm="1">
        <f t="array" ref="E7027">- RISEDRONATE SODIUM HEMIPENTAHYDRATE</f>
        <v>#NAME?</v>
      </c>
      <c r="F7027" t="s">
        <v>32592</v>
      </c>
      <c r="G7027" t="s">
        <v>8205</v>
      </c>
      <c r="H7027" t="s">
        <v>32593</v>
      </c>
      <c r="I7027" t="s">
        <v>32594</v>
      </c>
      <c r="J7027" t="s">
        <v>32595</v>
      </c>
      <c r="L7027" t="s">
        <v>270</v>
      </c>
      <c r="M7027" t="s">
        <v>46</v>
      </c>
      <c r="N7027" t="s">
        <v>15756</v>
      </c>
      <c r="O7027" t="s">
        <v>32596</v>
      </c>
      <c r="P7027" t="s">
        <v>32597</v>
      </c>
      <c r="Q7027" t="s">
        <v>32598</v>
      </c>
      <c r="R7027">
        <v>20</v>
      </c>
      <c r="S7027">
        <v>32</v>
      </c>
    </row>
    <row r="7028" spans="1:19" x14ac:dyDescent="0.35">
      <c r="A7028">
        <v>6740</v>
      </c>
      <c r="B7028" t="s">
        <v>32590</v>
      </c>
      <c r="C7028" t="s">
        <v>42</v>
      </c>
      <c r="D7028" t="s">
        <v>32591</v>
      </c>
      <c r="E7028" t="e" cm="1">
        <f t="array" ref="E7028">- RISEDRONATE SODIUM HEMIPENTAHYDRATE</f>
        <v>#NAME?</v>
      </c>
      <c r="F7028" t="s">
        <v>32592</v>
      </c>
      <c r="G7028" t="s">
        <v>8205</v>
      </c>
      <c r="H7028" t="s">
        <v>32593</v>
      </c>
      <c r="I7028" t="s">
        <v>32594</v>
      </c>
      <c r="J7028" t="s">
        <v>32595</v>
      </c>
      <c r="L7028" t="s">
        <v>270</v>
      </c>
      <c r="M7028" t="s">
        <v>46</v>
      </c>
      <c r="N7028" t="s">
        <v>15756</v>
      </c>
      <c r="O7028" t="s">
        <v>32596</v>
      </c>
      <c r="P7028" t="s">
        <v>32597</v>
      </c>
      <c r="Q7028" t="s">
        <v>32598</v>
      </c>
      <c r="R7028">
        <v>20</v>
      </c>
      <c r="S7028">
        <v>32</v>
      </c>
    </row>
    <row r="7029" spans="1:19" x14ac:dyDescent="0.35">
      <c r="A7029">
        <v>7782</v>
      </c>
      <c r="B7029" t="s">
        <v>32599</v>
      </c>
      <c r="C7029" t="s">
        <v>20</v>
      </c>
      <c r="D7029" t="s">
        <v>32600</v>
      </c>
      <c r="E7029" t="s">
        <v>32601</v>
      </c>
      <c r="F7029" s="1">
        <v>51900</v>
      </c>
      <c r="G7029" t="s">
        <v>5006</v>
      </c>
      <c r="H7029" t="s">
        <v>32602</v>
      </c>
      <c r="I7029" t="s">
        <v>32603</v>
      </c>
      <c r="J7029" t="s">
        <v>32604</v>
      </c>
      <c r="L7029" t="s">
        <v>32605</v>
      </c>
      <c r="M7029" t="s">
        <v>818</v>
      </c>
      <c r="N7029" t="s">
        <v>32606</v>
      </c>
      <c r="O7029" t="s">
        <v>32607</v>
      </c>
      <c r="P7029" t="s">
        <v>32608</v>
      </c>
      <c r="Q7029" t="s">
        <v>32609</v>
      </c>
      <c r="R7029">
        <v>20</v>
      </c>
      <c r="S7029">
        <v>32</v>
      </c>
    </row>
    <row r="7030" spans="1:19" x14ac:dyDescent="0.35">
      <c r="A7030">
        <v>5948</v>
      </c>
      <c r="B7030" t="s">
        <v>32451</v>
      </c>
      <c r="C7030" t="s">
        <v>42</v>
      </c>
      <c r="D7030" t="s">
        <v>32452</v>
      </c>
      <c r="E7030" t="e" cm="1">
        <f t="array" ref="E7030">- CLINDAMYCIN HYDROCHLORIDE</f>
        <v>#NAME?</v>
      </c>
      <c r="F7030" t="s">
        <v>32453</v>
      </c>
      <c r="G7030" t="s">
        <v>2266</v>
      </c>
      <c r="H7030" t="s">
        <v>32454</v>
      </c>
      <c r="I7030" t="s">
        <v>32455</v>
      </c>
      <c r="J7030" t="s">
        <v>32456</v>
      </c>
      <c r="K7030" t="s">
        <v>32457</v>
      </c>
      <c r="L7030" t="s">
        <v>32458</v>
      </c>
      <c r="M7030" t="s">
        <v>38</v>
      </c>
      <c r="N7030" t="s">
        <v>23622</v>
      </c>
      <c r="O7030" t="s">
        <v>32459</v>
      </c>
      <c r="P7030" t="s">
        <v>32460</v>
      </c>
      <c r="Q7030" t="s">
        <v>32461</v>
      </c>
      <c r="R7030">
        <v>20</v>
      </c>
      <c r="S7030">
        <v>32</v>
      </c>
    </row>
    <row r="7031" spans="1:19" x14ac:dyDescent="0.35">
      <c r="A7031">
        <v>4871</v>
      </c>
      <c r="B7031" t="s">
        <v>25394</v>
      </c>
      <c r="C7031" t="s">
        <v>42</v>
      </c>
      <c r="D7031" t="s">
        <v>25395</v>
      </c>
      <c r="E7031" t="e" cm="1">
        <f t="array" ref="E7031">- NEOMYCIN SULFATE. DEXAMETHASONE SODIUM PHOSPHATE. POLYMYXIN B SULFATE</f>
        <v>#NAME?</v>
      </c>
      <c r="F7031" t="s">
        <v>25396</v>
      </c>
      <c r="G7031" t="s">
        <v>19078</v>
      </c>
      <c r="H7031" t="s">
        <v>25397</v>
      </c>
      <c r="I7031" t="s">
        <v>25398</v>
      </c>
      <c r="J7031" t="s">
        <v>25399</v>
      </c>
      <c r="K7031" t="s">
        <v>25400</v>
      </c>
      <c r="L7031" t="s">
        <v>25401</v>
      </c>
      <c r="M7031" t="s">
        <v>824</v>
      </c>
      <c r="N7031" t="s">
        <v>32610</v>
      </c>
      <c r="O7031" t="s">
        <v>25403</v>
      </c>
      <c r="P7031" t="s">
        <v>25404</v>
      </c>
      <c r="Q7031" t="s">
        <v>32611</v>
      </c>
      <c r="R7031">
        <v>20</v>
      </c>
      <c r="S7031">
        <v>32</v>
      </c>
    </row>
    <row r="7032" spans="1:19" x14ac:dyDescent="0.35">
      <c r="A7032">
        <v>4594</v>
      </c>
      <c r="B7032" t="s">
        <v>28144</v>
      </c>
      <c r="C7032" t="s">
        <v>42</v>
      </c>
      <c r="D7032" t="s">
        <v>32612</v>
      </c>
      <c r="E7032" t="e" cm="1">
        <f t="array" ref="E7032">- ANTAZOLINE HYDROCHLORIDE</f>
        <v>#NAME?</v>
      </c>
      <c r="F7032" t="s">
        <v>32613</v>
      </c>
      <c r="G7032" t="s">
        <v>7569</v>
      </c>
      <c r="H7032" t="s">
        <v>7570</v>
      </c>
      <c r="I7032" t="s">
        <v>32614</v>
      </c>
      <c r="J7032" t="s">
        <v>32615</v>
      </c>
      <c r="K7032" t="s">
        <v>12782</v>
      </c>
      <c r="L7032" t="s">
        <v>321</v>
      </c>
      <c r="M7032" t="s">
        <v>824</v>
      </c>
      <c r="N7032" t="s">
        <v>28150</v>
      </c>
      <c r="O7032" t="s">
        <v>32616</v>
      </c>
      <c r="P7032" t="s">
        <v>32617</v>
      </c>
      <c r="Q7032" t="s">
        <v>32618</v>
      </c>
      <c r="R7032">
        <v>20</v>
      </c>
      <c r="S7032">
        <v>32</v>
      </c>
    </row>
    <row r="7033" spans="1:19" x14ac:dyDescent="0.35">
      <c r="A7033">
        <v>4593</v>
      </c>
      <c r="B7033" t="s">
        <v>28144</v>
      </c>
      <c r="C7033" t="s">
        <v>42</v>
      </c>
      <c r="D7033" t="s">
        <v>32612</v>
      </c>
      <c r="E7033" t="e" cm="1">
        <f t="array" ref="E7033">- ANTAZOLINE HYDROCHLORIDE</f>
        <v>#NAME?</v>
      </c>
      <c r="F7033" t="s">
        <v>32613</v>
      </c>
      <c r="G7033" t="s">
        <v>7569</v>
      </c>
      <c r="H7033" t="s">
        <v>7570</v>
      </c>
      <c r="I7033" t="s">
        <v>32614</v>
      </c>
      <c r="J7033" t="s">
        <v>32615</v>
      </c>
      <c r="K7033" t="s">
        <v>12782</v>
      </c>
      <c r="L7033" t="s">
        <v>321</v>
      </c>
      <c r="M7033" t="s">
        <v>824</v>
      </c>
      <c r="N7033" t="s">
        <v>28150</v>
      </c>
      <c r="O7033" t="s">
        <v>32616</v>
      </c>
      <c r="P7033" t="s">
        <v>32617</v>
      </c>
      <c r="Q7033" t="s">
        <v>32618</v>
      </c>
      <c r="R7033">
        <v>20</v>
      </c>
      <c r="S7033">
        <v>32</v>
      </c>
    </row>
    <row r="7034" spans="1:19" x14ac:dyDescent="0.35">
      <c r="A7034">
        <v>4592</v>
      </c>
      <c r="B7034" t="s">
        <v>28144</v>
      </c>
      <c r="C7034" t="s">
        <v>42</v>
      </c>
      <c r="D7034" t="s">
        <v>32612</v>
      </c>
      <c r="E7034" t="e" cm="1">
        <f t="array" ref="E7034">- ANTAZOLINE HYDROCHLORIDE</f>
        <v>#NAME?</v>
      </c>
      <c r="F7034" t="s">
        <v>32613</v>
      </c>
      <c r="G7034" t="s">
        <v>7569</v>
      </c>
      <c r="H7034" t="s">
        <v>7570</v>
      </c>
      <c r="I7034" t="s">
        <v>32614</v>
      </c>
      <c r="J7034" t="s">
        <v>32615</v>
      </c>
      <c r="K7034" t="s">
        <v>12782</v>
      </c>
      <c r="L7034" t="s">
        <v>321</v>
      </c>
      <c r="M7034" t="s">
        <v>824</v>
      </c>
      <c r="N7034" t="s">
        <v>28150</v>
      </c>
      <c r="O7034" t="s">
        <v>32616</v>
      </c>
      <c r="P7034" t="s">
        <v>32617</v>
      </c>
      <c r="Q7034" t="s">
        <v>32618</v>
      </c>
      <c r="R7034">
        <v>20</v>
      </c>
      <c r="S7034">
        <v>32</v>
      </c>
    </row>
    <row r="7035" spans="1:19" x14ac:dyDescent="0.35">
      <c r="A7035">
        <v>7821</v>
      </c>
      <c r="B7035" t="s">
        <v>32619</v>
      </c>
      <c r="C7035" t="s">
        <v>20</v>
      </c>
      <c r="D7035" t="s">
        <v>32620</v>
      </c>
      <c r="E7035" t="s">
        <v>32621</v>
      </c>
      <c r="F7035" t="s">
        <v>32622</v>
      </c>
      <c r="I7035" t="s">
        <v>3392</v>
      </c>
      <c r="N7035" t="s">
        <v>32623</v>
      </c>
      <c r="O7035" t="s">
        <v>3396</v>
      </c>
      <c r="P7035" t="s">
        <v>32624</v>
      </c>
      <c r="Q7035" t="s">
        <v>32625</v>
      </c>
      <c r="R7035">
        <v>20</v>
      </c>
      <c r="S7035">
        <v>32</v>
      </c>
    </row>
    <row r="7036" spans="1:19" x14ac:dyDescent="0.35">
      <c r="A7036">
        <v>491</v>
      </c>
      <c r="B7036" t="s">
        <v>32626</v>
      </c>
      <c r="C7036" t="s">
        <v>42</v>
      </c>
      <c r="D7036" t="s">
        <v>32627</v>
      </c>
      <c r="E7036" t="e" cm="1">
        <f t="array" ref="E7036">- GUAIFENESIN</f>
        <v>#NAME?</v>
      </c>
      <c r="F7036" t="s">
        <v>32628</v>
      </c>
      <c r="G7036" t="s">
        <v>32629</v>
      </c>
      <c r="H7036" t="s">
        <v>32630</v>
      </c>
      <c r="I7036" t="s">
        <v>32631</v>
      </c>
      <c r="J7036" t="s">
        <v>334</v>
      </c>
      <c r="K7036" t="s">
        <v>14702</v>
      </c>
      <c r="L7036" t="s">
        <v>32632</v>
      </c>
      <c r="M7036" t="s">
        <v>271</v>
      </c>
      <c r="N7036" t="s">
        <v>361</v>
      </c>
      <c r="O7036" t="s">
        <v>32633</v>
      </c>
      <c r="P7036" t="s">
        <v>32634</v>
      </c>
      <c r="Q7036" t="s">
        <v>32635</v>
      </c>
      <c r="R7036">
        <v>20</v>
      </c>
      <c r="S7036">
        <v>32</v>
      </c>
    </row>
    <row r="7037" spans="1:19" x14ac:dyDescent="0.35">
      <c r="A7037">
        <v>5971</v>
      </c>
      <c r="B7037" t="s">
        <v>32636</v>
      </c>
      <c r="C7037" t="s">
        <v>42</v>
      </c>
      <c r="D7037" t="s">
        <v>32637</v>
      </c>
      <c r="E7037" t="e" cm="1">
        <f t="array" ref="E7037">- THIAMPHENICOL</f>
        <v>#NAME?</v>
      </c>
      <c r="F7037" t="s">
        <v>32638</v>
      </c>
      <c r="G7037" t="s">
        <v>32639</v>
      </c>
      <c r="H7037" t="s">
        <v>32640</v>
      </c>
      <c r="I7037" t="s">
        <v>32641</v>
      </c>
      <c r="J7037" t="s">
        <v>9961</v>
      </c>
      <c r="L7037" t="s">
        <v>32642</v>
      </c>
      <c r="M7037" t="s">
        <v>271</v>
      </c>
      <c r="N7037" t="s">
        <v>272</v>
      </c>
      <c r="O7037" t="s">
        <v>32643</v>
      </c>
      <c r="P7037" t="s">
        <v>32644</v>
      </c>
      <c r="Q7037" t="s">
        <v>32645</v>
      </c>
      <c r="R7037">
        <v>20</v>
      </c>
      <c r="S7037">
        <v>32</v>
      </c>
    </row>
    <row r="7038" spans="1:19" x14ac:dyDescent="0.35">
      <c r="A7038">
        <v>4943</v>
      </c>
      <c r="B7038" t="s">
        <v>32646</v>
      </c>
      <c r="C7038" t="s">
        <v>42</v>
      </c>
      <c r="D7038" t="s">
        <v>32647</v>
      </c>
      <c r="E7038" t="e" cm="1">
        <f t="array" ref="E7038">- ERYTHROMYCIN</f>
        <v>#NAME?</v>
      </c>
      <c r="F7038" t="s">
        <v>32648</v>
      </c>
      <c r="G7038" t="s">
        <v>32649</v>
      </c>
      <c r="H7038" t="s">
        <v>32650</v>
      </c>
      <c r="I7038" t="s">
        <v>32651</v>
      </c>
      <c r="J7038" t="s">
        <v>829</v>
      </c>
      <c r="K7038" t="s">
        <v>3952</v>
      </c>
      <c r="L7038" t="s">
        <v>32652</v>
      </c>
      <c r="M7038" t="s">
        <v>554</v>
      </c>
      <c r="N7038" t="s">
        <v>15222</v>
      </c>
      <c r="O7038" t="s">
        <v>32653</v>
      </c>
      <c r="P7038" t="s">
        <v>32654</v>
      </c>
      <c r="Q7038" t="s">
        <v>32655</v>
      </c>
      <c r="R7038">
        <v>20</v>
      </c>
      <c r="S7038">
        <v>32</v>
      </c>
    </row>
    <row r="7039" spans="1:19" x14ac:dyDescent="0.35">
      <c r="A7039">
        <v>7609</v>
      </c>
      <c r="B7039" t="s">
        <v>32656</v>
      </c>
      <c r="C7039" t="s">
        <v>20</v>
      </c>
      <c r="D7039" t="s">
        <v>32657</v>
      </c>
      <c r="E7039" t="s">
        <v>32658</v>
      </c>
      <c r="F7039" t="s">
        <v>32659</v>
      </c>
      <c r="G7039" t="s">
        <v>4649</v>
      </c>
      <c r="H7039" t="s">
        <v>32660</v>
      </c>
    </row>
    <row r="7040" spans="1:19" x14ac:dyDescent="0.35">
      <c r="A7040">
        <v>7608</v>
      </c>
      <c r="B7040" t="s">
        <v>32656</v>
      </c>
      <c r="C7040" t="s">
        <v>20</v>
      </c>
      <c r="D7040" t="s">
        <v>32661</v>
      </c>
      <c r="E7040" t="s">
        <v>32658</v>
      </c>
      <c r="F7040" t="s">
        <v>32662</v>
      </c>
      <c r="I7040" t="s">
        <v>32663</v>
      </c>
      <c r="J7040" t="s">
        <v>614</v>
      </c>
      <c r="M7040" t="s">
        <v>271</v>
      </c>
      <c r="N7040" t="s">
        <v>32664</v>
      </c>
      <c r="O7040" t="s">
        <v>32665</v>
      </c>
      <c r="P7040" t="s">
        <v>32666</v>
      </c>
      <c r="Q7040" t="s">
        <v>32667</v>
      </c>
      <c r="R7040">
        <v>20</v>
      </c>
      <c r="S7040">
        <v>32</v>
      </c>
    </row>
    <row r="7041" spans="1:19" x14ac:dyDescent="0.35">
      <c r="A7041">
        <v>7607</v>
      </c>
      <c r="B7041" t="s">
        <v>32668</v>
      </c>
      <c r="C7041" t="s">
        <v>20</v>
      </c>
      <c r="D7041" t="s">
        <v>32669</v>
      </c>
      <c r="E7041" t="s">
        <v>32670</v>
      </c>
      <c r="F7041" t="s">
        <v>32671</v>
      </c>
      <c r="G7041" t="s">
        <v>2241</v>
      </c>
      <c r="H7041" t="s">
        <v>32660</v>
      </c>
    </row>
    <row r="7042" spans="1:19" x14ac:dyDescent="0.35">
      <c r="A7042">
        <v>7606</v>
      </c>
      <c r="B7042" t="s">
        <v>32668</v>
      </c>
      <c r="C7042" t="s">
        <v>20</v>
      </c>
      <c r="D7042" t="s">
        <v>32672</v>
      </c>
      <c r="E7042" t="s">
        <v>32670</v>
      </c>
      <c r="F7042" t="s">
        <v>32673</v>
      </c>
      <c r="I7042" t="s">
        <v>32663</v>
      </c>
      <c r="J7042" t="s">
        <v>374</v>
      </c>
      <c r="M7042" t="s">
        <v>271</v>
      </c>
      <c r="N7042" t="s">
        <v>32674</v>
      </c>
      <c r="O7042" t="s">
        <v>32665</v>
      </c>
      <c r="P7042" t="s">
        <v>32675</v>
      </c>
      <c r="Q7042" t="s">
        <v>32676</v>
      </c>
      <c r="R7042">
        <v>20</v>
      </c>
      <c r="S7042">
        <v>32</v>
      </c>
    </row>
    <row r="7043" spans="1:19" x14ac:dyDescent="0.35">
      <c r="A7043">
        <v>8057</v>
      </c>
      <c r="B7043" t="s">
        <v>551</v>
      </c>
      <c r="C7043" t="s">
        <v>42</v>
      </c>
      <c r="D7043" t="s">
        <v>32536</v>
      </c>
      <c r="E7043" t="e" cm="1">
        <f t="array" ref="E7043">- POVIDONE-IODINE</f>
        <v>#NAME?</v>
      </c>
      <c r="F7043" s="1">
        <v>10000</v>
      </c>
      <c r="G7043" t="s">
        <v>22321</v>
      </c>
      <c r="H7043" t="s">
        <v>1322</v>
      </c>
      <c r="I7043" t="s">
        <v>32527</v>
      </c>
      <c r="J7043" t="s">
        <v>846</v>
      </c>
      <c r="K7043" t="s">
        <v>2858</v>
      </c>
      <c r="L7043" t="s">
        <v>32529</v>
      </c>
      <c r="M7043" t="s">
        <v>554</v>
      </c>
      <c r="N7043" t="s">
        <v>555</v>
      </c>
      <c r="O7043" t="s">
        <v>32530</v>
      </c>
      <c r="P7043" t="s">
        <v>32531</v>
      </c>
      <c r="Q7043" t="s">
        <v>32532</v>
      </c>
      <c r="R7043">
        <v>20</v>
      </c>
      <c r="S7043">
        <v>32</v>
      </c>
    </row>
    <row r="7044" spans="1:19" x14ac:dyDescent="0.35">
      <c r="A7044">
        <v>3404</v>
      </c>
      <c r="B7044" t="s">
        <v>32402</v>
      </c>
      <c r="C7044" t="s">
        <v>42</v>
      </c>
      <c r="D7044" t="s">
        <v>32403</v>
      </c>
      <c r="E7044" t="e" cm="1">
        <f t="array" ref="E7044">- CIMETIDINE</f>
        <v>#NAME?</v>
      </c>
      <c r="F7044" t="s">
        <v>32404</v>
      </c>
      <c r="G7044" t="s">
        <v>32405</v>
      </c>
      <c r="H7044" t="s">
        <v>32406</v>
      </c>
      <c r="I7044" t="s">
        <v>32407</v>
      </c>
      <c r="J7044" t="s">
        <v>5221</v>
      </c>
      <c r="K7044" t="s">
        <v>3473</v>
      </c>
      <c r="L7044" t="s">
        <v>32408</v>
      </c>
      <c r="M7044" t="s">
        <v>46</v>
      </c>
      <c r="N7044" t="s">
        <v>396</v>
      </c>
      <c r="O7044" t="s">
        <v>32409</v>
      </c>
      <c r="P7044" t="s">
        <v>32410</v>
      </c>
      <c r="Q7044" t="s">
        <v>32411</v>
      </c>
      <c r="R7044">
        <v>20</v>
      </c>
      <c r="S7044">
        <v>32</v>
      </c>
    </row>
    <row r="7045" spans="1:19" x14ac:dyDescent="0.35">
      <c r="A7045">
        <v>1193</v>
      </c>
      <c r="B7045" t="s">
        <v>32677</v>
      </c>
      <c r="C7045" t="s">
        <v>42</v>
      </c>
      <c r="D7045" t="s">
        <v>32678</v>
      </c>
      <c r="E7045" t="e" cm="1">
        <f t="array" ref="E7045">- PARACETAMOL. PHENYLEPHRINE HYDROCHLORIDE. CHLORPHENAMINE MALEATE</f>
        <v>#NAME?</v>
      </c>
      <c r="F7045" t="s">
        <v>32679</v>
      </c>
      <c r="G7045" t="s">
        <v>6869</v>
      </c>
      <c r="H7045" t="s">
        <v>32680</v>
      </c>
      <c r="I7045" t="s">
        <v>32681</v>
      </c>
      <c r="J7045" t="s">
        <v>4657</v>
      </c>
      <c r="M7045" t="s">
        <v>291</v>
      </c>
      <c r="N7045" t="s">
        <v>29731</v>
      </c>
      <c r="O7045" t="s">
        <v>32682</v>
      </c>
      <c r="P7045" t="s">
        <v>32683</v>
      </c>
      <c r="Q7045" t="s">
        <v>32684</v>
      </c>
      <c r="R7045">
        <v>20</v>
      </c>
      <c r="S7045">
        <v>32</v>
      </c>
    </row>
    <row r="7046" spans="1:19" x14ac:dyDescent="0.35">
      <c r="A7046">
        <v>5167</v>
      </c>
      <c r="B7046" t="s">
        <v>21508</v>
      </c>
      <c r="C7046" t="s">
        <v>42</v>
      </c>
      <c r="D7046" t="s">
        <v>27789</v>
      </c>
      <c r="E7046" t="e" cm="1">
        <f t="array" ref="E7046">- BETAMETHASONE VALERATE. NEOMYCIN SULFATE</f>
        <v>#NAME?</v>
      </c>
      <c r="F7046" t="s">
        <v>27790</v>
      </c>
      <c r="G7046" t="s">
        <v>27791</v>
      </c>
      <c r="H7046" t="s">
        <v>21511</v>
      </c>
      <c r="I7046" t="s">
        <v>27792</v>
      </c>
      <c r="J7046" t="s">
        <v>2040</v>
      </c>
      <c r="K7046" t="s">
        <v>27793</v>
      </c>
      <c r="L7046" t="s">
        <v>27794</v>
      </c>
      <c r="M7046" t="s">
        <v>1289</v>
      </c>
      <c r="N7046" t="s">
        <v>4089</v>
      </c>
      <c r="O7046" t="s">
        <v>27795</v>
      </c>
      <c r="P7046" t="s">
        <v>21515</v>
      </c>
      <c r="Q7046" t="s">
        <v>32685</v>
      </c>
      <c r="R7046">
        <v>20</v>
      </c>
      <c r="S7046">
        <v>32</v>
      </c>
    </row>
    <row r="7047" spans="1:19" x14ac:dyDescent="0.35">
      <c r="A7047">
        <v>5285</v>
      </c>
      <c r="B7047" t="s">
        <v>9770</v>
      </c>
      <c r="C7047" t="s">
        <v>42</v>
      </c>
      <c r="D7047" t="s">
        <v>32686</v>
      </c>
      <c r="E7047" t="e" cm="1">
        <f t="array" ref="E7047">- MICONAZOLE NITRATE</f>
        <v>#NAME?</v>
      </c>
      <c r="F7047" t="s">
        <v>32687</v>
      </c>
      <c r="G7047" t="s">
        <v>32688</v>
      </c>
      <c r="H7047" t="s">
        <v>27459</v>
      </c>
      <c r="I7047" t="s">
        <v>32689</v>
      </c>
      <c r="J7047" t="s">
        <v>1367</v>
      </c>
      <c r="L7047" t="s">
        <v>32690</v>
      </c>
      <c r="M7047" t="s">
        <v>1289</v>
      </c>
      <c r="N7047" t="s">
        <v>9389</v>
      </c>
      <c r="O7047" t="s">
        <v>32691</v>
      </c>
      <c r="P7047" t="s">
        <v>9779</v>
      </c>
      <c r="Q7047" t="s">
        <v>32692</v>
      </c>
      <c r="R7047">
        <v>20</v>
      </c>
      <c r="S7047">
        <v>32</v>
      </c>
    </row>
    <row r="7048" spans="1:19" x14ac:dyDescent="0.35">
      <c r="A7048">
        <v>5286</v>
      </c>
      <c r="B7048" t="s">
        <v>9770</v>
      </c>
      <c r="C7048" t="s">
        <v>42</v>
      </c>
      <c r="D7048" t="s">
        <v>32686</v>
      </c>
      <c r="E7048" t="e" cm="1">
        <f t="array" ref="E7048">- MICONAZOLE NITRATE</f>
        <v>#NAME?</v>
      </c>
      <c r="F7048" t="s">
        <v>32687</v>
      </c>
      <c r="G7048" t="s">
        <v>32688</v>
      </c>
      <c r="H7048" t="s">
        <v>27459</v>
      </c>
      <c r="I7048" t="s">
        <v>32689</v>
      </c>
      <c r="J7048" t="s">
        <v>1367</v>
      </c>
      <c r="L7048" t="s">
        <v>32690</v>
      </c>
      <c r="M7048" t="s">
        <v>1289</v>
      </c>
      <c r="N7048" t="s">
        <v>9389</v>
      </c>
      <c r="O7048" t="s">
        <v>32691</v>
      </c>
      <c r="P7048" t="s">
        <v>9779</v>
      </c>
      <c r="Q7048" t="s">
        <v>32692</v>
      </c>
      <c r="R7048">
        <v>20</v>
      </c>
      <c r="S7048">
        <v>32</v>
      </c>
    </row>
    <row r="7049" spans="1:19" x14ac:dyDescent="0.35">
      <c r="A7049">
        <v>5287</v>
      </c>
      <c r="B7049" t="s">
        <v>9770</v>
      </c>
      <c r="C7049" t="s">
        <v>42</v>
      </c>
      <c r="D7049" t="s">
        <v>32686</v>
      </c>
      <c r="E7049" t="e" cm="1">
        <f t="array" ref="E7049">- MICONAZOLE NITRATE</f>
        <v>#NAME?</v>
      </c>
      <c r="F7049" t="s">
        <v>32687</v>
      </c>
      <c r="G7049" t="s">
        <v>32688</v>
      </c>
      <c r="H7049" t="s">
        <v>27459</v>
      </c>
      <c r="I7049" t="s">
        <v>32689</v>
      </c>
      <c r="J7049" t="s">
        <v>1367</v>
      </c>
      <c r="L7049" t="s">
        <v>32690</v>
      </c>
      <c r="M7049" t="s">
        <v>1289</v>
      </c>
      <c r="N7049" t="s">
        <v>9389</v>
      </c>
      <c r="O7049" t="s">
        <v>32691</v>
      </c>
      <c r="P7049" t="s">
        <v>9779</v>
      </c>
      <c r="Q7049" t="s">
        <v>32692</v>
      </c>
      <c r="R7049">
        <v>20</v>
      </c>
      <c r="S7049">
        <v>32</v>
      </c>
    </row>
    <row r="7050" spans="1:19" x14ac:dyDescent="0.35">
      <c r="A7050">
        <v>5288</v>
      </c>
      <c r="B7050" t="s">
        <v>9770</v>
      </c>
      <c r="C7050" t="s">
        <v>42</v>
      </c>
      <c r="D7050" t="s">
        <v>32686</v>
      </c>
      <c r="E7050" t="e" cm="1">
        <f t="array" ref="E7050">- MICONAZOLE NITRATE</f>
        <v>#NAME?</v>
      </c>
      <c r="F7050" t="s">
        <v>32687</v>
      </c>
      <c r="G7050" t="s">
        <v>32688</v>
      </c>
      <c r="H7050" t="s">
        <v>27459</v>
      </c>
      <c r="I7050" t="s">
        <v>32689</v>
      </c>
      <c r="J7050" t="s">
        <v>1367</v>
      </c>
      <c r="L7050" t="s">
        <v>32690</v>
      </c>
      <c r="M7050" t="s">
        <v>1289</v>
      </c>
      <c r="N7050" t="s">
        <v>9389</v>
      </c>
      <c r="O7050" t="s">
        <v>32691</v>
      </c>
      <c r="P7050" t="s">
        <v>9779</v>
      </c>
      <c r="Q7050" t="s">
        <v>32692</v>
      </c>
      <c r="R7050">
        <v>20</v>
      </c>
      <c r="S7050">
        <v>32</v>
      </c>
    </row>
    <row r="7051" spans="1:19" x14ac:dyDescent="0.35">
      <c r="A7051">
        <v>5289</v>
      </c>
      <c r="B7051" t="s">
        <v>9770</v>
      </c>
      <c r="C7051" t="s">
        <v>42</v>
      </c>
      <c r="D7051" t="s">
        <v>32686</v>
      </c>
      <c r="E7051" t="e" cm="1">
        <f t="array" ref="E7051">- MICONAZOLE NITRATE</f>
        <v>#NAME?</v>
      </c>
      <c r="F7051" t="s">
        <v>32687</v>
      </c>
      <c r="G7051" t="s">
        <v>32688</v>
      </c>
      <c r="H7051" t="s">
        <v>27459</v>
      </c>
      <c r="I7051" t="s">
        <v>32689</v>
      </c>
      <c r="J7051" t="s">
        <v>1367</v>
      </c>
      <c r="L7051" t="s">
        <v>32690</v>
      </c>
      <c r="M7051" t="s">
        <v>1289</v>
      </c>
      <c r="N7051" t="s">
        <v>9389</v>
      </c>
      <c r="O7051" t="s">
        <v>32691</v>
      </c>
      <c r="P7051" t="s">
        <v>9779</v>
      </c>
      <c r="Q7051" t="s">
        <v>32692</v>
      </c>
      <c r="R7051">
        <v>20</v>
      </c>
      <c r="S7051">
        <v>32</v>
      </c>
    </row>
    <row r="7052" spans="1:19" x14ac:dyDescent="0.35">
      <c r="A7052">
        <v>5298</v>
      </c>
      <c r="B7052" t="s">
        <v>32693</v>
      </c>
      <c r="C7052" t="s">
        <v>42</v>
      </c>
      <c r="D7052" t="s">
        <v>32694</v>
      </c>
      <c r="E7052" t="e" cm="1">
        <f t="array" ref="E7052">- Salicylic ACID. LACTIC ACID. POLYDOCANOL</f>
        <v>#NAME?</v>
      </c>
      <c r="F7052" t="s">
        <v>32695</v>
      </c>
      <c r="G7052" t="s">
        <v>32696</v>
      </c>
      <c r="H7052" t="s">
        <v>1322</v>
      </c>
      <c r="I7052" t="s">
        <v>32697</v>
      </c>
      <c r="J7052" t="s">
        <v>4038</v>
      </c>
      <c r="K7052" t="s">
        <v>32698</v>
      </c>
      <c r="L7052" t="s">
        <v>32699</v>
      </c>
      <c r="M7052" t="s">
        <v>554</v>
      </c>
      <c r="N7052" t="s">
        <v>32700</v>
      </c>
      <c r="O7052" t="s">
        <v>32701</v>
      </c>
      <c r="P7052" t="s">
        <v>32702</v>
      </c>
      <c r="Q7052" t="s">
        <v>32703</v>
      </c>
      <c r="R7052">
        <v>20</v>
      </c>
      <c r="S7052">
        <v>32</v>
      </c>
    </row>
    <row r="7053" spans="1:19" x14ac:dyDescent="0.35">
      <c r="A7053">
        <v>3579</v>
      </c>
      <c r="B7053" t="s">
        <v>32704</v>
      </c>
      <c r="C7053" t="s">
        <v>42</v>
      </c>
      <c r="D7053" t="s">
        <v>32705</v>
      </c>
      <c r="E7053" t="e" cm="1">
        <f t="array" ref="E7053">- HYOSCINE BUTYLBROMIDE. PARACETAMOL</f>
        <v>#NAME?</v>
      </c>
      <c r="F7053" t="s">
        <v>32706</v>
      </c>
      <c r="G7053" t="s">
        <v>60</v>
      </c>
      <c r="H7053" t="s">
        <v>32707</v>
      </c>
      <c r="I7053" t="s">
        <v>30849</v>
      </c>
      <c r="J7053" t="s">
        <v>32708</v>
      </c>
      <c r="K7053" t="s">
        <v>32709</v>
      </c>
      <c r="L7053" t="s">
        <v>32710</v>
      </c>
      <c r="M7053" t="s">
        <v>291</v>
      </c>
      <c r="N7053" t="s">
        <v>31498</v>
      </c>
      <c r="O7053" t="s">
        <v>30853</v>
      </c>
      <c r="P7053" t="s">
        <v>32711</v>
      </c>
      <c r="Q7053" t="s">
        <v>32712</v>
      </c>
      <c r="R7053">
        <v>20</v>
      </c>
      <c r="S7053">
        <v>32</v>
      </c>
    </row>
    <row r="7054" spans="1:19" x14ac:dyDescent="0.35">
      <c r="A7054">
        <v>6079</v>
      </c>
      <c r="B7054" t="s">
        <v>32713</v>
      </c>
      <c r="C7054" t="s">
        <v>42</v>
      </c>
      <c r="D7054" t="s">
        <v>32714</v>
      </c>
      <c r="E7054" t="e" cm="1">
        <f t="array" ref="E7054">- THIAMPHENICOL</f>
        <v>#NAME?</v>
      </c>
      <c r="F7054" t="s">
        <v>32715</v>
      </c>
      <c r="G7054" t="s">
        <v>32716</v>
      </c>
      <c r="H7054" t="s">
        <v>32717</v>
      </c>
      <c r="I7054" t="s">
        <v>32718</v>
      </c>
      <c r="J7054" t="s">
        <v>5221</v>
      </c>
      <c r="L7054" t="s">
        <v>32719</v>
      </c>
      <c r="M7054" t="s">
        <v>38</v>
      </c>
      <c r="N7054" t="s">
        <v>272</v>
      </c>
      <c r="O7054" t="s">
        <v>32720</v>
      </c>
      <c r="P7054" t="s">
        <v>32721</v>
      </c>
      <c r="Q7054" t="s">
        <v>32722</v>
      </c>
      <c r="R7054">
        <v>20</v>
      </c>
      <c r="S7054">
        <v>32</v>
      </c>
    </row>
    <row r="7055" spans="1:19" x14ac:dyDescent="0.35">
      <c r="A7055">
        <v>3576</v>
      </c>
      <c r="B7055" t="s">
        <v>32723</v>
      </c>
      <c r="C7055" t="s">
        <v>42</v>
      </c>
      <c r="D7055" t="s">
        <v>32724</v>
      </c>
      <c r="E7055" t="e" cm="1">
        <f t="array" ref="E7055">- DOMPERIDONE</f>
        <v>#NAME?</v>
      </c>
      <c r="F7055" t="s">
        <v>32725</v>
      </c>
      <c r="G7055" t="s">
        <v>5178</v>
      </c>
      <c r="H7055" t="s">
        <v>32726</v>
      </c>
      <c r="I7055" t="s">
        <v>32727</v>
      </c>
      <c r="J7055" t="s">
        <v>1824</v>
      </c>
      <c r="K7055" t="s">
        <v>32728</v>
      </c>
      <c r="L7055" t="s">
        <v>32729</v>
      </c>
      <c r="M7055" t="s">
        <v>824</v>
      </c>
      <c r="N7055" t="s">
        <v>341</v>
      </c>
      <c r="O7055" t="s">
        <v>32730</v>
      </c>
      <c r="P7055" t="s">
        <v>22065</v>
      </c>
      <c r="Q7055" t="s">
        <v>32731</v>
      </c>
      <c r="R7055">
        <v>20</v>
      </c>
      <c r="S7055">
        <v>32</v>
      </c>
    </row>
    <row r="7056" spans="1:19" x14ac:dyDescent="0.35">
      <c r="A7056">
        <v>3575</v>
      </c>
      <c r="B7056" t="s">
        <v>32723</v>
      </c>
      <c r="C7056" t="s">
        <v>42</v>
      </c>
      <c r="D7056" t="s">
        <v>32724</v>
      </c>
      <c r="E7056" t="e" cm="1">
        <f t="array" ref="E7056">- DOMPERIDONE</f>
        <v>#NAME?</v>
      </c>
      <c r="F7056" t="s">
        <v>32725</v>
      </c>
      <c r="G7056" t="s">
        <v>5178</v>
      </c>
      <c r="H7056" t="s">
        <v>32726</v>
      </c>
      <c r="I7056" t="s">
        <v>32727</v>
      </c>
      <c r="J7056" t="s">
        <v>1824</v>
      </c>
      <c r="K7056" t="s">
        <v>32728</v>
      </c>
      <c r="L7056" t="s">
        <v>32729</v>
      </c>
      <c r="M7056" t="s">
        <v>824</v>
      </c>
      <c r="N7056" t="s">
        <v>341</v>
      </c>
      <c r="O7056" t="s">
        <v>32730</v>
      </c>
      <c r="P7056" t="s">
        <v>22065</v>
      </c>
      <c r="Q7056" t="s">
        <v>32731</v>
      </c>
      <c r="R7056">
        <v>20</v>
      </c>
      <c r="S7056">
        <v>32</v>
      </c>
    </row>
    <row r="7057" spans="1:19" x14ac:dyDescent="0.35">
      <c r="A7057">
        <v>6080</v>
      </c>
      <c r="B7057" t="s">
        <v>32713</v>
      </c>
      <c r="C7057" t="s">
        <v>42</v>
      </c>
      <c r="D7057" t="s">
        <v>32714</v>
      </c>
      <c r="E7057" t="e" cm="1">
        <f t="array" ref="E7057">- THIAMPHENICOL</f>
        <v>#NAME?</v>
      </c>
      <c r="F7057" t="s">
        <v>32715</v>
      </c>
      <c r="G7057" t="s">
        <v>32716</v>
      </c>
      <c r="H7057" t="s">
        <v>32717</v>
      </c>
      <c r="I7057" t="s">
        <v>32718</v>
      </c>
      <c r="J7057" t="s">
        <v>5221</v>
      </c>
      <c r="L7057" t="s">
        <v>32719</v>
      </c>
      <c r="M7057" t="s">
        <v>38</v>
      </c>
      <c r="N7057" t="s">
        <v>272</v>
      </c>
      <c r="O7057" t="s">
        <v>32720</v>
      </c>
      <c r="P7057" t="s">
        <v>32721</v>
      </c>
      <c r="Q7057" t="s">
        <v>32722</v>
      </c>
      <c r="R7057">
        <v>20</v>
      </c>
      <c r="S7057">
        <v>32</v>
      </c>
    </row>
    <row r="7058" spans="1:19" x14ac:dyDescent="0.35">
      <c r="A7058">
        <v>5266</v>
      </c>
      <c r="B7058" t="s">
        <v>30002</v>
      </c>
      <c r="C7058" t="s">
        <v>42</v>
      </c>
      <c r="D7058" t="s">
        <v>30003</v>
      </c>
      <c r="E7058" t="e" cm="1">
        <f t="array" ref="E7058">- BETAMETHASONE DIPROPIONATE. GENTAMICIN SULFATE</f>
        <v>#NAME?</v>
      </c>
      <c r="F7058" t="s">
        <v>30004</v>
      </c>
      <c r="G7058" t="s">
        <v>22321</v>
      </c>
      <c r="H7058" t="s">
        <v>30005</v>
      </c>
      <c r="I7058" t="s">
        <v>30006</v>
      </c>
      <c r="J7058" t="s">
        <v>2040</v>
      </c>
      <c r="K7058" t="s">
        <v>25030</v>
      </c>
      <c r="L7058" t="s">
        <v>30007</v>
      </c>
      <c r="M7058" t="s">
        <v>1289</v>
      </c>
      <c r="N7058" t="s">
        <v>19781</v>
      </c>
      <c r="O7058" t="s">
        <v>30008</v>
      </c>
      <c r="P7058" t="s">
        <v>30009</v>
      </c>
      <c r="Q7058" t="s">
        <v>32732</v>
      </c>
      <c r="R7058">
        <v>20</v>
      </c>
      <c r="S7058">
        <v>32</v>
      </c>
    </row>
    <row r="7059" spans="1:19" x14ac:dyDescent="0.35">
      <c r="A7059">
        <v>6084</v>
      </c>
      <c r="B7059" t="s">
        <v>32733</v>
      </c>
      <c r="C7059" t="s">
        <v>42</v>
      </c>
      <c r="D7059" t="s">
        <v>32734</v>
      </c>
      <c r="E7059" t="e" cm="1">
        <f t="array" ref="E7059">- SULFAMETHOXAZOLE</f>
        <v>#NAME?</v>
      </c>
      <c r="F7059" t="s">
        <v>26142</v>
      </c>
      <c r="H7059" t="s">
        <v>32735</v>
      </c>
      <c r="I7059" t="s">
        <v>32736</v>
      </c>
      <c r="J7059" t="s">
        <v>334</v>
      </c>
      <c r="K7059" t="s">
        <v>3952</v>
      </c>
      <c r="L7059" t="s">
        <v>321</v>
      </c>
      <c r="M7059" t="s">
        <v>340</v>
      </c>
      <c r="N7059" t="s">
        <v>478</v>
      </c>
      <c r="O7059" t="s">
        <v>32737</v>
      </c>
      <c r="P7059" t="s">
        <v>32738</v>
      </c>
      <c r="Q7059" t="s">
        <v>32739</v>
      </c>
      <c r="R7059">
        <v>20</v>
      </c>
      <c r="S7059">
        <v>32</v>
      </c>
    </row>
    <row r="7060" spans="1:19" x14ac:dyDescent="0.35">
      <c r="A7060">
        <v>3563</v>
      </c>
      <c r="B7060" t="s">
        <v>32398</v>
      </c>
      <c r="C7060" t="s">
        <v>42</v>
      </c>
      <c r="D7060" t="s">
        <v>32399</v>
      </c>
      <c r="E7060" t="e" cm="1">
        <f t="array" ref="E7060">- DOMPERIDONE</f>
        <v>#NAME?</v>
      </c>
      <c r="F7060" s="1">
        <v>35700</v>
      </c>
      <c r="G7060" t="s">
        <v>10502</v>
      </c>
      <c r="H7060" t="s">
        <v>32400</v>
      </c>
      <c r="I7060" t="s">
        <v>32401</v>
      </c>
    </row>
    <row r="7061" spans="1:19" x14ac:dyDescent="0.35">
      <c r="A7061">
        <v>3554</v>
      </c>
      <c r="B7061" t="s">
        <v>32740</v>
      </c>
      <c r="C7061" t="s">
        <v>42</v>
      </c>
      <c r="D7061" t="s">
        <v>32741</v>
      </c>
      <c r="E7061" t="e" cm="1">
        <f t="array" ref="E7061">- DOMPERIDONE</f>
        <v>#NAME?</v>
      </c>
      <c r="F7061" t="s">
        <v>32742</v>
      </c>
      <c r="G7061" t="s">
        <v>2706</v>
      </c>
      <c r="H7061" t="s">
        <v>32743</v>
      </c>
      <c r="I7061" t="s">
        <v>32744</v>
      </c>
      <c r="J7061" t="s">
        <v>334</v>
      </c>
      <c r="K7061" t="s">
        <v>32745</v>
      </c>
      <c r="L7061" t="s">
        <v>32746</v>
      </c>
      <c r="M7061" t="s">
        <v>271</v>
      </c>
      <c r="N7061" t="s">
        <v>341</v>
      </c>
      <c r="O7061" t="s">
        <v>32747</v>
      </c>
      <c r="P7061" t="s">
        <v>32748</v>
      </c>
      <c r="Q7061" t="s">
        <v>32749</v>
      </c>
      <c r="R7061">
        <v>20</v>
      </c>
      <c r="S7061">
        <v>32</v>
      </c>
    </row>
    <row r="7062" spans="1:19" x14ac:dyDescent="0.35">
      <c r="A7062">
        <v>3534</v>
      </c>
      <c r="B7062" t="s">
        <v>32750</v>
      </c>
      <c r="C7062" t="s">
        <v>20</v>
      </c>
      <c r="D7062" t="s">
        <v>32751</v>
      </c>
      <c r="E7062" t="s">
        <v>32752</v>
      </c>
      <c r="F7062" s="1">
        <v>2800</v>
      </c>
      <c r="G7062" t="s">
        <v>4849</v>
      </c>
      <c r="H7062" t="s">
        <v>1322</v>
      </c>
      <c r="I7062" t="s">
        <v>32753</v>
      </c>
      <c r="J7062" t="s">
        <v>32754</v>
      </c>
      <c r="K7062" t="s">
        <v>3473</v>
      </c>
      <c r="L7062" t="s">
        <v>16314</v>
      </c>
      <c r="M7062" t="s">
        <v>818</v>
      </c>
      <c r="N7062" t="s">
        <v>32755</v>
      </c>
      <c r="O7062" t="s">
        <v>32756</v>
      </c>
      <c r="P7062" t="s">
        <v>32757</v>
      </c>
      <c r="Q7062" t="s">
        <v>32758</v>
      </c>
      <c r="R7062">
        <v>20</v>
      </c>
      <c r="S7062">
        <v>32</v>
      </c>
    </row>
    <row r="7063" spans="1:19" x14ac:dyDescent="0.35">
      <c r="A7063">
        <v>8312</v>
      </c>
      <c r="B7063" t="s">
        <v>551</v>
      </c>
      <c r="C7063" t="s">
        <v>42</v>
      </c>
      <c r="D7063" t="s">
        <v>32759</v>
      </c>
      <c r="E7063" t="e" cm="1">
        <f t="array" ref="E7063">- POVIDONE-IODINE</f>
        <v>#NAME?</v>
      </c>
      <c r="F7063" t="s">
        <v>32760</v>
      </c>
      <c r="G7063" t="s">
        <v>32761</v>
      </c>
      <c r="H7063" t="s">
        <v>32762</v>
      </c>
      <c r="I7063" t="s">
        <v>32763</v>
      </c>
      <c r="J7063" t="s">
        <v>32764</v>
      </c>
      <c r="M7063" t="s">
        <v>554</v>
      </c>
      <c r="N7063" t="s">
        <v>555</v>
      </c>
      <c r="O7063" t="s">
        <v>32765</v>
      </c>
      <c r="P7063" t="s">
        <v>32766</v>
      </c>
      <c r="Q7063" t="s">
        <v>32767</v>
      </c>
      <c r="R7063">
        <v>20</v>
      </c>
      <c r="S7063">
        <v>32</v>
      </c>
    </row>
    <row r="7064" spans="1:19" x14ac:dyDescent="0.35">
      <c r="A7064">
        <v>8313</v>
      </c>
      <c r="B7064" t="s">
        <v>551</v>
      </c>
      <c r="C7064" t="s">
        <v>42</v>
      </c>
      <c r="D7064" t="s">
        <v>32759</v>
      </c>
      <c r="E7064" t="e" cm="1">
        <f t="array" ref="E7064">- POVIDONE-IODINE</f>
        <v>#NAME?</v>
      </c>
      <c r="F7064" t="s">
        <v>32760</v>
      </c>
      <c r="G7064" t="s">
        <v>32761</v>
      </c>
      <c r="H7064" t="s">
        <v>32762</v>
      </c>
      <c r="I7064" t="s">
        <v>32763</v>
      </c>
      <c r="J7064" t="s">
        <v>32764</v>
      </c>
      <c r="M7064" t="s">
        <v>554</v>
      </c>
      <c r="N7064" t="s">
        <v>555</v>
      </c>
      <c r="O7064" t="s">
        <v>32765</v>
      </c>
      <c r="P7064" t="s">
        <v>32766</v>
      </c>
      <c r="Q7064" t="s">
        <v>32767</v>
      </c>
      <c r="R7064">
        <v>20</v>
      </c>
      <c r="S7064">
        <v>32</v>
      </c>
    </row>
    <row r="7065" spans="1:19" x14ac:dyDescent="0.35">
      <c r="A7065">
        <v>5346</v>
      </c>
      <c r="B7065" t="s">
        <v>32768</v>
      </c>
      <c r="C7065" t="s">
        <v>42</v>
      </c>
      <c r="D7065" t="s">
        <v>32769</v>
      </c>
      <c r="E7065" t="e" cm="1">
        <f t="array" ref="E7065">- FLUOCINOLONE ACETONIDE</f>
        <v>#NAME?</v>
      </c>
      <c r="F7065" t="s">
        <v>32770</v>
      </c>
      <c r="G7065" t="s">
        <v>7210</v>
      </c>
      <c r="H7065" t="s">
        <v>32771</v>
      </c>
      <c r="I7065" t="s">
        <v>32772</v>
      </c>
      <c r="J7065" t="s">
        <v>7123</v>
      </c>
      <c r="K7065" t="s">
        <v>32773</v>
      </c>
      <c r="L7065" t="s">
        <v>32774</v>
      </c>
      <c r="M7065" t="s">
        <v>1289</v>
      </c>
      <c r="N7065" t="s">
        <v>2766</v>
      </c>
      <c r="O7065" t="s">
        <v>32775</v>
      </c>
      <c r="P7065" t="s">
        <v>32776</v>
      </c>
      <c r="Q7065" t="s">
        <v>32777</v>
      </c>
      <c r="R7065">
        <v>20</v>
      </c>
      <c r="S7065">
        <v>32</v>
      </c>
    </row>
    <row r="7066" spans="1:19" x14ac:dyDescent="0.35">
      <c r="A7066">
        <v>3477</v>
      </c>
      <c r="B7066" t="s">
        <v>32778</v>
      </c>
      <c r="C7066" t="s">
        <v>42</v>
      </c>
      <c r="D7066" t="s">
        <v>32779</v>
      </c>
      <c r="E7066" t="e" cm="1">
        <f t="array" ref="E7066">- RANITIDINE HYDROCHLORIDE</f>
        <v>#NAME?</v>
      </c>
      <c r="F7066" t="s">
        <v>9986</v>
      </c>
      <c r="G7066" t="s">
        <v>6310</v>
      </c>
      <c r="H7066" t="s">
        <v>1984</v>
      </c>
      <c r="I7066" t="s">
        <v>32780</v>
      </c>
      <c r="J7066" t="s">
        <v>381</v>
      </c>
      <c r="K7066" t="s">
        <v>29776</v>
      </c>
      <c r="L7066" t="s">
        <v>32781</v>
      </c>
    </row>
    <row r="7067" spans="1:19" x14ac:dyDescent="0.35">
      <c r="A7067">
        <v>1354</v>
      </c>
      <c r="B7067" t="s">
        <v>32782</v>
      </c>
      <c r="C7067" t="s">
        <v>42</v>
      </c>
      <c r="D7067" t="s">
        <v>32783</v>
      </c>
      <c r="E7067" t="e" cm="1">
        <f t="array" ref="E7067">- PHENYLPROPANOLAMINE HYDROCHLORIDE. GUAIFENESIN. DEXTROMETHORPHAN HYDROBROMIDE. PARACETAMOL</f>
        <v>#NAME?</v>
      </c>
      <c r="F7067" t="s">
        <v>32784</v>
      </c>
      <c r="G7067" t="s">
        <v>2241</v>
      </c>
      <c r="H7067" t="s">
        <v>32785</v>
      </c>
      <c r="I7067" t="s">
        <v>32786</v>
      </c>
      <c r="J7067" t="s">
        <v>32787</v>
      </c>
      <c r="M7067" t="s">
        <v>291</v>
      </c>
      <c r="N7067" t="s">
        <v>32788</v>
      </c>
      <c r="O7067" t="s">
        <v>32789</v>
      </c>
      <c r="P7067" t="s">
        <v>32790</v>
      </c>
      <c r="Q7067" t="s">
        <v>32791</v>
      </c>
      <c r="R7067">
        <v>20</v>
      </c>
      <c r="S7067">
        <v>32</v>
      </c>
    </row>
    <row r="7068" spans="1:19" x14ac:dyDescent="0.35">
      <c r="A7068">
        <v>3447</v>
      </c>
      <c r="B7068" t="s">
        <v>12298</v>
      </c>
      <c r="C7068" t="s">
        <v>42</v>
      </c>
      <c r="D7068" t="s">
        <v>32792</v>
      </c>
      <c r="E7068" t="e" cm="1">
        <f t="array" ref="E7068">- SUCRALFATE</f>
        <v>#NAME?</v>
      </c>
      <c r="F7068" t="s">
        <v>32793</v>
      </c>
      <c r="G7068" t="s">
        <v>12503</v>
      </c>
      <c r="H7068" t="s">
        <v>11805</v>
      </c>
      <c r="I7068" t="s">
        <v>32794</v>
      </c>
      <c r="J7068" t="s">
        <v>2083</v>
      </c>
      <c r="K7068" t="s">
        <v>32795</v>
      </c>
      <c r="L7068" t="s">
        <v>321</v>
      </c>
      <c r="M7068" t="s">
        <v>340</v>
      </c>
      <c r="N7068" t="s">
        <v>375</v>
      </c>
      <c r="O7068" t="s">
        <v>32796</v>
      </c>
      <c r="P7068" t="s">
        <v>12302</v>
      </c>
      <c r="Q7068" t="s">
        <v>32797</v>
      </c>
      <c r="R7068">
        <v>20</v>
      </c>
      <c r="S7068">
        <v>32</v>
      </c>
    </row>
    <row r="7069" spans="1:19" x14ac:dyDescent="0.35">
      <c r="A7069">
        <v>7361</v>
      </c>
      <c r="B7069" t="s">
        <v>32798</v>
      </c>
      <c r="C7069" t="s">
        <v>850</v>
      </c>
      <c r="D7069" t="s">
        <v>32799</v>
      </c>
      <c r="E7069" t="s">
        <v>26584</v>
      </c>
      <c r="F7069" t="s">
        <v>32800</v>
      </c>
      <c r="G7069" t="s">
        <v>32801</v>
      </c>
      <c r="H7069" t="s">
        <v>32802</v>
      </c>
      <c r="I7069" t="s">
        <v>32803</v>
      </c>
      <c r="J7069" t="s">
        <v>334</v>
      </c>
      <c r="M7069" t="s">
        <v>554</v>
      </c>
      <c r="N7069" t="s">
        <v>26591</v>
      </c>
      <c r="O7069" t="s">
        <v>32804</v>
      </c>
      <c r="P7069" t="s">
        <v>32805</v>
      </c>
      <c r="Q7069" t="s">
        <v>32806</v>
      </c>
      <c r="R7069">
        <v>20</v>
      </c>
      <c r="S7069">
        <v>32</v>
      </c>
    </row>
    <row r="7070" spans="1:19" x14ac:dyDescent="0.35">
      <c r="A7070">
        <v>3446</v>
      </c>
      <c r="B7070" t="s">
        <v>12298</v>
      </c>
      <c r="C7070" t="s">
        <v>42</v>
      </c>
      <c r="D7070" t="s">
        <v>32792</v>
      </c>
      <c r="E7070" t="e" cm="1">
        <f t="array" ref="E7070">- SUCRALFATE</f>
        <v>#NAME?</v>
      </c>
      <c r="F7070" t="s">
        <v>32793</v>
      </c>
      <c r="G7070" t="s">
        <v>12503</v>
      </c>
      <c r="H7070" t="s">
        <v>11805</v>
      </c>
      <c r="I7070" t="s">
        <v>32794</v>
      </c>
      <c r="J7070" t="s">
        <v>2083</v>
      </c>
      <c r="K7070" t="s">
        <v>32795</v>
      </c>
      <c r="L7070" t="s">
        <v>321</v>
      </c>
      <c r="M7070" t="s">
        <v>340</v>
      </c>
      <c r="N7070" t="s">
        <v>375</v>
      </c>
      <c r="O7070" t="s">
        <v>32796</v>
      </c>
      <c r="P7070" t="s">
        <v>12302</v>
      </c>
      <c r="Q7070" t="s">
        <v>32797</v>
      </c>
      <c r="R7070">
        <v>20</v>
      </c>
      <c r="S7070">
        <v>32</v>
      </c>
    </row>
    <row r="7071" spans="1:19" x14ac:dyDescent="0.35">
      <c r="A7071">
        <v>2571</v>
      </c>
      <c r="B7071" t="s">
        <v>32807</v>
      </c>
      <c r="C7071" t="s">
        <v>42</v>
      </c>
      <c r="D7071" t="s">
        <v>32808</v>
      </c>
      <c r="E7071" t="e" cm="1">
        <f t="array" ref="E7071">- DICLOFENAC POTASSIUM</f>
        <v>#NAME?</v>
      </c>
      <c r="F7071" t="s">
        <v>32809</v>
      </c>
      <c r="H7071" t="s">
        <v>32810</v>
      </c>
      <c r="I7071" t="s">
        <v>32811</v>
      </c>
      <c r="J7071" t="s">
        <v>381</v>
      </c>
      <c r="M7071" t="s">
        <v>46</v>
      </c>
      <c r="N7071" t="s">
        <v>2637</v>
      </c>
      <c r="O7071" t="s">
        <v>32812</v>
      </c>
      <c r="P7071" t="s">
        <v>32813</v>
      </c>
      <c r="Q7071" t="s">
        <v>32814</v>
      </c>
      <c r="R7071">
        <v>20</v>
      </c>
      <c r="S7071">
        <v>32</v>
      </c>
    </row>
    <row r="7072" spans="1:19" x14ac:dyDescent="0.35">
      <c r="A7072">
        <v>3622</v>
      </c>
      <c r="B7072" t="s">
        <v>32815</v>
      </c>
      <c r="C7072" t="s">
        <v>42</v>
      </c>
      <c r="D7072" t="s">
        <v>32816</v>
      </c>
      <c r="E7072" t="e" cm="1">
        <f t="array" ref="E7072">- PROMETHAZINE TEOCLATE</f>
        <v>#NAME?</v>
      </c>
      <c r="F7072" t="s">
        <v>32817</v>
      </c>
      <c r="G7072" t="s">
        <v>60</v>
      </c>
      <c r="H7072" t="s">
        <v>32818</v>
      </c>
      <c r="I7072" t="s">
        <v>32819</v>
      </c>
      <c r="J7072" t="s">
        <v>2978</v>
      </c>
      <c r="K7072" t="s">
        <v>32820</v>
      </c>
      <c r="L7072" t="s">
        <v>32821</v>
      </c>
      <c r="M7072" t="s">
        <v>46</v>
      </c>
      <c r="N7072" t="s">
        <v>32822</v>
      </c>
      <c r="O7072" t="s">
        <v>32823</v>
      </c>
      <c r="P7072" t="s">
        <v>32824</v>
      </c>
      <c r="Q7072" t="s">
        <v>32825</v>
      </c>
      <c r="R7072">
        <v>20</v>
      </c>
      <c r="S7072">
        <v>32</v>
      </c>
    </row>
    <row r="7073" spans="1:19" x14ac:dyDescent="0.35">
      <c r="A7073">
        <v>3623</v>
      </c>
      <c r="B7073" t="s">
        <v>32815</v>
      </c>
      <c r="C7073" t="s">
        <v>42</v>
      </c>
      <c r="D7073" t="s">
        <v>32816</v>
      </c>
      <c r="E7073" t="e" cm="1">
        <f t="array" ref="E7073">- PROMETHAZINE TEOCLATE</f>
        <v>#NAME?</v>
      </c>
      <c r="F7073" t="s">
        <v>32817</v>
      </c>
      <c r="G7073" t="s">
        <v>60</v>
      </c>
      <c r="H7073" t="s">
        <v>32818</v>
      </c>
      <c r="I7073" t="s">
        <v>32819</v>
      </c>
      <c r="J7073" t="s">
        <v>2978</v>
      </c>
      <c r="K7073" t="s">
        <v>32820</v>
      </c>
      <c r="L7073" t="s">
        <v>32821</v>
      </c>
      <c r="M7073" t="s">
        <v>46</v>
      </c>
      <c r="N7073" t="s">
        <v>32822</v>
      </c>
      <c r="O7073" t="s">
        <v>32823</v>
      </c>
      <c r="P7073" t="s">
        <v>32824</v>
      </c>
      <c r="Q7073" t="s">
        <v>32825</v>
      </c>
      <c r="R7073">
        <v>20</v>
      </c>
      <c r="S7073">
        <v>32</v>
      </c>
    </row>
    <row r="7074" spans="1:19" x14ac:dyDescent="0.35">
      <c r="A7074">
        <v>1319</v>
      </c>
      <c r="B7074" t="s">
        <v>32826</v>
      </c>
      <c r="C7074" t="s">
        <v>42</v>
      </c>
      <c r="D7074" t="s">
        <v>32827</v>
      </c>
      <c r="E7074" t="e" cm="1">
        <f t="array" ref="E7074">- DIPHENHYDRAMINE HYDROCHLORIDE. AMMONIUM CHLORIDE</f>
        <v>#NAME?</v>
      </c>
      <c r="F7074" t="s">
        <v>32828</v>
      </c>
      <c r="G7074" t="s">
        <v>2241</v>
      </c>
      <c r="H7074" t="s">
        <v>32829</v>
      </c>
      <c r="I7074" t="s">
        <v>32830</v>
      </c>
      <c r="J7074" t="s">
        <v>28852</v>
      </c>
      <c r="M7074" t="s">
        <v>271</v>
      </c>
      <c r="N7074" t="s">
        <v>4607</v>
      </c>
      <c r="O7074" t="s">
        <v>32831</v>
      </c>
      <c r="P7074" t="s">
        <v>32832</v>
      </c>
      <c r="Q7074" t="s">
        <v>32833</v>
      </c>
      <c r="R7074">
        <v>20</v>
      </c>
      <c r="S7074">
        <v>32</v>
      </c>
    </row>
    <row r="7075" spans="1:19" x14ac:dyDescent="0.35">
      <c r="A7075">
        <v>5168</v>
      </c>
      <c r="B7075" t="s">
        <v>21508</v>
      </c>
      <c r="C7075" t="s">
        <v>42</v>
      </c>
      <c r="D7075" t="s">
        <v>27789</v>
      </c>
      <c r="E7075" t="e" cm="1">
        <f t="array" ref="E7075">- BETAMETHASONE VALERATE. NEOMYCIN SULFATE</f>
        <v>#NAME?</v>
      </c>
      <c r="F7075" t="s">
        <v>27790</v>
      </c>
      <c r="G7075" t="s">
        <v>27791</v>
      </c>
      <c r="H7075" t="s">
        <v>21511</v>
      </c>
      <c r="I7075" t="s">
        <v>27792</v>
      </c>
      <c r="J7075" t="s">
        <v>2040</v>
      </c>
      <c r="K7075" t="s">
        <v>27793</v>
      </c>
      <c r="L7075" t="s">
        <v>27794</v>
      </c>
      <c r="M7075" t="s">
        <v>1289</v>
      </c>
      <c r="N7075" t="s">
        <v>4089</v>
      </c>
      <c r="O7075" t="s">
        <v>27795</v>
      </c>
      <c r="P7075" t="s">
        <v>21515</v>
      </c>
      <c r="Q7075" t="s">
        <v>32685</v>
      </c>
      <c r="R7075">
        <v>20</v>
      </c>
      <c r="S7075">
        <v>32</v>
      </c>
    </row>
    <row r="7076" spans="1:19" x14ac:dyDescent="0.35">
      <c r="A7076">
        <v>3970</v>
      </c>
      <c r="B7076" t="s">
        <v>32834</v>
      </c>
      <c r="C7076" t="s">
        <v>42</v>
      </c>
      <c r="D7076" t="s">
        <v>32835</v>
      </c>
      <c r="E7076" t="e" cm="1">
        <f t="array" ref="E7076">- KOMBINASI-MONOBASIC SODIUM PHOSPHATE MONOHYDRATE. KOMBINASI-DIBASIC SODIUM PHOSPHATE HEPTAHYDRATE</f>
        <v>#NAME?</v>
      </c>
      <c r="F7076" t="s">
        <v>32836</v>
      </c>
      <c r="G7076" t="s">
        <v>32837</v>
      </c>
      <c r="H7076" t="s">
        <v>32838</v>
      </c>
      <c r="I7076" t="s">
        <v>32839</v>
      </c>
      <c r="J7076" t="s">
        <v>32840</v>
      </c>
      <c r="K7076" t="s">
        <v>32841</v>
      </c>
      <c r="L7076" t="s">
        <v>32842</v>
      </c>
      <c r="M7076" t="s">
        <v>12262</v>
      </c>
      <c r="N7076" t="s">
        <v>32843</v>
      </c>
      <c r="O7076" t="s">
        <v>32844</v>
      </c>
      <c r="P7076" t="s">
        <v>32845</v>
      </c>
      <c r="Q7076" t="s">
        <v>32846</v>
      </c>
      <c r="R7076">
        <v>20</v>
      </c>
      <c r="S7076">
        <v>32</v>
      </c>
    </row>
    <row r="7077" spans="1:19" x14ac:dyDescent="0.35">
      <c r="A7077">
        <v>3936</v>
      </c>
      <c r="B7077" t="s">
        <v>32847</v>
      </c>
      <c r="C7077" t="s">
        <v>42</v>
      </c>
      <c r="D7077" t="s">
        <v>32848</v>
      </c>
      <c r="E7077" t="e" cm="1">
        <f t="array" ref="E7077">- BENZOCAINE</f>
        <v>#NAME?</v>
      </c>
      <c r="F7077" t="s">
        <v>32849</v>
      </c>
      <c r="G7077" t="s">
        <v>32850</v>
      </c>
      <c r="H7077" t="s">
        <v>32851</v>
      </c>
      <c r="I7077" t="s">
        <v>32852</v>
      </c>
      <c r="J7077" t="s">
        <v>7187</v>
      </c>
      <c r="K7077" t="s">
        <v>3473</v>
      </c>
      <c r="L7077" t="s">
        <v>32853</v>
      </c>
      <c r="M7077" t="s">
        <v>1029</v>
      </c>
      <c r="N7077" t="s">
        <v>23519</v>
      </c>
      <c r="O7077" t="s">
        <v>32854</v>
      </c>
      <c r="P7077" t="s">
        <v>32855</v>
      </c>
      <c r="Q7077" t="s">
        <v>32856</v>
      </c>
      <c r="R7077">
        <v>20</v>
      </c>
      <c r="S7077">
        <v>32</v>
      </c>
    </row>
    <row r="7078" spans="1:19" x14ac:dyDescent="0.35">
      <c r="A7078">
        <v>3910</v>
      </c>
      <c r="B7078" t="s">
        <v>32857</v>
      </c>
      <c r="C7078" t="s">
        <v>42</v>
      </c>
      <c r="D7078" t="s">
        <v>32858</v>
      </c>
      <c r="E7078" t="e" cm="1">
        <f t="array" ref="E7078">- BENZOCAINE</f>
        <v>#NAME?</v>
      </c>
      <c r="F7078" t="s">
        <v>32859</v>
      </c>
      <c r="G7078" t="s">
        <v>16413</v>
      </c>
      <c r="H7078" t="s">
        <v>32860</v>
      </c>
      <c r="I7078" t="s">
        <v>32861</v>
      </c>
      <c r="J7078" t="s">
        <v>4783</v>
      </c>
      <c r="K7078" t="s">
        <v>3473</v>
      </c>
      <c r="L7078" t="s">
        <v>32862</v>
      </c>
      <c r="M7078" t="s">
        <v>720</v>
      </c>
      <c r="N7078" t="s">
        <v>23519</v>
      </c>
      <c r="O7078" t="s">
        <v>32863</v>
      </c>
      <c r="P7078" t="s">
        <v>32864</v>
      </c>
      <c r="Q7078" t="s">
        <v>32865</v>
      </c>
      <c r="R7078">
        <v>20</v>
      </c>
      <c r="S7078">
        <v>32</v>
      </c>
    </row>
    <row r="7079" spans="1:19" x14ac:dyDescent="0.35">
      <c r="A7079">
        <v>1240</v>
      </c>
      <c r="B7079" t="s">
        <v>32866</v>
      </c>
      <c r="C7079" t="s">
        <v>42</v>
      </c>
      <c r="D7079" t="s">
        <v>32867</v>
      </c>
      <c r="E7079" t="e" cm="1">
        <f t="array" ref="E7079">- AMBROXOL HYDROCHLORIDE</f>
        <v>#NAME?</v>
      </c>
      <c r="F7079" t="s">
        <v>32868</v>
      </c>
      <c r="G7079" t="s">
        <v>4649</v>
      </c>
      <c r="H7079" t="s">
        <v>32869</v>
      </c>
      <c r="I7079" t="s">
        <v>32870</v>
      </c>
      <c r="J7079" t="s">
        <v>381</v>
      </c>
      <c r="L7079" t="s">
        <v>8847</v>
      </c>
      <c r="M7079" t="s">
        <v>46</v>
      </c>
      <c r="N7079" t="s">
        <v>1800</v>
      </c>
      <c r="O7079" t="s">
        <v>32871</v>
      </c>
      <c r="P7079" t="s">
        <v>32872</v>
      </c>
      <c r="Q7079" t="s">
        <v>32873</v>
      </c>
      <c r="R7079">
        <v>20</v>
      </c>
      <c r="S7079">
        <v>32</v>
      </c>
    </row>
    <row r="7080" spans="1:19" x14ac:dyDescent="0.35">
      <c r="A7080">
        <v>585</v>
      </c>
      <c r="B7080" t="s">
        <v>32874</v>
      </c>
      <c r="C7080" t="s">
        <v>42</v>
      </c>
      <c r="D7080" t="s">
        <v>32875</v>
      </c>
      <c r="E7080" t="e" cm="1">
        <f t="array" ref="E7080">- FLUTICASONE PROPIONATE. SALMETEROL XINAFOATE</f>
        <v>#NAME?</v>
      </c>
      <c r="F7080" t="s">
        <v>32876</v>
      </c>
      <c r="G7080" t="s">
        <v>32877</v>
      </c>
      <c r="H7080" t="s">
        <v>32878</v>
      </c>
      <c r="I7080" t="s">
        <v>32879</v>
      </c>
      <c r="J7080" t="s">
        <v>22718</v>
      </c>
      <c r="K7080" t="s">
        <v>31779</v>
      </c>
      <c r="L7080" t="s">
        <v>32880</v>
      </c>
      <c r="M7080" t="s">
        <v>1280</v>
      </c>
      <c r="N7080" t="s">
        <v>22640</v>
      </c>
      <c r="O7080" t="s">
        <v>32881</v>
      </c>
      <c r="P7080" t="s">
        <v>22284</v>
      </c>
      <c r="Q7080" t="s">
        <v>32882</v>
      </c>
      <c r="R7080">
        <v>20</v>
      </c>
      <c r="S7080">
        <v>32</v>
      </c>
    </row>
    <row r="7081" spans="1:19" x14ac:dyDescent="0.35">
      <c r="A7081">
        <v>3881</v>
      </c>
      <c r="B7081" t="s">
        <v>32883</v>
      </c>
      <c r="C7081" t="s">
        <v>42</v>
      </c>
      <c r="D7081" t="s">
        <v>32884</v>
      </c>
      <c r="E7081" t="e" cm="1">
        <f t="array" ref="E7081">- LEVAMISOLE HYDROCHLORIDE</f>
        <v>#NAME?</v>
      </c>
      <c r="F7081" t="s">
        <v>32885</v>
      </c>
      <c r="G7081" t="s">
        <v>32886</v>
      </c>
      <c r="H7081" t="s">
        <v>32887</v>
      </c>
    </row>
    <row r="7082" spans="1:19" x14ac:dyDescent="0.35">
      <c r="A7082">
        <v>3880</v>
      </c>
      <c r="B7082" t="s">
        <v>32883</v>
      </c>
      <c r="C7082" t="s">
        <v>42</v>
      </c>
      <c r="D7082" t="s">
        <v>32884</v>
      </c>
      <c r="E7082" t="e" cm="1">
        <f t="array" ref="E7082">- LEVAMISOLE HYDROCHLORIDE</f>
        <v>#NAME?</v>
      </c>
      <c r="F7082" t="s">
        <v>32885</v>
      </c>
      <c r="G7082" t="s">
        <v>32886</v>
      </c>
      <c r="H7082" t="s">
        <v>32887</v>
      </c>
    </row>
    <row r="7083" spans="1:19" x14ac:dyDescent="0.35">
      <c r="A7083">
        <v>586</v>
      </c>
      <c r="B7083" t="s">
        <v>32874</v>
      </c>
      <c r="C7083" t="s">
        <v>42</v>
      </c>
      <c r="D7083" t="s">
        <v>32875</v>
      </c>
      <c r="E7083" t="e" cm="1">
        <f t="array" ref="E7083">- FLUTICASONE PROPIONATE. SALMETEROL XINAFOATE</f>
        <v>#NAME?</v>
      </c>
      <c r="F7083" t="s">
        <v>32876</v>
      </c>
      <c r="G7083" t="s">
        <v>32877</v>
      </c>
      <c r="H7083" t="s">
        <v>32878</v>
      </c>
      <c r="I7083" t="s">
        <v>32879</v>
      </c>
      <c r="J7083" t="s">
        <v>22718</v>
      </c>
      <c r="K7083" t="s">
        <v>31779</v>
      </c>
      <c r="L7083" t="s">
        <v>32880</v>
      </c>
      <c r="M7083" t="s">
        <v>1280</v>
      </c>
      <c r="N7083" t="s">
        <v>22640</v>
      </c>
      <c r="O7083" t="s">
        <v>32881</v>
      </c>
      <c r="P7083" t="s">
        <v>22284</v>
      </c>
      <c r="Q7083" t="s">
        <v>32882</v>
      </c>
      <c r="R7083">
        <v>20</v>
      </c>
      <c r="S7083">
        <v>32</v>
      </c>
    </row>
    <row r="7084" spans="1:19" x14ac:dyDescent="0.35">
      <c r="A7084">
        <v>587</v>
      </c>
      <c r="B7084" t="s">
        <v>32874</v>
      </c>
      <c r="C7084" t="s">
        <v>42</v>
      </c>
      <c r="D7084" t="s">
        <v>32875</v>
      </c>
      <c r="E7084" t="e" cm="1">
        <f t="array" ref="E7084">- SALMETEROL XINAFOATE. FLUTICASONE PROPIONAT</f>
        <v>#NAME?</v>
      </c>
      <c r="F7084" t="s">
        <v>32876</v>
      </c>
      <c r="G7084" t="s">
        <v>32877</v>
      </c>
      <c r="H7084" t="s">
        <v>32878</v>
      </c>
      <c r="I7084" t="s">
        <v>32879</v>
      </c>
      <c r="J7084" t="s">
        <v>22718</v>
      </c>
      <c r="K7084" t="s">
        <v>31779</v>
      </c>
      <c r="L7084" t="s">
        <v>32880</v>
      </c>
      <c r="M7084" t="s">
        <v>1280</v>
      </c>
      <c r="N7084" t="s">
        <v>27141</v>
      </c>
      <c r="O7084" t="s">
        <v>32881</v>
      </c>
      <c r="P7084" t="s">
        <v>22284</v>
      </c>
      <c r="Q7084" t="s">
        <v>32888</v>
      </c>
      <c r="R7084">
        <v>20</v>
      </c>
      <c r="S7084">
        <v>32</v>
      </c>
    </row>
    <row r="7085" spans="1:19" x14ac:dyDescent="0.35">
      <c r="A7085">
        <v>3848</v>
      </c>
      <c r="B7085" t="s">
        <v>32889</v>
      </c>
      <c r="C7085" t="s">
        <v>42</v>
      </c>
      <c r="D7085" t="s">
        <v>32890</v>
      </c>
      <c r="E7085" t="e" cm="1">
        <f t="array" ref="E7085">- DEXTROSE ANHYDRATE</f>
        <v>#NAME?</v>
      </c>
      <c r="F7085" t="s">
        <v>32891</v>
      </c>
      <c r="G7085" t="s">
        <v>15860</v>
      </c>
      <c r="H7085" t="s">
        <v>32892</v>
      </c>
      <c r="I7085" t="s">
        <v>32893</v>
      </c>
      <c r="J7085" t="s">
        <v>32894</v>
      </c>
      <c r="K7085" t="s">
        <v>15864</v>
      </c>
      <c r="L7085" t="s">
        <v>15865</v>
      </c>
      <c r="M7085" t="s">
        <v>1280</v>
      </c>
      <c r="N7085" t="s">
        <v>29601</v>
      </c>
      <c r="O7085" t="s">
        <v>32895</v>
      </c>
      <c r="P7085" t="s">
        <v>32896</v>
      </c>
      <c r="Q7085" t="s">
        <v>32897</v>
      </c>
      <c r="R7085">
        <v>20</v>
      </c>
      <c r="S7085">
        <v>32</v>
      </c>
    </row>
    <row r="7086" spans="1:19" x14ac:dyDescent="0.35">
      <c r="A7086">
        <v>1253</v>
      </c>
      <c r="B7086" t="s">
        <v>32898</v>
      </c>
      <c r="C7086" t="s">
        <v>42</v>
      </c>
      <c r="D7086" t="s">
        <v>32899</v>
      </c>
      <c r="E7086" t="e" cm="1">
        <f t="array" ref="E7086">- AMBROXOL HYDROCHLORIDE</f>
        <v>#NAME?</v>
      </c>
      <c r="F7086" t="s">
        <v>32900</v>
      </c>
      <c r="H7086" t="s">
        <v>32901</v>
      </c>
      <c r="I7086" t="s">
        <v>32902</v>
      </c>
      <c r="J7086" t="s">
        <v>334</v>
      </c>
      <c r="L7086" t="s">
        <v>321</v>
      </c>
      <c r="M7086" t="s">
        <v>554</v>
      </c>
      <c r="N7086" t="s">
        <v>1800</v>
      </c>
      <c r="O7086" t="s">
        <v>32903</v>
      </c>
      <c r="P7086" t="s">
        <v>32904</v>
      </c>
      <c r="Q7086" t="s">
        <v>32905</v>
      </c>
      <c r="R7086">
        <v>20</v>
      </c>
      <c r="S7086">
        <v>32</v>
      </c>
    </row>
    <row r="7087" spans="1:19" x14ac:dyDescent="0.35">
      <c r="A7087">
        <v>1266</v>
      </c>
      <c r="B7087" t="s">
        <v>32906</v>
      </c>
      <c r="C7087" t="s">
        <v>42</v>
      </c>
      <c r="D7087" t="s">
        <v>32907</v>
      </c>
      <c r="E7087" t="s">
        <v>32908</v>
      </c>
      <c r="F7087" t="s">
        <v>32909</v>
      </c>
      <c r="G7087" t="s">
        <v>4420</v>
      </c>
      <c r="H7087" t="s">
        <v>32910</v>
      </c>
      <c r="I7087" t="s">
        <v>32911</v>
      </c>
      <c r="J7087" t="s">
        <v>3167</v>
      </c>
      <c r="K7087" t="s">
        <v>32912</v>
      </c>
      <c r="L7087" t="s">
        <v>32913</v>
      </c>
      <c r="M7087" t="s">
        <v>271</v>
      </c>
      <c r="N7087" t="s">
        <v>32914</v>
      </c>
      <c r="O7087" t="s">
        <v>32915</v>
      </c>
      <c r="P7087" t="s">
        <v>26524</v>
      </c>
      <c r="Q7087" t="s">
        <v>32916</v>
      </c>
      <c r="R7087">
        <v>20</v>
      </c>
      <c r="S7087">
        <v>32</v>
      </c>
    </row>
    <row r="7088" spans="1:19" x14ac:dyDescent="0.35">
      <c r="A7088">
        <v>5223</v>
      </c>
      <c r="B7088" t="s">
        <v>32917</v>
      </c>
      <c r="C7088" t="s">
        <v>42</v>
      </c>
      <c r="D7088" t="s">
        <v>32918</v>
      </c>
      <c r="E7088" t="e" cm="1">
        <f t="array" ref="E7088">- MUPIROCIN CALCIUM</f>
        <v>#NAME?</v>
      </c>
      <c r="F7088" t="s">
        <v>32919</v>
      </c>
      <c r="G7088" t="s">
        <v>32920</v>
      </c>
      <c r="H7088" t="s">
        <v>32921</v>
      </c>
      <c r="I7088" t="s">
        <v>32922</v>
      </c>
      <c r="J7088" t="s">
        <v>2049</v>
      </c>
      <c r="K7088" t="s">
        <v>16389</v>
      </c>
      <c r="L7088" t="s">
        <v>32923</v>
      </c>
      <c r="M7088" t="s">
        <v>1289</v>
      </c>
      <c r="N7088" t="s">
        <v>32924</v>
      </c>
      <c r="O7088" t="s">
        <v>32925</v>
      </c>
      <c r="P7088" t="s">
        <v>32926</v>
      </c>
      <c r="Q7088" t="s">
        <v>32927</v>
      </c>
      <c r="R7088">
        <v>20</v>
      </c>
      <c r="S7088">
        <v>32</v>
      </c>
    </row>
    <row r="7089" spans="1:19" x14ac:dyDescent="0.35">
      <c r="A7089">
        <v>5224</v>
      </c>
      <c r="B7089" t="s">
        <v>32917</v>
      </c>
      <c r="C7089" t="s">
        <v>42</v>
      </c>
      <c r="D7089" t="s">
        <v>32918</v>
      </c>
      <c r="E7089" t="e" cm="1">
        <f t="array" ref="E7089">- MUPIROCIN CALCIUM</f>
        <v>#NAME?</v>
      </c>
      <c r="F7089" t="s">
        <v>32919</v>
      </c>
      <c r="G7089" t="s">
        <v>32920</v>
      </c>
      <c r="H7089" t="s">
        <v>32921</v>
      </c>
      <c r="I7089" t="s">
        <v>32922</v>
      </c>
      <c r="J7089" t="s">
        <v>2049</v>
      </c>
      <c r="K7089" t="s">
        <v>16389</v>
      </c>
      <c r="L7089" t="s">
        <v>32923</v>
      </c>
      <c r="M7089" t="s">
        <v>1289</v>
      </c>
      <c r="N7089" t="s">
        <v>32924</v>
      </c>
      <c r="O7089" t="s">
        <v>32925</v>
      </c>
      <c r="P7089" t="s">
        <v>32926</v>
      </c>
      <c r="Q7089" t="s">
        <v>32927</v>
      </c>
      <c r="R7089">
        <v>20</v>
      </c>
      <c r="S7089">
        <v>32</v>
      </c>
    </row>
    <row r="7090" spans="1:19" x14ac:dyDescent="0.35">
      <c r="A7090">
        <v>5225</v>
      </c>
      <c r="B7090" t="s">
        <v>32917</v>
      </c>
      <c r="C7090" t="s">
        <v>42</v>
      </c>
      <c r="D7090" t="s">
        <v>32918</v>
      </c>
      <c r="E7090" t="e" cm="1">
        <f t="array" ref="E7090">- MUPIROCIN CALCIUM</f>
        <v>#NAME?</v>
      </c>
      <c r="F7090" t="s">
        <v>32919</v>
      </c>
      <c r="G7090" t="s">
        <v>32920</v>
      </c>
      <c r="H7090" t="s">
        <v>32921</v>
      </c>
      <c r="I7090" t="s">
        <v>32922</v>
      </c>
      <c r="J7090" t="s">
        <v>2049</v>
      </c>
      <c r="K7090" t="s">
        <v>16389</v>
      </c>
      <c r="L7090" t="s">
        <v>32923</v>
      </c>
      <c r="M7090" t="s">
        <v>1289</v>
      </c>
      <c r="N7090" t="s">
        <v>32924</v>
      </c>
      <c r="O7090" t="s">
        <v>32925</v>
      </c>
      <c r="P7090" t="s">
        <v>32926</v>
      </c>
      <c r="Q7090" t="s">
        <v>32927</v>
      </c>
      <c r="R7090">
        <v>20</v>
      </c>
      <c r="S7090">
        <v>32</v>
      </c>
    </row>
    <row r="7091" spans="1:19" x14ac:dyDescent="0.35">
      <c r="A7091">
        <v>5226</v>
      </c>
      <c r="B7091" t="s">
        <v>32917</v>
      </c>
      <c r="C7091" t="s">
        <v>42</v>
      </c>
      <c r="D7091" t="s">
        <v>32928</v>
      </c>
      <c r="E7091" t="e" cm="1">
        <f t="array" ref="E7091">- MUPIROCIN CALCIUM</f>
        <v>#NAME?</v>
      </c>
      <c r="F7091" t="s">
        <v>32929</v>
      </c>
      <c r="G7091" t="s">
        <v>7210</v>
      </c>
      <c r="H7091" t="s">
        <v>32930</v>
      </c>
      <c r="I7091" t="s">
        <v>32922</v>
      </c>
      <c r="J7091" t="s">
        <v>7123</v>
      </c>
      <c r="K7091" t="s">
        <v>2858</v>
      </c>
      <c r="L7091" t="s">
        <v>32931</v>
      </c>
      <c r="M7091" t="s">
        <v>1289</v>
      </c>
      <c r="N7091" t="s">
        <v>32924</v>
      </c>
      <c r="O7091" t="s">
        <v>32925</v>
      </c>
      <c r="P7091" t="s">
        <v>32926</v>
      </c>
      <c r="Q7091" t="s">
        <v>32927</v>
      </c>
      <c r="R7091">
        <v>20</v>
      </c>
      <c r="S7091">
        <v>32</v>
      </c>
    </row>
    <row r="7092" spans="1:19" x14ac:dyDescent="0.35">
      <c r="A7092">
        <v>5227</v>
      </c>
      <c r="B7092" t="s">
        <v>32917</v>
      </c>
      <c r="C7092" t="s">
        <v>42</v>
      </c>
      <c r="D7092" t="s">
        <v>32928</v>
      </c>
      <c r="E7092" t="e" cm="1">
        <f t="array" ref="E7092">- MUPIROCIN CALCIUM</f>
        <v>#NAME?</v>
      </c>
      <c r="F7092" t="s">
        <v>32929</v>
      </c>
      <c r="G7092" t="s">
        <v>7210</v>
      </c>
      <c r="H7092" t="s">
        <v>32930</v>
      </c>
      <c r="I7092" t="s">
        <v>32922</v>
      </c>
      <c r="J7092" t="s">
        <v>7123</v>
      </c>
      <c r="K7092" t="s">
        <v>2858</v>
      </c>
      <c r="L7092" t="s">
        <v>32931</v>
      </c>
      <c r="M7092" t="s">
        <v>1289</v>
      </c>
      <c r="N7092" t="s">
        <v>32924</v>
      </c>
      <c r="O7092" t="s">
        <v>32925</v>
      </c>
      <c r="P7092" t="s">
        <v>32926</v>
      </c>
      <c r="Q7092" t="s">
        <v>32927</v>
      </c>
      <c r="R7092">
        <v>20</v>
      </c>
      <c r="S7092">
        <v>32</v>
      </c>
    </row>
    <row r="7093" spans="1:19" x14ac:dyDescent="0.35">
      <c r="A7093">
        <v>8178</v>
      </c>
      <c r="B7093" t="s">
        <v>551</v>
      </c>
      <c r="C7093" t="s">
        <v>42</v>
      </c>
      <c r="D7093" t="s">
        <v>32932</v>
      </c>
      <c r="E7093" t="e" cm="1">
        <f t="array" ref="E7093">- POVIDONE-IODINE</f>
        <v>#NAME?</v>
      </c>
      <c r="F7093" t="s">
        <v>32933</v>
      </c>
      <c r="H7093" t="s">
        <v>32934</v>
      </c>
      <c r="I7093" t="s">
        <v>32935</v>
      </c>
      <c r="J7093" t="s">
        <v>32764</v>
      </c>
      <c r="M7093" t="s">
        <v>554</v>
      </c>
      <c r="N7093" t="s">
        <v>555</v>
      </c>
      <c r="O7093" t="s">
        <v>32936</v>
      </c>
      <c r="P7093" t="s">
        <v>32766</v>
      </c>
      <c r="Q7093" t="s">
        <v>32937</v>
      </c>
      <c r="R7093">
        <v>20</v>
      </c>
      <c r="S7093">
        <v>32</v>
      </c>
    </row>
    <row r="7094" spans="1:19" x14ac:dyDescent="0.35">
      <c r="A7094">
        <v>8179</v>
      </c>
      <c r="B7094" t="s">
        <v>551</v>
      </c>
      <c r="C7094" t="s">
        <v>42</v>
      </c>
      <c r="D7094" t="s">
        <v>32932</v>
      </c>
      <c r="E7094" t="e" cm="1">
        <f t="array" ref="E7094">- POVIDONE-IODINE</f>
        <v>#NAME?</v>
      </c>
      <c r="F7094" t="s">
        <v>32933</v>
      </c>
      <c r="H7094" t="s">
        <v>32934</v>
      </c>
      <c r="I7094" t="s">
        <v>32935</v>
      </c>
      <c r="J7094" t="s">
        <v>32764</v>
      </c>
      <c r="M7094" t="s">
        <v>554</v>
      </c>
      <c r="N7094" t="s">
        <v>555</v>
      </c>
      <c r="O7094" t="s">
        <v>32936</v>
      </c>
      <c r="P7094" t="s">
        <v>32766</v>
      </c>
      <c r="Q7094" t="s">
        <v>32937</v>
      </c>
      <c r="R7094">
        <v>20</v>
      </c>
      <c r="S7094">
        <v>32</v>
      </c>
    </row>
    <row r="7095" spans="1:19" x14ac:dyDescent="0.35">
      <c r="A7095">
        <v>5228</v>
      </c>
      <c r="B7095" t="s">
        <v>32917</v>
      </c>
      <c r="C7095" t="s">
        <v>42</v>
      </c>
      <c r="D7095" t="s">
        <v>32928</v>
      </c>
      <c r="E7095" t="e" cm="1">
        <f t="array" ref="E7095">- MUPIROCIN CALCIUM</f>
        <v>#NAME?</v>
      </c>
      <c r="F7095" t="s">
        <v>32929</v>
      </c>
      <c r="G7095" t="s">
        <v>7210</v>
      </c>
      <c r="H7095" t="s">
        <v>32930</v>
      </c>
      <c r="I7095" t="s">
        <v>32922</v>
      </c>
      <c r="J7095" t="s">
        <v>7123</v>
      </c>
      <c r="K7095" t="s">
        <v>2858</v>
      </c>
      <c r="L7095" t="s">
        <v>32931</v>
      </c>
      <c r="M7095" t="s">
        <v>1289</v>
      </c>
      <c r="N7095" t="s">
        <v>32924</v>
      </c>
      <c r="O7095" t="s">
        <v>32925</v>
      </c>
      <c r="P7095" t="s">
        <v>32926</v>
      </c>
      <c r="Q7095" t="s">
        <v>32927</v>
      </c>
      <c r="R7095">
        <v>20</v>
      </c>
      <c r="S7095">
        <v>32</v>
      </c>
    </row>
    <row r="7096" spans="1:19" x14ac:dyDescent="0.35">
      <c r="A7096">
        <v>8180</v>
      </c>
      <c r="B7096" t="s">
        <v>551</v>
      </c>
      <c r="C7096" t="s">
        <v>42</v>
      </c>
      <c r="D7096" t="s">
        <v>32938</v>
      </c>
      <c r="E7096" t="e" cm="1">
        <f t="array" ref="E7096">- POVIDONE-IODINE</f>
        <v>#NAME?</v>
      </c>
      <c r="F7096" t="s">
        <v>32939</v>
      </c>
      <c r="G7096" t="s">
        <v>32940</v>
      </c>
      <c r="H7096" t="s">
        <v>1322</v>
      </c>
      <c r="I7096" t="s">
        <v>32935</v>
      </c>
      <c r="J7096" t="s">
        <v>32764</v>
      </c>
      <c r="L7096" t="s">
        <v>32941</v>
      </c>
      <c r="M7096" t="s">
        <v>554</v>
      </c>
      <c r="N7096" t="s">
        <v>555</v>
      </c>
      <c r="O7096" t="s">
        <v>32936</v>
      </c>
      <c r="P7096" t="s">
        <v>32766</v>
      </c>
      <c r="Q7096" t="s">
        <v>32937</v>
      </c>
      <c r="R7096">
        <v>20</v>
      </c>
      <c r="S7096">
        <v>32</v>
      </c>
    </row>
    <row r="7097" spans="1:19" x14ac:dyDescent="0.35">
      <c r="A7097">
        <v>8181</v>
      </c>
      <c r="B7097" t="s">
        <v>551</v>
      </c>
      <c r="C7097" t="s">
        <v>42</v>
      </c>
      <c r="D7097" t="s">
        <v>32938</v>
      </c>
      <c r="E7097" t="e" cm="1">
        <f t="array" ref="E7097">- POVIDONE-IODINE</f>
        <v>#NAME?</v>
      </c>
      <c r="F7097" t="s">
        <v>32939</v>
      </c>
      <c r="G7097" t="s">
        <v>32940</v>
      </c>
      <c r="H7097" t="s">
        <v>1322</v>
      </c>
      <c r="I7097" t="s">
        <v>32935</v>
      </c>
      <c r="J7097" t="s">
        <v>32764</v>
      </c>
      <c r="L7097" t="s">
        <v>32941</v>
      </c>
      <c r="M7097" t="s">
        <v>554</v>
      </c>
      <c r="N7097" t="s">
        <v>555</v>
      </c>
      <c r="O7097" t="s">
        <v>32936</v>
      </c>
      <c r="P7097" t="s">
        <v>32766</v>
      </c>
      <c r="Q7097" t="s">
        <v>32937</v>
      </c>
      <c r="R7097">
        <v>20</v>
      </c>
      <c r="S7097">
        <v>32</v>
      </c>
    </row>
    <row r="7098" spans="1:19" x14ac:dyDescent="0.35">
      <c r="A7098">
        <v>8182</v>
      </c>
      <c r="B7098" t="s">
        <v>551</v>
      </c>
      <c r="C7098" t="s">
        <v>42</v>
      </c>
      <c r="D7098" t="s">
        <v>32942</v>
      </c>
      <c r="E7098" t="e" cm="1">
        <f t="array" ref="E7098">- POVIDONE-IODINE</f>
        <v>#NAME?</v>
      </c>
      <c r="F7098" t="s">
        <v>32943</v>
      </c>
      <c r="G7098" t="s">
        <v>32940</v>
      </c>
      <c r="H7098" t="s">
        <v>32934</v>
      </c>
      <c r="I7098" t="s">
        <v>32944</v>
      </c>
      <c r="J7098" t="s">
        <v>32764</v>
      </c>
      <c r="M7098" t="s">
        <v>554</v>
      </c>
      <c r="N7098" t="s">
        <v>555</v>
      </c>
      <c r="O7098" t="s">
        <v>32765</v>
      </c>
      <c r="P7098" t="s">
        <v>32766</v>
      </c>
      <c r="Q7098" t="s">
        <v>32767</v>
      </c>
      <c r="R7098">
        <v>20</v>
      </c>
      <c r="S7098">
        <v>32</v>
      </c>
    </row>
    <row r="7099" spans="1:19" x14ac:dyDescent="0.35">
      <c r="A7099">
        <v>8183</v>
      </c>
      <c r="B7099" t="s">
        <v>551</v>
      </c>
      <c r="C7099" t="s">
        <v>42</v>
      </c>
      <c r="D7099" t="s">
        <v>32942</v>
      </c>
      <c r="E7099" t="e" cm="1">
        <f t="array" ref="E7099">- POVIDONE-IODINE</f>
        <v>#NAME?</v>
      </c>
      <c r="F7099" t="s">
        <v>32943</v>
      </c>
      <c r="G7099" t="s">
        <v>32940</v>
      </c>
      <c r="H7099" t="s">
        <v>32934</v>
      </c>
      <c r="I7099" t="s">
        <v>32944</v>
      </c>
      <c r="J7099" t="s">
        <v>32764</v>
      </c>
      <c r="M7099" t="s">
        <v>554</v>
      </c>
      <c r="N7099" t="s">
        <v>555</v>
      </c>
      <c r="O7099" t="s">
        <v>32765</v>
      </c>
      <c r="P7099" t="s">
        <v>32766</v>
      </c>
      <c r="Q7099" t="s">
        <v>32767</v>
      </c>
      <c r="R7099">
        <v>20</v>
      </c>
      <c r="S7099">
        <v>32</v>
      </c>
    </row>
    <row r="7100" spans="1:19" x14ac:dyDescent="0.35">
      <c r="A7100">
        <v>6034</v>
      </c>
      <c r="B7100" t="s">
        <v>32945</v>
      </c>
      <c r="C7100" t="s">
        <v>42</v>
      </c>
      <c r="D7100" t="s">
        <v>32946</v>
      </c>
      <c r="E7100" t="e" cm="1">
        <f t="array" ref="E7100">- METRONIDAZOLE</f>
        <v>#NAME?</v>
      </c>
      <c r="F7100" t="s">
        <v>32947</v>
      </c>
      <c r="G7100" t="s">
        <v>2241</v>
      </c>
      <c r="H7100" t="s">
        <v>32948</v>
      </c>
      <c r="I7100" t="s">
        <v>32949</v>
      </c>
      <c r="J7100" t="s">
        <v>32950</v>
      </c>
      <c r="K7100" t="s">
        <v>32951</v>
      </c>
      <c r="L7100" t="s">
        <v>32952</v>
      </c>
      <c r="M7100" t="s">
        <v>291</v>
      </c>
      <c r="N7100" t="s">
        <v>1049</v>
      </c>
      <c r="O7100" t="s">
        <v>32953</v>
      </c>
      <c r="P7100" t="s">
        <v>32954</v>
      </c>
      <c r="Q7100" t="s">
        <v>32955</v>
      </c>
      <c r="R7100">
        <v>20</v>
      </c>
      <c r="S7100">
        <v>32</v>
      </c>
    </row>
    <row r="7101" spans="1:19" x14ac:dyDescent="0.35">
      <c r="A7101">
        <v>7100</v>
      </c>
      <c r="B7101" t="s">
        <v>32956</v>
      </c>
      <c r="C7101" t="s">
        <v>850</v>
      </c>
      <c r="D7101" t="s">
        <v>32957</v>
      </c>
      <c r="E7101" t="e" cm="1">
        <f t="array" ref="E7101">- eugenol</f>
        <v>#NAME?</v>
      </c>
      <c r="F7101" t="s">
        <v>32958</v>
      </c>
      <c r="H7101" t="s">
        <v>32959</v>
      </c>
      <c r="I7101" t="s">
        <v>32960</v>
      </c>
      <c r="J7101" t="s">
        <v>25662</v>
      </c>
      <c r="M7101" t="s">
        <v>1289</v>
      </c>
      <c r="N7101" t="s">
        <v>19589</v>
      </c>
      <c r="O7101" t="s">
        <v>32961</v>
      </c>
      <c r="P7101" t="s">
        <v>32962</v>
      </c>
      <c r="Q7101" t="s">
        <v>32963</v>
      </c>
      <c r="R7101">
        <v>20</v>
      </c>
      <c r="S7101">
        <v>32</v>
      </c>
    </row>
    <row r="7102" spans="1:19" x14ac:dyDescent="0.35">
      <c r="A7102">
        <v>3107</v>
      </c>
      <c r="B7102" t="s">
        <v>32073</v>
      </c>
      <c r="C7102" t="s">
        <v>42</v>
      </c>
      <c r="D7102" t="s">
        <v>32074</v>
      </c>
      <c r="E7102" t="e" cm="1">
        <f t="array" ref="E7102">- LANSOPRAZOLE PELLET</f>
        <v>#NAME?</v>
      </c>
      <c r="F7102" t="s">
        <v>32075</v>
      </c>
      <c r="G7102" t="s">
        <v>11823</v>
      </c>
      <c r="H7102" t="s">
        <v>4222</v>
      </c>
      <c r="I7102" t="s">
        <v>31596</v>
      </c>
      <c r="J7102" t="s">
        <v>1181</v>
      </c>
      <c r="K7102" t="s">
        <v>31597</v>
      </c>
      <c r="L7102" t="s">
        <v>31598</v>
      </c>
    </row>
    <row r="7103" spans="1:19" x14ac:dyDescent="0.35">
      <c r="A7103">
        <v>839</v>
      </c>
      <c r="B7103" t="s">
        <v>30478</v>
      </c>
      <c r="C7103" t="s">
        <v>42</v>
      </c>
      <c r="D7103" t="s">
        <v>30479</v>
      </c>
      <c r="E7103" t="e" cm="1">
        <f t="array" ref="E7103">- CHLORPHENAMINE MALEATE. PHENYLPROPANOLAMINE HYDROCHLORIDE</f>
        <v>#NAME?</v>
      </c>
      <c r="F7103" t="s">
        <v>28413</v>
      </c>
      <c r="G7103" t="s">
        <v>60</v>
      </c>
      <c r="H7103" t="s">
        <v>24546</v>
      </c>
      <c r="I7103" t="s">
        <v>30480</v>
      </c>
      <c r="J7103" t="s">
        <v>17816</v>
      </c>
      <c r="K7103" t="s">
        <v>30481</v>
      </c>
    </row>
    <row r="7104" spans="1:19" x14ac:dyDescent="0.35">
      <c r="A7104">
        <v>9292</v>
      </c>
      <c r="B7104" t="s">
        <v>32964</v>
      </c>
      <c r="C7104" t="s">
        <v>42</v>
      </c>
      <c r="D7104" t="s">
        <v>32965</v>
      </c>
      <c r="E7104" t="e" cm="1">
        <f t="array" ref="E7104">- CAPTOPRIL</f>
        <v>#NAME?</v>
      </c>
      <c r="F7104" t="s">
        <v>32966</v>
      </c>
      <c r="G7104" t="s">
        <v>6917</v>
      </c>
      <c r="H7104" t="s">
        <v>32967</v>
      </c>
      <c r="I7104" t="s">
        <v>32968</v>
      </c>
      <c r="J7104" t="s">
        <v>532</v>
      </c>
      <c r="K7104" t="s">
        <v>9842</v>
      </c>
      <c r="L7104" t="s">
        <v>32969</v>
      </c>
      <c r="M7104" t="s">
        <v>46</v>
      </c>
      <c r="N7104" t="s">
        <v>4734</v>
      </c>
      <c r="O7104" t="s">
        <v>32970</v>
      </c>
      <c r="P7104" t="s">
        <v>32971</v>
      </c>
      <c r="Q7104" t="s">
        <v>32972</v>
      </c>
      <c r="R7104">
        <v>20</v>
      </c>
      <c r="S7104">
        <v>32</v>
      </c>
    </row>
    <row r="7105" spans="1:19" x14ac:dyDescent="0.35">
      <c r="A7105">
        <v>5736</v>
      </c>
      <c r="B7105" t="s">
        <v>32973</v>
      </c>
      <c r="C7105" t="s">
        <v>42</v>
      </c>
      <c r="D7105" t="s">
        <v>32974</v>
      </c>
      <c r="E7105" t="e" cm="1">
        <f t="array" ref="E7105">- AMOXICILLIN TRIHYDRATE</f>
        <v>#NAME?</v>
      </c>
      <c r="F7105" t="s">
        <v>21802</v>
      </c>
      <c r="G7105" t="s">
        <v>1258</v>
      </c>
      <c r="H7105" t="s">
        <v>27917</v>
      </c>
      <c r="I7105" t="s">
        <v>32975</v>
      </c>
      <c r="J7105" t="s">
        <v>25573</v>
      </c>
      <c r="K7105" t="s">
        <v>27919</v>
      </c>
      <c r="L7105" t="s">
        <v>32976</v>
      </c>
      <c r="M7105" t="s">
        <v>271</v>
      </c>
      <c r="N7105" t="s">
        <v>1523</v>
      </c>
      <c r="O7105" t="s">
        <v>32977</v>
      </c>
      <c r="P7105" t="s">
        <v>505</v>
      </c>
      <c r="Q7105" t="s">
        <v>32978</v>
      </c>
      <c r="R7105">
        <v>20</v>
      </c>
      <c r="S7105">
        <v>32</v>
      </c>
    </row>
    <row r="7106" spans="1:19" x14ac:dyDescent="0.35">
      <c r="A7106">
        <v>5737</v>
      </c>
      <c r="B7106" t="s">
        <v>32973</v>
      </c>
      <c r="C7106" t="s">
        <v>42</v>
      </c>
      <c r="D7106" t="s">
        <v>32974</v>
      </c>
      <c r="E7106" t="e" cm="1">
        <f t="array" ref="E7106">- AMOXICILLIN TRIHYDRATE</f>
        <v>#NAME?</v>
      </c>
      <c r="F7106" t="s">
        <v>21802</v>
      </c>
      <c r="G7106" t="s">
        <v>1258</v>
      </c>
      <c r="H7106" t="s">
        <v>27917</v>
      </c>
      <c r="I7106" t="s">
        <v>32975</v>
      </c>
      <c r="J7106" t="s">
        <v>25573</v>
      </c>
      <c r="K7106" t="s">
        <v>27919</v>
      </c>
      <c r="L7106" t="s">
        <v>32976</v>
      </c>
      <c r="M7106" t="s">
        <v>271</v>
      </c>
      <c r="N7106" t="s">
        <v>1523</v>
      </c>
      <c r="O7106" t="s">
        <v>32977</v>
      </c>
      <c r="P7106" t="s">
        <v>505</v>
      </c>
      <c r="Q7106" t="s">
        <v>32978</v>
      </c>
      <c r="R7106">
        <v>20</v>
      </c>
      <c r="S7106">
        <v>32</v>
      </c>
    </row>
    <row r="7107" spans="1:19" x14ac:dyDescent="0.35">
      <c r="A7107">
        <v>2335</v>
      </c>
      <c r="B7107" t="s">
        <v>30518</v>
      </c>
      <c r="C7107" t="s">
        <v>42</v>
      </c>
      <c r="D7107" t="s">
        <v>30519</v>
      </c>
      <c r="E7107" t="e" cm="1">
        <f t="array" ref="E7107">- ACETYLSALICYLIC ACID. PARACETAMOL. CAFFEINE</f>
        <v>#NAME?</v>
      </c>
      <c r="F7107" t="s">
        <v>30520</v>
      </c>
      <c r="G7107" t="s">
        <v>2241</v>
      </c>
      <c r="H7107" t="s">
        <v>30521</v>
      </c>
    </row>
    <row r="7108" spans="1:19" x14ac:dyDescent="0.35">
      <c r="A7108">
        <v>9885</v>
      </c>
      <c r="B7108" t="s">
        <v>32979</v>
      </c>
      <c r="C7108" t="s">
        <v>42</v>
      </c>
      <c r="D7108" t="s">
        <v>32980</v>
      </c>
      <c r="E7108" t="e" cm="1">
        <f t="array" ref="E7108">- ACETYLSALICYLIC ACID</f>
        <v>#NAME?</v>
      </c>
      <c r="F7108" t="s">
        <v>32981</v>
      </c>
      <c r="G7108" t="s">
        <v>13148</v>
      </c>
      <c r="H7108" t="s">
        <v>30716</v>
      </c>
      <c r="I7108" t="s">
        <v>30602</v>
      </c>
      <c r="J7108" t="s">
        <v>32982</v>
      </c>
      <c r="K7108" t="s">
        <v>30603</v>
      </c>
      <c r="L7108" t="s">
        <v>30604</v>
      </c>
      <c r="M7108" t="s">
        <v>46</v>
      </c>
      <c r="N7108" t="s">
        <v>2579</v>
      </c>
      <c r="O7108" t="s">
        <v>30605</v>
      </c>
      <c r="P7108" t="s">
        <v>32983</v>
      </c>
      <c r="Q7108" t="s">
        <v>32984</v>
      </c>
      <c r="R7108">
        <v>20</v>
      </c>
      <c r="S7108">
        <v>32</v>
      </c>
    </row>
    <row r="7109" spans="1:19" x14ac:dyDescent="0.35">
      <c r="A7109">
        <v>9884</v>
      </c>
      <c r="B7109" t="s">
        <v>32979</v>
      </c>
      <c r="C7109" t="s">
        <v>42</v>
      </c>
      <c r="D7109" t="s">
        <v>32980</v>
      </c>
      <c r="E7109" t="e" cm="1">
        <f t="array" ref="E7109">- ACETYLSALICYLIC ACID</f>
        <v>#NAME?</v>
      </c>
      <c r="F7109" t="s">
        <v>32981</v>
      </c>
      <c r="G7109" t="s">
        <v>13148</v>
      </c>
      <c r="H7109" t="s">
        <v>30716</v>
      </c>
      <c r="I7109" t="s">
        <v>30602</v>
      </c>
      <c r="J7109" t="s">
        <v>32982</v>
      </c>
      <c r="K7109" t="s">
        <v>30603</v>
      </c>
      <c r="L7109" t="s">
        <v>30604</v>
      </c>
      <c r="M7109" t="s">
        <v>46</v>
      </c>
      <c r="N7109" t="s">
        <v>2579</v>
      </c>
      <c r="O7109" t="s">
        <v>30605</v>
      </c>
      <c r="P7109" t="s">
        <v>32983</v>
      </c>
      <c r="Q7109" t="s">
        <v>32984</v>
      </c>
      <c r="R7109">
        <v>20</v>
      </c>
      <c r="S7109">
        <v>32</v>
      </c>
    </row>
    <row r="7110" spans="1:19" x14ac:dyDescent="0.35">
      <c r="A7110">
        <v>2127</v>
      </c>
      <c r="B7110" t="s">
        <v>32985</v>
      </c>
      <c r="C7110" t="s">
        <v>42</v>
      </c>
      <c r="D7110" t="s">
        <v>32986</v>
      </c>
      <c r="E7110" t="e" cm="1">
        <f t="array" ref="E7110">- ETORICOXIB</f>
        <v>#NAME?</v>
      </c>
      <c r="F7110" t="s">
        <v>32987</v>
      </c>
      <c r="G7110" t="s">
        <v>60</v>
      </c>
      <c r="H7110" t="s">
        <v>19892</v>
      </c>
      <c r="I7110" t="s">
        <v>32988</v>
      </c>
      <c r="J7110" t="s">
        <v>2100</v>
      </c>
      <c r="K7110" t="s">
        <v>19894</v>
      </c>
      <c r="L7110" t="s">
        <v>19895</v>
      </c>
      <c r="M7110" t="s">
        <v>46</v>
      </c>
      <c r="N7110" t="s">
        <v>47</v>
      </c>
      <c r="O7110" t="s">
        <v>32989</v>
      </c>
      <c r="P7110" t="s">
        <v>24175</v>
      </c>
      <c r="Q7110" t="s">
        <v>32990</v>
      </c>
      <c r="R7110">
        <v>20</v>
      </c>
      <c r="S7110">
        <v>32</v>
      </c>
    </row>
    <row r="7111" spans="1:19" x14ac:dyDescent="0.35">
      <c r="A7111">
        <v>9887</v>
      </c>
      <c r="B7111" t="s">
        <v>32991</v>
      </c>
      <c r="C7111" t="s">
        <v>42</v>
      </c>
      <c r="D7111" t="s">
        <v>32992</v>
      </c>
      <c r="E7111" t="e" cm="1">
        <f t="array" ref="E7111">- ISOSORBIDE DINITRATE</f>
        <v>#NAME?</v>
      </c>
      <c r="F7111" t="s">
        <v>32993</v>
      </c>
      <c r="G7111" t="s">
        <v>2241</v>
      </c>
      <c r="H7111" t="s">
        <v>32994</v>
      </c>
      <c r="I7111" t="s">
        <v>32995</v>
      </c>
      <c r="J7111" t="s">
        <v>32996</v>
      </c>
      <c r="K7111" t="s">
        <v>32997</v>
      </c>
      <c r="L7111" t="s">
        <v>32998</v>
      </c>
      <c r="M7111" t="s">
        <v>46</v>
      </c>
      <c r="N7111" t="s">
        <v>6733</v>
      </c>
      <c r="O7111" t="s">
        <v>32999</v>
      </c>
      <c r="P7111" t="s">
        <v>20894</v>
      </c>
      <c r="Q7111" t="s">
        <v>33000</v>
      </c>
      <c r="R7111">
        <v>20</v>
      </c>
      <c r="S7111">
        <v>32</v>
      </c>
    </row>
    <row r="7112" spans="1:19" x14ac:dyDescent="0.35">
      <c r="A7112">
        <v>2334</v>
      </c>
      <c r="B7112" t="s">
        <v>30518</v>
      </c>
      <c r="C7112" t="s">
        <v>42</v>
      </c>
      <c r="D7112" t="s">
        <v>30519</v>
      </c>
      <c r="E7112" t="e" cm="1">
        <f t="array" ref="E7112">- ACETYLSALICYLIC ACID. CAFFEINE. PARACETAMOL</f>
        <v>#NAME?</v>
      </c>
      <c r="F7112" t="s">
        <v>30520</v>
      </c>
      <c r="G7112" t="s">
        <v>2241</v>
      </c>
      <c r="H7112" t="s">
        <v>30521</v>
      </c>
    </row>
    <row r="7113" spans="1:19" x14ac:dyDescent="0.35">
      <c r="A7113">
        <v>9880</v>
      </c>
      <c r="B7113" t="s">
        <v>33001</v>
      </c>
      <c r="C7113" t="s">
        <v>42</v>
      </c>
      <c r="D7113" t="s">
        <v>33002</v>
      </c>
      <c r="E7113" t="e" cm="1">
        <f t="array" ref="E7113">- CLOPIDOGREL BISULFATE</f>
        <v>#NAME?</v>
      </c>
      <c r="F7113" t="s">
        <v>33003</v>
      </c>
      <c r="G7113" t="s">
        <v>30611</v>
      </c>
      <c r="H7113" t="s">
        <v>30612</v>
      </c>
      <c r="I7113" t="s">
        <v>33004</v>
      </c>
      <c r="J7113" t="s">
        <v>45</v>
      </c>
      <c r="K7113" t="s">
        <v>33005</v>
      </c>
      <c r="L7113" t="s">
        <v>33006</v>
      </c>
      <c r="M7113" t="s">
        <v>46</v>
      </c>
      <c r="N7113" t="s">
        <v>2490</v>
      </c>
      <c r="O7113" t="s">
        <v>30616</v>
      </c>
      <c r="P7113" t="s">
        <v>22933</v>
      </c>
      <c r="Q7113" t="s">
        <v>33007</v>
      </c>
      <c r="R7113">
        <v>20</v>
      </c>
      <c r="S7113">
        <v>32</v>
      </c>
    </row>
    <row r="7114" spans="1:19" x14ac:dyDescent="0.35">
      <c r="A7114">
        <v>9879</v>
      </c>
      <c r="B7114" t="s">
        <v>33008</v>
      </c>
      <c r="C7114" t="s">
        <v>42</v>
      </c>
      <c r="D7114" t="s">
        <v>33009</v>
      </c>
      <c r="E7114" t="e" cm="1">
        <f t="array" ref="E7114">- FENOFIBRATE</f>
        <v>#NAME?</v>
      </c>
      <c r="F7114" t="s">
        <v>33010</v>
      </c>
      <c r="G7114" t="s">
        <v>30790</v>
      </c>
      <c r="H7114" t="s">
        <v>33011</v>
      </c>
      <c r="I7114" t="s">
        <v>30792</v>
      </c>
      <c r="J7114" t="s">
        <v>6069</v>
      </c>
      <c r="K7114" t="s">
        <v>30794</v>
      </c>
      <c r="L7114" t="s">
        <v>30795</v>
      </c>
      <c r="M7114" t="s">
        <v>38</v>
      </c>
      <c r="N7114" t="s">
        <v>1137</v>
      </c>
      <c r="O7114" t="s">
        <v>30796</v>
      </c>
      <c r="P7114" t="s">
        <v>33012</v>
      </c>
      <c r="Q7114" t="s">
        <v>33013</v>
      </c>
      <c r="R7114">
        <v>20</v>
      </c>
      <c r="S7114">
        <v>32</v>
      </c>
    </row>
    <row r="7115" spans="1:19" x14ac:dyDescent="0.35">
      <c r="A7115">
        <v>9304</v>
      </c>
      <c r="B7115" t="s">
        <v>33014</v>
      </c>
      <c r="C7115" t="s">
        <v>42</v>
      </c>
      <c r="D7115" t="s">
        <v>33015</v>
      </c>
      <c r="E7115" t="e" cm="1">
        <f t="array" ref="E7115">- RAMIPRIL</f>
        <v>#NAME?</v>
      </c>
      <c r="F7115" t="s">
        <v>33016</v>
      </c>
      <c r="G7115" t="s">
        <v>60</v>
      </c>
      <c r="H7115" t="s">
        <v>33017</v>
      </c>
      <c r="I7115" t="s">
        <v>33018</v>
      </c>
      <c r="J7115" t="s">
        <v>2478</v>
      </c>
      <c r="K7115" t="s">
        <v>33019</v>
      </c>
      <c r="L7115" t="s">
        <v>33020</v>
      </c>
      <c r="M7115" t="s">
        <v>46</v>
      </c>
      <c r="N7115" t="s">
        <v>2222</v>
      </c>
      <c r="O7115" t="s">
        <v>33021</v>
      </c>
      <c r="P7115" t="s">
        <v>33022</v>
      </c>
      <c r="Q7115" t="s">
        <v>33023</v>
      </c>
      <c r="R7115">
        <v>20</v>
      </c>
      <c r="S7115">
        <v>32</v>
      </c>
    </row>
    <row r="7116" spans="1:19" x14ac:dyDescent="0.35">
      <c r="A7116">
        <v>9878</v>
      </c>
      <c r="B7116" t="s">
        <v>33008</v>
      </c>
      <c r="C7116" t="s">
        <v>42</v>
      </c>
      <c r="D7116" t="s">
        <v>33009</v>
      </c>
      <c r="E7116" t="e" cm="1">
        <f t="array" ref="E7116">- FENOFIBRATE</f>
        <v>#NAME?</v>
      </c>
      <c r="F7116" t="s">
        <v>33010</v>
      </c>
      <c r="G7116" t="s">
        <v>30790</v>
      </c>
      <c r="H7116" t="s">
        <v>33011</v>
      </c>
      <c r="I7116" t="s">
        <v>30792</v>
      </c>
      <c r="J7116" t="s">
        <v>6069</v>
      </c>
      <c r="K7116" t="s">
        <v>30794</v>
      </c>
      <c r="L7116" t="s">
        <v>30795</v>
      </c>
      <c r="M7116" t="s">
        <v>38</v>
      </c>
      <c r="N7116" t="s">
        <v>1137</v>
      </c>
      <c r="O7116" t="s">
        <v>30796</v>
      </c>
      <c r="P7116" t="s">
        <v>33012</v>
      </c>
      <c r="Q7116" t="s">
        <v>33013</v>
      </c>
      <c r="R7116">
        <v>20</v>
      </c>
      <c r="S7116">
        <v>32</v>
      </c>
    </row>
    <row r="7117" spans="1:19" x14ac:dyDescent="0.35">
      <c r="A7117">
        <v>9877</v>
      </c>
      <c r="B7117" t="s">
        <v>33008</v>
      </c>
      <c r="C7117" t="s">
        <v>42</v>
      </c>
      <c r="D7117" t="s">
        <v>33009</v>
      </c>
      <c r="E7117" t="e" cm="1">
        <f t="array" ref="E7117">- FENOFIBRATE</f>
        <v>#NAME?</v>
      </c>
      <c r="F7117" t="s">
        <v>33010</v>
      </c>
      <c r="G7117" t="s">
        <v>30790</v>
      </c>
      <c r="H7117" t="s">
        <v>33011</v>
      </c>
      <c r="I7117" t="s">
        <v>30792</v>
      </c>
      <c r="J7117" t="s">
        <v>6069</v>
      </c>
      <c r="K7117" t="s">
        <v>30794</v>
      </c>
      <c r="L7117" t="s">
        <v>30795</v>
      </c>
      <c r="M7117" t="s">
        <v>38</v>
      </c>
      <c r="N7117" t="s">
        <v>1137</v>
      </c>
      <c r="O7117" t="s">
        <v>30796</v>
      </c>
      <c r="P7117" t="s">
        <v>33012</v>
      </c>
      <c r="Q7117" t="s">
        <v>33013</v>
      </c>
      <c r="R7117">
        <v>20</v>
      </c>
      <c r="S7117">
        <v>32</v>
      </c>
    </row>
    <row r="7118" spans="1:19" x14ac:dyDescent="0.35">
      <c r="A7118">
        <v>9305</v>
      </c>
      <c r="B7118" t="s">
        <v>33014</v>
      </c>
      <c r="C7118" t="s">
        <v>42</v>
      </c>
      <c r="D7118" t="s">
        <v>33015</v>
      </c>
      <c r="E7118" t="e" cm="1">
        <f t="array" ref="E7118">- RAMIPRIL</f>
        <v>#NAME?</v>
      </c>
      <c r="F7118" t="s">
        <v>33016</v>
      </c>
      <c r="G7118" t="s">
        <v>60</v>
      </c>
      <c r="H7118" t="s">
        <v>33017</v>
      </c>
      <c r="I7118" t="s">
        <v>33018</v>
      </c>
      <c r="J7118" t="s">
        <v>2478</v>
      </c>
      <c r="K7118" t="s">
        <v>33019</v>
      </c>
      <c r="L7118" t="s">
        <v>33020</v>
      </c>
      <c r="M7118" t="s">
        <v>46</v>
      </c>
      <c r="N7118" t="s">
        <v>2222</v>
      </c>
      <c r="O7118" t="s">
        <v>33021</v>
      </c>
      <c r="P7118" t="s">
        <v>33022</v>
      </c>
      <c r="Q7118" t="s">
        <v>33023</v>
      </c>
      <c r="R7118">
        <v>20</v>
      </c>
      <c r="S7118">
        <v>32</v>
      </c>
    </row>
    <row r="7119" spans="1:19" x14ac:dyDescent="0.35">
      <c r="A7119">
        <v>9308</v>
      </c>
      <c r="B7119" t="s">
        <v>33024</v>
      </c>
      <c r="C7119" t="s">
        <v>42</v>
      </c>
      <c r="D7119" t="s">
        <v>33025</v>
      </c>
      <c r="E7119" t="e" cm="1">
        <f t="array" ref="E7119">- RAMIPRIL</f>
        <v>#NAME?</v>
      </c>
      <c r="F7119" t="s">
        <v>33026</v>
      </c>
      <c r="G7119" t="s">
        <v>60</v>
      </c>
      <c r="H7119" t="s">
        <v>33017</v>
      </c>
      <c r="I7119" t="s">
        <v>33018</v>
      </c>
      <c r="J7119" t="s">
        <v>33027</v>
      </c>
      <c r="K7119" t="s">
        <v>33019</v>
      </c>
      <c r="L7119" t="s">
        <v>33020</v>
      </c>
      <c r="M7119" t="s">
        <v>46</v>
      </c>
      <c r="N7119" t="s">
        <v>2222</v>
      </c>
      <c r="O7119" t="s">
        <v>33021</v>
      </c>
      <c r="P7119" t="s">
        <v>33022</v>
      </c>
      <c r="Q7119" t="s">
        <v>33023</v>
      </c>
      <c r="R7119">
        <v>20</v>
      </c>
      <c r="S7119">
        <v>32</v>
      </c>
    </row>
    <row r="7120" spans="1:19" x14ac:dyDescent="0.35">
      <c r="A7120">
        <v>9881</v>
      </c>
      <c r="B7120" t="s">
        <v>33001</v>
      </c>
      <c r="C7120" t="s">
        <v>42</v>
      </c>
      <c r="D7120" t="s">
        <v>33002</v>
      </c>
      <c r="E7120" t="e" cm="1">
        <f t="array" ref="E7120">- CLOPIDOGREL BISULFATE</f>
        <v>#NAME?</v>
      </c>
      <c r="F7120" t="s">
        <v>33003</v>
      </c>
      <c r="G7120" t="s">
        <v>30611</v>
      </c>
      <c r="H7120" t="s">
        <v>30612</v>
      </c>
      <c r="I7120" t="s">
        <v>33004</v>
      </c>
      <c r="J7120" t="s">
        <v>45</v>
      </c>
      <c r="K7120" t="s">
        <v>33005</v>
      </c>
      <c r="L7120" t="s">
        <v>33006</v>
      </c>
      <c r="M7120" t="s">
        <v>46</v>
      </c>
      <c r="N7120" t="s">
        <v>2490</v>
      </c>
      <c r="O7120" t="s">
        <v>30616</v>
      </c>
      <c r="P7120" t="s">
        <v>22933</v>
      </c>
      <c r="Q7120" t="s">
        <v>33007</v>
      </c>
      <c r="R7120">
        <v>20</v>
      </c>
      <c r="S7120">
        <v>32</v>
      </c>
    </row>
    <row r="7121" spans="1:19" x14ac:dyDescent="0.35">
      <c r="A7121">
        <v>9309</v>
      </c>
      <c r="B7121" t="s">
        <v>33024</v>
      </c>
      <c r="C7121" t="s">
        <v>42</v>
      </c>
      <c r="D7121" t="s">
        <v>33025</v>
      </c>
      <c r="E7121" t="e" cm="1">
        <f t="array" ref="E7121">- RAMIPRIL</f>
        <v>#NAME?</v>
      </c>
      <c r="F7121" t="s">
        <v>33026</v>
      </c>
      <c r="G7121" t="s">
        <v>60</v>
      </c>
      <c r="H7121" t="s">
        <v>33017</v>
      </c>
      <c r="I7121" t="s">
        <v>33018</v>
      </c>
      <c r="J7121" t="s">
        <v>33027</v>
      </c>
      <c r="K7121" t="s">
        <v>33019</v>
      </c>
      <c r="L7121" t="s">
        <v>33020</v>
      </c>
      <c r="M7121" t="s">
        <v>46</v>
      </c>
      <c r="N7121" t="s">
        <v>2222</v>
      </c>
      <c r="O7121" t="s">
        <v>33021</v>
      </c>
      <c r="P7121" t="s">
        <v>33022</v>
      </c>
      <c r="Q7121" t="s">
        <v>33023</v>
      </c>
      <c r="R7121">
        <v>20</v>
      </c>
      <c r="S7121">
        <v>32</v>
      </c>
    </row>
    <row r="7122" spans="1:19" x14ac:dyDescent="0.35">
      <c r="A7122">
        <v>9899</v>
      </c>
      <c r="B7122" t="s">
        <v>30608</v>
      </c>
      <c r="C7122" t="s">
        <v>42</v>
      </c>
      <c r="D7122" t="s">
        <v>30609</v>
      </c>
      <c r="E7122" t="e" cm="1">
        <f t="array" ref="E7122">- CLOPIDOGREL BISULFATE</f>
        <v>#NAME?</v>
      </c>
      <c r="F7122" t="s">
        <v>30610</v>
      </c>
      <c r="G7122" t="s">
        <v>30611</v>
      </c>
      <c r="H7122" t="s">
        <v>30612</v>
      </c>
      <c r="I7122" t="s">
        <v>30613</v>
      </c>
      <c r="J7122" t="s">
        <v>2100</v>
      </c>
      <c r="K7122" t="s">
        <v>30614</v>
      </c>
      <c r="L7122" t="s">
        <v>30615</v>
      </c>
      <c r="M7122" t="s">
        <v>46</v>
      </c>
      <c r="N7122" t="s">
        <v>2490</v>
      </c>
      <c r="O7122" t="s">
        <v>30616</v>
      </c>
      <c r="P7122" t="s">
        <v>30617</v>
      </c>
      <c r="Q7122" t="s">
        <v>33028</v>
      </c>
      <c r="R7122">
        <v>20</v>
      </c>
      <c r="S7122">
        <v>32</v>
      </c>
    </row>
    <row r="7123" spans="1:19" x14ac:dyDescent="0.35">
      <c r="A7123">
        <v>9291</v>
      </c>
      <c r="B7123" t="s">
        <v>33029</v>
      </c>
      <c r="C7123" t="s">
        <v>42</v>
      </c>
      <c r="D7123" t="s">
        <v>33030</v>
      </c>
      <c r="E7123" t="e" cm="1">
        <f t="array" ref="E7123">- CAPTOPRIL</f>
        <v>#NAME?</v>
      </c>
      <c r="F7123" t="s">
        <v>33031</v>
      </c>
      <c r="G7123" t="s">
        <v>6917</v>
      </c>
      <c r="H7123" t="s">
        <v>33032</v>
      </c>
      <c r="I7123" t="s">
        <v>33033</v>
      </c>
      <c r="J7123" t="s">
        <v>532</v>
      </c>
      <c r="K7123" t="s">
        <v>21998</v>
      </c>
      <c r="L7123" t="s">
        <v>33034</v>
      </c>
      <c r="M7123" t="s">
        <v>46</v>
      </c>
      <c r="N7123" t="s">
        <v>4734</v>
      </c>
      <c r="O7123" t="s">
        <v>32970</v>
      </c>
      <c r="P7123" t="s">
        <v>32971</v>
      </c>
      <c r="Q7123" t="s">
        <v>32972</v>
      </c>
      <c r="R7123">
        <v>20</v>
      </c>
      <c r="S7123">
        <v>32</v>
      </c>
    </row>
    <row r="7124" spans="1:19" x14ac:dyDescent="0.35">
      <c r="A7124">
        <v>1892</v>
      </c>
      <c r="B7124" t="s">
        <v>33035</v>
      </c>
      <c r="C7124" t="s">
        <v>42</v>
      </c>
      <c r="D7124" t="s">
        <v>33036</v>
      </c>
      <c r="E7124" t="e" cm="1">
        <f t="array" ref="E7124">- AMBROXOL HYDROCHLORIDE</f>
        <v>#NAME?</v>
      </c>
      <c r="F7124" t="s">
        <v>33037</v>
      </c>
      <c r="G7124" t="s">
        <v>3083</v>
      </c>
      <c r="H7124" t="s">
        <v>33038</v>
      </c>
      <c r="I7124" t="s">
        <v>33039</v>
      </c>
      <c r="J7124" t="s">
        <v>743</v>
      </c>
      <c r="L7124" t="s">
        <v>321</v>
      </c>
      <c r="M7124" t="s">
        <v>824</v>
      </c>
      <c r="N7124" t="s">
        <v>1800</v>
      </c>
      <c r="O7124" t="s">
        <v>33040</v>
      </c>
      <c r="P7124" t="s">
        <v>30557</v>
      </c>
      <c r="Q7124" t="s">
        <v>33041</v>
      </c>
      <c r="R7124">
        <v>20</v>
      </c>
      <c r="S7124">
        <v>32</v>
      </c>
    </row>
    <row r="7125" spans="1:19" x14ac:dyDescent="0.35">
      <c r="A7125">
        <v>9263</v>
      </c>
      <c r="B7125" t="s">
        <v>33042</v>
      </c>
      <c r="C7125" t="s">
        <v>42</v>
      </c>
      <c r="D7125" t="s">
        <v>33043</v>
      </c>
      <c r="E7125" t="e" cm="1">
        <f t="array" ref="E7125">- SPIRONOLACTONE</f>
        <v>#NAME?</v>
      </c>
      <c r="F7125" t="s">
        <v>33044</v>
      </c>
      <c r="G7125" t="s">
        <v>2241</v>
      </c>
      <c r="H7125" t="s">
        <v>33045</v>
      </c>
      <c r="I7125" t="s">
        <v>32231</v>
      </c>
      <c r="J7125" t="s">
        <v>532</v>
      </c>
      <c r="K7125" t="s">
        <v>2536</v>
      </c>
      <c r="L7125" t="s">
        <v>32233</v>
      </c>
      <c r="M7125" t="s">
        <v>46</v>
      </c>
      <c r="N7125" t="s">
        <v>2538</v>
      </c>
      <c r="O7125" t="s">
        <v>32234</v>
      </c>
      <c r="P7125" t="s">
        <v>2539</v>
      </c>
      <c r="Q7125" t="s">
        <v>33046</v>
      </c>
      <c r="R7125">
        <v>20</v>
      </c>
      <c r="S7125">
        <v>32</v>
      </c>
    </row>
    <row r="7126" spans="1:19" x14ac:dyDescent="0.35">
      <c r="A7126">
        <v>9265</v>
      </c>
      <c r="B7126" t="s">
        <v>33047</v>
      </c>
      <c r="C7126" t="s">
        <v>42</v>
      </c>
      <c r="D7126" t="s">
        <v>33048</v>
      </c>
      <c r="E7126" t="e" cm="1">
        <f t="array" ref="E7126">- SPIRONOLACTONE</f>
        <v>#NAME?</v>
      </c>
      <c r="F7126" t="s">
        <v>33049</v>
      </c>
      <c r="G7126" t="s">
        <v>2241</v>
      </c>
      <c r="H7126" t="s">
        <v>33045</v>
      </c>
      <c r="I7126" t="s">
        <v>32231</v>
      </c>
      <c r="J7126" t="s">
        <v>381</v>
      </c>
      <c r="K7126" t="s">
        <v>2536</v>
      </c>
      <c r="L7126" t="s">
        <v>32233</v>
      </c>
      <c r="M7126" t="s">
        <v>46</v>
      </c>
      <c r="N7126" t="s">
        <v>2538</v>
      </c>
      <c r="O7126" t="s">
        <v>32234</v>
      </c>
      <c r="P7126" t="s">
        <v>33050</v>
      </c>
      <c r="Q7126" t="s">
        <v>33051</v>
      </c>
      <c r="R7126">
        <v>20</v>
      </c>
      <c r="S7126">
        <v>32</v>
      </c>
    </row>
    <row r="7127" spans="1:19" x14ac:dyDescent="0.35">
      <c r="A7127">
        <v>9266</v>
      </c>
      <c r="B7127" t="s">
        <v>33047</v>
      </c>
      <c r="C7127" t="s">
        <v>42</v>
      </c>
      <c r="D7127" t="s">
        <v>33048</v>
      </c>
      <c r="E7127" t="e" cm="1">
        <f t="array" ref="E7127">- SPIRONOLACTONE</f>
        <v>#NAME?</v>
      </c>
      <c r="F7127" t="s">
        <v>33049</v>
      </c>
      <c r="G7127" t="s">
        <v>2241</v>
      </c>
      <c r="H7127" t="s">
        <v>33045</v>
      </c>
      <c r="I7127" t="s">
        <v>32231</v>
      </c>
      <c r="J7127" t="s">
        <v>381</v>
      </c>
      <c r="K7127" t="s">
        <v>2536</v>
      </c>
      <c r="L7127" t="s">
        <v>32233</v>
      </c>
      <c r="M7127" t="s">
        <v>46</v>
      </c>
      <c r="N7127" t="s">
        <v>2538</v>
      </c>
      <c r="O7127" t="s">
        <v>32234</v>
      </c>
      <c r="P7127" t="s">
        <v>33050</v>
      </c>
      <c r="Q7127" t="s">
        <v>33051</v>
      </c>
      <c r="R7127">
        <v>20</v>
      </c>
      <c r="S7127">
        <v>32</v>
      </c>
    </row>
    <row r="7128" spans="1:19" x14ac:dyDescent="0.35">
      <c r="A7128">
        <v>9267</v>
      </c>
      <c r="B7128" t="s">
        <v>33047</v>
      </c>
      <c r="C7128" t="s">
        <v>42</v>
      </c>
      <c r="D7128" t="s">
        <v>33048</v>
      </c>
      <c r="E7128" t="e" cm="1">
        <f t="array" ref="E7128">- SPIRONOLACTONE</f>
        <v>#NAME?</v>
      </c>
      <c r="F7128" t="s">
        <v>33049</v>
      </c>
      <c r="G7128" t="s">
        <v>2241</v>
      </c>
      <c r="H7128" t="s">
        <v>33045</v>
      </c>
      <c r="I7128" t="s">
        <v>32231</v>
      </c>
      <c r="J7128" t="s">
        <v>381</v>
      </c>
      <c r="K7128" t="s">
        <v>2536</v>
      </c>
      <c r="L7128" t="s">
        <v>32233</v>
      </c>
      <c r="M7128" t="s">
        <v>46</v>
      </c>
      <c r="N7128" t="s">
        <v>2538</v>
      </c>
      <c r="O7128" t="s">
        <v>32234</v>
      </c>
      <c r="P7128" t="s">
        <v>33050</v>
      </c>
      <c r="Q7128" t="s">
        <v>33051</v>
      </c>
      <c r="R7128">
        <v>20</v>
      </c>
      <c r="S7128">
        <v>32</v>
      </c>
    </row>
    <row r="7129" spans="1:19" x14ac:dyDescent="0.35">
      <c r="A7129">
        <v>9268</v>
      </c>
      <c r="B7129" t="s">
        <v>33052</v>
      </c>
      <c r="C7129" t="s">
        <v>42</v>
      </c>
      <c r="D7129" t="s">
        <v>33053</v>
      </c>
      <c r="E7129" t="e" cm="1">
        <f t="array" ref="E7129">- SPIRONOLACTONE</f>
        <v>#NAME?</v>
      </c>
      <c r="F7129" t="s">
        <v>33054</v>
      </c>
      <c r="G7129" t="s">
        <v>33055</v>
      </c>
      <c r="H7129" t="s">
        <v>33056</v>
      </c>
      <c r="I7129" t="s">
        <v>32231</v>
      </c>
      <c r="J7129" t="s">
        <v>381</v>
      </c>
      <c r="K7129" t="s">
        <v>33057</v>
      </c>
      <c r="L7129" t="s">
        <v>32233</v>
      </c>
      <c r="M7129" t="s">
        <v>46</v>
      </c>
      <c r="N7129" t="s">
        <v>2538</v>
      </c>
      <c r="O7129" t="s">
        <v>32234</v>
      </c>
      <c r="P7129" t="s">
        <v>33050</v>
      </c>
      <c r="Q7129" t="s">
        <v>33051</v>
      </c>
      <c r="R7129">
        <v>20</v>
      </c>
      <c r="S7129">
        <v>32</v>
      </c>
    </row>
    <row r="7130" spans="1:19" x14ac:dyDescent="0.35">
      <c r="A7130">
        <v>6895</v>
      </c>
      <c r="B7130" t="s">
        <v>33058</v>
      </c>
      <c r="C7130" t="s">
        <v>850</v>
      </c>
      <c r="D7130" t="s">
        <v>33059</v>
      </c>
      <c r="E7130" t="e" cm="1">
        <f t="array" ref="E7130">- I-Menthol</f>
        <v>#NAME?</v>
      </c>
      <c r="F7130" t="s">
        <v>33060</v>
      </c>
      <c r="H7130" t="s">
        <v>33061</v>
      </c>
      <c r="I7130" t="s">
        <v>33062</v>
      </c>
      <c r="J7130" t="s">
        <v>24155</v>
      </c>
      <c r="M7130" t="s">
        <v>87</v>
      </c>
      <c r="N7130" t="s">
        <v>33063</v>
      </c>
      <c r="O7130" t="s">
        <v>33064</v>
      </c>
      <c r="P7130" t="s">
        <v>33065</v>
      </c>
      <c r="Q7130" t="s">
        <v>33066</v>
      </c>
      <c r="R7130">
        <v>20</v>
      </c>
      <c r="S7130">
        <v>32</v>
      </c>
    </row>
    <row r="7131" spans="1:19" x14ac:dyDescent="0.35">
      <c r="A7131">
        <v>9900</v>
      </c>
      <c r="B7131" t="s">
        <v>30608</v>
      </c>
      <c r="C7131" t="s">
        <v>42</v>
      </c>
      <c r="D7131" t="s">
        <v>30609</v>
      </c>
      <c r="E7131" t="e" cm="1">
        <f t="array" ref="E7131">- CLOPIDOGREL BISULFATE</f>
        <v>#NAME?</v>
      </c>
      <c r="F7131" t="s">
        <v>30610</v>
      </c>
      <c r="G7131" t="s">
        <v>30611</v>
      </c>
      <c r="H7131" t="s">
        <v>30612</v>
      </c>
      <c r="I7131" t="s">
        <v>30613</v>
      </c>
      <c r="J7131" t="s">
        <v>2100</v>
      </c>
      <c r="K7131" t="s">
        <v>30614</v>
      </c>
      <c r="L7131" t="s">
        <v>30615</v>
      </c>
      <c r="M7131" t="s">
        <v>46</v>
      </c>
      <c r="N7131" t="s">
        <v>2490</v>
      </c>
      <c r="O7131" t="s">
        <v>30616</v>
      </c>
      <c r="P7131" t="s">
        <v>30617</v>
      </c>
      <c r="Q7131" t="s">
        <v>33028</v>
      </c>
      <c r="R7131">
        <v>20</v>
      </c>
      <c r="S7131">
        <v>32</v>
      </c>
    </row>
    <row r="7132" spans="1:19" x14ac:dyDescent="0.35">
      <c r="A7132">
        <v>9269</v>
      </c>
      <c r="B7132" t="s">
        <v>33052</v>
      </c>
      <c r="C7132" t="s">
        <v>42</v>
      </c>
      <c r="D7132" t="s">
        <v>33053</v>
      </c>
      <c r="E7132" t="e" cm="1">
        <f t="array" ref="E7132">- SPIRONOLACTONE</f>
        <v>#NAME?</v>
      </c>
      <c r="F7132" t="s">
        <v>33054</v>
      </c>
      <c r="G7132" t="s">
        <v>33055</v>
      </c>
      <c r="H7132" t="s">
        <v>33056</v>
      </c>
      <c r="I7132" t="s">
        <v>32231</v>
      </c>
      <c r="J7132" t="s">
        <v>381</v>
      </c>
      <c r="K7132" t="s">
        <v>33057</v>
      </c>
      <c r="L7132" t="s">
        <v>32233</v>
      </c>
      <c r="M7132" t="s">
        <v>46</v>
      </c>
      <c r="N7132" t="s">
        <v>2538</v>
      </c>
      <c r="O7132" t="s">
        <v>32234</v>
      </c>
      <c r="P7132" t="s">
        <v>33050</v>
      </c>
      <c r="Q7132" t="s">
        <v>33051</v>
      </c>
      <c r="R7132">
        <v>20</v>
      </c>
      <c r="S7132">
        <v>32</v>
      </c>
    </row>
    <row r="7133" spans="1:19" x14ac:dyDescent="0.35">
      <c r="A7133">
        <v>9270</v>
      </c>
      <c r="B7133" t="s">
        <v>33052</v>
      </c>
      <c r="C7133" t="s">
        <v>42</v>
      </c>
      <c r="D7133" t="s">
        <v>33053</v>
      </c>
      <c r="E7133" t="e" cm="1">
        <f t="array" ref="E7133">- SPIRONOLACTONE</f>
        <v>#NAME?</v>
      </c>
      <c r="F7133" t="s">
        <v>33054</v>
      </c>
      <c r="G7133" t="s">
        <v>33055</v>
      </c>
      <c r="H7133" t="s">
        <v>33056</v>
      </c>
      <c r="I7133" t="s">
        <v>32231</v>
      </c>
      <c r="J7133" t="s">
        <v>381</v>
      </c>
      <c r="K7133" t="s">
        <v>33057</v>
      </c>
      <c r="L7133" t="s">
        <v>32233</v>
      </c>
      <c r="M7133" t="s">
        <v>46</v>
      </c>
      <c r="N7133" t="s">
        <v>2538</v>
      </c>
      <c r="O7133" t="s">
        <v>32234</v>
      </c>
      <c r="P7133" t="s">
        <v>33050</v>
      </c>
      <c r="Q7133" t="s">
        <v>33051</v>
      </c>
      <c r="R7133">
        <v>20</v>
      </c>
      <c r="S7133">
        <v>32</v>
      </c>
    </row>
    <row r="7134" spans="1:19" x14ac:dyDescent="0.35">
      <c r="A7134">
        <v>2386</v>
      </c>
      <c r="B7134" t="s">
        <v>33067</v>
      </c>
      <c r="C7134" t="s">
        <v>42</v>
      </c>
      <c r="D7134" t="s">
        <v>33068</v>
      </c>
      <c r="E7134" t="e" cm="1">
        <f t="array" ref="E7134">- BETAHISTINE DIHYDROCHLORIDE</f>
        <v>#NAME?</v>
      </c>
      <c r="F7134" s="1">
        <v>172200</v>
      </c>
      <c r="G7134" t="s">
        <v>4649</v>
      </c>
      <c r="H7134" t="s">
        <v>33069</v>
      </c>
      <c r="I7134" t="s">
        <v>33070</v>
      </c>
      <c r="J7134" t="s">
        <v>33071</v>
      </c>
      <c r="K7134" t="s">
        <v>19861</v>
      </c>
      <c r="L7134" t="s">
        <v>33072</v>
      </c>
      <c r="M7134" t="s">
        <v>46</v>
      </c>
      <c r="N7134" t="s">
        <v>33073</v>
      </c>
      <c r="O7134" t="s">
        <v>33074</v>
      </c>
      <c r="P7134" t="s">
        <v>20065</v>
      </c>
      <c r="Q7134" t="s">
        <v>33075</v>
      </c>
      <c r="R7134">
        <v>20</v>
      </c>
      <c r="S7134">
        <v>32</v>
      </c>
    </row>
    <row r="7135" spans="1:19" x14ac:dyDescent="0.35">
      <c r="A7135">
        <v>5713</v>
      </c>
      <c r="B7135" t="s">
        <v>31017</v>
      </c>
      <c r="C7135" t="s">
        <v>42</v>
      </c>
      <c r="D7135" t="s">
        <v>31018</v>
      </c>
      <c r="E7135" t="e" cm="1">
        <f t="array" ref="E7135">- CIPROFLOXACIN HYDROCHLORIDE</f>
        <v>#NAME?</v>
      </c>
      <c r="F7135" t="s">
        <v>31019</v>
      </c>
      <c r="G7135" t="s">
        <v>5746</v>
      </c>
      <c r="H7135" t="s">
        <v>1055</v>
      </c>
      <c r="I7135" t="s">
        <v>31020</v>
      </c>
      <c r="J7135" t="s">
        <v>515</v>
      </c>
      <c r="K7135" t="s">
        <v>31021</v>
      </c>
      <c r="L7135" t="s">
        <v>31022</v>
      </c>
      <c r="M7135" t="s">
        <v>291</v>
      </c>
      <c r="N7135" t="s">
        <v>1624</v>
      </c>
      <c r="O7135" t="s">
        <v>31023</v>
      </c>
      <c r="P7135" t="s">
        <v>31024</v>
      </c>
      <c r="Q7135" t="s">
        <v>33076</v>
      </c>
      <c r="R7135">
        <v>20</v>
      </c>
      <c r="S7135">
        <v>32</v>
      </c>
    </row>
    <row r="7136" spans="1:19" x14ac:dyDescent="0.35">
      <c r="A7136">
        <v>9904</v>
      </c>
      <c r="B7136" t="s">
        <v>33077</v>
      </c>
      <c r="C7136" t="s">
        <v>42</v>
      </c>
      <c r="D7136" t="s">
        <v>33078</v>
      </c>
      <c r="E7136" t="e" cm="1">
        <f t="array" ref="E7136">- CLOPIDOGREL BISULFATE</f>
        <v>#NAME?</v>
      </c>
      <c r="F7136" t="s">
        <v>33079</v>
      </c>
      <c r="G7136" t="s">
        <v>2241</v>
      </c>
      <c r="H7136" t="s">
        <v>33080</v>
      </c>
      <c r="I7136" t="s">
        <v>33081</v>
      </c>
      <c r="J7136" t="s">
        <v>284</v>
      </c>
      <c r="K7136" t="s">
        <v>33082</v>
      </c>
      <c r="L7136" t="s">
        <v>33083</v>
      </c>
      <c r="M7136" t="s">
        <v>46</v>
      </c>
      <c r="N7136" t="s">
        <v>2490</v>
      </c>
      <c r="O7136" t="s">
        <v>33084</v>
      </c>
      <c r="P7136" t="s">
        <v>22933</v>
      </c>
      <c r="Q7136" t="s">
        <v>33085</v>
      </c>
      <c r="R7136">
        <v>20</v>
      </c>
      <c r="S7136">
        <v>32</v>
      </c>
    </row>
    <row r="7137" spans="1:19" x14ac:dyDescent="0.35">
      <c r="A7137">
        <v>9903</v>
      </c>
      <c r="B7137" t="s">
        <v>33077</v>
      </c>
      <c r="C7137" t="s">
        <v>42</v>
      </c>
      <c r="D7137" t="s">
        <v>33078</v>
      </c>
      <c r="E7137" t="e" cm="1">
        <f t="array" ref="E7137">- CLOPIDOGREL BISULFATE</f>
        <v>#NAME?</v>
      </c>
      <c r="F7137" t="s">
        <v>33079</v>
      </c>
      <c r="G7137" t="s">
        <v>2241</v>
      </c>
      <c r="H7137" t="s">
        <v>33080</v>
      </c>
      <c r="I7137" t="s">
        <v>33081</v>
      </c>
      <c r="J7137" t="s">
        <v>284</v>
      </c>
      <c r="K7137" t="s">
        <v>33082</v>
      </c>
      <c r="L7137" t="s">
        <v>33083</v>
      </c>
      <c r="M7137" t="s">
        <v>46</v>
      </c>
      <c r="N7137" t="s">
        <v>2490</v>
      </c>
      <c r="O7137" t="s">
        <v>33084</v>
      </c>
      <c r="P7137" t="s">
        <v>22933</v>
      </c>
      <c r="Q7137" t="s">
        <v>33085</v>
      </c>
      <c r="R7137">
        <v>20</v>
      </c>
      <c r="S7137">
        <v>32</v>
      </c>
    </row>
    <row r="7138" spans="1:19" x14ac:dyDescent="0.35">
      <c r="A7138">
        <v>9902</v>
      </c>
      <c r="B7138" t="s">
        <v>33077</v>
      </c>
      <c r="C7138" t="s">
        <v>42</v>
      </c>
      <c r="D7138" t="s">
        <v>33078</v>
      </c>
      <c r="E7138" t="e" cm="1">
        <f t="array" ref="E7138">- CLOPIDOGREL BISULFATE</f>
        <v>#NAME?</v>
      </c>
      <c r="F7138" t="s">
        <v>33079</v>
      </c>
      <c r="G7138" t="s">
        <v>2241</v>
      </c>
      <c r="H7138" t="s">
        <v>33080</v>
      </c>
      <c r="I7138" t="s">
        <v>33081</v>
      </c>
      <c r="J7138" t="s">
        <v>284</v>
      </c>
      <c r="K7138" t="s">
        <v>33082</v>
      </c>
      <c r="L7138" t="s">
        <v>33083</v>
      </c>
      <c r="M7138" t="s">
        <v>46</v>
      </c>
      <c r="N7138" t="s">
        <v>2490</v>
      </c>
      <c r="O7138" t="s">
        <v>33084</v>
      </c>
      <c r="P7138" t="s">
        <v>22933</v>
      </c>
      <c r="Q7138" t="s">
        <v>33085</v>
      </c>
      <c r="R7138">
        <v>20</v>
      </c>
      <c r="S7138">
        <v>32</v>
      </c>
    </row>
    <row r="7139" spans="1:19" x14ac:dyDescent="0.35">
      <c r="A7139">
        <v>9290</v>
      </c>
      <c r="B7139" t="s">
        <v>33029</v>
      </c>
      <c r="C7139" t="s">
        <v>42</v>
      </c>
      <c r="D7139" t="s">
        <v>33030</v>
      </c>
      <c r="E7139" t="e" cm="1">
        <f t="array" ref="E7139">- CAPTOPRIL</f>
        <v>#NAME?</v>
      </c>
      <c r="F7139" t="s">
        <v>33031</v>
      </c>
      <c r="G7139" t="s">
        <v>6917</v>
      </c>
      <c r="H7139" t="s">
        <v>33032</v>
      </c>
      <c r="I7139" t="s">
        <v>33033</v>
      </c>
      <c r="J7139" t="s">
        <v>532</v>
      </c>
      <c r="K7139" t="s">
        <v>21998</v>
      </c>
      <c r="L7139" t="s">
        <v>33034</v>
      </c>
      <c r="M7139" t="s">
        <v>46</v>
      </c>
      <c r="N7139" t="s">
        <v>4734</v>
      </c>
      <c r="O7139" t="s">
        <v>32970</v>
      </c>
      <c r="P7139" t="s">
        <v>32971</v>
      </c>
      <c r="Q7139" t="s">
        <v>32972</v>
      </c>
      <c r="R7139">
        <v>20</v>
      </c>
      <c r="S7139">
        <v>32</v>
      </c>
    </row>
    <row r="7140" spans="1:19" x14ac:dyDescent="0.35">
      <c r="A7140">
        <v>6896</v>
      </c>
      <c r="B7140" t="s">
        <v>33058</v>
      </c>
      <c r="C7140" t="s">
        <v>850</v>
      </c>
      <c r="D7140" t="s">
        <v>33059</v>
      </c>
      <c r="E7140" t="e" cm="1">
        <f t="array" ref="E7140">- I-Menthol</f>
        <v>#NAME?</v>
      </c>
      <c r="F7140" t="s">
        <v>33060</v>
      </c>
      <c r="H7140" t="s">
        <v>33061</v>
      </c>
      <c r="I7140" t="s">
        <v>33062</v>
      </c>
      <c r="J7140" t="s">
        <v>24155</v>
      </c>
      <c r="M7140" t="s">
        <v>87</v>
      </c>
      <c r="N7140" t="s">
        <v>33063</v>
      </c>
      <c r="O7140" t="s">
        <v>33064</v>
      </c>
      <c r="P7140" t="s">
        <v>33065</v>
      </c>
      <c r="Q7140" t="s">
        <v>33066</v>
      </c>
      <c r="R7140">
        <v>20</v>
      </c>
      <c r="S7140">
        <v>32</v>
      </c>
    </row>
    <row r="7141" spans="1:19" x14ac:dyDescent="0.35">
      <c r="A7141">
        <v>5913</v>
      </c>
      <c r="B7141" t="s">
        <v>31466</v>
      </c>
      <c r="C7141" t="s">
        <v>42</v>
      </c>
      <c r="D7141" t="s">
        <v>31467</v>
      </c>
      <c r="E7141" t="e" cm="1">
        <f t="array" ref="E7141">- CEFIXIME TRIHYDRATE</f>
        <v>#NAME?</v>
      </c>
      <c r="F7141" t="s">
        <v>31468</v>
      </c>
      <c r="H7141" t="s">
        <v>1019</v>
      </c>
      <c r="I7141" t="s">
        <v>31469</v>
      </c>
      <c r="J7141" t="s">
        <v>31470</v>
      </c>
      <c r="K7141" t="s">
        <v>1020</v>
      </c>
      <c r="L7141" t="s">
        <v>1021</v>
      </c>
      <c r="M7141" t="s">
        <v>271</v>
      </c>
      <c r="N7141" t="s">
        <v>1790</v>
      </c>
      <c r="O7141" t="s">
        <v>31471</v>
      </c>
      <c r="P7141" t="s">
        <v>31472</v>
      </c>
      <c r="Q7141" t="s">
        <v>33086</v>
      </c>
      <c r="R7141">
        <v>20</v>
      </c>
      <c r="S7141">
        <v>32</v>
      </c>
    </row>
    <row r="7142" spans="1:19" x14ac:dyDescent="0.35">
      <c r="A7142">
        <v>2287</v>
      </c>
      <c r="B7142" t="s">
        <v>33087</v>
      </c>
      <c r="C7142" t="s">
        <v>42</v>
      </c>
      <c r="D7142" t="s">
        <v>33088</v>
      </c>
      <c r="E7142" t="e" cm="1">
        <f t="array" ref="E7142">- PARACETAMOL</f>
        <v>#NAME?</v>
      </c>
      <c r="F7142" t="s">
        <v>33089</v>
      </c>
      <c r="G7142" t="s">
        <v>60</v>
      </c>
      <c r="H7142" t="s">
        <v>33090</v>
      </c>
      <c r="I7142" t="s">
        <v>33091</v>
      </c>
      <c r="J7142" t="s">
        <v>33092</v>
      </c>
      <c r="K7142" t="s">
        <v>2726</v>
      </c>
      <c r="L7142" t="s">
        <v>10168</v>
      </c>
      <c r="M7142" t="s">
        <v>291</v>
      </c>
      <c r="N7142" t="s">
        <v>584</v>
      </c>
      <c r="O7142" t="s">
        <v>32303</v>
      </c>
      <c r="P7142" t="s">
        <v>683</v>
      </c>
      <c r="Q7142" t="s">
        <v>33093</v>
      </c>
      <c r="R7142">
        <v>20</v>
      </c>
      <c r="S7142">
        <v>32</v>
      </c>
    </row>
    <row r="7143" spans="1:19" x14ac:dyDescent="0.35">
      <c r="A7143">
        <v>1935</v>
      </c>
      <c r="B7143" t="s">
        <v>27640</v>
      </c>
      <c r="C7143" t="s">
        <v>20</v>
      </c>
      <c r="D7143" t="s">
        <v>33094</v>
      </c>
      <c r="E7143" t="s">
        <v>27642</v>
      </c>
      <c r="F7143" t="s">
        <v>33095</v>
      </c>
      <c r="G7143" t="s">
        <v>539</v>
      </c>
      <c r="H7143" t="s">
        <v>27644</v>
      </c>
    </row>
    <row r="7144" spans="1:19" x14ac:dyDescent="0.35">
      <c r="A7144">
        <v>2088</v>
      </c>
      <c r="B7144" t="s">
        <v>33096</v>
      </c>
      <c r="C7144" t="s">
        <v>42</v>
      </c>
      <c r="D7144" t="s">
        <v>33097</v>
      </c>
      <c r="E7144" t="e" cm="1">
        <f t="array" ref="E7144">- DICLOFENAC POTASSIUM</f>
        <v>#NAME?</v>
      </c>
      <c r="F7144" t="s">
        <v>33098</v>
      </c>
      <c r="G7144" t="s">
        <v>2241</v>
      </c>
      <c r="H7144" t="s">
        <v>2596</v>
      </c>
      <c r="I7144" t="s">
        <v>33099</v>
      </c>
      <c r="J7144" t="s">
        <v>969</v>
      </c>
      <c r="K7144" t="s">
        <v>33100</v>
      </c>
      <c r="L7144" t="s">
        <v>33101</v>
      </c>
      <c r="M7144" t="s">
        <v>46</v>
      </c>
      <c r="N7144" t="s">
        <v>2637</v>
      </c>
      <c r="O7144" t="s">
        <v>33102</v>
      </c>
      <c r="P7144" t="s">
        <v>6932</v>
      </c>
      <c r="Q7144" t="s">
        <v>33103</v>
      </c>
      <c r="R7144">
        <v>20</v>
      </c>
      <c r="S7144">
        <v>32</v>
      </c>
    </row>
    <row r="7145" spans="1:19" x14ac:dyDescent="0.35">
      <c r="A7145">
        <v>9751</v>
      </c>
      <c r="B7145" t="s">
        <v>33104</v>
      </c>
      <c r="C7145" t="s">
        <v>42</v>
      </c>
      <c r="D7145" t="s">
        <v>33105</v>
      </c>
      <c r="E7145" t="e" cm="1">
        <f t="array" ref="E7145">- FENOFIBRATE</f>
        <v>#NAME?</v>
      </c>
      <c r="F7145" t="s">
        <v>33106</v>
      </c>
      <c r="G7145" t="s">
        <v>30790</v>
      </c>
      <c r="H7145" t="s">
        <v>33011</v>
      </c>
      <c r="I7145" t="s">
        <v>30792</v>
      </c>
      <c r="J7145" t="s">
        <v>4547</v>
      </c>
      <c r="K7145" t="s">
        <v>30794</v>
      </c>
      <c r="L7145" t="s">
        <v>30795</v>
      </c>
      <c r="M7145" t="s">
        <v>38</v>
      </c>
      <c r="N7145" t="s">
        <v>1137</v>
      </c>
      <c r="O7145" t="s">
        <v>30796</v>
      </c>
      <c r="P7145" t="s">
        <v>33107</v>
      </c>
      <c r="Q7145" t="s">
        <v>33108</v>
      </c>
      <c r="R7145">
        <v>20</v>
      </c>
      <c r="S7145">
        <v>32</v>
      </c>
    </row>
    <row r="7146" spans="1:19" x14ac:dyDescent="0.35">
      <c r="A7146">
        <v>9750</v>
      </c>
      <c r="B7146" t="s">
        <v>33104</v>
      </c>
      <c r="C7146" t="s">
        <v>42</v>
      </c>
      <c r="D7146" t="s">
        <v>33105</v>
      </c>
      <c r="E7146" t="e" cm="1">
        <f t="array" ref="E7146">- FENOFIBRATE</f>
        <v>#NAME?</v>
      </c>
      <c r="F7146" t="s">
        <v>33106</v>
      </c>
      <c r="G7146" t="s">
        <v>30790</v>
      </c>
      <c r="H7146" t="s">
        <v>33011</v>
      </c>
      <c r="I7146" t="s">
        <v>30792</v>
      </c>
      <c r="J7146" t="s">
        <v>4547</v>
      </c>
      <c r="K7146" t="s">
        <v>30794</v>
      </c>
      <c r="L7146" t="s">
        <v>30795</v>
      </c>
      <c r="M7146" t="s">
        <v>38</v>
      </c>
      <c r="N7146" t="s">
        <v>1137</v>
      </c>
      <c r="O7146" t="s">
        <v>30796</v>
      </c>
      <c r="P7146" t="s">
        <v>33107</v>
      </c>
      <c r="Q7146" t="s">
        <v>33108</v>
      </c>
      <c r="R7146">
        <v>20</v>
      </c>
      <c r="S7146">
        <v>32</v>
      </c>
    </row>
    <row r="7147" spans="1:19" x14ac:dyDescent="0.35">
      <c r="A7147">
        <v>9749</v>
      </c>
      <c r="B7147" t="s">
        <v>33109</v>
      </c>
      <c r="C7147" t="s">
        <v>42</v>
      </c>
      <c r="D7147" t="s">
        <v>33110</v>
      </c>
      <c r="E7147" t="e" cm="1">
        <f t="array" ref="E7147">- FENOFIBRATE</f>
        <v>#NAME?</v>
      </c>
      <c r="F7147" t="s">
        <v>33111</v>
      </c>
      <c r="G7147" t="s">
        <v>30790</v>
      </c>
      <c r="H7147" t="s">
        <v>33011</v>
      </c>
      <c r="I7147" t="s">
        <v>30792</v>
      </c>
      <c r="J7147" t="s">
        <v>33112</v>
      </c>
      <c r="K7147" t="s">
        <v>30794</v>
      </c>
      <c r="L7147" t="s">
        <v>30795</v>
      </c>
      <c r="M7147" t="s">
        <v>38</v>
      </c>
      <c r="N7147" t="s">
        <v>1137</v>
      </c>
      <c r="O7147" t="s">
        <v>30796</v>
      </c>
      <c r="P7147" t="s">
        <v>33113</v>
      </c>
      <c r="Q7147" t="s">
        <v>33114</v>
      </c>
      <c r="R7147">
        <v>20</v>
      </c>
      <c r="S7147">
        <v>32</v>
      </c>
    </row>
    <row r="7148" spans="1:19" x14ac:dyDescent="0.35">
      <c r="A7148">
        <v>9746</v>
      </c>
      <c r="B7148" t="s">
        <v>33115</v>
      </c>
      <c r="C7148" t="s">
        <v>42</v>
      </c>
      <c r="D7148" t="s">
        <v>33116</v>
      </c>
      <c r="E7148" t="e" cm="1">
        <f t="array" ref="E7148">- FENOFIBRATE</f>
        <v>#NAME?</v>
      </c>
      <c r="F7148" t="s">
        <v>33117</v>
      </c>
      <c r="G7148" t="s">
        <v>30790</v>
      </c>
      <c r="H7148" t="s">
        <v>33118</v>
      </c>
      <c r="I7148" t="s">
        <v>30792</v>
      </c>
      <c r="J7148" t="s">
        <v>14600</v>
      </c>
      <c r="K7148" t="s">
        <v>30794</v>
      </c>
      <c r="L7148" t="s">
        <v>30795</v>
      </c>
      <c r="M7148" t="s">
        <v>38</v>
      </c>
      <c r="N7148" t="s">
        <v>1137</v>
      </c>
      <c r="O7148" t="s">
        <v>30796</v>
      </c>
      <c r="P7148" t="s">
        <v>33119</v>
      </c>
      <c r="Q7148" t="s">
        <v>33120</v>
      </c>
      <c r="R7148">
        <v>20</v>
      </c>
      <c r="S7148">
        <v>32</v>
      </c>
    </row>
    <row r="7149" spans="1:19" x14ac:dyDescent="0.35">
      <c r="A7149">
        <v>9745</v>
      </c>
      <c r="B7149" t="s">
        <v>33115</v>
      </c>
      <c r="C7149" t="s">
        <v>42</v>
      </c>
      <c r="D7149" t="s">
        <v>33116</v>
      </c>
      <c r="E7149" t="e" cm="1">
        <f t="array" ref="E7149">- FENOFIBRATE</f>
        <v>#NAME?</v>
      </c>
      <c r="F7149" t="s">
        <v>33117</v>
      </c>
      <c r="G7149" t="s">
        <v>30790</v>
      </c>
      <c r="H7149" t="s">
        <v>33118</v>
      </c>
      <c r="I7149" t="s">
        <v>30792</v>
      </c>
      <c r="J7149" t="s">
        <v>14600</v>
      </c>
      <c r="K7149" t="s">
        <v>30794</v>
      </c>
      <c r="L7149" t="s">
        <v>30795</v>
      </c>
      <c r="M7149" t="s">
        <v>38</v>
      </c>
      <c r="N7149" t="s">
        <v>1137</v>
      </c>
      <c r="O7149" t="s">
        <v>30796</v>
      </c>
      <c r="P7149" t="s">
        <v>33119</v>
      </c>
      <c r="Q7149" t="s">
        <v>33120</v>
      </c>
      <c r="R7149">
        <v>20</v>
      </c>
      <c r="S7149">
        <v>32</v>
      </c>
    </row>
    <row r="7150" spans="1:19" x14ac:dyDescent="0.35">
      <c r="A7150">
        <v>2120</v>
      </c>
      <c r="B7150" t="s">
        <v>30487</v>
      </c>
      <c r="C7150" t="s">
        <v>42</v>
      </c>
      <c r="D7150" t="s">
        <v>30488</v>
      </c>
      <c r="E7150" t="e" cm="1">
        <f t="array" ref="E7150">- IBUPROFEN. PARACETAMOL. CAFFEINE</f>
        <v>#NAME?</v>
      </c>
      <c r="F7150" t="s">
        <v>30489</v>
      </c>
      <c r="G7150" t="s">
        <v>2241</v>
      </c>
      <c r="H7150" t="s">
        <v>30490</v>
      </c>
      <c r="I7150" t="s">
        <v>30491</v>
      </c>
      <c r="J7150" t="s">
        <v>4657</v>
      </c>
      <c r="K7150" t="s">
        <v>30492</v>
      </c>
      <c r="L7150" t="s">
        <v>30493</v>
      </c>
      <c r="M7150" t="s">
        <v>291</v>
      </c>
      <c r="N7150" t="s">
        <v>33121</v>
      </c>
      <c r="O7150" t="s">
        <v>30494</v>
      </c>
      <c r="P7150" t="s">
        <v>30495</v>
      </c>
      <c r="Q7150" t="s">
        <v>33122</v>
      </c>
      <c r="R7150">
        <v>20</v>
      </c>
      <c r="S7150">
        <v>32</v>
      </c>
    </row>
    <row r="7151" spans="1:19" x14ac:dyDescent="0.35">
      <c r="A7151">
        <v>2087</v>
      </c>
      <c r="B7151" t="s">
        <v>33096</v>
      </c>
      <c r="C7151" t="s">
        <v>42</v>
      </c>
      <c r="D7151" t="s">
        <v>33097</v>
      </c>
      <c r="E7151" t="e" cm="1">
        <f t="array" ref="E7151">- DICLOFENAC POTASSIUM</f>
        <v>#NAME?</v>
      </c>
      <c r="F7151" t="s">
        <v>33098</v>
      </c>
      <c r="G7151" t="s">
        <v>2241</v>
      </c>
      <c r="H7151" t="s">
        <v>2596</v>
      </c>
      <c r="I7151" t="s">
        <v>33099</v>
      </c>
      <c r="J7151" t="s">
        <v>969</v>
      </c>
      <c r="K7151" t="s">
        <v>33100</v>
      </c>
      <c r="L7151" t="s">
        <v>33101</v>
      </c>
      <c r="M7151" t="s">
        <v>46</v>
      </c>
      <c r="N7151" t="s">
        <v>2637</v>
      </c>
      <c r="O7151" t="s">
        <v>33102</v>
      </c>
      <c r="P7151" t="s">
        <v>6932</v>
      </c>
      <c r="Q7151" t="s">
        <v>33103</v>
      </c>
      <c r="R7151">
        <v>20</v>
      </c>
      <c r="S7151">
        <v>32</v>
      </c>
    </row>
    <row r="7152" spans="1:19" x14ac:dyDescent="0.35">
      <c r="A7152">
        <v>9684</v>
      </c>
      <c r="B7152" t="s">
        <v>33123</v>
      </c>
      <c r="C7152" t="s">
        <v>42</v>
      </c>
      <c r="D7152" t="s">
        <v>33124</v>
      </c>
      <c r="E7152" t="e" cm="1">
        <f t="array" ref="E7152">- FENOFIBRATE</f>
        <v>#NAME?</v>
      </c>
      <c r="F7152" t="s">
        <v>33125</v>
      </c>
      <c r="G7152" t="s">
        <v>30790</v>
      </c>
      <c r="H7152" t="s">
        <v>33011</v>
      </c>
      <c r="I7152" t="s">
        <v>30792</v>
      </c>
      <c r="J7152" t="s">
        <v>4547</v>
      </c>
      <c r="K7152" t="s">
        <v>30794</v>
      </c>
      <c r="L7152" t="s">
        <v>30795</v>
      </c>
      <c r="M7152" t="s">
        <v>38</v>
      </c>
      <c r="N7152" t="s">
        <v>1137</v>
      </c>
      <c r="O7152" t="s">
        <v>30796</v>
      </c>
      <c r="P7152" t="s">
        <v>33126</v>
      </c>
      <c r="Q7152" t="s">
        <v>33127</v>
      </c>
      <c r="R7152">
        <v>20</v>
      </c>
      <c r="S7152">
        <v>32</v>
      </c>
    </row>
    <row r="7153" spans="1:19" x14ac:dyDescent="0.35">
      <c r="A7153">
        <v>9739</v>
      </c>
      <c r="B7153" t="s">
        <v>33128</v>
      </c>
      <c r="C7153" t="s">
        <v>42</v>
      </c>
      <c r="D7153" t="s">
        <v>33129</v>
      </c>
      <c r="E7153" t="e" cm="1">
        <f t="array" ref="E7153">- FENOFIBRATE</f>
        <v>#NAME?</v>
      </c>
      <c r="F7153" t="s">
        <v>33130</v>
      </c>
      <c r="G7153" t="s">
        <v>30790</v>
      </c>
      <c r="H7153" t="s">
        <v>33011</v>
      </c>
      <c r="I7153" t="s">
        <v>30792</v>
      </c>
      <c r="J7153" t="s">
        <v>4547</v>
      </c>
      <c r="K7153" t="s">
        <v>30794</v>
      </c>
      <c r="L7153" t="s">
        <v>30795</v>
      </c>
      <c r="M7153" t="s">
        <v>38</v>
      </c>
      <c r="N7153" t="s">
        <v>1137</v>
      </c>
      <c r="O7153" t="s">
        <v>30796</v>
      </c>
      <c r="P7153" t="s">
        <v>33126</v>
      </c>
      <c r="Q7153" t="s">
        <v>33127</v>
      </c>
      <c r="R7153">
        <v>20</v>
      </c>
      <c r="S7153">
        <v>32</v>
      </c>
    </row>
    <row r="7154" spans="1:19" x14ac:dyDescent="0.35">
      <c r="A7154">
        <v>6993</v>
      </c>
      <c r="B7154" t="s">
        <v>1803</v>
      </c>
      <c r="C7154" t="s">
        <v>42</v>
      </c>
      <c r="D7154" t="s">
        <v>33131</v>
      </c>
      <c r="E7154" t="e" cm="1">
        <f t="array" ref="E7154">- TIZANIDINE HYDROCHLORIDE</f>
        <v>#NAME?</v>
      </c>
      <c r="F7154" t="s">
        <v>33132</v>
      </c>
      <c r="G7154" t="s">
        <v>31044</v>
      </c>
      <c r="I7154" t="s">
        <v>31045</v>
      </c>
      <c r="J7154" t="s">
        <v>8289</v>
      </c>
      <c r="M7154" t="s">
        <v>46</v>
      </c>
      <c r="N7154" t="s">
        <v>1806</v>
      </c>
      <c r="O7154" t="s">
        <v>31046</v>
      </c>
      <c r="P7154" t="s">
        <v>33133</v>
      </c>
      <c r="Q7154" t="s">
        <v>33134</v>
      </c>
      <c r="R7154">
        <v>20</v>
      </c>
      <c r="S7154">
        <v>32</v>
      </c>
    </row>
    <row r="7155" spans="1:19" x14ac:dyDescent="0.35">
      <c r="A7155">
        <v>9707</v>
      </c>
      <c r="B7155" t="s">
        <v>33135</v>
      </c>
      <c r="C7155" t="s">
        <v>42</v>
      </c>
      <c r="D7155" t="s">
        <v>33136</v>
      </c>
      <c r="E7155" t="e" cm="1">
        <f t="array" ref="E7155">- ROSUVASTATIN CALCIUM</f>
        <v>#NAME?</v>
      </c>
      <c r="F7155" t="s">
        <v>33137</v>
      </c>
      <c r="G7155" t="s">
        <v>3098</v>
      </c>
      <c r="H7155" t="s">
        <v>30631</v>
      </c>
      <c r="I7155" t="s">
        <v>33138</v>
      </c>
      <c r="J7155" t="s">
        <v>45</v>
      </c>
      <c r="K7155" t="s">
        <v>30813</v>
      </c>
      <c r="L7155" t="s">
        <v>33139</v>
      </c>
      <c r="M7155" t="s">
        <v>46</v>
      </c>
      <c r="N7155" t="s">
        <v>2308</v>
      </c>
      <c r="O7155" t="s">
        <v>33140</v>
      </c>
      <c r="P7155" t="s">
        <v>22481</v>
      </c>
      <c r="Q7155" t="s">
        <v>33141</v>
      </c>
      <c r="R7155">
        <v>20</v>
      </c>
      <c r="S7155">
        <v>32</v>
      </c>
    </row>
    <row r="7156" spans="1:19" x14ac:dyDescent="0.35">
      <c r="A7156">
        <v>2128</v>
      </c>
      <c r="B7156" t="s">
        <v>32985</v>
      </c>
      <c r="C7156" t="s">
        <v>42</v>
      </c>
      <c r="D7156" t="s">
        <v>32986</v>
      </c>
      <c r="E7156" t="e" cm="1">
        <f t="array" ref="E7156">- ETORICOXIB</f>
        <v>#NAME?</v>
      </c>
      <c r="F7156" t="s">
        <v>32987</v>
      </c>
      <c r="G7156" t="s">
        <v>60</v>
      </c>
      <c r="H7156" t="s">
        <v>19892</v>
      </c>
      <c r="I7156" t="s">
        <v>32988</v>
      </c>
      <c r="J7156" t="s">
        <v>2100</v>
      </c>
      <c r="K7156" t="s">
        <v>19894</v>
      </c>
      <c r="L7156" t="s">
        <v>19895</v>
      </c>
      <c r="M7156" t="s">
        <v>46</v>
      </c>
      <c r="N7156" t="s">
        <v>47</v>
      </c>
      <c r="O7156" t="s">
        <v>32989</v>
      </c>
      <c r="P7156" t="s">
        <v>24175</v>
      </c>
      <c r="Q7156" t="s">
        <v>32990</v>
      </c>
      <c r="R7156">
        <v>20</v>
      </c>
      <c r="S7156">
        <v>32</v>
      </c>
    </row>
    <row r="7157" spans="1:19" x14ac:dyDescent="0.35">
      <c r="A7157">
        <v>9738</v>
      </c>
      <c r="B7157" t="s">
        <v>33128</v>
      </c>
      <c r="C7157" t="s">
        <v>42</v>
      </c>
      <c r="D7157" t="s">
        <v>33129</v>
      </c>
      <c r="E7157" t="e" cm="1">
        <f t="array" ref="E7157">- FENOFIBRATE</f>
        <v>#NAME?</v>
      </c>
      <c r="F7157" t="s">
        <v>33130</v>
      </c>
      <c r="G7157" t="s">
        <v>30790</v>
      </c>
      <c r="H7157" t="s">
        <v>33011</v>
      </c>
      <c r="I7157" t="s">
        <v>30792</v>
      </c>
      <c r="J7157" t="s">
        <v>4547</v>
      </c>
      <c r="K7157" t="s">
        <v>30794</v>
      </c>
      <c r="L7157" t="s">
        <v>30795</v>
      </c>
      <c r="M7157" t="s">
        <v>38</v>
      </c>
      <c r="N7157" t="s">
        <v>1137</v>
      </c>
      <c r="O7157" t="s">
        <v>30796</v>
      </c>
      <c r="P7157" t="s">
        <v>33126</v>
      </c>
      <c r="Q7157" t="s">
        <v>33127</v>
      </c>
      <c r="R7157">
        <v>20</v>
      </c>
      <c r="S7157">
        <v>32</v>
      </c>
    </row>
    <row r="7158" spans="1:19" x14ac:dyDescent="0.35">
      <c r="A7158">
        <v>5824</v>
      </c>
      <c r="B7158" t="s">
        <v>24296</v>
      </c>
      <c r="C7158" t="s">
        <v>42</v>
      </c>
      <c r="D7158" t="s">
        <v>24297</v>
      </c>
      <c r="E7158" t="e" cm="1">
        <f t="array" ref="E7158">- AMOXICILLIN TRIHYDRATE. KOMBINASI-CLAVULANATE POTASSIUM : SILICONE DIOXIDE (1:1)</f>
        <v>#NAME?</v>
      </c>
      <c r="F7158" t="s">
        <v>24298</v>
      </c>
      <c r="G7158" t="s">
        <v>1691</v>
      </c>
      <c r="H7158" t="s">
        <v>24299</v>
      </c>
      <c r="I7158" t="s">
        <v>24300</v>
      </c>
      <c r="J7158" t="s">
        <v>24301</v>
      </c>
      <c r="K7158" t="s">
        <v>24302</v>
      </c>
      <c r="L7158" t="s">
        <v>24303</v>
      </c>
      <c r="M7158" t="s">
        <v>271</v>
      </c>
      <c r="N7158" t="s">
        <v>33142</v>
      </c>
      <c r="O7158" t="s">
        <v>24304</v>
      </c>
      <c r="P7158" t="s">
        <v>24305</v>
      </c>
      <c r="Q7158" t="s">
        <v>33143</v>
      </c>
      <c r="R7158">
        <v>20</v>
      </c>
      <c r="S7158">
        <v>32</v>
      </c>
    </row>
    <row r="7159" spans="1:19" x14ac:dyDescent="0.35">
      <c r="A7159">
        <v>5809</v>
      </c>
      <c r="B7159" t="s">
        <v>33144</v>
      </c>
      <c r="C7159" t="s">
        <v>42</v>
      </c>
      <c r="D7159" t="s">
        <v>33145</v>
      </c>
      <c r="E7159" t="e" cm="1">
        <f t="array" ref="E7159">- AMOXICILLIN</f>
        <v>#NAME?</v>
      </c>
      <c r="F7159" s="1">
        <v>33800</v>
      </c>
      <c r="G7159" t="s">
        <v>33146</v>
      </c>
      <c r="H7159" t="s">
        <v>33147</v>
      </c>
      <c r="I7159" t="s">
        <v>33148</v>
      </c>
      <c r="J7159" t="s">
        <v>22905</v>
      </c>
      <c r="K7159" t="s">
        <v>14288</v>
      </c>
      <c r="L7159" t="s">
        <v>33149</v>
      </c>
      <c r="M7159" t="s">
        <v>38</v>
      </c>
      <c r="N7159" t="s">
        <v>505</v>
      </c>
      <c r="O7159" t="s">
        <v>33150</v>
      </c>
      <c r="P7159" t="s">
        <v>14291</v>
      </c>
      <c r="Q7159" t="s">
        <v>33151</v>
      </c>
      <c r="R7159">
        <v>20</v>
      </c>
      <c r="S7159">
        <v>32</v>
      </c>
    </row>
    <row r="7160" spans="1:19" x14ac:dyDescent="0.35">
      <c r="A7160">
        <v>9685</v>
      </c>
      <c r="B7160" t="s">
        <v>33123</v>
      </c>
      <c r="C7160" t="s">
        <v>42</v>
      </c>
      <c r="D7160" t="s">
        <v>33124</v>
      </c>
      <c r="E7160" t="e" cm="1">
        <f t="array" ref="E7160">- FENOFIBRATE</f>
        <v>#NAME?</v>
      </c>
      <c r="F7160" t="s">
        <v>33125</v>
      </c>
      <c r="G7160" t="s">
        <v>30790</v>
      </c>
      <c r="H7160" t="s">
        <v>33011</v>
      </c>
      <c r="I7160" t="s">
        <v>30792</v>
      </c>
      <c r="J7160" t="s">
        <v>4547</v>
      </c>
      <c r="K7160" t="s">
        <v>30794</v>
      </c>
      <c r="L7160" t="s">
        <v>30795</v>
      </c>
      <c r="M7160" t="s">
        <v>38</v>
      </c>
      <c r="N7160" t="s">
        <v>1137</v>
      </c>
      <c r="O7160" t="s">
        <v>30796</v>
      </c>
      <c r="P7160" t="s">
        <v>33126</v>
      </c>
      <c r="Q7160" t="s">
        <v>33127</v>
      </c>
      <c r="R7160">
        <v>20</v>
      </c>
      <c r="S7160">
        <v>32</v>
      </c>
    </row>
    <row r="7161" spans="1:19" x14ac:dyDescent="0.35">
      <c r="A7161">
        <v>1933</v>
      </c>
      <c r="B7161" t="s">
        <v>27640</v>
      </c>
      <c r="C7161" t="s">
        <v>20</v>
      </c>
      <c r="D7161" t="s">
        <v>33094</v>
      </c>
      <c r="E7161" t="s">
        <v>27642</v>
      </c>
      <c r="F7161" t="s">
        <v>33095</v>
      </c>
      <c r="G7161" t="s">
        <v>539</v>
      </c>
      <c r="H7161" t="s">
        <v>27644</v>
      </c>
    </row>
    <row r="7162" spans="1:19" x14ac:dyDescent="0.35">
      <c r="A7162">
        <v>7008</v>
      </c>
      <c r="B7162" t="s">
        <v>1803</v>
      </c>
      <c r="C7162" t="s">
        <v>42</v>
      </c>
      <c r="D7162" t="s">
        <v>32256</v>
      </c>
      <c r="E7162" t="e" cm="1">
        <f t="array" ref="E7162">- TIZANIDINE HYDROCHLORIDE</f>
        <v>#NAME?</v>
      </c>
      <c r="F7162" t="s">
        <v>32257</v>
      </c>
      <c r="I7162" t="s">
        <v>32258</v>
      </c>
      <c r="J7162" t="s">
        <v>4245</v>
      </c>
      <c r="M7162" t="s">
        <v>46</v>
      </c>
      <c r="N7162" t="s">
        <v>1806</v>
      </c>
      <c r="O7162" t="s">
        <v>32259</v>
      </c>
      <c r="P7162" t="s">
        <v>32260</v>
      </c>
      <c r="Q7162" t="s">
        <v>33152</v>
      </c>
      <c r="R7162">
        <v>20</v>
      </c>
      <c r="S7162">
        <v>32</v>
      </c>
    </row>
    <row r="7163" spans="1:19" x14ac:dyDescent="0.35">
      <c r="A7163">
        <v>6946</v>
      </c>
      <c r="B7163" t="s">
        <v>1803</v>
      </c>
      <c r="C7163" t="s">
        <v>42</v>
      </c>
      <c r="D7163" t="s">
        <v>33153</v>
      </c>
      <c r="E7163" t="e" cm="1">
        <f t="array" ref="E7163">- TIZANIDINE HYDROCHLORIDE</f>
        <v>#NAME?</v>
      </c>
      <c r="F7163" s="1">
        <v>17000</v>
      </c>
      <c r="G7163" t="s">
        <v>33154</v>
      </c>
      <c r="H7163" t="s">
        <v>1322</v>
      </c>
      <c r="I7163" t="s">
        <v>33155</v>
      </c>
      <c r="J7163" t="s">
        <v>33156</v>
      </c>
      <c r="L7163" t="s">
        <v>33157</v>
      </c>
      <c r="M7163" t="s">
        <v>46</v>
      </c>
      <c r="N7163" t="s">
        <v>1806</v>
      </c>
      <c r="O7163" t="s">
        <v>33158</v>
      </c>
      <c r="P7163" t="s">
        <v>33159</v>
      </c>
      <c r="Q7163" t="s">
        <v>33160</v>
      </c>
      <c r="R7163">
        <v>20</v>
      </c>
      <c r="S7163">
        <v>32</v>
      </c>
    </row>
    <row r="7164" spans="1:19" x14ac:dyDescent="0.35">
      <c r="A7164">
        <v>9855</v>
      </c>
      <c r="B7164" t="s">
        <v>33161</v>
      </c>
      <c r="C7164" t="s">
        <v>42</v>
      </c>
      <c r="D7164" t="s">
        <v>33162</v>
      </c>
      <c r="E7164" t="e" cm="1">
        <f t="array" ref="E7164">- FENOFIBRATE</f>
        <v>#NAME?</v>
      </c>
      <c r="F7164" t="s">
        <v>33163</v>
      </c>
      <c r="G7164" t="s">
        <v>30790</v>
      </c>
      <c r="H7164" t="s">
        <v>33011</v>
      </c>
      <c r="I7164" t="s">
        <v>30792</v>
      </c>
      <c r="J7164" t="s">
        <v>14600</v>
      </c>
      <c r="K7164" t="s">
        <v>30794</v>
      </c>
      <c r="L7164" t="s">
        <v>30795</v>
      </c>
      <c r="M7164" t="s">
        <v>38</v>
      </c>
      <c r="N7164" t="s">
        <v>1137</v>
      </c>
      <c r="O7164" t="s">
        <v>30796</v>
      </c>
      <c r="P7164" t="s">
        <v>1138</v>
      </c>
      <c r="Q7164" t="s">
        <v>33164</v>
      </c>
      <c r="R7164">
        <v>20</v>
      </c>
      <c r="S7164">
        <v>32</v>
      </c>
    </row>
    <row r="7165" spans="1:19" x14ac:dyDescent="0.35">
      <c r="A7165">
        <v>2270</v>
      </c>
      <c r="B7165" t="s">
        <v>33165</v>
      </c>
      <c r="C7165" t="s">
        <v>42</v>
      </c>
      <c r="D7165" t="s">
        <v>33166</v>
      </c>
      <c r="E7165" t="e" cm="1">
        <f t="array" ref="E7165">- ETORICOXIB</f>
        <v>#NAME?</v>
      </c>
      <c r="F7165" t="s">
        <v>33167</v>
      </c>
      <c r="G7165" t="s">
        <v>2241</v>
      </c>
      <c r="H7165" t="s">
        <v>33168</v>
      </c>
      <c r="I7165" t="s">
        <v>33169</v>
      </c>
      <c r="J7165" t="s">
        <v>29775</v>
      </c>
      <c r="K7165" t="s">
        <v>33170</v>
      </c>
      <c r="L7165" t="s">
        <v>33171</v>
      </c>
      <c r="M7165" t="s">
        <v>46</v>
      </c>
      <c r="N7165" t="s">
        <v>47</v>
      </c>
      <c r="O7165" t="s">
        <v>33172</v>
      </c>
      <c r="P7165" t="s">
        <v>24225</v>
      </c>
      <c r="Q7165" t="s">
        <v>33173</v>
      </c>
      <c r="R7165">
        <v>20</v>
      </c>
      <c r="S7165">
        <v>32</v>
      </c>
    </row>
    <row r="7166" spans="1:19" x14ac:dyDescent="0.35">
      <c r="A7166">
        <v>5875</v>
      </c>
      <c r="B7166" t="s">
        <v>33174</v>
      </c>
      <c r="C7166" t="s">
        <v>42</v>
      </c>
      <c r="D7166" t="s">
        <v>33175</v>
      </c>
      <c r="E7166" t="e" cm="1">
        <f t="array" ref="E7166">- METRONIDAZOLE</f>
        <v>#NAME?</v>
      </c>
      <c r="F7166" s="1">
        <v>17500</v>
      </c>
      <c r="G7166" t="s">
        <v>2241</v>
      </c>
      <c r="H7166" t="s">
        <v>33176</v>
      </c>
      <c r="I7166" t="s">
        <v>33177</v>
      </c>
      <c r="J7166" t="s">
        <v>33178</v>
      </c>
      <c r="K7166" t="s">
        <v>33179</v>
      </c>
      <c r="L7166" t="s">
        <v>33180</v>
      </c>
      <c r="M7166" t="s">
        <v>46</v>
      </c>
      <c r="N7166" t="s">
        <v>1049</v>
      </c>
      <c r="O7166" t="s">
        <v>33181</v>
      </c>
      <c r="P7166" t="s">
        <v>33182</v>
      </c>
      <c r="Q7166" t="s">
        <v>33183</v>
      </c>
      <c r="R7166">
        <v>20</v>
      </c>
      <c r="S7166">
        <v>32</v>
      </c>
    </row>
    <row r="7167" spans="1:19" x14ac:dyDescent="0.35">
      <c r="A7167">
        <v>2264</v>
      </c>
      <c r="B7167" t="s">
        <v>33184</v>
      </c>
      <c r="C7167" t="s">
        <v>42</v>
      </c>
      <c r="D7167" t="s">
        <v>33185</v>
      </c>
      <c r="E7167" t="e" cm="1">
        <f t="array" ref="E7167">- PARACETAMOL</f>
        <v>#NAME?</v>
      </c>
      <c r="F7167" t="s">
        <v>33186</v>
      </c>
      <c r="G7167" t="s">
        <v>12256</v>
      </c>
      <c r="H7167" t="s">
        <v>33187</v>
      </c>
      <c r="I7167" t="s">
        <v>33188</v>
      </c>
      <c r="J7167" t="s">
        <v>33189</v>
      </c>
      <c r="K7167" t="s">
        <v>33190</v>
      </c>
      <c r="L7167" t="s">
        <v>33191</v>
      </c>
      <c r="M7167" t="s">
        <v>12262</v>
      </c>
      <c r="N7167" t="s">
        <v>584</v>
      </c>
      <c r="O7167" t="s">
        <v>33192</v>
      </c>
      <c r="P7167" t="s">
        <v>33193</v>
      </c>
      <c r="Q7167" t="s">
        <v>33194</v>
      </c>
      <c r="R7167">
        <v>20</v>
      </c>
      <c r="S7167">
        <v>32</v>
      </c>
    </row>
    <row r="7168" spans="1:19" x14ac:dyDescent="0.35">
      <c r="A7168">
        <v>2263</v>
      </c>
      <c r="B7168" t="s">
        <v>33184</v>
      </c>
      <c r="C7168" t="s">
        <v>42</v>
      </c>
      <c r="D7168" t="s">
        <v>33185</v>
      </c>
      <c r="E7168" t="e" cm="1">
        <f t="array" ref="E7168">- PARACETAMOL</f>
        <v>#NAME?</v>
      </c>
      <c r="F7168" t="s">
        <v>33186</v>
      </c>
      <c r="G7168" t="s">
        <v>12256</v>
      </c>
      <c r="H7168" t="s">
        <v>33187</v>
      </c>
      <c r="I7168" t="s">
        <v>33188</v>
      </c>
      <c r="J7168" t="s">
        <v>33189</v>
      </c>
      <c r="K7168" t="s">
        <v>33190</v>
      </c>
      <c r="L7168" t="s">
        <v>33191</v>
      </c>
      <c r="M7168" t="s">
        <v>12262</v>
      </c>
      <c r="N7168" t="s">
        <v>584</v>
      </c>
      <c r="O7168" t="s">
        <v>33192</v>
      </c>
      <c r="P7168" t="s">
        <v>33193</v>
      </c>
      <c r="Q7168" t="s">
        <v>33194</v>
      </c>
      <c r="R7168">
        <v>20</v>
      </c>
      <c r="S7168">
        <v>32</v>
      </c>
    </row>
    <row r="7169" spans="1:19" x14ac:dyDescent="0.35">
      <c r="A7169">
        <v>6926</v>
      </c>
      <c r="B7169" t="s">
        <v>1803</v>
      </c>
      <c r="C7169" t="s">
        <v>42</v>
      </c>
      <c r="D7169" t="s">
        <v>33153</v>
      </c>
      <c r="E7169" t="e" cm="1">
        <f t="array" ref="E7169">- TIZANIDINE HYDROCHLORIDE</f>
        <v>#NAME?</v>
      </c>
      <c r="F7169" s="1">
        <v>17000</v>
      </c>
      <c r="G7169" t="s">
        <v>33154</v>
      </c>
      <c r="H7169" t="s">
        <v>1322</v>
      </c>
      <c r="I7169" t="s">
        <v>33155</v>
      </c>
      <c r="J7169" t="s">
        <v>33156</v>
      </c>
      <c r="L7169" t="s">
        <v>33157</v>
      </c>
      <c r="M7169" t="s">
        <v>46</v>
      </c>
      <c r="N7169" t="s">
        <v>1806</v>
      </c>
      <c r="O7169" t="s">
        <v>33158</v>
      </c>
      <c r="P7169" t="s">
        <v>33159</v>
      </c>
      <c r="Q7169" t="s">
        <v>33160</v>
      </c>
      <c r="R7169">
        <v>20</v>
      </c>
      <c r="S7169">
        <v>32</v>
      </c>
    </row>
    <row r="7170" spans="1:19" x14ac:dyDescent="0.35">
      <c r="A7170">
        <v>2254</v>
      </c>
      <c r="B7170" t="s">
        <v>33195</v>
      </c>
      <c r="C7170" t="s">
        <v>42</v>
      </c>
      <c r="D7170" t="s">
        <v>33196</v>
      </c>
      <c r="E7170" t="e" cm="1">
        <f t="array" ref="E7170">- DICLOFENAC</f>
        <v>#NAME?</v>
      </c>
      <c r="F7170" t="s">
        <v>33197</v>
      </c>
      <c r="G7170" t="s">
        <v>2241</v>
      </c>
      <c r="H7170" t="s">
        <v>2596</v>
      </c>
      <c r="I7170" t="s">
        <v>33099</v>
      </c>
      <c r="J7170" t="s">
        <v>33198</v>
      </c>
      <c r="K7170" t="s">
        <v>33100</v>
      </c>
      <c r="L7170" t="s">
        <v>33101</v>
      </c>
      <c r="M7170" t="s">
        <v>46</v>
      </c>
      <c r="N7170" t="s">
        <v>33199</v>
      </c>
      <c r="O7170" t="s">
        <v>33102</v>
      </c>
      <c r="P7170" t="s">
        <v>33200</v>
      </c>
      <c r="Q7170" t="s">
        <v>33201</v>
      </c>
      <c r="R7170">
        <v>20</v>
      </c>
      <c r="S7170">
        <v>32</v>
      </c>
    </row>
    <row r="7171" spans="1:19" x14ac:dyDescent="0.35">
      <c r="A7171">
        <v>6947</v>
      </c>
      <c r="B7171" t="s">
        <v>1803</v>
      </c>
      <c r="C7171" t="s">
        <v>42</v>
      </c>
      <c r="D7171" t="s">
        <v>33202</v>
      </c>
      <c r="E7171" t="e" cm="1">
        <f t="array" ref="E7171">- TIZANIDINE HYDROCHLORIDE</f>
        <v>#NAME?</v>
      </c>
      <c r="F7171" s="1">
        <v>33000</v>
      </c>
      <c r="G7171" t="s">
        <v>33154</v>
      </c>
      <c r="H7171" t="s">
        <v>1322</v>
      </c>
      <c r="I7171" t="s">
        <v>33155</v>
      </c>
      <c r="J7171" t="s">
        <v>33203</v>
      </c>
      <c r="L7171" t="s">
        <v>33204</v>
      </c>
      <c r="M7171" t="s">
        <v>46</v>
      </c>
      <c r="N7171" t="s">
        <v>1806</v>
      </c>
      <c r="O7171" t="s">
        <v>33158</v>
      </c>
      <c r="P7171" t="s">
        <v>33159</v>
      </c>
      <c r="Q7171" t="s">
        <v>33160</v>
      </c>
      <c r="R7171">
        <v>20</v>
      </c>
      <c r="S7171">
        <v>32</v>
      </c>
    </row>
    <row r="7172" spans="1:19" x14ac:dyDescent="0.35">
      <c r="A7172">
        <v>6927</v>
      </c>
      <c r="B7172" t="s">
        <v>1803</v>
      </c>
      <c r="C7172" t="s">
        <v>42</v>
      </c>
      <c r="D7172" t="s">
        <v>33202</v>
      </c>
      <c r="E7172" t="e" cm="1">
        <f t="array" ref="E7172">- TIZANIDINE HYDROCHLORIDE</f>
        <v>#NAME?</v>
      </c>
      <c r="F7172" s="1">
        <v>33000</v>
      </c>
      <c r="G7172" t="s">
        <v>33154</v>
      </c>
      <c r="H7172" t="s">
        <v>1322</v>
      </c>
      <c r="I7172" t="s">
        <v>33155</v>
      </c>
      <c r="J7172" t="s">
        <v>33203</v>
      </c>
      <c r="L7172" t="s">
        <v>33204</v>
      </c>
      <c r="M7172" t="s">
        <v>46</v>
      </c>
      <c r="N7172" t="s">
        <v>1806</v>
      </c>
      <c r="O7172" t="s">
        <v>33158</v>
      </c>
      <c r="P7172" t="s">
        <v>33159</v>
      </c>
      <c r="Q7172" t="s">
        <v>33160</v>
      </c>
      <c r="R7172">
        <v>20</v>
      </c>
      <c r="S7172">
        <v>32</v>
      </c>
    </row>
    <row r="7173" spans="1:19" x14ac:dyDescent="0.35">
      <c r="A7173">
        <v>9850</v>
      </c>
      <c r="B7173" t="s">
        <v>33205</v>
      </c>
      <c r="C7173" t="s">
        <v>42</v>
      </c>
      <c r="D7173" t="s">
        <v>33206</v>
      </c>
      <c r="E7173" t="e" cm="1">
        <f t="array" ref="E7173">- FENOFIBRATE</f>
        <v>#NAME?</v>
      </c>
      <c r="F7173" t="s">
        <v>33207</v>
      </c>
      <c r="G7173" t="s">
        <v>30790</v>
      </c>
      <c r="H7173" t="s">
        <v>33011</v>
      </c>
      <c r="I7173" t="s">
        <v>30792</v>
      </c>
      <c r="J7173" t="s">
        <v>347</v>
      </c>
      <c r="K7173" t="s">
        <v>30794</v>
      </c>
      <c r="L7173" t="s">
        <v>30795</v>
      </c>
      <c r="M7173" t="s">
        <v>38</v>
      </c>
      <c r="N7173" t="s">
        <v>1137</v>
      </c>
      <c r="O7173" t="s">
        <v>30796</v>
      </c>
      <c r="P7173" t="s">
        <v>1138</v>
      </c>
      <c r="Q7173" t="s">
        <v>33164</v>
      </c>
      <c r="R7173">
        <v>20</v>
      </c>
      <c r="S7173">
        <v>32</v>
      </c>
    </row>
    <row r="7174" spans="1:19" x14ac:dyDescent="0.35">
      <c r="A7174">
        <v>9849</v>
      </c>
      <c r="B7174" t="s">
        <v>33205</v>
      </c>
      <c r="C7174" t="s">
        <v>42</v>
      </c>
      <c r="D7174" t="s">
        <v>33206</v>
      </c>
      <c r="E7174" t="e" cm="1">
        <f t="array" ref="E7174">- FENOFIBRATE</f>
        <v>#NAME?</v>
      </c>
      <c r="F7174" t="s">
        <v>33207</v>
      </c>
      <c r="G7174" t="s">
        <v>30790</v>
      </c>
      <c r="H7174" t="s">
        <v>33011</v>
      </c>
      <c r="I7174" t="s">
        <v>30792</v>
      </c>
      <c r="J7174" t="s">
        <v>347</v>
      </c>
      <c r="K7174" t="s">
        <v>30794</v>
      </c>
      <c r="L7174" t="s">
        <v>30795</v>
      </c>
      <c r="M7174" t="s">
        <v>38</v>
      </c>
      <c r="N7174" t="s">
        <v>1137</v>
      </c>
      <c r="O7174" t="s">
        <v>30796</v>
      </c>
      <c r="P7174" t="s">
        <v>1138</v>
      </c>
      <c r="Q7174" t="s">
        <v>33164</v>
      </c>
      <c r="R7174">
        <v>20</v>
      </c>
      <c r="S7174">
        <v>32</v>
      </c>
    </row>
    <row r="7175" spans="1:19" x14ac:dyDescent="0.35">
      <c r="A7175">
        <v>2073</v>
      </c>
      <c r="B7175" t="s">
        <v>33208</v>
      </c>
      <c r="C7175" t="s">
        <v>42</v>
      </c>
      <c r="D7175" t="s">
        <v>33209</v>
      </c>
      <c r="E7175" t="e" cm="1">
        <f t="array" ref="E7175">- DICLOFENAC POTASSIUM</f>
        <v>#NAME?</v>
      </c>
      <c r="F7175" t="s">
        <v>33210</v>
      </c>
      <c r="G7175" t="s">
        <v>2241</v>
      </c>
      <c r="H7175" t="s">
        <v>2596</v>
      </c>
      <c r="I7175" t="s">
        <v>33099</v>
      </c>
      <c r="J7175" t="s">
        <v>33211</v>
      </c>
      <c r="K7175" t="s">
        <v>33100</v>
      </c>
      <c r="L7175" t="s">
        <v>33101</v>
      </c>
      <c r="M7175" t="s">
        <v>46</v>
      </c>
      <c r="N7175" t="s">
        <v>2637</v>
      </c>
      <c r="O7175" t="s">
        <v>33102</v>
      </c>
      <c r="P7175" t="s">
        <v>6932</v>
      </c>
      <c r="Q7175" t="s">
        <v>33103</v>
      </c>
      <c r="R7175">
        <v>20</v>
      </c>
      <c r="S7175">
        <v>32</v>
      </c>
    </row>
    <row r="7176" spans="1:19" x14ac:dyDescent="0.35">
      <c r="A7176">
        <v>2074</v>
      </c>
      <c r="B7176" t="s">
        <v>33208</v>
      </c>
      <c r="C7176" t="s">
        <v>42</v>
      </c>
      <c r="D7176" t="s">
        <v>33209</v>
      </c>
      <c r="E7176" t="e" cm="1">
        <f t="array" ref="E7176">- DICLOFENAC POTASSIUM</f>
        <v>#NAME?</v>
      </c>
      <c r="F7176" t="s">
        <v>33210</v>
      </c>
      <c r="G7176" t="s">
        <v>2241</v>
      </c>
      <c r="H7176" t="s">
        <v>2596</v>
      </c>
      <c r="I7176" t="s">
        <v>33099</v>
      </c>
      <c r="J7176" t="s">
        <v>33211</v>
      </c>
      <c r="K7176" t="s">
        <v>33100</v>
      </c>
      <c r="L7176" t="s">
        <v>33101</v>
      </c>
      <c r="M7176" t="s">
        <v>46</v>
      </c>
      <c r="N7176" t="s">
        <v>2637</v>
      </c>
      <c r="O7176" t="s">
        <v>33102</v>
      </c>
      <c r="P7176" t="s">
        <v>6932</v>
      </c>
      <c r="Q7176" t="s">
        <v>33103</v>
      </c>
      <c r="R7176">
        <v>20</v>
      </c>
      <c r="S7176">
        <v>32</v>
      </c>
    </row>
    <row r="7177" spans="1:19" x14ac:dyDescent="0.35">
      <c r="A7177">
        <v>9636</v>
      </c>
      <c r="B7177" t="s">
        <v>6301</v>
      </c>
      <c r="C7177" t="s">
        <v>42</v>
      </c>
      <c r="D7177" t="s">
        <v>33212</v>
      </c>
      <c r="E7177" t="s">
        <v>6303</v>
      </c>
      <c r="F7177" t="s">
        <v>33213</v>
      </c>
      <c r="I7177" t="s">
        <v>33214</v>
      </c>
      <c r="J7177" t="s">
        <v>4201</v>
      </c>
      <c r="M7177" t="s">
        <v>46</v>
      </c>
      <c r="N7177" t="s">
        <v>6304</v>
      </c>
      <c r="O7177" t="s">
        <v>33215</v>
      </c>
      <c r="P7177" t="s">
        <v>33216</v>
      </c>
      <c r="Q7177" t="s">
        <v>33217</v>
      </c>
      <c r="R7177">
        <v>20</v>
      </c>
      <c r="S7177">
        <v>32</v>
      </c>
    </row>
    <row r="7178" spans="1:19" x14ac:dyDescent="0.35">
      <c r="A7178">
        <v>2212</v>
      </c>
      <c r="B7178" t="s">
        <v>33218</v>
      </c>
      <c r="C7178" t="s">
        <v>42</v>
      </c>
      <c r="D7178" t="s">
        <v>33219</v>
      </c>
      <c r="E7178" t="e" cm="1">
        <f t="array" ref="E7178">- PARACETAMOL</f>
        <v>#NAME?</v>
      </c>
      <c r="F7178" s="1">
        <v>27000</v>
      </c>
      <c r="G7178" t="s">
        <v>12256</v>
      </c>
      <c r="H7178" t="s">
        <v>33220</v>
      </c>
      <c r="I7178" t="s">
        <v>33221</v>
      </c>
      <c r="J7178" t="s">
        <v>33222</v>
      </c>
      <c r="K7178" t="s">
        <v>33223</v>
      </c>
      <c r="L7178" t="s">
        <v>33191</v>
      </c>
      <c r="M7178" t="s">
        <v>12262</v>
      </c>
      <c r="N7178" t="s">
        <v>584</v>
      </c>
      <c r="O7178" t="s">
        <v>33224</v>
      </c>
      <c r="P7178" t="s">
        <v>33193</v>
      </c>
      <c r="Q7178" t="s">
        <v>33225</v>
      </c>
      <c r="R7178">
        <v>20</v>
      </c>
      <c r="S7178">
        <v>32</v>
      </c>
    </row>
    <row r="7179" spans="1:19" x14ac:dyDescent="0.35">
      <c r="A7179">
        <v>2075</v>
      </c>
      <c r="B7179" t="s">
        <v>33208</v>
      </c>
      <c r="C7179" t="s">
        <v>42</v>
      </c>
      <c r="D7179" t="s">
        <v>33209</v>
      </c>
      <c r="E7179" t="e" cm="1">
        <f t="array" ref="E7179">- DICLOFENAC POTASSIUM</f>
        <v>#NAME?</v>
      </c>
      <c r="F7179" t="s">
        <v>33210</v>
      </c>
      <c r="G7179" t="s">
        <v>2241</v>
      </c>
      <c r="H7179" t="s">
        <v>2596</v>
      </c>
      <c r="I7179" t="s">
        <v>33099</v>
      </c>
      <c r="J7179" t="s">
        <v>33211</v>
      </c>
      <c r="K7179" t="s">
        <v>33100</v>
      </c>
      <c r="L7179" t="s">
        <v>33101</v>
      </c>
      <c r="M7179" t="s">
        <v>46</v>
      </c>
      <c r="N7179" t="s">
        <v>2637</v>
      </c>
      <c r="O7179" t="s">
        <v>33102</v>
      </c>
      <c r="P7179" t="s">
        <v>6932</v>
      </c>
      <c r="Q7179" t="s">
        <v>33103</v>
      </c>
      <c r="R7179">
        <v>20</v>
      </c>
      <c r="S7179">
        <v>32</v>
      </c>
    </row>
    <row r="7180" spans="1:19" x14ac:dyDescent="0.35">
      <c r="A7180">
        <v>9365</v>
      </c>
      <c r="B7180" t="s">
        <v>6301</v>
      </c>
      <c r="C7180" t="s">
        <v>42</v>
      </c>
      <c r="D7180" t="s">
        <v>33226</v>
      </c>
      <c r="E7180" t="s">
        <v>6303</v>
      </c>
      <c r="F7180" t="s">
        <v>33227</v>
      </c>
      <c r="I7180" t="s">
        <v>33228</v>
      </c>
      <c r="J7180" t="s">
        <v>5636</v>
      </c>
      <c r="M7180" t="s">
        <v>46</v>
      </c>
      <c r="N7180" t="s">
        <v>6304</v>
      </c>
      <c r="O7180" t="s">
        <v>33229</v>
      </c>
      <c r="P7180" t="s">
        <v>33230</v>
      </c>
      <c r="Q7180" t="s">
        <v>33231</v>
      </c>
      <c r="R7180">
        <v>20</v>
      </c>
      <c r="S7180">
        <v>32</v>
      </c>
    </row>
    <row r="7181" spans="1:19" x14ac:dyDescent="0.35">
      <c r="A7181">
        <v>6373</v>
      </c>
      <c r="B7181" t="s">
        <v>33232</v>
      </c>
      <c r="C7181" t="s">
        <v>42</v>
      </c>
      <c r="D7181" t="s">
        <v>33233</v>
      </c>
      <c r="E7181" t="e" cm="1">
        <f t="array" ref="E7181">- LEVOFLOXACIN HEMIHYDRATE</f>
        <v>#NAME?</v>
      </c>
      <c r="F7181" t="s">
        <v>33234</v>
      </c>
      <c r="G7181" t="s">
        <v>33235</v>
      </c>
      <c r="H7181" t="s">
        <v>33236</v>
      </c>
      <c r="I7181" t="s">
        <v>33237</v>
      </c>
      <c r="J7181" t="s">
        <v>1783</v>
      </c>
      <c r="K7181" t="s">
        <v>33238</v>
      </c>
      <c r="L7181" t="s">
        <v>33239</v>
      </c>
    </row>
    <row r="7182" spans="1:19" x14ac:dyDescent="0.35">
      <c r="A7182">
        <v>9737</v>
      </c>
      <c r="B7182" t="s">
        <v>33128</v>
      </c>
      <c r="C7182" t="s">
        <v>42</v>
      </c>
      <c r="D7182" t="s">
        <v>33129</v>
      </c>
      <c r="E7182" t="e" cm="1">
        <f t="array" ref="E7182">- FENOFIBRATE</f>
        <v>#NAME?</v>
      </c>
      <c r="F7182" t="s">
        <v>33130</v>
      </c>
      <c r="G7182" t="s">
        <v>30790</v>
      </c>
      <c r="H7182" t="s">
        <v>33011</v>
      </c>
      <c r="I7182" t="s">
        <v>30792</v>
      </c>
      <c r="J7182" t="s">
        <v>4547</v>
      </c>
      <c r="K7182" t="s">
        <v>30794</v>
      </c>
      <c r="L7182" t="s">
        <v>30795</v>
      </c>
      <c r="M7182" t="s">
        <v>38</v>
      </c>
      <c r="N7182" t="s">
        <v>1137</v>
      </c>
      <c r="O7182" t="s">
        <v>30796</v>
      </c>
      <c r="P7182" t="s">
        <v>33126</v>
      </c>
      <c r="Q7182" t="s">
        <v>33127</v>
      </c>
      <c r="R7182">
        <v>20</v>
      </c>
      <c r="S7182">
        <v>32</v>
      </c>
    </row>
    <row r="7183" spans="1:19" x14ac:dyDescent="0.35">
      <c r="A7183">
        <v>7070</v>
      </c>
      <c r="B7183" t="s">
        <v>1803</v>
      </c>
      <c r="C7183" t="s">
        <v>42</v>
      </c>
      <c r="D7183" t="s">
        <v>33240</v>
      </c>
      <c r="E7183" t="e" cm="1">
        <f t="array" ref="E7183">- TIZANIDINE HYDROCHLORIDE</f>
        <v>#NAME?</v>
      </c>
      <c r="F7183" s="1">
        <v>18900</v>
      </c>
      <c r="G7183" t="s">
        <v>33241</v>
      </c>
      <c r="H7183" t="s">
        <v>1322</v>
      </c>
      <c r="I7183" t="s">
        <v>33242</v>
      </c>
      <c r="J7183" t="s">
        <v>33243</v>
      </c>
      <c r="L7183" t="s">
        <v>33244</v>
      </c>
      <c r="M7183" t="s">
        <v>46</v>
      </c>
      <c r="N7183" t="s">
        <v>1806</v>
      </c>
      <c r="O7183" t="s">
        <v>33245</v>
      </c>
      <c r="P7183" t="s">
        <v>33246</v>
      </c>
      <c r="Q7183" t="s">
        <v>33247</v>
      </c>
      <c r="R7183">
        <v>20</v>
      </c>
      <c r="S7183">
        <v>32</v>
      </c>
    </row>
    <row r="7184" spans="1:19" x14ac:dyDescent="0.35">
      <c r="A7184">
        <v>9941</v>
      </c>
      <c r="B7184" t="s">
        <v>33248</v>
      </c>
      <c r="C7184" t="s">
        <v>42</v>
      </c>
      <c r="D7184" t="s">
        <v>33249</v>
      </c>
      <c r="E7184" t="e" cm="1">
        <f t="array" ref="E7184">- CLOPIDOGREL BISULFATE</f>
        <v>#NAME?</v>
      </c>
      <c r="F7184" t="s">
        <v>33250</v>
      </c>
      <c r="G7184" t="s">
        <v>2241</v>
      </c>
      <c r="H7184" t="s">
        <v>33080</v>
      </c>
      <c r="I7184" t="s">
        <v>33081</v>
      </c>
      <c r="J7184" t="s">
        <v>13933</v>
      </c>
      <c r="K7184" t="s">
        <v>33251</v>
      </c>
      <c r="L7184" t="s">
        <v>33252</v>
      </c>
      <c r="M7184" t="s">
        <v>46</v>
      </c>
      <c r="N7184" t="s">
        <v>2490</v>
      </c>
      <c r="O7184" t="s">
        <v>33084</v>
      </c>
      <c r="P7184" t="s">
        <v>33253</v>
      </c>
      <c r="Q7184" t="s">
        <v>33254</v>
      </c>
      <c r="R7184">
        <v>20</v>
      </c>
      <c r="S7184">
        <v>32</v>
      </c>
    </row>
    <row r="7185" spans="1:19" x14ac:dyDescent="0.35">
      <c r="A7185">
        <v>10033</v>
      </c>
      <c r="B7185" t="s">
        <v>33255</v>
      </c>
      <c r="C7185" t="s">
        <v>42</v>
      </c>
      <c r="D7185" t="s">
        <v>33256</v>
      </c>
      <c r="E7185" t="e" cm="1">
        <f t="array" ref="E7185">- CLOPIDOGREL BISULFATE</f>
        <v>#NAME?</v>
      </c>
      <c r="F7185" t="s">
        <v>33257</v>
      </c>
      <c r="G7185" t="s">
        <v>30611</v>
      </c>
      <c r="H7185" t="s">
        <v>30612</v>
      </c>
      <c r="I7185" t="s">
        <v>30613</v>
      </c>
      <c r="J7185" t="s">
        <v>284</v>
      </c>
      <c r="K7185" t="s">
        <v>30614</v>
      </c>
      <c r="L7185" t="s">
        <v>31200</v>
      </c>
      <c r="M7185" t="s">
        <v>46</v>
      </c>
      <c r="N7185" t="s">
        <v>2490</v>
      </c>
      <c r="O7185" t="s">
        <v>30616</v>
      </c>
      <c r="P7185" t="s">
        <v>33258</v>
      </c>
      <c r="Q7185" t="s">
        <v>33259</v>
      </c>
      <c r="R7185">
        <v>20</v>
      </c>
      <c r="S7185">
        <v>32</v>
      </c>
    </row>
    <row r="7186" spans="1:19" x14ac:dyDescent="0.35">
      <c r="A7186">
        <v>2534</v>
      </c>
      <c r="B7186" t="s">
        <v>33260</v>
      </c>
      <c r="C7186" t="s">
        <v>42</v>
      </c>
      <c r="D7186" t="s">
        <v>33261</v>
      </c>
      <c r="E7186" t="e" cm="1">
        <f t="array" ref="E7186">- PARACETAMOL</f>
        <v>#NAME?</v>
      </c>
      <c r="F7186" s="1">
        <v>5600</v>
      </c>
      <c r="G7186" t="s">
        <v>6869</v>
      </c>
      <c r="H7186" t="s">
        <v>33262</v>
      </c>
      <c r="I7186" t="s">
        <v>32224</v>
      </c>
      <c r="J7186" t="s">
        <v>727</v>
      </c>
      <c r="K7186" t="s">
        <v>33263</v>
      </c>
      <c r="L7186" t="s">
        <v>33264</v>
      </c>
      <c r="M7186" t="s">
        <v>291</v>
      </c>
      <c r="N7186" t="s">
        <v>584</v>
      </c>
      <c r="O7186" t="s">
        <v>32225</v>
      </c>
      <c r="P7186" t="s">
        <v>33265</v>
      </c>
      <c r="Q7186" t="s">
        <v>33266</v>
      </c>
      <c r="R7186">
        <v>20</v>
      </c>
      <c r="S7186">
        <v>32</v>
      </c>
    </row>
    <row r="7187" spans="1:19" x14ac:dyDescent="0.35">
      <c r="A7187">
        <v>687</v>
      </c>
      <c r="B7187" t="s">
        <v>33267</v>
      </c>
      <c r="C7187" t="s">
        <v>20</v>
      </c>
      <c r="D7187" t="s">
        <v>33268</v>
      </c>
      <c r="E7187" t="s">
        <v>33269</v>
      </c>
      <c r="F7187" t="s">
        <v>33270</v>
      </c>
      <c r="G7187" t="s">
        <v>27248</v>
      </c>
      <c r="H7187" t="s">
        <v>33271</v>
      </c>
      <c r="I7187" t="s">
        <v>27250</v>
      </c>
      <c r="J7187" t="s">
        <v>614</v>
      </c>
      <c r="M7187" t="s">
        <v>2115</v>
      </c>
      <c r="N7187" t="s">
        <v>33272</v>
      </c>
      <c r="O7187" t="s">
        <v>27252</v>
      </c>
      <c r="P7187" t="s">
        <v>29176</v>
      </c>
      <c r="Q7187" t="s">
        <v>33273</v>
      </c>
      <c r="R7187">
        <v>20</v>
      </c>
      <c r="S7187">
        <v>32</v>
      </c>
    </row>
    <row r="7188" spans="1:19" x14ac:dyDescent="0.35">
      <c r="A7188">
        <v>10034</v>
      </c>
      <c r="B7188" t="s">
        <v>33255</v>
      </c>
      <c r="C7188" t="s">
        <v>42</v>
      </c>
      <c r="D7188" t="s">
        <v>33256</v>
      </c>
      <c r="E7188" t="e" cm="1">
        <f t="array" ref="E7188">- CLOPIDOGREL BISULFATE</f>
        <v>#NAME?</v>
      </c>
      <c r="F7188" t="s">
        <v>33257</v>
      </c>
      <c r="G7188" t="s">
        <v>30611</v>
      </c>
      <c r="H7188" t="s">
        <v>30612</v>
      </c>
      <c r="I7188" t="s">
        <v>30613</v>
      </c>
      <c r="J7188" t="s">
        <v>284</v>
      </c>
      <c r="K7188" t="s">
        <v>30614</v>
      </c>
      <c r="L7188" t="s">
        <v>31200</v>
      </c>
      <c r="M7188" t="s">
        <v>46</v>
      </c>
      <c r="N7188" t="s">
        <v>2490</v>
      </c>
      <c r="O7188" t="s">
        <v>30616</v>
      </c>
      <c r="P7188" t="s">
        <v>33258</v>
      </c>
      <c r="Q7188" t="s">
        <v>33259</v>
      </c>
      <c r="R7188">
        <v>20</v>
      </c>
      <c r="S7188">
        <v>32</v>
      </c>
    </row>
    <row r="7189" spans="1:19" x14ac:dyDescent="0.35">
      <c r="A7189">
        <v>10003</v>
      </c>
      <c r="B7189" t="s">
        <v>33274</v>
      </c>
      <c r="C7189" t="s">
        <v>42</v>
      </c>
      <c r="D7189" t="s">
        <v>33275</v>
      </c>
      <c r="E7189" t="e" cm="1">
        <f t="array" ref="E7189">- CLOPIDOGREL BISULFATE</f>
        <v>#NAME?</v>
      </c>
      <c r="F7189" t="s">
        <v>33276</v>
      </c>
      <c r="G7189" t="s">
        <v>30611</v>
      </c>
      <c r="H7189" t="s">
        <v>30612</v>
      </c>
      <c r="I7189" t="s">
        <v>30613</v>
      </c>
      <c r="J7189" t="s">
        <v>599</v>
      </c>
      <c r="K7189" t="s">
        <v>30614</v>
      </c>
      <c r="L7189" t="s">
        <v>31200</v>
      </c>
      <c r="M7189" t="s">
        <v>46</v>
      </c>
      <c r="N7189" t="s">
        <v>2490</v>
      </c>
      <c r="O7189" t="s">
        <v>30616</v>
      </c>
      <c r="P7189" t="s">
        <v>33277</v>
      </c>
      <c r="Q7189" t="s">
        <v>33278</v>
      </c>
      <c r="R7189">
        <v>20</v>
      </c>
      <c r="S7189">
        <v>32</v>
      </c>
    </row>
    <row r="7190" spans="1:19" x14ac:dyDescent="0.35">
      <c r="A7190">
        <v>5920</v>
      </c>
      <c r="B7190" t="s">
        <v>33279</v>
      </c>
      <c r="C7190" t="s">
        <v>42</v>
      </c>
      <c r="D7190" t="s">
        <v>33280</v>
      </c>
      <c r="E7190" t="e" cm="1">
        <f t="array" ref="E7190">- CEFUROXIME AXETIL</f>
        <v>#NAME?</v>
      </c>
      <c r="F7190" t="s">
        <v>33281</v>
      </c>
      <c r="G7190" t="s">
        <v>33282</v>
      </c>
      <c r="H7190" t="s">
        <v>33283</v>
      </c>
      <c r="I7190" t="s">
        <v>33284</v>
      </c>
      <c r="J7190" t="s">
        <v>31845</v>
      </c>
      <c r="K7190" t="s">
        <v>19599</v>
      </c>
      <c r="L7190" t="s">
        <v>33285</v>
      </c>
      <c r="M7190" t="s">
        <v>291</v>
      </c>
      <c r="N7190" t="s">
        <v>1862</v>
      </c>
      <c r="O7190" t="s">
        <v>33286</v>
      </c>
      <c r="P7190" t="s">
        <v>33287</v>
      </c>
      <c r="Q7190" t="s">
        <v>33288</v>
      </c>
      <c r="R7190">
        <v>20</v>
      </c>
      <c r="S7190">
        <v>32</v>
      </c>
    </row>
    <row r="7191" spans="1:19" x14ac:dyDescent="0.35">
      <c r="A7191">
        <v>6883</v>
      </c>
      <c r="B7191" t="s">
        <v>33289</v>
      </c>
      <c r="C7191" t="s">
        <v>850</v>
      </c>
      <c r="D7191" t="s">
        <v>33290</v>
      </c>
      <c r="E7191" t="e" cm="1">
        <f t="array" ref="E7191">- DL-Camphor</f>
        <v>#NAME?</v>
      </c>
      <c r="F7191" t="s">
        <v>33291</v>
      </c>
      <c r="G7191" t="s">
        <v>33292</v>
      </c>
      <c r="H7191" t="s">
        <v>33293</v>
      </c>
      <c r="I7191" t="s">
        <v>33294</v>
      </c>
      <c r="J7191" t="s">
        <v>33295</v>
      </c>
      <c r="K7191" t="s">
        <v>33296</v>
      </c>
      <c r="L7191" t="s">
        <v>33297</v>
      </c>
      <c r="M7191" t="s">
        <v>87</v>
      </c>
      <c r="N7191" t="s">
        <v>33298</v>
      </c>
      <c r="O7191" t="s">
        <v>33299</v>
      </c>
      <c r="P7191" t="s">
        <v>33300</v>
      </c>
      <c r="Q7191" t="s">
        <v>33301</v>
      </c>
      <c r="R7191">
        <v>20</v>
      </c>
      <c r="S7191">
        <v>32</v>
      </c>
    </row>
    <row r="7192" spans="1:19" x14ac:dyDescent="0.35">
      <c r="A7192">
        <v>6372</v>
      </c>
      <c r="B7192" t="s">
        <v>33232</v>
      </c>
      <c r="C7192" t="s">
        <v>42</v>
      </c>
      <c r="D7192" t="s">
        <v>33233</v>
      </c>
      <c r="E7192" t="e" cm="1">
        <f t="array" ref="E7192">- LEVOFLOXACIN HEMIHYDRATE</f>
        <v>#NAME?</v>
      </c>
      <c r="F7192" t="s">
        <v>33234</v>
      </c>
      <c r="G7192" t="s">
        <v>33235</v>
      </c>
      <c r="H7192" t="s">
        <v>33236</v>
      </c>
      <c r="I7192" t="s">
        <v>33237</v>
      </c>
      <c r="J7192" t="s">
        <v>1783</v>
      </c>
      <c r="K7192" t="s">
        <v>33238</v>
      </c>
      <c r="L7192" t="s">
        <v>33239</v>
      </c>
    </row>
    <row r="7193" spans="1:19" x14ac:dyDescent="0.35">
      <c r="A7193">
        <v>9942</v>
      </c>
      <c r="B7193" t="s">
        <v>31255</v>
      </c>
      <c r="C7193" t="s">
        <v>42</v>
      </c>
      <c r="D7193" t="s">
        <v>31256</v>
      </c>
      <c r="E7193" t="e" cm="1">
        <f t="array" ref="E7193">- CLOPIDOGREL BISULFATE</f>
        <v>#NAME?</v>
      </c>
      <c r="F7193" t="s">
        <v>31257</v>
      </c>
      <c r="G7193" t="s">
        <v>30611</v>
      </c>
      <c r="H7193" t="s">
        <v>30612</v>
      </c>
      <c r="I7193" t="s">
        <v>30613</v>
      </c>
      <c r="J7193" t="s">
        <v>31258</v>
      </c>
      <c r="L7193" t="s">
        <v>31200</v>
      </c>
      <c r="M7193" t="s">
        <v>46</v>
      </c>
      <c r="N7193" t="s">
        <v>2490</v>
      </c>
      <c r="O7193" t="s">
        <v>30616</v>
      </c>
      <c r="P7193" t="s">
        <v>31259</v>
      </c>
      <c r="Q7193" t="s">
        <v>33302</v>
      </c>
      <c r="R7193">
        <v>20</v>
      </c>
      <c r="S7193">
        <v>32</v>
      </c>
    </row>
    <row r="7194" spans="1:19" x14ac:dyDescent="0.35">
      <c r="A7194">
        <v>2530</v>
      </c>
      <c r="B7194" t="s">
        <v>33303</v>
      </c>
      <c r="C7194" t="s">
        <v>42</v>
      </c>
      <c r="D7194" t="s">
        <v>33304</v>
      </c>
      <c r="E7194" t="e" cm="1">
        <f t="array" ref="E7194">- ETORICOXIB</f>
        <v>#NAME?</v>
      </c>
      <c r="F7194" t="s">
        <v>33305</v>
      </c>
      <c r="G7194" t="s">
        <v>2241</v>
      </c>
      <c r="H7194" t="s">
        <v>33306</v>
      </c>
      <c r="I7194" t="s">
        <v>33307</v>
      </c>
      <c r="J7194" t="s">
        <v>599</v>
      </c>
      <c r="K7194" t="s">
        <v>33308</v>
      </c>
      <c r="L7194" t="s">
        <v>33309</v>
      </c>
      <c r="M7194" t="s">
        <v>46</v>
      </c>
      <c r="N7194" t="s">
        <v>47</v>
      </c>
      <c r="O7194" t="s">
        <v>33310</v>
      </c>
      <c r="P7194" t="s">
        <v>33311</v>
      </c>
      <c r="Q7194" t="s">
        <v>33312</v>
      </c>
      <c r="R7194">
        <v>20</v>
      </c>
      <c r="S7194">
        <v>32</v>
      </c>
    </row>
    <row r="7195" spans="1:19" x14ac:dyDescent="0.35">
      <c r="A7195">
        <v>2476</v>
      </c>
      <c r="B7195" t="s">
        <v>33313</v>
      </c>
      <c r="C7195" t="s">
        <v>42</v>
      </c>
      <c r="D7195" t="s">
        <v>33314</v>
      </c>
      <c r="E7195" t="e" cm="1">
        <f t="array" ref="E7195">- MEFENAMIC ACID</f>
        <v>#NAME?</v>
      </c>
      <c r="F7195" s="1">
        <v>11100</v>
      </c>
      <c r="G7195" t="s">
        <v>2241</v>
      </c>
      <c r="H7195" t="s">
        <v>33315</v>
      </c>
      <c r="I7195" t="s">
        <v>32363</v>
      </c>
      <c r="J7195" t="s">
        <v>334</v>
      </c>
      <c r="K7195" t="s">
        <v>33316</v>
      </c>
      <c r="L7195" t="s">
        <v>33317</v>
      </c>
      <c r="M7195" t="s">
        <v>271</v>
      </c>
      <c r="N7195" t="s">
        <v>2235</v>
      </c>
      <c r="O7195" t="s">
        <v>32367</v>
      </c>
      <c r="P7195" t="s">
        <v>33318</v>
      </c>
      <c r="Q7195" t="s">
        <v>33319</v>
      </c>
      <c r="R7195">
        <v>20</v>
      </c>
      <c r="S7195">
        <v>32</v>
      </c>
    </row>
    <row r="7196" spans="1:19" x14ac:dyDescent="0.35">
      <c r="A7196">
        <v>5661</v>
      </c>
      <c r="B7196" t="s">
        <v>33320</v>
      </c>
      <c r="C7196" t="s">
        <v>42</v>
      </c>
      <c r="D7196" t="s">
        <v>33321</v>
      </c>
      <c r="E7196" t="e" cm="1">
        <f t="array" ref="E7196">- FOSFOMYCIN</f>
        <v>#NAME?</v>
      </c>
      <c r="F7196" t="s">
        <v>33322</v>
      </c>
      <c r="G7196" t="s">
        <v>33323</v>
      </c>
      <c r="H7196" t="s">
        <v>33324</v>
      </c>
      <c r="I7196" t="s">
        <v>33325</v>
      </c>
      <c r="J7196" t="s">
        <v>33326</v>
      </c>
      <c r="K7196" t="s">
        <v>33327</v>
      </c>
      <c r="L7196" t="s">
        <v>33328</v>
      </c>
      <c r="M7196" t="s">
        <v>17667</v>
      </c>
      <c r="N7196" t="s">
        <v>33329</v>
      </c>
      <c r="O7196" t="s">
        <v>33330</v>
      </c>
      <c r="P7196" t="s">
        <v>33331</v>
      </c>
      <c r="Q7196" t="s">
        <v>33332</v>
      </c>
      <c r="R7196">
        <v>20</v>
      </c>
      <c r="S7196">
        <v>32</v>
      </c>
    </row>
    <row r="7197" spans="1:19" x14ac:dyDescent="0.35">
      <c r="A7197">
        <v>10027</v>
      </c>
      <c r="B7197" t="s">
        <v>33333</v>
      </c>
      <c r="C7197" t="s">
        <v>42</v>
      </c>
      <c r="D7197" t="s">
        <v>33334</v>
      </c>
      <c r="E7197" t="e" cm="1">
        <f t="array" ref="E7197">- CLOPIDOGREL BISULFATE</f>
        <v>#NAME?</v>
      </c>
      <c r="F7197" t="s">
        <v>33335</v>
      </c>
      <c r="G7197" t="s">
        <v>30611</v>
      </c>
      <c r="H7197" t="s">
        <v>30612</v>
      </c>
      <c r="I7197" t="s">
        <v>30613</v>
      </c>
      <c r="J7197" t="s">
        <v>2100</v>
      </c>
      <c r="K7197" t="s">
        <v>30614</v>
      </c>
      <c r="L7197" t="s">
        <v>31200</v>
      </c>
      <c r="M7197" t="s">
        <v>46</v>
      </c>
      <c r="N7197" t="s">
        <v>2490</v>
      </c>
      <c r="O7197" t="s">
        <v>30616</v>
      </c>
      <c r="P7197" t="s">
        <v>33336</v>
      </c>
      <c r="Q7197" t="s">
        <v>33337</v>
      </c>
      <c r="R7197">
        <v>20</v>
      </c>
      <c r="S7197">
        <v>32</v>
      </c>
    </row>
    <row r="7198" spans="1:19" x14ac:dyDescent="0.35">
      <c r="A7198">
        <v>9922</v>
      </c>
      <c r="B7198" t="s">
        <v>31197</v>
      </c>
      <c r="C7198" t="s">
        <v>42</v>
      </c>
      <c r="D7198" t="s">
        <v>31198</v>
      </c>
      <c r="E7198" t="e" cm="1">
        <f t="array" ref="E7198">- CLOPIDOGREL BISULFATE</f>
        <v>#NAME?</v>
      </c>
      <c r="F7198" t="s">
        <v>31199</v>
      </c>
      <c r="G7198" t="s">
        <v>30611</v>
      </c>
      <c r="H7198" t="s">
        <v>30612</v>
      </c>
      <c r="I7198" t="s">
        <v>30613</v>
      </c>
      <c r="J7198" t="s">
        <v>2100</v>
      </c>
      <c r="K7198" t="s">
        <v>30614</v>
      </c>
      <c r="L7198" t="s">
        <v>31200</v>
      </c>
      <c r="M7198" t="s">
        <v>46</v>
      </c>
      <c r="N7198" t="s">
        <v>2490</v>
      </c>
      <c r="O7198" t="s">
        <v>30616</v>
      </c>
      <c r="P7198" t="s">
        <v>31201</v>
      </c>
      <c r="Q7198" t="s">
        <v>33338</v>
      </c>
      <c r="R7198">
        <v>20</v>
      </c>
      <c r="S7198">
        <v>32</v>
      </c>
    </row>
    <row r="7199" spans="1:19" x14ac:dyDescent="0.35">
      <c r="A7199">
        <v>10026</v>
      </c>
      <c r="B7199" t="s">
        <v>33333</v>
      </c>
      <c r="C7199" t="s">
        <v>42</v>
      </c>
      <c r="D7199" t="s">
        <v>33334</v>
      </c>
      <c r="E7199" t="e" cm="1">
        <f t="array" ref="E7199">- CLOPIDOGREL BISULFATE</f>
        <v>#NAME?</v>
      </c>
      <c r="F7199" t="s">
        <v>33335</v>
      </c>
      <c r="G7199" t="s">
        <v>30611</v>
      </c>
      <c r="H7199" t="s">
        <v>30612</v>
      </c>
      <c r="I7199" t="s">
        <v>30613</v>
      </c>
      <c r="J7199" t="s">
        <v>2100</v>
      </c>
      <c r="K7199" t="s">
        <v>30614</v>
      </c>
      <c r="L7199" t="s">
        <v>31200</v>
      </c>
      <c r="M7199" t="s">
        <v>46</v>
      </c>
      <c r="N7199" t="s">
        <v>2490</v>
      </c>
      <c r="O7199" t="s">
        <v>30616</v>
      </c>
      <c r="P7199" t="s">
        <v>33336</v>
      </c>
      <c r="Q7199" t="s">
        <v>33337</v>
      </c>
      <c r="R7199">
        <v>20</v>
      </c>
      <c r="S7199">
        <v>32</v>
      </c>
    </row>
    <row r="7200" spans="1:19" x14ac:dyDescent="0.35">
      <c r="A7200">
        <v>2570</v>
      </c>
      <c r="B7200" t="s">
        <v>32807</v>
      </c>
      <c r="C7200" t="s">
        <v>42</v>
      </c>
      <c r="D7200" t="s">
        <v>32808</v>
      </c>
      <c r="E7200" t="e" cm="1">
        <f t="array" ref="E7200">- DICLOFENAC POTASSIUM</f>
        <v>#NAME?</v>
      </c>
      <c r="F7200" t="s">
        <v>32809</v>
      </c>
      <c r="H7200" t="s">
        <v>32810</v>
      </c>
      <c r="I7200" t="s">
        <v>32811</v>
      </c>
      <c r="J7200" t="s">
        <v>381</v>
      </c>
      <c r="M7200" t="s">
        <v>46</v>
      </c>
      <c r="N7200" t="s">
        <v>2637</v>
      </c>
      <c r="O7200" t="s">
        <v>32812</v>
      </c>
      <c r="P7200" t="s">
        <v>32813</v>
      </c>
      <c r="Q7200" t="s">
        <v>32814</v>
      </c>
      <c r="R7200">
        <v>20</v>
      </c>
      <c r="S7200">
        <v>32</v>
      </c>
    </row>
    <row r="7201" spans="1:19" x14ac:dyDescent="0.35">
      <c r="A7201">
        <v>1544</v>
      </c>
      <c r="B7201" t="s">
        <v>33339</v>
      </c>
      <c r="C7201" t="s">
        <v>42</v>
      </c>
      <c r="D7201" t="s">
        <v>33340</v>
      </c>
      <c r="E7201" t="e" cm="1">
        <f t="array" ref="E7201">- PHENYLEPHRINE HYDROCHLORIDE. CHLORPHENAMINE MALEATE</f>
        <v>#NAME?</v>
      </c>
      <c r="F7201" t="s">
        <v>4562</v>
      </c>
      <c r="G7201" t="s">
        <v>5746</v>
      </c>
      <c r="H7201" t="s">
        <v>33341</v>
      </c>
      <c r="I7201" t="s">
        <v>33342</v>
      </c>
      <c r="J7201" t="s">
        <v>945</v>
      </c>
      <c r="K7201" t="s">
        <v>33343</v>
      </c>
      <c r="L7201" t="s">
        <v>33344</v>
      </c>
      <c r="M7201" t="s">
        <v>271</v>
      </c>
      <c r="N7201" t="s">
        <v>33345</v>
      </c>
      <c r="O7201" t="s">
        <v>33346</v>
      </c>
      <c r="P7201" t="s">
        <v>33347</v>
      </c>
      <c r="Q7201" t="s">
        <v>33348</v>
      </c>
      <c r="R7201">
        <v>20</v>
      </c>
      <c r="S7201">
        <v>32</v>
      </c>
    </row>
    <row r="7202" spans="1:19" x14ac:dyDescent="0.35">
      <c r="A7202">
        <v>1795</v>
      </c>
      <c r="B7202" t="s">
        <v>13250</v>
      </c>
      <c r="C7202" t="s">
        <v>850</v>
      </c>
      <c r="D7202" t="s">
        <v>33349</v>
      </c>
      <c r="E7202" t="e" cm="1">
        <f t="array" ref="E7202">- Lemon Oil</f>
        <v>#NAME?</v>
      </c>
      <c r="F7202" t="s">
        <v>33350</v>
      </c>
      <c r="G7202" t="s">
        <v>33351</v>
      </c>
      <c r="I7202" t="s">
        <v>26152</v>
      </c>
      <c r="J7202" t="s">
        <v>5484</v>
      </c>
      <c r="L7202" t="s">
        <v>26154</v>
      </c>
      <c r="N7202" t="s">
        <v>13251</v>
      </c>
      <c r="O7202" t="s">
        <v>26155</v>
      </c>
      <c r="P7202" t="s">
        <v>33352</v>
      </c>
      <c r="Q7202" t="s">
        <v>33353</v>
      </c>
      <c r="R7202">
        <v>20</v>
      </c>
      <c r="S7202">
        <v>32</v>
      </c>
    </row>
    <row r="7203" spans="1:19" x14ac:dyDescent="0.35">
      <c r="A7203">
        <v>9986</v>
      </c>
      <c r="B7203" t="s">
        <v>33354</v>
      </c>
      <c r="C7203" t="s">
        <v>42</v>
      </c>
      <c r="D7203" t="s">
        <v>33355</v>
      </c>
      <c r="E7203" t="e" cm="1">
        <f t="array" ref="E7203">- CLOPIDOGREL BISULFATE</f>
        <v>#NAME?</v>
      </c>
      <c r="F7203" t="s">
        <v>33356</v>
      </c>
      <c r="G7203" t="s">
        <v>30611</v>
      </c>
      <c r="H7203" t="s">
        <v>33357</v>
      </c>
      <c r="I7203" t="s">
        <v>30613</v>
      </c>
      <c r="J7203" t="s">
        <v>45</v>
      </c>
      <c r="K7203" t="s">
        <v>30614</v>
      </c>
      <c r="L7203" t="s">
        <v>31200</v>
      </c>
      <c r="M7203" t="s">
        <v>46</v>
      </c>
      <c r="N7203" t="s">
        <v>2490</v>
      </c>
      <c r="O7203" t="s">
        <v>30616</v>
      </c>
      <c r="P7203" t="s">
        <v>33358</v>
      </c>
      <c r="Q7203" t="s">
        <v>33359</v>
      </c>
      <c r="R7203">
        <v>20</v>
      </c>
      <c r="S7203">
        <v>32</v>
      </c>
    </row>
    <row r="7204" spans="1:19" x14ac:dyDescent="0.35">
      <c r="A7204">
        <v>9189</v>
      </c>
      <c r="B7204" t="s">
        <v>33360</v>
      </c>
      <c r="C7204" t="s">
        <v>42</v>
      </c>
      <c r="D7204" t="s">
        <v>33361</v>
      </c>
      <c r="E7204" t="e" cm="1">
        <f t="array" ref="E7204">- IRBESARTAN</f>
        <v>#NAME?</v>
      </c>
      <c r="F7204" t="s">
        <v>33362</v>
      </c>
      <c r="G7204" t="s">
        <v>4469</v>
      </c>
      <c r="H7204" t="s">
        <v>33363</v>
      </c>
      <c r="I7204" t="s">
        <v>33364</v>
      </c>
      <c r="J7204" t="s">
        <v>3761</v>
      </c>
      <c r="K7204" t="s">
        <v>2919</v>
      </c>
      <c r="L7204" t="s">
        <v>33365</v>
      </c>
      <c r="M7204" t="s">
        <v>291</v>
      </c>
      <c r="N7204" t="s">
        <v>999</v>
      </c>
      <c r="O7204" t="s">
        <v>31464</v>
      </c>
      <c r="P7204" t="s">
        <v>9565</v>
      </c>
      <c r="Q7204" t="s">
        <v>33366</v>
      </c>
      <c r="R7204">
        <v>20</v>
      </c>
      <c r="S7204">
        <v>32</v>
      </c>
    </row>
    <row r="7205" spans="1:19" x14ac:dyDescent="0.35">
      <c r="A7205">
        <v>2533</v>
      </c>
      <c r="B7205" t="s">
        <v>33260</v>
      </c>
      <c r="C7205" t="s">
        <v>42</v>
      </c>
      <c r="D7205" t="s">
        <v>33261</v>
      </c>
      <c r="E7205" t="e" cm="1">
        <f t="array" ref="E7205">- PARACETAMOL</f>
        <v>#NAME?</v>
      </c>
      <c r="F7205" s="1">
        <v>5600</v>
      </c>
      <c r="G7205" t="s">
        <v>6869</v>
      </c>
      <c r="H7205" t="s">
        <v>33262</v>
      </c>
      <c r="I7205" t="s">
        <v>32224</v>
      </c>
      <c r="J7205" t="s">
        <v>727</v>
      </c>
      <c r="K7205" t="s">
        <v>33263</v>
      </c>
      <c r="L7205" t="s">
        <v>33264</v>
      </c>
      <c r="M7205" t="s">
        <v>291</v>
      </c>
      <c r="N7205" t="s">
        <v>584</v>
      </c>
      <c r="O7205" t="s">
        <v>32225</v>
      </c>
      <c r="P7205" t="s">
        <v>33265</v>
      </c>
      <c r="Q7205" t="s">
        <v>33266</v>
      </c>
      <c r="R7205">
        <v>20</v>
      </c>
      <c r="S7205">
        <v>32</v>
      </c>
    </row>
    <row r="7206" spans="1:19" x14ac:dyDescent="0.35">
      <c r="A7206">
        <v>10002</v>
      </c>
      <c r="B7206" t="s">
        <v>33367</v>
      </c>
      <c r="C7206" t="s">
        <v>42</v>
      </c>
      <c r="D7206" t="s">
        <v>33368</v>
      </c>
      <c r="E7206" t="e" cm="1">
        <f t="array" ref="E7206">- CLOPIDOGREL BISULFATE</f>
        <v>#NAME?</v>
      </c>
      <c r="F7206" t="s">
        <v>33369</v>
      </c>
      <c r="G7206" t="s">
        <v>30611</v>
      </c>
      <c r="H7206" t="s">
        <v>30612</v>
      </c>
      <c r="I7206" t="s">
        <v>30613</v>
      </c>
      <c r="J7206" t="s">
        <v>45</v>
      </c>
      <c r="K7206" t="s">
        <v>30614</v>
      </c>
      <c r="L7206" t="s">
        <v>31200</v>
      </c>
      <c r="M7206" t="s">
        <v>46</v>
      </c>
      <c r="N7206" t="s">
        <v>2490</v>
      </c>
      <c r="O7206" t="s">
        <v>30616</v>
      </c>
      <c r="P7206" t="s">
        <v>33370</v>
      </c>
      <c r="Q7206" t="s">
        <v>33371</v>
      </c>
      <c r="R7206">
        <v>20</v>
      </c>
      <c r="S7206">
        <v>32</v>
      </c>
    </row>
    <row r="7207" spans="1:19" x14ac:dyDescent="0.35">
      <c r="A7207">
        <v>9987</v>
      </c>
      <c r="B7207" t="s">
        <v>33354</v>
      </c>
      <c r="C7207" t="s">
        <v>42</v>
      </c>
      <c r="D7207" t="s">
        <v>33355</v>
      </c>
      <c r="E7207" t="e" cm="1">
        <f t="array" ref="E7207">- CLOPIDOGREL BISULFATE</f>
        <v>#NAME?</v>
      </c>
      <c r="F7207" t="s">
        <v>33356</v>
      </c>
      <c r="G7207" t="s">
        <v>30611</v>
      </c>
      <c r="H7207" t="s">
        <v>33357</v>
      </c>
      <c r="I7207" t="s">
        <v>30613</v>
      </c>
      <c r="J7207" t="s">
        <v>45</v>
      </c>
      <c r="K7207" t="s">
        <v>30614</v>
      </c>
      <c r="L7207" t="s">
        <v>31200</v>
      </c>
      <c r="M7207" t="s">
        <v>46</v>
      </c>
      <c r="N7207" t="s">
        <v>2490</v>
      </c>
      <c r="O7207" t="s">
        <v>30616</v>
      </c>
      <c r="P7207" t="s">
        <v>33358</v>
      </c>
      <c r="Q7207" t="s">
        <v>33359</v>
      </c>
      <c r="R7207">
        <v>20</v>
      </c>
      <c r="S7207">
        <v>32</v>
      </c>
    </row>
    <row r="7208" spans="1:19" x14ac:dyDescent="0.35">
      <c r="A7208">
        <v>2452</v>
      </c>
      <c r="B7208" t="s">
        <v>33372</v>
      </c>
      <c r="C7208" t="s">
        <v>42</v>
      </c>
      <c r="D7208" t="s">
        <v>33373</v>
      </c>
      <c r="E7208" t="e" cm="1">
        <f t="array" ref="E7208">- PARACETAMOL</f>
        <v>#NAME?</v>
      </c>
      <c r="F7208" t="s">
        <v>33374</v>
      </c>
      <c r="I7208" t="s">
        <v>32224</v>
      </c>
      <c r="J7208" t="s">
        <v>33375</v>
      </c>
      <c r="M7208" t="s">
        <v>46</v>
      </c>
      <c r="N7208" t="s">
        <v>584</v>
      </c>
      <c r="O7208" t="s">
        <v>32225</v>
      </c>
      <c r="P7208" t="s">
        <v>715</v>
      </c>
      <c r="Q7208" t="s">
        <v>33376</v>
      </c>
      <c r="R7208">
        <v>20</v>
      </c>
      <c r="S7208">
        <v>32</v>
      </c>
    </row>
    <row r="7209" spans="1:19" x14ac:dyDescent="0.35">
      <c r="A7209">
        <v>7071</v>
      </c>
      <c r="B7209" t="s">
        <v>1803</v>
      </c>
      <c r="C7209" t="s">
        <v>42</v>
      </c>
      <c r="D7209" t="s">
        <v>33377</v>
      </c>
      <c r="E7209" t="e" cm="1">
        <f t="array" ref="E7209">- TIZANIDINE HYDROCHLORIDE</f>
        <v>#NAME?</v>
      </c>
      <c r="F7209" s="1">
        <v>27900</v>
      </c>
      <c r="G7209" t="s">
        <v>33241</v>
      </c>
      <c r="H7209" t="s">
        <v>1322</v>
      </c>
      <c r="I7209" t="s">
        <v>33242</v>
      </c>
      <c r="J7209" t="s">
        <v>33378</v>
      </c>
      <c r="L7209" t="s">
        <v>33244</v>
      </c>
      <c r="M7209" t="s">
        <v>46</v>
      </c>
      <c r="N7209" t="s">
        <v>1806</v>
      </c>
      <c r="O7209" t="s">
        <v>33245</v>
      </c>
      <c r="P7209" t="s">
        <v>33246</v>
      </c>
      <c r="Q7209" t="s">
        <v>33247</v>
      </c>
      <c r="R7209">
        <v>20</v>
      </c>
      <c r="S7209">
        <v>32</v>
      </c>
    </row>
    <row r="7210" spans="1:19" x14ac:dyDescent="0.35">
      <c r="A7210">
        <v>308</v>
      </c>
      <c r="B7210" t="s">
        <v>33379</v>
      </c>
      <c r="C7210" t="s">
        <v>42</v>
      </c>
      <c r="D7210" t="s">
        <v>33380</v>
      </c>
      <c r="E7210" t="e" cm="1">
        <f t="array" ref="E7210">- MEGESTROL ACETATE</f>
        <v>#NAME?</v>
      </c>
      <c r="F7210" s="1">
        <v>352000</v>
      </c>
      <c r="G7210" t="s">
        <v>33381</v>
      </c>
      <c r="H7210" t="s">
        <v>33382</v>
      </c>
    </row>
    <row r="7211" spans="1:19" x14ac:dyDescent="0.35">
      <c r="A7211">
        <v>9759</v>
      </c>
      <c r="B7211" t="s">
        <v>33383</v>
      </c>
      <c r="C7211" t="s">
        <v>42</v>
      </c>
      <c r="D7211" t="s">
        <v>33384</v>
      </c>
      <c r="E7211" t="e" cm="1">
        <f t="array" ref="E7211">- FENOFIBRATE</f>
        <v>#NAME?</v>
      </c>
      <c r="F7211" t="s">
        <v>33385</v>
      </c>
      <c r="G7211" t="s">
        <v>30790</v>
      </c>
      <c r="H7211" t="s">
        <v>33011</v>
      </c>
      <c r="I7211" t="s">
        <v>30792</v>
      </c>
      <c r="J7211" t="s">
        <v>4547</v>
      </c>
      <c r="K7211" t="s">
        <v>30794</v>
      </c>
      <c r="L7211" t="s">
        <v>30795</v>
      </c>
      <c r="M7211" t="s">
        <v>38</v>
      </c>
      <c r="N7211" t="s">
        <v>1137</v>
      </c>
      <c r="O7211" t="s">
        <v>30796</v>
      </c>
      <c r="P7211" t="s">
        <v>33386</v>
      </c>
      <c r="Q7211" t="s">
        <v>33387</v>
      </c>
      <c r="R7211">
        <v>21</v>
      </c>
      <c r="S7211">
        <v>32</v>
      </c>
    </row>
    <row r="7212" spans="1:19" x14ac:dyDescent="0.35">
      <c r="A7212">
        <v>309</v>
      </c>
      <c r="B7212" t="s">
        <v>33379</v>
      </c>
      <c r="C7212" t="s">
        <v>42</v>
      </c>
      <c r="D7212" t="s">
        <v>33380</v>
      </c>
      <c r="E7212" t="e" cm="1">
        <f t="array" ref="E7212">- MEGESTROL ACETATE</f>
        <v>#NAME?</v>
      </c>
      <c r="F7212" s="1">
        <v>352000</v>
      </c>
      <c r="G7212" t="s">
        <v>33381</v>
      </c>
      <c r="H7212" t="s">
        <v>33382</v>
      </c>
    </row>
    <row r="7213" spans="1:19" x14ac:dyDescent="0.35">
      <c r="A7213">
        <v>9760</v>
      </c>
      <c r="B7213" t="s">
        <v>33388</v>
      </c>
      <c r="C7213" t="s">
        <v>42</v>
      </c>
      <c r="D7213" t="s">
        <v>33389</v>
      </c>
      <c r="E7213" t="e" cm="1">
        <f t="array" ref="E7213">- FENOFIBRATE</f>
        <v>#NAME?</v>
      </c>
      <c r="F7213" t="s">
        <v>33390</v>
      </c>
      <c r="G7213" t="s">
        <v>30790</v>
      </c>
      <c r="H7213" t="s">
        <v>33011</v>
      </c>
      <c r="I7213" t="s">
        <v>30792</v>
      </c>
      <c r="J7213" t="s">
        <v>4547</v>
      </c>
      <c r="K7213" t="s">
        <v>30794</v>
      </c>
      <c r="L7213" t="s">
        <v>30795</v>
      </c>
      <c r="M7213" t="s">
        <v>38</v>
      </c>
      <c r="N7213" t="s">
        <v>1137</v>
      </c>
      <c r="O7213" t="s">
        <v>30796</v>
      </c>
      <c r="P7213" t="s">
        <v>33386</v>
      </c>
      <c r="Q7213" t="s">
        <v>33387</v>
      </c>
      <c r="R7213">
        <v>21</v>
      </c>
      <c r="S7213">
        <v>32</v>
      </c>
    </row>
    <row r="7214" spans="1:19" x14ac:dyDescent="0.35">
      <c r="A7214">
        <v>310</v>
      </c>
      <c r="B7214" t="s">
        <v>33379</v>
      </c>
      <c r="C7214" t="s">
        <v>42</v>
      </c>
      <c r="D7214" t="s">
        <v>33380</v>
      </c>
      <c r="E7214" t="e" cm="1">
        <f t="array" ref="E7214">- MEGESTROL ACETATE</f>
        <v>#NAME?</v>
      </c>
      <c r="F7214" s="1">
        <v>352000</v>
      </c>
      <c r="G7214" t="s">
        <v>33381</v>
      </c>
      <c r="H7214" t="s">
        <v>33382</v>
      </c>
    </row>
    <row r="7215" spans="1:19" x14ac:dyDescent="0.35">
      <c r="A7215">
        <v>311</v>
      </c>
      <c r="B7215" t="s">
        <v>33379</v>
      </c>
      <c r="C7215" t="s">
        <v>42</v>
      </c>
      <c r="D7215" t="s">
        <v>33380</v>
      </c>
      <c r="E7215" t="e" cm="1">
        <f t="array" ref="E7215">- MEGESTROL ACETATE</f>
        <v>#NAME?</v>
      </c>
      <c r="F7215" s="1">
        <v>352000</v>
      </c>
      <c r="G7215" t="s">
        <v>33381</v>
      </c>
      <c r="H7215" t="s">
        <v>33382</v>
      </c>
    </row>
    <row r="7216" spans="1:19" x14ac:dyDescent="0.35">
      <c r="A7216">
        <v>9761</v>
      </c>
      <c r="B7216" t="s">
        <v>33388</v>
      </c>
      <c r="C7216" t="s">
        <v>42</v>
      </c>
      <c r="D7216" t="s">
        <v>33389</v>
      </c>
      <c r="E7216" t="e" cm="1">
        <f t="array" ref="E7216">- FENOFIBRATE</f>
        <v>#NAME?</v>
      </c>
      <c r="F7216" t="s">
        <v>33390</v>
      </c>
      <c r="G7216" t="s">
        <v>30790</v>
      </c>
      <c r="H7216" t="s">
        <v>33011</v>
      </c>
      <c r="I7216" t="s">
        <v>30792</v>
      </c>
      <c r="J7216" t="s">
        <v>4547</v>
      </c>
      <c r="K7216" t="s">
        <v>30794</v>
      </c>
      <c r="L7216" t="s">
        <v>30795</v>
      </c>
      <c r="M7216" t="s">
        <v>38</v>
      </c>
      <c r="N7216" t="s">
        <v>1137</v>
      </c>
      <c r="O7216" t="s">
        <v>30796</v>
      </c>
      <c r="P7216" t="s">
        <v>33386</v>
      </c>
      <c r="Q7216" t="s">
        <v>33387</v>
      </c>
      <c r="R7216">
        <v>21</v>
      </c>
      <c r="S7216">
        <v>32</v>
      </c>
    </row>
    <row r="7217" spans="1:19" x14ac:dyDescent="0.35">
      <c r="A7217">
        <v>1337</v>
      </c>
      <c r="B7217" t="s">
        <v>33391</v>
      </c>
      <c r="C7217" t="s">
        <v>42</v>
      </c>
      <c r="D7217" t="s">
        <v>33392</v>
      </c>
      <c r="E7217" t="e" cm="1">
        <f t="array" ref="E7217">- PARACETAMOL. PHENYLEPHRINE HYDROCHLORIDE. GUAIFENESIN</f>
        <v>#NAME?</v>
      </c>
      <c r="F7217" t="s">
        <v>33393</v>
      </c>
      <c r="G7217" t="s">
        <v>2241</v>
      </c>
      <c r="H7217" t="s">
        <v>33394</v>
      </c>
      <c r="I7217" t="s">
        <v>33395</v>
      </c>
      <c r="J7217" t="s">
        <v>727</v>
      </c>
      <c r="L7217" t="s">
        <v>33396</v>
      </c>
      <c r="M7217" t="s">
        <v>291</v>
      </c>
      <c r="N7217" t="s">
        <v>33397</v>
      </c>
      <c r="O7217" t="s">
        <v>33398</v>
      </c>
      <c r="P7217" t="s">
        <v>33399</v>
      </c>
      <c r="Q7217" t="s">
        <v>33400</v>
      </c>
      <c r="R7217">
        <v>21</v>
      </c>
      <c r="S7217">
        <v>32</v>
      </c>
    </row>
    <row r="7218" spans="1:19" x14ac:dyDescent="0.35">
      <c r="A7218">
        <v>307</v>
      </c>
      <c r="B7218" t="s">
        <v>33379</v>
      </c>
      <c r="C7218" t="s">
        <v>42</v>
      </c>
      <c r="D7218" t="s">
        <v>33401</v>
      </c>
      <c r="E7218" t="e" cm="1">
        <f t="array" ref="E7218">- MEGESTROL ACETATE</f>
        <v>#NAME?</v>
      </c>
      <c r="F7218" t="s">
        <v>33402</v>
      </c>
      <c r="G7218" t="s">
        <v>6650</v>
      </c>
      <c r="H7218" t="s">
        <v>33382</v>
      </c>
    </row>
    <row r="7219" spans="1:19" x14ac:dyDescent="0.35">
      <c r="A7219">
        <v>9758</v>
      </c>
      <c r="B7219" t="s">
        <v>33383</v>
      </c>
      <c r="C7219" t="s">
        <v>42</v>
      </c>
      <c r="D7219" t="s">
        <v>33384</v>
      </c>
      <c r="E7219" t="e" cm="1">
        <f t="array" ref="E7219">- FENOFIBRATE</f>
        <v>#NAME?</v>
      </c>
      <c r="F7219" t="s">
        <v>33385</v>
      </c>
      <c r="G7219" t="s">
        <v>30790</v>
      </c>
      <c r="H7219" t="s">
        <v>33011</v>
      </c>
      <c r="I7219" t="s">
        <v>30792</v>
      </c>
      <c r="J7219" t="s">
        <v>4547</v>
      </c>
      <c r="K7219" t="s">
        <v>30794</v>
      </c>
      <c r="L7219" t="s">
        <v>30795</v>
      </c>
      <c r="M7219" t="s">
        <v>38</v>
      </c>
      <c r="N7219" t="s">
        <v>1137</v>
      </c>
      <c r="O7219" t="s">
        <v>30796</v>
      </c>
      <c r="P7219" t="s">
        <v>33386</v>
      </c>
      <c r="Q7219" t="s">
        <v>33387</v>
      </c>
      <c r="R7219">
        <v>21</v>
      </c>
      <c r="S7219">
        <v>32</v>
      </c>
    </row>
    <row r="7220" spans="1:19" x14ac:dyDescent="0.35">
      <c r="A7220">
        <v>3714</v>
      </c>
      <c r="B7220" t="s">
        <v>20224</v>
      </c>
      <c r="C7220" t="s">
        <v>42</v>
      </c>
      <c r="D7220" t="s">
        <v>20225</v>
      </c>
      <c r="E7220" t="e" cm="1">
        <f t="array" ref="E7220">- DEXTROSE MONOHYDRATE. SODIUM CHLORIDE. SODIUM CITRATE DIHYDRATE. POTASSIUM CITRATE MONOHYDRATE</f>
        <v>#NAME?</v>
      </c>
      <c r="F7220" t="s">
        <v>20226</v>
      </c>
      <c r="G7220" t="s">
        <v>6310</v>
      </c>
      <c r="H7220" t="s">
        <v>20227</v>
      </c>
      <c r="I7220" t="s">
        <v>20228</v>
      </c>
      <c r="J7220" t="s">
        <v>20229</v>
      </c>
      <c r="K7220" t="s">
        <v>20230</v>
      </c>
      <c r="L7220" t="s">
        <v>20231</v>
      </c>
      <c r="M7220" t="s">
        <v>8254</v>
      </c>
      <c r="N7220" t="s">
        <v>33403</v>
      </c>
      <c r="O7220" t="s">
        <v>20233</v>
      </c>
      <c r="P7220" t="s">
        <v>20234</v>
      </c>
      <c r="Q7220" t="s">
        <v>33404</v>
      </c>
      <c r="R7220">
        <v>21</v>
      </c>
      <c r="S7220">
        <v>32</v>
      </c>
    </row>
    <row r="7221" spans="1:19" x14ac:dyDescent="0.35">
      <c r="A7221">
        <v>9787</v>
      </c>
      <c r="B7221" t="s">
        <v>33405</v>
      </c>
      <c r="C7221" t="s">
        <v>42</v>
      </c>
      <c r="D7221" t="s">
        <v>33406</v>
      </c>
      <c r="E7221" t="e" cm="1">
        <f t="array" ref="E7221">- FENOFIBRATE</f>
        <v>#NAME?</v>
      </c>
      <c r="F7221" t="s">
        <v>33407</v>
      </c>
      <c r="G7221" t="s">
        <v>30790</v>
      </c>
      <c r="H7221" t="s">
        <v>33011</v>
      </c>
      <c r="I7221" t="s">
        <v>30792</v>
      </c>
      <c r="J7221" t="s">
        <v>14600</v>
      </c>
      <c r="K7221" t="s">
        <v>30794</v>
      </c>
      <c r="L7221" t="s">
        <v>30795</v>
      </c>
      <c r="M7221" t="s">
        <v>38</v>
      </c>
      <c r="N7221" t="s">
        <v>1137</v>
      </c>
      <c r="O7221" t="s">
        <v>30796</v>
      </c>
      <c r="P7221" t="s">
        <v>33408</v>
      </c>
      <c r="Q7221" t="s">
        <v>33409</v>
      </c>
      <c r="R7221">
        <v>21</v>
      </c>
      <c r="S7221">
        <v>32</v>
      </c>
    </row>
    <row r="7222" spans="1:19" x14ac:dyDescent="0.35">
      <c r="A7222">
        <v>744</v>
      </c>
      <c r="B7222" t="s">
        <v>33410</v>
      </c>
      <c r="C7222" t="s">
        <v>42</v>
      </c>
      <c r="D7222" t="s">
        <v>33411</v>
      </c>
      <c r="E7222" t="e" cm="1">
        <f t="array" ref="E7222">- SODIUM CHLORIDE</f>
        <v>#NAME?</v>
      </c>
      <c r="F7222" t="s">
        <v>33412</v>
      </c>
      <c r="G7222" t="s">
        <v>33413</v>
      </c>
      <c r="H7222" t="s">
        <v>33414</v>
      </c>
      <c r="I7222" t="s">
        <v>33415</v>
      </c>
      <c r="J7222" t="s">
        <v>829</v>
      </c>
      <c r="K7222" t="s">
        <v>2726</v>
      </c>
      <c r="L7222" t="s">
        <v>33416</v>
      </c>
      <c r="M7222" t="s">
        <v>3453</v>
      </c>
      <c r="N7222" t="s">
        <v>24970</v>
      </c>
      <c r="O7222" t="s">
        <v>33417</v>
      </c>
      <c r="P7222" t="s">
        <v>33418</v>
      </c>
      <c r="Q7222" t="s">
        <v>33419</v>
      </c>
      <c r="R7222">
        <v>21</v>
      </c>
      <c r="S7222">
        <v>32</v>
      </c>
    </row>
    <row r="7223" spans="1:19" x14ac:dyDescent="0.35">
      <c r="A7223">
        <v>7457</v>
      </c>
      <c r="B7223" t="s">
        <v>33420</v>
      </c>
      <c r="C7223" t="s">
        <v>20</v>
      </c>
      <c r="D7223" t="s">
        <v>33421</v>
      </c>
      <c r="E7223" t="s">
        <v>33422</v>
      </c>
      <c r="F7223" t="s">
        <v>33423</v>
      </c>
      <c r="H7223" t="s">
        <v>1322</v>
      </c>
      <c r="I7223" t="s">
        <v>33424</v>
      </c>
      <c r="J7223" t="s">
        <v>23748</v>
      </c>
      <c r="M7223" t="s">
        <v>1289</v>
      </c>
      <c r="N7223" t="s">
        <v>33425</v>
      </c>
      <c r="O7223" t="s">
        <v>33426</v>
      </c>
      <c r="P7223" t="s">
        <v>33425</v>
      </c>
      <c r="Q7223" t="s">
        <v>33427</v>
      </c>
      <c r="R7223">
        <v>21</v>
      </c>
      <c r="S7223">
        <v>32</v>
      </c>
    </row>
    <row r="7224" spans="1:19" x14ac:dyDescent="0.35">
      <c r="A7224">
        <v>743</v>
      </c>
      <c r="B7224" t="s">
        <v>33428</v>
      </c>
      <c r="C7224" t="s">
        <v>42</v>
      </c>
      <c r="D7224" t="s">
        <v>33429</v>
      </c>
      <c r="E7224" t="e" cm="1">
        <f t="array" ref="E7224">- SODIUM CHLORIDE</f>
        <v>#NAME?</v>
      </c>
      <c r="F7224" t="s">
        <v>33430</v>
      </c>
      <c r="G7224" t="s">
        <v>33431</v>
      </c>
      <c r="H7224" t="s">
        <v>33432</v>
      </c>
      <c r="I7224" t="s">
        <v>33433</v>
      </c>
      <c r="J7224" t="s">
        <v>829</v>
      </c>
      <c r="K7224" t="s">
        <v>2858</v>
      </c>
      <c r="L7224" t="s">
        <v>33434</v>
      </c>
      <c r="M7224" t="s">
        <v>824</v>
      </c>
      <c r="N7224" t="s">
        <v>24970</v>
      </c>
      <c r="O7224" t="s">
        <v>33435</v>
      </c>
      <c r="P7224" t="s">
        <v>33436</v>
      </c>
      <c r="Q7224" t="s">
        <v>33437</v>
      </c>
      <c r="R7224">
        <v>21</v>
      </c>
      <c r="S7224">
        <v>32</v>
      </c>
    </row>
    <row r="7225" spans="1:19" x14ac:dyDescent="0.35">
      <c r="A7225">
        <v>917</v>
      </c>
      <c r="B7225" t="s">
        <v>33438</v>
      </c>
      <c r="C7225" t="s">
        <v>42</v>
      </c>
      <c r="D7225" t="s">
        <v>33439</v>
      </c>
      <c r="E7225" t="e" cm="1">
        <f t="array" ref="E7225">- GUAIFENESIN</f>
        <v>#NAME?</v>
      </c>
      <c r="F7225" t="s">
        <v>16086</v>
      </c>
      <c r="G7225" t="s">
        <v>1691</v>
      </c>
      <c r="H7225" t="s">
        <v>33440</v>
      </c>
      <c r="I7225" t="s">
        <v>33441</v>
      </c>
      <c r="J7225" t="s">
        <v>21381</v>
      </c>
      <c r="K7225" t="s">
        <v>24475</v>
      </c>
      <c r="L7225" t="s">
        <v>33442</v>
      </c>
      <c r="M7225" t="s">
        <v>291</v>
      </c>
      <c r="N7225" t="s">
        <v>361</v>
      </c>
      <c r="O7225" t="s">
        <v>33443</v>
      </c>
      <c r="P7225" t="s">
        <v>25154</v>
      </c>
      <c r="Q7225" t="s">
        <v>33444</v>
      </c>
      <c r="R7225">
        <v>21</v>
      </c>
      <c r="S7225">
        <v>32</v>
      </c>
    </row>
    <row r="7226" spans="1:19" x14ac:dyDescent="0.35">
      <c r="A7226">
        <v>9798</v>
      </c>
      <c r="B7226" t="s">
        <v>33445</v>
      </c>
      <c r="C7226" t="s">
        <v>42</v>
      </c>
      <c r="D7226" t="s">
        <v>33446</v>
      </c>
      <c r="E7226" t="e" cm="1">
        <f t="array" ref="E7226">- SIMVASTATIN</f>
        <v>#NAME?</v>
      </c>
      <c r="F7226" t="s">
        <v>33447</v>
      </c>
      <c r="G7226" t="s">
        <v>33448</v>
      </c>
      <c r="H7226" t="s">
        <v>12709</v>
      </c>
      <c r="I7226" t="s">
        <v>33449</v>
      </c>
      <c r="J7226" t="s">
        <v>2928</v>
      </c>
      <c r="K7226" t="s">
        <v>17536</v>
      </c>
      <c r="L7226" t="s">
        <v>33450</v>
      </c>
      <c r="M7226" t="s">
        <v>291</v>
      </c>
      <c r="N7226" t="s">
        <v>1150</v>
      </c>
      <c r="O7226" t="s">
        <v>33451</v>
      </c>
      <c r="P7226" t="s">
        <v>33452</v>
      </c>
      <c r="Q7226" t="s">
        <v>33453</v>
      </c>
      <c r="R7226">
        <v>21</v>
      </c>
      <c r="S7226">
        <v>32</v>
      </c>
    </row>
    <row r="7227" spans="1:19" x14ac:dyDescent="0.35">
      <c r="A7227">
        <v>9797</v>
      </c>
      <c r="B7227" t="s">
        <v>33454</v>
      </c>
      <c r="C7227" t="s">
        <v>42</v>
      </c>
      <c r="D7227" t="s">
        <v>33455</v>
      </c>
      <c r="E7227" t="e" cm="1">
        <f t="array" ref="E7227">- SIMVASTATIN</f>
        <v>#NAME?</v>
      </c>
      <c r="F7227" t="s">
        <v>33456</v>
      </c>
      <c r="G7227" t="s">
        <v>33448</v>
      </c>
      <c r="H7227" t="s">
        <v>12709</v>
      </c>
      <c r="I7227" t="s">
        <v>33457</v>
      </c>
      <c r="J7227" t="s">
        <v>2928</v>
      </c>
      <c r="K7227" t="s">
        <v>17536</v>
      </c>
      <c r="L7227" t="s">
        <v>33458</v>
      </c>
      <c r="M7227" t="s">
        <v>291</v>
      </c>
      <c r="N7227" t="s">
        <v>1150</v>
      </c>
      <c r="O7227" t="s">
        <v>33451</v>
      </c>
      <c r="P7227" t="s">
        <v>33452</v>
      </c>
      <c r="Q7227" t="s">
        <v>33453</v>
      </c>
      <c r="R7227">
        <v>21</v>
      </c>
      <c r="S7227">
        <v>32</v>
      </c>
    </row>
    <row r="7228" spans="1:19" x14ac:dyDescent="0.35">
      <c r="A7228">
        <v>1288</v>
      </c>
      <c r="B7228" t="s">
        <v>22396</v>
      </c>
      <c r="C7228" t="s">
        <v>42</v>
      </c>
      <c r="D7228" t="s">
        <v>33459</v>
      </c>
      <c r="E7228" t="e" cm="1">
        <f t="array" ref="E7228">- DIPHENHYDRAMINE HYDROCHLORIDE. DEXTROMETHORPHAN HYDROBROMIDE. PHENYLEPHRINE HYDROCHLORIDE. AMMONIUM CHLORIDE. SODIUM CITRATE DIHYDRATE</f>
        <v>#NAME?</v>
      </c>
      <c r="F7228" t="s">
        <v>33460</v>
      </c>
      <c r="G7228" t="s">
        <v>3970</v>
      </c>
      <c r="H7228" t="s">
        <v>33461</v>
      </c>
      <c r="I7228" t="s">
        <v>33462</v>
      </c>
      <c r="J7228" t="s">
        <v>22540</v>
      </c>
      <c r="K7228" t="s">
        <v>33463</v>
      </c>
      <c r="L7228" t="s">
        <v>33464</v>
      </c>
      <c r="M7228" t="s">
        <v>271</v>
      </c>
      <c r="N7228" t="s">
        <v>22399</v>
      </c>
      <c r="O7228" t="s">
        <v>33465</v>
      </c>
      <c r="P7228" t="s">
        <v>22400</v>
      </c>
      <c r="Q7228" t="s">
        <v>33466</v>
      </c>
      <c r="R7228">
        <v>21</v>
      </c>
      <c r="S7228">
        <v>32</v>
      </c>
    </row>
    <row r="7229" spans="1:19" x14ac:dyDescent="0.35">
      <c r="A7229">
        <v>9796</v>
      </c>
      <c r="B7229" t="s">
        <v>33454</v>
      </c>
      <c r="C7229" t="s">
        <v>42</v>
      </c>
      <c r="D7229" t="s">
        <v>33455</v>
      </c>
      <c r="E7229" t="e" cm="1">
        <f t="array" ref="E7229">- SIMVASTATIN</f>
        <v>#NAME?</v>
      </c>
      <c r="F7229" t="s">
        <v>33456</v>
      </c>
      <c r="G7229" t="s">
        <v>33448</v>
      </c>
      <c r="H7229" t="s">
        <v>12709</v>
      </c>
      <c r="I7229" t="s">
        <v>33457</v>
      </c>
      <c r="J7229" t="s">
        <v>2928</v>
      </c>
      <c r="K7229" t="s">
        <v>17536</v>
      </c>
      <c r="L7229" t="s">
        <v>33458</v>
      </c>
      <c r="M7229" t="s">
        <v>291</v>
      </c>
      <c r="N7229" t="s">
        <v>1150</v>
      </c>
      <c r="O7229" t="s">
        <v>33451</v>
      </c>
      <c r="P7229" t="s">
        <v>33452</v>
      </c>
      <c r="Q7229" t="s">
        <v>33453</v>
      </c>
      <c r="R7229">
        <v>21</v>
      </c>
      <c r="S7229">
        <v>32</v>
      </c>
    </row>
    <row r="7230" spans="1:19" x14ac:dyDescent="0.35">
      <c r="A7230">
        <v>918</v>
      </c>
      <c r="B7230" t="s">
        <v>33438</v>
      </c>
      <c r="C7230" t="s">
        <v>42</v>
      </c>
      <c r="D7230" t="s">
        <v>33439</v>
      </c>
      <c r="E7230" t="e" cm="1">
        <f t="array" ref="E7230">- GUAIFENESIN</f>
        <v>#NAME?</v>
      </c>
      <c r="F7230" t="s">
        <v>16086</v>
      </c>
      <c r="G7230" t="s">
        <v>1691</v>
      </c>
      <c r="H7230" t="s">
        <v>33440</v>
      </c>
      <c r="I7230" t="s">
        <v>33441</v>
      </c>
      <c r="J7230" t="s">
        <v>21381</v>
      </c>
      <c r="K7230" t="s">
        <v>24475</v>
      </c>
      <c r="L7230" t="s">
        <v>33442</v>
      </c>
      <c r="M7230" t="s">
        <v>291</v>
      </c>
      <c r="N7230" t="s">
        <v>361</v>
      </c>
      <c r="O7230" t="s">
        <v>33443</v>
      </c>
      <c r="P7230" t="s">
        <v>25154</v>
      </c>
      <c r="Q7230" t="s">
        <v>33444</v>
      </c>
      <c r="R7230">
        <v>21</v>
      </c>
      <c r="S7230">
        <v>32</v>
      </c>
    </row>
    <row r="7231" spans="1:19" x14ac:dyDescent="0.35">
      <c r="A7231">
        <v>742</v>
      </c>
      <c r="B7231" t="s">
        <v>33428</v>
      </c>
      <c r="C7231" t="s">
        <v>42</v>
      </c>
      <c r="D7231" t="s">
        <v>33429</v>
      </c>
      <c r="E7231" t="e" cm="1">
        <f t="array" ref="E7231">- SODIUM CHLORIDE</f>
        <v>#NAME?</v>
      </c>
      <c r="F7231" t="s">
        <v>33430</v>
      </c>
      <c r="G7231" t="s">
        <v>33431</v>
      </c>
      <c r="H7231" t="s">
        <v>33432</v>
      </c>
      <c r="I7231" t="s">
        <v>33433</v>
      </c>
      <c r="J7231" t="s">
        <v>829</v>
      </c>
      <c r="K7231" t="s">
        <v>2858</v>
      </c>
      <c r="L7231" t="s">
        <v>33434</v>
      </c>
      <c r="M7231" t="s">
        <v>824</v>
      </c>
      <c r="N7231" t="s">
        <v>24970</v>
      </c>
      <c r="O7231" t="s">
        <v>33435</v>
      </c>
      <c r="P7231" t="s">
        <v>33436</v>
      </c>
      <c r="Q7231" t="s">
        <v>33437</v>
      </c>
      <c r="R7231">
        <v>21</v>
      </c>
      <c r="S7231">
        <v>32</v>
      </c>
    </row>
    <row r="7232" spans="1:19" x14ac:dyDescent="0.35">
      <c r="A7232">
        <v>2076</v>
      </c>
      <c r="B7232" t="s">
        <v>33467</v>
      </c>
      <c r="C7232" t="s">
        <v>42</v>
      </c>
      <c r="D7232" t="s">
        <v>33468</v>
      </c>
      <c r="E7232" t="e" cm="1">
        <f t="array" ref="E7232">- MEFENAMIC ACID</f>
        <v>#NAME?</v>
      </c>
      <c r="F7232" t="s">
        <v>3555</v>
      </c>
      <c r="G7232" t="s">
        <v>2241</v>
      </c>
      <c r="H7232" t="s">
        <v>33469</v>
      </c>
      <c r="I7232" t="s">
        <v>33470</v>
      </c>
      <c r="J7232" t="s">
        <v>515</v>
      </c>
      <c r="K7232" t="s">
        <v>33471</v>
      </c>
      <c r="L7232" t="s">
        <v>33472</v>
      </c>
      <c r="M7232" t="s">
        <v>291</v>
      </c>
      <c r="N7232" t="s">
        <v>2235</v>
      </c>
      <c r="O7232" t="s">
        <v>33473</v>
      </c>
      <c r="P7232" t="s">
        <v>33474</v>
      </c>
      <c r="Q7232" t="s">
        <v>33475</v>
      </c>
      <c r="R7232">
        <v>21</v>
      </c>
      <c r="S7232">
        <v>32</v>
      </c>
    </row>
    <row r="7233" spans="1:19" x14ac:dyDescent="0.35">
      <c r="A7233">
        <v>2077</v>
      </c>
      <c r="B7233" t="s">
        <v>33467</v>
      </c>
      <c r="C7233" t="s">
        <v>42</v>
      </c>
      <c r="D7233" t="s">
        <v>33468</v>
      </c>
      <c r="E7233" t="e" cm="1">
        <f t="array" ref="E7233">- MEFENAMIC ACID</f>
        <v>#NAME?</v>
      </c>
      <c r="F7233" t="s">
        <v>3555</v>
      </c>
      <c r="G7233" t="s">
        <v>2241</v>
      </c>
      <c r="H7233" t="s">
        <v>33469</v>
      </c>
      <c r="I7233" t="s">
        <v>33470</v>
      </c>
      <c r="J7233" t="s">
        <v>515</v>
      </c>
      <c r="K7233" t="s">
        <v>33471</v>
      </c>
      <c r="L7233" t="s">
        <v>33472</v>
      </c>
      <c r="M7233" t="s">
        <v>291</v>
      </c>
      <c r="N7233" t="s">
        <v>2235</v>
      </c>
      <c r="O7233" t="s">
        <v>33473</v>
      </c>
      <c r="P7233" t="s">
        <v>33474</v>
      </c>
      <c r="Q7233" t="s">
        <v>33475</v>
      </c>
      <c r="R7233">
        <v>21</v>
      </c>
      <c r="S7233">
        <v>32</v>
      </c>
    </row>
    <row r="7234" spans="1:19" x14ac:dyDescent="0.35">
      <c r="A7234">
        <v>9790</v>
      </c>
      <c r="B7234" t="s">
        <v>33405</v>
      </c>
      <c r="C7234" t="s">
        <v>42</v>
      </c>
      <c r="D7234" t="s">
        <v>33406</v>
      </c>
      <c r="E7234" t="e" cm="1">
        <f t="array" ref="E7234">- FENOFIBRATE</f>
        <v>#NAME?</v>
      </c>
      <c r="F7234" t="s">
        <v>33407</v>
      </c>
      <c r="G7234" t="s">
        <v>30790</v>
      </c>
      <c r="H7234" t="s">
        <v>33011</v>
      </c>
      <c r="I7234" t="s">
        <v>30792</v>
      </c>
      <c r="J7234" t="s">
        <v>14600</v>
      </c>
      <c r="K7234" t="s">
        <v>30794</v>
      </c>
      <c r="L7234" t="s">
        <v>30795</v>
      </c>
      <c r="M7234" t="s">
        <v>38</v>
      </c>
      <c r="N7234" t="s">
        <v>1137</v>
      </c>
      <c r="O7234" t="s">
        <v>30796</v>
      </c>
      <c r="P7234" t="s">
        <v>33408</v>
      </c>
      <c r="Q7234" t="s">
        <v>33409</v>
      </c>
      <c r="R7234">
        <v>21</v>
      </c>
      <c r="S7234">
        <v>32</v>
      </c>
    </row>
    <row r="7235" spans="1:19" x14ac:dyDescent="0.35">
      <c r="A7235">
        <v>9789</v>
      </c>
      <c r="B7235" t="s">
        <v>33405</v>
      </c>
      <c r="C7235" t="s">
        <v>42</v>
      </c>
      <c r="D7235" t="s">
        <v>33406</v>
      </c>
      <c r="E7235" t="e" cm="1">
        <f t="array" ref="E7235">- FENOFIBRATE</f>
        <v>#NAME?</v>
      </c>
      <c r="F7235" t="s">
        <v>33407</v>
      </c>
      <c r="G7235" t="s">
        <v>30790</v>
      </c>
      <c r="H7235" t="s">
        <v>33011</v>
      </c>
      <c r="I7235" t="s">
        <v>30792</v>
      </c>
      <c r="J7235" t="s">
        <v>14600</v>
      </c>
      <c r="K7235" t="s">
        <v>30794</v>
      </c>
      <c r="L7235" t="s">
        <v>30795</v>
      </c>
      <c r="M7235" t="s">
        <v>38</v>
      </c>
      <c r="N7235" t="s">
        <v>1137</v>
      </c>
      <c r="O7235" t="s">
        <v>30796</v>
      </c>
      <c r="P7235" t="s">
        <v>33408</v>
      </c>
      <c r="Q7235" t="s">
        <v>33409</v>
      </c>
      <c r="R7235">
        <v>21</v>
      </c>
      <c r="S7235">
        <v>32</v>
      </c>
    </row>
    <row r="7236" spans="1:19" x14ac:dyDescent="0.35">
      <c r="A7236">
        <v>6065</v>
      </c>
      <c r="B7236" t="s">
        <v>33476</v>
      </c>
      <c r="C7236" t="s">
        <v>42</v>
      </c>
      <c r="D7236" t="s">
        <v>33477</v>
      </c>
      <c r="E7236" t="e" cm="1">
        <f t="array" ref="E7236">- LEVOFLOXACIN</f>
        <v>#NAME?</v>
      </c>
      <c r="F7236" t="s">
        <v>33478</v>
      </c>
      <c r="G7236" t="s">
        <v>1691</v>
      </c>
      <c r="H7236" t="s">
        <v>33479</v>
      </c>
      <c r="I7236" t="s">
        <v>33480</v>
      </c>
      <c r="J7236" t="s">
        <v>33481</v>
      </c>
      <c r="K7236" t="s">
        <v>33482</v>
      </c>
      <c r="L7236" t="s">
        <v>33483</v>
      </c>
      <c r="M7236" t="s">
        <v>46</v>
      </c>
      <c r="N7236" t="s">
        <v>11487</v>
      </c>
      <c r="O7236" t="s">
        <v>33484</v>
      </c>
      <c r="P7236" t="s">
        <v>33485</v>
      </c>
      <c r="Q7236" t="s">
        <v>33486</v>
      </c>
      <c r="R7236">
        <v>21</v>
      </c>
      <c r="S7236">
        <v>32</v>
      </c>
    </row>
    <row r="7237" spans="1:19" x14ac:dyDescent="0.35">
      <c r="A7237">
        <v>9788</v>
      </c>
      <c r="B7237" t="s">
        <v>33405</v>
      </c>
      <c r="C7237" t="s">
        <v>42</v>
      </c>
      <c r="D7237" t="s">
        <v>33406</v>
      </c>
      <c r="E7237" t="e" cm="1">
        <f t="array" ref="E7237">- FENOFIBRATE</f>
        <v>#NAME?</v>
      </c>
      <c r="F7237" t="s">
        <v>33407</v>
      </c>
      <c r="G7237" t="s">
        <v>30790</v>
      </c>
      <c r="H7237" t="s">
        <v>33011</v>
      </c>
      <c r="I7237" t="s">
        <v>30792</v>
      </c>
      <c r="J7237" t="s">
        <v>14600</v>
      </c>
      <c r="K7237" t="s">
        <v>30794</v>
      </c>
      <c r="L7237" t="s">
        <v>30795</v>
      </c>
      <c r="M7237" t="s">
        <v>38</v>
      </c>
      <c r="N7237" t="s">
        <v>1137</v>
      </c>
      <c r="O7237" t="s">
        <v>30796</v>
      </c>
      <c r="P7237" t="s">
        <v>33408</v>
      </c>
      <c r="Q7237" t="s">
        <v>33409</v>
      </c>
      <c r="R7237">
        <v>21</v>
      </c>
      <c r="S7237">
        <v>32</v>
      </c>
    </row>
    <row r="7238" spans="1:19" x14ac:dyDescent="0.35">
      <c r="A7238">
        <v>6069</v>
      </c>
      <c r="B7238" t="s">
        <v>33487</v>
      </c>
      <c r="C7238" t="s">
        <v>42</v>
      </c>
      <c r="D7238" t="s">
        <v>33488</v>
      </c>
      <c r="E7238" t="e" cm="1">
        <f t="array" ref="E7238">- CEFACLOR MONOHYDRATE</f>
        <v>#NAME?</v>
      </c>
      <c r="F7238" t="s">
        <v>33489</v>
      </c>
      <c r="G7238" t="s">
        <v>6135</v>
      </c>
      <c r="H7238" t="s">
        <v>33490</v>
      </c>
      <c r="I7238" t="s">
        <v>33491</v>
      </c>
    </row>
    <row r="7239" spans="1:19" x14ac:dyDescent="0.35">
      <c r="A7239">
        <v>1765</v>
      </c>
      <c r="B7239" t="s">
        <v>33492</v>
      </c>
      <c r="C7239" t="s">
        <v>850</v>
      </c>
      <c r="D7239" t="s">
        <v>33493</v>
      </c>
      <c r="E7239" t="s">
        <v>2069</v>
      </c>
      <c r="F7239" t="s">
        <v>33494</v>
      </c>
      <c r="H7239" t="s">
        <v>33495</v>
      </c>
      <c r="I7239" t="s">
        <v>33496</v>
      </c>
      <c r="J7239" t="s">
        <v>29403</v>
      </c>
      <c r="L7239" t="s">
        <v>8264</v>
      </c>
      <c r="M7239" t="s">
        <v>3632</v>
      </c>
      <c r="N7239" t="s">
        <v>2071</v>
      </c>
      <c r="O7239" t="s">
        <v>33497</v>
      </c>
      <c r="P7239" t="s">
        <v>33498</v>
      </c>
      <c r="Q7239" t="s">
        <v>33499</v>
      </c>
      <c r="R7239">
        <v>21</v>
      </c>
      <c r="S7239">
        <v>32</v>
      </c>
    </row>
    <row r="7240" spans="1:19" x14ac:dyDescent="0.35">
      <c r="A7240">
        <v>9757</v>
      </c>
      <c r="B7240" t="s">
        <v>33500</v>
      </c>
      <c r="C7240" t="s">
        <v>42</v>
      </c>
      <c r="D7240" t="s">
        <v>33501</v>
      </c>
      <c r="E7240" t="e" cm="1">
        <f t="array" ref="E7240">- FENOFIBRATE</f>
        <v>#NAME?</v>
      </c>
      <c r="F7240" t="s">
        <v>33502</v>
      </c>
      <c r="G7240" t="s">
        <v>30790</v>
      </c>
      <c r="H7240" t="s">
        <v>33011</v>
      </c>
      <c r="I7240" t="s">
        <v>30792</v>
      </c>
      <c r="J7240" t="s">
        <v>33503</v>
      </c>
      <c r="K7240" t="s">
        <v>30794</v>
      </c>
      <c r="L7240" t="s">
        <v>30795</v>
      </c>
      <c r="M7240" t="s">
        <v>38</v>
      </c>
      <c r="N7240" t="s">
        <v>1137</v>
      </c>
      <c r="O7240" t="s">
        <v>30796</v>
      </c>
      <c r="P7240" t="s">
        <v>33386</v>
      </c>
      <c r="Q7240" t="s">
        <v>33387</v>
      </c>
      <c r="R7240">
        <v>21</v>
      </c>
      <c r="S7240">
        <v>32</v>
      </c>
    </row>
    <row r="7241" spans="1:19" x14ac:dyDescent="0.35">
      <c r="A7241">
        <v>4378</v>
      </c>
      <c r="B7241" t="s">
        <v>1637</v>
      </c>
      <c r="C7241" t="s">
        <v>42</v>
      </c>
      <c r="D7241" t="s">
        <v>33504</v>
      </c>
      <c r="E7241" t="e" cm="1">
        <f t="array" ref="E7241">- OFLOXACIN</f>
        <v>#NAME?</v>
      </c>
      <c r="F7241" s="1">
        <v>143800</v>
      </c>
      <c r="G7241" t="s">
        <v>33505</v>
      </c>
      <c r="H7241" t="s">
        <v>33506</v>
      </c>
      <c r="I7241" t="s">
        <v>33507</v>
      </c>
      <c r="J7241" t="s">
        <v>33508</v>
      </c>
      <c r="M7241" t="s">
        <v>824</v>
      </c>
      <c r="N7241" t="s">
        <v>1640</v>
      </c>
      <c r="O7241" t="s">
        <v>33509</v>
      </c>
      <c r="P7241" t="s">
        <v>33510</v>
      </c>
      <c r="Q7241" t="s">
        <v>33511</v>
      </c>
      <c r="R7241">
        <v>21</v>
      </c>
      <c r="S7241">
        <v>32</v>
      </c>
    </row>
    <row r="7242" spans="1:19" x14ac:dyDescent="0.35">
      <c r="A7242">
        <v>5297</v>
      </c>
      <c r="B7242" t="s">
        <v>32693</v>
      </c>
      <c r="C7242" t="s">
        <v>42</v>
      </c>
      <c r="D7242" t="s">
        <v>32694</v>
      </c>
      <c r="E7242" t="s">
        <v>33512</v>
      </c>
      <c r="F7242" t="s">
        <v>32695</v>
      </c>
      <c r="G7242" t="s">
        <v>32696</v>
      </c>
      <c r="H7242" t="s">
        <v>1322</v>
      </c>
      <c r="I7242" t="s">
        <v>32697</v>
      </c>
      <c r="J7242" t="s">
        <v>4038</v>
      </c>
      <c r="K7242" t="s">
        <v>32698</v>
      </c>
      <c r="L7242" t="s">
        <v>32699</v>
      </c>
      <c r="M7242" t="s">
        <v>554</v>
      </c>
      <c r="N7242" t="s">
        <v>33513</v>
      </c>
      <c r="O7242" t="s">
        <v>32701</v>
      </c>
      <c r="P7242" t="s">
        <v>32702</v>
      </c>
      <c r="Q7242" t="s">
        <v>33514</v>
      </c>
      <c r="R7242">
        <v>21</v>
      </c>
      <c r="S7242">
        <v>32</v>
      </c>
    </row>
    <row r="7243" spans="1:19" x14ac:dyDescent="0.35">
      <c r="A7243">
        <v>5337</v>
      </c>
      <c r="B7243" t="s">
        <v>7148</v>
      </c>
      <c r="C7243" t="s">
        <v>42</v>
      </c>
      <c r="D7243" t="s">
        <v>33515</v>
      </c>
      <c r="E7243" t="e" cm="1">
        <f t="array" ref="E7243">- SULFADIAZINE SILVER</f>
        <v>#NAME?</v>
      </c>
      <c r="F7243" s="1">
        <v>299900</v>
      </c>
      <c r="G7243" t="s">
        <v>27723</v>
      </c>
      <c r="H7243" t="s">
        <v>33516</v>
      </c>
      <c r="I7243" t="s">
        <v>33517</v>
      </c>
      <c r="J7243" t="s">
        <v>7187</v>
      </c>
      <c r="L7243" t="s">
        <v>27726</v>
      </c>
      <c r="M7243" t="s">
        <v>1289</v>
      </c>
      <c r="N7243" t="s">
        <v>2849</v>
      </c>
      <c r="O7243" t="s">
        <v>33518</v>
      </c>
      <c r="P7243" t="s">
        <v>27728</v>
      </c>
      <c r="Q7243" t="s">
        <v>33519</v>
      </c>
      <c r="R7243">
        <v>21</v>
      </c>
      <c r="S7243">
        <v>32</v>
      </c>
    </row>
    <row r="7244" spans="1:19" x14ac:dyDescent="0.35">
      <c r="A7244">
        <v>1763</v>
      </c>
      <c r="B7244" t="s">
        <v>33492</v>
      </c>
      <c r="C7244" t="s">
        <v>850</v>
      </c>
      <c r="D7244" t="s">
        <v>33520</v>
      </c>
      <c r="E7244" t="s">
        <v>2069</v>
      </c>
      <c r="F7244" t="s">
        <v>18822</v>
      </c>
      <c r="G7244" t="s">
        <v>22321</v>
      </c>
      <c r="H7244" t="s">
        <v>33495</v>
      </c>
      <c r="I7244" t="s">
        <v>33521</v>
      </c>
      <c r="J7244" t="s">
        <v>33522</v>
      </c>
      <c r="L7244" t="s">
        <v>8264</v>
      </c>
      <c r="M7244" t="s">
        <v>3632</v>
      </c>
      <c r="N7244" t="s">
        <v>2071</v>
      </c>
      <c r="O7244" t="s">
        <v>33497</v>
      </c>
      <c r="P7244" t="s">
        <v>33523</v>
      </c>
      <c r="Q7244" t="s">
        <v>33524</v>
      </c>
      <c r="R7244">
        <v>21</v>
      </c>
      <c r="S7244">
        <v>32</v>
      </c>
    </row>
    <row r="7245" spans="1:19" x14ac:dyDescent="0.35">
      <c r="A7245">
        <v>5338</v>
      </c>
      <c r="B7245" t="s">
        <v>7148</v>
      </c>
      <c r="C7245" t="s">
        <v>42</v>
      </c>
      <c r="D7245" t="s">
        <v>33515</v>
      </c>
      <c r="E7245" t="e" cm="1">
        <f t="array" ref="E7245">- SULFADIAZINE SILVER</f>
        <v>#NAME?</v>
      </c>
      <c r="F7245" s="1">
        <v>299900</v>
      </c>
      <c r="G7245" t="s">
        <v>27723</v>
      </c>
      <c r="H7245" t="s">
        <v>33516</v>
      </c>
      <c r="I7245" t="s">
        <v>33517</v>
      </c>
      <c r="J7245" t="s">
        <v>7187</v>
      </c>
      <c r="L7245" t="s">
        <v>27726</v>
      </c>
      <c r="M7245" t="s">
        <v>1289</v>
      </c>
      <c r="N7245" t="s">
        <v>2849</v>
      </c>
      <c r="O7245" t="s">
        <v>33518</v>
      </c>
      <c r="P7245" t="s">
        <v>27728</v>
      </c>
      <c r="Q7245" t="s">
        <v>33519</v>
      </c>
      <c r="R7245">
        <v>21</v>
      </c>
      <c r="S7245">
        <v>32</v>
      </c>
    </row>
    <row r="7246" spans="1:19" x14ac:dyDescent="0.35">
      <c r="A7246">
        <v>295</v>
      </c>
      <c r="B7246" t="s">
        <v>33525</v>
      </c>
      <c r="C7246" t="s">
        <v>42</v>
      </c>
      <c r="D7246" t="s">
        <v>33526</v>
      </c>
      <c r="E7246" t="e" cm="1">
        <f t="array" ref="E7246">- PROGESTERONE</f>
        <v>#NAME?</v>
      </c>
      <c r="F7246" t="s">
        <v>33527</v>
      </c>
      <c r="G7246" t="s">
        <v>33528</v>
      </c>
      <c r="H7246" t="s">
        <v>33529</v>
      </c>
      <c r="I7246" t="s">
        <v>33530</v>
      </c>
      <c r="J7246" t="s">
        <v>33531</v>
      </c>
      <c r="K7246" t="s">
        <v>33532</v>
      </c>
      <c r="L7246" t="s">
        <v>33533</v>
      </c>
      <c r="M7246" t="s">
        <v>33534</v>
      </c>
      <c r="N7246" t="s">
        <v>8537</v>
      </c>
      <c r="O7246" t="s">
        <v>33535</v>
      </c>
      <c r="P7246" t="s">
        <v>33536</v>
      </c>
      <c r="Q7246" t="s">
        <v>33537</v>
      </c>
      <c r="R7246">
        <v>21</v>
      </c>
      <c r="S7246">
        <v>32</v>
      </c>
    </row>
    <row r="7247" spans="1:19" x14ac:dyDescent="0.35">
      <c r="A7247">
        <v>4762</v>
      </c>
      <c r="B7247" t="s">
        <v>33538</v>
      </c>
      <c r="C7247" t="s">
        <v>42</v>
      </c>
      <c r="D7247" t="s">
        <v>33539</v>
      </c>
      <c r="E7247" t="e" cm="1">
        <f t="array" ref="E7247">- CHLORAMPHENICOL</f>
        <v>#NAME?</v>
      </c>
      <c r="F7247" t="s">
        <v>33540</v>
      </c>
      <c r="G7247" t="s">
        <v>33541</v>
      </c>
      <c r="H7247" t="s">
        <v>33542</v>
      </c>
      <c r="I7247" t="s">
        <v>33543</v>
      </c>
      <c r="J7247" t="s">
        <v>33544</v>
      </c>
      <c r="K7247" t="s">
        <v>8963</v>
      </c>
      <c r="L7247" t="s">
        <v>33545</v>
      </c>
      <c r="M7247" t="s">
        <v>1029</v>
      </c>
      <c r="N7247" t="s">
        <v>1188</v>
      </c>
      <c r="O7247" t="s">
        <v>33546</v>
      </c>
      <c r="P7247" t="s">
        <v>33547</v>
      </c>
      <c r="Q7247" t="s">
        <v>33548</v>
      </c>
      <c r="R7247">
        <v>21</v>
      </c>
      <c r="S7247">
        <v>32</v>
      </c>
    </row>
    <row r="7248" spans="1:19" x14ac:dyDescent="0.35">
      <c r="A7248">
        <v>679</v>
      </c>
      <c r="B7248" t="s">
        <v>33549</v>
      </c>
      <c r="C7248" t="s">
        <v>20</v>
      </c>
      <c r="D7248" t="s">
        <v>33550</v>
      </c>
      <c r="E7248" t="s">
        <v>33551</v>
      </c>
      <c r="F7248" t="s">
        <v>33552</v>
      </c>
      <c r="G7248" t="s">
        <v>33553</v>
      </c>
      <c r="H7248" t="s">
        <v>17583</v>
      </c>
      <c r="I7248" t="s">
        <v>33554</v>
      </c>
      <c r="J7248" t="s">
        <v>21307</v>
      </c>
      <c r="M7248" t="s">
        <v>2115</v>
      </c>
      <c r="N7248" t="s">
        <v>33555</v>
      </c>
      <c r="O7248" t="s">
        <v>33556</v>
      </c>
      <c r="P7248" t="s">
        <v>33557</v>
      </c>
      <c r="Q7248" t="s">
        <v>33558</v>
      </c>
      <c r="R7248">
        <v>21</v>
      </c>
      <c r="S7248">
        <v>32</v>
      </c>
    </row>
    <row r="7249" spans="1:19" x14ac:dyDescent="0.35">
      <c r="A7249">
        <v>3553</v>
      </c>
      <c r="B7249" t="s">
        <v>32740</v>
      </c>
      <c r="C7249" t="s">
        <v>42</v>
      </c>
      <c r="D7249" t="s">
        <v>32741</v>
      </c>
      <c r="E7249" t="e" cm="1">
        <f t="array" ref="E7249">- DOMPERIDONE MALEATE</f>
        <v>#NAME?</v>
      </c>
      <c r="F7249" t="s">
        <v>32742</v>
      </c>
      <c r="G7249" t="s">
        <v>2706</v>
      </c>
      <c r="H7249" t="s">
        <v>32743</v>
      </c>
      <c r="I7249" t="s">
        <v>32744</v>
      </c>
      <c r="J7249" t="s">
        <v>334</v>
      </c>
      <c r="K7249" t="s">
        <v>32745</v>
      </c>
      <c r="L7249" t="s">
        <v>32746</v>
      </c>
      <c r="M7249" t="s">
        <v>271</v>
      </c>
      <c r="N7249" t="s">
        <v>1609</v>
      </c>
      <c r="O7249" t="s">
        <v>32747</v>
      </c>
      <c r="P7249" t="s">
        <v>32748</v>
      </c>
      <c r="Q7249" t="s">
        <v>33559</v>
      </c>
      <c r="R7249">
        <v>21</v>
      </c>
      <c r="S7249">
        <v>32</v>
      </c>
    </row>
    <row r="7250" spans="1:19" x14ac:dyDescent="0.35">
      <c r="A7250">
        <v>3552</v>
      </c>
      <c r="B7250" t="s">
        <v>33560</v>
      </c>
      <c r="C7250" t="s">
        <v>42</v>
      </c>
      <c r="D7250" t="s">
        <v>33561</v>
      </c>
      <c r="E7250" t="e" cm="1">
        <f t="array" ref="E7250">- DOMPERIDONE MALEATE</f>
        <v>#NAME?</v>
      </c>
      <c r="F7250" t="s">
        <v>33562</v>
      </c>
      <c r="G7250" t="s">
        <v>33563</v>
      </c>
      <c r="H7250" t="s">
        <v>1589</v>
      </c>
      <c r="I7250" t="s">
        <v>32744</v>
      </c>
      <c r="J7250" t="s">
        <v>956</v>
      </c>
      <c r="K7250" t="s">
        <v>32745</v>
      </c>
      <c r="L7250" t="s">
        <v>32746</v>
      </c>
      <c r="M7250" t="s">
        <v>46</v>
      </c>
      <c r="N7250" t="s">
        <v>1609</v>
      </c>
      <c r="O7250" t="s">
        <v>32747</v>
      </c>
      <c r="P7250" t="s">
        <v>32748</v>
      </c>
      <c r="Q7250" t="s">
        <v>33564</v>
      </c>
      <c r="R7250">
        <v>21</v>
      </c>
      <c r="S7250">
        <v>32</v>
      </c>
    </row>
    <row r="7251" spans="1:19" x14ac:dyDescent="0.35">
      <c r="A7251">
        <v>3551</v>
      </c>
      <c r="B7251" t="s">
        <v>33560</v>
      </c>
      <c r="C7251" t="s">
        <v>42</v>
      </c>
      <c r="D7251" t="s">
        <v>33561</v>
      </c>
      <c r="E7251" t="e" cm="1">
        <f t="array" ref="E7251">- DOMPERIDONE MALEATE</f>
        <v>#NAME?</v>
      </c>
      <c r="F7251" t="s">
        <v>33562</v>
      </c>
      <c r="G7251" t="s">
        <v>33563</v>
      </c>
      <c r="H7251" t="s">
        <v>1589</v>
      </c>
      <c r="I7251" t="s">
        <v>32744</v>
      </c>
      <c r="J7251" t="s">
        <v>956</v>
      </c>
      <c r="K7251" t="s">
        <v>32745</v>
      </c>
      <c r="L7251" t="s">
        <v>32746</v>
      </c>
      <c r="M7251" t="s">
        <v>46</v>
      </c>
      <c r="N7251" t="s">
        <v>1609</v>
      </c>
      <c r="O7251" t="s">
        <v>32747</v>
      </c>
      <c r="P7251" t="s">
        <v>32748</v>
      </c>
      <c r="Q7251" t="s">
        <v>33564</v>
      </c>
      <c r="R7251">
        <v>21</v>
      </c>
      <c r="S7251">
        <v>32</v>
      </c>
    </row>
    <row r="7252" spans="1:19" x14ac:dyDescent="0.35">
      <c r="A7252">
        <v>3542</v>
      </c>
      <c r="B7252" t="s">
        <v>33565</v>
      </c>
      <c r="C7252" t="s">
        <v>42</v>
      </c>
      <c r="D7252" t="s">
        <v>33566</v>
      </c>
      <c r="E7252" t="e" cm="1">
        <f t="array" ref="E7252">- METOCLOPRAMIDE HYDROCHLORIDE</f>
        <v>#NAME?</v>
      </c>
      <c r="F7252" t="s">
        <v>33567</v>
      </c>
      <c r="G7252" t="s">
        <v>8205</v>
      </c>
      <c r="H7252" t="s">
        <v>33568</v>
      </c>
      <c r="I7252" t="s">
        <v>33569</v>
      </c>
      <c r="J7252" t="s">
        <v>1647</v>
      </c>
      <c r="K7252" t="s">
        <v>33570</v>
      </c>
      <c r="L7252" t="s">
        <v>33571</v>
      </c>
      <c r="M7252" t="s">
        <v>824</v>
      </c>
      <c r="N7252" t="s">
        <v>1876</v>
      </c>
      <c r="O7252" t="s">
        <v>33572</v>
      </c>
      <c r="P7252" t="s">
        <v>33573</v>
      </c>
      <c r="Q7252" t="s">
        <v>33574</v>
      </c>
      <c r="R7252">
        <v>21</v>
      </c>
      <c r="S7252">
        <v>32</v>
      </c>
    </row>
    <row r="7253" spans="1:19" x14ac:dyDescent="0.35">
      <c r="A7253">
        <v>3541</v>
      </c>
      <c r="B7253" t="s">
        <v>33575</v>
      </c>
      <c r="C7253" t="s">
        <v>42</v>
      </c>
      <c r="D7253" t="s">
        <v>33576</v>
      </c>
      <c r="E7253" t="e" cm="1">
        <f t="array" ref="E7253">- METOCLOPRAMIDE HYDROCHLORIDE</f>
        <v>#NAME?</v>
      </c>
      <c r="F7253" t="s">
        <v>33577</v>
      </c>
      <c r="G7253" t="s">
        <v>737</v>
      </c>
      <c r="H7253" t="s">
        <v>5688</v>
      </c>
      <c r="I7253" t="s">
        <v>33569</v>
      </c>
      <c r="J7253" t="s">
        <v>33578</v>
      </c>
      <c r="K7253" t="s">
        <v>33570</v>
      </c>
      <c r="L7253" t="s">
        <v>33579</v>
      </c>
      <c r="M7253" t="s">
        <v>46</v>
      </c>
      <c r="N7253" t="s">
        <v>1876</v>
      </c>
      <c r="O7253" t="s">
        <v>33572</v>
      </c>
      <c r="P7253" t="s">
        <v>33573</v>
      </c>
      <c r="Q7253" t="s">
        <v>33580</v>
      </c>
      <c r="R7253">
        <v>21</v>
      </c>
      <c r="S7253">
        <v>32</v>
      </c>
    </row>
    <row r="7254" spans="1:19" x14ac:dyDescent="0.35">
      <c r="A7254">
        <v>5827</v>
      </c>
      <c r="B7254" t="s">
        <v>25691</v>
      </c>
      <c r="C7254" t="s">
        <v>42</v>
      </c>
      <c r="D7254" t="s">
        <v>25692</v>
      </c>
      <c r="E7254" t="e" cm="1">
        <f t="array" ref="E7254">- AMOXICILLIN TRIHYDRATE. KOMBINASI-CLAVULANATE POTASSIUM : SILICONE DIOXIDE (1:1)</f>
        <v>#NAME?</v>
      </c>
      <c r="F7254" t="s">
        <v>25693</v>
      </c>
      <c r="G7254" t="s">
        <v>1691</v>
      </c>
      <c r="H7254" t="s">
        <v>24299</v>
      </c>
      <c r="I7254" t="s">
        <v>24300</v>
      </c>
      <c r="J7254" t="s">
        <v>24301</v>
      </c>
      <c r="K7254" t="s">
        <v>24302</v>
      </c>
      <c r="L7254" t="s">
        <v>24303</v>
      </c>
      <c r="M7254" t="s">
        <v>271</v>
      </c>
      <c r="N7254" t="s">
        <v>33142</v>
      </c>
      <c r="O7254" t="s">
        <v>24304</v>
      </c>
      <c r="P7254" t="s">
        <v>25694</v>
      </c>
      <c r="Q7254" t="s">
        <v>33581</v>
      </c>
      <c r="R7254">
        <v>21</v>
      </c>
      <c r="S7254">
        <v>32</v>
      </c>
    </row>
    <row r="7255" spans="1:19" x14ac:dyDescent="0.35">
      <c r="A7255">
        <v>884</v>
      </c>
      <c r="B7255" t="s">
        <v>18869</v>
      </c>
      <c r="C7255" t="s">
        <v>42</v>
      </c>
      <c r="D7255" t="s">
        <v>31924</v>
      </c>
      <c r="E7255" t="e" cm="1">
        <f t="array" ref="E7255">- CHLORPHENAMINE MALEATE. DEXTROMETHORPHAN HYDROBROMIDE</f>
        <v>#NAME?</v>
      </c>
      <c r="F7255" t="s">
        <v>31925</v>
      </c>
      <c r="I7255" t="s">
        <v>31926</v>
      </c>
      <c r="J7255" t="s">
        <v>852</v>
      </c>
      <c r="M7255" t="s">
        <v>271</v>
      </c>
      <c r="N7255" t="s">
        <v>23589</v>
      </c>
      <c r="O7255" t="s">
        <v>31927</v>
      </c>
      <c r="P7255" t="s">
        <v>18877</v>
      </c>
      <c r="Q7255" t="s">
        <v>33582</v>
      </c>
      <c r="R7255">
        <v>21</v>
      </c>
      <c r="S7255">
        <v>32</v>
      </c>
    </row>
    <row r="7256" spans="1:19" x14ac:dyDescent="0.35">
      <c r="A7256">
        <v>706</v>
      </c>
      <c r="B7256" t="s">
        <v>33583</v>
      </c>
      <c r="C7256" t="s">
        <v>20</v>
      </c>
      <c r="D7256" t="s">
        <v>33584</v>
      </c>
      <c r="E7256" t="s">
        <v>33585</v>
      </c>
      <c r="F7256" t="s">
        <v>33586</v>
      </c>
      <c r="G7256" t="s">
        <v>16967</v>
      </c>
      <c r="H7256" t="s">
        <v>16968</v>
      </c>
      <c r="I7256" t="s">
        <v>33587</v>
      </c>
      <c r="J7256" t="s">
        <v>846</v>
      </c>
      <c r="M7256" t="s">
        <v>2115</v>
      </c>
      <c r="N7256" t="s">
        <v>33588</v>
      </c>
      <c r="O7256" t="s">
        <v>33589</v>
      </c>
      <c r="P7256" t="s">
        <v>33590</v>
      </c>
      <c r="Q7256" t="s">
        <v>33591</v>
      </c>
      <c r="R7256">
        <v>21</v>
      </c>
      <c r="S7256">
        <v>32</v>
      </c>
    </row>
    <row r="7257" spans="1:19" x14ac:dyDescent="0.35">
      <c r="A7257">
        <v>6572</v>
      </c>
      <c r="B7257" t="s">
        <v>33592</v>
      </c>
      <c r="C7257" t="s">
        <v>42</v>
      </c>
      <c r="D7257" t="s">
        <v>33593</v>
      </c>
      <c r="E7257" t="e" cm="1">
        <f t="array" ref="E7257">- FLUCONAZOLE</f>
        <v>#NAME?</v>
      </c>
      <c r="F7257" t="s">
        <v>33594</v>
      </c>
      <c r="G7257" t="s">
        <v>28934</v>
      </c>
      <c r="H7257" t="s">
        <v>33595</v>
      </c>
      <c r="I7257" t="s">
        <v>33596</v>
      </c>
      <c r="J7257" t="s">
        <v>7989</v>
      </c>
      <c r="K7257" t="s">
        <v>33597</v>
      </c>
      <c r="L7257" t="s">
        <v>33598</v>
      </c>
      <c r="M7257" t="s">
        <v>38</v>
      </c>
      <c r="N7257" t="s">
        <v>7992</v>
      </c>
      <c r="O7257" t="s">
        <v>33599</v>
      </c>
      <c r="P7257" t="s">
        <v>33600</v>
      </c>
      <c r="Q7257" t="s">
        <v>33601</v>
      </c>
      <c r="R7257">
        <v>21</v>
      </c>
      <c r="S7257">
        <v>32</v>
      </c>
    </row>
    <row r="7258" spans="1:19" x14ac:dyDescent="0.35">
      <c r="A7258">
        <v>883</v>
      </c>
      <c r="B7258" t="s">
        <v>18869</v>
      </c>
      <c r="C7258" t="s">
        <v>42</v>
      </c>
      <c r="D7258" t="s">
        <v>31924</v>
      </c>
      <c r="E7258" t="e" cm="1">
        <f t="array" ref="E7258">- CHLORPHENAMINE MALEATE. DEXTROMETHORPHAN HYDROBROMIDE</f>
        <v>#NAME?</v>
      </c>
      <c r="F7258" t="s">
        <v>31925</v>
      </c>
      <c r="I7258" t="s">
        <v>31926</v>
      </c>
      <c r="J7258" t="s">
        <v>852</v>
      </c>
      <c r="M7258" t="s">
        <v>271</v>
      </c>
      <c r="N7258" t="s">
        <v>23589</v>
      </c>
      <c r="O7258" t="s">
        <v>31927</v>
      </c>
      <c r="P7258" t="s">
        <v>18877</v>
      </c>
      <c r="Q7258" t="s">
        <v>33582</v>
      </c>
      <c r="R7258">
        <v>21</v>
      </c>
      <c r="S7258">
        <v>32</v>
      </c>
    </row>
    <row r="7259" spans="1:19" x14ac:dyDescent="0.35">
      <c r="A7259">
        <v>6096</v>
      </c>
      <c r="B7259" t="s">
        <v>33602</v>
      </c>
      <c r="C7259" t="s">
        <v>42</v>
      </c>
      <c r="D7259" t="s">
        <v>33603</v>
      </c>
      <c r="E7259" t="e" cm="1">
        <f t="array" ref="E7259">- AMOXICILLIN TRIHYDRATE</f>
        <v>#NAME?</v>
      </c>
      <c r="F7259" t="s">
        <v>33604</v>
      </c>
      <c r="G7259" t="s">
        <v>1691</v>
      </c>
      <c r="H7259" t="s">
        <v>33605</v>
      </c>
      <c r="I7259" t="s">
        <v>33606</v>
      </c>
      <c r="J7259" t="s">
        <v>33607</v>
      </c>
      <c r="K7259" t="s">
        <v>33608</v>
      </c>
      <c r="L7259" t="s">
        <v>33609</v>
      </c>
      <c r="M7259" t="s">
        <v>291</v>
      </c>
      <c r="N7259" t="s">
        <v>1523</v>
      </c>
      <c r="O7259" t="s">
        <v>33610</v>
      </c>
      <c r="P7259" t="s">
        <v>33611</v>
      </c>
      <c r="Q7259" t="s">
        <v>33612</v>
      </c>
      <c r="R7259">
        <v>21</v>
      </c>
      <c r="S7259">
        <v>32</v>
      </c>
    </row>
    <row r="7260" spans="1:19" x14ac:dyDescent="0.35">
      <c r="A7260">
        <v>296</v>
      </c>
      <c r="B7260" t="s">
        <v>33525</v>
      </c>
      <c r="C7260" t="s">
        <v>42</v>
      </c>
      <c r="D7260" t="s">
        <v>33526</v>
      </c>
      <c r="E7260" t="e" cm="1">
        <f t="array" ref="E7260">- PROGESTERONE</f>
        <v>#NAME?</v>
      </c>
      <c r="F7260" t="s">
        <v>33527</v>
      </c>
      <c r="G7260" t="s">
        <v>33528</v>
      </c>
      <c r="H7260" t="s">
        <v>33529</v>
      </c>
      <c r="I7260" t="s">
        <v>33530</v>
      </c>
      <c r="J7260" t="s">
        <v>33531</v>
      </c>
      <c r="K7260" t="s">
        <v>33532</v>
      </c>
      <c r="L7260" t="s">
        <v>33533</v>
      </c>
      <c r="M7260" t="s">
        <v>33534</v>
      </c>
      <c r="N7260" t="s">
        <v>8537</v>
      </c>
      <c r="O7260" t="s">
        <v>33535</v>
      </c>
      <c r="P7260" t="s">
        <v>33536</v>
      </c>
      <c r="Q7260" t="s">
        <v>33537</v>
      </c>
      <c r="R7260">
        <v>21</v>
      </c>
      <c r="S7260">
        <v>32</v>
      </c>
    </row>
    <row r="7261" spans="1:19" x14ac:dyDescent="0.35">
      <c r="A7261">
        <v>9756</v>
      </c>
      <c r="B7261" t="s">
        <v>33500</v>
      </c>
      <c r="C7261" t="s">
        <v>42</v>
      </c>
      <c r="D7261" t="s">
        <v>33501</v>
      </c>
      <c r="E7261" t="e" cm="1">
        <f t="array" ref="E7261">- FENOFIBRATE</f>
        <v>#NAME?</v>
      </c>
      <c r="F7261" t="s">
        <v>33502</v>
      </c>
      <c r="G7261" t="s">
        <v>30790</v>
      </c>
      <c r="H7261" t="s">
        <v>33011</v>
      </c>
      <c r="I7261" t="s">
        <v>30792</v>
      </c>
      <c r="J7261" t="s">
        <v>33503</v>
      </c>
      <c r="K7261" t="s">
        <v>30794</v>
      </c>
      <c r="L7261" t="s">
        <v>30795</v>
      </c>
      <c r="M7261" t="s">
        <v>38</v>
      </c>
      <c r="N7261" t="s">
        <v>1137</v>
      </c>
      <c r="O7261" t="s">
        <v>30796</v>
      </c>
      <c r="P7261" t="s">
        <v>33386</v>
      </c>
      <c r="Q7261" t="s">
        <v>33387</v>
      </c>
      <c r="R7261">
        <v>21</v>
      </c>
      <c r="S7261">
        <v>32</v>
      </c>
    </row>
    <row r="7262" spans="1:19" x14ac:dyDescent="0.35">
      <c r="A7262">
        <v>297</v>
      </c>
      <c r="B7262" t="s">
        <v>33525</v>
      </c>
      <c r="C7262" t="s">
        <v>42</v>
      </c>
      <c r="D7262" t="s">
        <v>33526</v>
      </c>
      <c r="E7262" t="e" cm="1">
        <f t="array" ref="E7262">- PROGESTERONE</f>
        <v>#NAME?</v>
      </c>
      <c r="F7262" t="s">
        <v>33527</v>
      </c>
      <c r="G7262" t="s">
        <v>33528</v>
      </c>
      <c r="H7262" t="s">
        <v>33529</v>
      </c>
      <c r="I7262" t="s">
        <v>33530</v>
      </c>
      <c r="J7262" t="s">
        <v>33531</v>
      </c>
      <c r="K7262" t="s">
        <v>33532</v>
      </c>
      <c r="L7262" t="s">
        <v>33533</v>
      </c>
      <c r="M7262" t="s">
        <v>33534</v>
      </c>
      <c r="N7262" t="s">
        <v>8537</v>
      </c>
      <c r="O7262" t="s">
        <v>33535</v>
      </c>
      <c r="P7262" t="s">
        <v>33536</v>
      </c>
      <c r="Q7262" t="s">
        <v>33537</v>
      </c>
      <c r="R7262">
        <v>21</v>
      </c>
      <c r="S7262">
        <v>32</v>
      </c>
    </row>
    <row r="7263" spans="1:19" x14ac:dyDescent="0.35">
      <c r="A7263">
        <v>7658</v>
      </c>
      <c r="B7263" t="s">
        <v>25233</v>
      </c>
      <c r="C7263" t="s">
        <v>20</v>
      </c>
      <c r="D7263" t="s">
        <v>33613</v>
      </c>
      <c r="E7263" t="s">
        <v>25235</v>
      </c>
      <c r="F7263" s="1">
        <v>16800</v>
      </c>
      <c r="G7263" t="s">
        <v>33614</v>
      </c>
      <c r="H7263" t="s">
        <v>33615</v>
      </c>
      <c r="I7263" t="s">
        <v>33616</v>
      </c>
      <c r="J7263" t="s">
        <v>33617</v>
      </c>
      <c r="L7263" t="s">
        <v>33618</v>
      </c>
      <c r="M7263" t="s">
        <v>63</v>
      </c>
      <c r="N7263" t="s">
        <v>25237</v>
      </c>
      <c r="O7263" t="s">
        <v>33619</v>
      </c>
      <c r="P7263" t="s">
        <v>25237</v>
      </c>
      <c r="Q7263" t="s">
        <v>33620</v>
      </c>
      <c r="R7263">
        <v>21</v>
      </c>
      <c r="S7263">
        <v>32</v>
      </c>
    </row>
    <row r="7264" spans="1:19" x14ac:dyDescent="0.35">
      <c r="A7264">
        <v>5847</v>
      </c>
      <c r="B7264" t="s">
        <v>33621</v>
      </c>
      <c r="C7264" t="s">
        <v>42</v>
      </c>
      <c r="D7264" t="s">
        <v>33622</v>
      </c>
      <c r="E7264" t="e" cm="1">
        <f t="array" ref="E7264">- AMOXICILLIN TRIHYDRATE</f>
        <v>#NAME?</v>
      </c>
      <c r="F7264" t="s">
        <v>33623</v>
      </c>
      <c r="G7264" t="s">
        <v>2241</v>
      </c>
      <c r="H7264" t="s">
        <v>33147</v>
      </c>
      <c r="I7264" t="s">
        <v>33148</v>
      </c>
      <c r="J7264" t="s">
        <v>381</v>
      </c>
      <c r="K7264" t="s">
        <v>14288</v>
      </c>
      <c r="L7264" t="s">
        <v>33149</v>
      </c>
      <c r="M7264" t="s">
        <v>291</v>
      </c>
      <c r="N7264" t="s">
        <v>1523</v>
      </c>
      <c r="O7264" t="s">
        <v>33150</v>
      </c>
      <c r="P7264" t="s">
        <v>33624</v>
      </c>
      <c r="Q7264" t="s">
        <v>33625</v>
      </c>
      <c r="R7264">
        <v>21</v>
      </c>
      <c r="S7264">
        <v>32</v>
      </c>
    </row>
    <row r="7265" spans="1:19" x14ac:dyDescent="0.35">
      <c r="A7265">
        <v>306</v>
      </c>
      <c r="B7265" t="s">
        <v>33379</v>
      </c>
      <c r="C7265" t="s">
        <v>42</v>
      </c>
      <c r="D7265" t="s">
        <v>33401</v>
      </c>
      <c r="E7265" t="e" cm="1">
        <f t="array" ref="E7265">- MEGESTROL ACETATE</f>
        <v>#NAME?</v>
      </c>
      <c r="F7265" t="s">
        <v>33402</v>
      </c>
      <c r="G7265" t="s">
        <v>6650</v>
      </c>
      <c r="H7265" t="s">
        <v>33382</v>
      </c>
    </row>
    <row r="7266" spans="1:19" x14ac:dyDescent="0.35">
      <c r="A7266">
        <v>305</v>
      </c>
      <c r="B7266" t="s">
        <v>33379</v>
      </c>
      <c r="C7266" t="s">
        <v>42</v>
      </c>
      <c r="D7266" t="s">
        <v>33401</v>
      </c>
      <c r="E7266" t="e" cm="1">
        <f t="array" ref="E7266">- MEGESTROL ACETATE</f>
        <v>#NAME?</v>
      </c>
      <c r="F7266" t="s">
        <v>33402</v>
      </c>
      <c r="G7266" t="s">
        <v>6650</v>
      </c>
      <c r="H7266" t="s">
        <v>33382</v>
      </c>
    </row>
    <row r="7267" spans="1:19" x14ac:dyDescent="0.35">
      <c r="A7267">
        <v>5846</v>
      </c>
      <c r="B7267" t="s">
        <v>33621</v>
      </c>
      <c r="C7267" t="s">
        <v>42</v>
      </c>
      <c r="D7267" t="s">
        <v>33622</v>
      </c>
      <c r="E7267" t="e" cm="1">
        <f t="array" ref="E7267">- AMOXICILLIN TRIHYDRATE</f>
        <v>#NAME?</v>
      </c>
      <c r="F7267" t="s">
        <v>33623</v>
      </c>
      <c r="G7267" t="s">
        <v>2241</v>
      </c>
      <c r="H7267" t="s">
        <v>33147</v>
      </c>
      <c r="I7267" t="s">
        <v>33148</v>
      </c>
      <c r="J7267" t="s">
        <v>381</v>
      </c>
      <c r="K7267" t="s">
        <v>14288</v>
      </c>
      <c r="L7267" t="s">
        <v>33149</v>
      </c>
      <c r="M7267" t="s">
        <v>291</v>
      </c>
      <c r="N7267" t="s">
        <v>1523</v>
      </c>
      <c r="O7267" t="s">
        <v>33150</v>
      </c>
      <c r="P7267" t="s">
        <v>33624</v>
      </c>
      <c r="Q7267" t="s">
        <v>33625</v>
      </c>
      <c r="R7267">
        <v>21</v>
      </c>
      <c r="S7267">
        <v>32</v>
      </c>
    </row>
    <row r="7268" spans="1:19" x14ac:dyDescent="0.35">
      <c r="A7268">
        <v>9799</v>
      </c>
      <c r="B7268" t="s">
        <v>33445</v>
      </c>
      <c r="C7268" t="s">
        <v>42</v>
      </c>
      <c r="D7268" t="s">
        <v>33446</v>
      </c>
      <c r="E7268" t="e" cm="1">
        <f t="array" ref="E7268">- SIMVASTATIN</f>
        <v>#NAME?</v>
      </c>
      <c r="F7268" t="s">
        <v>33447</v>
      </c>
      <c r="G7268" t="s">
        <v>33448</v>
      </c>
      <c r="H7268" t="s">
        <v>12709</v>
      </c>
      <c r="I7268" t="s">
        <v>33449</v>
      </c>
      <c r="J7268" t="s">
        <v>2928</v>
      </c>
      <c r="K7268" t="s">
        <v>17536</v>
      </c>
      <c r="L7268" t="s">
        <v>33450</v>
      </c>
      <c r="M7268" t="s">
        <v>291</v>
      </c>
      <c r="N7268" t="s">
        <v>1150</v>
      </c>
      <c r="O7268" t="s">
        <v>33451</v>
      </c>
      <c r="P7268" t="s">
        <v>33452</v>
      </c>
      <c r="Q7268" t="s">
        <v>33453</v>
      </c>
      <c r="R7268">
        <v>21</v>
      </c>
      <c r="S7268">
        <v>32</v>
      </c>
    </row>
    <row r="7269" spans="1:19" x14ac:dyDescent="0.35">
      <c r="A7269">
        <v>741</v>
      </c>
      <c r="B7269" t="s">
        <v>33428</v>
      </c>
      <c r="C7269" t="s">
        <v>42</v>
      </c>
      <c r="D7269" t="s">
        <v>33429</v>
      </c>
      <c r="E7269" t="e" cm="1">
        <f t="array" ref="E7269">- SODIUM CHLORIDE</f>
        <v>#NAME?</v>
      </c>
      <c r="F7269" t="s">
        <v>33626</v>
      </c>
      <c r="G7269" t="s">
        <v>33431</v>
      </c>
      <c r="H7269" t="s">
        <v>33432</v>
      </c>
      <c r="I7269" t="s">
        <v>33433</v>
      </c>
      <c r="J7269" t="s">
        <v>829</v>
      </c>
      <c r="K7269" t="s">
        <v>2858</v>
      </c>
      <c r="L7269" t="s">
        <v>33434</v>
      </c>
      <c r="M7269" t="s">
        <v>824</v>
      </c>
      <c r="N7269" t="s">
        <v>24970</v>
      </c>
      <c r="O7269" t="s">
        <v>33435</v>
      </c>
      <c r="P7269" t="s">
        <v>33436</v>
      </c>
      <c r="Q7269" t="s">
        <v>33437</v>
      </c>
      <c r="R7269">
        <v>21</v>
      </c>
      <c r="S7269">
        <v>32</v>
      </c>
    </row>
    <row r="7270" spans="1:19" x14ac:dyDescent="0.35">
      <c r="A7270">
        <v>740</v>
      </c>
      <c r="B7270" t="s">
        <v>33428</v>
      </c>
      <c r="C7270" t="s">
        <v>42</v>
      </c>
      <c r="D7270" t="s">
        <v>33429</v>
      </c>
      <c r="E7270" t="e" cm="1">
        <f t="array" ref="E7270">- SODIUM CHLORIDE</f>
        <v>#NAME?</v>
      </c>
      <c r="F7270" t="s">
        <v>33626</v>
      </c>
      <c r="G7270" t="s">
        <v>33431</v>
      </c>
      <c r="H7270" t="s">
        <v>33432</v>
      </c>
      <c r="I7270" t="s">
        <v>33433</v>
      </c>
      <c r="J7270" t="s">
        <v>829</v>
      </c>
      <c r="K7270" t="s">
        <v>2858</v>
      </c>
      <c r="L7270" t="s">
        <v>33434</v>
      </c>
      <c r="M7270" t="s">
        <v>824</v>
      </c>
      <c r="N7270" t="s">
        <v>24970</v>
      </c>
      <c r="O7270" t="s">
        <v>33435</v>
      </c>
      <c r="P7270" t="s">
        <v>33436</v>
      </c>
      <c r="Q7270" t="s">
        <v>33437</v>
      </c>
      <c r="R7270">
        <v>21</v>
      </c>
      <c r="S7270">
        <v>32</v>
      </c>
    </row>
    <row r="7271" spans="1:19" x14ac:dyDescent="0.35">
      <c r="A7271">
        <v>9748</v>
      </c>
      <c r="B7271" t="s">
        <v>33627</v>
      </c>
      <c r="C7271" t="s">
        <v>42</v>
      </c>
      <c r="D7271" t="s">
        <v>33628</v>
      </c>
      <c r="E7271" t="e" cm="1">
        <f t="array" ref="E7271">- FENOFIBRATE</f>
        <v>#NAME?</v>
      </c>
      <c r="F7271" t="s">
        <v>33629</v>
      </c>
      <c r="G7271" t="s">
        <v>30790</v>
      </c>
      <c r="H7271" t="s">
        <v>33011</v>
      </c>
      <c r="I7271" t="s">
        <v>30792</v>
      </c>
      <c r="J7271" t="s">
        <v>347</v>
      </c>
      <c r="K7271" t="s">
        <v>30794</v>
      </c>
      <c r="L7271" t="s">
        <v>30795</v>
      </c>
      <c r="M7271" t="s">
        <v>38</v>
      </c>
      <c r="N7271" t="s">
        <v>1137</v>
      </c>
      <c r="O7271" t="s">
        <v>30796</v>
      </c>
      <c r="P7271" t="s">
        <v>33630</v>
      </c>
      <c r="Q7271" t="s">
        <v>33631</v>
      </c>
      <c r="R7271">
        <v>21</v>
      </c>
      <c r="S7271">
        <v>32</v>
      </c>
    </row>
    <row r="7272" spans="1:19" x14ac:dyDescent="0.35">
      <c r="A7272">
        <v>304</v>
      </c>
      <c r="B7272" t="s">
        <v>33379</v>
      </c>
      <c r="C7272" t="s">
        <v>42</v>
      </c>
      <c r="D7272" t="s">
        <v>33401</v>
      </c>
      <c r="E7272" t="e" cm="1">
        <f t="array" ref="E7272">- MEGESTROL ACETATE</f>
        <v>#NAME?</v>
      </c>
      <c r="F7272" t="s">
        <v>33402</v>
      </c>
      <c r="G7272" t="s">
        <v>6650</v>
      </c>
      <c r="H7272" t="s">
        <v>33382</v>
      </c>
    </row>
    <row r="7273" spans="1:19" x14ac:dyDescent="0.35">
      <c r="A7273">
        <v>9747</v>
      </c>
      <c r="B7273" t="s">
        <v>33627</v>
      </c>
      <c r="C7273" t="s">
        <v>42</v>
      </c>
      <c r="D7273" t="s">
        <v>33628</v>
      </c>
      <c r="E7273" t="e" cm="1">
        <f t="array" ref="E7273">- FENOFIBRATE</f>
        <v>#NAME?</v>
      </c>
      <c r="F7273" t="s">
        <v>33629</v>
      </c>
      <c r="G7273" t="s">
        <v>30790</v>
      </c>
      <c r="H7273" t="s">
        <v>33011</v>
      </c>
      <c r="I7273" t="s">
        <v>30792</v>
      </c>
      <c r="J7273" t="s">
        <v>347</v>
      </c>
      <c r="K7273" t="s">
        <v>30794</v>
      </c>
      <c r="L7273" t="s">
        <v>30795</v>
      </c>
      <c r="M7273" t="s">
        <v>38</v>
      </c>
      <c r="N7273" t="s">
        <v>1137</v>
      </c>
      <c r="O7273" t="s">
        <v>30796</v>
      </c>
      <c r="P7273" t="s">
        <v>33630</v>
      </c>
      <c r="Q7273" t="s">
        <v>33631</v>
      </c>
      <c r="R7273">
        <v>21</v>
      </c>
      <c r="S7273">
        <v>32</v>
      </c>
    </row>
    <row r="7274" spans="1:19" x14ac:dyDescent="0.35">
      <c r="A7274">
        <v>6083</v>
      </c>
      <c r="B7274" t="s">
        <v>32733</v>
      </c>
      <c r="C7274" t="s">
        <v>42</v>
      </c>
      <c r="D7274" t="s">
        <v>32734</v>
      </c>
      <c r="E7274" t="e" cm="1">
        <f t="array" ref="E7274">- SULFAMETHOXAZOLE. TRIMETHOPRIM</f>
        <v>#NAME?</v>
      </c>
      <c r="F7274" t="s">
        <v>26142</v>
      </c>
      <c r="H7274" t="s">
        <v>32735</v>
      </c>
      <c r="I7274" t="s">
        <v>32736</v>
      </c>
      <c r="J7274" t="s">
        <v>334</v>
      </c>
      <c r="K7274" t="s">
        <v>3952</v>
      </c>
      <c r="L7274" t="s">
        <v>321</v>
      </c>
      <c r="M7274" t="s">
        <v>340</v>
      </c>
      <c r="N7274" t="s">
        <v>1379</v>
      </c>
      <c r="O7274" t="s">
        <v>32737</v>
      </c>
      <c r="P7274" t="s">
        <v>32738</v>
      </c>
      <c r="Q7274" t="s">
        <v>33632</v>
      </c>
      <c r="R7274">
        <v>21</v>
      </c>
      <c r="S7274">
        <v>32</v>
      </c>
    </row>
    <row r="7275" spans="1:19" x14ac:dyDescent="0.35">
      <c r="A7275">
        <v>4844</v>
      </c>
      <c r="B7275" t="s">
        <v>33633</v>
      </c>
      <c r="C7275" t="s">
        <v>42</v>
      </c>
      <c r="D7275" t="s">
        <v>33634</v>
      </c>
      <c r="E7275" t="e" cm="1">
        <f t="array" ref="E7275">- SODIUM CROMOGLICATE</f>
        <v>#NAME?</v>
      </c>
      <c r="F7275" t="s">
        <v>33635</v>
      </c>
      <c r="H7275" t="s">
        <v>33636</v>
      </c>
      <c r="I7275" t="s">
        <v>33637</v>
      </c>
      <c r="J7275" t="s">
        <v>33638</v>
      </c>
      <c r="L7275" t="s">
        <v>33639</v>
      </c>
      <c r="M7275" t="s">
        <v>824</v>
      </c>
      <c r="N7275" t="s">
        <v>33640</v>
      </c>
      <c r="O7275" t="s">
        <v>33641</v>
      </c>
      <c r="P7275" t="s">
        <v>33642</v>
      </c>
      <c r="Q7275" t="s">
        <v>33643</v>
      </c>
      <c r="R7275">
        <v>21</v>
      </c>
      <c r="S7275">
        <v>32</v>
      </c>
    </row>
    <row r="7276" spans="1:19" x14ac:dyDescent="0.35">
      <c r="A7276">
        <v>6401</v>
      </c>
      <c r="B7276" t="s">
        <v>33644</v>
      </c>
      <c r="C7276" t="s">
        <v>42</v>
      </c>
      <c r="D7276" t="s">
        <v>33645</v>
      </c>
      <c r="E7276" t="e" cm="1">
        <f t="array" ref="E7276">- AMOXICILLIN TRIHYDRATE</f>
        <v>#NAME?</v>
      </c>
      <c r="F7276" t="s">
        <v>33646</v>
      </c>
      <c r="G7276" t="s">
        <v>33146</v>
      </c>
      <c r="H7276" t="s">
        <v>33147</v>
      </c>
      <c r="I7276" t="s">
        <v>33148</v>
      </c>
      <c r="J7276" t="s">
        <v>8208</v>
      </c>
      <c r="K7276" t="s">
        <v>18715</v>
      </c>
      <c r="L7276" t="s">
        <v>33149</v>
      </c>
      <c r="M7276" t="s">
        <v>291</v>
      </c>
      <c r="N7276" t="s">
        <v>1523</v>
      </c>
      <c r="O7276" t="s">
        <v>33150</v>
      </c>
      <c r="P7276" t="s">
        <v>18718</v>
      </c>
      <c r="Q7276" t="s">
        <v>33647</v>
      </c>
      <c r="R7276">
        <v>21</v>
      </c>
      <c r="S7276">
        <v>32</v>
      </c>
    </row>
    <row r="7277" spans="1:19" x14ac:dyDescent="0.35">
      <c r="A7277">
        <v>4843</v>
      </c>
      <c r="B7277" t="s">
        <v>33633</v>
      </c>
      <c r="C7277" t="s">
        <v>42</v>
      </c>
      <c r="D7277" t="s">
        <v>33634</v>
      </c>
      <c r="E7277" t="e" cm="1">
        <f t="array" ref="E7277">- SODIUM CROMOGLICATE</f>
        <v>#NAME?</v>
      </c>
      <c r="F7277" t="s">
        <v>33635</v>
      </c>
      <c r="H7277" t="s">
        <v>33636</v>
      </c>
      <c r="I7277" t="s">
        <v>33637</v>
      </c>
      <c r="J7277" t="s">
        <v>33638</v>
      </c>
      <c r="L7277" t="s">
        <v>33639</v>
      </c>
      <c r="M7277" t="s">
        <v>824</v>
      </c>
      <c r="N7277" t="s">
        <v>33640</v>
      </c>
      <c r="O7277" t="s">
        <v>33641</v>
      </c>
      <c r="P7277" t="s">
        <v>33642</v>
      </c>
      <c r="Q7277" t="s">
        <v>33643</v>
      </c>
      <c r="R7277">
        <v>21</v>
      </c>
      <c r="S7277">
        <v>32</v>
      </c>
    </row>
    <row r="7278" spans="1:19" x14ac:dyDescent="0.35">
      <c r="A7278">
        <v>739</v>
      </c>
      <c r="B7278" t="s">
        <v>33428</v>
      </c>
      <c r="C7278" t="s">
        <v>42</v>
      </c>
      <c r="D7278" t="s">
        <v>33429</v>
      </c>
      <c r="E7278" t="e" cm="1">
        <f t="array" ref="E7278">- SODIUM CHLORIDE</f>
        <v>#NAME?</v>
      </c>
      <c r="F7278" t="s">
        <v>33626</v>
      </c>
      <c r="G7278" t="s">
        <v>33431</v>
      </c>
      <c r="H7278" t="s">
        <v>33432</v>
      </c>
      <c r="I7278" t="s">
        <v>33433</v>
      </c>
      <c r="J7278" t="s">
        <v>829</v>
      </c>
      <c r="K7278" t="s">
        <v>2858</v>
      </c>
      <c r="L7278" t="s">
        <v>33434</v>
      </c>
      <c r="M7278" t="s">
        <v>824</v>
      </c>
      <c r="N7278" t="s">
        <v>24970</v>
      </c>
      <c r="O7278" t="s">
        <v>33435</v>
      </c>
      <c r="P7278" t="s">
        <v>33436</v>
      </c>
      <c r="Q7278" t="s">
        <v>33437</v>
      </c>
      <c r="R7278">
        <v>21</v>
      </c>
      <c r="S7278">
        <v>32</v>
      </c>
    </row>
    <row r="7279" spans="1:19" x14ac:dyDescent="0.35">
      <c r="A7279">
        <v>7657</v>
      </c>
      <c r="B7279" t="s">
        <v>25233</v>
      </c>
      <c r="C7279" t="s">
        <v>20</v>
      </c>
      <c r="D7279" t="s">
        <v>33613</v>
      </c>
      <c r="E7279" t="s">
        <v>25235</v>
      </c>
      <c r="F7279" s="1">
        <v>16800</v>
      </c>
      <c r="G7279" t="s">
        <v>33614</v>
      </c>
      <c r="H7279" t="s">
        <v>33615</v>
      </c>
      <c r="I7279" t="s">
        <v>33616</v>
      </c>
      <c r="J7279" t="s">
        <v>33617</v>
      </c>
      <c r="L7279" t="s">
        <v>33618</v>
      </c>
      <c r="M7279" t="s">
        <v>63</v>
      </c>
      <c r="N7279" t="s">
        <v>25237</v>
      </c>
      <c r="O7279" t="s">
        <v>33619</v>
      </c>
      <c r="P7279" t="s">
        <v>25237</v>
      </c>
      <c r="Q7279" t="s">
        <v>33620</v>
      </c>
      <c r="R7279">
        <v>21</v>
      </c>
      <c r="S7279">
        <v>32</v>
      </c>
    </row>
    <row r="7280" spans="1:19" x14ac:dyDescent="0.35">
      <c r="A7280">
        <v>885</v>
      </c>
      <c r="B7280" t="s">
        <v>18869</v>
      </c>
      <c r="C7280" t="s">
        <v>42</v>
      </c>
      <c r="D7280" t="s">
        <v>31924</v>
      </c>
      <c r="E7280" t="e" cm="1">
        <f t="array" ref="E7280">- CHLORPHENAMINE MALEATE. DEXTROMETHORPHAN HYDROBROMIDE</f>
        <v>#NAME?</v>
      </c>
      <c r="F7280" t="s">
        <v>31925</v>
      </c>
      <c r="I7280" t="s">
        <v>31926</v>
      </c>
      <c r="J7280" t="s">
        <v>852</v>
      </c>
      <c r="M7280" t="s">
        <v>271</v>
      </c>
      <c r="N7280" t="s">
        <v>23589</v>
      </c>
      <c r="O7280" t="s">
        <v>31927</v>
      </c>
      <c r="P7280" t="s">
        <v>18877</v>
      </c>
      <c r="Q7280" t="s">
        <v>33582</v>
      </c>
      <c r="R7280">
        <v>21</v>
      </c>
      <c r="S7280">
        <v>32</v>
      </c>
    </row>
    <row r="7281" spans="1:19" x14ac:dyDescent="0.35">
      <c r="A7281">
        <v>298</v>
      </c>
      <c r="B7281" t="s">
        <v>33525</v>
      </c>
      <c r="C7281" t="s">
        <v>42</v>
      </c>
      <c r="D7281" t="s">
        <v>33526</v>
      </c>
      <c r="E7281" t="e" cm="1">
        <f t="array" ref="E7281">- PROGESTERONE</f>
        <v>#NAME?</v>
      </c>
      <c r="F7281" t="s">
        <v>33527</v>
      </c>
      <c r="G7281" t="s">
        <v>33528</v>
      </c>
      <c r="H7281" t="s">
        <v>33529</v>
      </c>
      <c r="I7281" t="s">
        <v>33530</v>
      </c>
      <c r="J7281" t="s">
        <v>33531</v>
      </c>
      <c r="K7281" t="s">
        <v>33532</v>
      </c>
      <c r="L7281" t="s">
        <v>33533</v>
      </c>
      <c r="M7281" t="s">
        <v>33534</v>
      </c>
      <c r="N7281" t="s">
        <v>8537</v>
      </c>
      <c r="O7281" t="s">
        <v>33535</v>
      </c>
      <c r="P7281" t="s">
        <v>33536</v>
      </c>
      <c r="Q7281" t="s">
        <v>33537</v>
      </c>
      <c r="R7281">
        <v>21</v>
      </c>
      <c r="S7281">
        <v>32</v>
      </c>
    </row>
    <row r="7282" spans="1:19" x14ac:dyDescent="0.35">
      <c r="A7282">
        <v>10020</v>
      </c>
      <c r="B7282" t="s">
        <v>26110</v>
      </c>
      <c r="C7282" t="s">
        <v>42</v>
      </c>
      <c r="D7282" t="s">
        <v>26111</v>
      </c>
      <c r="E7282" t="e" cm="1">
        <f t="array" ref="E7282">- POTASSIUM HYDROGEN ASPARTATE HEMIHYDRATE. MAGNESIUM ASPARTATE DIHYDRATE</f>
        <v>#NAME?</v>
      </c>
      <c r="F7282" t="s">
        <v>26112</v>
      </c>
      <c r="G7282" t="s">
        <v>835</v>
      </c>
      <c r="H7282" t="s">
        <v>389</v>
      </c>
      <c r="I7282" t="s">
        <v>26113</v>
      </c>
      <c r="J7282" t="s">
        <v>5221</v>
      </c>
      <c r="K7282" t="s">
        <v>26114</v>
      </c>
      <c r="L7282" t="s">
        <v>26115</v>
      </c>
      <c r="M7282" t="s">
        <v>291</v>
      </c>
      <c r="N7282" t="s">
        <v>33648</v>
      </c>
      <c r="O7282" t="s">
        <v>26117</v>
      </c>
      <c r="P7282" t="s">
        <v>26118</v>
      </c>
      <c r="Q7282" t="s">
        <v>33649</v>
      </c>
      <c r="R7282">
        <v>21</v>
      </c>
      <c r="S7282">
        <v>32</v>
      </c>
    </row>
    <row r="7283" spans="1:19" x14ac:dyDescent="0.35">
      <c r="A7283">
        <v>8147</v>
      </c>
      <c r="B7283" t="s">
        <v>551</v>
      </c>
      <c r="C7283" t="s">
        <v>42</v>
      </c>
      <c r="D7283" t="s">
        <v>33650</v>
      </c>
      <c r="E7283" t="e" cm="1">
        <f t="array" ref="E7283">- POVIDONE-IODINE</f>
        <v>#NAME?</v>
      </c>
      <c r="F7283" s="1">
        <v>24700</v>
      </c>
      <c r="H7283" t="s">
        <v>9172</v>
      </c>
      <c r="I7283" t="s">
        <v>33651</v>
      </c>
      <c r="J7283" t="s">
        <v>12671</v>
      </c>
      <c r="M7283" t="s">
        <v>554</v>
      </c>
      <c r="N7283" t="s">
        <v>555</v>
      </c>
      <c r="O7283" t="s">
        <v>33652</v>
      </c>
      <c r="P7283" t="s">
        <v>33653</v>
      </c>
      <c r="Q7283" t="s">
        <v>33654</v>
      </c>
      <c r="R7283">
        <v>21</v>
      </c>
      <c r="S7283">
        <v>32</v>
      </c>
    </row>
    <row r="7284" spans="1:19" x14ac:dyDescent="0.35">
      <c r="A7284">
        <v>4600</v>
      </c>
      <c r="B7284" t="s">
        <v>33655</v>
      </c>
      <c r="C7284" t="s">
        <v>42</v>
      </c>
      <c r="D7284" t="s">
        <v>33656</v>
      </c>
      <c r="E7284" t="e" cm="1">
        <f t="array" ref="E7284">- WITCH HAZEL</f>
        <v>#NAME?</v>
      </c>
      <c r="F7284" t="s">
        <v>33657</v>
      </c>
      <c r="G7284" t="s">
        <v>33658</v>
      </c>
      <c r="H7284" t="s">
        <v>14993</v>
      </c>
      <c r="I7284" t="s">
        <v>33659</v>
      </c>
      <c r="J7284" t="s">
        <v>33660</v>
      </c>
      <c r="K7284" t="s">
        <v>2726</v>
      </c>
      <c r="L7284" t="s">
        <v>33661</v>
      </c>
      <c r="M7284" t="s">
        <v>554</v>
      </c>
      <c r="N7284" t="s">
        <v>33662</v>
      </c>
      <c r="O7284" t="s">
        <v>33663</v>
      </c>
      <c r="P7284" t="s">
        <v>33664</v>
      </c>
      <c r="Q7284" t="s">
        <v>33665</v>
      </c>
      <c r="R7284">
        <v>21</v>
      </c>
      <c r="S7284">
        <v>32</v>
      </c>
    </row>
    <row r="7285" spans="1:19" x14ac:dyDescent="0.35">
      <c r="A7285">
        <v>751</v>
      </c>
      <c r="B7285" t="s">
        <v>33410</v>
      </c>
      <c r="C7285" t="s">
        <v>42</v>
      </c>
      <c r="D7285" t="s">
        <v>33411</v>
      </c>
      <c r="E7285" t="e" cm="1">
        <f t="array" ref="E7285">- SODIUM CHLORIDE</f>
        <v>#NAME?</v>
      </c>
      <c r="F7285" t="s">
        <v>33412</v>
      </c>
      <c r="G7285" t="s">
        <v>33413</v>
      </c>
      <c r="H7285" t="s">
        <v>33414</v>
      </c>
      <c r="I7285" t="s">
        <v>33415</v>
      </c>
      <c r="J7285" t="s">
        <v>829</v>
      </c>
      <c r="K7285" t="s">
        <v>2726</v>
      </c>
      <c r="L7285" t="s">
        <v>33416</v>
      </c>
      <c r="M7285" t="s">
        <v>3453</v>
      </c>
      <c r="N7285" t="s">
        <v>24970</v>
      </c>
      <c r="O7285" t="s">
        <v>33417</v>
      </c>
      <c r="P7285" t="s">
        <v>33418</v>
      </c>
      <c r="Q7285" t="s">
        <v>33419</v>
      </c>
      <c r="R7285">
        <v>21</v>
      </c>
      <c r="S7285">
        <v>32</v>
      </c>
    </row>
    <row r="7286" spans="1:19" x14ac:dyDescent="0.35">
      <c r="A7286">
        <v>5927</v>
      </c>
      <c r="B7286" t="s">
        <v>33666</v>
      </c>
      <c r="C7286" t="s">
        <v>42</v>
      </c>
      <c r="D7286" t="s">
        <v>33667</v>
      </c>
      <c r="E7286" t="e" cm="1">
        <f t="array" ref="E7286">- CIPROFLOXACIN</f>
        <v>#NAME?</v>
      </c>
      <c r="F7286" t="s">
        <v>33668</v>
      </c>
      <c r="G7286" t="s">
        <v>6310</v>
      </c>
      <c r="H7286" t="s">
        <v>1055</v>
      </c>
      <c r="I7286" t="s">
        <v>33669</v>
      </c>
      <c r="J7286" t="s">
        <v>17146</v>
      </c>
      <c r="L7286" t="s">
        <v>33670</v>
      </c>
      <c r="M7286" t="s">
        <v>46</v>
      </c>
      <c r="N7286" t="s">
        <v>1056</v>
      </c>
      <c r="O7286" t="s">
        <v>33671</v>
      </c>
      <c r="P7286" t="s">
        <v>33672</v>
      </c>
      <c r="Q7286" t="s">
        <v>33673</v>
      </c>
      <c r="R7286">
        <v>21</v>
      </c>
      <c r="S7286">
        <v>32</v>
      </c>
    </row>
    <row r="7287" spans="1:19" x14ac:dyDescent="0.35">
      <c r="A7287">
        <v>6660</v>
      </c>
      <c r="B7287" t="s">
        <v>33674</v>
      </c>
      <c r="C7287" t="s">
        <v>42</v>
      </c>
      <c r="D7287" t="s">
        <v>33675</v>
      </c>
      <c r="E7287" t="e" cm="1">
        <f t="array" ref="E7287">- FAVIPIRAVIR</f>
        <v>#NAME?</v>
      </c>
      <c r="F7287" s="1">
        <v>153600</v>
      </c>
      <c r="G7287" t="s">
        <v>5584</v>
      </c>
      <c r="H7287" t="s">
        <v>33676</v>
      </c>
      <c r="I7287" t="s">
        <v>33677</v>
      </c>
      <c r="J7287" t="s">
        <v>381</v>
      </c>
      <c r="K7287" t="s">
        <v>33678</v>
      </c>
      <c r="M7287" t="s">
        <v>46</v>
      </c>
      <c r="N7287" t="s">
        <v>33679</v>
      </c>
      <c r="O7287" t="s">
        <v>33680</v>
      </c>
      <c r="P7287" t="s">
        <v>33681</v>
      </c>
      <c r="Q7287" t="s">
        <v>33682</v>
      </c>
      <c r="R7287">
        <v>21</v>
      </c>
      <c r="S7287">
        <v>32</v>
      </c>
    </row>
    <row r="7288" spans="1:19" x14ac:dyDescent="0.35">
      <c r="A7288">
        <v>4198</v>
      </c>
      <c r="B7288" t="s">
        <v>33683</v>
      </c>
      <c r="C7288" t="s">
        <v>42</v>
      </c>
      <c r="D7288" t="s">
        <v>33684</v>
      </c>
      <c r="E7288" t="e" cm="1">
        <f t="array" ref="E7288">- DEXCHLORPHENIRAMINE MALEATE</f>
        <v>#NAME?</v>
      </c>
      <c r="F7288" s="1">
        <v>1900</v>
      </c>
      <c r="G7288" t="s">
        <v>33685</v>
      </c>
      <c r="H7288" t="s">
        <v>33686</v>
      </c>
      <c r="I7288" t="s">
        <v>33687</v>
      </c>
      <c r="J7288" t="s">
        <v>29824</v>
      </c>
      <c r="K7288" t="s">
        <v>33688</v>
      </c>
      <c r="L7288" t="s">
        <v>33689</v>
      </c>
      <c r="M7288" t="s">
        <v>46</v>
      </c>
      <c r="N7288" t="s">
        <v>1530</v>
      </c>
      <c r="O7288" t="s">
        <v>33690</v>
      </c>
      <c r="P7288" t="s">
        <v>33691</v>
      </c>
      <c r="Q7288" t="s">
        <v>33692</v>
      </c>
      <c r="R7288">
        <v>21</v>
      </c>
      <c r="S7288">
        <v>32</v>
      </c>
    </row>
    <row r="7289" spans="1:19" x14ac:dyDescent="0.35">
      <c r="A7289">
        <v>7988</v>
      </c>
      <c r="B7289" t="s">
        <v>33693</v>
      </c>
      <c r="C7289" t="s">
        <v>20</v>
      </c>
      <c r="D7289" t="s">
        <v>33694</v>
      </c>
      <c r="E7289" t="s">
        <v>33695</v>
      </c>
      <c r="F7289" t="s">
        <v>33696</v>
      </c>
      <c r="H7289" t="s">
        <v>33697</v>
      </c>
      <c r="I7289" t="s">
        <v>33698</v>
      </c>
      <c r="J7289" t="s">
        <v>4233</v>
      </c>
      <c r="K7289" t="s">
        <v>33699</v>
      </c>
      <c r="L7289" t="s">
        <v>33700</v>
      </c>
      <c r="M7289" t="s">
        <v>2374</v>
      </c>
      <c r="N7289" t="s">
        <v>33701</v>
      </c>
      <c r="O7289" t="s">
        <v>33702</v>
      </c>
      <c r="P7289" t="s">
        <v>33701</v>
      </c>
      <c r="Q7289" t="s">
        <v>33703</v>
      </c>
      <c r="R7289">
        <v>21</v>
      </c>
      <c r="S7289">
        <v>32</v>
      </c>
    </row>
    <row r="7290" spans="1:19" x14ac:dyDescent="0.35">
      <c r="A7290">
        <v>6012</v>
      </c>
      <c r="B7290" t="s">
        <v>33704</v>
      </c>
      <c r="C7290" t="s">
        <v>42</v>
      </c>
      <c r="D7290" t="s">
        <v>33705</v>
      </c>
      <c r="E7290" t="e" cm="1">
        <f t="array" ref="E7290">- AMOXICILLIN TRIHYDRATE</f>
        <v>#NAME?</v>
      </c>
      <c r="F7290" t="s">
        <v>33706</v>
      </c>
      <c r="G7290" t="s">
        <v>20492</v>
      </c>
      <c r="H7290" t="s">
        <v>33707</v>
      </c>
      <c r="I7290" t="s">
        <v>33708</v>
      </c>
      <c r="J7290" t="s">
        <v>5221</v>
      </c>
      <c r="L7290" t="s">
        <v>33709</v>
      </c>
      <c r="M7290" t="s">
        <v>291</v>
      </c>
      <c r="N7290" t="s">
        <v>1523</v>
      </c>
      <c r="O7290" t="s">
        <v>33710</v>
      </c>
      <c r="P7290" t="s">
        <v>33711</v>
      </c>
      <c r="Q7290" t="s">
        <v>33712</v>
      </c>
      <c r="R7290">
        <v>21</v>
      </c>
      <c r="S7290">
        <v>32</v>
      </c>
    </row>
    <row r="7291" spans="1:19" x14ac:dyDescent="0.35">
      <c r="A7291">
        <v>6013</v>
      </c>
      <c r="B7291" t="s">
        <v>33704</v>
      </c>
      <c r="C7291" t="s">
        <v>42</v>
      </c>
      <c r="D7291" t="s">
        <v>33705</v>
      </c>
      <c r="E7291" t="e" cm="1">
        <f t="array" ref="E7291">- AMOXICILLIN TRIHYDRATE</f>
        <v>#NAME?</v>
      </c>
      <c r="F7291" t="s">
        <v>33706</v>
      </c>
      <c r="G7291" t="s">
        <v>20492</v>
      </c>
      <c r="H7291" t="s">
        <v>33707</v>
      </c>
      <c r="I7291" t="s">
        <v>33708</v>
      </c>
      <c r="J7291" t="s">
        <v>5221</v>
      </c>
      <c r="L7291" t="s">
        <v>33709</v>
      </c>
      <c r="M7291" t="s">
        <v>291</v>
      </c>
      <c r="N7291" t="s">
        <v>1523</v>
      </c>
      <c r="O7291" t="s">
        <v>33710</v>
      </c>
      <c r="P7291" t="s">
        <v>33711</v>
      </c>
      <c r="Q7291" t="s">
        <v>33712</v>
      </c>
      <c r="R7291">
        <v>21</v>
      </c>
      <c r="S7291">
        <v>32</v>
      </c>
    </row>
    <row r="7292" spans="1:19" x14ac:dyDescent="0.35">
      <c r="A7292">
        <v>750</v>
      </c>
      <c r="B7292" t="s">
        <v>33410</v>
      </c>
      <c r="C7292" t="s">
        <v>42</v>
      </c>
      <c r="D7292" t="s">
        <v>33411</v>
      </c>
      <c r="E7292" t="e" cm="1">
        <f t="array" ref="E7292">- SODIUM CHLORIDE</f>
        <v>#NAME?</v>
      </c>
      <c r="F7292" t="s">
        <v>33412</v>
      </c>
      <c r="G7292" t="s">
        <v>33413</v>
      </c>
      <c r="H7292" t="s">
        <v>33414</v>
      </c>
      <c r="I7292" t="s">
        <v>33415</v>
      </c>
      <c r="J7292" t="s">
        <v>829</v>
      </c>
      <c r="K7292" t="s">
        <v>2726</v>
      </c>
      <c r="L7292" t="s">
        <v>33416</v>
      </c>
      <c r="M7292" t="s">
        <v>3453</v>
      </c>
      <c r="N7292" t="s">
        <v>24970</v>
      </c>
      <c r="O7292" t="s">
        <v>33417</v>
      </c>
      <c r="P7292" t="s">
        <v>33418</v>
      </c>
      <c r="Q7292" t="s">
        <v>33419</v>
      </c>
      <c r="R7292">
        <v>21</v>
      </c>
      <c r="S7292">
        <v>32</v>
      </c>
    </row>
    <row r="7293" spans="1:19" x14ac:dyDescent="0.35">
      <c r="A7293">
        <v>6745</v>
      </c>
      <c r="B7293" t="s">
        <v>33713</v>
      </c>
      <c r="C7293" t="s">
        <v>42</v>
      </c>
      <c r="D7293" t="s">
        <v>33714</v>
      </c>
      <c r="E7293" t="e" cm="1">
        <f t="array" ref="E7293">- ALLOPURINOL</f>
        <v>#NAME?</v>
      </c>
      <c r="F7293" t="s">
        <v>33715</v>
      </c>
      <c r="G7293" t="s">
        <v>5033</v>
      </c>
      <c r="H7293" t="s">
        <v>33716</v>
      </c>
      <c r="I7293" t="s">
        <v>33717</v>
      </c>
      <c r="J7293" t="s">
        <v>381</v>
      </c>
      <c r="K7293" t="s">
        <v>33718</v>
      </c>
      <c r="L7293" t="s">
        <v>33719</v>
      </c>
      <c r="M7293" t="s">
        <v>46</v>
      </c>
      <c r="N7293" t="s">
        <v>424</v>
      </c>
      <c r="O7293" t="s">
        <v>33720</v>
      </c>
      <c r="P7293" t="s">
        <v>424</v>
      </c>
      <c r="Q7293" t="s">
        <v>33721</v>
      </c>
      <c r="R7293">
        <v>21</v>
      </c>
      <c r="S7293">
        <v>32</v>
      </c>
    </row>
    <row r="7294" spans="1:19" x14ac:dyDescent="0.35">
      <c r="A7294">
        <v>749</v>
      </c>
      <c r="B7294" t="s">
        <v>33410</v>
      </c>
      <c r="C7294" t="s">
        <v>42</v>
      </c>
      <c r="D7294" t="s">
        <v>33411</v>
      </c>
      <c r="E7294" t="e" cm="1">
        <f t="array" ref="E7294">- SODIUM CHLORIDE</f>
        <v>#NAME?</v>
      </c>
      <c r="F7294" t="s">
        <v>33412</v>
      </c>
      <c r="G7294" t="s">
        <v>33413</v>
      </c>
      <c r="H7294" t="s">
        <v>33414</v>
      </c>
      <c r="I7294" t="s">
        <v>33415</v>
      </c>
      <c r="J7294" t="s">
        <v>829</v>
      </c>
      <c r="K7294" t="s">
        <v>2726</v>
      </c>
      <c r="L7294" t="s">
        <v>33416</v>
      </c>
      <c r="M7294" t="s">
        <v>3453</v>
      </c>
      <c r="N7294" t="s">
        <v>24970</v>
      </c>
      <c r="O7294" t="s">
        <v>33417</v>
      </c>
      <c r="P7294" t="s">
        <v>33418</v>
      </c>
      <c r="Q7294" t="s">
        <v>33419</v>
      </c>
      <c r="R7294">
        <v>21</v>
      </c>
      <c r="S7294">
        <v>32</v>
      </c>
    </row>
    <row r="7295" spans="1:19" x14ac:dyDescent="0.35">
      <c r="A7295">
        <v>7526</v>
      </c>
      <c r="B7295" t="s">
        <v>33722</v>
      </c>
      <c r="C7295" t="s">
        <v>42</v>
      </c>
      <c r="D7295" t="s">
        <v>33723</v>
      </c>
      <c r="E7295" t="e" cm="1">
        <f t="array" ref="E7295">- FOLIC ACID</f>
        <v>#NAME?</v>
      </c>
      <c r="F7295" t="s">
        <v>33724</v>
      </c>
      <c r="G7295" t="s">
        <v>5839</v>
      </c>
      <c r="H7295" t="s">
        <v>33725</v>
      </c>
      <c r="I7295" t="s">
        <v>33726</v>
      </c>
      <c r="J7295" t="s">
        <v>8602</v>
      </c>
      <c r="K7295" t="s">
        <v>33727</v>
      </c>
      <c r="L7295" t="s">
        <v>33728</v>
      </c>
      <c r="M7295" t="s">
        <v>46</v>
      </c>
      <c r="N7295" t="s">
        <v>9036</v>
      </c>
      <c r="O7295" t="s">
        <v>33729</v>
      </c>
      <c r="P7295" t="s">
        <v>33730</v>
      </c>
      <c r="Q7295" t="s">
        <v>33731</v>
      </c>
      <c r="R7295">
        <v>21</v>
      </c>
      <c r="S7295">
        <v>32</v>
      </c>
    </row>
    <row r="7296" spans="1:19" x14ac:dyDescent="0.35">
      <c r="A7296">
        <v>7525</v>
      </c>
      <c r="B7296" t="s">
        <v>33722</v>
      </c>
      <c r="C7296" t="s">
        <v>42</v>
      </c>
      <c r="D7296" t="s">
        <v>33723</v>
      </c>
      <c r="E7296" t="e" cm="1">
        <f t="array" ref="E7296">- FOLIC ACID</f>
        <v>#NAME?</v>
      </c>
      <c r="F7296" t="s">
        <v>33724</v>
      </c>
      <c r="G7296" t="s">
        <v>5839</v>
      </c>
      <c r="H7296" t="s">
        <v>33725</v>
      </c>
      <c r="I7296" t="s">
        <v>33726</v>
      </c>
      <c r="J7296" t="s">
        <v>8602</v>
      </c>
      <c r="K7296" t="s">
        <v>33727</v>
      </c>
      <c r="L7296" t="s">
        <v>33728</v>
      </c>
      <c r="M7296" t="s">
        <v>46</v>
      </c>
      <c r="N7296" t="s">
        <v>9036</v>
      </c>
      <c r="O7296" t="s">
        <v>33729</v>
      </c>
      <c r="P7296" t="s">
        <v>33730</v>
      </c>
      <c r="Q7296" t="s">
        <v>33731</v>
      </c>
      <c r="R7296">
        <v>21</v>
      </c>
      <c r="S7296">
        <v>32</v>
      </c>
    </row>
    <row r="7297" spans="1:19" x14ac:dyDescent="0.35">
      <c r="A7297">
        <v>7524</v>
      </c>
      <c r="B7297" t="s">
        <v>33722</v>
      </c>
      <c r="C7297" t="s">
        <v>42</v>
      </c>
      <c r="D7297" t="s">
        <v>33723</v>
      </c>
      <c r="E7297" t="e" cm="1">
        <f t="array" ref="E7297">- FOLIC ACID</f>
        <v>#NAME?</v>
      </c>
      <c r="F7297" t="s">
        <v>33724</v>
      </c>
      <c r="G7297" t="s">
        <v>5839</v>
      </c>
      <c r="H7297" t="s">
        <v>33725</v>
      </c>
      <c r="I7297" t="s">
        <v>33726</v>
      </c>
      <c r="J7297" t="s">
        <v>8602</v>
      </c>
      <c r="K7297" t="s">
        <v>33727</v>
      </c>
      <c r="L7297" t="s">
        <v>33728</v>
      </c>
      <c r="M7297" t="s">
        <v>46</v>
      </c>
      <c r="N7297" t="s">
        <v>9036</v>
      </c>
      <c r="O7297" t="s">
        <v>33729</v>
      </c>
      <c r="P7297" t="s">
        <v>33730</v>
      </c>
      <c r="Q7297" t="s">
        <v>33731</v>
      </c>
      <c r="R7297">
        <v>21</v>
      </c>
      <c r="S7297">
        <v>32</v>
      </c>
    </row>
    <row r="7298" spans="1:19" x14ac:dyDescent="0.35">
      <c r="A7298">
        <v>7523</v>
      </c>
      <c r="B7298" t="s">
        <v>33722</v>
      </c>
      <c r="C7298" t="s">
        <v>42</v>
      </c>
      <c r="D7298" t="s">
        <v>33723</v>
      </c>
      <c r="E7298" t="e" cm="1">
        <f t="array" ref="E7298">- FOLIC ACID</f>
        <v>#NAME?</v>
      </c>
      <c r="F7298" t="s">
        <v>33724</v>
      </c>
      <c r="G7298" t="s">
        <v>5839</v>
      </c>
      <c r="H7298" t="s">
        <v>33725</v>
      </c>
      <c r="I7298" t="s">
        <v>33726</v>
      </c>
      <c r="J7298" t="s">
        <v>8602</v>
      </c>
      <c r="K7298" t="s">
        <v>33727</v>
      </c>
      <c r="L7298" t="s">
        <v>33728</v>
      </c>
      <c r="M7298" t="s">
        <v>46</v>
      </c>
      <c r="N7298" t="s">
        <v>9036</v>
      </c>
      <c r="O7298" t="s">
        <v>33729</v>
      </c>
      <c r="P7298" t="s">
        <v>33730</v>
      </c>
      <c r="Q7298" t="s">
        <v>33731</v>
      </c>
      <c r="R7298">
        <v>21</v>
      </c>
      <c r="S7298">
        <v>32</v>
      </c>
    </row>
    <row r="7299" spans="1:19" x14ac:dyDescent="0.35">
      <c r="A7299">
        <v>19</v>
      </c>
      <c r="B7299" t="s">
        <v>2902</v>
      </c>
      <c r="C7299" t="s">
        <v>42</v>
      </c>
      <c r="D7299" t="s">
        <v>33732</v>
      </c>
      <c r="E7299" t="e" cm="1">
        <f t="array" ref="E7299">- SILDENAFIL CITRATE</f>
        <v>#NAME?</v>
      </c>
      <c r="F7299" t="s">
        <v>33733</v>
      </c>
      <c r="G7299" t="s">
        <v>13435</v>
      </c>
      <c r="H7299" t="s">
        <v>1322</v>
      </c>
      <c r="I7299" t="s">
        <v>33734</v>
      </c>
      <c r="J7299" t="s">
        <v>3856</v>
      </c>
      <c r="L7299" t="s">
        <v>33735</v>
      </c>
      <c r="M7299" t="s">
        <v>46</v>
      </c>
      <c r="N7299" t="s">
        <v>2519</v>
      </c>
      <c r="O7299" t="s">
        <v>33736</v>
      </c>
      <c r="P7299" t="s">
        <v>13439</v>
      </c>
      <c r="Q7299" t="s">
        <v>33737</v>
      </c>
      <c r="R7299">
        <v>21</v>
      </c>
      <c r="S7299">
        <v>32</v>
      </c>
    </row>
    <row r="7300" spans="1:19" x14ac:dyDescent="0.35">
      <c r="A7300">
        <v>748</v>
      </c>
      <c r="B7300" t="s">
        <v>33410</v>
      </c>
      <c r="C7300" t="s">
        <v>42</v>
      </c>
      <c r="D7300" t="s">
        <v>33411</v>
      </c>
      <c r="E7300" t="e" cm="1">
        <f t="array" ref="E7300">- SODIUM CHLORIDE</f>
        <v>#NAME?</v>
      </c>
      <c r="F7300" t="s">
        <v>33412</v>
      </c>
      <c r="G7300" t="s">
        <v>33413</v>
      </c>
      <c r="H7300" t="s">
        <v>33414</v>
      </c>
      <c r="I7300" t="s">
        <v>33415</v>
      </c>
      <c r="J7300" t="s">
        <v>829</v>
      </c>
      <c r="K7300" t="s">
        <v>2726</v>
      </c>
      <c r="L7300" t="s">
        <v>33416</v>
      </c>
      <c r="M7300" t="s">
        <v>3453</v>
      </c>
      <c r="N7300" t="s">
        <v>24970</v>
      </c>
      <c r="O7300" t="s">
        <v>33417</v>
      </c>
      <c r="P7300" t="s">
        <v>33418</v>
      </c>
      <c r="Q7300" t="s">
        <v>33419</v>
      </c>
      <c r="R7300">
        <v>21</v>
      </c>
      <c r="S7300">
        <v>32</v>
      </c>
    </row>
    <row r="7301" spans="1:19" x14ac:dyDescent="0.35">
      <c r="A7301">
        <v>747</v>
      </c>
      <c r="B7301" t="s">
        <v>33410</v>
      </c>
      <c r="C7301" t="s">
        <v>42</v>
      </c>
      <c r="D7301" t="s">
        <v>33411</v>
      </c>
      <c r="E7301" t="e" cm="1">
        <f t="array" ref="E7301">- SODIUM CHLORIDE</f>
        <v>#NAME?</v>
      </c>
      <c r="F7301" t="s">
        <v>33412</v>
      </c>
      <c r="G7301" t="s">
        <v>33413</v>
      </c>
      <c r="H7301" t="s">
        <v>33414</v>
      </c>
      <c r="I7301" t="s">
        <v>33415</v>
      </c>
      <c r="J7301" t="s">
        <v>829</v>
      </c>
      <c r="K7301" t="s">
        <v>2726</v>
      </c>
      <c r="L7301" t="s">
        <v>33416</v>
      </c>
      <c r="M7301" t="s">
        <v>3453</v>
      </c>
      <c r="N7301" t="s">
        <v>24970</v>
      </c>
      <c r="O7301" t="s">
        <v>33417</v>
      </c>
      <c r="P7301" t="s">
        <v>33418</v>
      </c>
      <c r="Q7301" t="s">
        <v>33419</v>
      </c>
      <c r="R7301">
        <v>21</v>
      </c>
      <c r="S7301">
        <v>32</v>
      </c>
    </row>
    <row r="7302" spans="1:19" x14ac:dyDescent="0.35">
      <c r="A7302">
        <v>1106</v>
      </c>
      <c r="B7302" t="s">
        <v>33738</v>
      </c>
      <c r="C7302" t="s">
        <v>42</v>
      </c>
      <c r="D7302" t="s">
        <v>33739</v>
      </c>
      <c r="E7302" t="e" cm="1">
        <f t="array" ref="E7302">- ACETYLCYSTEINE</f>
        <v>#NAME?</v>
      </c>
      <c r="F7302" s="1">
        <v>33300</v>
      </c>
      <c r="G7302" t="s">
        <v>33740</v>
      </c>
      <c r="H7302" t="s">
        <v>33741</v>
      </c>
      <c r="I7302" t="s">
        <v>33742</v>
      </c>
      <c r="J7302" t="s">
        <v>33743</v>
      </c>
      <c r="K7302" t="s">
        <v>33744</v>
      </c>
      <c r="L7302" t="s">
        <v>33745</v>
      </c>
      <c r="M7302" t="s">
        <v>46</v>
      </c>
      <c r="N7302" t="s">
        <v>9045</v>
      </c>
      <c r="O7302" t="s">
        <v>33746</v>
      </c>
      <c r="P7302" t="s">
        <v>33747</v>
      </c>
      <c r="Q7302" t="s">
        <v>33748</v>
      </c>
      <c r="R7302">
        <v>21</v>
      </c>
      <c r="S7302">
        <v>32</v>
      </c>
    </row>
    <row r="7303" spans="1:19" x14ac:dyDescent="0.35">
      <c r="A7303">
        <v>6030</v>
      </c>
      <c r="B7303" t="s">
        <v>33749</v>
      </c>
      <c r="C7303" t="s">
        <v>42</v>
      </c>
      <c r="D7303" t="s">
        <v>33750</v>
      </c>
      <c r="E7303" t="e" cm="1">
        <f t="array" ref="E7303">- AMOXICILLIN TRIHYDRATE</f>
        <v>#NAME?</v>
      </c>
      <c r="F7303" t="s">
        <v>33751</v>
      </c>
      <c r="G7303" t="s">
        <v>2241</v>
      </c>
      <c r="H7303" t="s">
        <v>33147</v>
      </c>
      <c r="I7303" t="s">
        <v>33148</v>
      </c>
      <c r="J7303" t="s">
        <v>381</v>
      </c>
      <c r="K7303" t="s">
        <v>33752</v>
      </c>
      <c r="L7303" t="s">
        <v>33753</v>
      </c>
      <c r="M7303" t="s">
        <v>291</v>
      </c>
      <c r="N7303" t="s">
        <v>1523</v>
      </c>
      <c r="O7303" t="s">
        <v>33150</v>
      </c>
      <c r="P7303" t="s">
        <v>33754</v>
      </c>
      <c r="Q7303" t="s">
        <v>33755</v>
      </c>
      <c r="R7303">
        <v>21</v>
      </c>
      <c r="S7303">
        <v>32</v>
      </c>
    </row>
    <row r="7304" spans="1:19" x14ac:dyDescent="0.35">
      <c r="A7304">
        <v>7591</v>
      </c>
      <c r="B7304" t="s">
        <v>33756</v>
      </c>
      <c r="C7304" t="s">
        <v>20</v>
      </c>
      <c r="D7304" t="s">
        <v>33757</v>
      </c>
      <c r="E7304" t="s">
        <v>33758</v>
      </c>
      <c r="F7304" t="s">
        <v>33759</v>
      </c>
      <c r="G7304" t="s">
        <v>29344</v>
      </c>
      <c r="H7304" t="s">
        <v>29345</v>
      </c>
      <c r="I7304" t="s">
        <v>29346</v>
      </c>
      <c r="J7304" t="s">
        <v>374</v>
      </c>
      <c r="L7304" t="s">
        <v>29347</v>
      </c>
      <c r="M7304" t="s">
        <v>271</v>
      </c>
      <c r="N7304" t="s">
        <v>33760</v>
      </c>
      <c r="O7304" t="s">
        <v>29349</v>
      </c>
      <c r="P7304" t="s">
        <v>33761</v>
      </c>
      <c r="Q7304" t="s">
        <v>33762</v>
      </c>
      <c r="R7304">
        <v>21</v>
      </c>
      <c r="S7304">
        <v>32</v>
      </c>
    </row>
    <row r="7305" spans="1:19" x14ac:dyDescent="0.35">
      <c r="A7305">
        <v>4302</v>
      </c>
      <c r="B7305" t="s">
        <v>33763</v>
      </c>
      <c r="C7305" t="s">
        <v>42</v>
      </c>
      <c r="D7305" t="s">
        <v>33764</v>
      </c>
      <c r="E7305" t="e" cm="1">
        <f t="array" ref="E7305">- CALAMINE. ZINC OXIDE. DIPHENHYDRAMINE HYDROCHLORIDE</f>
        <v>#NAME?</v>
      </c>
      <c r="F7305" t="s">
        <v>33765</v>
      </c>
      <c r="G7305" t="s">
        <v>33766</v>
      </c>
      <c r="H7305" t="s">
        <v>33767</v>
      </c>
      <c r="I7305" t="s">
        <v>33768</v>
      </c>
      <c r="J7305" t="s">
        <v>846</v>
      </c>
      <c r="K7305" t="s">
        <v>2726</v>
      </c>
      <c r="L7305" t="s">
        <v>33769</v>
      </c>
      <c r="M7305" t="s">
        <v>554</v>
      </c>
      <c r="N7305" t="s">
        <v>33770</v>
      </c>
      <c r="O7305" t="s">
        <v>33771</v>
      </c>
      <c r="P7305" t="s">
        <v>33772</v>
      </c>
      <c r="Q7305" t="s">
        <v>33773</v>
      </c>
      <c r="R7305">
        <v>21</v>
      </c>
      <c r="S7305">
        <v>32</v>
      </c>
    </row>
    <row r="7306" spans="1:19" x14ac:dyDescent="0.35">
      <c r="A7306">
        <v>5992</v>
      </c>
      <c r="B7306" t="s">
        <v>33774</v>
      </c>
      <c r="C7306" t="s">
        <v>42</v>
      </c>
      <c r="D7306" t="s">
        <v>33775</v>
      </c>
      <c r="E7306" t="e" cm="1">
        <f t="array" ref="E7306">- AMOXICILLIN TRIHYDRATE</f>
        <v>#NAME?</v>
      </c>
      <c r="F7306" t="s">
        <v>33776</v>
      </c>
      <c r="G7306" t="s">
        <v>20492</v>
      </c>
      <c r="H7306" t="s">
        <v>33777</v>
      </c>
      <c r="I7306" t="s">
        <v>33708</v>
      </c>
      <c r="J7306" t="s">
        <v>334</v>
      </c>
      <c r="L7306" t="s">
        <v>33709</v>
      </c>
      <c r="M7306" t="s">
        <v>271</v>
      </c>
      <c r="N7306" t="s">
        <v>1523</v>
      </c>
      <c r="O7306" t="s">
        <v>33710</v>
      </c>
      <c r="P7306" t="s">
        <v>33778</v>
      </c>
      <c r="Q7306" t="s">
        <v>33779</v>
      </c>
      <c r="R7306">
        <v>21</v>
      </c>
      <c r="S7306">
        <v>32</v>
      </c>
    </row>
    <row r="7307" spans="1:19" x14ac:dyDescent="0.35">
      <c r="A7307">
        <v>4369</v>
      </c>
      <c r="B7307" t="s">
        <v>1637</v>
      </c>
      <c r="C7307" t="s">
        <v>42</v>
      </c>
      <c r="D7307" t="s">
        <v>33504</v>
      </c>
      <c r="E7307" t="e" cm="1">
        <f t="array" ref="E7307">- OFLOXACIN</f>
        <v>#NAME?</v>
      </c>
      <c r="F7307" s="1">
        <v>143800</v>
      </c>
      <c r="G7307" t="s">
        <v>33505</v>
      </c>
      <c r="H7307" t="s">
        <v>33506</v>
      </c>
      <c r="I7307" t="s">
        <v>33507</v>
      </c>
      <c r="J7307" t="s">
        <v>33508</v>
      </c>
      <c r="M7307" t="s">
        <v>824</v>
      </c>
      <c r="N7307" t="s">
        <v>1640</v>
      </c>
      <c r="O7307" t="s">
        <v>33509</v>
      </c>
      <c r="P7307" t="s">
        <v>33510</v>
      </c>
      <c r="Q7307" t="s">
        <v>33511</v>
      </c>
      <c r="R7307">
        <v>21</v>
      </c>
      <c r="S7307">
        <v>32</v>
      </c>
    </row>
    <row r="7308" spans="1:19" x14ac:dyDescent="0.35">
      <c r="A7308">
        <v>4409</v>
      </c>
      <c r="B7308" t="s">
        <v>33780</v>
      </c>
      <c r="C7308" t="s">
        <v>42</v>
      </c>
      <c r="D7308" t="s">
        <v>33781</v>
      </c>
      <c r="E7308" t="e" cm="1">
        <f t="array" ref="E7308">- DEQUALINIUM CHLORIDE</f>
        <v>#NAME?</v>
      </c>
      <c r="F7308" t="s">
        <v>33782</v>
      </c>
      <c r="G7308" t="s">
        <v>33783</v>
      </c>
      <c r="H7308" t="s">
        <v>33784</v>
      </c>
      <c r="I7308" t="s">
        <v>33785</v>
      </c>
      <c r="J7308" t="s">
        <v>33786</v>
      </c>
      <c r="K7308" t="s">
        <v>33787</v>
      </c>
      <c r="L7308" t="s">
        <v>33788</v>
      </c>
      <c r="M7308" t="s">
        <v>46</v>
      </c>
      <c r="N7308" t="s">
        <v>10495</v>
      </c>
      <c r="O7308" t="s">
        <v>33789</v>
      </c>
      <c r="P7308" t="s">
        <v>33790</v>
      </c>
      <c r="Q7308" t="s">
        <v>33791</v>
      </c>
      <c r="R7308">
        <v>21</v>
      </c>
      <c r="S7308">
        <v>32</v>
      </c>
    </row>
    <row r="7309" spans="1:19" x14ac:dyDescent="0.35">
      <c r="A7309">
        <v>4410</v>
      </c>
      <c r="B7309" t="s">
        <v>33780</v>
      </c>
      <c r="C7309" t="s">
        <v>42</v>
      </c>
      <c r="D7309" t="s">
        <v>33781</v>
      </c>
      <c r="E7309" t="e" cm="1">
        <f t="array" ref="E7309">- DEQUALINIUM CHLORIDE</f>
        <v>#NAME?</v>
      </c>
      <c r="F7309" t="s">
        <v>33782</v>
      </c>
      <c r="G7309" t="s">
        <v>33783</v>
      </c>
      <c r="H7309" t="s">
        <v>33784</v>
      </c>
      <c r="I7309" t="s">
        <v>33785</v>
      </c>
      <c r="J7309" t="s">
        <v>33786</v>
      </c>
      <c r="K7309" t="s">
        <v>33787</v>
      </c>
      <c r="L7309" t="s">
        <v>33788</v>
      </c>
      <c r="M7309" t="s">
        <v>46</v>
      </c>
      <c r="N7309" t="s">
        <v>10495</v>
      </c>
      <c r="O7309" t="s">
        <v>33789</v>
      </c>
      <c r="P7309" t="s">
        <v>33790</v>
      </c>
      <c r="Q7309" t="s">
        <v>33791</v>
      </c>
      <c r="R7309">
        <v>21</v>
      </c>
      <c r="S7309">
        <v>32</v>
      </c>
    </row>
    <row r="7310" spans="1:19" x14ac:dyDescent="0.35">
      <c r="A7310">
        <v>4411</v>
      </c>
      <c r="B7310" t="s">
        <v>33780</v>
      </c>
      <c r="C7310" t="s">
        <v>42</v>
      </c>
      <c r="D7310" t="s">
        <v>33781</v>
      </c>
      <c r="E7310" t="e" cm="1">
        <f t="array" ref="E7310">- DEQUALINIUM CHLORIDE</f>
        <v>#NAME?</v>
      </c>
      <c r="F7310" t="s">
        <v>33782</v>
      </c>
      <c r="G7310" t="s">
        <v>33783</v>
      </c>
      <c r="H7310" t="s">
        <v>33784</v>
      </c>
      <c r="I7310" t="s">
        <v>33785</v>
      </c>
      <c r="J7310" t="s">
        <v>33786</v>
      </c>
      <c r="K7310" t="s">
        <v>33787</v>
      </c>
      <c r="L7310" t="s">
        <v>33788</v>
      </c>
      <c r="M7310" t="s">
        <v>46</v>
      </c>
      <c r="N7310" t="s">
        <v>10495</v>
      </c>
      <c r="O7310" t="s">
        <v>33789</v>
      </c>
      <c r="P7310" t="s">
        <v>33790</v>
      </c>
      <c r="Q7310" t="s">
        <v>33791</v>
      </c>
      <c r="R7310">
        <v>21</v>
      </c>
      <c r="S7310">
        <v>32</v>
      </c>
    </row>
    <row r="7311" spans="1:19" x14ac:dyDescent="0.35">
      <c r="A7311">
        <v>6000</v>
      </c>
      <c r="B7311" t="s">
        <v>33792</v>
      </c>
      <c r="C7311" t="s">
        <v>42</v>
      </c>
      <c r="D7311" t="s">
        <v>33793</v>
      </c>
      <c r="E7311" t="e" cm="1">
        <f t="array" ref="E7311">- AMOXICILLIN TRIHYDRATE</f>
        <v>#NAME?</v>
      </c>
      <c r="F7311" t="s">
        <v>33794</v>
      </c>
      <c r="G7311" t="s">
        <v>2241</v>
      </c>
      <c r="H7311" t="s">
        <v>33147</v>
      </c>
      <c r="I7311" t="s">
        <v>33148</v>
      </c>
      <c r="J7311" t="s">
        <v>810</v>
      </c>
      <c r="K7311" t="s">
        <v>33795</v>
      </c>
      <c r="L7311" t="s">
        <v>33149</v>
      </c>
      <c r="M7311" t="s">
        <v>291</v>
      </c>
      <c r="N7311" t="s">
        <v>1523</v>
      </c>
      <c r="O7311" t="s">
        <v>33150</v>
      </c>
      <c r="P7311" t="s">
        <v>33796</v>
      </c>
      <c r="Q7311" t="s">
        <v>33797</v>
      </c>
      <c r="R7311">
        <v>21</v>
      </c>
      <c r="S7311">
        <v>32</v>
      </c>
    </row>
    <row r="7312" spans="1:19" x14ac:dyDescent="0.35">
      <c r="A7312">
        <v>5089</v>
      </c>
      <c r="B7312" t="s">
        <v>33798</v>
      </c>
      <c r="C7312" t="s">
        <v>42</v>
      </c>
      <c r="D7312" t="s">
        <v>33799</v>
      </c>
      <c r="E7312" t="e" cm="1">
        <f t="array" ref="E7312">- CLOBETASOL PROPIONATE</f>
        <v>#NAME?</v>
      </c>
      <c r="F7312" t="s">
        <v>33800</v>
      </c>
      <c r="G7312" t="s">
        <v>27005</v>
      </c>
      <c r="H7312" t="s">
        <v>15768</v>
      </c>
      <c r="I7312" t="s">
        <v>33801</v>
      </c>
      <c r="J7312" t="s">
        <v>7114</v>
      </c>
      <c r="K7312" t="s">
        <v>33802</v>
      </c>
    </row>
    <row r="7313" spans="1:19" x14ac:dyDescent="0.35">
      <c r="A7313">
        <v>4412</v>
      </c>
      <c r="B7313" t="s">
        <v>33780</v>
      </c>
      <c r="C7313" t="s">
        <v>42</v>
      </c>
      <c r="D7313" t="s">
        <v>33781</v>
      </c>
      <c r="E7313" t="e" cm="1">
        <f t="array" ref="E7313">- DEQUALINIUM CHLORIDE</f>
        <v>#NAME?</v>
      </c>
      <c r="F7313" t="s">
        <v>33782</v>
      </c>
      <c r="G7313" t="s">
        <v>33783</v>
      </c>
      <c r="H7313" t="s">
        <v>33784</v>
      </c>
      <c r="I7313" t="s">
        <v>33785</v>
      </c>
      <c r="J7313" t="s">
        <v>33786</v>
      </c>
      <c r="K7313" t="s">
        <v>33787</v>
      </c>
      <c r="L7313" t="s">
        <v>33788</v>
      </c>
      <c r="M7313" t="s">
        <v>46</v>
      </c>
      <c r="N7313" t="s">
        <v>10495</v>
      </c>
      <c r="O7313" t="s">
        <v>33789</v>
      </c>
      <c r="P7313" t="s">
        <v>33790</v>
      </c>
      <c r="Q7313" t="s">
        <v>33791</v>
      </c>
      <c r="R7313">
        <v>21</v>
      </c>
      <c r="S7313">
        <v>32</v>
      </c>
    </row>
    <row r="7314" spans="1:19" x14ac:dyDescent="0.35">
      <c r="A7314">
        <v>6001</v>
      </c>
      <c r="B7314" t="s">
        <v>33792</v>
      </c>
      <c r="C7314" t="s">
        <v>42</v>
      </c>
      <c r="D7314" t="s">
        <v>33793</v>
      </c>
      <c r="E7314" t="e" cm="1">
        <f t="array" ref="E7314">- AMOXICILLIN TRIHYDRATE</f>
        <v>#NAME?</v>
      </c>
      <c r="F7314" t="s">
        <v>33794</v>
      </c>
      <c r="G7314" t="s">
        <v>2241</v>
      </c>
      <c r="H7314" t="s">
        <v>33147</v>
      </c>
      <c r="I7314" t="s">
        <v>33148</v>
      </c>
      <c r="J7314" t="s">
        <v>810</v>
      </c>
      <c r="K7314" t="s">
        <v>33795</v>
      </c>
      <c r="L7314" t="s">
        <v>33149</v>
      </c>
      <c r="M7314" t="s">
        <v>291</v>
      </c>
      <c r="N7314" t="s">
        <v>1523</v>
      </c>
      <c r="O7314" t="s">
        <v>33150</v>
      </c>
      <c r="P7314" t="s">
        <v>33796</v>
      </c>
      <c r="Q7314" t="s">
        <v>33797</v>
      </c>
      <c r="R7314">
        <v>21</v>
      </c>
      <c r="S7314">
        <v>32</v>
      </c>
    </row>
    <row r="7315" spans="1:19" x14ac:dyDescent="0.35">
      <c r="A7315">
        <v>4305</v>
      </c>
      <c r="B7315" t="s">
        <v>33763</v>
      </c>
      <c r="C7315" t="s">
        <v>42</v>
      </c>
      <c r="D7315" t="s">
        <v>33803</v>
      </c>
      <c r="E7315" t="e" cm="1">
        <f t="array" ref="E7315">- CALAMINE. ZINC OXIDE. DIPHENHYDRAMINE HYDROCHLORIDE</f>
        <v>#NAME?</v>
      </c>
      <c r="F7315" t="s">
        <v>33804</v>
      </c>
      <c r="G7315" t="s">
        <v>33766</v>
      </c>
      <c r="H7315" t="s">
        <v>33767</v>
      </c>
      <c r="I7315" t="s">
        <v>33768</v>
      </c>
      <c r="J7315" t="s">
        <v>33805</v>
      </c>
      <c r="K7315" t="s">
        <v>2726</v>
      </c>
      <c r="L7315" t="s">
        <v>33769</v>
      </c>
      <c r="M7315" t="s">
        <v>554</v>
      </c>
      <c r="N7315" t="s">
        <v>33770</v>
      </c>
      <c r="O7315" t="s">
        <v>33771</v>
      </c>
      <c r="P7315" t="s">
        <v>33772</v>
      </c>
      <c r="Q7315" t="s">
        <v>33773</v>
      </c>
      <c r="R7315">
        <v>21</v>
      </c>
      <c r="S7315">
        <v>32</v>
      </c>
    </row>
    <row r="7316" spans="1:19" x14ac:dyDescent="0.35">
      <c r="A7316">
        <v>4433</v>
      </c>
      <c r="B7316" t="s">
        <v>33806</v>
      </c>
      <c r="C7316" t="s">
        <v>42</v>
      </c>
      <c r="D7316" t="s">
        <v>33807</v>
      </c>
      <c r="E7316" t="e" cm="1">
        <f t="array" ref="E7316">- BENZYDAMINE HYDROCHLORIDE</f>
        <v>#NAME?</v>
      </c>
      <c r="F7316" t="s">
        <v>33808</v>
      </c>
      <c r="G7316" t="s">
        <v>33809</v>
      </c>
      <c r="H7316" t="s">
        <v>33810</v>
      </c>
      <c r="I7316" t="s">
        <v>33811</v>
      </c>
      <c r="J7316" t="s">
        <v>33812</v>
      </c>
      <c r="K7316" t="s">
        <v>2726</v>
      </c>
      <c r="L7316" t="s">
        <v>33813</v>
      </c>
      <c r="M7316" t="s">
        <v>46</v>
      </c>
      <c r="N7316" t="s">
        <v>19809</v>
      </c>
      <c r="O7316" t="s">
        <v>33814</v>
      </c>
      <c r="P7316" t="s">
        <v>33815</v>
      </c>
      <c r="Q7316" t="s">
        <v>33816</v>
      </c>
      <c r="R7316">
        <v>21</v>
      </c>
      <c r="S7316">
        <v>32</v>
      </c>
    </row>
    <row r="7317" spans="1:19" x14ac:dyDescent="0.35">
      <c r="A7317">
        <v>4434</v>
      </c>
      <c r="B7317" t="s">
        <v>33806</v>
      </c>
      <c r="C7317" t="s">
        <v>42</v>
      </c>
      <c r="D7317" t="s">
        <v>33807</v>
      </c>
      <c r="E7317" t="e" cm="1">
        <f t="array" ref="E7317">- BENZYDAMINE HYDROCHLORIDE</f>
        <v>#NAME?</v>
      </c>
      <c r="F7317" t="s">
        <v>33808</v>
      </c>
      <c r="G7317" t="s">
        <v>33809</v>
      </c>
      <c r="H7317" t="s">
        <v>33810</v>
      </c>
      <c r="I7317" t="s">
        <v>33811</v>
      </c>
      <c r="J7317" t="s">
        <v>33812</v>
      </c>
      <c r="K7317" t="s">
        <v>2726</v>
      </c>
      <c r="L7317" t="s">
        <v>33813</v>
      </c>
      <c r="M7317" t="s">
        <v>46</v>
      </c>
      <c r="N7317" t="s">
        <v>19809</v>
      </c>
      <c r="O7317" t="s">
        <v>33814</v>
      </c>
      <c r="P7317" t="s">
        <v>33815</v>
      </c>
      <c r="Q7317" t="s">
        <v>33816</v>
      </c>
      <c r="R7317">
        <v>21</v>
      </c>
      <c r="S7317">
        <v>32</v>
      </c>
    </row>
    <row r="7318" spans="1:19" x14ac:dyDescent="0.35">
      <c r="A7318">
        <v>4435</v>
      </c>
      <c r="B7318" t="s">
        <v>33806</v>
      </c>
      <c r="C7318" t="s">
        <v>42</v>
      </c>
      <c r="D7318" t="s">
        <v>33807</v>
      </c>
      <c r="E7318" t="e" cm="1">
        <f t="array" ref="E7318">- BENZYDAMINE HYDROCHLORIDE</f>
        <v>#NAME?</v>
      </c>
      <c r="F7318" t="s">
        <v>33808</v>
      </c>
      <c r="G7318" t="s">
        <v>33809</v>
      </c>
      <c r="H7318" t="s">
        <v>33810</v>
      </c>
      <c r="I7318" t="s">
        <v>33811</v>
      </c>
      <c r="J7318" t="s">
        <v>33812</v>
      </c>
      <c r="K7318" t="s">
        <v>2726</v>
      </c>
      <c r="L7318" t="s">
        <v>33813</v>
      </c>
      <c r="M7318" t="s">
        <v>46</v>
      </c>
      <c r="N7318" t="s">
        <v>19809</v>
      </c>
      <c r="O7318" t="s">
        <v>33814</v>
      </c>
      <c r="P7318" t="s">
        <v>33815</v>
      </c>
      <c r="Q7318" t="s">
        <v>33816</v>
      </c>
      <c r="R7318">
        <v>21</v>
      </c>
      <c r="S7318">
        <v>32</v>
      </c>
    </row>
    <row r="7319" spans="1:19" x14ac:dyDescent="0.35">
      <c r="A7319">
        <v>577</v>
      </c>
      <c r="B7319" t="s">
        <v>33817</v>
      </c>
      <c r="C7319" t="s">
        <v>42</v>
      </c>
      <c r="D7319" t="s">
        <v>33818</v>
      </c>
      <c r="E7319" t="e" cm="1">
        <f t="array" ref="E7319">- BUDESONIDE</f>
        <v>#NAME?</v>
      </c>
      <c r="F7319" t="s">
        <v>33819</v>
      </c>
      <c r="G7319" t="s">
        <v>33820</v>
      </c>
      <c r="H7319" t="s">
        <v>33821</v>
      </c>
      <c r="I7319" t="s">
        <v>33822</v>
      </c>
      <c r="J7319" t="s">
        <v>27169</v>
      </c>
      <c r="K7319" t="s">
        <v>3952</v>
      </c>
      <c r="L7319" t="s">
        <v>33823</v>
      </c>
      <c r="M7319" t="s">
        <v>1280</v>
      </c>
      <c r="N7319" t="s">
        <v>1281</v>
      </c>
      <c r="O7319" t="s">
        <v>33824</v>
      </c>
      <c r="P7319" t="s">
        <v>33825</v>
      </c>
      <c r="Q7319" t="s">
        <v>33826</v>
      </c>
      <c r="R7319">
        <v>21</v>
      </c>
      <c r="S7319">
        <v>32</v>
      </c>
    </row>
    <row r="7320" spans="1:19" x14ac:dyDescent="0.35">
      <c r="A7320">
        <v>578</v>
      </c>
      <c r="B7320" t="s">
        <v>33817</v>
      </c>
      <c r="C7320" t="s">
        <v>42</v>
      </c>
      <c r="D7320" t="s">
        <v>33818</v>
      </c>
      <c r="E7320" t="e" cm="1">
        <f t="array" ref="E7320">- BUDESONIDE</f>
        <v>#NAME?</v>
      </c>
      <c r="F7320" t="s">
        <v>33819</v>
      </c>
      <c r="G7320" t="s">
        <v>33820</v>
      </c>
      <c r="H7320" t="s">
        <v>33821</v>
      </c>
      <c r="I7320" t="s">
        <v>33822</v>
      </c>
      <c r="J7320" t="s">
        <v>27169</v>
      </c>
      <c r="K7320" t="s">
        <v>3952</v>
      </c>
      <c r="L7320" t="s">
        <v>33823</v>
      </c>
      <c r="M7320" t="s">
        <v>1280</v>
      </c>
      <c r="N7320" t="s">
        <v>1281</v>
      </c>
      <c r="O7320" t="s">
        <v>33824</v>
      </c>
      <c r="P7320" t="s">
        <v>33825</v>
      </c>
      <c r="Q7320" t="s">
        <v>33826</v>
      </c>
      <c r="R7320">
        <v>21</v>
      </c>
      <c r="S7320">
        <v>32</v>
      </c>
    </row>
    <row r="7321" spans="1:19" x14ac:dyDescent="0.35">
      <c r="A7321">
        <v>4304</v>
      </c>
      <c r="B7321" t="s">
        <v>33763</v>
      </c>
      <c r="C7321" t="s">
        <v>42</v>
      </c>
      <c r="D7321" t="s">
        <v>33803</v>
      </c>
      <c r="E7321" t="e" cm="1">
        <f t="array" ref="E7321">- CALAMINE. ZINC OXIDE. DIPHENHYDRAMINE HYDROCHLORIDE</f>
        <v>#NAME?</v>
      </c>
      <c r="F7321" t="s">
        <v>33804</v>
      </c>
      <c r="G7321" t="s">
        <v>33766</v>
      </c>
      <c r="H7321" t="s">
        <v>33767</v>
      </c>
      <c r="I7321" t="s">
        <v>33768</v>
      </c>
      <c r="J7321" t="s">
        <v>33805</v>
      </c>
      <c r="K7321" t="s">
        <v>2726</v>
      </c>
      <c r="L7321" t="s">
        <v>33769</v>
      </c>
      <c r="M7321" t="s">
        <v>554</v>
      </c>
      <c r="N7321" t="s">
        <v>33770</v>
      </c>
      <c r="O7321" t="s">
        <v>33771</v>
      </c>
      <c r="P7321" t="s">
        <v>33772</v>
      </c>
      <c r="Q7321" t="s">
        <v>33773</v>
      </c>
      <c r="R7321">
        <v>21</v>
      </c>
      <c r="S7321">
        <v>32</v>
      </c>
    </row>
    <row r="7322" spans="1:19" x14ac:dyDescent="0.35">
      <c r="A7322">
        <v>4303</v>
      </c>
      <c r="B7322" t="s">
        <v>33763</v>
      </c>
      <c r="C7322" t="s">
        <v>42</v>
      </c>
      <c r="D7322" t="s">
        <v>33764</v>
      </c>
      <c r="E7322" t="e" cm="1">
        <f t="array" ref="E7322">- CALAMINE. ZINC OXIDE. DIPHENHYDRAMINE HYDROCHLORIDE</f>
        <v>#NAME?</v>
      </c>
      <c r="F7322" t="s">
        <v>33765</v>
      </c>
      <c r="G7322" t="s">
        <v>33766</v>
      </c>
      <c r="H7322" t="s">
        <v>33767</v>
      </c>
      <c r="I7322" t="s">
        <v>33768</v>
      </c>
      <c r="J7322" t="s">
        <v>846</v>
      </c>
      <c r="K7322" t="s">
        <v>2726</v>
      </c>
      <c r="L7322" t="s">
        <v>33769</v>
      </c>
      <c r="M7322" t="s">
        <v>554</v>
      </c>
      <c r="N7322" t="s">
        <v>33770</v>
      </c>
      <c r="O7322" t="s">
        <v>33771</v>
      </c>
      <c r="P7322" t="s">
        <v>33772</v>
      </c>
      <c r="Q7322" t="s">
        <v>33773</v>
      </c>
      <c r="R7322">
        <v>21</v>
      </c>
      <c r="S7322">
        <v>32</v>
      </c>
    </row>
    <row r="7323" spans="1:19" x14ac:dyDescent="0.35">
      <c r="A7323">
        <v>9928</v>
      </c>
      <c r="B7323" t="s">
        <v>33827</v>
      </c>
      <c r="C7323" t="s">
        <v>42</v>
      </c>
      <c r="D7323" t="s">
        <v>33828</v>
      </c>
      <c r="E7323" t="e" cm="1">
        <f t="array" ref="E7323">- ISOSORBIDE DINITRATE</f>
        <v>#NAME?</v>
      </c>
      <c r="F7323" t="s">
        <v>33829</v>
      </c>
      <c r="G7323" t="s">
        <v>20888</v>
      </c>
      <c r="H7323" t="s">
        <v>20889</v>
      </c>
      <c r="I7323" t="s">
        <v>33830</v>
      </c>
      <c r="J7323" t="s">
        <v>6205</v>
      </c>
      <c r="K7323" t="s">
        <v>20891</v>
      </c>
      <c r="L7323" t="s">
        <v>20892</v>
      </c>
      <c r="M7323" t="s">
        <v>46</v>
      </c>
      <c r="N7323" t="s">
        <v>6733</v>
      </c>
      <c r="O7323" t="s">
        <v>33831</v>
      </c>
      <c r="P7323" t="s">
        <v>20894</v>
      </c>
      <c r="Q7323" t="s">
        <v>33832</v>
      </c>
      <c r="R7323">
        <v>21</v>
      </c>
      <c r="S7323">
        <v>32</v>
      </c>
    </row>
    <row r="7324" spans="1:19" x14ac:dyDescent="0.35">
      <c r="A7324">
        <v>1287</v>
      </c>
      <c r="B7324" t="s">
        <v>22396</v>
      </c>
      <c r="C7324" t="s">
        <v>42</v>
      </c>
      <c r="D7324" t="s">
        <v>33459</v>
      </c>
      <c r="E7324" t="e" cm="1">
        <f t="array" ref="E7324">- DIPHENHYDRAMINE HYDROCHLORIDE. DEXTROMETHORPHAN HYDROBROMIDE. PHENYLEPHRINE HYDROCHLORIDE. AMMONIUM CHLORIDE. SODIUM CITRATE DIHYDRATE</f>
        <v>#NAME?</v>
      </c>
      <c r="F7324" t="s">
        <v>33460</v>
      </c>
      <c r="G7324" t="s">
        <v>3970</v>
      </c>
      <c r="H7324" t="s">
        <v>33461</v>
      </c>
      <c r="I7324" t="s">
        <v>33462</v>
      </c>
      <c r="J7324" t="s">
        <v>22540</v>
      </c>
      <c r="K7324" t="s">
        <v>33463</v>
      </c>
      <c r="L7324" t="s">
        <v>33464</v>
      </c>
      <c r="M7324" t="s">
        <v>271</v>
      </c>
      <c r="N7324" t="s">
        <v>22399</v>
      </c>
      <c r="O7324" t="s">
        <v>33465</v>
      </c>
      <c r="P7324" t="s">
        <v>22400</v>
      </c>
      <c r="Q7324" t="s">
        <v>33466</v>
      </c>
      <c r="R7324">
        <v>21</v>
      </c>
      <c r="S7324">
        <v>32</v>
      </c>
    </row>
    <row r="7325" spans="1:19" x14ac:dyDescent="0.35">
      <c r="A7325">
        <v>1047</v>
      </c>
      <c r="B7325" t="s">
        <v>33833</v>
      </c>
      <c r="C7325" t="s">
        <v>42</v>
      </c>
      <c r="D7325" t="s">
        <v>33834</v>
      </c>
      <c r="E7325" t="e" cm="1">
        <f t="array" ref="E7325">- ACETYLCYSTEINE</f>
        <v>#NAME?</v>
      </c>
      <c r="F7325" t="s">
        <v>33835</v>
      </c>
      <c r="G7325" t="s">
        <v>33740</v>
      </c>
      <c r="H7325" t="s">
        <v>33741</v>
      </c>
      <c r="I7325" t="s">
        <v>33742</v>
      </c>
      <c r="J7325" t="s">
        <v>33836</v>
      </c>
      <c r="K7325" t="s">
        <v>33744</v>
      </c>
      <c r="L7325" t="s">
        <v>33837</v>
      </c>
      <c r="M7325" t="s">
        <v>46</v>
      </c>
      <c r="N7325" t="s">
        <v>9045</v>
      </c>
      <c r="O7325" t="s">
        <v>33746</v>
      </c>
      <c r="P7325" t="s">
        <v>33838</v>
      </c>
      <c r="Q7325" t="s">
        <v>33839</v>
      </c>
      <c r="R7325">
        <v>21</v>
      </c>
      <c r="S7325">
        <v>32</v>
      </c>
    </row>
    <row r="7326" spans="1:19" x14ac:dyDescent="0.35">
      <c r="A7326">
        <v>7617</v>
      </c>
      <c r="B7326" t="s">
        <v>33840</v>
      </c>
      <c r="C7326" t="s">
        <v>20</v>
      </c>
      <c r="D7326" t="s">
        <v>33841</v>
      </c>
      <c r="E7326" t="s">
        <v>33842</v>
      </c>
      <c r="F7326" t="s">
        <v>33843</v>
      </c>
      <c r="H7326" t="s">
        <v>33844</v>
      </c>
      <c r="I7326" t="s">
        <v>33845</v>
      </c>
      <c r="J7326" t="s">
        <v>70</v>
      </c>
      <c r="L7326" t="s">
        <v>33846</v>
      </c>
      <c r="M7326" t="s">
        <v>38</v>
      </c>
      <c r="N7326" t="s">
        <v>33847</v>
      </c>
      <c r="O7326" t="s">
        <v>33848</v>
      </c>
      <c r="P7326" t="s">
        <v>33849</v>
      </c>
      <c r="Q7326" t="s">
        <v>33850</v>
      </c>
      <c r="R7326">
        <v>21</v>
      </c>
      <c r="S7326">
        <v>32</v>
      </c>
    </row>
    <row r="7327" spans="1:19" x14ac:dyDescent="0.35">
      <c r="A7327">
        <v>3918</v>
      </c>
      <c r="B7327" t="s">
        <v>33851</v>
      </c>
      <c r="C7327" t="s">
        <v>42</v>
      </c>
      <c r="D7327" t="s">
        <v>33852</v>
      </c>
      <c r="E7327" t="s">
        <v>3502</v>
      </c>
      <c r="F7327" t="s">
        <v>33853</v>
      </c>
      <c r="G7327" t="s">
        <v>33854</v>
      </c>
      <c r="H7327" t="s">
        <v>33855</v>
      </c>
      <c r="I7327" t="s">
        <v>33856</v>
      </c>
      <c r="J7327" t="s">
        <v>33857</v>
      </c>
      <c r="K7327" t="s">
        <v>33858</v>
      </c>
      <c r="L7327" t="s">
        <v>33859</v>
      </c>
      <c r="M7327" t="s">
        <v>12262</v>
      </c>
      <c r="N7327" t="s">
        <v>3505</v>
      </c>
      <c r="O7327" t="s">
        <v>33860</v>
      </c>
      <c r="P7327" t="s">
        <v>33861</v>
      </c>
      <c r="Q7327" t="s">
        <v>33862</v>
      </c>
      <c r="R7327">
        <v>21</v>
      </c>
      <c r="S7327">
        <v>32</v>
      </c>
    </row>
    <row r="7328" spans="1:19" x14ac:dyDescent="0.35">
      <c r="A7328">
        <v>3917</v>
      </c>
      <c r="B7328" t="s">
        <v>33851</v>
      </c>
      <c r="C7328" t="s">
        <v>42</v>
      </c>
      <c r="D7328" t="s">
        <v>33852</v>
      </c>
      <c r="E7328" t="s">
        <v>3502</v>
      </c>
      <c r="F7328" t="s">
        <v>33853</v>
      </c>
      <c r="G7328" t="s">
        <v>33854</v>
      </c>
      <c r="H7328" t="s">
        <v>33855</v>
      </c>
      <c r="I7328" t="s">
        <v>33856</v>
      </c>
      <c r="J7328" t="s">
        <v>33857</v>
      </c>
      <c r="K7328" t="s">
        <v>33858</v>
      </c>
      <c r="L7328" t="s">
        <v>33859</v>
      </c>
      <c r="M7328" t="s">
        <v>12262</v>
      </c>
      <c r="N7328" t="s">
        <v>3505</v>
      </c>
      <c r="O7328" t="s">
        <v>33860</v>
      </c>
      <c r="P7328" t="s">
        <v>33861</v>
      </c>
      <c r="Q7328" t="s">
        <v>33862</v>
      </c>
      <c r="R7328">
        <v>21</v>
      </c>
      <c r="S7328">
        <v>32</v>
      </c>
    </row>
    <row r="7329" spans="1:19" x14ac:dyDescent="0.35">
      <c r="A7329">
        <v>10007</v>
      </c>
      <c r="B7329" t="s">
        <v>33863</v>
      </c>
      <c r="C7329" t="s">
        <v>42</v>
      </c>
      <c r="D7329" t="s">
        <v>33864</v>
      </c>
      <c r="E7329" t="e" cm="1">
        <f t="array" ref="E7329">- CLOPIDOGREL HYDROGEN SULFATE</f>
        <v>#NAME?</v>
      </c>
      <c r="F7329" t="s">
        <v>33865</v>
      </c>
      <c r="G7329" t="s">
        <v>18645</v>
      </c>
      <c r="H7329" t="s">
        <v>33866</v>
      </c>
      <c r="I7329" t="s">
        <v>30613</v>
      </c>
      <c r="J7329" t="s">
        <v>2644</v>
      </c>
      <c r="K7329" t="s">
        <v>33867</v>
      </c>
      <c r="L7329" t="s">
        <v>33868</v>
      </c>
      <c r="M7329" t="s">
        <v>46</v>
      </c>
      <c r="N7329" t="s">
        <v>33869</v>
      </c>
      <c r="O7329" t="s">
        <v>30616</v>
      </c>
      <c r="P7329" t="s">
        <v>33870</v>
      </c>
      <c r="Q7329" t="s">
        <v>33871</v>
      </c>
      <c r="R7329">
        <v>21</v>
      </c>
      <c r="S7329">
        <v>32</v>
      </c>
    </row>
    <row r="7330" spans="1:19" x14ac:dyDescent="0.35">
      <c r="A7330">
        <v>10008</v>
      </c>
      <c r="B7330" t="s">
        <v>33863</v>
      </c>
      <c r="C7330" t="s">
        <v>42</v>
      </c>
      <c r="D7330" t="s">
        <v>33864</v>
      </c>
      <c r="E7330" t="e" cm="1">
        <f t="array" ref="E7330">- CLOPIDOGREL HYDROGEN SULFATE</f>
        <v>#NAME?</v>
      </c>
      <c r="F7330" t="s">
        <v>33865</v>
      </c>
      <c r="G7330" t="s">
        <v>18645</v>
      </c>
      <c r="H7330" t="s">
        <v>33866</v>
      </c>
      <c r="I7330" t="s">
        <v>30613</v>
      </c>
      <c r="J7330" t="s">
        <v>2644</v>
      </c>
      <c r="K7330" t="s">
        <v>33867</v>
      </c>
      <c r="L7330" t="s">
        <v>33868</v>
      </c>
      <c r="M7330" t="s">
        <v>46</v>
      </c>
      <c r="N7330" t="s">
        <v>33869</v>
      </c>
      <c r="O7330" t="s">
        <v>30616</v>
      </c>
      <c r="P7330" t="s">
        <v>33870</v>
      </c>
      <c r="Q7330" t="s">
        <v>33871</v>
      </c>
      <c r="R7330">
        <v>21</v>
      </c>
      <c r="S7330">
        <v>32</v>
      </c>
    </row>
    <row r="7331" spans="1:19" x14ac:dyDescent="0.35">
      <c r="A7331">
        <v>4864</v>
      </c>
      <c r="B7331" t="s">
        <v>33872</v>
      </c>
      <c r="C7331" t="s">
        <v>42</v>
      </c>
      <c r="D7331" t="s">
        <v>33873</v>
      </c>
      <c r="E7331" t="e" cm="1">
        <f t="array" ref="E7331">- TIMOLOL MALEATE. LATANOPROST</f>
        <v>#NAME?</v>
      </c>
      <c r="F7331" t="s">
        <v>33874</v>
      </c>
      <c r="G7331" t="s">
        <v>7569</v>
      </c>
      <c r="H7331" t="s">
        <v>33875</v>
      </c>
      <c r="I7331" t="s">
        <v>33876</v>
      </c>
      <c r="J7331" t="s">
        <v>18074</v>
      </c>
      <c r="K7331" t="s">
        <v>33877</v>
      </c>
      <c r="L7331" t="s">
        <v>33878</v>
      </c>
      <c r="M7331" t="s">
        <v>824</v>
      </c>
      <c r="N7331" t="s">
        <v>30899</v>
      </c>
      <c r="O7331" t="s">
        <v>33879</v>
      </c>
      <c r="P7331" t="s">
        <v>33880</v>
      </c>
      <c r="Q7331" t="s">
        <v>33881</v>
      </c>
      <c r="R7331">
        <v>21</v>
      </c>
      <c r="S7331">
        <v>32</v>
      </c>
    </row>
    <row r="7332" spans="1:19" x14ac:dyDescent="0.35">
      <c r="A7332">
        <v>1677</v>
      </c>
      <c r="B7332" t="s">
        <v>33882</v>
      </c>
      <c r="C7332" t="s">
        <v>42</v>
      </c>
      <c r="D7332" t="s">
        <v>33883</v>
      </c>
      <c r="E7332" t="e" cm="1">
        <f t="array" ref="E7332">- PSEUDOEPHEDRINE HYDROCHLORIDE</f>
        <v>#NAME?</v>
      </c>
      <c r="G7332" t="s">
        <v>6310</v>
      </c>
      <c r="H7332" t="s">
        <v>33884</v>
      </c>
      <c r="I7332" t="s">
        <v>33885</v>
      </c>
      <c r="J7332" t="s">
        <v>727</v>
      </c>
      <c r="K7332" t="s">
        <v>33886</v>
      </c>
      <c r="L7332" t="s">
        <v>33887</v>
      </c>
      <c r="M7332" t="s">
        <v>291</v>
      </c>
      <c r="N7332" t="s">
        <v>8326</v>
      </c>
      <c r="O7332" t="s">
        <v>33888</v>
      </c>
      <c r="P7332" t="s">
        <v>33889</v>
      </c>
      <c r="Q7332" t="s">
        <v>33890</v>
      </c>
      <c r="R7332">
        <v>21</v>
      </c>
      <c r="S7332">
        <v>32</v>
      </c>
    </row>
    <row r="7333" spans="1:19" x14ac:dyDescent="0.35">
      <c r="A7333">
        <v>5941</v>
      </c>
      <c r="B7333" t="s">
        <v>31972</v>
      </c>
      <c r="C7333" t="s">
        <v>42</v>
      </c>
      <c r="D7333" t="s">
        <v>31973</v>
      </c>
      <c r="E7333" t="e" cm="1">
        <f t="array" ref="E7333">- AMOXICILLIN TRIHYDRATE. POTASSIUM CLAVULANATE</f>
        <v>#NAME?</v>
      </c>
      <c r="F7333" t="s">
        <v>31974</v>
      </c>
      <c r="G7333" t="s">
        <v>31975</v>
      </c>
      <c r="H7333" t="s">
        <v>31976</v>
      </c>
    </row>
    <row r="7334" spans="1:19" x14ac:dyDescent="0.35">
      <c r="A7334">
        <v>2062</v>
      </c>
      <c r="B7334" t="s">
        <v>33891</v>
      </c>
      <c r="C7334" t="s">
        <v>42</v>
      </c>
      <c r="D7334" t="s">
        <v>33892</v>
      </c>
      <c r="E7334" t="e" cm="1">
        <f t="array" ref="E7334">- MEFENAMIC ACID</f>
        <v>#NAME?</v>
      </c>
      <c r="F7334" t="s">
        <v>33893</v>
      </c>
      <c r="G7334" t="s">
        <v>17569</v>
      </c>
      <c r="H7334" t="s">
        <v>33469</v>
      </c>
      <c r="I7334" t="s">
        <v>33894</v>
      </c>
      <c r="J7334" t="s">
        <v>3019</v>
      </c>
      <c r="K7334" t="s">
        <v>33895</v>
      </c>
      <c r="L7334" t="s">
        <v>33472</v>
      </c>
      <c r="M7334" t="s">
        <v>291</v>
      </c>
      <c r="N7334" t="s">
        <v>2235</v>
      </c>
      <c r="O7334" t="s">
        <v>33896</v>
      </c>
      <c r="P7334" t="s">
        <v>33897</v>
      </c>
      <c r="Q7334" t="s">
        <v>33898</v>
      </c>
      <c r="R7334">
        <v>21</v>
      </c>
      <c r="S7334">
        <v>32</v>
      </c>
    </row>
    <row r="7335" spans="1:19" x14ac:dyDescent="0.35">
      <c r="A7335">
        <v>2063</v>
      </c>
      <c r="B7335" t="s">
        <v>33891</v>
      </c>
      <c r="C7335" t="s">
        <v>42</v>
      </c>
      <c r="D7335" t="s">
        <v>33892</v>
      </c>
      <c r="E7335" t="e" cm="1">
        <f t="array" ref="E7335">- MEFENAMIC ACID</f>
        <v>#NAME?</v>
      </c>
      <c r="F7335" t="s">
        <v>33893</v>
      </c>
      <c r="G7335" t="s">
        <v>17569</v>
      </c>
      <c r="H7335" t="s">
        <v>33469</v>
      </c>
      <c r="I7335" t="s">
        <v>33894</v>
      </c>
      <c r="J7335" t="s">
        <v>3019</v>
      </c>
      <c r="K7335" t="s">
        <v>33895</v>
      </c>
      <c r="L7335" t="s">
        <v>33472</v>
      </c>
      <c r="M7335" t="s">
        <v>291</v>
      </c>
      <c r="N7335" t="s">
        <v>2235</v>
      </c>
      <c r="O7335" t="s">
        <v>33896</v>
      </c>
      <c r="P7335" t="s">
        <v>33897</v>
      </c>
      <c r="Q7335" t="s">
        <v>33898</v>
      </c>
      <c r="R7335">
        <v>21</v>
      </c>
      <c r="S7335">
        <v>32</v>
      </c>
    </row>
    <row r="7336" spans="1:19" x14ac:dyDescent="0.35">
      <c r="A7336">
        <v>8146</v>
      </c>
      <c r="B7336" t="s">
        <v>551</v>
      </c>
      <c r="C7336" t="s">
        <v>42</v>
      </c>
      <c r="D7336" t="s">
        <v>33650</v>
      </c>
      <c r="E7336" t="e" cm="1">
        <f t="array" ref="E7336">- POVIDONE-IODINE</f>
        <v>#NAME?</v>
      </c>
      <c r="F7336" s="1">
        <v>24700</v>
      </c>
      <c r="H7336" t="s">
        <v>9172</v>
      </c>
      <c r="I7336" t="s">
        <v>33651</v>
      </c>
      <c r="J7336" t="s">
        <v>12671</v>
      </c>
      <c r="M7336" t="s">
        <v>554</v>
      </c>
      <c r="N7336" t="s">
        <v>555</v>
      </c>
      <c r="O7336" t="s">
        <v>33652</v>
      </c>
      <c r="P7336" t="s">
        <v>33653</v>
      </c>
      <c r="Q7336" t="s">
        <v>33654</v>
      </c>
      <c r="R7336">
        <v>21</v>
      </c>
      <c r="S7336">
        <v>32</v>
      </c>
    </row>
    <row r="7337" spans="1:19" x14ac:dyDescent="0.35">
      <c r="A7337">
        <v>4384</v>
      </c>
      <c r="B7337" t="s">
        <v>1637</v>
      </c>
      <c r="C7337" t="s">
        <v>42</v>
      </c>
      <c r="D7337" t="s">
        <v>33899</v>
      </c>
      <c r="E7337" t="e" cm="1">
        <f t="array" ref="E7337">- OFLOXACIN</f>
        <v>#NAME?</v>
      </c>
      <c r="F7337" t="s">
        <v>33900</v>
      </c>
      <c r="G7337" t="s">
        <v>33901</v>
      </c>
      <c r="H7337" t="s">
        <v>33902</v>
      </c>
      <c r="I7337" t="s">
        <v>33903</v>
      </c>
      <c r="J7337" t="s">
        <v>25209</v>
      </c>
      <c r="K7337" t="s">
        <v>33904</v>
      </c>
      <c r="L7337" t="s">
        <v>33905</v>
      </c>
      <c r="M7337" t="s">
        <v>824</v>
      </c>
      <c r="N7337" t="s">
        <v>1640</v>
      </c>
      <c r="O7337" t="s">
        <v>33906</v>
      </c>
      <c r="P7337" t="s">
        <v>33907</v>
      </c>
      <c r="Q7337" t="s">
        <v>33908</v>
      </c>
      <c r="R7337">
        <v>21</v>
      </c>
      <c r="S7337">
        <v>32</v>
      </c>
    </row>
    <row r="7338" spans="1:19" x14ac:dyDescent="0.35">
      <c r="A7338">
        <v>8148</v>
      </c>
      <c r="B7338" t="s">
        <v>551</v>
      </c>
      <c r="C7338" t="s">
        <v>42</v>
      </c>
      <c r="D7338" t="s">
        <v>33909</v>
      </c>
      <c r="E7338" t="e" cm="1">
        <f t="array" ref="E7338">- POVIDONE-IODINE</f>
        <v>#NAME?</v>
      </c>
      <c r="F7338" t="s">
        <v>33910</v>
      </c>
      <c r="H7338" t="s">
        <v>1322</v>
      </c>
      <c r="I7338" t="s">
        <v>33911</v>
      </c>
      <c r="J7338" t="s">
        <v>20136</v>
      </c>
      <c r="M7338" t="s">
        <v>554</v>
      </c>
      <c r="N7338" t="s">
        <v>555</v>
      </c>
      <c r="O7338" t="s">
        <v>33912</v>
      </c>
      <c r="P7338" t="s">
        <v>20138</v>
      </c>
      <c r="Q7338" t="s">
        <v>33913</v>
      </c>
      <c r="R7338">
        <v>21</v>
      </c>
      <c r="S7338">
        <v>32</v>
      </c>
    </row>
    <row r="7339" spans="1:19" x14ac:dyDescent="0.35">
      <c r="A7339">
        <v>8149</v>
      </c>
      <c r="B7339" t="s">
        <v>551</v>
      </c>
      <c r="C7339" t="s">
        <v>42</v>
      </c>
      <c r="D7339" t="s">
        <v>33909</v>
      </c>
      <c r="E7339" t="e" cm="1">
        <f t="array" ref="E7339">- POVIDONE-IODINE</f>
        <v>#NAME?</v>
      </c>
      <c r="F7339" t="s">
        <v>33910</v>
      </c>
      <c r="H7339" t="s">
        <v>1322</v>
      </c>
      <c r="I7339" t="s">
        <v>33911</v>
      </c>
      <c r="J7339" t="s">
        <v>20136</v>
      </c>
      <c r="M7339" t="s">
        <v>554</v>
      </c>
      <c r="N7339" t="s">
        <v>555</v>
      </c>
      <c r="O7339" t="s">
        <v>33912</v>
      </c>
      <c r="P7339" t="s">
        <v>20138</v>
      </c>
      <c r="Q7339" t="s">
        <v>33913</v>
      </c>
      <c r="R7339">
        <v>21</v>
      </c>
      <c r="S7339">
        <v>32</v>
      </c>
    </row>
    <row r="7340" spans="1:19" x14ac:dyDescent="0.35">
      <c r="A7340">
        <v>8150</v>
      </c>
      <c r="B7340" t="s">
        <v>551</v>
      </c>
      <c r="C7340" t="s">
        <v>42</v>
      </c>
      <c r="D7340" t="s">
        <v>33914</v>
      </c>
      <c r="E7340" t="e" cm="1">
        <f t="array" ref="E7340">- POVIDONE-IODINE</f>
        <v>#NAME?</v>
      </c>
      <c r="F7340" s="1">
        <v>16000</v>
      </c>
      <c r="H7340" t="s">
        <v>1322</v>
      </c>
      <c r="I7340" t="s">
        <v>33911</v>
      </c>
      <c r="J7340" t="s">
        <v>20136</v>
      </c>
      <c r="M7340" t="s">
        <v>554</v>
      </c>
      <c r="N7340" t="s">
        <v>555</v>
      </c>
      <c r="O7340" t="s">
        <v>33912</v>
      </c>
      <c r="P7340" t="s">
        <v>20138</v>
      </c>
      <c r="Q7340" t="s">
        <v>33913</v>
      </c>
      <c r="R7340">
        <v>21</v>
      </c>
      <c r="S7340">
        <v>32</v>
      </c>
    </row>
    <row r="7341" spans="1:19" x14ac:dyDescent="0.35">
      <c r="A7341">
        <v>8151</v>
      </c>
      <c r="B7341" t="s">
        <v>551</v>
      </c>
      <c r="C7341" t="s">
        <v>42</v>
      </c>
      <c r="D7341" t="s">
        <v>33914</v>
      </c>
      <c r="E7341" t="e" cm="1">
        <f t="array" ref="E7341">- POVIDONE-IODINE</f>
        <v>#NAME?</v>
      </c>
      <c r="F7341" s="1">
        <v>16000</v>
      </c>
      <c r="H7341" t="s">
        <v>1322</v>
      </c>
      <c r="I7341" t="s">
        <v>33911</v>
      </c>
      <c r="J7341" t="s">
        <v>20136</v>
      </c>
      <c r="M7341" t="s">
        <v>554</v>
      </c>
      <c r="N7341" t="s">
        <v>555</v>
      </c>
      <c r="O7341" t="s">
        <v>33912</v>
      </c>
      <c r="P7341" t="s">
        <v>20138</v>
      </c>
      <c r="Q7341" t="s">
        <v>33913</v>
      </c>
      <c r="R7341">
        <v>21</v>
      </c>
      <c r="S7341">
        <v>32</v>
      </c>
    </row>
    <row r="7342" spans="1:19" x14ac:dyDescent="0.35">
      <c r="A7342">
        <v>8156</v>
      </c>
      <c r="B7342" t="s">
        <v>551</v>
      </c>
      <c r="C7342" t="s">
        <v>42</v>
      </c>
      <c r="D7342" t="s">
        <v>33915</v>
      </c>
      <c r="E7342" t="e" cm="1">
        <f t="array" ref="E7342">- POVIDONE-IODINE</f>
        <v>#NAME?</v>
      </c>
      <c r="F7342" t="s">
        <v>33916</v>
      </c>
      <c r="H7342" t="s">
        <v>1322</v>
      </c>
      <c r="I7342" t="s">
        <v>33911</v>
      </c>
      <c r="J7342" t="s">
        <v>16660</v>
      </c>
      <c r="M7342" t="s">
        <v>554</v>
      </c>
      <c r="N7342" t="s">
        <v>555</v>
      </c>
      <c r="O7342" t="s">
        <v>33912</v>
      </c>
      <c r="P7342" t="s">
        <v>33917</v>
      </c>
      <c r="Q7342" t="s">
        <v>33918</v>
      </c>
      <c r="R7342">
        <v>21</v>
      </c>
      <c r="S7342">
        <v>32</v>
      </c>
    </row>
    <row r="7343" spans="1:19" x14ac:dyDescent="0.35">
      <c r="A7343">
        <v>8157</v>
      </c>
      <c r="B7343" t="s">
        <v>551</v>
      </c>
      <c r="C7343" t="s">
        <v>42</v>
      </c>
      <c r="D7343" t="s">
        <v>33915</v>
      </c>
      <c r="E7343" t="e" cm="1">
        <f t="array" ref="E7343">- POVIDONE-IODINE</f>
        <v>#NAME?</v>
      </c>
      <c r="F7343" t="s">
        <v>33916</v>
      </c>
      <c r="H7343" t="s">
        <v>1322</v>
      </c>
      <c r="I7343" t="s">
        <v>33911</v>
      </c>
      <c r="J7343" t="s">
        <v>16660</v>
      </c>
      <c r="M7343" t="s">
        <v>554</v>
      </c>
      <c r="N7343" t="s">
        <v>555</v>
      </c>
      <c r="O7343" t="s">
        <v>33912</v>
      </c>
      <c r="P7343" t="s">
        <v>33917</v>
      </c>
      <c r="Q7343" t="s">
        <v>33918</v>
      </c>
      <c r="R7343">
        <v>21</v>
      </c>
      <c r="S7343">
        <v>32</v>
      </c>
    </row>
    <row r="7344" spans="1:19" x14ac:dyDescent="0.35">
      <c r="A7344">
        <v>6742</v>
      </c>
      <c r="B7344" t="s">
        <v>33919</v>
      </c>
      <c r="C7344" t="s">
        <v>42</v>
      </c>
      <c r="D7344" t="s">
        <v>33920</v>
      </c>
      <c r="E7344" t="e" cm="1">
        <f t="array" ref="E7344">- ALLOPURINOL</f>
        <v>#NAME?</v>
      </c>
      <c r="F7344" t="s">
        <v>33921</v>
      </c>
      <c r="G7344" t="s">
        <v>5033</v>
      </c>
      <c r="H7344" t="s">
        <v>33716</v>
      </c>
      <c r="I7344" t="s">
        <v>33717</v>
      </c>
      <c r="J7344" t="s">
        <v>381</v>
      </c>
      <c r="K7344" t="s">
        <v>33718</v>
      </c>
      <c r="L7344" t="s">
        <v>33922</v>
      </c>
      <c r="M7344" t="s">
        <v>46</v>
      </c>
      <c r="N7344" t="s">
        <v>424</v>
      </c>
      <c r="O7344" t="s">
        <v>33720</v>
      </c>
      <c r="P7344" t="s">
        <v>424</v>
      </c>
      <c r="Q7344" t="s">
        <v>33721</v>
      </c>
      <c r="R7344">
        <v>21</v>
      </c>
      <c r="S7344">
        <v>32</v>
      </c>
    </row>
    <row r="7345" spans="1:19" x14ac:dyDescent="0.35">
      <c r="A7345">
        <v>746</v>
      </c>
      <c r="B7345" t="s">
        <v>33410</v>
      </c>
      <c r="C7345" t="s">
        <v>42</v>
      </c>
      <c r="D7345" t="s">
        <v>33411</v>
      </c>
      <c r="E7345" t="e" cm="1">
        <f t="array" ref="E7345">- SODIUM CHLORIDE</f>
        <v>#NAME?</v>
      </c>
      <c r="F7345" t="s">
        <v>33412</v>
      </c>
      <c r="G7345" t="s">
        <v>33413</v>
      </c>
      <c r="H7345" t="s">
        <v>33414</v>
      </c>
      <c r="I7345" t="s">
        <v>33415</v>
      </c>
      <c r="J7345" t="s">
        <v>829</v>
      </c>
      <c r="K7345" t="s">
        <v>2726</v>
      </c>
      <c r="L7345" t="s">
        <v>33416</v>
      </c>
      <c r="M7345" t="s">
        <v>3453</v>
      </c>
      <c r="N7345" t="s">
        <v>24970</v>
      </c>
      <c r="O7345" t="s">
        <v>33417</v>
      </c>
      <c r="P7345" t="s">
        <v>33418</v>
      </c>
      <c r="Q7345" t="s">
        <v>33419</v>
      </c>
      <c r="R7345">
        <v>21</v>
      </c>
      <c r="S7345">
        <v>32</v>
      </c>
    </row>
    <row r="7346" spans="1:19" x14ac:dyDescent="0.35">
      <c r="A7346">
        <v>10006</v>
      </c>
      <c r="B7346" t="s">
        <v>33863</v>
      </c>
      <c r="C7346" t="s">
        <v>42</v>
      </c>
      <c r="D7346" t="s">
        <v>33864</v>
      </c>
      <c r="E7346" t="e" cm="1">
        <f t="array" ref="E7346">- CLOPIDOGREL HYDROGEN SULFATE</f>
        <v>#NAME?</v>
      </c>
      <c r="F7346" t="s">
        <v>33865</v>
      </c>
      <c r="G7346" t="s">
        <v>18645</v>
      </c>
      <c r="H7346" t="s">
        <v>33866</v>
      </c>
      <c r="I7346" t="s">
        <v>30613</v>
      </c>
      <c r="J7346" t="s">
        <v>2644</v>
      </c>
      <c r="K7346" t="s">
        <v>33867</v>
      </c>
      <c r="L7346" t="s">
        <v>33868</v>
      </c>
      <c r="M7346" t="s">
        <v>46</v>
      </c>
      <c r="N7346" t="s">
        <v>33869</v>
      </c>
      <c r="O7346" t="s">
        <v>30616</v>
      </c>
      <c r="P7346" t="s">
        <v>33870</v>
      </c>
      <c r="Q7346" t="s">
        <v>33871</v>
      </c>
      <c r="R7346">
        <v>21</v>
      </c>
      <c r="S7346">
        <v>32</v>
      </c>
    </row>
    <row r="7347" spans="1:19" x14ac:dyDescent="0.35">
      <c r="A7347">
        <v>4878</v>
      </c>
      <c r="B7347" t="s">
        <v>33923</v>
      </c>
      <c r="C7347" t="s">
        <v>42</v>
      </c>
      <c r="D7347" t="s">
        <v>33924</v>
      </c>
      <c r="E7347" t="e" cm="1">
        <f t="array" ref="E7347">- DEXAMETHASONE</f>
        <v>#NAME?</v>
      </c>
      <c r="F7347" t="s">
        <v>33925</v>
      </c>
      <c r="H7347" t="s">
        <v>30102</v>
      </c>
      <c r="I7347" t="s">
        <v>33926</v>
      </c>
      <c r="J7347" t="s">
        <v>25582</v>
      </c>
      <c r="K7347" t="s">
        <v>33927</v>
      </c>
      <c r="L7347" t="s">
        <v>1315</v>
      </c>
      <c r="M7347" t="s">
        <v>1029</v>
      </c>
      <c r="N7347" t="s">
        <v>3779</v>
      </c>
      <c r="O7347" t="s">
        <v>33928</v>
      </c>
      <c r="P7347" t="s">
        <v>33929</v>
      </c>
      <c r="Q7347" t="s">
        <v>33930</v>
      </c>
      <c r="R7347">
        <v>21</v>
      </c>
      <c r="S7347">
        <v>32</v>
      </c>
    </row>
    <row r="7348" spans="1:19" x14ac:dyDescent="0.35">
      <c r="A7348">
        <v>1056</v>
      </c>
      <c r="B7348" t="s">
        <v>33931</v>
      </c>
      <c r="C7348" t="s">
        <v>42</v>
      </c>
      <c r="D7348" t="s">
        <v>33932</v>
      </c>
      <c r="E7348" t="e" cm="1">
        <f t="array" ref="E7348">- DIPHENHYDRAMINE HYDROCHLORIDE. AMMONIUM CHLORIDE</f>
        <v>#NAME?</v>
      </c>
      <c r="F7348" t="s">
        <v>33933</v>
      </c>
      <c r="G7348" t="s">
        <v>2453</v>
      </c>
      <c r="H7348" t="s">
        <v>33934</v>
      </c>
      <c r="I7348" t="s">
        <v>32830</v>
      </c>
      <c r="J7348" t="s">
        <v>17160</v>
      </c>
      <c r="K7348" t="s">
        <v>33935</v>
      </c>
      <c r="L7348" t="s">
        <v>33936</v>
      </c>
      <c r="M7348" t="s">
        <v>271</v>
      </c>
      <c r="N7348" t="s">
        <v>4607</v>
      </c>
      <c r="O7348" t="s">
        <v>32831</v>
      </c>
      <c r="P7348" t="s">
        <v>33937</v>
      </c>
      <c r="Q7348" t="s">
        <v>33938</v>
      </c>
      <c r="R7348">
        <v>21</v>
      </c>
      <c r="S7348">
        <v>32</v>
      </c>
    </row>
    <row r="7349" spans="1:19" x14ac:dyDescent="0.35">
      <c r="A7349">
        <v>4534</v>
      </c>
      <c r="B7349" t="s">
        <v>26526</v>
      </c>
      <c r="C7349" t="s">
        <v>42</v>
      </c>
      <c r="D7349" t="s">
        <v>26527</v>
      </c>
      <c r="E7349" t="e" cm="1">
        <f t="array" ref="E7349">- DEXAMETHASONE SODIUM PHOSPHATE. NEOMYCIN SULFATE. POLYMYXIN B SULFATE</f>
        <v>#NAME?</v>
      </c>
      <c r="F7349" t="s">
        <v>26528</v>
      </c>
      <c r="G7349" t="s">
        <v>7569</v>
      </c>
      <c r="H7349" t="s">
        <v>26529</v>
      </c>
      <c r="I7349" t="s">
        <v>26530</v>
      </c>
      <c r="J7349" t="s">
        <v>26531</v>
      </c>
      <c r="K7349" t="s">
        <v>2858</v>
      </c>
      <c r="L7349" t="s">
        <v>26532</v>
      </c>
      <c r="M7349" t="s">
        <v>824</v>
      </c>
      <c r="N7349" t="s">
        <v>33939</v>
      </c>
      <c r="O7349" t="s">
        <v>26533</v>
      </c>
      <c r="P7349" t="s">
        <v>26534</v>
      </c>
      <c r="Q7349" t="s">
        <v>33940</v>
      </c>
      <c r="R7349">
        <v>21</v>
      </c>
      <c r="S7349">
        <v>32</v>
      </c>
    </row>
    <row r="7350" spans="1:19" x14ac:dyDescent="0.35">
      <c r="A7350">
        <v>4535</v>
      </c>
      <c r="B7350" t="s">
        <v>26526</v>
      </c>
      <c r="C7350" t="s">
        <v>42</v>
      </c>
      <c r="D7350" t="s">
        <v>26527</v>
      </c>
      <c r="E7350" t="e" cm="1">
        <f t="array" ref="E7350">- DEXAMETHASONE SODIUM PHOSPHATE. NEOMYCIN SULFATE. POLYMYXIN B SULFATE</f>
        <v>#NAME?</v>
      </c>
      <c r="F7350" t="s">
        <v>26528</v>
      </c>
      <c r="G7350" t="s">
        <v>7569</v>
      </c>
      <c r="H7350" t="s">
        <v>26529</v>
      </c>
      <c r="I7350" t="s">
        <v>26530</v>
      </c>
      <c r="J7350" t="s">
        <v>26531</v>
      </c>
      <c r="K7350" t="s">
        <v>2858</v>
      </c>
      <c r="L7350" t="s">
        <v>26532</v>
      </c>
      <c r="M7350" t="s">
        <v>824</v>
      </c>
      <c r="N7350" t="s">
        <v>33939</v>
      </c>
      <c r="O7350" t="s">
        <v>26533</v>
      </c>
      <c r="P7350" t="s">
        <v>26534</v>
      </c>
      <c r="Q7350" t="s">
        <v>33940</v>
      </c>
      <c r="R7350">
        <v>21</v>
      </c>
      <c r="S7350">
        <v>32</v>
      </c>
    </row>
    <row r="7351" spans="1:19" x14ac:dyDescent="0.35">
      <c r="A7351">
        <v>915</v>
      </c>
      <c r="B7351" t="s">
        <v>33438</v>
      </c>
      <c r="C7351" t="s">
        <v>42</v>
      </c>
      <c r="D7351" t="s">
        <v>33439</v>
      </c>
      <c r="E7351" t="e" cm="1">
        <f t="array" ref="E7351">- GUAIFENESIN</f>
        <v>#NAME?</v>
      </c>
      <c r="F7351" t="s">
        <v>16086</v>
      </c>
      <c r="G7351" t="s">
        <v>1691</v>
      </c>
      <c r="H7351" t="s">
        <v>33440</v>
      </c>
      <c r="I7351" t="s">
        <v>33441</v>
      </c>
      <c r="J7351" t="s">
        <v>21381</v>
      </c>
      <c r="K7351" t="s">
        <v>24475</v>
      </c>
      <c r="L7351" t="s">
        <v>33442</v>
      </c>
      <c r="M7351" t="s">
        <v>291</v>
      </c>
      <c r="N7351" t="s">
        <v>361</v>
      </c>
      <c r="O7351" t="s">
        <v>33443</v>
      </c>
      <c r="P7351" t="s">
        <v>25154</v>
      </c>
      <c r="Q7351" t="s">
        <v>33444</v>
      </c>
      <c r="R7351">
        <v>21</v>
      </c>
      <c r="S7351">
        <v>32</v>
      </c>
    </row>
    <row r="7352" spans="1:19" x14ac:dyDescent="0.35">
      <c r="A7352">
        <v>6744</v>
      </c>
      <c r="B7352" t="s">
        <v>33713</v>
      </c>
      <c r="C7352" t="s">
        <v>42</v>
      </c>
      <c r="D7352" t="s">
        <v>33714</v>
      </c>
      <c r="E7352" t="e" cm="1">
        <f t="array" ref="E7352">- ALLOPURINOL</f>
        <v>#NAME?</v>
      </c>
      <c r="F7352" t="s">
        <v>33715</v>
      </c>
      <c r="G7352" t="s">
        <v>5033</v>
      </c>
      <c r="H7352" t="s">
        <v>33716</v>
      </c>
      <c r="I7352" t="s">
        <v>33717</v>
      </c>
      <c r="J7352" t="s">
        <v>381</v>
      </c>
      <c r="K7352" t="s">
        <v>33718</v>
      </c>
      <c r="L7352" t="s">
        <v>33719</v>
      </c>
      <c r="M7352" t="s">
        <v>46</v>
      </c>
      <c r="N7352" t="s">
        <v>424</v>
      </c>
      <c r="O7352" t="s">
        <v>33720</v>
      </c>
      <c r="P7352" t="s">
        <v>424</v>
      </c>
      <c r="Q7352" t="s">
        <v>33721</v>
      </c>
      <c r="R7352">
        <v>21</v>
      </c>
      <c r="S7352">
        <v>32</v>
      </c>
    </row>
    <row r="7353" spans="1:19" x14ac:dyDescent="0.35">
      <c r="A7353">
        <v>1195</v>
      </c>
      <c r="B7353" t="s">
        <v>33941</v>
      </c>
      <c r="C7353" t="s">
        <v>42</v>
      </c>
      <c r="D7353" t="s">
        <v>33942</v>
      </c>
      <c r="E7353" t="e" cm="1">
        <f t="array" ref="E7353">- IBUPROFEN</f>
        <v>#NAME?</v>
      </c>
      <c r="F7353" t="s">
        <v>33943</v>
      </c>
      <c r="I7353" t="s">
        <v>33944</v>
      </c>
      <c r="M7353" t="s">
        <v>291</v>
      </c>
      <c r="N7353" t="s">
        <v>383</v>
      </c>
      <c r="O7353" t="s">
        <v>33945</v>
      </c>
      <c r="P7353" t="s">
        <v>33946</v>
      </c>
      <c r="Q7353" t="s">
        <v>33947</v>
      </c>
      <c r="R7353">
        <v>21</v>
      </c>
      <c r="S7353">
        <v>32</v>
      </c>
    </row>
    <row r="7354" spans="1:19" x14ac:dyDescent="0.35">
      <c r="A7354">
        <v>916</v>
      </c>
      <c r="B7354" t="s">
        <v>33438</v>
      </c>
      <c r="C7354" t="s">
        <v>42</v>
      </c>
      <c r="D7354" t="s">
        <v>33439</v>
      </c>
      <c r="E7354" t="e" cm="1">
        <f t="array" ref="E7354">- GUAIFENESIN</f>
        <v>#NAME?</v>
      </c>
      <c r="F7354" t="s">
        <v>16086</v>
      </c>
      <c r="G7354" t="s">
        <v>1691</v>
      </c>
      <c r="H7354" t="s">
        <v>33440</v>
      </c>
      <c r="I7354" t="s">
        <v>33441</v>
      </c>
      <c r="J7354" t="s">
        <v>21381</v>
      </c>
      <c r="K7354" t="s">
        <v>24475</v>
      </c>
      <c r="L7354" t="s">
        <v>33442</v>
      </c>
      <c r="M7354" t="s">
        <v>291</v>
      </c>
      <c r="N7354" t="s">
        <v>361</v>
      </c>
      <c r="O7354" t="s">
        <v>33443</v>
      </c>
      <c r="P7354" t="s">
        <v>25154</v>
      </c>
      <c r="Q7354" t="s">
        <v>33444</v>
      </c>
      <c r="R7354">
        <v>21</v>
      </c>
      <c r="S7354">
        <v>32</v>
      </c>
    </row>
    <row r="7355" spans="1:19" x14ac:dyDescent="0.35">
      <c r="A7355">
        <v>4899</v>
      </c>
      <c r="B7355" t="s">
        <v>33948</v>
      </c>
      <c r="C7355" t="s">
        <v>42</v>
      </c>
      <c r="D7355" t="s">
        <v>33949</v>
      </c>
      <c r="E7355" t="e" cm="1">
        <f t="array" ref="E7355">- TIMOLOL MALEATE</f>
        <v>#NAME?</v>
      </c>
      <c r="F7355" t="s">
        <v>33950</v>
      </c>
      <c r="H7355" t="s">
        <v>33951</v>
      </c>
      <c r="I7355" t="s">
        <v>33952</v>
      </c>
      <c r="J7355" t="s">
        <v>9310</v>
      </c>
      <c r="K7355" t="s">
        <v>33953</v>
      </c>
      <c r="L7355" t="s">
        <v>33954</v>
      </c>
      <c r="M7355" t="s">
        <v>824</v>
      </c>
      <c r="N7355" t="s">
        <v>6219</v>
      </c>
      <c r="O7355" t="s">
        <v>33955</v>
      </c>
      <c r="P7355" t="s">
        <v>33956</v>
      </c>
      <c r="Q7355" t="s">
        <v>33957</v>
      </c>
      <c r="R7355">
        <v>21</v>
      </c>
      <c r="S7355">
        <v>32</v>
      </c>
    </row>
    <row r="7356" spans="1:19" x14ac:dyDescent="0.35">
      <c r="A7356">
        <v>6743</v>
      </c>
      <c r="B7356" t="s">
        <v>33713</v>
      </c>
      <c r="C7356" t="s">
        <v>42</v>
      </c>
      <c r="D7356" t="s">
        <v>33714</v>
      </c>
      <c r="E7356" t="e" cm="1">
        <f t="array" ref="E7356">- ALLOPURINOL</f>
        <v>#NAME?</v>
      </c>
      <c r="F7356" t="s">
        <v>33715</v>
      </c>
      <c r="G7356" t="s">
        <v>5033</v>
      </c>
      <c r="H7356" t="s">
        <v>33716</v>
      </c>
      <c r="I7356" t="s">
        <v>33717</v>
      </c>
      <c r="J7356" t="s">
        <v>381</v>
      </c>
      <c r="K7356" t="s">
        <v>33718</v>
      </c>
      <c r="L7356" t="s">
        <v>33719</v>
      </c>
      <c r="M7356" t="s">
        <v>46</v>
      </c>
      <c r="N7356" t="s">
        <v>424</v>
      </c>
      <c r="O7356" t="s">
        <v>33720</v>
      </c>
      <c r="P7356" t="s">
        <v>424</v>
      </c>
      <c r="Q7356" t="s">
        <v>33721</v>
      </c>
      <c r="R7356">
        <v>21</v>
      </c>
      <c r="S7356">
        <v>32</v>
      </c>
    </row>
    <row r="7357" spans="1:19" x14ac:dyDescent="0.35">
      <c r="A7357">
        <v>4025</v>
      </c>
      <c r="B7357" t="s">
        <v>33958</v>
      </c>
      <c r="C7357" t="s">
        <v>20</v>
      </c>
      <c r="D7357" t="s">
        <v>33959</v>
      </c>
      <c r="E7357" t="s">
        <v>33960</v>
      </c>
      <c r="F7357" t="s">
        <v>33961</v>
      </c>
      <c r="H7357" t="s">
        <v>33962</v>
      </c>
      <c r="I7357" t="s">
        <v>33963</v>
      </c>
      <c r="J7357" t="s">
        <v>33964</v>
      </c>
      <c r="L7357" t="s">
        <v>33965</v>
      </c>
      <c r="M7357" t="s">
        <v>38</v>
      </c>
      <c r="N7357" t="s">
        <v>33966</v>
      </c>
      <c r="O7357" t="s">
        <v>33967</v>
      </c>
      <c r="P7357" t="s">
        <v>33966</v>
      </c>
      <c r="Q7357" t="s">
        <v>33968</v>
      </c>
      <c r="R7357">
        <v>21</v>
      </c>
      <c r="S7357">
        <v>32</v>
      </c>
    </row>
    <row r="7358" spans="1:19" x14ac:dyDescent="0.35">
      <c r="A7358">
        <v>745</v>
      </c>
      <c r="B7358" t="s">
        <v>33410</v>
      </c>
      <c r="C7358" t="s">
        <v>42</v>
      </c>
      <c r="D7358" t="s">
        <v>33411</v>
      </c>
      <c r="E7358" t="e" cm="1">
        <f t="array" ref="E7358">- SODIUM CHLORIDE</f>
        <v>#NAME?</v>
      </c>
      <c r="F7358" t="s">
        <v>33412</v>
      </c>
      <c r="G7358" t="s">
        <v>33413</v>
      </c>
      <c r="H7358" t="s">
        <v>33414</v>
      </c>
      <c r="I7358" t="s">
        <v>33415</v>
      </c>
      <c r="J7358" t="s">
        <v>829</v>
      </c>
      <c r="K7358" t="s">
        <v>2726</v>
      </c>
      <c r="L7358" t="s">
        <v>33416</v>
      </c>
      <c r="M7358" t="s">
        <v>3453</v>
      </c>
      <c r="N7358" t="s">
        <v>24970</v>
      </c>
      <c r="O7358" t="s">
        <v>33417</v>
      </c>
      <c r="P7358" t="s">
        <v>33418</v>
      </c>
      <c r="Q7358" t="s">
        <v>33419</v>
      </c>
      <c r="R7358">
        <v>21</v>
      </c>
      <c r="S7358">
        <v>32</v>
      </c>
    </row>
    <row r="7359" spans="1:19" x14ac:dyDescent="0.35">
      <c r="A7359">
        <v>10004</v>
      </c>
      <c r="B7359" t="s">
        <v>33969</v>
      </c>
      <c r="C7359" t="s">
        <v>42</v>
      </c>
      <c r="D7359" t="s">
        <v>33970</v>
      </c>
      <c r="E7359" t="e" cm="1">
        <f t="array" ref="E7359">- CLOPIDOGREL HYDROGEN SULFATE</f>
        <v>#NAME?</v>
      </c>
      <c r="F7359" s="1">
        <v>155600</v>
      </c>
      <c r="G7359" t="s">
        <v>30611</v>
      </c>
      <c r="H7359" t="s">
        <v>30612</v>
      </c>
      <c r="I7359" t="s">
        <v>30613</v>
      </c>
      <c r="J7359" t="s">
        <v>6274</v>
      </c>
      <c r="K7359" t="s">
        <v>30614</v>
      </c>
      <c r="L7359" t="s">
        <v>31200</v>
      </c>
      <c r="M7359" t="s">
        <v>46</v>
      </c>
      <c r="N7359" t="s">
        <v>33869</v>
      </c>
      <c r="O7359" t="s">
        <v>30616</v>
      </c>
      <c r="P7359" t="s">
        <v>33971</v>
      </c>
      <c r="Q7359" t="s">
        <v>33972</v>
      </c>
      <c r="R7359">
        <v>21</v>
      </c>
      <c r="S7359">
        <v>32</v>
      </c>
    </row>
    <row r="7360" spans="1:19" x14ac:dyDescent="0.35">
      <c r="A7360">
        <v>10005</v>
      </c>
      <c r="B7360" t="s">
        <v>33863</v>
      </c>
      <c r="C7360" t="s">
        <v>42</v>
      </c>
      <c r="D7360" t="s">
        <v>33864</v>
      </c>
      <c r="E7360" t="e" cm="1">
        <f t="array" ref="E7360">- CLOPIDOGREL HYDROGEN SULFATE</f>
        <v>#NAME?</v>
      </c>
      <c r="F7360" t="s">
        <v>33865</v>
      </c>
      <c r="G7360" t="s">
        <v>18645</v>
      </c>
      <c r="H7360" t="s">
        <v>33866</v>
      </c>
      <c r="I7360" t="s">
        <v>30613</v>
      </c>
      <c r="J7360" t="s">
        <v>2644</v>
      </c>
      <c r="K7360" t="s">
        <v>33867</v>
      </c>
      <c r="L7360" t="s">
        <v>33868</v>
      </c>
      <c r="M7360" t="s">
        <v>46</v>
      </c>
      <c r="N7360" t="s">
        <v>33869</v>
      </c>
      <c r="O7360" t="s">
        <v>30616</v>
      </c>
      <c r="P7360" t="s">
        <v>33870</v>
      </c>
      <c r="Q7360" t="s">
        <v>33871</v>
      </c>
      <c r="R7360">
        <v>21</v>
      </c>
      <c r="S7360">
        <v>32</v>
      </c>
    </row>
    <row r="7361" spans="1:19" x14ac:dyDescent="0.35">
      <c r="A7361">
        <v>5883</v>
      </c>
      <c r="B7361" t="s">
        <v>33973</v>
      </c>
      <c r="C7361" t="s">
        <v>42</v>
      </c>
      <c r="D7361" t="s">
        <v>33974</v>
      </c>
      <c r="E7361" t="e" cm="1">
        <f t="array" ref="E7361">- AMOXICILLIN TRIHYDRATE</f>
        <v>#NAME?</v>
      </c>
      <c r="F7361" t="s">
        <v>33975</v>
      </c>
      <c r="G7361" t="s">
        <v>2241</v>
      </c>
      <c r="H7361" t="s">
        <v>33147</v>
      </c>
      <c r="I7361" t="s">
        <v>33148</v>
      </c>
      <c r="J7361" t="s">
        <v>9710</v>
      </c>
      <c r="K7361" t="s">
        <v>33976</v>
      </c>
      <c r="L7361" t="s">
        <v>33149</v>
      </c>
      <c r="M7361" t="s">
        <v>291</v>
      </c>
      <c r="N7361" t="s">
        <v>1523</v>
      </c>
      <c r="O7361" t="s">
        <v>33150</v>
      </c>
      <c r="P7361" t="s">
        <v>33977</v>
      </c>
      <c r="Q7361" t="s">
        <v>33978</v>
      </c>
      <c r="R7361">
        <v>21</v>
      </c>
      <c r="S7361">
        <v>32</v>
      </c>
    </row>
    <row r="7362" spans="1:19" x14ac:dyDescent="0.35">
      <c r="A7362">
        <v>1970</v>
      </c>
      <c r="B7362" t="s">
        <v>13483</v>
      </c>
      <c r="C7362" t="s">
        <v>20</v>
      </c>
      <c r="D7362" t="s">
        <v>33979</v>
      </c>
      <c r="E7362" t="s">
        <v>13485</v>
      </c>
      <c r="F7362" t="s">
        <v>33980</v>
      </c>
      <c r="H7362" t="s">
        <v>33981</v>
      </c>
      <c r="I7362" t="s">
        <v>33982</v>
      </c>
      <c r="J7362" t="s">
        <v>33983</v>
      </c>
      <c r="M7362" t="s">
        <v>63</v>
      </c>
      <c r="N7362" t="s">
        <v>13488</v>
      </c>
      <c r="O7362" t="s">
        <v>33984</v>
      </c>
      <c r="P7362" t="s">
        <v>13489</v>
      </c>
      <c r="Q7362" t="s">
        <v>33985</v>
      </c>
      <c r="R7362">
        <v>21</v>
      </c>
      <c r="S7362">
        <v>32</v>
      </c>
    </row>
    <row r="7363" spans="1:19" x14ac:dyDescent="0.35">
      <c r="A7363">
        <v>7797</v>
      </c>
      <c r="B7363" t="s">
        <v>33986</v>
      </c>
      <c r="C7363" t="s">
        <v>20</v>
      </c>
      <c r="D7363" t="s">
        <v>33987</v>
      </c>
      <c r="E7363" t="s">
        <v>33988</v>
      </c>
      <c r="F7363" t="s">
        <v>33989</v>
      </c>
      <c r="G7363" t="s">
        <v>33990</v>
      </c>
      <c r="I7363" t="s">
        <v>32426</v>
      </c>
      <c r="M7363" t="s">
        <v>46</v>
      </c>
      <c r="N7363" t="s">
        <v>33991</v>
      </c>
      <c r="O7363" t="s">
        <v>32429</v>
      </c>
      <c r="P7363" t="s">
        <v>32428</v>
      </c>
      <c r="Q7363" t="s">
        <v>33992</v>
      </c>
      <c r="R7363">
        <v>21</v>
      </c>
      <c r="S7363">
        <v>32</v>
      </c>
    </row>
    <row r="7364" spans="1:19" x14ac:dyDescent="0.35">
      <c r="A7364">
        <v>1972</v>
      </c>
      <c r="B7364" t="s">
        <v>13483</v>
      </c>
      <c r="C7364" t="s">
        <v>20</v>
      </c>
      <c r="D7364" t="s">
        <v>33979</v>
      </c>
      <c r="E7364" t="s">
        <v>13485</v>
      </c>
      <c r="F7364" t="s">
        <v>33980</v>
      </c>
      <c r="H7364" t="s">
        <v>33981</v>
      </c>
      <c r="I7364" t="s">
        <v>33982</v>
      </c>
      <c r="J7364" t="s">
        <v>33983</v>
      </c>
      <c r="M7364" t="s">
        <v>63</v>
      </c>
      <c r="N7364" t="s">
        <v>13488</v>
      </c>
      <c r="O7364" t="s">
        <v>33984</v>
      </c>
      <c r="P7364" t="s">
        <v>13489</v>
      </c>
      <c r="Q7364" t="s">
        <v>33985</v>
      </c>
      <c r="R7364">
        <v>21</v>
      </c>
      <c r="S7364">
        <v>32</v>
      </c>
    </row>
    <row r="7365" spans="1:19" x14ac:dyDescent="0.35">
      <c r="A7365">
        <v>3938</v>
      </c>
      <c r="B7365" t="s">
        <v>33993</v>
      </c>
      <c r="C7365" t="s">
        <v>42</v>
      </c>
      <c r="D7365" t="s">
        <v>33994</v>
      </c>
      <c r="E7365" t="e" cm="1">
        <f t="array" ref="E7365">- BENZOCAINE</f>
        <v>#NAME?</v>
      </c>
      <c r="F7365" t="s">
        <v>33995</v>
      </c>
      <c r="G7365" t="s">
        <v>16413</v>
      </c>
      <c r="H7365" t="s">
        <v>32860</v>
      </c>
      <c r="I7365" t="s">
        <v>33996</v>
      </c>
      <c r="J7365" t="s">
        <v>33997</v>
      </c>
      <c r="K7365" t="s">
        <v>3473</v>
      </c>
      <c r="L7365" t="s">
        <v>33998</v>
      </c>
      <c r="M7365" t="s">
        <v>720</v>
      </c>
      <c r="N7365" t="s">
        <v>23519</v>
      </c>
      <c r="O7365" t="s">
        <v>33999</v>
      </c>
      <c r="P7365" t="s">
        <v>34000</v>
      </c>
      <c r="Q7365" t="s">
        <v>34001</v>
      </c>
      <c r="R7365">
        <v>21</v>
      </c>
      <c r="S7365">
        <v>32</v>
      </c>
    </row>
    <row r="7366" spans="1:19" x14ac:dyDescent="0.35">
      <c r="A7366">
        <v>678</v>
      </c>
      <c r="B7366" t="s">
        <v>33549</v>
      </c>
      <c r="C7366" t="s">
        <v>20</v>
      </c>
      <c r="D7366" t="s">
        <v>34002</v>
      </c>
      <c r="E7366" t="s">
        <v>33551</v>
      </c>
      <c r="F7366" t="s">
        <v>34003</v>
      </c>
      <c r="G7366" t="s">
        <v>33553</v>
      </c>
      <c r="H7366" t="s">
        <v>17583</v>
      </c>
      <c r="I7366" t="s">
        <v>33554</v>
      </c>
      <c r="J7366" t="s">
        <v>19180</v>
      </c>
      <c r="M7366" t="s">
        <v>2115</v>
      </c>
      <c r="N7366" t="s">
        <v>33555</v>
      </c>
      <c r="O7366" t="s">
        <v>33556</v>
      </c>
      <c r="P7366" t="s">
        <v>33557</v>
      </c>
      <c r="Q7366" t="s">
        <v>33558</v>
      </c>
      <c r="R7366">
        <v>21</v>
      </c>
      <c r="S7366">
        <v>32</v>
      </c>
    </row>
    <row r="7367" spans="1:19" x14ac:dyDescent="0.35">
      <c r="A7367">
        <v>294</v>
      </c>
      <c r="B7367" t="s">
        <v>33525</v>
      </c>
      <c r="C7367" t="s">
        <v>42</v>
      </c>
      <c r="D7367" t="s">
        <v>33526</v>
      </c>
      <c r="E7367" t="e" cm="1">
        <f t="array" ref="E7367">- PROGESTERONE</f>
        <v>#NAME?</v>
      </c>
      <c r="F7367" t="s">
        <v>33527</v>
      </c>
      <c r="G7367" t="s">
        <v>33528</v>
      </c>
      <c r="H7367" t="s">
        <v>33529</v>
      </c>
      <c r="I7367" t="s">
        <v>33530</v>
      </c>
      <c r="J7367" t="s">
        <v>33531</v>
      </c>
      <c r="K7367" t="s">
        <v>33532</v>
      </c>
      <c r="L7367" t="s">
        <v>33533</v>
      </c>
      <c r="M7367" t="s">
        <v>33534</v>
      </c>
      <c r="N7367" t="s">
        <v>8537</v>
      </c>
      <c r="O7367" t="s">
        <v>33535</v>
      </c>
      <c r="P7367" t="s">
        <v>33536</v>
      </c>
      <c r="Q7367" t="s">
        <v>33537</v>
      </c>
      <c r="R7367">
        <v>21</v>
      </c>
      <c r="S7367">
        <v>32</v>
      </c>
    </row>
    <row r="7368" spans="1:19" x14ac:dyDescent="0.35">
      <c r="A7368">
        <v>2963</v>
      </c>
      <c r="B7368" t="s">
        <v>34004</v>
      </c>
      <c r="C7368" t="s">
        <v>42</v>
      </c>
      <c r="D7368" t="s">
        <v>34005</v>
      </c>
      <c r="E7368" t="e" cm="1">
        <f t="array" ref="E7368">- PARACETAMOL</f>
        <v>#NAME?</v>
      </c>
      <c r="F7368" t="s">
        <v>34006</v>
      </c>
      <c r="G7368" t="s">
        <v>2248</v>
      </c>
      <c r="H7368" t="s">
        <v>34007</v>
      </c>
    </row>
    <row r="7369" spans="1:19" x14ac:dyDescent="0.35">
      <c r="A7369">
        <v>2237</v>
      </c>
      <c r="B7369" t="s">
        <v>34008</v>
      </c>
      <c r="C7369" t="s">
        <v>42</v>
      </c>
      <c r="D7369" t="s">
        <v>34009</v>
      </c>
      <c r="E7369" t="e" cm="1">
        <f t="array" ref="E7369">- MEFENAMIC ACID</f>
        <v>#NAME?</v>
      </c>
      <c r="F7369" t="s">
        <v>34010</v>
      </c>
      <c r="G7369" t="s">
        <v>5610</v>
      </c>
      <c r="H7369" t="s">
        <v>34011</v>
      </c>
      <c r="I7369" t="s">
        <v>34012</v>
      </c>
      <c r="J7369" t="s">
        <v>515</v>
      </c>
      <c r="K7369" t="s">
        <v>34013</v>
      </c>
      <c r="L7369" t="s">
        <v>34014</v>
      </c>
      <c r="M7369" t="s">
        <v>291</v>
      </c>
      <c r="N7369" t="s">
        <v>2235</v>
      </c>
      <c r="O7369" t="s">
        <v>34015</v>
      </c>
      <c r="P7369" t="s">
        <v>34016</v>
      </c>
      <c r="Q7369" t="s">
        <v>34017</v>
      </c>
      <c r="R7369">
        <v>21</v>
      </c>
      <c r="S7369">
        <v>32</v>
      </c>
    </row>
    <row r="7370" spans="1:19" x14ac:dyDescent="0.35">
      <c r="A7370">
        <v>9603</v>
      </c>
      <c r="B7370" t="s">
        <v>6301</v>
      </c>
      <c r="C7370" t="s">
        <v>42</v>
      </c>
      <c r="D7370" t="s">
        <v>34018</v>
      </c>
      <c r="E7370" t="s">
        <v>6303</v>
      </c>
      <c r="F7370" t="s">
        <v>34019</v>
      </c>
      <c r="G7370" t="s">
        <v>31602</v>
      </c>
      <c r="H7370" t="s">
        <v>1322</v>
      </c>
      <c r="I7370" t="s">
        <v>34020</v>
      </c>
      <c r="J7370" t="s">
        <v>1144</v>
      </c>
      <c r="K7370" t="s">
        <v>31604</v>
      </c>
      <c r="L7370" t="s">
        <v>34021</v>
      </c>
      <c r="M7370" t="s">
        <v>46</v>
      </c>
      <c r="N7370" t="s">
        <v>6304</v>
      </c>
      <c r="O7370" t="s">
        <v>34022</v>
      </c>
      <c r="P7370" t="s">
        <v>21447</v>
      </c>
      <c r="Q7370" t="s">
        <v>34023</v>
      </c>
      <c r="R7370">
        <v>21</v>
      </c>
      <c r="S7370">
        <v>32</v>
      </c>
    </row>
    <row r="7371" spans="1:19" x14ac:dyDescent="0.35">
      <c r="A7371">
        <v>2436</v>
      </c>
      <c r="B7371" t="s">
        <v>34024</v>
      </c>
      <c r="C7371" t="s">
        <v>42</v>
      </c>
      <c r="D7371" t="s">
        <v>34025</v>
      </c>
      <c r="E7371" t="e" cm="1">
        <f t="array" ref="E7371">- PARACETAMOL</f>
        <v>#NAME?</v>
      </c>
      <c r="F7371" s="1">
        <v>4600</v>
      </c>
      <c r="I7371" t="s">
        <v>32224</v>
      </c>
      <c r="J7371" t="s">
        <v>727</v>
      </c>
      <c r="M7371" t="s">
        <v>291</v>
      </c>
      <c r="N7371" t="s">
        <v>584</v>
      </c>
      <c r="O7371" t="s">
        <v>32225</v>
      </c>
      <c r="P7371" t="s">
        <v>34026</v>
      </c>
      <c r="Q7371" t="s">
        <v>34027</v>
      </c>
      <c r="R7371">
        <v>21</v>
      </c>
      <c r="S7371">
        <v>32</v>
      </c>
    </row>
    <row r="7372" spans="1:19" x14ac:dyDescent="0.35">
      <c r="A7372">
        <v>4774</v>
      </c>
      <c r="B7372" t="s">
        <v>34028</v>
      </c>
      <c r="C7372" t="s">
        <v>42</v>
      </c>
      <c r="D7372" t="s">
        <v>34029</v>
      </c>
      <c r="E7372" t="e" cm="1">
        <f t="array" ref="E7372">- SODIUM HYALURONATE</f>
        <v>#NAME?</v>
      </c>
      <c r="F7372" t="s">
        <v>34030</v>
      </c>
      <c r="G7372" t="s">
        <v>34031</v>
      </c>
      <c r="H7372" t="s">
        <v>34032</v>
      </c>
      <c r="I7372" t="s">
        <v>34033</v>
      </c>
      <c r="J7372" t="s">
        <v>34034</v>
      </c>
      <c r="K7372" t="s">
        <v>3952</v>
      </c>
      <c r="L7372" t="s">
        <v>34035</v>
      </c>
      <c r="M7372" t="s">
        <v>824</v>
      </c>
      <c r="N7372" t="s">
        <v>27378</v>
      </c>
      <c r="O7372" t="s">
        <v>34036</v>
      </c>
      <c r="P7372" t="s">
        <v>34037</v>
      </c>
      <c r="Q7372" t="s">
        <v>34038</v>
      </c>
      <c r="R7372">
        <v>21</v>
      </c>
      <c r="S7372">
        <v>32</v>
      </c>
    </row>
    <row r="7373" spans="1:19" x14ac:dyDescent="0.35">
      <c r="A7373">
        <v>2255</v>
      </c>
      <c r="B7373" t="s">
        <v>33195</v>
      </c>
      <c r="C7373" t="s">
        <v>42</v>
      </c>
      <c r="D7373" t="s">
        <v>33196</v>
      </c>
      <c r="E7373" t="e" cm="1">
        <f t="array" ref="E7373">- DICLOFENAC SODIUM</f>
        <v>#NAME?</v>
      </c>
      <c r="F7373" t="s">
        <v>33197</v>
      </c>
      <c r="G7373" t="s">
        <v>2241</v>
      </c>
      <c r="H7373" t="s">
        <v>2596</v>
      </c>
      <c r="I7373" t="s">
        <v>33099</v>
      </c>
      <c r="J7373" t="s">
        <v>33198</v>
      </c>
      <c r="K7373" t="s">
        <v>33100</v>
      </c>
      <c r="L7373" t="s">
        <v>33101</v>
      </c>
      <c r="M7373" t="s">
        <v>46</v>
      </c>
      <c r="N7373" t="s">
        <v>2597</v>
      </c>
      <c r="O7373" t="s">
        <v>33102</v>
      </c>
      <c r="P7373" t="s">
        <v>33200</v>
      </c>
      <c r="Q7373" t="s">
        <v>34039</v>
      </c>
      <c r="R7373">
        <v>21</v>
      </c>
      <c r="S7373">
        <v>32</v>
      </c>
    </row>
    <row r="7374" spans="1:19" x14ac:dyDescent="0.35">
      <c r="A7374">
        <v>2266</v>
      </c>
      <c r="B7374" t="s">
        <v>34040</v>
      </c>
      <c r="C7374" t="s">
        <v>42</v>
      </c>
      <c r="D7374" t="s">
        <v>34041</v>
      </c>
      <c r="E7374" t="e" cm="1">
        <f t="array" ref="E7374">- PARACETAMOL</f>
        <v>#NAME?</v>
      </c>
      <c r="F7374" t="s">
        <v>34042</v>
      </c>
      <c r="G7374" t="s">
        <v>34043</v>
      </c>
      <c r="H7374" t="s">
        <v>34044</v>
      </c>
      <c r="I7374" t="s">
        <v>34045</v>
      </c>
      <c r="J7374" t="s">
        <v>727</v>
      </c>
      <c r="K7374" t="s">
        <v>34046</v>
      </c>
      <c r="L7374" t="s">
        <v>34047</v>
      </c>
      <c r="M7374" t="s">
        <v>291</v>
      </c>
      <c r="N7374" t="s">
        <v>584</v>
      </c>
      <c r="O7374" t="s">
        <v>34048</v>
      </c>
      <c r="P7374" t="s">
        <v>34049</v>
      </c>
      <c r="Q7374" t="s">
        <v>34050</v>
      </c>
      <c r="R7374">
        <v>21</v>
      </c>
      <c r="S7374">
        <v>32</v>
      </c>
    </row>
    <row r="7375" spans="1:19" x14ac:dyDescent="0.35">
      <c r="A7375">
        <v>3103</v>
      </c>
      <c r="B7375" t="s">
        <v>34051</v>
      </c>
      <c r="C7375" t="s">
        <v>42</v>
      </c>
      <c r="D7375" t="s">
        <v>34052</v>
      </c>
      <c r="E7375" t="e" cm="1">
        <f t="array" ref="E7375">- ALUMINIUM HYDROXIDE. MAGNESIUM HYDROXIDE. SIMETHICONE</f>
        <v>#NAME?</v>
      </c>
      <c r="F7375" t="s">
        <v>34053</v>
      </c>
      <c r="G7375" t="s">
        <v>34054</v>
      </c>
      <c r="H7375" t="s">
        <v>34055</v>
      </c>
      <c r="I7375" t="s">
        <v>32099</v>
      </c>
      <c r="J7375" t="s">
        <v>1144</v>
      </c>
      <c r="K7375" t="s">
        <v>34056</v>
      </c>
      <c r="L7375" t="s">
        <v>32094</v>
      </c>
      <c r="M7375" t="s">
        <v>340</v>
      </c>
      <c r="N7375" t="s">
        <v>34057</v>
      </c>
      <c r="O7375" t="s">
        <v>32095</v>
      </c>
      <c r="P7375" t="s">
        <v>32096</v>
      </c>
      <c r="Q7375" t="s">
        <v>34058</v>
      </c>
      <c r="R7375">
        <v>21</v>
      </c>
      <c r="S7375">
        <v>32</v>
      </c>
    </row>
    <row r="7376" spans="1:19" x14ac:dyDescent="0.35">
      <c r="A7376">
        <v>3096</v>
      </c>
      <c r="B7376" t="s">
        <v>34059</v>
      </c>
      <c r="C7376" t="s">
        <v>42</v>
      </c>
      <c r="D7376" t="s">
        <v>34060</v>
      </c>
      <c r="E7376" t="e" cm="1">
        <f t="array" ref="E7376">- PANTOPRAZOLE SODIUM</f>
        <v>#NAME?</v>
      </c>
      <c r="F7376" t="s">
        <v>34061</v>
      </c>
      <c r="G7376" t="s">
        <v>34062</v>
      </c>
      <c r="H7376" t="s">
        <v>34063</v>
      </c>
      <c r="I7376" t="s">
        <v>34064</v>
      </c>
      <c r="J7376" t="s">
        <v>25427</v>
      </c>
      <c r="K7376" t="s">
        <v>34065</v>
      </c>
      <c r="L7376" t="s">
        <v>34066</v>
      </c>
      <c r="M7376" t="s">
        <v>46</v>
      </c>
      <c r="N7376" t="s">
        <v>1757</v>
      </c>
      <c r="O7376" t="s">
        <v>34067</v>
      </c>
      <c r="P7376" t="s">
        <v>15705</v>
      </c>
      <c r="Q7376" t="s">
        <v>34068</v>
      </c>
      <c r="R7376">
        <v>21</v>
      </c>
      <c r="S7376">
        <v>32</v>
      </c>
    </row>
    <row r="7377" spans="1:19" x14ac:dyDescent="0.35">
      <c r="A7377">
        <v>5549</v>
      </c>
      <c r="B7377" t="s">
        <v>34069</v>
      </c>
      <c r="C7377" t="s">
        <v>850</v>
      </c>
      <c r="D7377" t="s">
        <v>34070</v>
      </c>
      <c r="E7377" t="e" cm="1">
        <f t="array" ref="E7377">- Aloe Barbadensis Extract LIQUID</f>
        <v>#NAME?</v>
      </c>
      <c r="F7377" t="s">
        <v>34071</v>
      </c>
      <c r="G7377" t="s">
        <v>34072</v>
      </c>
      <c r="H7377" t="s">
        <v>34073</v>
      </c>
      <c r="I7377" t="s">
        <v>34074</v>
      </c>
      <c r="J7377" t="s">
        <v>846</v>
      </c>
      <c r="M7377" t="s">
        <v>87</v>
      </c>
      <c r="N7377" t="s">
        <v>34075</v>
      </c>
      <c r="O7377" t="s">
        <v>34076</v>
      </c>
      <c r="P7377" t="s">
        <v>34077</v>
      </c>
      <c r="Q7377" t="s">
        <v>34078</v>
      </c>
      <c r="R7377">
        <v>21</v>
      </c>
      <c r="S7377">
        <v>32</v>
      </c>
    </row>
    <row r="7378" spans="1:19" x14ac:dyDescent="0.35">
      <c r="A7378">
        <v>5550</v>
      </c>
      <c r="B7378" t="s">
        <v>34069</v>
      </c>
      <c r="C7378" t="s">
        <v>850</v>
      </c>
      <c r="D7378" t="s">
        <v>34079</v>
      </c>
      <c r="E7378" t="e" cm="1">
        <f t="array" ref="E7378">- Aloe Barbadensis Extract LIQUID</f>
        <v>#NAME?</v>
      </c>
      <c r="F7378" t="s">
        <v>34080</v>
      </c>
      <c r="G7378" t="s">
        <v>34073</v>
      </c>
      <c r="H7378" t="s">
        <v>1322</v>
      </c>
      <c r="I7378" t="s">
        <v>34074</v>
      </c>
      <c r="J7378" t="s">
        <v>19180</v>
      </c>
      <c r="L7378" t="s">
        <v>34072</v>
      </c>
      <c r="M7378" t="s">
        <v>87</v>
      </c>
      <c r="N7378" t="s">
        <v>34075</v>
      </c>
      <c r="O7378" t="s">
        <v>34076</v>
      </c>
      <c r="P7378" t="s">
        <v>34077</v>
      </c>
      <c r="Q7378" t="s">
        <v>34078</v>
      </c>
      <c r="R7378">
        <v>21</v>
      </c>
      <c r="S7378">
        <v>32</v>
      </c>
    </row>
    <row r="7379" spans="1:19" x14ac:dyDescent="0.35">
      <c r="A7379">
        <v>2276</v>
      </c>
      <c r="B7379" t="s">
        <v>34081</v>
      </c>
      <c r="C7379" t="s">
        <v>42</v>
      </c>
      <c r="D7379" t="s">
        <v>34082</v>
      </c>
      <c r="E7379" t="e" cm="1">
        <f t="array" ref="E7379">- MEFENAMIC ACID</f>
        <v>#NAME?</v>
      </c>
      <c r="F7379" t="s">
        <v>34083</v>
      </c>
      <c r="G7379" t="s">
        <v>34084</v>
      </c>
      <c r="H7379" t="s">
        <v>34085</v>
      </c>
      <c r="I7379" t="s">
        <v>34086</v>
      </c>
      <c r="J7379" t="s">
        <v>34087</v>
      </c>
      <c r="K7379" t="s">
        <v>34088</v>
      </c>
      <c r="L7379" t="s">
        <v>34089</v>
      </c>
      <c r="M7379" t="s">
        <v>291</v>
      </c>
      <c r="N7379" t="s">
        <v>2235</v>
      </c>
      <c r="O7379" t="s">
        <v>34090</v>
      </c>
      <c r="P7379" t="s">
        <v>34091</v>
      </c>
      <c r="Q7379" t="s">
        <v>34092</v>
      </c>
      <c r="R7379">
        <v>21</v>
      </c>
      <c r="S7379">
        <v>32</v>
      </c>
    </row>
    <row r="7380" spans="1:19" x14ac:dyDescent="0.35">
      <c r="A7380">
        <v>8805</v>
      </c>
      <c r="B7380" t="s">
        <v>2388</v>
      </c>
      <c r="C7380" t="s">
        <v>42</v>
      </c>
      <c r="D7380" t="s">
        <v>34093</v>
      </c>
      <c r="E7380" t="e" cm="1">
        <f t="array" ref="E7380">- PIOGLITAZONE HYDROCHLORIDE</f>
        <v>#NAME?</v>
      </c>
      <c r="F7380" t="s">
        <v>34094</v>
      </c>
      <c r="G7380" t="s">
        <v>11833</v>
      </c>
      <c r="H7380" t="s">
        <v>1322</v>
      </c>
      <c r="I7380" t="s">
        <v>33228</v>
      </c>
      <c r="J7380" t="s">
        <v>26759</v>
      </c>
      <c r="M7380" t="s">
        <v>46</v>
      </c>
      <c r="N7380" t="s">
        <v>2389</v>
      </c>
      <c r="O7380" t="s">
        <v>33229</v>
      </c>
      <c r="P7380" t="s">
        <v>34095</v>
      </c>
      <c r="Q7380" t="s">
        <v>34096</v>
      </c>
      <c r="R7380">
        <v>21</v>
      </c>
      <c r="S7380">
        <v>32</v>
      </c>
    </row>
    <row r="7381" spans="1:19" x14ac:dyDescent="0.35">
      <c r="A7381">
        <v>7243</v>
      </c>
      <c r="B7381" t="s">
        <v>34097</v>
      </c>
      <c r="C7381" t="s">
        <v>850</v>
      </c>
      <c r="D7381" t="s">
        <v>34098</v>
      </c>
      <c r="E7381" t="e" cm="1">
        <f t="array" ref="E7381">- Camphora</f>
        <v>#NAME?</v>
      </c>
      <c r="F7381" t="s">
        <v>6370</v>
      </c>
      <c r="G7381" t="s">
        <v>34099</v>
      </c>
      <c r="H7381" t="s">
        <v>34100</v>
      </c>
      <c r="I7381" t="s">
        <v>34101</v>
      </c>
      <c r="J7381" t="s">
        <v>846</v>
      </c>
      <c r="L7381" t="s">
        <v>34102</v>
      </c>
      <c r="M7381" t="s">
        <v>1289</v>
      </c>
      <c r="N7381" t="s">
        <v>3633</v>
      </c>
      <c r="O7381" t="s">
        <v>34103</v>
      </c>
      <c r="P7381" t="s">
        <v>34104</v>
      </c>
      <c r="Q7381" t="s">
        <v>34105</v>
      </c>
      <c r="R7381">
        <v>21</v>
      </c>
      <c r="S7381">
        <v>32</v>
      </c>
    </row>
    <row r="7382" spans="1:19" x14ac:dyDescent="0.35">
      <c r="A7382">
        <v>7242</v>
      </c>
      <c r="B7382" t="s">
        <v>34097</v>
      </c>
      <c r="C7382" t="s">
        <v>850</v>
      </c>
      <c r="D7382" t="s">
        <v>34098</v>
      </c>
      <c r="E7382" t="e" cm="1">
        <f t="array" ref="E7382">- Camphora</f>
        <v>#NAME?</v>
      </c>
      <c r="F7382" t="s">
        <v>6370</v>
      </c>
      <c r="G7382" t="s">
        <v>34099</v>
      </c>
      <c r="H7382" t="s">
        <v>34100</v>
      </c>
      <c r="I7382" t="s">
        <v>34101</v>
      </c>
      <c r="J7382" t="s">
        <v>846</v>
      </c>
      <c r="L7382" t="s">
        <v>34102</v>
      </c>
      <c r="M7382" t="s">
        <v>1289</v>
      </c>
      <c r="N7382" t="s">
        <v>3633</v>
      </c>
      <c r="O7382" t="s">
        <v>34103</v>
      </c>
      <c r="P7382" t="s">
        <v>34104</v>
      </c>
      <c r="Q7382" t="s">
        <v>34105</v>
      </c>
      <c r="R7382">
        <v>21</v>
      </c>
      <c r="S7382">
        <v>32</v>
      </c>
    </row>
    <row r="7383" spans="1:19" x14ac:dyDescent="0.35">
      <c r="A7383">
        <v>7239</v>
      </c>
      <c r="B7383" t="s">
        <v>34097</v>
      </c>
      <c r="C7383" t="s">
        <v>850</v>
      </c>
      <c r="D7383" t="s">
        <v>34106</v>
      </c>
      <c r="E7383" t="e" cm="1">
        <f t="array" ref="E7383">- Camphora</f>
        <v>#NAME?</v>
      </c>
      <c r="F7383" t="s">
        <v>34107</v>
      </c>
      <c r="I7383" t="s">
        <v>34101</v>
      </c>
      <c r="J7383" t="s">
        <v>29815</v>
      </c>
      <c r="L7383" t="s">
        <v>34102</v>
      </c>
      <c r="M7383" t="s">
        <v>1289</v>
      </c>
      <c r="N7383" t="s">
        <v>3633</v>
      </c>
      <c r="O7383" t="s">
        <v>34103</v>
      </c>
      <c r="P7383" t="s">
        <v>34108</v>
      </c>
      <c r="Q7383" t="s">
        <v>34109</v>
      </c>
      <c r="R7383">
        <v>21</v>
      </c>
      <c r="S7383">
        <v>32</v>
      </c>
    </row>
    <row r="7384" spans="1:19" x14ac:dyDescent="0.35">
      <c r="A7384">
        <v>9615</v>
      </c>
      <c r="B7384" t="s">
        <v>6301</v>
      </c>
      <c r="C7384" t="s">
        <v>42</v>
      </c>
      <c r="D7384" t="s">
        <v>34110</v>
      </c>
      <c r="E7384" t="s">
        <v>6303</v>
      </c>
      <c r="F7384" t="s">
        <v>34111</v>
      </c>
      <c r="I7384" t="s">
        <v>33214</v>
      </c>
      <c r="J7384" t="s">
        <v>25209</v>
      </c>
      <c r="M7384" t="s">
        <v>46</v>
      </c>
      <c r="N7384" t="s">
        <v>6304</v>
      </c>
      <c r="O7384" t="s">
        <v>33215</v>
      </c>
      <c r="P7384" t="s">
        <v>34112</v>
      </c>
      <c r="Q7384" t="s">
        <v>34113</v>
      </c>
      <c r="R7384">
        <v>21</v>
      </c>
      <c r="S7384">
        <v>32</v>
      </c>
    </row>
    <row r="7385" spans="1:19" x14ac:dyDescent="0.35">
      <c r="A7385">
        <v>2236</v>
      </c>
      <c r="B7385" t="s">
        <v>34008</v>
      </c>
      <c r="C7385" t="s">
        <v>42</v>
      </c>
      <c r="D7385" t="s">
        <v>34009</v>
      </c>
      <c r="E7385" t="e" cm="1">
        <f t="array" ref="E7385">- MEFENAMIC ACID</f>
        <v>#NAME?</v>
      </c>
      <c r="F7385" t="s">
        <v>34010</v>
      </c>
      <c r="G7385" t="s">
        <v>5610</v>
      </c>
      <c r="H7385" t="s">
        <v>34011</v>
      </c>
      <c r="I7385" t="s">
        <v>34012</v>
      </c>
      <c r="J7385" t="s">
        <v>515</v>
      </c>
      <c r="K7385" t="s">
        <v>34013</v>
      </c>
      <c r="L7385" t="s">
        <v>34014</v>
      </c>
      <c r="M7385" t="s">
        <v>291</v>
      </c>
      <c r="N7385" t="s">
        <v>2235</v>
      </c>
      <c r="O7385" t="s">
        <v>34015</v>
      </c>
      <c r="P7385" t="s">
        <v>34016</v>
      </c>
      <c r="Q7385" t="s">
        <v>34017</v>
      </c>
      <c r="R7385">
        <v>21</v>
      </c>
      <c r="S7385">
        <v>32</v>
      </c>
    </row>
    <row r="7386" spans="1:19" x14ac:dyDescent="0.35">
      <c r="A7386">
        <v>7148</v>
      </c>
      <c r="B7386" t="s">
        <v>34114</v>
      </c>
      <c r="C7386" t="s">
        <v>850</v>
      </c>
      <c r="D7386" t="s">
        <v>34115</v>
      </c>
      <c r="E7386" t="e" cm="1">
        <f t="array" ref="E7386">- Capsicum extraxt</f>
        <v>#NAME?</v>
      </c>
      <c r="F7386" t="s">
        <v>34116</v>
      </c>
      <c r="G7386" t="s">
        <v>34117</v>
      </c>
      <c r="H7386" t="s">
        <v>34118</v>
      </c>
      <c r="I7386" t="s">
        <v>34119</v>
      </c>
      <c r="J7386" t="s">
        <v>24155</v>
      </c>
      <c r="L7386" t="s">
        <v>34120</v>
      </c>
      <c r="M7386" t="s">
        <v>1289</v>
      </c>
      <c r="N7386" t="s">
        <v>34121</v>
      </c>
      <c r="O7386" t="s">
        <v>34122</v>
      </c>
      <c r="P7386" t="s">
        <v>34123</v>
      </c>
      <c r="Q7386" t="s">
        <v>34124</v>
      </c>
      <c r="R7386">
        <v>21</v>
      </c>
      <c r="S7386">
        <v>32</v>
      </c>
    </row>
    <row r="7387" spans="1:19" x14ac:dyDescent="0.35">
      <c r="A7387">
        <v>2219</v>
      </c>
      <c r="B7387" t="s">
        <v>34125</v>
      </c>
      <c r="C7387" t="s">
        <v>42</v>
      </c>
      <c r="D7387" t="s">
        <v>34126</v>
      </c>
      <c r="E7387" t="e" cm="1">
        <f t="array" ref="E7387">- MEFENAMIC ACID</f>
        <v>#NAME?</v>
      </c>
      <c r="F7387" t="s">
        <v>34127</v>
      </c>
      <c r="G7387" t="s">
        <v>2241</v>
      </c>
      <c r="H7387" t="s">
        <v>34085</v>
      </c>
      <c r="I7387" t="s">
        <v>34086</v>
      </c>
      <c r="J7387" t="s">
        <v>381</v>
      </c>
      <c r="K7387" t="s">
        <v>34128</v>
      </c>
      <c r="L7387" t="s">
        <v>34129</v>
      </c>
      <c r="M7387" t="s">
        <v>291</v>
      </c>
      <c r="N7387" t="s">
        <v>2235</v>
      </c>
      <c r="O7387" t="s">
        <v>34090</v>
      </c>
      <c r="P7387" t="s">
        <v>34130</v>
      </c>
      <c r="Q7387" t="s">
        <v>34131</v>
      </c>
      <c r="R7387">
        <v>21</v>
      </c>
      <c r="S7387">
        <v>32</v>
      </c>
    </row>
    <row r="7388" spans="1:19" x14ac:dyDescent="0.35">
      <c r="A7388">
        <v>3193</v>
      </c>
      <c r="B7388" t="s">
        <v>29978</v>
      </c>
      <c r="C7388" t="s">
        <v>42</v>
      </c>
      <c r="D7388" t="s">
        <v>29979</v>
      </c>
      <c r="E7388" t="e" cm="1">
        <f t="array" ref="E7388">- FAMOTIDINE. MAGNESIUM HYDROXIDE. CALCIUM CARBONATE</f>
        <v>#NAME?</v>
      </c>
      <c r="F7388" t="s">
        <v>29980</v>
      </c>
      <c r="G7388" t="s">
        <v>737</v>
      </c>
      <c r="H7388" t="s">
        <v>29981</v>
      </c>
      <c r="I7388" t="s">
        <v>29785</v>
      </c>
      <c r="J7388" t="s">
        <v>29982</v>
      </c>
      <c r="K7388" t="s">
        <v>3473</v>
      </c>
      <c r="L7388" t="s">
        <v>29983</v>
      </c>
      <c r="M7388" t="s">
        <v>46</v>
      </c>
      <c r="N7388" t="s">
        <v>34132</v>
      </c>
      <c r="O7388" t="s">
        <v>29788</v>
      </c>
      <c r="P7388" t="s">
        <v>29984</v>
      </c>
      <c r="Q7388" t="s">
        <v>34133</v>
      </c>
      <c r="R7388">
        <v>21</v>
      </c>
      <c r="S7388">
        <v>32</v>
      </c>
    </row>
    <row r="7389" spans="1:19" x14ac:dyDescent="0.35">
      <c r="A7389">
        <v>6125</v>
      </c>
      <c r="B7389" t="s">
        <v>34134</v>
      </c>
      <c r="C7389" t="s">
        <v>42</v>
      </c>
      <c r="D7389" t="s">
        <v>34135</v>
      </c>
      <c r="E7389" t="e" cm="1">
        <f t="array" ref="E7389">- AMOXICILLIN TRIHYDRATE</f>
        <v>#NAME?</v>
      </c>
      <c r="F7389" t="s">
        <v>34136</v>
      </c>
      <c r="G7389" t="s">
        <v>2241</v>
      </c>
      <c r="H7389" t="s">
        <v>33147</v>
      </c>
      <c r="I7389" t="s">
        <v>34137</v>
      </c>
      <c r="J7389" t="s">
        <v>381</v>
      </c>
      <c r="K7389" t="s">
        <v>32189</v>
      </c>
      <c r="L7389" t="s">
        <v>33149</v>
      </c>
      <c r="M7389" t="s">
        <v>291</v>
      </c>
      <c r="N7389" t="s">
        <v>1523</v>
      </c>
      <c r="O7389" t="s">
        <v>33150</v>
      </c>
      <c r="P7389" t="s">
        <v>32191</v>
      </c>
      <c r="Q7389" t="s">
        <v>34138</v>
      </c>
      <c r="R7389">
        <v>21</v>
      </c>
      <c r="S7389">
        <v>32</v>
      </c>
    </row>
    <row r="7390" spans="1:19" x14ac:dyDescent="0.35">
      <c r="A7390">
        <v>3189</v>
      </c>
      <c r="B7390" t="s">
        <v>34139</v>
      </c>
      <c r="C7390" t="s">
        <v>42</v>
      </c>
      <c r="D7390" t="s">
        <v>34140</v>
      </c>
      <c r="E7390" t="e" cm="1">
        <f t="array" ref="E7390">- ALUMINIUM HYDROXIDE</f>
        <v>#NAME?</v>
      </c>
      <c r="F7390" t="s">
        <v>34141</v>
      </c>
      <c r="G7390" t="s">
        <v>32156</v>
      </c>
      <c r="H7390" t="s">
        <v>32146</v>
      </c>
      <c r="I7390" t="s">
        <v>32147</v>
      </c>
      <c r="J7390" t="s">
        <v>34142</v>
      </c>
      <c r="K7390" t="s">
        <v>32149</v>
      </c>
      <c r="L7390" t="s">
        <v>32157</v>
      </c>
      <c r="M7390" t="s">
        <v>340</v>
      </c>
      <c r="N7390" t="s">
        <v>1771</v>
      </c>
      <c r="O7390" t="s">
        <v>32151</v>
      </c>
      <c r="P7390" t="s">
        <v>34143</v>
      </c>
      <c r="Q7390" t="s">
        <v>34144</v>
      </c>
      <c r="R7390">
        <v>21</v>
      </c>
      <c r="S7390">
        <v>32</v>
      </c>
    </row>
    <row r="7391" spans="1:19" x14ac:dyDescent="0.35">
      <c r="A7391">
        <v>3186</v>
      </c>
      <c r="B7391" t="s">
        <v>34139</v>
      </c>
      <c r="C7391" t="s">
        <v>42</v>
      </c>
      <c r="D7391" t="s">
        <v>34145</v>
      </c>
      <c r="E7391" t="e" cm="1">
        <f t="array" ref="E7391">- ALUMINIUM HYDROXIDE</f>
        <v>#NAME?</v>
      </c>
      <c r="F7391" t="s">
        <v>34146</v>
      </c>
      <c r="G7391" t="s">
        <v>737</v>
      </c>
      <c r="H7391" t="s">
        <v>32146</v>
      </c>
      <c r="I7391" t="s">
        <v>32147</v>
      </c>
      <c r="J7391" t="s">
        <v>34147</v>
      </c>
      <c r="K7391" t="s">
        <v>32149</v>
      </c>
      <c r="L7391" t="s">
        <v>32157</v>
      </c>
      <c r="M7391" t="s">
        <v>340</v>
      </c>
      <c r="N7391" t="s">
        <v>1771</v>
      </c>
      <c r="O7391" t="s">
        <v>32151</v>
      </c>
      <c r="P7391" t="s">
        <v>34143</v>
      </c>
      <c r="Q7391" t="s">
        <v>34144</v>
      </c>
      <c r="R7391">
        <v>21</v>
      </c>
      <c r="S7391">
        <v>32</v>
      </c>
    </row>
    <row r="7392" spans="1:19" x14ac:dyDescent="0.35">
      <c r="A7392">
        <v>3183</v>
      </c>
      <c r="B7392" t="s">
        <v>34148</v>
      </c>
      <c r="C7392" t="s">
        <v>42</v>
      </c>
      <c r="D7392" t="s">
        <v>34149</v>
      </c>
      <c r="E7392" t="e" cm="1">
        <f t="array" ref="E7392">- ALUMINIUM HYDROXIDE-MAGNESIUM CARBONATE GEL</f>
        <v>#NAME?</v>
      </c>
      <c r="F7392" t="s">
        <v>34150</v>
      </c>
      <c r="G7392" t="s">
        <v>34151</v>
      </c>
      <c r="H7392" t="s">
        <v>34152</v>
      </c>
      <c r="I7392" t="s">
        <v>34153</v>
      </c>
      <c r="J7392" t="s">
        <v>34154</v>
      </c>
      <c r="K7392" t="s">
        <v>34155</v>
      </c>
      <c r="L7392" t="s">
        <v>32150</v>
      </c>
      <c r="M7392" t="s">
        <v>46</v>
      </c>
      <c r="N7392" t="s">
        <v>34156</v>
      </c>
      <c r="O7392" t="s">
        <v>34157</v>
      </c>
      <c r="P7392" t="s">
        <v>34143</v>
      </c>
      <c r="Q7392" t="s">
        <v>34158</v>
      </c>
      <c r="R7392">
        <v>21</v>
      </c>
      <c r="S7392">
        <v>32</v>
      </c>
    </row>
    <row r="7393" spans="1:19" x14ac:dyDescent="0.35">
      <c r="A7393">
        <v>2464</v>
      </c>
      <c r="B7393" t="s">
        <v>34159</v>
      </c>
      <c r="C7393" t="s">
        <v>42</v>
      </c>
      <c r="D7393" t="s">
        <v>34160</v>
      </c>
      <c r="E7393" t="e" cm="1">
        <f t="array" ref="E7393">- MEFENAMIC ACID</f>
        <v>#NAME?</v>
      </c>
      <c r="F7393" t="s">
        <v>34161</v>
      </c>
      <c r="I7393" t="s">
        <v>34162</v>
      </c>
      <c r="J7393" t="s">
        <v>727</v>
      </c>
      <c r="L7393" t="s">
        <v>1308</v>
      </c>
      <c r="M7393" t="s">
        <v>291</v>
      </c>
      <c r="N7393" t="s">
        <v>2235</v>
      </c>
      <c r="O7393" t="s">
        <v>34015</v>
      </c>
      <c r="P7393" t="s">
        <v>34163</v>
      </c>
      <c r="Q7393" t="s">
        <v>34164</v>
      </c>
      <c r="R7393">
        <v>21</v>
      </c>
      <c r="S7393">
        <v>32</v>
      </c>
    </row>
    <row r="7394" spans="1:19" x14ac:dyDescent="0.35">
      <c r="A7394">
        <v>8546</v>
      </c>
      <c r="B7394" t="s">
        <v>34165</v>
      </c>
      <c r="C7394" t="s">
        <v>42</v>
      </c>
      <c r="D7394" t="s">
        <v>34166</v>
      </c>
      <c r="E7394" t="e" cm="1">
        <f t="array" ref="E7394">- EMPAGLIFLOZIN</f>
        <v>#NAME?</v>
      </c>
      <c r="F7394" t="s">
        <v>34167</v>
      </c>
      <c r="G7394" t="s">
        <v>34168</v>
      </c>
      <c r="H7394" t="s">
        <v>34169</v>
      </c>
      <c r="I7394" t="s">
        <v>34170</v>
      </c>
      <c r="J7394" t="s">
        <v>956</v>
      </c>
      <c r="K7394" t="s">
        <v>34171</v>
      </c>
      <c r="L7394" t="s">
        <v>34172</v>
      </c>
    </row>
    <row r="7395" spans="1:19" x14ac:dyDescent="0.35">
      <c r="A7395">
        <v>7238</v>
      </c>
      <c r="B7395" t="s">
        <v>34097</v>
      </c>
      <c r="C7395" t="s">
        <v>850</v>
      </c>
      <c r="D7395" t="s">
        <v>34106</v>
      </c>
      <c r="E7395" t="e" cm="1">
        <f t="array" ref="E7395">- Camphora</f>
        <v>#NAME?</v>
      </c>
      <c r="F7395" t="s">
        <v>34107</v>
      </c>
      <c r="I7395" t="s">
        <v>34101</v>
      </c>
      <c r="J7395" t="s">
        <v>29815</v>
      </c>
      <c r="L7395" t="s">
        <v>34102</v>
      </c>
      <c r="M7395" t="s">
        <v>1289</v>
      </c>
      <c r="N7395" t="s">
        <v>3633</v>
      </c>
      <c r="O7395" t="s">
        <v>34103</v>
      </c>
      <c r="P7395" t="s">
        <v>34108</v>
      </c>
      <c r="Q7395" t="s">
        <v>34109</v>
      </c>
      <c r="R7395">
        <v>21</v>
      </c>
      <c r="S7395">
        <v>32</v>
      </c>
    </row>
    <row r="7396" spans="1:19" x14ac:dyDescent="0.35">
      <c r="A7396">
        <v>5488</v>
      </c>
      <c r="B7396" t="s">
        <v>7207</v>
      </c>
      <c r="C7396" t="s">
        <v>42</v>
      </c>
      <c r="D7396" t="s">
        <v>34173</v>
      </c>
      <c r="E7396" t="e" cm="1">
        <f t="array" ref="E7396">- GENTAMICIN SULFATE</f>
        <v>#NAME?</v>
      </c>
      <c r="F7396" t="s">
        <v>34174</v>
      </c>
      <c r="G7396" t="s">
        <v>19294</v>
      </c>
      <c r="H7396" t="s">
        <v>32195</v>
      </c>
      <c r="I7396" t="s">
        <v>32196</v>
      </c>
      <c r="J7396" t="s">
        <v>17100</v>
      </c>
      <c r="K7396" t="s">
        <v>34175</v>
      </c>
      <c r="L7396" t="s">
        <v>34176</v>
      </c>
      <c r="M7396" t="s">
        <v>1289</v>
      </c>
      <c r="N7396" t="s">
        <v>6119</v>
      </c>
      <c r="O7396" t="s">
        <v>32198</v>
      </c>
      <c r="P7396" t="s">
        <v>34177</v>
      </c>
      <c r="Q7396" t="s">
        <v>34178</v>
      </c>
      <c r="R7396">
        <v>21</v>
      </c>
      <c r="S7396">
        <v>32</v>
      </c>
    </row>
    <row r="7397" spans="1:19" x14ac:dyDescent="0.35">
      <c r="A7397">
        <v>3163</v>
      </c>
      <c r="B7397" t="s">
        <v>34179</v>
      </c>
      <c r="C7397" t="s">
        <v>42</v>
      </c>
      <c r="D7397" t="s">
        <v>34180</v>
      </c>
      <c r="E7397" t="s">
        <v>34181</v>
      </c>
      <c r="F7397" t="s">
        <v>34182</v>
      </c>
      <c r="G7397" t="s">
        <v>24513</v>
      </c>
      <c r="H7397" t="s">
        <v>24514</v>
      </c>
      <c r="I7397" t="s">
        <v>24515</v>
      </c>
      <c r="J7397" t="s">
        <v>374</v>
      </c>
      <c r="K7397" t="s">
        <v>24517</v>
      </c>
      <c r="L7397" t="s">
        <v>24518</v>
      </c>
      <c r="M7397" t="s">
        <v>340</v>
      </c>
      <c r="N7397" t="s">
        <v>34183</v>
      </c>
      <c r="O7397" t="s">
        <v>24520</v>
      </c>
      <c r="P7397" t="s">
        <v>24521</v>
      </c>
      <c r="Q7397" t="s">
        <v>34184</v>
      </c>
      <c r="R7397">
        <v>21</v>
      </c>
      <c r="S7397">
        <v>32</v>
      </c>
    </row>
    <row r="7398" spans="1:19" x14ac:dyDescent="0.35">
      <c r="A7398">
        <v>2463</v>
      </c>
      <c r="B7398" t="s">
        <v>34159</v>
      </c>
      <c r="C7398" t="s">
        <v>42</v>
      </c>
      <c r="D7398" t="s">
        <v>34160</v>
      </c>
      <c r="E7398" t="e" cm="1">
        <f t="array" ref="E7398">- MEFENAMIC ACID</f>
        <v>#NAME?</v>
      </c>
      <c r="F7398" t="s">
        <v>34161</v>
      </c>
      <c r="I7398" t="s">
        <v>34162</v>
      </c>
      <c r="J7398" t="s">
        <v>727</v>
      </c>
      <c r="L7398" t="s">
        <v>1308</v>
      </c>
      <c r="M7398" t="s">
        <v>291</v>
      </c>
      <c r="N7398" t="s">
        <v>2235</v>
      </c>
      <c r="O7398" t="s">
        <v>34015</v>
      </c>
      <c r="P7398" t="s">
        <v>34163</v>
      </c>
      <c r="Q7398" t="s">
        <v>34164</v>
      </c>
      <c r="R7398">
        <v>21</v>
      </c>
      <c r="S7398">
        <v>32</v>
      </c>
    </row>
    <row r="7399" spans="1:19" x14ac:dyDescent="0.35">
      <c r="A7399">
        <v>5489</v>
      </c>
      <c r="B7399" t="s">
        <v>7207</v>
      </c>
      <c r="C7399" t="s">
        <v>42</v>
      </c>
      <c r="D7399" t="s">
        <v>34173</v>
      </c>
      <c r="E7399" t="e" cm="1">
        <f t="array" ref="E7399">- GENTAMICIN SULFATE</f>
        <v>#NAME?</v>
      </c>
      <c r="F7399" t="s">
        <v>34174</v>
      </c>
      <c r="G7399" t="s">
        <v>19294</v>
      </c>
      <c r="H7399" t="s">
        <v>32195</v>
      </c>
      <c r="I7399" t="s">
        <v>32196</v>
      </c>
      <c r="J7399" t="s">
        <v>17100</v>
      </c>
      <c r="K7399" t="s">
        <v>34175</v>
      </c>
      <c r="L7399" t="s">
        <v>34176</v>
      </c>
      <c r="M7399" t="s">
        <v>1289</v>
      </c>
      <c r="N7399" t="s">
        <v>6119</v>
      </c>
      <c r="O7399" t="s">
        <v>32198</v>
      </c>
      <c r="P7399" t="s">
        <v>34177</v>
      </c>
      <c r="Q7399" t="s">
        <v>34178</v>
      </c>
      <c r="R7399">
        <v>21</v>
      </c>
      <c r="S7399">
        <v>32</v>
      </c>
    </row>
    <row r="7400" spans="1:19" x14ac:dyDescent="0.35">
      <c r="A7400">
        <v>972</v>
      </c>
      <c r="B7400" t="s">
        <v>34185</v>
      </c>
      <c r="C7400" t="s">
        <v>42</v>
      </c>
      <c r="D7400" t="s">
        <v>34186</v>
      </c>
      <c r="E7400" t="e" cm="1">
        <f t="array" ref="E7400">- DEXTROMETHORPHAN HYDROBROMIDE</f>
        <v>#NAME?</v>
      </c>
      <c r="F7400" t="s">
        <v>34187</v>
      </c>
      <c r="G7400" t="s">
        <v>2453</v>
      </c>
      <c r="H7400" t="s">
        <v>34188</v>
      </c>
      <c r="I7400" t="s">
        <v>34189</v>
      </c>
      <c r="J7400" t="s">
        <v>34190</v>
      </c>
      <c r="K7400" t="s">
        <v>22973</v>
      </c>
      <c r="L7400" t="s">
        <v>34191</v>
      </c>
      <c r="M7400" t="s">
        <v>291</v>
      </c>
      <c r="N7400" t="s">
        <v>1376</v>
      </c>
      <c r="O7400" t="s">
        <v>34192</v>
      </c>
      <c r="P7400" t="s">
        <v>34193</v>
      </c>
      <c r="Q7400" t="s">
        <v>34194</v>
      </c>
      <c r="R7400">
        <v>21</v>
      </c>
      <c r="S7400">
        <v>32</v>
      </c>
    </row>
    <row r="7401" spans="1:19" x14ac:dyDescent="0.35">
      <c r="A7401">
        <v>2456</v>
      </c>
      <c r="B7401" t="s">
        <v>34195</v>
      </c>
      <c r="C7401" t="s">
        <v>42</v>
      </c>
      <c r="D7401" t="s">
        <v>34196</v>
      </c>
      <c r="E7401" t="e" cm="1">
        <f t="array" ref="E7401">- CAFFEINE</f>
        <v>#NAME?</v>
      </c>
      <c r="F7401" t="s">
        <v>34197</v>
      </c>
      <c r="H7401" t="s">
        <v>34198</v>
      </c>
      <c r="I7401" t="s">
        <v>32224</v>
      </c>
      <c r="J7401" t="s">
        <v>24355</v>
      </c>
      <c r="M7401" t="s">
        <v>291</v>
      </c>
      <c r="N7401" t="s">
        <v>2359</v>
      </c>
      <c r="O7401" t="s">
        <v>32225</v>
      </c>
      <c r="P7401" t="s">
        <v>34199</v>
      </c>
      <c r="Q7401" t="s">
        <v>34200</v>
      </c>
      <c r="R7401">
        <v>21</v>
      </c>
      <c r="S7401">
        <v>32</v>
      </c>
    </row>
    <row r="7402" spans="1:19" x14ac:dyDescent="0.35">
      <c r="A7402">
        <v>9625</v>
      </c>
      <c r="B7402" t="s">
        <v>6301</v>
      </c>
      <c r="C7402" t="s">
        <v>42</v>
      </c>
      <c r="D7402" t="s">
        <v>34201</v>
      </c>
      <c r="E7402" t="s">
        <v>6303</v>
      </c>
      <c r="F7402" t="s">
        <v>34202</v>
      </c>
      <c r="I7402" t="s">
        <v>33214</v>
      </c>
      <c r="J7402" t="s">
        <v>25209</v>
      </c>
      <c r="M7402" t="s">
        <v>46</v>
      </c>
      <c r="N7402" t="s">
        <v>6304</v>
      </c>
      <c r="O7402" t="s">
        <v>33215</v>
      </c>
      <c r="P7402" t="s">
        <v>34203</v>
      </c>
      <c r="Q7402" t="s">
        <v>34204</v>
      </c>
      <c r="R7402">
        <v>21</v>
      </c>
      <c r="S7402">
        <v>32</v>
      </c>
    </row>
    <row r="7403" spans="1:19" x14ac:dyDescent="0.35">
      <c r="A7403">
        <v>2218</v>
      </c>
      <c r="B7403" t="s">
        <v>34125</v>
      </c>
      <c r="C7403" t="s">
        <v>42</v>
      </c>
      <c r="D7403" t="s">
        <v>34126</v>
      </c>
      <c r="E7403" t="e" cm="1">
        <f t="array" ref="E7403">- MEFENAMIC ACID</f>
        <v>#NAME?</v>
      </c>
      <c r="F7403" t="s">
        <v>34127</v>
      </c>
      <c r="G7403" t="s">
        <v>2241</v>
      </c>
      <c r="H7403" t="s">
        <v>34085</v>
      </c>
      <c r="I7403" t="s">
        <v>34086</v>
      </c>
      <c r="J7403" t="s">
        <v>381</v>
      </c>
      <c r="K7403" t="s">
        <v>34128</v>
      </c>
      <c r="L7403" t="s">
        <v>34129</v>
      </c>
      <c r="M7403" t="s">
        <v>291</v>
      </c>
      <c r="N7403" t="s">
        <v>2235</v>
      </c>
      <c r="O7403" t="s">
        <v>34090</v>
      </c>
      <c r="P7403" t="s">
        <v>34130</v>
      </c>
      <c r="Q7403" t="s">
        <v>34131</v>
      </c>
      <c r="R7403">
        <v>21</v>
      </c>
      <c r="S7403">
        <v>32</v>
      </c>
    </row>
    <row r="7404" spans="1:19" x14ac:dyDescent="0.35">
      <c r="A7404">
        <v>640</v>
      </c>
      <c r="B7404" t="s">
        <v>34205</v>
      </c>
      <c r="C7404" t="s">
        <v>20</v>
      </c>
      <c r="D7404" t="s">
        <v>34206</v>
      </c>
      <c r="E7404" t="s">
        <v>34207</v>
      </c>
      <c r="F7404" t="s">
        <v>34208</v>
      </c>
      <c r="G7404" t="s">
        <v>34209</v>
      </c>
      <c r="H7404" t="s">
        <v>1322</v>
      </c>
      <c r="I7404" t="s">
        <v>34210</v>
      </c>
      <c r="J7404" t="s">
        <v>34211</v>
      </c>
      <c r="L7404" t="s">
        <v>34212</v>
      </c>
      <c r="M7404" t="s">
        <v>3632</v>
      </c>
      <c r="N7404" t="s">
        <v>34213</v>
      </c>
      <c r="O7404" t="s">
        <v>34214</v>
      </c>
      <c r="P7404" t="s">
        <v>34213</v>
      </c>
      <c r="Q7404" t="s">
        <v>34215</v>
      </c>
      <c r="R7404">
        <v>21</v>
      </c>
      <c r="S7404">
        <v>32</v>
      </c>
    </row>
    <row r="7405" spans="1:19" x14ac:dyDescent="0.35">
      <c r="A7405">
        <v>6145</v>
      </c>
      <c r="B7405" t="s">
        <v>34216</v>
      </c>
      <c r="C7405" t="s">
        <v>42</v>
      </c>
      <c r="D7405" t="s">
        <v>34217</v>
      </c>
      <c r="E7405" t="e" cm="1">
        <f t="array" ref="E7405">- AMOXICILLIN TRIHYDRATE</f>
        <v>#NAME?</v>
      </c>
      <c r="F7405" t="s">
        <v>34218</v>
      </c>
      <c r="G7405" t="s">
        <v>1691</v>
      </c>
      <c r="H7405" t="s">
        <v>34219</v>
      </c>
    </row>
    <row r="7406" spans="1:19" x14ac:dyDescent="0.35">
      <c r="A7406">
        <v>6146</v>
      </c>
      <c r="B7406" t="s">
        <v>34216</v>
      </c>
      <c r="C7406" t="s">
        <v>42</v>
      </c>
      <c r="D7406" t="s">
        <v>34217</v>
      </c>
      <c r="E7406" t="e" cm="1">
        <f t="array" ref="E7406">- AMOXICILLIN TRIHYDRATE</f>
        <v>#NAME?</v>
      </c>
      <c r="F7406" t="s">
        <v>34218</v>
      </c>
      <c r="G7406" t="s">
        <v>1691</v>
      </c>
      <c r="H7406" t="s">
        <v>34219</v>
      </c>
    </row>
    <row r="7407" spans="1:19" x14ac:dyDescent="0.35">
      <c r="A7407">
        <v>6147</v>
      </c>
      <c r="B7407" t="s">
        <v>34216</v>
      </c>
      <c r="C7407" t="s">
        <v>42</v>
      </c>
      <c r="D7407" t="s">
        <v>34217</v>
      </c>
      <c r="E7407" t="e" cm="1">
        <f t="array" ref="E7407">- AMOXICILLIN TRIHYDRATE</f>
        <v>#NAME?</v>
      </c>
      <c r="F7407" t="s">
        <v>34218</v>
      </c>
      <c r="G7407" t="s">
        <v>1691</v>
      </c>
      <c r="H7407" t="s">
        <v>34219</v>
      </c>
    </row>
    <row r="7408" spans="1:19" x14ac:dyDescent="0.35">
      <c r="A7408">
        <v>2913</v>
      </c>
      <c r="B7408" t="s">
        <v>34220</v>
      </c>
      <c r="C7408" t="s">
        <v>42</v>
      </c>
      <c r="D7408" t="s">
        <v>34221</v>
      </c>
      <c r="E7408" t="e" cm="1">
        <f t="array" ref="E7408">- PARACETAMOL</f>
        <v>#NAME?</v>
      </c>
      <c r="F7408" t="s">
        <v>34222</v>
      </c>
      <c r="G7408" t="s">
        <v>2241</v>
      </c>
      <c r="H7408" t="s">
        <v>34223</v>
      </c>
      <c r="I7408" t="s">
        <v>34224</v>
      </c>
      <c r="J7408" t="s">
        <v>846</v>
      </c>
      <c r="M7408" t="s">
        <v>271</v>
      </c>
      <c r="N7408" t="s">
        <v>584</v>
      </c>
      <c r="O7408" t="s">
        <v>34225</v>
      </c>
      <c r="P7408" t="s">
        <v>34226</v>
      </c>
      <c r="Q7408" t="s">
        <v>34227</v>
      </c>
      <c r="R7408">
        <v>21</v>
      </c>
      <c r="S7408">
        <v>32</v>
      </c>
    </row>
    <row r="7409" spans="1:19" x14ac:dyDescent="0.35">
      <c r="A7409">
        <v>2807</v>
      </c>
      <c r="B7409" t="s">
        <v>34228</v>
      </c>
      <c r="C7409" t="s">
        <v>42</v>
      </c>
      <c r="D7409" t="s">
        <v>34229</v>
      </c>
      <c r="E7409" t="e" cm="1">
        <f t="array" ref="E7409">- PARACETAMOL</f>
        <v>#NAME?</v>
      </c>
      <c r="F7409" t="s">
        <v>34230</v>
      </c>
      <c r="G7409" t="s">
        <v>6869</v>
      </c>
      <c r="H7409" t="s">
        <v>34231</v>
      </c>
      <c r="I7409" t="s">
        <v>34232</v>
      </c>
    </row>
    <row r="7410" spans="1:19" x14ac:dyDescent="0.35">
      <c r="A7410">
        <v>6185</v>
      </c>
      <c r="B7410" t="s">
        <v>34233</v>
      </c>
      <c r="C7410" t="s">
        <v>42</v>
      </c>
      <c r="D7410" t="s">
        <v>34234</v>
      </c>
      <c r="E7410" t="e" cm="1">
        <f t="array" ref="E7410">- CHLORAMPHENICOL PALMITATE</f>
        <v>#NAME?</v>
      </c>
      <c r="F7410" s="1">
        <v>31700</v>
      </c>
      <c r="G7410" t="s">
        <v>2241</v>
      </c>
      <c r="H7410" t="s">
        <v>34235</v>
      </c>
      <c r="I7410" t="s">
        <v>34236</v>
      </c>
      <c r="J7410" t="s">
        <v>846</v>
      </c>
      <c r="M7410" t="s">
        <v>340</v>
      </c>
      <c r="N7410" t="s">
        <v>1714</v>
      </c>
      <c r="O7410" t="s">
        <v>34237</v>
      </c>
      <c r="P7410" t="s">
        <v>34238</v>
      </c>
      <c r="Q7410" t="s">
        <v>34239</v>
      </c>
      <c r="R7410">
        <v>21</v>
      </c>
      <c r="S7410">
        <v>32</v>
      </c>
    </row>
    <row r="7411" spans="1:19" x14ac:dyDescent="0.35">
      <c r="A7411">
        <v>6186</v>
      </c>
      <c r="B7411" t="s">
        <v>34233</v>
      </c>
      <c r="C7411" t="s">
        <v>42</v>
      </c>
      <c r="D7411" t="s">
        <v>34234</v>
      </c>
      <c r="E7411" t="e" cm="1">
        <f t="array" ref="E7411">- CHLORAMPHENICOL PALMITATE</f>
        <v>#NAME?</v>
      </c>
      <c r="F7411" s="1">
        <v>31700</v>
      </c>
      <c r="G7411" t="s">
        <v>2241</v>
      </c>
      <c r="H7411" t="s">
        <v>34235</v>
      </c>
      <c r="I7411" t="s">
        <v>34236</v>
      </c>
      <c r="J7411" t="s">
        <v>846</v>
      </c>
      <c r="M7411" t="s">
        <v>340</v>
      </c>
      <c r="N7411" t="s">
        <v>1714</v>
      </c>
      <c r="O7411" t="s">
        <v>34237</v>
      </c>
      <c r="P7411" t="s">
        <v>34238</v>
      </c>
      <c r="Q7411" t="s">
        <v>34239</v>
      </c>
      <c r="R7411">
        <v>21</v>
      </c>
      <c r="S7411">
        <v>32</v>
      </c>
    </row>
    <row r="7412" spans="1:19" x14ac:dyDescent="0.35">
      <c r="A7412">
        <v>2843</v>
      </c>
      <c r="B7412" t="s">
        <v>34240</v>
      </c>
      <c r="C7412" t="s">
        <v>42</v>
      </c>
      <c r="D7412" t="s">
        <v>34241</v>
      </c>
      <c r="E7412" t="e" cm="1">
        <f t="array" ref="E7412">- PARACETAMOL</f>
        <v>#NAME?</v>
      </c>
      <c r="F7412" t="s">
        <v>34242</v>
      </c>
      <c r="G7412" t="s">
        <v>6869</v>
      </c>
      <c r="H7412" t="s">
        <v>34231</v>
      </c>
      <c r="I7412" t="s">
        <v>34232</v>
      </c>
    </row>
    <row r="7413" spans="1:19" x14ac:dyDescent="0.35">
      <c r="A7413">
        <v>1600</v>
      </c>
      <c r="B7413" t="s">
        <v>34243</v>
      </c>
      <c r="C7413" t="s">
        <v>42</v>
      </c>
      <c r="D7413" t="s">
        <v>34244</v>
      </c>
      <c r="E7413" t="e" cm="1">
        <f t="array" ref="E7413">- AMBROXOL HYDROCHLORIDE</f>
        <v>#NAME?</v>
      </c>
      <c r="F7413" s="1">
        <v>11000</v>
      </c>
      <c r="H7413" t="s">
        <v>34245</v>
      </c>
      <c r="I7413" t="s">
        <v>34246</v>
      </c>
      <c r="J7413" t="s">
        <v>34247</v>
      </c>
      <c r="L7413" t="s">
        <v>321</v>
      </c>
      <c r="M7413" t="s">
        <v>46</v>
      </c>
      <c r="N7413" t="s">
        <v>1800</v>
      </c>
      <c r="O7413" t="s">
        <v>34248</v>
      </c>
      <c r="P7413" t="s">
        <v>2386</v>
      </c>
      <c r="Q7413" t="s">
        <v>34249</v>
      </c>
      <c r="R7413">
        <v>21</v>
      </c>
      <c r="S7413">
        <v>32</v>
      </c>
    </row>
    <row r="7414" spans="1:19" x14ac:dyDescent="0.35">
      <c r="A7414">
        <v>2808</v>
      </c>
      <c r="B7414" t="s">
        <v>34228</v>
      </c>
      <c r="C7414" t="s">
        <v>42</v>
      </c>
      <c r="D7414" t="s">
        <v>34229</v>
      </c>
      <c r="E7414" t="e" cm="1">
        <f t="array" ref="E7414">- PARACETAMOL</f>
        <v>#NAME?</v>
      </c>
      <c r="F7414" t="s">
        <v>34230</v>
      </c>
      <c r="G7414" t="s">
        <v>6869</v>
      </c>
      <c r="H7414" t="s">
        <v>34231</v>
      </c>
      <c r="I7414" t="s">
        <v>34232</v>
      </c>
    </row>
    <row r="7415" spans="1:19" x14ac:dyDescent="0.35">
      <c r="A7415">
        <v>2914</v>
      </c>
      <c r="B7415" t="s">
        <v>34250</v>
      </c>
      <c r="C7415" t="s">
        <v>42</v>
      </c>
      <c r="D7415" t="s">
        <v>34251</v>
      </c>
      <c r="E7415" t="e" cm="1">
        <f t="array" ref="E7415">- PARACETAMOL</f>
        <v>#NAME?</v>
      </c>
      <c r="F7415" t="s">
        <v>34222</v>
      </c>
      <c r="G7415" t="s">
        <v>2241</v>
      </c>
      <c r="H7415" t="s">
        <v>34223</v>
      </c>
      <c r="I7415" t="s">
        <v>34224</v>
      </c>
      <c r="J7415" t="s">
        <v>846</v>
      </c>
      <c r="M7415" t="s">
        <v>271</v>
      </c>
      <c r="N7415" t="s">
        <v>584</v>
      </c>
      <c r="O7415" t="s">
        <v>34225</v>
      </c>
      <c r="P7415" t="s">
        <v>34252</v>
      </c>
      <c r="Q7415" t="s">
        <v>34253</v>
      </c>
      <c r="R7415">
        <v>21</v>
      </c>
      <c r="S7415">
        <v>32</v>
      </c>
    </row>
    <row r="7416" spans="1:19" x14ac:dyDescent="0.35">
      <c r="A7416">
        <v>2415</v>
      </c>
      <c r="B7416" t="s">
        <v>34254</v>
      </c>
      <c r="C7416" t="s">
        <v>42</v>
      </c>
      <c r="D7416" t="s">
        <v>34255</v>
      </c>
      <c r="E7416" t="e" cm="1">
        <f t="array" ref="E7416">- DICLOFENAC SODIUM</f>
        <v>#NAME?</v>
      </c>
      <c r="F7416" t="s">
        <v>34256</v>
      </c>
      <c r="H7416" t="s">
        <v>34257</v>
      </c>
      <c r="I7416" t="s">
        <v>34258</v>
      </c>
      <c r="J7416" t="s">
        <v>34259</v>
      </c>
      <c r="K7416" t="s">
        <v>34260</v>
      </c>
      <c r="L7416" t="s">
        <v>321</v>
      </c>
      <c r="M7416" t="s">
        <v>38</v>
      </c>
      <c r="N7416" t="s">
        <v>2597</v>
      </c>
      <c r="O7416" t="s">
        <v>34261</v>
      </c>
      <c r="P7416" t="s">
        <v>34262</v>
      </c>
      <c r="Q7416" t="s">
        <v>34263</v>
      </c>
      <c r="R7416">
        <v>21</v>
      </c>
      <c r="S7416">
        <v>32</v>
      </c>
    </row>
    <row r="7417" spans="1:19" x14ac:dyDescent="0.35">
      <c r="A7417">
        <v>1589</v>
      </c>
      <c r="B7417" t="s">
        <v>25767</v>
      </c>
      <c r="C7417" t="s">
        <v>42</v>
      </c>
      <c r="D7417" t="s">
        <v>25768</v>
      </c>
      <c r="E7417" t="e" cm="1">
        <f t="array" ref="E7417">- PARACETAMOL. PHENYLPROPANOLAMINE HYDROCHLORIDE. CHLORPHENAMINE MALEATE. DEXTROMETHORPHAN HYDROBROMIDE</f>
        <v>#NAME?</v>
      </c>
      <c r="F7417" t="s">
        <v>25769</v>
      </c>
      <c r="G7417" t="s">
        <v>60</v>
      </c>
      <c r="H7417" t="s">
        <v>25770</v>
      </c>
      <c r="I7417" t="s">
        <v>25771</v>
      </c>
      <c r="J7417" t="s">
        <v>727</v>
      </c>
      <c r="K7417" t="s">
        <v>25772</v>
      </c>
      <c r="L7417" t="s">
        <v>25773</v>
      </c>
      <c r="M7417" t="s">
        <v>291</v>
      </c>
      <c r="N7417" t="s">
        <v>34264</v>
      </c>
      <c r="O7417" t="s">
        <v>25774</v>
      </c>
      <c r="P7417" t="s">
        <v>25775</v>
      </c>
      <c r="Q7417" t="s">
        <v>34265</v>
      </c>
      <c r="R7417">
        <v>21</v>
      </c>
      <c r="S7417">
        <v>32</v>
      </c>
    </row>
    <row r="7418" spans="1:19" x14ac:dyDescent="0.35">
      <c r="A7418">
        <v>2825</v>
      </c>
      <c r="B7418" t="s">
        <v>34266</v>
      </c>
      <c r="C7418" t="s">
        <v>42</v>
      </c>
      <c r="D7418" t="s">
        <v>34267</v>
      </c>
      <c r="E7418" t="e" cm="1">
        <f t="array" ref="E7418">- PARACETAMOL</f>
        <v>#NAME?</v>
      </c>
      <c r="F7418" t="s">
        <v>34268</v>
      </c>
      <c r="G7418" t="s">
        <v>6869</v>
      </c>
      <c r="H7418" t="s">
        <v>34231</v>
      </c>
      <c r="I7418" t="s">
        <v>34232</v>
      </c>
    </row>
    <row r="7419" spans="1:19" x14ac:dyDescent="0.35">
      <c r="A7419">
        <v>2430</v>
      </c>
      <c r="B7419" t="s">
        <v>34269</v>
      </c>
      <c r="C7419" t="s">
        <v>42</v>
      </c>
      <c r="D7419" t="s">
        <v>34270</v>
      </c>
      <c r="E7419" t="e" cm="1">
        <f t="array" ref="E7419">- MEFENAMIC ACID</f>
        <v>#NAME?</v>
      </c>
      <c r="F7419" t="s">
        <v>34271</v>
      </c>
      <c r="G7419" t="s">
        <v>34084</v>
      </c>
      <c r="H7419" t="s">
        <v>34085</v>
      </c>
      <c r="I7419" t="s">
        <v>34272</v>
      </c>
      <c r="J7419" t="s">
        <v>9710</v>
      </c>
      <c r="K7419" t="s">
        <v>34273</v>
      </c>
      <c r="L7419" t="s">
        <v>34129</v>
      </c>
      <c r="M7419" t="s">
        <v>291</v>
      </c>
      <c r="N7419" t="s">
        <v>2235</v>
      </c>
      <c r="O7419" t="s">
        <v>34090</v>
      </c>
      <c r="P7419" t="s">
        <v>34274</v>
      </c>
      <c r="Q7419" t="s">
        <v>34275</v>
      </c>
      <c r="R7419">
        <v>21</v>
      </c>
      <c r="S7419">
        <v>32</v>
      </c>
    </row>
    <row r="7420" spans="1:19" x14ac:dyDescent="0.35">
      <c r="A7420">
        <v>7175</v>
      </c>
      <c r="B7420" t="s">
        <v>34276</v>
      </c>
      <c r="C7420" t="s">
        <v>850</v>
      </c>
      <c r="D7420" t="s">
        <v>34277</v>
      </c>
      <c r="E7420" t="e" cm="1">
        <f t="array" ref="E7420">- Menthol</f>
        <v>#NAME?</v>
      </c>
      <c r="F7420" t="s">
        <v>34278</v>
      </c>
      <c r="G7420" t="s">
        <v>34279</v>
      </c>
      <c r="I7420" t="s">
        <v>34280</v>
      </c>
      <c r="J7420" t="s">
        <v>8174</v>
      </c>
      <c r="M7420" t="s">
        <v>1289</v>
      </c>
      <c r="N7420" t="s">
        <v>2034</v>
      </c>
      <c r="O7420" t="s">
        <v>34281</v>
      </c>
      <c r="P7420" t="s">
        <v>4195</v>
      </c>
      <c r="Q7420" t="s">
        <v>34282</v>
      </c>
      <c r="R7420">
        <v>21</v>
      </c>
      <c r="S7420">
        <v>32</v>
      </c>
    </row>
    <row r="7421" spans="1:19" x14ac:dyDescent="0.35">
      <c r="A7421">
        <v>7176</v>
      </c>
      <c r="B7421" t="s">
        <v>34276</v>
      </c>
      <c r="C7421" t="s">
        <v>850</v>
      </c>
      <c r="D7421" t="s">
        <v>34277</v>
      </c>
      <c r="E7421" t="e" cm="1">
        <f t="array" ref="E7421">- Menthol</f>
        <v>#NAME?</v>
      </c>
      <c r="F7421" t="s">
        <v>34278</v>
      </c>
      <c r="G7421" t="s">
        <v>34279</v>
      </c>
      <c r="I7421" t="s">
        <v>34280</v>
      </c>
      <c r="J7421" t="s">
        <v>8174</v>
      </c>
      <c r="M7421" t="s">
        <v>1289</v>
      </c>
      <c r="N7421" t="s">
        <v>2034</v>
      </c>
      <c r="O7421" t="s">
        <v>34281</v>
      </c>
      <c r="P7421" t="s">
        <v>4195</v>
      </c>
      <c r="Q7421" t="s">
        <v>34282</v>
      </c>
      <c r="R7421">
        <v>21</v>
      </c>
      <c r="S7421">
        <v>32</v>
      </c>
    </row>
    <row r="7422" spans="1:19" x14ac:dyDescent="0.35">
      <c r="A7422">
        <v>7177</v>
      </c>
      <c r="B7422" t="s">
        <v>34283</v>
      </c>
      <c r="C7422" t="s">
        <v>850</v>
      </c>
      <c r="D7422" t="s">
        <v>34284</v>
      </c>
      <c r="E7422" t="e" cm="1">
        <f t="array" ref="E7422">- Achyranthes Aspera Folium</f>
        <v>#NAME?</v>
      </c>
      <c r="F7422" t="s">
        <v>23003</v>
      </c>
      <c r="G7422" t="s">
        <v>34285</v>
      </c>
      <c r="H7422" t="s">
        <v>1322</v>
      </c>
      <c r="I7422" t="s">
        <v>34286</v>
      </c>
      <c r="J7422" t="s">
        <v>34287</v>
      </c>
      <c r="M7422" t="s">
        <v>2115</v>
      </c>
      <c r="N7422" t="s">
        <v>34288</v>
      </c>
      <c r="O7422" t="s">
        <v>34289</v>
      </c>
      <c r="P7422" t="s">
        <v>34290</v>
      </c>
      <c r="Q7422" t="s">
        <v>34291</v>
      </c>
      <c r="R7422">
        <v>21</v>
      </c>
      <c r="S7422">
        <v>32</v>
      </c>
    </row>
    <row r="7423" spans="1:19" x14ac:dyDescent="0.35">
      <c r="A7423">
        <v>7178</v>
      </c>
      <c r="B7423" t="s">
        <v>34283</v>
      </c>
      <c r="C7423" t="s">
        <v>850</v>
      </c>
      <c r="D7423" t="s">
        <v>34292</v>
      </c>
      <c r="E7423" t="e" cm="1">
        <f t="array" ref="E7423">- Achyranthes Aspera Folium</f>
        <v>#NAME?</v>
      </c>
      <c r="F7423" t="s">
        <v>34293</v>
      </c>
      <c r="G7423" t="s">
        <v>34294</v>
      </c>
      <c r="H7423" t="s">
        <v>1322</v>
      </c>
      <c r="I7423" t="s">
        <v>34295</v>
      </c>
      <c r="J7423" t="s">
        <v>11157</v>
      </c>
      <c r="L7423" t="s">
        <v>34296</v>
      </c>
      <c r="M7423" t="s">
        <v>2115</v>
      </c>
      <c r="N7423" t="s">
        <v>34288</v>
      </c>
      <c r="O7423" t="s">
        <v>34297</v>
      </c>
      <c r="P7423" t="s">
        <v>34290</v>
      </c>
      <c r="Q7423" t="s">
        <v>34298</v>
      </c>
      <c r="R7423">
        <v>21</v>
      </c>
      <c r="S7423">
        <v>32</v>
      </c>
    </row>
    <row r="7424" spans="1:19" x14ac:dyDescent="0.35">
      <c r="A7424">
        <v>2416</v>
      </c>
      <c r="B7424" t="s">
        <v>34299</v>
      </c>
      <c r="C7424" t="s">
        <v>42</v>
      </c>
      <c r="D7424" t="s">
        <v>34300</v>
      </c>
      <c r="E7424" t="e" cm="1">
        <f t="array" ref="E7424">- DICLOFENAC SODIUM</f>
        <v>#NAME?</v>
      </c>
      <c r="F7424" t="s">
        <v>34301</v>
      </c>
      <c r="H7424" t="s">
        <v>34257</v>
      </c>
      <c r="I7424" t="s">
        <v>34258</v>
      </c>
      <c r="J7424" t="s">
        <v>34259</v>
      </c>
      <c r="K7424" t="s">
        <v>34260</v>
      </c>
      <c r="L7424" t="s">
        <v>270</v>
      </c>
      <c r="M7424" t="s">
        <v>38</v>
      </c>
      <c r="N7424" t="s">
        <v>2597</v>
      </c>
      <c r="O7424" t="s">
        <v>34261</v>
      </c>
      <c r="P7424" t="s">
        <v>34262</v>
      </c>
      <c r="Q7424" t="s">
        <v>34263</v>
      </c>
      <c r="R7424">
        <v>21</v>
      </c>
      <c r="S7424">
        <v>32</v>
      </c>
    </row>
    <row r="7425" spans="1:19" x14ac:dyDescent="0.35">
      <c r="A7425">
        <v>3194</v>
      </c>
      <c r="B7425" t="s">
        <v>29978</v>
      </c>
      <c r="C7425" t="s">
        <v>42</v>
      </c>
      <c r="D7425" t="s">
        <v>29979</v>
      </c>
      <c r="E7425" t="e" cm="1">
        <f t="array" ref="E7425">- FAMOTIDINE. MAGNESIUM HYDROXIDE. CALCIUM CARBONATE</f>
        <v>#NAME?</v>
      </c>
      <c r="F7425" t="s">
        <v>29980</v>
      </c>
      <c r="G7425" t="s">
        <v>737</v>
      </c>
      <c r="H7425" t="s">
        <v>29981</v>
      </c>
      <c r="I7425" t="s">
        <v>29785</v>
      </c>
      <c r="J7425" t="s">
        <v>29982</v>
      </c>
      <c r="K7425" t="s">
        <v>3473</v>
      </c>
      <c r="L7425" t="s">
        <v>29983</v>
      </c>
      <c r="M7425" t="s">
        <v>46</v>
      </c>
      <c r="N7425" t="s">
        <v>34132</v>
      </c>
      <c r="O7425" t="s">
        <v>29788</v>
      </c>
      <c r="P7425" t="s">
        <v>29984</v>
      </c>
      <c r="Q7425" t="s">
        <v>34133</v>
      </c>
      <c r="R7425">
        <v>21</v>
      </c>
      <c r="S7425">
        <v>32</v>
      </c>
    </row>
    <row r="7426" spans="1:19" x14ac:dyDescent="0.35">
      <c r="A7426">
        <v>2806</v>
      </c>
      <c r="B7426" t="s">
        <v>34228</v>
      </c>
      <c r="C7426" t="s">
        <v>42</v>
      </c>
      <c r="D7426" t="s">
        <v>34229</v>
      </c>
      <c r="E7426" t="e" cm="1">
        <f t="array" ref="E7426">- PARACETAMOL</f>
        <v>#NAME?</v>
      </c>
      <c r="F7426" t="s">
        <v>34230</v>
      </c>
      <c r="G7426" t="s">
        <v>6869</v>
      </c>
      <c r="H7426" t="s">
        <v>34231</v>
      </c>
      <c r="I7426" t="s">
        <v>34232</v>
      </c>
    </row>
    <row r="7427" spans="1:19" x14ac:dyDescent="0.35">
      <c r="A7427">
        <v>7200</v>
      </c>
      <c r="B7427" t="s">
        <v>34302</v>
      </c>
      <c r="C7427" t="s">
        <v>850</v>
      </c>
      <c r="D7427" t="s">
        <v>34303</v>
      </c>
      <c r="E7427" t="s">
        <v>2069</v>
      </c>
      <c r="F7427" t="s">
        <v>34304</v>
      </c>
      <c r="G7427" t="s">
        <v>34305</v>
      </c>
      <c r="I7427" t="s">
        <v>34306</v>
      </c>
      <c r="J7427" t="s">
        <v>34307</v>
      </c>
      <c r="L7427" t="s">
        <v>34308</v>
      </c>
      <c r="N7427" t="s">
        <v>2071</v>
      </c>
      <c r="O7427" t="s">
        <v>34309</v>
      </c>
      <c r="P7427" t="s">
        <v>34310</v>
      </c>
      <c r="Q7427" t="s">
        <v>34311</v>
      </c>
      <c r="R7427">
        <v>21</v>
      </c>
      <c r="S7427">
        <v>32</v>
      </c>
    </row>
    <row r="7428" spans="1:19" x14ac:dyDescent="0.35">
      <c r="A7428">
        <v>6150</v>
      </c>
      <c r="B7428" t="s">
        <v>34312</v>
      </c>
      <c r="C7428" t="s">
        <v>42</v>
      </c>
      <c r="D7428" t="s">
        <v>34313</v>
      </c>
      <c r="E7428" t="e" cm="1">
        <f t="array" ref="E7428">- AMOXICILLIN TRIHYDRATE</f>
        <v>#NAME?</v>
      </c>
      <c r="F7428" t="s">
        <v>34314</v>
      </c>
      <c r="G7428" t="s">
        <v>2241</v>
      </c>
      <c r="H7428" t="s">
        <v>33147</v>
      </c>
      <c r="I7428" t="s">
        <v>33148</v>
      </c>
      <c r="J7428" t="s">
        <v>9710</v>
      </c>
      <c r="K7428" t="s">
        <v>14288</v>
      </c>
      <c r="L7428" t="s">
        <v>33149</v>
      </c>
      <c r="M7428" t="s">
        <v>291</v>
      </c>
      <c r="N7428" t="s">
        <v>1523</v>
      </c>
      <c r="O7428" t="s">
        <v>33150</v>
      </c>
      <c r="P7428" t="s">
        <v>34315</v>
      </c>
      <c r="Q7428" t="s">
        <v>34316</v>
      </c>
      <c r="R7428">
        <v>21</v>
      </c>
      <c r="S7428">
        <v>32</v>
      </c>
    </row>
    <row r="7429" spans="1:19" x14ac:dyDescent="0.35">
      <c r="A7429">
        <v>8889</v>
      </c>
      <c r="B7429" t="s">
        <v>34317</v>
      </c>
      <c r="C7429" t="s">
        <v>42</v>
      </c>
      <c r="D7429" t="s">
        <v>34318</v>
      </c>
      <c r="E7429" t="e" cm="1">
        <f t="array" ref="E7429">- INSULIN GLULISINE</f>
        <v>#NAME?</v>
      </c>
      <c r="F7429" t="s">
        <v>34319</v>
      </c>
      <c r="G7429" t="s">
        <v>34320</v>
      </c>
      <c r="H7429" t="s">
        <v>34321</v>
      </c>
      <c r="I7429" t="s">
        <v>34322</v>
      </c>
      <c r="J7429" t="s">
        <v>34323</v>
      </c>
      <c r="K7429" t="s">
        <v>34324</v>
      </c>
      <c r="L7429" t="s">
        <v>34325</v>
      </c>
    </row>
    <row r="7430" spans="1:19" x14ac:dyDescent="0.35">
      <c r="A7430">
        <v>8890</v>
      </c>
      <c r="B7430" t="s">
        <v>34317</v>
      </c>
      <c r="C7430" t="s">
        <v>42</v>
      </c>
      <c r="D7430" t="s">
        <v>34318</v>
      </c>
      <c r="E7430" t="e" cm="1">
        <f t="array" ref="E7430">- INSULIN GLULISINE</f>
        <v>#NAME?</v>
      </c>
      <c r="F7430" t="s">
        <v>34319</v>
      </c>
      <c r="G7430" t="s">
        <v>34320</v>
      </c>
      <c r="H7430" t="s">
        <v>34321</v>
      </c>
      <c r="I7430" t="s">
        <v>34322</v>
      </c>
      <c r="J7430" t="s">
        <v>34323</v>
      </c>
      <c r="K7430" t="s">
        <v>34324</v>
      </c>
      <c r="L7430" t="s">
        <v>34325</v>
      </c>
    </row>
    <row r="7431" spans="1:19" x14ac:dyDescent="0.35">
      <c r="A7431">
        <v>6218</v>
      </c>
      <c r="B7431" t="s">
        <v>34326</v>
      </c>
      <c r="C7431" t="s">
        <v>42</v>
      </c>
      <c r="D7431" t="s">
        <v>34327</v>
      </c>
      <c r="E7431" t="e" cm="1">
        <f t="array" ref="E7431">- METRONIDAZOLE</f>
        <v>#NAME?</v>
      </c>
      <c r="F7431" t="s">
        <v>34328</v>
      </c>
      <c r="H7431" t="s">
        <v>269</v>
      </c>
      <c r="I7431" t="s">
        <v>34329</v>
      </c>
      <c r="L7431" t="s">
        <v>270</v>
      </c>
      <c r="M7431" t="s">
        <v>46</v>
      </c>
      <c r="N7431" t="s">
        <v>1049</v>
      </c>
      <c r="O7431" t="s">
        <v>34330</v>
      </c>
      <c r="P7431" t="s">
        <v>34331</v>
      </c>
      <c r="Q7431" t="s">
        <v>34332</v>
      </c>
      <c r="R7431">
        <v>21</v>
      </c>
      <c r="S7431">
        <v>32</v>
      </c>
    </row>
    <row r="7432" spans="1:19" x14ac:dyDescent="0.35">
      <c r="A7432">
        <v>6151</v>
      </c>
      <c r="B7432" t="s">
        <v>34312</v>
      </c>
      <c r="C7432" t="s">
        <v>42</v>
      </c>
      <c r="D7432" t="s">
        <v>34313</v>
      </c>
      <c r="E7432" t="e" cm="1">
        <f t="array" ref="E7432">- AMOXICILLIN TRIHYDRATE</f>
        <v>#NAME?</v>
      </c>
      <c r="F7432" t="s">
        <v>34314</v>
      </c>
      <c r="G7432" t="s">
        <v>2241</v>
      </c>
      <c r="H7432" t="s">
        <v>33147</v>
      </c>
      <c r="I7432" t="s">
        <v>33148</v>
      </c>
      <c r="J7432" t="s">
        <v>9710</v>
      </c>
      <c r="K7432" t="s">
        <v>14288</v>
      </c>
      <c r="L7432" t="s">
        <v>33149</v>
      </c>
      <c r="M7432" t="s">
        <v>291</v>
      </c>
      <c r="N7432" t="s">
        <v>1523</v>
      </c>
      <c r="O7432" t="s">
        <v>33150</v>
      </c>
      <c r="P7432" t="s">
        <v>34315</v>
      </c>
      <c r="Q7432" t="s">
        <v>34316</v>
      </c>
      <c r="R7432">
        <v>21</v>
      </c>
      <c r="S7432">
        <v>32</v>
      </c>
    </row>
    <row r="7433" spans="1:19" x14ac:dyDescent="0.35">
      <c r="A7433">
        <v>5368</v>
      </c>
      <c r="B7433" t="s">
        <v>34333</v>
      </c>
      <c r="C7433" t="s">
        <v>42</v>
      </c>
      <c r="D7433" t="s">
        <v>34334</v>
      </c>
      <c r="E7433" t="e" cm="1">
        <f t="array" ref="E7433">- GENTAMICIN SULFATE</f>
        <v>#NAME?</v>
      </c>
      <c r="F7433" t="s">
        <v>34335</v>
      </c>
      <c r="G7433" t="s">
        <v>19294</v>
      </c>
      <c r="H7433" t="s">
        <v>34336</v>
      </c>
      <c r="I7433" t="s">
        <v>32196</v>
      </c>
      <c r="J7433" t="s">
        <v>2040</v>
      </c>
      <c r="K7433" t="s">
        <v>27744</v>
      </c>
      <c r="L7433" t="s">
        <v>34337</v>
      </c>
      <c r="M7433" t="s">
        <v>1289</v>
      </c>
      <c r="N7433" t="s">
        <v>6119</v>
      </c>
      <c r="O7433" t="s">
        <v>32198</v>
      </c>
      <c r="P7433" t="s">
        <v>34338</v>
      </c>
      <c r="Q7433" t="s">
        <v>34339</v>
      </c>
      <c r="R7433">
        <v>21</v>
      </c>
      <c r="S7433">
        <v>32</v>
      </c>
    </row>
    <row r="7434" spans="1:19" x14ac:dyDescent="0.35">
      <c r="A7434">
        <v>2948</v>
      </c>
      <c r="B7434" t="s">
        <v>34340</v>
      </c>
      <c r="C7434" t="s">
        <v>42</v>
      </c>
      <c r="D7434" t="s">
        <v>34341</v>
      </c>
      <c r="E7434" t="e" cm="1">
        <f t="array" ref="E7434">- PARACETAMOL</f>
        <v>#NAME?</v>
      </c>
      <c r="F7434" t="s">
        <v>34342</v>
      </c>
      <c r="G7434" t="s">
        <v>6869</v>
      </c>
      <c r="H7434" t="s">
        <v>34343</v>
      </c>
      <c r="I7434" t="s">
        <v>32224</v>
      </c>
      <c r="J7434" t="s">
        <v>334</v>
      </c>
      <c r="K7434" t="s">
        <v>34344</v>
      </c>
      <c r="L7434" t="s">
        <v>34345</v>
      </c>
      <c r="M7434" t="s">
        <v>271</v>
      </c>
      <c r="N7434" t="s">
        <v>584</v>
      </c>
      <c r="O7434" t="s">
        <v>32225</v>
      </c>
      <c r="P7434" t="s">
        <v>15527</v>
      </c>
      <c r="Q7434" t="s">
        <v>34346</v>
      </c>
      <c r="R7434">
        <v>21</v>
      </c>
      <c r="S7434">
        <v>32</v>
      </c>
    </row>
    <row r="7435" spans="1:19" x14ac:dyDescent="0.35">
      <c r="A7435">
        <v>2915</v>
      </c>
      <c r="B7435" t="s">
        <v>34347</v>
      </c>
      <c r="C7435" t="s">
        <v>42</v>
      </c>
      <c r="D7435" t="s">
        <v>34348</v>
      </c>
      <c r="E7435" t="e" cm="1">
        <f t="array" ref="E7435">- PARACETAMOL</f>
        <v>#NAME?</v>
      </c>
      <c r="F7435" t="s">
        <v>34222</v>
      </c>
      <c r="G7435" t="s">
        <v>2241</v>
      </c>
      <c r="H7435" t="s">
        <v>34223</v>
      </c>
      <c r="I7435" t="s">
        <v>34224</v>
      </c>
      <c r="J7435" t="s">
        <v>846</v>
      </c>
      <c r="M7435" t="s">
        <v>271</v>
      </c>
      <c r="N7435" t="s">
        <v>584</v>
      </c>
      <c r="O7435" t="s">
        <v>34225</v>
      </c>
      <c r="P7435" t="s">
        <v>34349</v>
      </c>
      <c r="Q7435" t="s">
        <v>34350</v>
      </c>
      <c r="R7435">
        <v>21</v>
      </c>
      <c r="S7435">
        <v>32</v>
      </c>
    </row>
    <row r="7436" spans="1:19" x14ac:dyDescent="0.35">
      <c r="A7436">
        <v>5567</v>
      </c>
      <c r="B7436" t="s">
        <v>34351</v>
      </c>
      <c r="C7436" t="s">
        <v>42</v>
      </c>
      <c r="D7436" t="s">
        <v>34352</v>
      </c>
      <c r="E7436" t="e" cm="1">
        <f t="array" ref="E7436">- HYDROQUINONE</f>
        <v>#NAME?</v>
      </c>
      <c r="F7436" t="s">
        <v>34353</v>
      </c>
      <c r="G7436" t="s">
        <v>16793</v>
      </c>
      <c r="H7436" t="s">
        <v>34354</v>
      </c>
      <c r="I7436" t="s">
        <v>34355</v>
      </c>
      <c r="J7436" t="s">
        <v>7159</v>
      </c>
      <c r="L7436" t="s">
        <v>34356</v>
      </c>
      <c r="M7436" t="s">
        <v>1289</v>
      </c>
      <c r="N7436" t="s">
        <v>6466</v>
      </c>
      <c r="O7436" t="s">
        <v>34357</v>
      </c>
      <c r="P7436" t="s">
        <v>34358</v>
      </c>
      <c r="Q7436" t="s">
        <v>34359</v>
      </c>
      <c r="R7436">
        <v>21</v>
      </c>
      <c r="S7436">
        <v>32</v>
      </c>
    </row>
    <row r="7437" spans="1:19" x14ac:dyDescent="0.35">
      <c r="A7437">
        <v>2368</v>
      </c>
      <c r="B7437" t="s">
        <v>34360</v>
      </c>
      <c r="C7437" t="s">
        <v>42</v>
      </c>
      <c r="D7437" t="s">
        <v>34361</v>
      </c>
      <c r="E7437" t="e" cm="1">
        <f t="array" ref="E7437">- MEFENAMIC ACID</f>
        <v>#NAME?</v>
      </c>
      <c r="F7437" t="s">
        <v>34362</v>
      </c>
      <c r="G7437" t="s">
        <v>34084</v>
      </c>
      <c r="H7437" t="s">
        <v>34085</v>
      </c>
      <c r="I7437" t="s">
        <v>34272</v>
      </c>
      <c r="J7437" t="s">
        <v>515</v>
      </c>
      <c r="K7437" t="s">
        <v>34363</v>
      </c>
    </row>
    <row r="7438" spans="1:19" x14ac:dyDescent="0.35">
      <c r="A7438">
        <v>2371</v>
      </c>
      <c r="B7438" t="s">
        <v>12857</v>
      </c>
      <c r="C7438" t="s">
        <v>42</v>
      </c>
      <c r="D7438" t="s">
        <v>12858</v>
      </c>
      <c r="E7438" t="e" cm="1">
        <f t="array" ref="E7438">- METAMIZOLE SODIUM MONOHYDRATE. CYANOCOBALAMIN. THIAMINE NITRATE. PYRIDOXINE HYDROCHLORIDE. DL ALPHA TOCOPHERYL ACETATE</f>
        <v>#NAME?</v>
      </c>
      <c r="F7438" t="s">
        <v>12859</v>
      </c>
      <c r="H7438" t="s">
        <v>12860</v>
      </c>
      <c r="I7438" t="s">
        <v>12861</v>
      </c>
      <c r="J7438" t="s">
        <v>12862</v>
      </c>
      <c r="L7438" t="s">
        <v>321</v>
      </c>
      <c r="M7438" t="s">
        <v>291</v>
      </c>
      <c r="N7438" t="s">
        <v>34364</v>
      </c>
      <c r="O7438" t="s">
        <v>12863</v>
      </c>
      <c r="P7438" t="s">
        <v>12864</v>
      </c>
      <c r="Q7438" t="s">
        <v>34365</v>
      </c>
      <c r="R7438">
        <v>21</v>
      </c>
      <c r="S7438">
        <v>32</v>
      </c>
    </row>
    <row r="7439" spans="1:19" x14ac:dyDescent="0.35">
      <c r="A7439">
        <v>6163</v>
      </c>
      <c r="B7439" t="s">
        <v>34366</v>
      </c>
      <c r="C7439" t="s">
        <v>42</v>
      </c>
      <c r="D7439" t="s">
        <v>34367</v>
      </c>
      <c r="E7439" t="e" cm="1">
        <f t="array" ref="E7439">- CEFALEXIN MONOHYDRATE</f>
        <v>#NAME?</v>
      </c>
      <c r="F7439" s="1">
        <v>13400</v>
      </c>
      <c r="G7439" t="s">
        <v>9114</v>
      </c>
      <c r="H7439" t="s">
        <v>34368</v>
      </c>
      <c r="I7439" t="s">
        <v>34369</v>
      </c>
    </row>
    <row r="7440" spans="1:19" x14ac:dyDescent="0.35">
      <c r="A7440">
        <v>2384</v>
      </c>
      <c r="B7440" t="s">
        <v>34370</v>
      </c>
      <c r="C7440" t="s">
        <v>42</v>
      </c>
      <c r="D7440" t="s">
        <v>34371</v>
      </c>
      <c r="E7440" t="e" cm="1">
        <f t="array" ref="E7440">- MEFENAMIC ACID</f>
        <v>#NAME?</v>
      </c>
      <c r="F7440" t="s">
        <v>34372</v>
      </c>
      <c r="G7440" t="s">
        <v>34084</v>
      </c>
      <c r="H7440" t="s">
        <v>34085</v>
      </c>
      <c r="I7440" t="s">
        <v>34272</v>
      </c>
      <c r="J7440" t="s">
        <v>9710</v>
      </c>
      <c r="K7440" t="s">
        <v>34373</v>
      </c>
      <c r="L7440" t="s">
        <v>34129</v>
      </c>
      <c r="M7440" t="s">
        <v>291</v>
      </c>
      <c r="N7440" t="s">
        <v>2235</v>
      </c>
      <c r="O7440" t="s">
        <v>34090</v>
      </c>
      <c r="P7440" t="s">
        <v>34374</v>
      </c>
      <c r="Q7440" t="s">
        <v>34375</v>
      </c>
      <c r="R7440">
        <v>21</v>
      </c>
      <c r="S7440">
        <v>32</v>
      </c>
    </row>
    <row r="7441" spans="1:19" x14ac:dyDescent="0.35">
      <c r="A7441">
        <v>2385</v>
      </c>
      <c r="B7441" t="s">
        <v>34370</v>
      </c>
      <c r="C7441" t="s">
        <v>42</v>
      </c>
      <c r="D7441" t="s">
        <v>34371</v>
      </c>
      <c r="E7441" t="e" cm="1">
        <f t="array" ref="E7441">- MEFENAMIC ACID</f>
        <v>#NAME?</v>
      </c>
      <c r="F7441" t="s">
        <v>34372</v>
      </c>
      <c r="G7441" t="s">
        <v>34084</v>
      </c>
      <c r="H7441" t="s">
        <v>34085</v>
      </c>
      <c r="I7441" t="s">
        <v>34272</v>
      </c>
      <c r="J7441" t="s">
        <v>9710</v>
      </c>
      <c r="K7441" t="s">
        <v>34373</v>
      </c>
      <c r="L7441" t="s">
        <v>34129</v>
      </c>
      <c r="M7441" t="s">
        <v>291</v>
      </c>
      <c r="N7441" t="s">
        <v>2235</v>
      </c>
      <c r="O7441" t="s">
        <v>34090</v>
      </c>
      <c r="P7441" t="s">
        <v>34374</v>
      </c>
      <c r="Q7441" t="s">
        <v>34375</v>
      </c>
      <c r="R7441">
        <v>21</v>
      </c>
      <c r="S7441">
        <v>32</v>
      </c>
    </row>
    <row r="7442" spans="1:19" x14ac:dyDescent="0.35">
      <c r="A7442">
        <v>5706</v>
      </c>
      <c r="B7442" t="s">
        <v>34376</v>
      </c>
      <c r="C7442" t="s">
        <v>42</v>
      </c>
      <c r="D7442" t="s">
        <v>34377</v>
      </c>
      <c r="E7442" t="e" cm="1">
        <f t="array" ref="E7442">- SULFAMETHOXAZOLE</f>
        <v>#NAME?</v>
      </c>
      <c r="F7442" t="s">
        <v>34378</v>
      </c>
      <c r="G7442" t="s">
        <v>34379</v>
      </c>
      <c r="H7442" t="s">
        <v>34380</v>
      </c>
      <c r="I7442" t="s">
        <v>34381</v>
      </c>
      <c r="J7442" t="s">
        <v>727</v>
      </c>
      <c r="K7442" t="s">
        <v>13519</v>
      </c>
      <c r="L7442" t="s">
        <v>34382</v>
      </c>
      <c r="M7442" t="s">
        <v>291</v>
      </c>
      <c r="N7442" t="s">
        <v>478</v>
      </c>
      <c r="O7442" t="s">
        <v>34383</v>
      </c>
      <c r="P7442" t="s">
        <v>34384</v>
      </c>
      <c r="Q7442" t="s">
        <v>34385</v>
      </c>
      <c r="R7442">
        <v>21</v>
      </c>
      <c r="S7442">
        <v>32</v>
      </c>
    </row>
    <row r="7443" spans="1:19" x14ac:dyDescent="0.35">
      <c r="A7443">
        <v>2923</v>
      </c>
      <c r="B7443" t="s">
        <v>680</v>
      </c>
      <c r="C7443" t="s">
        <v>42</v>
      </c>
      <c r="D7443" t="s">
        <v>32300</v>
      </c>
      <c r="E7443" t="e" cm="1">
        <f t="array" ref="E7443">- PARACETAMOL (MICRONIZED)</f>
        <v>#NAME?</v>
      </c>
      <c r="F7443" t="s">
        <v>21074</v>
      </c>
      <c r="G7443" t="s">
        <v>2241</v>
      </c>
      <c r="H7443" t="s">
        <v>32301</v>
      </c>
      <c r="I7443" t="s">
        <v>32302</v>
      </c>
      <c r="J7443" t="s">
        <v>846</v>
      </c>
      <c r="M7443" t="s">
        <v>271</v>
      </c>
      <c r="N7443" t="s">
        <v>1593</v>
      </c>
      <c r="O7443" t="s">
        <v>32303</v>
      </c>
      <c r="P7443" t="s">
        <v>683</v>
      </c>
      <c r="Q7443" t="s">
        <v>34386</v>
      </c>
      <c r="R7443">
        <v>21</v>
      </c>
      <c r="S7443">
        <v>32</v>
      </c>
    </row>
    <row r="7444" spans="1:19" x14ac:dyDescent="0.35">
      <c r="A7444">
        <v>5568</v>
      </c>
      <c r="B7444" t="s">
        <v>34351</v>
      </c>
      <c r="C7444" t="s">
        <v>42</v>
      </c>
      <c r="D7444" t="s">
        <v>34352</v>
      </c>
      <c r="E7444" t="e" cm="1">
        <f t="array" ref="E7444">- HYDROQUINONE</f>
        <v>#NAME?</v>
      </c>
      <c r="F7444" t="s">
        <v>34353</v>
      </c>
      <c r="G7444" t="s">
        <v>16793</v>
      </c>
      <c r="H7444" t="s">
        <v>34354</v>
      </c>
      <c r="I7444" t="s">
        <v>34355</v>
      </c>
      <c r="J7444" t="s">
        <v>7159</v>
      </c>
      <c r="L7444" t="s">
        <v>34356</v>
      </c>
      <c r="M7444" t="s">
        <v>1289</v>
      </c>
      <c r="N7444" t="s">
        <v>6466</v>
      </c>
      <c r="O7444" t="s">
        <v>34357</v>
      </c>
      <c r="P7444" t="s">
        <v>34358</v>
      </c>
      <c r="Q7444" t="s">
        <v>34359</v>
      </c>
      <c r="R7444">
        <v>21</v>
      </c>
      <c r="S7444">
        <v>32</v>
      </c>
    </row>
    <row r="7445" spans="1:19" x14ac:dyDescent="0.35">
      <c r="A7445">
        <v>1473</v>
      </c>
      <c r="B7445" t="s">
        <v>34387</v>
      </c>
      <c r="C7445" t="s">
        <v>42</v>
      </c>
      <c r="D7445" t="s">
        <v>34388</v>
      </c>
      <c r="E7445" t="e" cm="1">
        <f t="array" ref="E7445">- AMBROXOL HYDROCHLORIDE</f>
        <v>#NAME?</v>
      </c>
      <c r="F7445" t="s">
        <v>34389</v>
      </c>
      <c r="G7445" t="s">
        <v>2241</v>
      </c>
      <c r="H7445" t="s">
        <v>34390</v>
      </c>
      <c r="I7445" t="s">
        <v>34391</v>
      </c>
      <c r="J7445" t="s">
        <v>34392</v>
      </c>
      <c r="K7445" t="s">
        <v>34393</v>
      </c>
      <c r="L7445" t="s">
        <v>8847</v>
      </c>
      <c r="M7445" t="s">
        <v>46</v>
      </c>
      <c r="N7445" t="s">
        <v>1800</v>
      </c>
      <c r="O7445" t="s">
        <v>34394</v>
      </c>
      <c r="P7445" t="s">
        <v>34395</v>
      </c>
      <c r="Q7445" t="s">
        <v>34396</v>
      </c>
      <c r="R7445">
        <v>21</v>
      </c>
      <c r="S7445">
        <v>32</v>
      </c>
    </row>
    <row r="7446" spans="1:19" x14ac:dyDescent="0.35">
      <c r="A7446">
        <v>6220</v>
      </c>
      <c r="B7446" t="s">
        <v>34397</v>
      </c>
      <c r="C7446" t="s">
        <v>42</v>
      </c>
      <c r="D7446" t="s">
        <v>34398</v>
      </c>
      <c r="E7446" t="e" cm="1">
        <f t="array" ref="E7446">- SULFAMETHOXAZOLE</f>
        <v>#NAME?</v>
      </c>
      <c r="F7446" t="s">
        <v>18612</v>
      </c>
      <c r="G7446" t="s">
        <v>34399</v>
      </c>
      <c r="H7446" t="s">
        <v>34400</v>
      </c>
      <c r="I7446" t="s">
        <v>34401</v>
      </c>
      <c r="J7446" t="s">
        <v>3926</v>
      </c>
      <c r="K7446" t="s">
        <v>34402</v>
      </c>
      <c r="L7446" t="s">
        <v>34403</v>
      </c>
      <c r="M7446" t="s">
        <v>291</v>
      </c>
      <c r="N7446" t="s">
        <v>478</v>
      </c>
      <c r="O7446" t="s">
        <v>34404</v>
      </c>
      <c r="P7446" t="s">
        <v>34405</v>
      </c>
      <c r="Q7446" t="s">
        <v>34406</v>
      </c>
      <c r="R7446">
        <v>21</v>
      </c>
      <c r="S7446">
        <v>32</v>
      </c>
    </row>
    <row r="7447" spans="1:19" x14ac:dyDescent="0.35">
      <c r="A7447">
        <v>3314</v>
      </c>
      <c r="B7447" t="s">
        <v>29865</v>
      </c>
      <c r="C7447" t="s">
        <v>42</v>
      </c>
      <c r="D7447" t="s">
        <v>29866</v>
      </c>
      <c r="E7447" t="e" cm="1">
        <f t="array" ref="E7447">- MAGNESIUM TRISILICATE. SIMETHICONE. DRIED ALUMINIUM HYDROXIDE GEL</f>
        <v>#NAME?</v>
      </c>
      <c r="F7447" t="s">
        <v>29867</v>
      </c>
      <c r="G7447" t="s">
        <v>29868</v>
      </c>
      <c r="H7447" t="s">
        <v>29869</v>
      </c>
      <c r="I7447" t="s">
        <v>29870</v>
      </c>
      <c r="J7447" t="s">
        <v>29871</v>
      </c>
      <c r="K7447" t="s">
        <v>29872</v>
      </c>
      <c r="L7447" t="s">
        <v>29873</v>
      </c>
      <c r="M7447" t="s">
        <v>46</v>
      </c>
      <c r="N7447" t="s">
        <v>11111</v>
      </c>
      <c r="O7447" t="s">
        <v>29874</v>
      </c>
      <c r="P7447" t="s">
        <v>29875</v>
      </c>
      <c r="Q7447" t="s">
        <v>34407</v>
      </c>
      <c r="R7447">
        <v>21</v>
      </c>
      <c r="S7447">
        <v>32</v>
      </c>
    </row>
    <row r="7448" spans="1:19" x14ac:dyDescent="0.35">
      <c r="A7448">
        <v>6124</v>
      </c>
      <c r="B7448" t="s">
        <v>34134</v>
      </c>
      <c r="C7448" t="s">
        <v>42</v>
      </c>
      <c r="D7448" t="s">
        <v>34135</v>
      </c>
      <c r="E7448" t="e" cm="1">
        <f t="array" ref="E7448">- AMOXICILLIN TRIHYDRATE</f>
        <v>#NAME?</v>
      </c>
      <c r="F7448" t="s">
        <v>34136</v>
      </c>
      <c r="G7448" t="s">
        <v>2241</v>
      </c>
      <c r="H7448" t="s">
        <v>33147</v>
      </c>
      <c r="I7448" t="s">
        <v>34137</v>
      </c>
      <c r="J7448" t="s">
        <v>381</v>
      </c>
      <c r="K7448" t="s">
        <v>32189</v>
      </c>
      <c r="L7448" t="s">
        <v>33149</v>
      </c>
      <c r="M7448" t="s">
        <v>291</v>
      </c>
      <c r="N7448" t="s">
        <v>1523</v>
      </c>
      <c r="O7448" t="s">
        <v>33150</v>
      </c>
      <c r="P7448" t="s">
        <v>32191</v>
      </c>
      <c r="Q7448" t="s">
        <v>34138</v>
      </c>
      <c r="R7448">
        <v>21</v>
      </c>
      <c r="S7448">
        <v>32</v>
      </c>
    </row>
    <row r="7449" spans="1:19" x14ac:dyDescent="0.35">
      <c r="A7449">
        <v>2563</v>
      </c>
      <c r="B7449" t="s">
        <v>34408</v>
      </c>
      <c r="C7449" t="s">
        <v>42</v>
      </c>
      <c r="D7449" t="s">
        <v>34409</v>
      </c>
      <c r="E7449" t="e" cm="1">
        <f t="array" ref="E7449">- MEFENAMIC ACID</f>
        <v>#NAME?</v>
      </c>
      <c r="F7449" s="1">
        <v>21200</v>
      </c>
      <c r="I7449" t="s">
        <v>34162</v>
      </c>
      <c r="J7449" t="s">
        <v>27449</v>
      </c>
      <c r="L7449" t="s">
        <v>1308</v>
      </c>
      <c r="M7449" t="s">
        <v>291</v>
      </c>
      <c r="N7449" t="s">
        <v>2235</v>
      </c>
      <c r="O7449" t="s">
        <v>34015</v>
      </c>
      <c r="P7449" t="s">
        <v>34410</v>
      </c>
      <c r="Q7449" t="s">
        <v>34411</v>
      </c>
      <c r="R7449">
        <v>21</v>
      </c>
      <c r="S7449">
        <v>32</v>
      </c>
    </row>
    <row r="7450" spans="1:19" x14ac:dyDescent="0.35">
      <c r="A7450">
        <v>2178</v>
      </c>
      <c r="B7450" t="s">
        <v>34412</v>
      </c>
      <c r="C7450" t="s">
        <v>42</v>
      </c>
      <c r="D7450" t="s">
        <v>34413</v>
      </c>
      <c r="E7450" t="e" cm="1">
        <f t="array" ref="E7450">- DICLOFENAC POTASSIUM</f>
        <v>#NAME?</v>
      </c>
      <c r="F7450" t="s">
        <v>34414</v>
      </c>
      <c r="G7450" t="s">
        <v>2241</v>
      </c>
      <c r="H7450" t="s">
        <v>2596</v>
      </c>
      <c r="I7450" t="s">
        <v>33099</v>
      </c>
      <c r="J7450" t="s">
        <v>34415</v>
      </c>
      <c r="K7450" t="s">
        <v>33100</v>
      </c>
      <c r="L7450" t="s">
        <v>33101</v>
      </c>
      <c r="M7450" t="s">
        <v>271</v>
      </c>
      <c r="N7450" t="s">
        <v>2637</v>
      </c>
      <c r="O7450" t="s">
        <v>33102</v>
      </c>
      <c r="P7450" t="s">
        <v>34416</v>
      </c>
      <c r="Q7450" t="s">
        <v>34417</v>
      </c>
      <c r="R7450">
        <v>21</v>
      </c>
      <c r="S7450">
        <v>32</v>
      </c>
    </row>
    <row r="7451" spans="1:19" x14ac:dyDescent="0.35">
      <c r="A7451">
        <v>2644</v>
      </c>
      <c r="B7451" t="s">
        <v>34418</v>
      </c>
      <c r="C7451" t="s">
        <v>42</v>
      </c>
      <c r="D7451" t="s">
        <v>34419</v>
      </c>
      <c r="E7451" t="e" cm="1">
        <f t="array" ref="E7451">- MEFENAMIC ACID</f>
        <v>#NAME?</v>
      </c>
      <c r="F7451" t="s">
        <v>34420</v>
      </c>
      <c r="G7451" t="s">
        <v>34084</v>
      </c>
      <c r="H7451" t="s">
        <v>34085</v>
      </c>
      <c r="I7451" t="s">
        <v>34272</v>
      </c>
      <c r="J7451" t="s">
        <v>381</v>
      </c>
      <c r="K7451" t="s">
        <v>34421</v>
      </c>
      <c r="L7451" t="s">
        <v>34422</v>
      </c>
      <c r="M7451" t="s">
        <v>291</v>
      </c>
      <c r="N7451" t="s">
        <v>2235</v>
      </c>
      <c r="O7451" t="s">
        <v>34090</v>
      </c>
      <c r="P7451" t="s">
        <v>34423</v>
      </c>
      <c r="Q7451" t="s">
        <v>34424</v>
      </c>
      <c r="R7451">
        <v>21</v>
      </c>
      <c r="S7451">
        <v>32</v>
      </c>
    </row>
    <row r="7452" spans="1:19" x14ac:dyDescent="0.35">
      <c r="A7452">
        <v>2554</v>
      </c>
      <c r="B7452" t="s">
        <v>34425</v>
      </c>
      <c r="C7452" t="s">
        <v>42</v>
      </c>
      <c r="D7452" t="s">
        <v>34426</v>
      </c>
      <c r="E7452" t="e" cm="1">
        <f t="array" ref="E7452">- MEFENAMIC ACID</f>
        <v>#NAME?</v>
      </c>
      <c r="F7452" t="s">
        <v>34427</v>
      </c>
      <c r="G7452" t="s">
        <v>34084</v>
      </c>
      <c r="H7452" t="s">
        <v>34085</v>
      </c>
      <c r="I7452" t="s">
        <v>34272</v>
      </c>
      <c r="J7452" t="s">
        <v>9710</v>
      </c>
      <c r="K7452" t="s">
        <v>34428</v>
      </c>
      <c r="L7452" t="s">
        <v>34129</v>
      </c>
      <c r="M7452" t="s">
        <v>46</v>
      </c>
      <c r="N7452" t="s">
        <v>2235</v>
      </c>
      <c r="O7452" t="s">
        <v>34090</v>
      </c>
      <c r="P7452" t="s">
        <v>34429</v>
      </c>
      <c r="Q7452" t="s">
        <v>34430</v>
      </c>
      <c r="R7452">
        <v>21</v>
      </c>
      <c r="S7452">
        <v>32</v>
      </c>
    </row>
    <row r="7453" spans="1:19" x14ac:dyDescent="0.35">
      <c r="A7453">
        <v>5445</v>
      </c>
      <c r="B7453" t="s">
        <v>34431</v>
      </c>
      <c r="C7453" t="s">
        <v>42</v>
      </c>
      <c r="D7453" t="s">
        <v>34432</v>
      </c>
      <c r="E7453" t="e" cm="1">
        <f t="array" ref="E7453">- GENTAMICIN SULFATE</f>
        <v>#NAME?</v>
      </c>
      <c r="F7453" t="s">
        <v>34433</v>
      </c>
      <c r="G7453" t="s">
        <v>22802</v>
      </c>
      <c r="H7453" t="s">
        <v>32195</v>
      </c>
      <c r="I7453" t="s">
        <v>32196</v>
      </c>
      <c r="J7453" t="s">
        <v>2049</v>
      </c>
      <c r="K7453" t="s">
        <v>27744</v>
      </c>
      <c r="L7453" t="s">
        <v>32197</v>
      </c>
      <c r="M7453" t="s">
        <v>1289</v>
      </c>
      <c r="N7453" t="s">
        <v>6119</v>
      </c>
      <c r="O7453" t="s">
        <v>32198</v>
      </c>
      <c r="P7453" t="s">
        <v>34434</v>
      </c>
      <c r="Q7453" t="s">
        <v>34435</v>
      </c>
      <c r="R7453">
        <v>21</v>
      </c>
      <c r="S7453">
        <v>32</v>
      </c>
    </row>
    <row r="7454" spans="1:19" x14ac:dyDescent="0.35">
      <c r="A7454">
        <v>2490</v>
      </c>
      <c r="B7454" t="s">
        <v>34436</v>
      </c>
      <c r="C7454" t="s">
        <v>42</v>
      </c>
      <c r="D7454" t="s">
        <v>34437</v>
      </c>
      <c r="E7454" t="e" cm="1">
        <f t="array" ref="E7454">- MEFENAMIC ACID</f>
        <v>#NAME?</v>
      </c>
      <c r="F7454" t="s">
        <v>34438</v>
      </c>
      <c r="G7454" t="s">
        <v>34439</v>
      </c>
      <c r="H7454" t="s">
        <v>34440</v>
      </c>
      <c r="I7454" t="s">
        <v>34086</v>
      </c>
      <c r="J7454" t="s">
        <v>28177</v>
      </c>
      <c r="K7454" t="s">
        <v>34441</v>
      </c>
      <c r="L7454" t="s">
        <v>34442</v>
      </c>
      <c r="M7454" t="s">
        <v>291</v>
      </c>
      <c r="N7454" t="s">
        <v>2235</v>
      </c>
      <c r="O7454" t="s">
        <v>34090</v>
      </c>
      <c r="P7454" t="s">
        <v>34443</v>
      </c>
      <c r="Q7454" t="s">
        <v>34444</v>
      </c>
      <c r="R7454">
        <v>21</v>
      </c>
      <c r="S7454">
        <v>32</v>
      </c>
    </row>
    <row r="7455" spans="1:19" x14ac:dyDescent="0.35">
      <c r="A7455">
        <v>5377</v>
      </c>
      <c r="B7455" t="s">
        <v>34445</v>
      </c>
      <c r="C7455" t="s">
        <v>42</v>
      </c>
      <c r="D7455" t="s">
        <v>34446</v>
      </c>
      <c r="E7455" t="e" cm="1">
        <f t="array" ref="E7455">- FLUOCINOLONE ACETONIDE</f>
        <v>#NAME?</v>
      </c>
      <c r="F7455" t="s">
        <v>34447</v>
      </c>
      <c r="G7455" t="s">
        <v>34448</v>
      </c>
      <c r="H7455" t="s">
        <v>34449</v>
      </c>
      <c r="I7455" t="s">
        <v>34450</v>
      </c>
      <c r="J7455" t="s">
        <v>2049</v>
      </c>
      <c r="K7455" t="s">
        <v>34451</v>
      </c>
      <c r="L7455" t="s">
        <v>34452</v>
      </c>
      <c r="M7455" t="s">
        <v>1289</v>
      </c>
      <c r="N7455" t="s">
        <v>2766</v>
      </c>
      <c r="O7455" t="s">
        <v>34453</v>
      </c>
      <c r="P7455" t="s">
        <v>34454</v>
      </c>
      <c r="Q7455" t="s">
        <v>34455</v>
      </c>
      <c r="R7455">
        <v>21</v>
      </c>
      <c r="S7455">
        <v>32</v>
      </c>
    </row>
    <row r="7456" spans="1:19" x14ac:dyDescent="0.35">
      <c r="A7456">
        <v>2552</v>
      </c>
      <c r="B7456" t="s">
        <v>34456</v>
      </c>
      <c r="C7456" t="s">
        <v>42</v>
      </c>
      <c r="D7456" t="s">
        <v>34457</v>
      </c>
      <c r="E7456" t="e" cm="1">
        <f t="array" ref="E7456">- MEFENAMIC ACID</f>
        <v>#NAME?</v>
      </c>
      <c r="F7456" s="1">
        <v>4600</v>
      </c>
      <c r="G7456" t="s">
        <v>34439</v>
      </c>
      <c r="H7456" t="s">
        <v>34440</v>
      </c>
      <c r="I7456" t="s">
        <v>34272</v>
      </c>
      <c r="J7456" t="s">
        <v>727</v>
      </c>
      <c r="K7456" t="s">
        <v>34458</v>
      </c>
      <c r="L7456" t="s">
        <v>34129</v>
      </c>
      <c r="M7456" t="s">
        <v>291</v>
      </c>
      <c r="N7456" t="s">
        <v>2235</v>
      </c>
      <c r="O7456" t="s">
        <v>34090</v>
      </c>
      <c r="P7456" t="s">
        <v>34459</v>
      </c>
      <c r="Q7456" t="s">
        <v>34460</v>
      </c>
      <c r="R7456">
        <v>21</v>
      </c>
      <c r="S7456">
        <v>32</v>
      </c>
    </row>
    <row r="7457" spans="1:19" x14ac:dyDescent="0.35">
      <c r="A7457">
        <v>5442</v>
      </c>
      <c r="B7457" t="s">
        <v>34461</v>
      </c>
      <c r="C7457" t="s">
        <v>42</v>
      </c>
      <c r="D7457" t="s">
        <v>34462</v>
      </c>
      <c r="E7457" t="e" cm="1">
        <f t="array" ref="E7457">- GENTAMICIN SULFATE</f>
        <v>#NAME?</v>
      </c>
      <c r="F7457" t="s">
        <v>34463</v>
      </c>
      <c r="G7457" t="s">
        <v>19294</v>
      </c>
      <c r="H7457" t="s">
        <v>34464</v>
      </c>
      <c r="I7457" t="s">
        <v>32196</v>
      </c>
      <c r="J7457" t="s">
        <v>34465</v>
      </c>
      <c r="K7457" t="s">
        <v>27744</v>
      </c>
      <c r="L7457" t="s">
        <v>34337</v>
      </c>
      <c r="M7457" t="s">
        <v>1289</v>
      </c>
      <c r="N7457" t="s">
        <v>6119</v>
      </c>
      <c r="O7457" t="s">
        <v>32198</v>
      </c>
      <c r="P7457" t="s">
        <v>34466</v>
      </c>
      <c r="Q7457" t="s">
        <v>34467</v>
      </c>
      <c r="R7457">
        <v>21</v>
      </c>
      <c r="S7457">
        <v>32</v>
      </c>
    </row>
    <row r="7458" spans="1:19" x14ac:dyDescent="0.35">
      <c r="A7458">
        <v>3402</v>
      </c>
      <c r="B7458" t="s">
        <v>29877</v>
      </c>
      <c r="C7458" t="s">
        <v>42</v>
      </c>
      <c r="D7458" t="s">
        <v>29878</v>
      </c>
      <c r="E7458" t="e" cm="1">
        <f t="array" ref="E7458">- MAGNESIUM HYDROXIDE. SIMETHICONE. DRIED ALUMINIUM HYDROXIDE GEL</f>
        <v>#NAME?</v>
      </c>
      <c r="F7458" t="s">
        <v>29879</v>
      </c>
      <c r="G7458" t="s">
        <v>29880</v>
      </c>
      <c r="H7458" t="s">
        <v>29881</v>
      </c>
      <c r="I7458" t="s">
        <v>29882</v>
      </c>
      <c r="J7458" t="s">
        <v>381</v>
      </c>
      <c r="M7458" t="s">
        <v>46</v>
      </c>
      <c r="N7458" t="s">
        <v>10430</v>
      </c>
      <c r="O7458" t="s">
        <v>29883</v>
      </c>
      <c r="P7458" t="s">
        <v>29884</v>
      </c>
      <c r="Q7458" t="s">
        <v>34468</v>
      </c>
      <c r="R7458">
        <v>21</v>
      </c>
      <c r="S7458">
        <v>32</v>
      </c>
    </row>
    <row r="7459" spans="1:19" x14ac:dyDescent="0.35">
      <c r="A7459">
        <v>6123</v>
      </c>
      <c r="B7459" t="s">
        <v>34134</v>
      </c>
      <c r="C7459" t="s">
        <v>42</v>
      </c>
      <c r="D7459" t="s">
        <v>34135</v>
      </c>
      <c r="E7459" t="e" cm="1">
        <f t="array" ref="E7459">- AMOXICILLIN TRIHYDRATE</f>
        <v>#NAME?</v>
      </c>
      <c r="F7459" t="s">
        <v>34136</v>
      </c>
      <c r="G7459" t="s">
        <v>2241</v>
      </c>
      <c r="H7459" t="s">
        <v>33147</v>
      </c>
      <c r="I7459" t="s">
        <v>34137</v>
      </c>
      <c r="J7459" t="s">
        <v>381</v>
      </c>
      <c r="K7459" t="s">
        <v>32189</v>
      </c>
      <c r="L7459" t="s">
        <v>33149</v>
      </c>
      <c r="M7459" t="s">
        <v>291</v>
      </c>
      <c r="N7459" t="s">
        <v>1523</v>
      </c>
      <c r="O7459" t="s">
        <v>33150</v>
      </c>
      <c r="P7459" t="s">
        <v>32191</v>
      </c>
      <c r="Q7459" t="s">
        <v>34138</v>
      </c>
      <c r="R7459">
        <v>21</v>
      </c>
      <c r="S7459">
        <v>32</v>
      </c>
    </row>
    <row r="7460" spans="1:19" x14ac:dyDescent="0.35">
      <c r="A7460">
        <v>3246</v>
      </c>
      <c r="B7460" t="s">
        <v>34469</v>
      </c>
      <c r="C7460" t="s">
        <v>42</v>
      </c>
      <c r="D7460" t="s">
        <v>34470</v>
      </c>
      <c r="E7460" t="e" cm="1">
        <f t="array" ref="E7460">- FAMOTIDINE</f>
        <v>#NAME?</v>
      </c>
      <c r="F7460" t="s">
        <v>34471</v>
      </c>
      <c r="G7460" t="s">
        <v>28724</v>
      </c>
      <c r="H7460" t="s">
        <v>34472</v>
      </c>
      <c r="I7460" t="s">
        <v>34473</v>
      </c>
      <c r="J7460" t="s">
        <v>12241</v>
      </c>
      <c r="L7460" t="s">
        <v>34474</v>
      </c>
    </row>
    <row r="7461" spans="1:19" x14ac:dyDescent="0.35">
      <c r="A7461">
        <v>5441</v>
      </c>
      <c r="B7461" t="s">
        <v>34461</v>
      </c>
      <c r="C7461" t="s">
        <v>42</v>
      </c>
      <c r="D7461" t="s">
        <v>34462</v>
      </c>
      <c r="E7461" t="e" cm="1">
        <f t="array" ref="E7461">- GENTAMICIN SULFATE</f>
        <v>#NAME?</v>
      </c>
      <c r="F7461" t="s">
        <v>34463</v>
      </c>
      <c r="G7461" t="s">
        <v>19294</v>
      </c>
      <c r="H7461" t="s">
        <v>34464</v>
      </c>
      <c r="I7461" t="s">
        <v>32196</v>
      </c>
      <c r="J7461" t="s">
        <v>34465</v>
      </c>
      <c r="K7461" t="s">
        <v>27744</v>
      </c>
      <c r="L7461" t="s">
        <v>34337</v>
      </c>
      <c r="M7461" t="s">
        <v>1289</v>
      </c>
      <c r="N7461" t="s">
        <v>6119</v>
      </c>
      <c r="O7461" t="s">
        <v>32198</v>
      </c>
      <c r="P7461" t="s">
        <v>34466</v>
      </c>
      <c r="Q7461" t="s">
        <v>34467</v>
      </c>
      <c r="R7461">
        <v>21</v>
      </c>
      <c r="S7461">
        <v>32</v>
      </c>
    </row>
    <row r="7462" spans="1:19" x14ac:dyDescent="0.35">
      <c r="A7462">
        <v>3401</v>
      </c>
      <c r="B7462" t="s">
        <v>29877</v>
      </c>
      <c r="C7462" t="s">
        <v>42</v>
      </c>
      <c r="D7462" t="s">
        <v>29878</v>
      </c>
      <c r="E7462" t="e" cm="1">
        <f t="array" ref="E7462">- MAGNESIUM HYDROXIDE. SIMETHICONE. DRIED ALUMINIUM HYDROXIDE GEL</f>
        <v>#NAME?</v>
      </c>
      <c r="F7462" t="s">
        <v>29879</v>
      </c>
      <c r="G7462" t="s">
        <v>29880</v>
      </c>
      <c r="H7462" t="s">
        <v>29881</v>
      </c>
      <c r="I7462" t="s">
        <v>29882</v>
      </c>
      <c r="J7462" t="s">
        <v>381</v>
      </c>
      <c r="M7462" t="s">
        <v>46</v>
      </c>
      <c r="N7462" t="s">
        <v>10430</v>
      </c>
      <c r="O7462" t="s">
        <v>29883</v>
      </c>
      <c r="P7462" t="s">
        <v>29884</v>
      </c>
      <c r="Q7462" t="s">
        <v>34468</v>
      </c>
      <c r="R7462">
        <v>21</v>
      </c>
      <c r="S7462">
        <v>32</v>
      </c>
    </row>
    <row r="7463" spans="1:19" x14ac:dyDescent="0.35">
      <c r="A7463">
        <v>1490</v>
      </c>
      <c r="B7463" t="s">
        <v>31706</v>
      </c>
      <c r="C7463" t="s">
        <v>42</v>
      </c>
      <c r="D7463" t="s">
        <v>31707</v>
      </c>
      <c r="E7463" t="e" cm="1">
        <f t="array" ref="E7463">- TERBUTALINE SULFATE. GUAIFENESIN</f>
        <v>#NAME?</v>
      </c>
      <c r="F7463" t="s">
        <v>31708</v>
      </c>
      <c r="H7463" t="s">
        <v>31709</v>
      </c>
      <c r="I7463" t="s">
        <v>31710</v>
      </c>
      <c r="J7463" t="s">
        <v>334</v>
      </c>
      <c r="K7463" t="s">
        <v>31711</v>
      </c>
      <c r="L7463" t="s">
        <v>2278</v>
      </c>
      <c r="M7463" t="s">
        <v>271</v>
      </c>
      <c r="N7463" t="s">
        <v>4556</v>
      </c>
      <c r="O7463" t="s">
        <v>31712</v>
      </c>
      <c r="P7463" t="s">
        <v>31713</v>
      </c>
      <c r="Q7463" t="s">
        <v>34475</v>
      </c>
      <c r="R7463">
        <v>21</v>
      </c>
      <c r="S7463">
        <v>32</v>
      </c>
    </row>
    <row r="7464" spans="1:19" x14ac:dyDescent="0.35">
      <c r="A7464">
        <v>6262</v>
      </c>
      <c r="B7464" t="s">
        <v>34476</v>
      </c>
      <c r="C7464" t="s">
        <v>42</v>
      </c>
      <c r="D7464" t="s">
        <v>34477</v>
      </c>
      <c r="E7464" t="e" cm="1">
        <f t="array" ref="E7464">- AMOXICILLIN TRIHYDRATE</f>
        <v>#NAME?</v>
      </c>
      <c r="F7464" t="s">
        <v>34478</v>
      </c>
      <c r="G7464" t="s">
        <v>2241</v>
      </c>
      <c r="H7464" t="s">
        <v>33147</v>
      </c>
      <c r="I7464" t="s">
        <v>33148</v>
      </c>
      <c r="J7464" t="s">
        <v>28177</v>
      </c>
      <c r="K7464" t="s">
        <v>34479</v>
      </c>
      <c r="L7464" t="s">
        <v>33149</v>
      </c>
      <c r="M7464" t="s">
        <v>291</v>
      </c>
      <c r="N7464" t="s">
        <v>1523</v>
      </c>
      <c r="O7464" t="s">
        <v>33150</v>
      </c>
      <c r="P7464" t="s">
        <v>34480</v>
      </c>
      <c r="Q7464" t="s">
        <v>34481</v>
      </c>
      <c r="R7464">
        <v>21</v>
      </c>
      <c r="S7464">
        <v>32</v>
      </c>
    </row>
    <row r="7465" spans="1:19" x14ac:dyDescent="0.35">
      <c r="A7465">
        <v>1386</v>
      </c>
      <c r="B7465" t="s">
        <v>28322</v>
      </c>
      <c r="C7465" t="s">
        <v>42</v>
      </c>
      <c r="D7465" t="s">
        <v>28323</v>
      </c>
      <c r="E7465" t="e" cm="1">
        <f t="array" ref="E7465">- PROMETHAZINE HYDROCHLORIDE. PSEUDOEPHEDRINE HYDROCHLORIDE. AMMONIUM CHLORIDE</f>
        <v>#NAME?</v>
      </c>
      <c r="F7465" t="s">
        <v>28324</v>
      </c>
      <c r="I7465" t="s">
        <v>28325</v>
      </c>
      <c r="J7465" t="s">
        <v>374</v>
      </c>
      <c r="M7465" t="s">
        <v>271</v>
      </c>
      <c r="N7465" t="s">
        <v>34482</v>
      </c>
      <c r="O7465" t="s">
        <v>28326</v>
      </c>
      <c r="P7465" t="s">
        <v>28327</v>
      </c>
      <c r="Q7465" t="s">
        <v>34483</v>
      </c>
      <c r="R7465">
        <v>21</v>
      </c>
      <c r="S7465">
        <v>32</v>
      </c>
    </row>
    <row r="7466" spans="1:19" x14ac:dyDescent="0.35">
      <c r="A7466">
        <v>5438</v>
      </c>
      <c r="B7466" t="s">
        <v>34484</v>
      </c>
      <c r="C7466" t="s">
        <v>42</v>
      </c>
      <c r="D7466" t="s">
        <v>34485</v>
      </c>
      <c r="E7466" t="e" cm="1">
        <f t="array" ref="E7466">- FLUOCINOLONE ACETONIDE</f>
        <v>#NAME?</v>
      </c>
      <c r="F7466" t="s">
        <v>34486</v>
      </c>
      <c r="G7466" t="s">
        <v>18098</v>
      </c>
      <c r="H7466" t="s">
        <v>11913</v>
      </c>
      <c r="I7466" t="s">
        <v>34487</v>
      </c>
      <c r="J7466" t="s">
        <v>27879</v>
      </c>
      <c r="K7466" t="s">
        <v>34488</v>
      </c>
      <c r="L7466" t="s">
        <v>34489</v>
      </c>
      <c r="M7466" t="s">
        <v>1289</v>
      </c>
      <c r="N7466" t="s">
        <v>2766</v>
      </c>
      <c r="O7466" t="s">
        <v>34490</v>
      </c>
      <c r="P7466" t="s">
        <v>34491</v>
      </c>
      <c r="Q7466" t="s">
        <v>34492</v>
      </c>
      <c r="R7466">
        <v>21</v>
      </c>
      <c r="S7466">
        <v>32</v>
      </c>
    </row>
    <row r="7467" spans="1:19" x14ac:dyDescent="0.35">
      <c r="A7467">
        <v>5660</v>
      </c>
      <c r="B7467" t="s">
        <v>33320</v>
      </c>
      <c r="C7467" t="s">
        <v>42</v>
      </c>
      <c r="D7467" t="s">
        <v>33321</v>
      </c>
      <c r="E7467" t="e" cm="1">
        <f t="array" ref="E7467">- FOSFOMYCIN TROMETAMOL</f>
        <v>#NAME?</v>
      </c>
      <c r="F7467" t="s">
        <v>33322</v>
      </c>
      <c r="G7467" t="s">
        <v>33323</v>
      </c>
      <c r="H7467" t="s">
        <v>33324</v>
      </c>
      <c r="I7467" t="s">
        <v>33325</v>
      </c>
      <c r="J7467" t="s">
        <v>33326</v>
      </c>
      <c r="K7467" t="s">
        <v>33327</v>
      </c>
      <c r="L7467" t="s">
        <v>33328</v>
      </c>
      <c r="M7467" t="s">
        <v>17667</v>
      </c>
      <c r="N7467" t="s">
        <v>34493</v>
      </c>
      <c r="O7467" t="s">
        <v>33330</v>
      </c>
      <c r="P7467" t="s">
        <v>33331</v>
      </c>
      <c r="Q7467" t="s">
        <v>34494</v>
      </c>
      <c r="R7467">
        <v>21</v>
      </c>
      <c r="S7467">
        <v>32</v>
      </c>
    </row>
    <row r="7468" spans="1:19" x14ac:dyDescent="0.35">
      <c r="A7468">
        <v>3299</v>
      </c>
      <c r="B7468" t="s">
        <v>3546</v>
      </c>
      <c r="C7468" t="s">
        <v>42</v>
      </c>
      <c r="D7468" t="s">
        <v>26815</v>
      </c>
      <c r="E7468" t="e" cm="1">
        <f t="array" ref="E7468">- MAGNESIUM HYDROXIDE. DRIED ALUMINIUM HYDROXIDE GEL. SIMETHICONE</f>
        <v>#NAME?</v>
      </c>
      <c r="F7468" t="s">
        <v>26816</v>
      </c>
      <c r="G7468" t="s">
        <v>26817</v>
      </c>
      <c r="H7468" t="s">
        <v>3549</v>
      </c>
      <c r="I7468" t="s">
        <v>26818</v>
      </c>
      <c r="J7468" t="s">
        <v>26819</v>
      </c>
      <c r="K7468" t="s">
        <v>26820</v>
      </c>
      <c r="L7468" t="s">
        <v>24517</v>
      </c>
      <c r="M7468" t="s">
        <v>340</v>
      </c>
      <c r="N7468" t="s">
        <v>10805</v>
      </c>
      <c r="O7468" t="s">
        <v>26821</v>
      </c>
      <c r="P7468" t="s">
        <v>3551</v>
      </c>
      <c r="Q7468" t="s">
        <v>34495</v>
      </c>
      <c r="R7468">
        <v>21</v>
      </c>
      <c r="S7468">
        <v>32</v>
      </c>
    </row>
    <row r="7469" spans="1:19" x14ac:dyDescent="0.35">
      <c r="A7469">
        <v>2553</v>
      </c>
      <c r="B7469" t="s">
        <v>34456</v>
      </c>
      <c r="C7469" t="s">
        <v>42</v>
      </c>
      <c r="D7469" t="s">
        <v>34457</v>
      </c>
      <c r="E7469" t="e" cm="1">
        <f t="array" ref="E7469">- MEFENAMIC ACID</f>
        <v>#NAME?</v>
      </c>
      <c r="F7469" s="1">
        <v>4600</v>
      </c>
      <c r="G7469" t="s">
        <v>34439</v>
      </c>
      <c r="H7469" t="s">
        <v>34440</v>
      </c>
      <c r="I7469" t="s">
        <v>34272</v>
      </c>
      <c r="J7469" t="s">
        <v>727</v>
      </c>
      <c r="K7469" t="s">
        <v>34458</v>
      </c>
      <c r="L7469" t="s">
        <v>34129</v>
      </c>
      <c r="M7469" t="s">
        <v>291</v>
      </c>
      <c r="N7469" t="s">
        <v>2235</v>
      </c>
      <c r="O7469" t="s">
        <v>34090</v>
      </c>
      <c r="P7469" t="s">
        <v>34459</v>
      </c>
      <c r="Q7469" t="s">
        <v>34460</v>
      </c>
      <c r="R7469">
        <v>21</v>
      </c>
      <c r="S7469">
        <v>32</v>
      </c>
    </row>
    <row r="7470" spans="1:19" x14ac:dyDescent="0.35">
      <c r="A7470">
        <v>6114</v>
      </c>
      <c r="B7470" t="s">
        <v>34496</v>
      </c>
      <c r="C7470" t="s">
        <v>42</v>
      </c>
      <c r="D7470" t="s">
        <v>34497</v>
      </c>
      <c r="E7470" t="e" cm="1">
        <f t="array" ref="E7470">- AMOXICILLIN TRIHYDRATE</f>
        <v>#NAME?</v>
      </c>
      <c r="F7470" t="s">
        <v>34498</v>
      </c>
      <c r="G7470" t="s">
        <v>2241</v>
      </c>
      <c r="H7470" t="s">
        <v>33147</v>
      </c>
      <c r="I7470" t="s">
        <v>33148</v>
      </c>
      <c r="J7470" t="s">
        <v>34499</v>
      </c>
      <c r="K7470" t="s">
        <v>14288</v>
      </c>
      <c r="L7470" t="s">
        <v>33149</v>
      </c>
      <c r="M7470" t="s">
        <v>38</v>
      </c>
      <c r="N7470" t="s">
        <v>1523</v>
      </c>
      <c r="O7470" t="s">
        <v>33150</v>
      </c>
      <c r="P7470" t="s">
        <v>18897</v>
      </c>
      <c r="Q7470" t="s">
        <v>34500</v>
      </c>
      <c r="R7470">
        <v>21</v>
      </c>
      <c r="S7470">
        <v>32</v>
      </c>
    </row>
    <row r="7471" spans="1:19" x14ac:dyDescent="0.35">
      <c r="A7471">
        <v>704</v>
      </c>
      <c r="B7471" t="s">
        <v>33583</v>
      </c>
      <c r="C7471" t="s">
        <v>20</v>
      </c>
      <c r="D7471" t="s">
        <v>34501</v>
      </c>
      <c r="E7471" t="s">
        <v>33585</v>
      </c>
      <c r="F7471" t="s">
        <v>34502</v>
      </c>
      <c r="G7471" t="s">
        <v>25779</v>
      </c>
      <c r="H7471" t="s">
        <v>16968</v>
      </c>
      <c r="I7471" t="s">
        <v>33587</v>
      </c>
      <c r="J7471" t="s">
        <v>34503</v>
      </c>
      <c r="L7471" t="s">
        <v>34504</v>
      </c>
      <c r="M7471" t="s">
        <v>2115</v>
      </c>
      <c r="N7471" t="s">
        <v>33588</v>
      </c>
      <c r="O7471" t="s">
        <v>33589</v>
      </c>
      <c r="P7471" t="s">
        <v>33590</v>
      </c>
      <c r="Q7471" t="s">
        <v>33591</v>
      </c>
      <c r="R7471">
        <v>21</v>
      </c>
      <c r="S7471">
        <v>32</v>
      </c>
    </row>
    <row r="7472" spans="1:19" x14ac:dyDescent="0.35">
      <c r="A7472">
        <v>2129</v>
      </c>
      <c r="B7472" t="s">
        <v>34505</v>
      </c>
      <c r="C7472" t="s">
        <v>42</v>
      </c>
      <c r="D7472" t="s">
        <v>34506</v>
      </c>
      <c r="E7472" t="e" cm="1">
        <f t="array" ref="E7472">- MEFENAMIC ACID</f>
        <v>#NAME?</v>
      </c>
      <c r="F7472" t="s">
        <v>34507</v>
      </c>
      <c r="G7472" t="s">
        <v>4482</v>
      </c>
      <c r="H7472" t="s">
        <v>33469</v>
      </c>
      <c r="I7472" t="s">
        <v>33470</v>
      </c>
      <c r="J7472" t="s">
        <v>810</v>
      </c>
      <c r="K7472" t="s">
        <v>33471</v>
      </c>
      <c r="L7472" t="s">
        <v>33472</v>
      </c>
      <c r="M7472" t="s">
        <v>38</v>
      </c>
      <c r="N7472" t="s">
        <v>2235</v>
      </c>
      <c r="O7472" t="s">
        <v>33473</v>
      </c>
      <c r="P7472" t="s">
        <v>33897</v>
      </c>
      <c r="Q7472" t="s">
        <v>34508</v>
      </c>
      <c r="R7472">
        <v>21</v>
      </c>
      <c r="S7472">
        <v>32</v>
      </c>
    </row>
    <row r="7473" spans="1:19" x14ac:dyDescent="0.35">
      <c r="A7473">
        <v>1380</v>
      </c>
      <c r="B7473" t="s">
        <v>2074</v>
      </c>
      <c r="C7473" t="s">
        <v>42</v>
      </c>
      <c r="D7473" t="s">
        <v>33504</v>
      </c>
      <c r="E7473" t="e" cm="1">
        <f t="array" ref="E7473">- GUAIFENESIN</f>
        <v>#NAME?</v>
      </c>
      <c r="F7473" s="1">
        <v>143800</v>
      </c>
      <c r="G7473" t="s">
        <v>33505</v>
      </c>
      <c r="H7473" t="s">
        <v>33506</v>
      </c>
      <c r="I7473" t="s">
        <v>33507</v>
      </c>
      <c r="J7473" t="s">
        <v>33508</v>
      </c>
      <c r="M7473" t="s">
        <v>46</v>
      </c>
      <c r="N7473" t="s">
        <v>361</v>
      </c>
      <c r="O7473" t="s">
        <v>33509</v>
      </c>
      <c r="P7473" t="s">
        <v>33510</v>
      </c>
      <c r="Q7473" t="s">
        <v>34509</v>
      </c>
      <c r="R7473">
        <v>21</v>
      </c>
      <c r="S7473">
        <v>32</v>
      </c>
    </row>
    <row r="7474" spans="1:19" x14ac:dyDescent="0.35">
      <c r="A7474">
        <v>3298</v>
      </c>
      <c r="B7474" t="s">
        <v>3546</v>
      </c>
      <c r="C7474" t="s">
        <v>42</v>
      </c>
      <c r="D7474" t="s">
        <v>26815</v>
      </c>
      <c r="E7474" t="e" cm="1">
        <f t="array" ref="E7474">- MAGNESIUM HYDROXIDE. DRIED ALUMINIUM HYDROXIDE GEL. SIMETHICONE</f>
        <v>#NAME?</v>
      </c>
      <c r="F7474" t="s">
        <v>26816</v>
      </c>
      <c r="G7474" t="s">
        <v>26817</v>
      </c>
      <c r="H7474" t="s">
        <v>3549</v>
      </c>
      <c r="I7474" t="s">
        <v>26818</v>
      </c>
      <c r="J7474" t="s">
        <v>26819</v>
      </c>
      <c r="K7474" t="s">
        <v>26820</v>
      </c>
      <c r="L7474" t="s">
        <v>24517</v>
      </c>
      <c r="M7474" t="s">
        <v>340</v>
      </c>
      <c r="N7474" t="s">
        <v>10805</v>
      </c>
      <c r="O7474" t="s">
        <v>26821</v>
      </c>
      <c r="P7474" t="s">
        <v>3551</v>
      </c>
      <c r="Q7474" t="s">
        <v>34495</v>
      </c>
      <c r="R7474">
        <v>21</v>
      </c>
      <c r="S7474">
        <v>32</v>
      </c>
    </row>
    <row r="7475" spans="1:19" x14ac:dyDescent="0.35">
      <c r="A7475">
        <v>1371</v>
      </c>
      <c r="B7475" t="s">
        <v>2074</v>
      </c>
      <c r="C7475" t="s">
        <v>42</v>
      </c>
      <c r="D7475" t="s">
        <v>33504</v>
      </c>
      <c r="E7475" t="e" cm="1">
        <f t="array" ref="E7475">- GUAIFENESIN</f>
        <v>#NAME?</v>
      </c>
      <c r="F7475" s="1">
        <v>143800</v>
      </c>
      <c r="G7475" t="s">
        <v>33505</v>
      </c>
      <c r="H7475" t="s">
        <v>33506</v>
      </c>
      <c r="I7475" t="s">
        <v>33507</v>
      </c>
      <c r="J7475" t="s">
        <v>33508</v>
      </c>
      <c r="M7475" t="s">
        <v>46</v>
      </c>
      <c r="N7475" t="s">
        <v>361</v>
      </c>
      <c r="O7475" t="s">
        <v>33509</v>
      </c>
      <c r="P7475" t="s">
        <v>33510</v>
      </c>
      <c r="Q7475" t="s">
        <v>34509</v>
      </c>
      <c r="R7475">
        <v>21</v>
      </c>
      <c r="S7475">
        <v>32</v>
      </c>
    </row>
    <row r="7476" spans="1:19" x14ac:dyDescent="0.35">
      <c r="A7476">
        <v>677</v>
      </c>
      <c r="B7476" t="s">
        <v>33549</v>
      </c>
      <c r="C7476" t="s">
        <v>20</v>
      </c>
      <c r="D7476" t="s">
        <v>34510</v>
      </c>
      <c r="E7476" t="s">
        <v>33551</v>
      </c>
      <c r="F7476" t="s">
        <v>34511</v>
      </c>
      <c r="G7476" t="s">
        <v>33553</v>
      </c>
      <c r="H7476" t="s">
        <v>17583</v>
      </c>
      <c r="I7476" t="s">
        <v>33554</v>
      </c>
      <c r="J7476" t="s">
        <v>23479</v>
      </c>
      <c r="M7476" t="s">
        <v>2115</v>
      </c>
      <c r="N7476" t="s">
        <v>33555</v>
      </c>
      <c r="O7476" t="s">
        <v>33556</v>
      </c>
      <c r="P7476" t="s">
        <v>33557</v>
      </c>
      <c r="Q7476" t="s">
        <v>33558</v>
      </c>
      <c r="R7476">
        <v>21</v>
      </c>
      <c r="S7476">
        <v>32</v>
      </c>
    </row>
    <row r="7477" spans="1:19" x14ac:dyDescent="0.35">
      <c r="A7477">
        <v>919</v>
      </c>
      <c r="B7477" t="s">
        <v>33438</v>
      </c>
      <c r="C7477" t="s">
        <v>42</v>
      </c>
      <c r="D7477" t="s">
        <v>33439</v>
      </c>
      <c r="E7477" t="e" cm="1">
        <f t="array" ref="E7477">- GUAIFENESIN</f>
        <v>#NAME?</v>
      </c>
      <c r="F7477" t="s">
        <v>16086</v>
      </c>
      <c r="G7477" t="s">
        <v>1691</v>
      </c>
      <c r="H7477" t="s">
        <v>33440</v>
      </c>
      <c r="I7477" t="s">
        <v>33441</v>
      </c>
      <c r="J7477" t="s">
        <v>21381</v>
      </c>
      <c r="K7477" t="s">
        <v>24475</v>
      </c>
      <c r="L7477" t="s">
        <v>33442</v>
      </c>
      <c r="M7477" t="s">
        <v>291</v>
      </c>
      <c r="N7477" t="s">
        <v>361</v>
      </c>
      <c r="O7477" t="s">
        <v>33443</v>
      </c>
      <c r="P7477" t="s">
        <v>25154</v>
      </c>
      <c r="Q7477" t="s">
        <v>33444</v>
      </c>
      <c r="R7477">
        <v>21</v>
      </c>
      <c r="S7477">
        <v>32</v>
      </c>
    </row>
    <row r="7478" spans="1:19" x14ac:dyDescent="0.35">
      <c r="A7478">
        <v>1474</v>
      </c>
      <c r="B7478" t="s">
        <v>34387</v>
      </c>
      <c r="C7478" t="s">
        <v>42</v>
      </c>
      <c r="D7478" t="s">
        <v>34388</v>
      </c>
      <c r="E7478" t="e" cm="1">
        <f t="array" ref="E7478">- AMBROXOL HYDROCHLORIDE</f>
        <v>#NAME?</v>
      </c>
      <c r="F7478" t="s">
        <v>34389</v>
      </c>
      <c r="G7478" t="s">
        <v>2241</v>
      </c>
      <c r="H7478" t="s">
        <v>34390</v>
      </c>
      <c r="I7478" t="s">
        <v>34391</v>
      </c>
      <c r="J7478" t="s">
        <v>34392</v>
      </c>
      <c r="K7478" t="s">
        <v>34393</v>
      </c>
      <c r="L7478" t="s">
        <v>8847</v>
      </c>
      <c r="M7478" t="s">
        <v>46</v>
      </c>
      <c r="N7478" t="s">
        <v>1800</v>
      </c>
      <c r="O7478" t="s">
        <v>34394</v>
      </c>
      <c r="P7478" t="s">
        <v>34395</v>
      </c>
      <c r="Q7478" t="s">
        <v>34396</v>
      </c>
      <c r="R7478">
        <v>21</v>
      </c>
      <c r="S7478">
        <v>32</v>
      </c>
    </row>
    <row r="7479" spans="1:19" x14ac:dyDescent="0.35">
      <c r="A7479">
        <v>5456</v>
      </c>
      <c r="B7479" t="s">
        <v>34512</v>
      </c>
      <c r="C7479" t="s">
        <v>42</v>
      </c>
      <c r="D7479" t="s">
        <v>34513</v>
      </c>
      <c r="E7479" t="e" cm="1">
        <f t="array" ref="E7479">- GENTAMICIN SULFATE</f>
        <v>#NAME?</v>
      </c>
      <c r="F7479" t="s">
        <v>34514</v>
      </c>
      <c r="G7479" t="s">
        <v>19294</v>
      </c>
      <c r="H7479" t="s">
        <v>2764</v>
      </c>
      <c r="I7479" t="s">
        <v>32196</v>
      </c>
      <c r="J7479" t="s">
        <v>9739</v>
      </c>
      <c r="K7479" t="s">
        <v>27744</v>
      </c>
      <c r="L7479" t="s">
        <v>34515</v>
      </c>
      <c r="M7479" t="s">
        <v>1289</v>
      </c>
      <c r="N7479" t="s">
        <v>6119</v>
      </c>
      <c r="O7479" t="s">
        <v>32198</v>
      </c>
      <c r="P7479" t="s">
        <v>34516</v>
      </c>
      <c r="Q7479" t="s">
        <v>34517</v>
      </c>
      <c r="R7479">
        <v>21</v>
      </c>
      <c r="S7479">
        <v>32</v>
      </c>
    </row>
    <row r="7480" spans="1:19" x14ac:dyDescent="0.35">
      <c r="A7480">
        <v>2589</v>
      </c>
      <c r="B7480" t="s">
        <v>34518</v>
      </c>
      <c r="C7480" t="s">
        <v>20</v>
      </c>
      <c r="D7480" t="s">
        <v>34519</v>
      </c>
      <c r="E7480" t="s">
        <v>34520</v>
      </c>
      <c r="F7480" t="s">
        <v>34521</v>
      </c>
      <c r="H7480" t="s">
        <v>34522</v>
      </c>
      <c r="I7480" t="s">
        <v>34523</v>
      </c>
      <c r="J7480" t="s">
        <v>75</v>
      </c>
      <c r="L7480" t="s">
        <v>34524</v>
      </c>
      <c r="M7480" t="s">
        <v>38</v>
      </c>
      <c r="N7480" t="s">
        <v>34525</v>
      </c>
      <c r="O7480" t="s">
        <v>34526</v>
      </c>
      <c r="P7480" t="s">
        <v>34527</v>
      </c>
      <c r="Q7480" t="s">
        <v>34528</v>
      </c>
      <c r="R7480">
        <v>21</v>
      </c>
      <c r="S7480">
        <v>32</v>
      </c>
    </row>
    <row r="7481" spans="1:19" x14ac:dyDescent="0.35">
      <c r="A7481">
        <v>9691</v>
      </c>
      <c r="B7481" t="s">
        <v>34529</v>
      </c>
      <c r="C7481" t="s">
        <v>42</v>
      </c>
      <c r="D7481" t="s">
        <v>34530</v>
      </c>
      <c r="E7481" t="e" cm="1">
        <f t="array" ref="E7481">- FENOFIBRATE</f>
        <v>#NAME?</v>
      </c>
      <c r="F7481" t="s">
        <v>34531</v>
      </c>
      <c r="G7481" t="s">
        <v>30790</v>
      </c>
      <c r="H7481" t="s">
        <v>34532</v>
      </c>
      <c r="I7481" t="s">
        <v>30792</v>
      </c>
      <c r="J7481" t="s">
        <v>2100</v>
      </c>
      <c r="K7481" t="s">
        <v>34533</v>
      </c>
      <c r="L7481" t="s">
        <v>34534</v>
      </c>
    </row>
    <row r="7482" spans="1:19" x14ac:dyDescent="0.35">
      <c r="A7482">
        <v>9690</v>
      </c>
      <c r="B7482" t="s">
        <v>34529</v>
      </c>
      <c r="C7482" t="s">
        <v>42</v>
      </c>
      <c r="D7482" t="s">
        <v>34530</v>
      </c>
      <c r="E7482" t="e" cm="1">
        <f t="array" ref="E7482">- FENOFIBRATE</f>
        <v>#NAME?</v>
      </c>
      <c r="F7482" t="s">
        <v>34531</v>
      </c>
      <c r="G7482" t="s">
        <v>30790</v>
      </c>
      <c r="H7482" t="s">
        <v>34532</v>
      </c>
      <c r="I7482" t="s">
        <v>30792</v>
      </c>
      <c r="J7482" t="s">
        <v>2100</v>
      </c>
      <c r="K7482" t="s">
        <v>34533</v>
      </c>
      <c r="L7482" t="s">
        <v>34534</v>
      </c>
    </row>
    <row r="7483" spans="1:19" x14ac:dyDescent="0.35">
      <c r="A7483">
        <v>987</v>
      </c>
      <c r="B7483" t="s">
        <v>34535</v>
      </c>
      <c r="C7483" t="s">
        <v>42</v>
      </c>
      <c r="D7483" t="s">
        <v>34536</v>
      </c>
      <c r="E7483" t="e" cm="1">
        <f t="array" ref="E7483">- ACETYLCYSTEINE</f>
        <v>#NAME?</v>
      </c>
      <c r="F7483" t="s">
        <v>34537</v>
      </c>
      <c r="G7483" t="s">
        <v>2241</v>
      </c>
      <c r="H7483" t="s">
        <v>34538</v>
      </c>
      <c r="I7483" t="s">
        <v>34539</v>
      </c>
      <c r="J7483" t="s">
        <v>14600</v>
      </c>
      <c r="L7483" t="s">
        <v>34540</v>
      </c>
      <c r="M7483" t="s">
        <v>38</v>
      </c>
      <c r="N7483" t="s">
        <v>9045</v>
      </c>
      <c r="O7483" t="s">
        <v>34541</v>
      </c>
      <c r="P7483" t="s">
        <v>34542</v>
      </c>
      <c r="Q7483" t="s">
        <v>34543</v>
      </c>
      <c r="R7483">
        <v>21</v>
      </c>
      <c r="S7483">
        <v>32</v>
      </c>
    </row>
    <row r="7484" spans="1:19" x14ac:dyDescent="0.35">
      <c r="A7484">
        <v>5455</v>
      </c>
      <c r="B7484" t="s">
        <v>34512</v>
      </c>
      <c r="C7484" t="s">
        <v>42</v>
      </c>
      <c r="D7484" t="s">
        <v>34513</v>
      </c>
      <c r="E7484" t="e" cm="1">
        <f t="array" ref="E7484">- GENTAMICIN SULFATE</f>
        <v>#NAME?</v>
      </c>
      <c r="F7484" t="s">
        <v>34514</v>
      </c>
      <c r="G7484" t="s">
        <v>19294</v>
      </c>
      <c r="H7484" t="s">
        <v>2764</v>
      </c>
      <c r="I7484" t="s">
        <v>32196</v>
      </c>
      <c r="J7484" t="s">
        <v>9739</v>
      </c>
      <c r="K7484" t="s">
        <v>27744</v>
      </c>
      <c r="L7484" t="s">
        <v>34515</v>
      </c>
      <c r="M7484" t="s">
        <v>1289</v>
      </c>
      <c r="N7484" t="s">
        <v>6119</v>
      </c>
      <c r="O7484" t="s">
        <v>32198</v>
      </c>
      <c r="P7484" t="s">
        <v>34516</v>
      </c>
      <c r="Q7484" t="s">
        <v>34517</v>
      </c>
      <c r="R7484">
        <v>21</v>
      </c>
      <c r="S7484">
        <v>32</v>
      </c>
    </row>
    <row r="7485" spans="1:19" x14ac:dyDescent="0.35">
      <c r="A7485">
        <v>2551</v>
      </c>
      <c r="B7485" t="s">
        <v>34456</v>
      </c>
      <c r="C7485" t="s">
        <v>42</v>
      </c>
      <c r="D7485" t="s">
        <v>34457</v>
      </c>
      <c r="E7485" t="e" cm="1">
        <f t="array" ref="E7485">- MEFENAMIC ACID</f>
        <v>#NAME?</v>
      </c>
      <c r="F7485" s="1">
        <v>4600</v>
      </c>
      <c r="G7485" t="s">
        <v>34439</v>
      </c>
      <c r="H7485" t="s">
        <v>34440</v>
      </c>
      <c r="I7485" t="s">
        <v>34272</v>
      </c>
      <c r="J7485" t="s">
        <v>727</v>
      </c>
      <c r="K7485" t="s">
        <v>34458</v>
      </c>
      <c r="L7485" t="s">
        <v>34129</v>
      </c>
      <c r="M7485" t="s">
        <v>291</v>
      </c>
      <c r="N7485" t="s">
        <v>2235</v>
      </c>
      <c r="O7485" t="s">
        <v>34090</v>
      </c>
      <c r="P7485" t="s">
        <v>34459</v>
      </c>
      <c r="Q7485" t="s">
        <v>34460</v>
      </c>
      <c r="R7485">
        <v>21</v>
      </c>
      <c r="S7485">
        <v>32</v>
      </c>
    </row>
    <row r="7486" spans="1:19" x14ac:dyDescent="0.35">
      <c r="A7486">
        <v>5452</v>
      </c>
      <c r="B7486" t="s">
        <v>34544</v>
      </c>
      <c r="C7486" t="s">
        <v>42</v>
      </c>
      <c r="D7486" t="s">
        <v>34545</v>
      </c>
      <c r="E7486" t="e" cm="1">
        <f t="array" ref="E7486">- GENTAMICIN SULFATE</f>
        <v>#NAME?</v>
      </c>
      <c r="F7486" t="s">
        <v>34546</v>
      </c>
      <c r="G7486" t="s">
        <v>19294</v>
      </c>
      <c r="H7486" t="s">
        <v>21717</v>
      </c>
      <c r="I7486" t="s">
        <v>32196</v>
      </c>
      <c r="J7486" t="s">
        <v>1367</v>
      </c>
      <c r="K7486" t="s">
        <v>27744</v>
      </c>
      <c r="L7486" t="s">
        <v>34547</v>
      </c>
      <c r="M7486" t="s">
        <v>1289</v>
      </c>
      <c r="N7486" t="s">
        <v>6119</v>
      </c>
      <c r="O7486" t="s">
        <v>32198</v>
      </c>
      <c r="P7486" t="s">
        <v>34548</v>
      </c>
      <c r="Q7486" t="s">
        <v>34549</v>
      </c>
      <c r="R7486">
        <v>21</v>
      </c>
      <c r="S7486">
        <v>32</v>
      </c>
    </row>
    <row r="7487" spans="1:19" x14ac:dyDescent="0.35">
      <c r="A7487">
        <v>5634</v>
      </c>
      <c r="B7487" t="s">
        <v>34550</v>
      </c>
      <c r="C7487" t="s">
        <v>42</v>
      </c>
      <c r="D7487" t="s">
        <v>34551</v>
      </c>
      <c r="E7487" t="e" cm="1">
        <f t="array" ref="E7487">- SULFAMETHOXAZOLE</f>
        <v>#NAME?</v>
      </c>
      <c r="F7487" t="s">
        <v>34552</v>
      </c>
      <c r="G7487" t="s">
        <v>4045</v>
      </c>
      <c r="H7487" t="s">
        <v>34380</v>
      </c>
      <c r="I7487" t="s">
        <v>34381</v>
      </c>
      <c r="J7487" t="s">
        <v>2634</v>
      </c>
      <c r="K7487" t="s">
        <v>13519</v>
      </c>
      <c r="L7487" t="s">
        <v>34553</v>
      </c>
      <c r="M7487" t="s">
        <v>291</v>
      </c>
      <c r="N7487" t="s">
        <v>478</v>
      </c>
      <c r="O7487" t="s">
        <v>34383</v>
      </c>
      <c r="P7487" t="s">
        <v>34554</v>
      </c>
      <c r="Q7487" t="s">
        <v>34555</v>
      </c>
      <c r="R7487">
        <v>21</v>
      </c>
      <c r="S7487">
        <v>32</v>
      </c>
    </row>
    <row r="7488" spans="1:19" x14ac:dyDescent="0.35">
      <c r="A7488">
        <v>3239</v>
      </c>
      <c r="B7488" t="s">
        <v>34556</v>
      </c>
      <c r="C7488" t="s">
        <v>42</v>
      </c>
      <c r="D7488" t="s">
        <v>34557</v>
      </c>
      <c r="E7488" t="e" cm="1">
        <f t="array" ref="E7488">- ALUMINIUM HYDROXIDE</f>
        <v>#NAME?</v>
      </c>
      <c r="F7488" t="s">
        <v>34558</v>
      </c>
      <c r="G7488" t="s">
        <v>737</v>
      </c>
      <c r="H7488" t="s">
        <v>34559</v>
      </c>
      <c r="I7488" t="s">
        <v>34560</v>
      </c>
      <c r="J7488" t="s">
        <v>21307</v>
      </c>
      <c r="L7488" t="s">
        <v>34561</v>
      </c>
      <c r="M7488" t="s">
        <v>340</v>
      </c>
      <c r="N7488" t="s">
        <v>1771</v>
      </c>
      <c r="O7488" t="s">
        <v>34562</v>
      </c>
      <c r="P7488" t="s">
        <v>34563</v>
      </c>
      <c r="Q7488" t="s">
        <v>34564</v>
      </c>
      <c r="R7488">
        <v>21</v>
      </c>
      <c r="S7488">
        <v>32</v>
      </c>
    </row>
    <row r="7489" spans="1:19" x14ac:dyDescent="0.35">
      <c r="A7489">
        <v>6261</v>
      </c>
      <c r="B7489" t="s">
        <v>34476</v>
      </c>
      <c r="C7489" t="s">
        <v>42</v>
      </c>
      <c r="D7489" t="s">
        <v>34477</v>
      </c>
      <c r="E7489" t="e" cm="1">
        <f t="array" ref="E7489">- AMOXICILLIN TRIHYDRATE</f>
        <v>#NAME?</v>
      </c>
      <c r="F7489" t="s">
        <v>34478</v>
      </c>
      <c r="G7489" t="s">
        <v>2241</v>
      </c>
      <c r="H7489" t="s">
        <v>33147</v>
      </c>
      <c r="I7489" t="s">
        <v>33148</v>
      </c>
      <c r="J7489" t="s">
        <v>28177</v>
      </c>
      <c r="K7489" t="s">
        <v>34479</v>
      </c>
      <c r="L7489" t="s">
        <v>33149</v>
      </c>
      <c r="M7489" t="s">
        <v>291</v>
      </c>
      <c r="N7489" t="s">
        <v>1523</v>
      </c>
      <c r="O7489" t="s">
        <v>33150</v>
      </c>
      <c r="P7489" t="s">
        <v>34480</v>
      </c>
      <c r="Q7489" t="s">
        <v>34481</v>
      </c>
      <c r="R7489">
        <v>21</v>
      </c>
      <c r="S7489">
        <v>32</v>
      </c>
    </row>
    <row r="7490" spans="1:19" x14ac:dyDescent="0.35">
      <c r="A7490">
        <v>2179</v>
      </c>
      <c r="B7490" t="s">
        <v>34412</v>
      </c>
      <c r="C7490" t="s">
        <v>42</v>
      </c>
      <c r="D7490" t="s">
        <v>34413</v>
      </c>
      <c r="E7490" t="e" cm="1">
        <f t="array" ref="E7490">- DICLOFENAC POTASSIUM</f>
        <v>#NAME?</v>
      </c>
      <c r="F7490" t="s">
        <v>34414</v>
      </c>
      <c r="G7490" t="s">
        <v>2241</v>
      </c>
      <c r="H7490" t="s">
        <v>2596</v>
      </c>
      <c r="I7490" t="s">
        <v>33099</v>
      </c>
      <c r="J7490" t="s">
        <v>34415</v>
      </c>
      <c r="K7490" t="s">
        <v>33100</v>
      </c>
      <c r="L7490" t="s">
        <v>33101</v>
      </c>
      <c r="M7490" t="s">
        <v>271</v>
      </c>
      <c r="N7490" t="s">
        <v>2637</v>
      </c>
      <c r="O7490" t="s">
        <v>33102</v>
      </c>
      <c r="P7490" t="s">
        <v>34416</v>
      </c>
      <c r="Q7490" t="s">
        <v>34417</v>
      </c>
      <c r="R7490">
        <v>21</v>
      </c>
      <c r="S7490">
        <v>32</v>
      </c>
    </row>
    <row r="7491" spans="1:19" x14ac:dyDescent="0.35">
      <c r="A7491">
        <v>5451</v>
      </c>
      <c r="B7491" t="s">
        <v>34544</v>
      </c>
      <c r="C7491" t="s">
        <v>42</v>
      </c>
      <c r="D7491" t="s">
        <v>34545</v>
      </c>
      <c r="E7491" t="e" cm="1">
        <f t="array" ref="E7491">- GENTAMICIN SULFATE</f>
        <v>#NAME?</v>
      </c>
      <c r="F7491" t="s">
        <v>34546</v>
      </c>
      <c r="G7491" t="s">
        <v>19294</v>
      </c>
      <c r="H7491" t="s">
        <v>21717</v>
      </c>
      <c r="I7491" t="s">
        <v>32196</v>
      </c>
      <c r="J7491" t="s">
        <v>1367</v>
      </c>
      <c r="K7491" t="s">
        <v>27744</v>
      </c>
      <c r="L7491" t="s">
        <v>34547</v>
      </c>
      <c r="M7491" t="s">
        <v>1289</v>
      </c>
      <c r="N7491" t="s">
        <v>6119</v>
      </c>
      <c r="O7491" t="s">
        <v>32198</v>
      </c>
      <c r="P7491" t="s">
        <v>34548</v>
      </c>
      <c r="Q7491" t="s">
        <v>34549</v>
      </c>
      <c r="R7491">
        <v>21</v>
      </c>
      <c r="S7491">
        <v>32</v>
      </c>
    </row>
    <row r="7492" spans="1:19" x14ac:dyDescent="0.35">
      <c r="A7492">
        <v>2745</v>
      </c>
      <c r="B7492" t="s">
        <v>34565</v>
      </c>
      <c r="C7492" t="s">
        <v>42</v>
      </c>
      <c r="D7492" t="s">
        <v>34566</v>
      </c>
      <c r="E7492" t="e" cm="1">
        <f t="array" ref="E7492">- MEFENAMIC ACID</f>
        <v>#NAME?</v>
      </c>
      <c r="F7492" s="1">
        <v>28000</v>
      </c>
      <c r="G7492" t="s">
        <v>2241</v>
      </c>
      <c r="H7492" t="s">
        <v>32362</v>
      </c>
      <c r="I7492" t="s">
        <v>34162</v>
      </c>
      <c r="J7492" t="s">
        <v>727</v>
      </c>
      <c r="L7492" t="s">
        <v>1308</v>
      </c>
      <c r="M7492" t="s">
        <v>291</v>
      </c>
      <c r="N7492" t="s">
        <v>2235</v>
      </c>
      <c r="O7492" t="s">
        <v>34015</v>
      </c>
      <c r="P7492" t="s">
        <v>34567</v>
      </c>
      <c r="Q7492" t="s">
        <v>34568</v>
      </c>
      <c r="R7492">
        <v>21</v>
      </c>
      <c r="S7492">
        <v>32</v>
      </c>
    </row>
    <row r="7493" spans="1:19" x14ac:dyDescent="0.35">
      <c r="A7493">
        <v>2548</v>
      </c>
      <c r="B7493" t="s">
        <v>34569</v>
      </c>
      <c r="C7493" t="s">
        <v>42</v>
      </c>
      <c r="D7493" t="s">
        <v>34570</v>
      </c>
      <c r="E7493" t="e" cm="1">
        <f t="array" ref="E7493">- MEFENAMIC ACID</f>
        <v>#NAME?</v>
      </c>
      <c r="F7493" t="s">
        <v>34571</v>
      </c>
      <c r="G7493" t="s">
        <v>34084</v>
      </c>
      <c r="H7493" t="s">
        <v>34085</v>
      </c>
      <c r="I7493" t="s">
        <v>34272</v>
      </c>
      <c r="J7493" t="s">
        <v>381</v>
      </c>
      <c r="K7493" t="s">
        <v>34572</v>
      </c>
      <c r="L7493" t="s">
        <v>34129</v>
      </c>
      <c r="M7493" t="s">
        <v>291</v>
      </c>
      <c r="N7493" t="s">
        <v>2235</v>
      </c>
      <c r="O7493" t="s">
        <v>34090</v>
      </c>
      <c r="P7493" t="s">
        <v>34573</v>
      </c>
      <c r="Q7493" t="s">
        <v>34574</v>
      </c>
      <c r="R7493">
        <v>21</v>
      </c>
      <c r="S7493">
        <v>32</v>
      </c>
    </row>
    <row r="7494" spans="1:19" x14ac:dyDescent="0.35">
      <c r="A7494">
        <v>3237</v>
      </c>
      <c r="B7494" t="s">
        <v>34575</v>
      </c>
      <c r="C7494" t="s">
        <v>42</v>
      </c>
      <c r="D7494" t="s">
        <v>34576</v>
      </c>
      <c r="E7494" t="e" cm="1">
        <f t="array" ref="E7494">- ALUMINIUM HYDROXIDE GEL</f>
        <v>#NAME?</v>
      </c>
      <c r="F7494" s="1">
        <v>5800</v>
      </c>
      <c r="G7494" t="s">
        <v>34577</v>
      </c>
      <c r="H7494" t="s">
        <v>34578</v>
      </c>
      <c r="I7494" t="s">
        <v>34560</v>
      </c>
      <c r="J7494" t="s">
        <v>5221</v>
      </c>
      <c r="K7494" t="s">
        <v>34579</v>
      </c>
      <c r="L7494" t="s">
        <v>34561</v>
      </c>
      <c r="M7494" t="s">
        <v>46</v>
      </c>
      <c r="N7494" t="s">
        <v>15939</v>
      </c>
      <c r="O7494" t="s">
        <v>34562</v>
      </c>
      <c r="P7494" t="s">
        <v>34580</v>
      </c>
      <c r="Q7494" t="s">
        <v>34581</v>
      </c>
      <c r="R7494">
        <v>21</v>
      </c>
      <c r="S7494">
        <v>32</v>
      </c>
    </row>
    <row r="7495" spans="1:19" x14ac:dyDescent="0.35">
      <c r="A7495">
        <v>3432</v>
      </c>
      <c r="B7495" t="s">
        <v>34582</v>
      </c>
      <c r="C7495" t="s">
        <v>42</v>
      </c>
      <c r="D7495" t="s">
        <v>34583</v>
      </c>
      <c r="E7495" t="e" cm="1">
        <f t="array" ref="E7495">- RANITIDINE</f>
        <v>#NAME?</v>
      </c>
      <c r="F7495" t="s">
        <v>34584</v>
      </c>
      <c r="G7495" t="s">
        <v>60</v>
      </c>
      <c r="H7495" t="s">
        <v>1984</v>
      </c>
      <c r="I7495" t="s">
        <v>34585</v>
      </c>
      <c r="J7495" t="s">
        <v>18149</v>
      </c>
      <c r="K7495" t="s">
        <v>34586</v>
      </c>
      <c r="L7495" t="s">
        <v>34587</v>
      </c>
      <c r="M7495" t="s">
        <v>46</v>
      </c>
      <c r="N7495" t="s">
        <v>34588</v>
      </c>
      <c r="O7495" t="s">
        <v>34589</v>
      </c>
      <c r="P7495" t="s">
        <v>34590</v>
      </c>
      <c r="Q7495" t="s">
        <v>34591</v>
      </c>
      <c r="R7495">
        <v>21</v>
      </c>
      <c r="S7495">
        <v>32</v>
      </c>
    </row>
    <row r="7496" spans="1:19" x14ac:dyDescent="0.35">
      <c r="A7496">
        <v>9692</v>
      </c>
      <c r="B7496" t="s">
        <v>34529</v>
      </c>
      <c r="C7496" t="s">
        <v>42</v>
      </c>
      <c r="D7496" t="s">
        <v>34530</v>
      </c>
      <c r="E7496" t="e" cm="1">
        <f t="array" ref="E7496">- FENOFIBRATE</f>
        <v>#NAME?</v>
      </c>
      <c r="F7496" t="s">
        <v>34531</v>
      </c>
      <c r="G7496" t="s">
        <v>30790</v>
      </c>
      <c r="H7496" t="s">
        <v>34532</v>
      </c>
      <c r="I7496" t="s">
        <v>30792</v>
      </c>
      <c r="J7496" t="s">
        <v>2100</v>
      </c>
      <c r="K7496" t="s">
        <v>34533</v>
      </c>
      <c r="L7496" t="s">
        <v>34534</v>
      </c>
    </row>
    <row r="7497" spans="1:19" x14ac:dyDescent="0.35">
      <c r="A7497">
        <v>9693</v>
      </c>
      <c r="B7497" t="s">
        <v>34592</v>
      </c>
      <c r="C7497" t="s">
        <v>42</v>
      </c>
      <c r="D7497" t="s">
        <v>34593</v>
      </c>
      <c r="E7497" t="e" cm="1">
        <f t="array" ref="E7497">- FENOFIBRATE</f>
        <v>#NAME?</v>
      </c>
      <c r="F7497" t="s">
        <v>34594</v>
      </c>
      <c r="G7497" t="s">
        <v>30790</v>
      </c>
      <c r="H7497" t="s">
        <v>34532</v>
      </c>
      <c r="I7497" t="s">
        <v>30792</v>
      </c>
      <c r="J7497" t="s">
        <v>2100</v>
      </c>
      <c r="K7497" t="s">
        <v>34533</v>
      </c>
      <c r="L7497" t="s">
        <v>34534</v>
      </c>
    </row>
    <row r="7498" spans="1:19" x14ac:dyDescent="0.35">
      <c r="A7498">
        <v>2643</v>
      </c>
      <c r="B7498" t="s">
        <v>34418</v>
      </c>
      <c r="C7498" t="s">
        <v>42</v>
      </c>
      <c r="D7498" t="s">
        <v>34419</v>
      </c>
      <c r="E7498" t="e" cm="1">
        <f t="array" ref="E7498">- MEFENAMIC ACID</f>
        <v>#NAME?</v>
      </c>
      <c r="F7498" t="s">
        <v>34420</v>
      </c>
      <c r="G7498" t="s">
        <v>34084</v>
      </c>
      <c r="H7498" t="s">
        <v>34085</v>
      </c>
      <c r="I7498" t="s">
        <v>34272</v>
      </c>
      <c r="J7498" t="s">
        <v>381</v>
      </c>
      <c r="K7498" t="s">
        <v>34421</v>
      </c>
      <c r="L7498" t="s">
        <v>34422</v>
      </c>
      <c r="M7498" t="s">
        <v>291</v>
      </c>
      <c r="N7498" t="s">
        <v>2235</v>
      </c>
      <c r="O7498" t="s">
        <v>34090</v>
      </c>
      <c r="P7498" t="s">
        <v>34423</v>
      </c>
      <c r="Q7498" t="s">
        <v>34424</v>
      </c>
      <c r="R7498">
        <v>21</v>
      </c>
      <c r="S7498">
        <v>32</v>
      </c>
    </row>
    <row r="7499" spans="1:19" x14ac:dyDescent="0.35">
      <c r="A7499">
        <v>9084</v>
      </c>
      <c r="B7499" t="s">
        <v>31649</v>
      </c>
      <c r="C7499" t="s">
        <v>42</v>
      </c>
      <c r="D7499" t="s">
        <v>31650</v>
      </c>
      <c r="E7499" t="e" cm="1">
        <f t="array" ref="E7499">- PERINDOPRIL ARGININE. AMLODIPINE BESILATE</f>
        <v>#NAME?</v>
      </c>
      <c r="F7499" t="s">
        <v>31651</v>
      </c>
      <c r="G7499" t="s">
        <v>31652</v>
      </c>
      <c r="H7499" t="s">
        <v>31653</v>
      </c>
      <c r="I7499" t="s">
        <v>31654</v>
      </c>
      <c r="J7499" t="s">
        <v>31655</v>
      </c>
      <c r="K7499" t="s">
        <v>31656</v>
      </c>
      <c r="L7499" t="s">
        <v>31657</v>
      </c>
      <c r="M7499" t="s">
        <v>46</v>
      </c>
      <c r="N7499" t="s">
        <v>34595</v>
      </c>
      <c r="O7499" t="s">
        <v>31658</v>
      </c>
      <c r="P7499" t="s">
        <v>31659</v>
      </c>
      <c r="Q7499" t="s">
        <v>34596</v>
      </c>
      <c r="R7499">
        <v>21</v>
      </c>
      <c r="S7499">
        <v>32</v>
      </c>
    </row>
    <row r="7500" spans="1:19" x14ac:dyDescent="0.35">
      <c r="A7500">
        <v>9694</v>
      </c>
      <c r="B7500" t="s">
        <v>34592</v>
      </c>
      <c r="C7500" t="s">
        <v>42</v>
      </c>
      <c r="D7500" t="s">
        <v>34593</v>
      </c>
      <c r="E7500" t="e" cm="1">
        <f t="array" ref="E7500">- FENOFIBRATE</f>
        <v>#NAME?</v>
      </c>
      <c r="F7500" t="s">
        <v>34594</v>
      </c>
      <c r="G7500" t="s">
        <v>30790</v>
      </c>
      <c r="H7500" t="s">
        <v>34532</v>
      </c>
      <c r="I7500" t="s">
        <v>30792</v>
      </c>
      <c r="J7500" t="s">
        <v>2100</v>
      </c>
      <c r="K7500" t="s">
        <v>34533</v>
      </c>
      <c r="L7500" t="s">
        <v>34534</v>
      </c>
    </row>
    <row r="7501" spans="1:19" x14ac:dyDescent="0.35">
      <c r="A7501">
        <v>4468</v>
      </c>
      <c r="B7501" t="s">
        <v>3486</v>
      </c>
      <c r="C7501" t="s">
        <v>42</v>
      </c>
      <c r="D7501" t="s">
        <v>34597</v>
      </c>
      <c r="E7501" t="e" cm="1">
        <f t="array" ref="E7501">- CARMELLOSE</f>
        <v>#NAME?</v>
      </c>
      <c r="F7501" t="s">
        <v>34598</v>
      </c>
      <c r="G7501" t="s">
        <v>23079</v>
      </c>
      <c r="H7501" t="s">
        <v>26294</v>
      </c>
      <c r="I7501" t="s">
        <v>34599</v>
      </c>
      <c r="J7501" t="s">
        <v>11321</v>
      </c>
      <c r="K7501" t="s">
        <v>34600</v>
      </c>
      <c r="L7501" t="s">
        <v>34601</v>
      </c>
      <c r="M7501" t="s">
        <v>824</v>
      </c>
      <c r="N7501" t="s">
        <v>3488</v>
      </c>
      <c r="O7501" t="s">
        <v>34602</v>
      </c>
      <c r="P7501" t="s">
        <v>3489</v>
      </c>
      <c r="Q7501" t="s">
        <v>34603</v>
      </c>
      <c r="R7501">
        <v>22</v>
      </c>
      <c r="S7501">
        <v>32</v>
      </c>
    </row>
    <row r="7502" spans="1:19" x14ac:dyDescent="0.35">
      <c r="A7502">
        <v>4467</v>
      </c>
      <c r="B7502" t="s">
        <v>3486</v>
      </c>
      <c r="C7502" t="s">
        <v>42</v>
      </c>
      <c r="D7502" t="s">
        <v>34597</v>
      </c>
      <c r="E7502" t="e" cm="1">
        <f t="array" ref="E7502">- CARMELLOSE</f>
        <v>#NAME?</v>
      </c>
      <c r="F7502" t="s">
        <v>34598</v>
      </c>
      <c r="G7502" t="s">
        <v>23079</v>
      </c>
      <c r="H7502" t="s">
        <v>26294</v>
      </c>
      <c r="I7502" t="s">
        <v>34599</v>
      </c>
      <c r="J7502" t="s">
        <v>11321</v>
      </c>
      <c r="K7502" t="s">
        <v>34600</v>
      </c>
      <c r="L7502" t="s">
        <v>34601</v>
      </c>
      <c r="M7502" t="s">
        <v>824</v>
      </c>
      <c r="N7502" t="s">
        <v>3488</v>
      </c>
      <c r="O7502" t="s">
        <v>34602</v>
      </c>
      <c r="P7502" t="s">
        <v>3489</v>
      </c>
      <c r="Q7502" t="s">
        <v>34603</v>
      </c>
      <c r="R7502">
        <v>22</v>
      </c>
      <c r="S7502">
        <v>32</v>
      </c>
    </row>
    <row r="7503" spans="1:19" x14ac:dyDescent="0.35">
      <c r="A7503">
        <v>9015</v>
      </c>
      <c r="B7503" t="s">
        <v>34604</v>
      </c>
      <c r="C7503" t="s">
        <v>42</v>
      </c>
      <c r="D7503" t="s">
        <v>34605</v>
      </c>
      <c r="E7503" t="e" cm="1">
        <f t="array" ref="E7503">- BISOPROLOL FUMARATE</f>
        <v>#NAME?</v>
      </c>
      <c r="F7503" t="s">
        <v>34606</v>
      </c>
      <c r="G7503" t="s">
        <v>23278</v>
      </c>
      <c r="H7503" t="s">
        <v>34607</v>
      </c>
      <c r="I7503" t="s">
        <v>34608</v>
      </c>
      <c r="J7503" t="s">
        <v>45</v>
      </c>
      <c r="K7503" t="s">
        <v>34609</v>
      </c>
      <c r="L7503" t="s">
        <v>34610</v>
      </c>
      <c r="M7503" t="s">
        <v>46</v>
      </c>
      <c r="N7503" t="s">
        <v>6182</v>
      </c>
      <c r="O7503" t="s">
        <v>34611</v>
      </c>
      <c r="P7503" t="s">
        <v>34612</v>
      </c>
      <c r="Q7503" t="s">
        <v>34613</v>
      </c>
      <c r="R7503">
        <v>22</v>
      </c>
      <c r="S7503">
        <v>32</v>
      </c>
    </row>
    <row r="7504" spans="1:19" x14ac:dyDescent="0.35">
      <c r="A7504">
        <v>4465</v>
      </c>
      <c r="B7504" t="s">
        <v>3486</v>
      </c>
      <c r="C7504" t="s">
        <v>42</v>
      </c>
      <c r="D7504" t="s">
        <v>34614</v>
      </c>
      <c r="E7504" t="e" cm="1">
        <f t="array" ref="E7504">- CARMELLOSE</f>
        <v>#NAME?</v>
      </c>
      <c r="F7504" t="s">
        <v>34615</v>
      </c>
      <c r="G7504" t="s">
        <v>22792</v>
      </c>
      <c r="H7504" t="s">
        <v>34616</v>
      </c>
      <c r="I7504" t="s">
        <v>34617</v>
      </c>
      <c r="J7504" t="s">
        <v>16097</v>
      </c>
      <c r="K7504" t="s">
        <v>3473</v>
      </c>
      <c r="L7504" t="s">
        <v>34618</v>
      </c>
      <c r="M7504" t="s">
        <v>824</v>
      </c>
      <c r="N7504" t="s">
        <v>3488</v>
      </c>
      <c r="O7504" t="s">
        <v>34619</v>
      </c>
      <c r="P7504" t="s">
        <v>34620</v>
      </c>
      <c r="Q7504" t="s">
        <v>34621</v>
      </c>
      <c r="R7504">
        <v>22</v>
      </c>
      <c r="S7504">
        <v>32</v>
      </c>
    </row>
    <row r="7505" spans="1:19" x14ac:dyDescent="0.35">
      <c r="A7505">
        <v>4464</v>
      </c>
      <c r="B7505" t="s">
        <v>3486</v>
      </c>
      <c r="C7505" t="s">
        <v>42</v>
      </c>
      <c r="D7505" t="s">
        <v>34614</v>
      </c>
      <c r="E7505" t="e" cm="1">
        <f t="array" ref="E7505">- CARMELLOSE</f>
        <v>#NAME?</v>
      </c>
      <c r="F7505" t="s">
        <v>34615</v>
      </c>
      <c r="G7505" t="s">
        <v>22792</v>
      </c>
      <c r="H7505" t="s">
        <v>34616</v>
      </c>
      <c r="I7505" t="s">
        <v>34617</v>
      </c>
      <c r="J7505" t="s">
        <v>16097</v>
      </c>
      <c r="K7505" t="s">
        <v>3473</v>
      </c>
      <c r="L7505" t="s">
        <v>34618</v>
      </c>
      <c r="M7505" t="s">
        <v>824</v>
      </c>
      <c r="N7505" t="s">
        <v>3488</v>
      </c>
      <c r="O7505" t="s">
        <v>34619</v>
      </c>
      <c r="P7505" t="s">
        <v>34620</v>
      </c>
      <c r="Q7505" t="s">
        <v>34621</v>
      </c>
      <c r="R7505">
        <v>22</v>
      </c>
      <c r="S7505">
        <v>32</v>
      </c>
    </row>
    <row r="7506" spans="1:19" x14ac:dyDescent="0.35">
      <c r="A7506">
        <v>9013</v>
      </c>
      <c r="B7506" t="s">
        <v>34622</v>
      </c>
      <c r="C7506" t="s">
        <v>42</v>
      </c>
      <c r="D7506" t="s">
        <v>34623</v>
      </c>
      <c r="E7506" t="e" cm="1">
        <f t="array" ref="E7506">- BISOPROLOL FUMARATE</f>
        <v>#NAME?</v>
      </c>
      <c r="F7506" t="s">
        <v>34624</v>
      </c>
      <c r="G7506" t="s">
        <v>23278</v>
      </c>
      <c r="H7506" t="s">
        <v>34607</v>
      </c>
      <c r="I7506" t="s">
        <v>34608</v>
      </c>
      <c r="J7506" t="s">
        <v>45</v>
      </c>
      <c r="K7506" t="s">
        <v>34609</v>
      </c>
      <c r="L7506" t="s">
        <v>34610</v>
      </c>
      <c r="M7506" t="s">
        <v>46</v>
      </c>
      <c r="N7506" t="s">
        <v>6182</v>
      </c>
      <c r="O7506" t="s">
        <v>34611</v>
      </c>
      <c r="P7506" t="s">
        <v>34625</v>
      </c>
      <c r="Q7506" t="s">
        <v>34626</v>
      </c>
      <c r="R7506">
        <v>22</v>
      </c>
      <c r="S7506">
        <v>32</v>
      </c>
    </row>
    <row r="7507" spans="1:19" x14ac:dyDescent="0.35">
      <c r="A7507">
        <v>1874</v>
      </c>
      <c r="B7507" t="s">
        <v>34627</v>
      </c>
      <c r="C7507" t="s">
        <v>42</v>
      </c>
      <c r="D7507" t="s">
        <v>34628</v>
      </c>
      <c r="E7507" t="e" cm="1">
        <f t="array" ref="E7507">- AMMONIUM CHLORIDE</f>
        <v>#NAME?</v>
      </c>
      <c r="F7507" t="s">
        <v>34629</v>
      </c>
      <c r="G7507" t="s">
        <v>539</v>
      </c>
      <c r="H7507" t="s">
        <v>34630</v>
      </c>
      <c r="I7507" t="s">
        <v>34631</v>
      </c>
      <c r="J7507" t="s">
        <v>334</v>
      </c>
      <c r="K7507" t="s">
        <v>34632</v>
      </c>
      <c r="L7507" t="s">
        <v>34633</v>
      </c>
      <c r="M7507" t="s">
        <v>271</v>
      </c>
      <c r="N7507" t="s">
        <v>1672</v>
      </c>
      <c r="O7507" t="s">
        <v>34634</v>
      </c>
      <c r="P7507" t="s">
        <v>34635</v>
      </c>
      <c r="Q7507" t="s">
        <v>34636</v>
      </c>
      <c r="R7507">
        <v>22</v>
      </c>
      <c r="S7507">
        <v>32</v>
      </c>
    </row>
    <row r="7508" spans="1:19" x14ac:dyDescent="0.35">
      <c r="A7508">
        <v>4753</v>
      </c>
      <c r="B7508" t="s">
        <v>34637</v>
      </c>
      <c r="C7508" t="s">
        <v>42</v>
      </c>
      <c r="D7508" t="s">
        <v>34638</v>
      </c>
      <c r="E7508" t="e" cm="1">
        <f t="array" ref="E7508">- POTASSIUM IODIDE</f>
        <v>#NAME?</v>
      </c>
      <c r="F7508" t="s">
        <v>34639</v>
      </c>
      <c r="G7508" t="s">
        <v>34640</v>
      </c>
      <c r="H7508" t="s">
        <v>34641</v>
      </c>
      <c r="I7508" t="s">
        <v>34642</v>
      </c>
      <c r="J7508" t="s">
        <v>11321</v>
      </c>
      <c r="K7508" t="s">
        <v>34643</v>
      </c>
      <c r="L7508" t="s">
        <v>10249</v>
      </c>
      <c r="M7508" t="s">
        <v>824</v>
      </c>
      <c r="N7508" t="s">
        <v>12104</v>
      </c>
      <c r="O7508" t="s">
        <v>34644</v>
      </c>
      <c r="P7508" t="s">
        <v>34645</v>
      </c>
      <c r="Q7508" t="s">
        <v>34646</v>
      </c>
      <c r="R7508">
        <v>22</v>
      </c>
      <c r="S7508">
        <v>32</v>
      </c>
    </row>
    <row r="7509" spans="1:19" x14ac:dyDescent="0.35">
      <c r="A7509">
        <v>1757</v>
      </c>
      <c r="B7509" t="s">
        <v>34647</v>
      </c>
      <c r="C7509" t="s">
        <v>850</v>
      </c>
      <c r="D7509" t="s">
        <v>34648</v>
      </c>
      <c r="E7509" t="s">
        <v>2069</v>
      </c>
      <c r="F7509" s="1">
        <v>7500</v>
      </c>
      <c r="G7509" t="s">
        <v>34649</v>
      </c>
      <c r="H7509">
        <v>0</v>
      </c>
      <c r="I7509" t="s">
        <v>34650</v>
      </c>
      <c r="J7509" t="s">
        <v>9310</v>
      </c>
      <c r="N7509" t="s">
        <v>2071</v>
      </c>
      <c r="O7509" t="s">
        <v>34651</v>
      </c>
      <c r="P7509" t="s">
        <v>34652</v>
      </c>
      <c r="Q7509" t="s">
        <v>34653</v>
      </c>
      <c r="R7509">
        <v>22</v>
      </c>
      <c r="S7509">
        <v>32</v>
      </c>
    </row>
    <row r="7510" spans="1:19" x14ac:dyDescent="0.35">
      <c r="A7510">
        <v>9004</v>
      </c>
      <c r="B7510" t="s">
        <v>34654</v>
      </c>
      <c r="C7510" t="s">
        <v>42</v>
      </c>
      <c r="D7510" t="s">
        <v>34655</v>
      </c>
      <c r="E7510" t="e" cm="1">
        <f t="array" ref="E7510">- BISOPROLOL FUMARATE</f>
        <v>#NAME?</v>
      </c>
      <c r="F7510" t="s">
        <v>34656</v>
      </c>
      <c r="G7510" t="s">
        <v>23278</v>
      </c>
      <c r="H7510" t="s">
        <v>34607</v>
      </c>
      <c r="I7510" t="s">
        <v>34608</v>
      </c>
      <c r="J7510" t="s">
        <v>571</v>
      </c>
      <c r="K7510" t="s">
        <v>34609</v>
      </c>
      <c r="L7510" t="s">
        <v>34610</v>
      </c>
      <c r="M7510" t="s">
        <v>46</v>
      </c>
      <c r="N7510" t="s">
        <v>6182</v>
      </c>
      <c r="O7510" t="s">
        <v>34611</v>
      </c>
      <c r="P7510" t="s">
        <v>34657</v>
      </c>
      <c r="Q7510" t="s">
        <v>34658</v>
      </c>
      <c r="R7510">
        <v>22</v>
      </c>
      <c r="S7510">
        <v>32</v>
      </c>
    </row>
    <row r="7511" spans="1:19" x14ac:dyDescent="0.35">
      <c r="A7511">
        <v>1758</v>
      </c>
      <c r="B7511" t="s">
        <v>34659</v>
      </c>
      <c r="C7511" t="s">
        <v>850</v>
      </c>
      <c r="D7511" t="s">
        <v>34660</v>
      </c>
      <c r="E7511" t="e" cm="1">
        <f t="array" ref="E7511">- Borneol</f>
        <v>#NAME?</v>
      </c>
      <c r="F7511" s="1">
        <v>7100</v>
      </c>
      <c r="G7511" t="s">
        <v>34661</v>
      </c>
      <c r="I7511" t="s">
        <v>34662</v>
      </c>
      <c r="J7511" t="s">
        <v>9310</v>
      </c>
      <c r="N7511" t="s">
        <v>31038</v>
      </c>
      <c r="O7511" t="s">
        <v>34663</v>
      </c>
      <c r="P7511" t="s">
        <v>34664</v>
      </c>
      <c r="Q7511" t="s">
        <v>34665</v>
      </c>
      <c r="R7511">
        <v>22</v>
      </c>
      <c r="S7511">
        <v>32</v>
      </c>
    </row>
    <row r="7512" spans="1:19" x14ac:dyDescent="0.35">
      <c r="A7512">
        <v>1762</v>
      </c>
      <c r="B7512" t="s">
        <v>33492</v>
      </c>
      <c r="C7512" t="s">
        <v>850</v>
      </c>
      <c r="D7512" t="s">
        <v>33520</v>
      </c>
      <c r="E7512" t="e" cm="1">
        <f t="array" ref="E7512">- Cajuput Oil</f>
        <v>#NAME?</v>
      </c>
      <c r="F7512" t="s">
        <v>18822</v>
      </c>
      <c r="G7512" t="s">
        <v>22321</v>
      </c>
      <c r="H7512" t="s">
        <v>33495</v>
      </c>
      <c r="I7512" t="s">
        <v>33521</v>
      </c>
      <c r="J7512" t="s">
        <v>33522</v>
      </c>
      <c r="L7512" t="s">
        <v>8264</v>
      </c>
      <c r="M7512" t="s">
        <v>3632</v>
      </c>
      <c r="N7512" t="s">
        <v>3752</v>
      </c>
      <c r="O7512" t="s">
        <v>33497</v>
      </c>
      <c r="P7512" t="s">
        <v>33523</v>
      </c>
      <c r="Q7512" t="s">
        <v>34666</v>
      </c>
      <c r="R7512">
        <v>22</v>
      </c>
      <c r="S7512">
        <v>32</v>
      </c>
    </row>
    <row r="7513" spans="1:19" x14ac:dyDescent="0.35">
      <c r="A7513">
        <v>1086</v>
      </c>
      <c r="B7513" t="s">
        <v>34667</v>
      </c>
      <c r="C7513" t="s">
        <v>42</v>
      </c>
      <c r="D7513" t="s">
        <v>34668</v>
      </c>
      <c r="E7513" t="e" cm="1">
        <f t="array" ref="E7513">- PARACETAMOL. DEXTROMETHORPHAN HYDROBROMIDE. GUAIFENESIN. PHENYLPROPANOLAMINE HYDROCHLORIDE. CHLORPHENAMINE MALEATE</f>
        <v>#NAME?</v>
      </c>
      <c r="F7513" t="s">
        <v>34669</v>
      </c>
      <c r="G7513" t="s">
        <v>60</v>
      </c>
      <c r="H7513" t="s">
        <v>34670</v>
      </c>
      <c r="I7513" t="s">
        <v>34671</v>
      </c>
      <c r="J7513" t="s">
        <v>334</v>
      </c>
      <c r="K7513" t="s">
        <v>16352</v>
      </c>
      <c r="L7513" t="s">
        <v>16353</v>
      </c>
      <c r="M7513" t="s">
        <v>271</v>
      </c>
      <c r="N7513" t="s">
        <v>34672</v>
      </c>
      <c r="O7513" t="s">
        <v>34673</v>
      </c>
      <c r="P7513" t="s">
        <v>34674</v>
      </c>
      <c r="Q7513" t="s">
        <v>34675</v>
      </c>
      <c r="R7513">
        <v>22</v>
      </c>
      <c r="S7513">
        <v>32</v>
      </c>
    </row>
    <row r="7514" spans="1:19" x14ac:dyDescent="0.35">
      <c r="A7514">
        <v>9005</v>
      </c>
      <c r="B7514" t="s">
        <v>34676</v>
      </c>
      <c r="C7514" t="s">
        <v>42</v>
      </c>
      <c r="D7514" t="s">
        <v>34677</v>
      </c>
      <c r="E7514" t="e" cm="1">
        <f t="array" ref="E7514">- BISOPROLOL FUMARATE</f>
        <v>#NAME?</v>
      </c>
      <c r="F7514" t="s">
        <v>34678</v>
      </c>
      <c r="G7514" t="s">
        <v>23278</v>
      </c>
      <c r="H7514" t="s">
        <v>34607</v>
      </c>
      <c r="I7514" t="s">
        <v>34608</v>
      </c>
      <c r="J7514" t="s">
        <v>45</v>
      </c>
      <c r="K7514" t="s">
        <v>34609</v>
      </c>
      <c r="L7514" t="s">
        <v>34610</v>
      </c>
      <c r="M7514" t="s">
        <v>46</v>
      </c>
      <c r="N7514" t="s">
        <v>6182</v>
      </c>
      <c r="O7514" t="s">
        <v>34611</v>
      </c>
      <c r="P7514" t="s">
        <v>34657</v>
      </c>
      <c r="Q7514" t="s">
        <v>34658</v>
      </c>
      <c r="R7514">
        <v>22</v>
      </c>
      <c r="S7514">
        <v>32</v>
      </c>
    </row>
    <row r="7515" spans="1:19" x14ac:dyDescent="0.35">
      <c r="A7515">
        <v>1876</v>
      </c>
      <c r="B7515" t="s">
        <v>34679</v>
      </c>
      <c r="C7515" t="s">
        <v>42</v>
      </c>
      <c r="D7515" t="s">
        <v>34680</v>
      </c>
      <c r="E7515" t="e" cm="1">
        <f t="array" ref="E7515">- AMMONIUM CHLORIDE</f>
        <v>#NAME?</v>
      </c>
      <c r="F7515" t="s">
        <v>34681</v>
      </c>
      <c r="G7515" t="s">
        <v>2241</v>
      </c>
      <c r="H7515" t="s">
        <v>34630</v>
      </c>
      <c r="I7515" t="s">
        <v>34631</v>
      </c>
      <c r="J7515" t="s">
        <v>334</v>
      </c>
      <c r="K7515" t="s">
        <v>34632</v>
      </c>
      <c r="L7515" t="s">
        <v>34682</v>
      </c>
      <c r="M7515" t="s">
        <v>271</v>
      </c>
      <c r="N7515" t="s">
        <v>1672</v>
      </c>
      <c r="O7515" t="s">
        <v>34634</v>
      </c>
      <c r="P7515" t="s">
        <v>34683</v>
      </c>
      <c r="Q7515" t="s">
        <v>34684</v>
      </c>
      <c r="R7515">
        <v>22</v>
      </c>
      <c r="S7515">
        <v>32</v>
      </c>
    </row>
    <row r="7516" spans="1:19" x14ac:dyDescent="0.35">
      <c r="A7516">
        <v>895</v>
      </c>
      <c r="B7516" t="s">
        <v>30199</v>
      </c>
      <c r="C7516" t="s">
        <v>42</v>
      </c>
      <c r="D7516" t="s">
        <v>30200</v>
      </c>
      <c r="E7516" t="e" cm="1">
        <f t="array" ref="E7516">- PARACETAMOL. PHENYLPROPANOLAMINE HYDROCHLORIDE. CHLORPHENAMINE MALEATE. GUAIFENESIN</f>
        <v>#NAME?</v>
      </c>
      <c r="F7516" t="s">
        <v>30201</v>
      </c>
      <c r="G7516" t="s">
        <v>2241</v>
      </c>
      <c r="H7516" t="s">
        <v>30202</v>
      </c>
      <c r="I7516" t="s">
        <v>29641</v>
      </c>
      <c r="J7516" t="s">
        <v>727</v>
      </c>
      <c r="K7516" t="s">
        <v>30203</v>
      </c>
      <c r="L7516" t="s">
        <v>30204</v>
      </c>
      <c r="M7516" t="s">
        <v>291</v>
      </c>
      <c r="N7516" t="s">
        <v>32489</v>
      </c>
      <c r="O7516" t="s">
        <v>29642</v>
      </c>
      <c r="P7516" t="s">
        <v>18538</v>
      </c>
      <c r="Q7516" t="s">
        <v>34685</v>
      </c>
      <c r="R7516">
        <v>22</v>
      </c>
      <c r="S7516">
        <v>32</v>
      </c>
    </row>
    <row r="7517" spans="1:19" x14ac:dyDescent="0.35">
      <c r="A7517">
        <v>6722</v>
      </c>
      <c r="B7517" t="s">
        <v>34686</v>
      </c>
      <c r="C7517" t="s">
        <v>42</v>
      </c>
      <c r="D7517" t="s">
        <v>34687</v>
      </c>
      <c r="E7517" t="e" cm="1">
        <f t="array" ref="E7517">- CALCITRIOL</f>
        <v>#NAME?</v>
      </c>
      <c r="F7517" t="s">
        <v>34688</v>
      </c>
      <c r="G7517" t="s">
        <v>18386</v>
      </c>
      <c r="H7517" t="s">
        <v>34689</v>
      </c>
      <c r="I7517" t="s">
        <v>34690</v>
      </c>
      <c r="J7517" t="s">
        <v>34691</v>
      </c>
      <c r="K7517" t="s">
        <v>34692</v>
      </c>
      <c r="L7517" t="s">
        <v>34693</v>
      </c>
      <c r="M7517" t="s">
        <v>38</v>
      </c>
      <c r="N7517" t="s">
        <v>442</v>
      </c>
      <c r="O7517" t="s">
        <v>34694</v>
      </c>
      <c r="P7517" t="s">
        <v>34695</v>
      </c>
      <c r="Q7517" t="s">
        <v>34696</v>
      </c>
      <c r="R7517">
        <v>22</v>
      </c>
      <c r="S7517">
        <v>32</v>
      </c>
    </row>
    <row r="7518" spans="1:19" x14ac:dyDescent="0.35">
      <c r="A7518">
        <v>6721</v>
      </c>
      <c r="B7518" t="s">
        <v>34686</v>
      </c>
      <c r="C7518" t="s">
        <v>42</v>
      </c>
      <c r="D7518" t="s">
        <v>34687</v>
      </c>
      <c r="E7518" t="e" cm="1">
        <f t="array" ref="E7518">- CALCITRIOL</f>
        <v>#NAME?</v>
      </c>
      <c r="F7518" t="s">
        <v>34688</v>
      </c>
      <c r="G7518" t="s">
        <v>18386</v>
      </c>
      <c r="H7518" t="s">
        <v>34689</v>
      </c>
      <c r="I7518" t="s">
        <v>34690</v>
      </c>
      <c r="J7518" t="s">
        <v>34691</v>
      </c>
      <c r="K7518" t="s">
        <v>34692</v>
      </c>
      <c r="L7518" t="s">
        <v>34693</v>
      </c>
      <c r="M7518" t="s">
        <v>38</v>
      </c>
      <c r="N7518" t="s">
        <v>442</v>
      </c>
      <c r="O7518" t="s">
        <v>34694</v>
      </c>
      <c r="P7518" t="s">
        <v>34695</v>
      </c>
      <c r="Q7518" t="s">
        <v>34696</v>
      </c>
      <c r="R7518">
        <v>22</v>
      </c>
      <c r="S7518">
        <v>32</v>
      </c>
    </row>
    <row r="7519" spans="1:19" x14ac:dyDescent="0.35">
      <c r="A7519">
        <v>4699</v>
      </c>
      <c r="B7519" t="s">
        <v>22938</v>
      </c>
      <c r="C7519" t="s">
        <v>42</v>
      </c>
      <c r="D7519" t="s">
        <v>34697</v>
      </c>
      <c r="E7519" t="e" cm="1">
        <f t="array" ref="E7519">- NEOMYCIN SULFATE</f>
        <v>#NAME?</v>
      </c>
      <c r="F7519" t="s">
        <v>34698</v>
      </c>
      <c r="G7519" t="s">
        <v>7569</v>
      </c>
      <c r="H7519" t="s">
        <v>14852</v>
      </c>
      <c r="I7519" t="s">
        <v>34699</v>
      </c>
      <c r="J7519" t="s">
        <v>23073</v>
      </c>
      <c r="L7519" t="s">
        <v>12469</v>
      </c>
      <c r="M7519" t="s">
        <v>824</v>
      </c>
      <c r="N7519" t="s">
        <v>13908</v>
      </c>
      <c r="O7519" t="s">
        <v>34700</v>
      </c>
      <c r="P7519" t="s">
        <v>34701</v>
      </c>
      <c r="Q7519" t="s">
        <v>34702</v>
      </c>
      <c r="R7519">
        <v>22</v>
      </c>
      <c r="S7519">
        <v>32</v>
      </c>
    </row>
    <row r="7520" spans="1:19" x14ac:dyDescent="0.35">
      <c r="A7520">
        <v>4698</v>
      </c>
      <c r="B7520" t="s">
        <v>22938</v>
      </c>
      <c r="C7520" t="s">
        <v>42</v>
      </c>
      <c r="D7520" t="s">
        <v>34697</v>
      </c>
      <c r="E7520" t="e" cm="1">
        <f t="array" ref="E7520">- NEOMYCIN SULFATE</f>
        <v>#NAME?</v>
      </c>
      <c r="F7520" t="s">
        <v>34698</v>
      </c>
      <c r="G7520" t="s">
        <v>7569</v>
      </c>
      <c r="H7520" t="s">
        <v>14852</v>
      </c>
      <c r="I7520" t="s">
        <v>34699</v>
      </c>
      <c r="J7520" t="s">
        <v>23073</v>
      </c>
      <c r="L7520" t="s">
        <v>12469</v>
      </c>
      <c r="M7520" t="s">
        <v>824</v>
      </c>
      <c r="N7520" t="s">
        <v>13908</v>
      </c>
      <c r="O7520" t="s">
        <v>34700</v>
      </c>
      <c r="P7520" t="s">
        <v>34701</v>
      </c>
      <c r="Q7520" t="s">
        <v>34702</v>
      </c>
      <c r="R7520">
        <v>22</v>
      </c>
      <c r="S7520">
        <v>32</v>
      </c>
    </row>
    <row r="7521" spans="1:19" x14ac:dyDescent="0.35">
      <c r="A7521">
        <v>1764</v>
      </c>
      <c r="B7521" t="s">
        <v>33492</v>
      </c>
      <c r="C7521" t="s">
        <v>850</v>
      </c>
      <c r="D7521" t="s">
        <v>33493</v>
      </c>
      <c r="E7521" t="e" cm="1">
        <f t="array" ref="E7521">- Cajuput Oil</f>
        <v>#NAME?</v>
      </c>
      <c r="F7521" t="s">
        <v>33494</v>
      </c>
      <c r="H7521" t="s">
        <v>33495</v>
      </c>
      <c r="I7521" t="s">
        <v>33496</v>
      </c>
      <c r="J7521" t="s">
        <v>29403</v>
      </c>
      <c r="L7521" t="s">
        <v>8264</v>
      </c>
      <c r="M7521" t="s">
        <v>3632</v>
      </c>
      <c r="N7521" t="s">
        <v>3752</v>
      </c>
      <c r="O7521" t="s">
        <v>33497</v>
      </c>
      <c r="P7521" t="s">
        <v>33498</v>
      </c>
      <c r="Q7521" t="s">
        <v>34703</v>
      </c>
      <c r="R7521">
        <v>22</v>
      </c>
      <c r="S7521">
        <v>32</v>
      </c>
    </row>
    <row r="7522" spans="1:19" x14ac:dyDescent="0.35">
      <c r="A7522">
        <v>6720</v>
      </c>
      <c r="B7522" t="s">
        <v>34686</v>
      </c>
      <c r="C7522" t="s">
        <v>42</v>
      </c>
      <c r="D7522" t="s">
        <v>34687</v>
      </c>
      <c r="E7522" t="e" cm="1">
        <f t="array" ref="E7522">- CALCITRIOL</f>
        <v>#NAME?</v>
      </c>
      <c r="F7522" t="s">
        <v>34688</v>
      </c>
      <c r="G7522" t="s">
        <v>18386</v>
      </c>
      <c r="H7522" t="s">
        <v>34689</v>
      </c>
      <c r="I7522" t="s">
        <v>34690</v>
      </c>
      <c r="J7522" t="s">
        <v>34691</v>
      </c>
      <c r="K7522" t="s">
        <v>34692</v>
      </c>
      <c r="L7522" t="s">
        <v>34693</v>
      </c>
      <c r="M7522" t="s">
        <v>38</v>
      </c>
      <c r="N7522" t="s">
        <v>442</v>
      </c>
      <c r="O7522" t="s">
        <v>34694</v>
      </c>
      <c r="P7522" t="s">
        <v>34695</v>
      </c>
      <c r="Q7522" t="s">
        <v>34696</v>
      </c>
      <c r="R7522">
        <v>22</v>
      </c>
      <c r="S7522">
        <v>32</v>
      </c>
    </row>
    <row r="7523" spans="1:19" x14ac:dyDescent="0.35">
      <c r="A7523">
        <v>2608</v>
      </c>
      <c r="B7523" t="s">
        <v>24177</v>
      </c>
      <c r="C7523" t="s">
        <v>42</v>
      </c>
      <c r="D7523" t="s">
        <v>24178</v>
      </c>
      <c r="E7523" t="e" cm="1">
        <f t="array" ref="E7523">- METAMIZOLE SODIUM MONOHYDRATE. CYANOCOBALAMIN. THIAMINE NITRATE. PYRIDOXINE HYDROCHLORIDE</f>
        <v>#NAME?</v>
      </c>
      <c r="F7523" s="1">
        <v>8600</v>
      </c>
      <c r="H7523" t="s">
        <v>269</v>
      </c>
      <c r="I7523" t="s">
        <v>24179</v>
      </c>
      <c r="J7523" t="s">
        <v>3019</v>
      </c>
      <c r="L7523" t="s">
        <v>270</v>
      </c>
      <c r="M7523" t="s">
        <v>291</v>
      </c>
      <c r="N7523" t="s">
        <v>34704</v>
      </c>
      <c r="O7523" t="s">
        <v>24180</v>
      </c>
      <c r="P7523" t="s">
        <v>24181</v>
      </c>
      <c r="Q7523" t="s">
        <v>34705</v>
      </c>
      <c r="R7523">
        <v>22</v>
      </c>
      <c r="S7523">
        <v>32</v>
      </c>
    </row>
    <row r="7524" spans="1:19" x14ac:dyDescent="0.35">
      <c r="A7524">
        <v>9014</v>
      </c>
      <c r="B7524" t="s">
        <v>34604</v>
      </c>
      <c r="C7524" t="s">
        <v>42</v>
      </c>
      <c r="D7524" t="s">
        <v>34605</v>
      </c>
      <c r="E7524" t="e" cm="1">
        <f t="array" ref="E7524">- BISOPROLOL FUMARATE</f>
        <v>#NAME?</v>
      </c>
      <c r="F7524" t="s">
        <v>34606</v>
      </c>
      <c r="G7524" t="s">
        <v>23278</v>
      </c>
      <c r="H7524" t="s">
        <v>34607</v>
      </c>
      <c r="I7524" t="s">
        <v>34608</v>
      </c>
      <c r="J7524" t="s">
        <v>45</v>
      </c>
      <c r="K7524" t="s">
        <v>34609</v>
      </c>
      <c r="L7524" t="s">
        <v>34610</v>
      </c>
      <c r="M7524" t="s">
        <v>46</v>
      </c>
      <c r="N7524" t="s">
        <v>6182</v>
      </c>
      <c r="O7524" t="s">
        <v>34611</v>
      </c>
      <c r="P7524" t="s">
        <v>34612</v>
      </c>
      <c r="Q7524" t="s">
        <v>34613</v>
      </c>
      <c r="R7524">
        <v>22</v>
      </c>
      <c r="S7524">
        <v>32</v>
      </c>
    </row>
    <row r="7525" spans="1:19" x14ac:dyDescent="0.35">
      <c r="A7525">
        <v>4463</v>
      </c>
      <c r="B7525" t="s">
        <v>3486</v>
      </c>
      <c r="C7525" t="s">
        <v>42</v>
      </c>
      <c r="D7525" t="s">
        <v>34614</v>
      </c>
      <c r="E7525" t="e" cm="1">
        <f t="array" ref="E7525">- CARMELLOSE</f>
        <v>#NAME?</v>
      </c>
      <c r="F7525" t="s">
        <v>34615</v>
      </c>
      <c r="G7525" t="s">
        <v>22792</v>
      </c>
      <c r="H7525" t="s">
        <v>34616</v>
      </c>
      <c r="I7525" t="s">
        <v>34617</v>
      </c>
      <c r="J7525" t="s">
        <v>16097</v>
      </c>
      <c r="K7525" t="s">
        <v>3473</v>
      </c>
      <c r="L7525" t="s">
        <v>34618</v>
      </c>
      <c r="M7525" t="s">
        <v>824</v>
      </c>
      <c r="N7525" t="s">
        <v>3488</v>
      </c>
      <c r="O7525" t="s">
        <v>34619</v>
      </c>
      <c r="P7525" t="s">
        <v>34620</v>
      </c>
      <c r="Q7525" t="s">
        <v>34621</v>
      </c>
      <c r="R7525">
        <v>22</v>
      </c>
      <c r="S7525">
        <v>32</v>
      </c>
    </row>
    <row r="7526" spans="1:19" x14ac:dyDescent="0.35">
      <c r="A7526">
        <v>4469</v>
      </c>
      <c r="B7526" t="s">
        <v>3486</v>
      </c>
      <c r="C7526" t="s">
        <v>42</v>
      </c>
      <c r="D7526" t="s">
        <v>34597</v>
      </c>
      <c r="E7526" t="e" cm="1">
        <f t="array" ref="E7526">- CARMELLOSE</f>
        <v>#NAME?</v>
      </c>
      <c r="F7526" t="s">
        <v>34598</v>
      </c>
      <c r="G7526" t="s">
        <v>23079</v>
      </c>
      <c r="H7526" t="s">
        <v>26294</v>
      </c>
      <c r="I7526" t="s">
        <v>34599</v>
      </c>
      <c r="J7526" t="s">
        <v>11321</v>
      </c>
      <c r="K7526" t="s">
        <v>34600</v>
      </c>
      <c r="L7526" t="s">
        <v>34601</v>
      </c>
      <c r="M7526" t="s">
        <v>824</v>
      </c>
      <c r="N7526" t="s">
        <v>3488</v>
      </c>
      <c r="O7526" t="s">
        <v>34602</v>
      </c>
      <c r="P7526" t="s">
        <v>3489</v>
      </c>
      <c r="Q7526" t="s">
        <v>34603</v>
      </c>
      <c r="R7526">
        <v>22</v>
      </c>
      <c r="S7526">
        <v>32</v>
      </c>
    </row>
    <row r="7527" spans="1:19" x14ac:dyDescent="0.35">
      <c r="A7527">
        <v>9221</v>
      </c>
      <c r="B7527" t="s">
        <v>34706</v>
      </c>
      <c r="C7527" t="s">
        <v>42</v>
      </c>
      <c r="D7527" t="s">
        <v>34707</v>
      </c>
      <c r="E7527" t="e" cm="1">
        <f t="array" ref="E7527">- BISOPROLOL FUMARATE</f>
        <v>#NAME?</v>
      </c>
      <c r="F7527" t="s">
        <v>34708</v>
      </c>
      <c r="G7527" t="s">
        <v>23278</v>
      </c>
      <c r="H7527" t="s">
        <v>34607</v>
      </c>
      <c r="I7527" t="s">
        <v>34608</v>
      </c>
      <c r="J7527" t="s">
        <v>2478</v>
      </c>
      <c r="K7527" t="s">
        <v>34609</v>
      </c>
      <c r="L7527" t="s">
        <v>34610</v>
      </c>
      <c r="M7527" t="s">
        <v>46</v>
      </c>
      <c r="N7527" t="s">
        <v>6182</v>
      </c>
      <c r="O7527" t="s">
        <v>34611</v>
      </c>
      <c r="P7527" t="s">
        <v>34709</v>
      </c>
      <c r="Q7527" t="s">
        <v>34710</v>
      </c>
      <c r="R7527">
        <v>22</v>
      </c>
      <c r="S7527">
        <v>32</v>
      </c>
    </row>
    <row r="7528" spans="1:19" x14ac:dyDescent="0.35">
      <c r="A7528">
        <v>4474</v>
      </c>
      <c r="B7528" t="s">
        <v>31559</v>
      </c>
      <c r="C7528" t="s">
        <v>42</v>
      </c>
      <c r="D7528" t="s">
        <v>31560</v>
      </c>
      <c r="E7528" t="e" cm="1">
        <f t="array" ref="E7528">- DEXAMETHASONE. NEOMYCIN SULFATE. POLYMYXIN B SULFATE</f>
        <v>#NAME?</v>
      </c>
      <c r="F7528" t="s">
        <v>31561</v>
      </c>
      <c r="G7528" t="s">
        <v>31562</v>
      </c>
      <c r="H7528" t="s">
        <v>31563</v>
      </c>
      <c r="I7528" t="s">
        <v>31564</v>
      </c>
      <c r="J7528" t="s">
        <v>31565</v>
      </c>
      <c r="K7528" t="s">
        <v>31566</v>
      </c>
      <c r="L7528" t="s">
        <v>31567</v>
      </c>
      <c r="M7528" t="s">
        <v>824</v>
      </c>
      <c r="N7528" t="s">
        <v>34711</v>
      </c>
      <c r="O7528" t="s">
        <v>31568</v>
      </c>
      <c r="P7528" t="s">
        <v>31569</v>
      </c>
      <c r="Q7528" t="s">
        <v>34712</v>
      </c>
      <c r="R7528">
        <v>22</v>
      </c>
      <c r="S7528">
        <v>32</v>
      </c>
    </row>
    <row r="7529" spans="1:19" x14ac:dyDescent="0.35">
      <c r="A7529">
        <v>4506</v>
      </c>
      <c r="B7529" t="s">
        <v>16309</v>
      </c>
      <c r="C7529" t="s">
        <v>42</v>
      </c>
      <c r="D7529" t="s">
        <v>34713</v>
      </c>
      <c r="E7529" t="s">
        <v>16311</v>
      </c>
      <c r="F7529" t="s">
        <v>34714</v>
      </c>
      <c r="G7529" t="s">
        <v>7569</v>
      </c>
      <c r="H7529" t="s">
        <v>34715</v>
      </c>
      <c r="I7529" t="s">
        <v>34716</v>
      </c>
      <c r="J7529" t="s">
        <v>34717</v>
      </c>
      <c r="K7529" t="s">
        <v>34718</v>
      </c>
      <c r="L7529" t="s">
        <v>34719</v>
      </c>
      <c r="M7529" t="s">
        <v>824</v>
      </c>
      <c r="N7529" t="s">
        <v>16315</v>
      </c>
      <c r="O7529" t="s">
        <v>34720</v>
      </c>
      <c r="P7529" t="s">
        <v>34721</v>
      </c>
      <c r="Q7529" t="s">
        <v>34722</v>
      </c>
      <c r="R7529">
        <v>22</v>
      </c>
      <c r="S7529">
        <v>32</v>
      </c>
    </row>
    <row r="7530" spans="1:19" x14ac:dyDescent="0.35">
      <c r="A7530">
        <v>2744</v>
      </c>
      <c r="B7530" t="s">
        <v>34723</v>
      </c>
      <c r="C7530" t="s">
        <v>42</v>
      </c>
      <c r="D7530" t="s">
        <v>34724</v>
      </c>
      <c r="E7530" t="e" cm="1">
        <f t="array" ref="E7530">- MEFENAMIC ACID</f>
        <v>#NAME?</v>
      </c>
      <c r="F7530" t="s">
        <v>10912</v>
      </c>
      <c r="G7530" t="s">
        <v>4545</v>
      </c>
      <c r="H7530" t="s">
        <v>34440</v>
      </c>
      <c r="I7530" t="s">
        <v>34272</v>
      </c>
      <c r="J7530" t="s">
        <v>34725</v>
      </c>
      <c r="L7530" t="s">
        <v>1308</v>
      </c>
      <c r="M7530" t="s">
        <v>291</v>
      </c>
      <c r="N7530" t="s">
        <v>2235</v>
      </c>
      <c r="O7530" t="s">
        <v>34090</v>
      </c>
      <c r="P7530" t="s">
        <v>34726</v>
      </c>
      <c r="Q7530" t="s">
        <v>34727</v>
      </c>
      <c r="R7530">
        <v>22</v>
      </c>
      <c r="S7530">
        <v>32</v>
      </c>
    </row>
    <row r="7531" spans="1:19" x14ac:dyDescent="0.35">
      <c r="A7531">
        <v>2789</v>
      </c>
      <c r="B7531" t="s">
        <v>27982</v>
      </c>
      <c r="C7531" t="s">
        <v>42</v>
      </c>
      <c r="D7531" t="s">
        <v>34728</v>
      </c>
      <c r="E7531" t="e" cm="1">
        <f t="array" ref="E7531">- PARACETAMOL</f>
        <v>#NAME?</v>
      </c>
      <c r="F7531" t="s">
        <v>34729</v>
      </c>
      <c r="G7531" t="s">
        <v>6869</v>
      </c>
      <c r="H7531" t="s">
        <v>27985</v>
      </c>
      <c r="I7531" t="s">
        <v>32224</v>
      </c>
      <c r="J7531" t="s">
        <v>334</v>
      </c>
      <c r="K7531" t="s">
        <v>34730</v>
      </c>
      <c r="L7531" t="s">
        <v>34731</v>
      </c>
      <c r="M7531" t="s">
        <v>271</v>
      </c>
      <c r="N7531" t="s">
        <v>584</v>
      </c>
      <c r="O7531" t="s">
        <v>32225</v>
      </c>
      <c r="P7531" t="s">
        <v>27990</v>
      </c>
      <c r="Q7531" t="s">
        <v>34732</v>
      </c>
      <c r="R7531">
        <v>22</v>
      </c>
      <c r="S7531">
        <v>32</v>
      </c>
    </row>
    <row r="7532" spans="1:19" x14ac:dyDescent="0.35">
      <c r="A7532">
        <v>899</v>
      </c>
      <c r="B7532" t="s">
        <v>30199</v>
      </c>
      <c r="C7532" t="s">
        <v>42</v>
      </c>
      <c r="D7532" t="s">
        <v>30311</v>
      </c>
      <c r="E7532" t="e" cm="1">
        <f t="array" ref="E7532">- PARACETAMOL. PHENYLPROPANOLAMINE HYDROCHLORIDE. CHLORPHENAMINE MALEATE. GUAIFENESIN</f>
        <v>#NAME?</v>
      </c>
      <c r="F7532" s="1">
        <v>2600</v>
      </c>
      <c r="G7532" t="s">
        <v>2241</v>
      </c>
      <c r="H7532" t="s">
        <v>30202</v>
      </c>
      <c r="I7532" t="s">
        <v>29641</v>
      </c>
      <c r="J7532" t="s">
        <v>30312</v>
      </c>
      <c r="K7532" t="s">
        <v>30313</v>
      </c>
      <c r="L7532" t="s">
        <v>30314</v>
      </c>
      <c r="M7532" t="s">
        <v>291</v>
      </c>
      <c r="N7532" t="s">
        <v>32489</v>
      </c>
      <c r="O7532" t="s">
        <v>29642</v>
      </c>
      <c r="P7532" t="s">
        <v>18538</v>
      </c>
      <c r="Q7532" t="s">
        <v>34685</v>
      </c>
      <c r="R7532">
        <v>22</v>
      </c>
      <c r="S7532">
        <v>32</v>
      </c>
    </row>
    <row r="7533" spans="1:19" x14ac:dyDescent="0.35">
      <c r="A7533">
        <v>2788</v>
      </c>
      <c r="B7533" t="s">
        <v>27982</v>
      </c>
      <c r="C7533" t="s">
        <v>42</v>
      </c>
      <c r="D7533" t="s">
        <v>34728</v>
      </c>
      <c r="E7533" t="e" cm="1">
        <f t="array" ref="E7533">- PARACETAMOL</f>
        <v>#NAME?</v>
      </c>
      <c r="F7533" t="s">
        <v>34729</v>
      </c>
      <c r="G7533" t="s">
        <v>6869</v>
      </c>
      <c r="H7533" t="s">
        <v>27985</v>
      </c>
      <c r="I7533" t="s">
        <v>32224</v>
      </c>
      <c r="J7533" t="s">
        <v>334</v>
      </c>
      <c r="K7533" t="s">
        <v>34730</v>
      </c>
      <c r="L7533" t="s">
        <v>34731</v>
      </c>
      <c r="M7533" t="s">
        <v>271</v>
      </c>
      <c r="N7533" t="s">
        <v>584</v>
      </c>
      <c r="O7533" t="s">
        <v>32225</v>
      </c>
      <c r="P7533" t="s">
        <v>27990</v>
      </c>
      <c r="Q7533" t="s">
        <v>34732</v>
      </c>
      <c r="R7533">
        <v>22</v>
      </c>
      <c r="S7533">
        <v>32</v>
      </c>
    </row>
    <row r="7534" spans="1:19" x14ac:dyDescent="0.35">
      <c r="A7534">
        <v>2787</v>
      </c>
      <c r="B7534" t="s">
        <v>27982</v>
      </c>
      <c r="C7534" t="s">
        <v>42</v>
      </c>
      <c r="D7534" t="s">
        <v>34728</v>
      </c>
      <c r="E7534" t="e" cm="1">
        <f t="array" ref="E7534">- PARACETAMOL</f>
        <v>#NAME?</v>
      </c>
      <c r="F7534" t="s">
        <v>34729</v>
      </c>
      <c r="G7534" t="s">
        <v>6869</v>
      </c>
      <c r="H7534" t="s">
        <v>27985</v>
      </c>
      <c r="I7534" t="s">
        <v>32224</v>
      </c>
      <c r="J7534" t="s">
        <v>334</v>
      </c>
      <c r="K7534" t="s">
        <v>34730</v>
      </c>
      <c r="L7534" t="s">
        <v>34731</v>
      </c>
      <c r="M7534" t="s">
        <v>271</v>
      </c>
      <c r="N7534" t="s">
        <v>584</v>
      </c>
      <c r="O7534" t="s">
        <v>32225</v>
      </c>
      <c r="P7534" t="s">
        <v>27990</v>
      </c>
      <c r="Q7534" t="s">
        <v>34732</v>
      </c>
      <c r="R7534">
        <v>22</v>
      </c>
      <c r="S7534">
        <v>32</v>
      </c>
    </row>
    <row r="7535" spans="1:19" x14ac:dyDescent="0.35">
      <c r="A7535">
        <v>4601</v>
      </c>
      <c r="B7535" t="s">
        <v>33655</v>
      </c>
      <c r="C7535" t="s">
        <v>42</v>
      </c>
      <c r="D7535" t="s">
        <v>33656</v>
      </c>
      <c r="E7535" t="e" cm="1">
        <f t="array" ref="E7535">- DISTILLED WITCH HAZEL</f>
        <v>#NAME?</v>
      </c>
      <c r="F7535" t="s">
        <v>33657</v>
      </c>
      <c r="G7535" t="s">
        <v>33658</v>
      </c>
      <c r="H7535" t="s">
        <v>14993</v>
      </c>
      <c r="I7535" t="s">
        <v>33659</v>
      </c>
      <c r="J7535" t="s">
        <v>33660</v>
      </c>
      <c r="K7535" t="s">
        <v>2726</v>
      </c>
      <c r="L7535" t="s">
        <v>33661</v>
      </c>
      <c r="M7535" t="s">
        <v>554</v>
      </c>
      <c r="N7535" t="s">
        <v>34733</v>
      </c>
      <c r="O7535" t="s">
        <v>33663</v>
      </c>
      <c r="P7535" t="s">
        <v>33664</v>
      </c>
      <c r="Q7535" t="s">
        <v>34734</v>
      </c>
      <c r="R7535">
        <v>22</v>
      </c>
      <c r="S7535">
        <v>32</v>
      </c>
    </row>
    <row r="7536" spans="1:19" x14ac:dyDescent="0.35">
      <c r="A7536">
        <v>1877</v>
      </c>
      <c r="B7536" t="s">
        <v>34679</v>
      </c>
      <c r="C7536" t="s">
        <v>42</v>
      </c>
      <c r="D7536" t="s">
        <v>34680</v>
      </c>
      <c r="E7536" t="e" cm="1">
        <f t="array" ref="E7536">- AMMONIUM CHLORIDE</f>
        <v>#NAME?</v>
      </c>
      <c r="F7536" t="s">
        <v>34681</v>
      </c>
      <c r="G7536" t="s">
        <v>2241</v>
      </c>
      <c r="H7536" t="s">
        <v>34630</v>
      </c>
      <c r="I7536" t="s">
        <v>34631</v>
      </c>
      <c r="J7536" t="s">
        <v>334</v>
      </c>
      <c r="K7536" t="s">
        <v>34632</v>
      </c>
      <c r="L7536" t="s">
        <v>34682</v>
      </c>
      <c r="M7536" t="s">
        <v>271</v>
      </c>
      <c r="N7536" t="s">
        <v>1672</v>
      </c>
      <c r="O7536" t="s">
        <v>34634</v>
      </c>
      <c r="P7536" t="s">
        <v>34683</v>
      </c>
      <c r="Q7536" t="s">
        <v>34684</v>
      </c>
      <c r="R7536">
        <v>22</v>
      </c>
      <c r="S7536">
        <v>32</v>
      </c>
    </row>
    <row r="7537" spans="1:19" x14ac:dyDescent="0.35">
      <c r="A7537">
        <v>4505</v>
      </c>
      <c r="B7537" t="s">
        <v>16309</v>
      </c>
      <c r="C7537" t="s">
        <v>42</v>
      </c>
      <c r="D7537" t="s">
        <v>34713</v>
      </c>
      <c r="E7537" t="s">
        <v>16311</v>
      </c>
      <c r="F7537" t="s">
        <v>34714</v>
      </c>
      <c r="G7537" t="s">
        <v>7569</v>
      </c>
      <c r="H7537" t="s">
        <v>34715</v>
      </c>
      <c r="I7537" t="s">
        <v>34716</v>
      </c>
      <c r="J7537" t="s">
        <v>34717</v>
      </c>
      <c r="K7537" t="s">
        <v>34718</v>
      </c>
      <c r="L7537" t="s">
        <v>34719</v>
      </c>
      <c r="M7537" t="s">
        <v>824</v>
      </c>
      <c r="N7537" t="s">
        <v>16315</v>
      </c>
      <c r="O7537" t="s">
        <v>34720</v>
      </c>
      <c r="P7537" t="s">
        <v>34721</v>
      </c>
      <c r="Q7537" t="s">
        <v>34722</v>
      </c>
      <c r="R7537">
        <v>22</v>
      </c>
      <c r="S7537">
        <v>32</v>
      </c>
    </row>
    <row r="7538" spans="1:19" x14ac:dyDescent="0.35">
      <c r="A7538">
        <v>490</v>
      </c>
      <c r="B7538" t="s">
        <v>32626</v>
      </c>
      <c r="C7538" t="s">
        <v>42</v>
      </c>
      <c r="D7538" t="s">
        <v>32627</v>
      </c>
      <c r="E7538" t="e" cm="1">
        <f t="array" ref="E7538">- GUAIFENESIN. SALBUTAMOL SULFATE</f>
        <v>#NAME?</v>
      </c>
      <c r="F7538" t="s">
        <v>32628</v>
      </c>
      <c r="G7538" t="s">
        <v>32629</v>
      </c>
      <c r="H7538" t="s">
        <v>32630</v>
      </c>
      <c r="I7538" t="s">
        <v>32631</v>
      </c>
      <c r="J7538" t="s">
        <v>334</v>
      </c>
      <c r="K7538" t="s">
        <v>14702</v>
      </c>
      <c r="L7538" t="s">
        <v>32632</v>
      </c>
      <c r="M7538" t="s">
        <v>271</v>
      </c>
      <c r="N7538" t="s">
        <v>14315</v>
      </c>
      <c r="O7538" t="s">
        <v>32633</v>
      </c>
      <c r="P7538" t="s">
        <v>32634</v>
      </c>
      <c r="Q7538" t="s">
        <v>34735</v>
      </c>
      <c r="R7538">
        <v>22</v>
      </c>
      <c r="S7538">
        <v>32</v>
      </c>
    </row>
    <row r="7539" spans="1:19" x14ac:dyDescent="0.35">
      <c r="A7539">
        <v>864</v>
      </c>
      <c r="B7539" t="s">
        <v>25912</v>
      </c>
      <c r="C7539" t="s">
        <v>42</v>
      </c>
      <c r="D7539" t="s">
        <v>25913</v>
      </c>
      <c r="E7539" t="e" cm="1">
        <f t="array" ref="E7539">- PARACETAMOL. GUAIFENESIN. PHENYLPROPANOLAMINE HYDROCHLORIDE. DEXTROMETHORPHAN HYDROBROMIDE. CHLORPHENAMINE MALEATE</f>
        <v>#NAME?</v>
      </c>
      <c r="F7539" t="s">
        <v>25914</v>
      </c>
      <c r="G7539" t="s">
        <v>1691</v>
      </c>
      <c r="H7539" t="s">
        <v>25915</v>
      </c>
      <c r="I7539" t="s">
        <v>25916</v>
      </c>
      <c r="J7539" t="s">
        <v>25917</v>
      </c>
      <c r="K7539" t="s">
        <v>25918</v>
      </c>
      <c r="L7539" t="s">
        <v>25919</v>
      </c>
      <c r="M7539" t="s">
        <v>291</v>
      </c>
      <c r="N7539" t="s">
        <v>34736</v>
      </c>
      <c r="O7539" t="s">
        <v>25920</v>
      </c>
      <c r="P7539" t="s">
        <v>11391</v>
      </c>
      <c r="Q7539" t="s">
        <v>34737</v>
      </c>
      <c r="R7539">
        <v>22</v>
      </c>
      <c r="S7539">
        <v>32</v>
      </c>
    </row>
    <row r="7540" spans="1:19" x14ac:dyDescent="0.35">
      <c r="A7540">
        <v>9224</v>
      </c>
      <c r="B7540" t="s">
        <v>34738</v>
      </c>
      <c r="C7540" t="s">
        <v>42</v>
      </c>
      <c r="D7540" t="s">
        <v>34739</v>
      </c>
      <c r="E7540" t="e" cm="1">
        <f t="array" ref="E7540">- BISOPROLOL HEMIFUMARATE</f>
        <v>#NAME?</v>
      </c>
      <c r="F7540" t="s">
        <v>34740</v>
      </c>
      <c r="G7540" t="s">
        <v>23278</v>
      </c>
      <c r="H7540" t="s">
        <v>34607</v>
      </c>
      <c r="I7540" t="s">
        <v>34608</v>
      </c>
      <c r="J7540" t="s">
        <v>2478</v>
      </c>
      <c r="K7540" t="s">
        <v>34609</v>
      </c>
      <c r="L7540" t="s">
        <v>34610</v>
      </c>
      <c r="M7540" t="s">
        <v>46</v>
      </c>
      <c r="N7540" t="s">
        <v>34741</v>
      </c>
      <c r="O7540" t="s">
        <v>34611</v>
      </c>
      <c r="P7540" t="s">
        <v>34709</v>
      </c>
      <c r="Q7540" t="s">
        <v>34742</v>
      </c>
      <c r="R7540">
        <v>22</v>
      </c>
      <c r="S7540">
        <v>32</v>
      </c>
    </row>
    <row r="7541" spans="1:19" x14ac:dyDescent="0.35">
      <c r="A7541">
        <v>4538</v>
      </c>
      <c r="B7541" t="s">
        <v>26526</v>
      </c>
      <c r="C7541" t="s">
        <v>42</v>
      </c>
      <c r="D7541" t="s">
        <v>27519</v>
      </c>
      <c r="E7541" t="e" cm="1">
        <f t="array" ref="E7541">- DEXAMETHASONE SODIUM PHOSPHATE. NEOMYCIN SULFATE. POLYMYXIN B SULFATE</f>
        <v>#NAME?</v>
      </c>
      <c r="F7541" t="s">
        <v>27520</v>
      </c>
      <c r="G7541" t="s">
        <v>27521</v>
      </c>
      <c r="H7541" t="s">
        <v>26529</v>
      </c>
      <c r="I7541" t="s">
        <v>27522</v>
      </c>
      <c r="J7541" t="s">
        <v>18334</v>
      </c>
      <c r="K7541" t="s">
        <v>2726</v>
      </c>
      <c r="L7541" t="s">
        <v>19404</v>
      </c>
      <c r="M7541" t="s">
        <v>824</v>
      </c>
      <c r="N7541" t="s">
        <v>33939</v>
      </c>
      <c r="O7541" t="s">
        <v>26533</v>
      </c>
      <c r="P7541" t="s">
        <v>27523</v>
      </c>
      <c r="Q7541" t="s">
        <v>34743</v>
      </c>
      <c r="R7541">
        <v>22</v>
      </c>
      <c r="S7541">
        <v>32</v>
      </c>
    </row>
    <row r="7542" spans="1:19" x14ac:dyDescent="0.35">
      <c r="A7542">
        <v>1097</v>
      </c>
      <c r="B7542" t="s">
        <v>34744</v>
      </c>
      <c r="C7542" t="s">
        <v>42</v>
      </c>
      <c r="D7542" t="s">
        <v>34745</v>
      </c>
      <c r="E7542" t="e" cm="1">
        <f t="array" ref="E7542">- PARACETAMOL. PHENYLPROPANOLAMINE HYDROCHLORIDE. DEXCHLORPHENIRAMINE MALEATE. DEXTROMETHORPHAN HYDROBROMIDE. GUAIFENESIN</f>
        <v>#NAME?</v>
      </c>
      <c r="F7542" s="1">
        <v>3200</v>
      </c>
      <c r="G7542" t="s">
        <v>2241</v>
      </c>
      <c r="H7542" t="s">
        <v>34746</v>
      </c>
      <c r="I7542" t="s">
        <v>34747</v>
      </c>
      <c r="J7542" t="s">
        <v>34190</v>
      </c>
      <c r="K7542" t="s">
        <v>34748</v>
      </c>
      <c r="L7542" t="s">
        <v>34749</v>
      </c>
      <c r="M7542" t="s">
        <v>291</v>
      </c>
      <c r="N7542" t="s">
        <v>34750</v>
      </c>
      <c r="O7542" t="s">
        <v>26523</v>
      </c>
      <c r="P7542" t="s">
        <v>34751</v>
      </c>
      <c r="Q7542" t="s">
        <v>34752</v>
      </c>
      <c r="R7542">
        <v>22</v>
      </c>
      <c r="S7542">
        <v>32</v>
      </c>
    </row>
    <row r="7543" spans="1:19" x14ac:dyDescent="0.35">
      <c r="A7543">
        <v>9223</v>
      </c>
      <c r="B7543" t="s">
        <v>34738</v>
      </c>
      <c r="C7543" t="s">
        <v>42</v>
      </c>
      <c r="D7543" t="s">
        <v>34739</v>
      </c>
      <c r="E7543" t="e" cm="1">
        <f t="array" ref="E7543">- BISOPROLOL FUMARATE</f>
        <v>#NAME?</v>
      </c>
      <c r="F7543" t="s">
        <v>34740</v>
      </c>
      <c r="G7543" t="s">
        <v>23278</v>
      </c>
      <c r="H7543" t="s">
        <v>34607</v>
      </c>
      <c r="I7543" t="s">
        <v>34608</v>
      </c>
      <c r="J7543" t="s">
        <v>2478</v>
      </c>
      <c r="K7543" t="s">
        <v>34609</v>
      </c>
      <c r="L7543" t="s">
        <v>34610</v>
      </c>
      <c r="M7543" t="s">
        <v>46</v>
      </c>
      <c r="N7543" t="s">
        <v>6182</v>
      </c>
      <c r="O7543" t="s">
        <v>34611</v>
      </c>
      <c r="P7543" t="s">
        <v>34709</v>
      </c>
      <c r="Q7543" t="s">
        <v>34710</v>
      </c>
      <c r="R7543">
        <v>22</v>
      </c>
      <c r="S7543">
        <v>32</v>
      </c>
    </row>
    <row r="7544" spans="1:19" x14ac:dyDescent="0.35">
      <c r="A7544">
        <v>1577</v>
      </c>
      <c r="B7544" t="s">
        <v>24403</v>
      </c>
      <c r="C7544" t="s">
        <v>42</v>
      </c>
      <c r="D7544" t="s">
        <v>24404</v>
      </c>
      <c r="E7544" t="e" cm="1">
        <f t="array" ref="E7544">- AMMONIUM CHLORIDE. CHLORPHENAMINE MALEATE. PHENYLEPHRINE HYDROCHLORIDE. GUAIFENESIN. SUCCUS LIQUIRITIAE</f>
        <v>#NAME?</v>
      </c>
      <c r="F7544" t="s">
        <v>24405</v>
      </c>
      <c r="H7544" t="s">
        <v>24406</v>
      </c>
      <c r="I7544" t="s">
        <v>24407</v>
      </c>
      <c r="J7544" t="s">
        <v>24408</v>
      </c>
      <c r="M7544" t="s">
        <v>271</v>
      </c>
      <c r="N7544" t="s">
        <v>34753</v>
      </c>
      <c r="O7544" t="s">
        <v>24409</v>
      </c>
      <c r="P7544" t="s">
        <v>24410</v>
      </c>
      <c r="Q7544" t="s">
        <v>34754</v>
      </c>
      <c r="R7544">
        <v>22</v>
      </c>
      <c r="S7544">
        <v>32</v>
      </c>
    </row>
    <row r="7545" spans="1:19" x14ac:dyDescent="0.35">
      <c r="A7545">
        <v>9082</v>
      </c>
      <c r="B7545" t="s">
        <v>32372</v>
      </c>
      <c r="C7545" t="s">
        <v>42</v>
      </c>
      <c r="D7545" t="s">
        <v>32373</v>
      </c>
      <c r="E7545" t="e" cm="1">
        <f t="array" ref="E7545">- PERINDOPRIL ARGININE. AMLODIPINE BESILATE</f>
        <v>#NAME?</v>
      </c>
      <c r="F7545" t="s">
        <v>32374</v>
      </c>
      <c r="G7545" t="s">
        <v>31652</v>
      </c>
      <c r="H7545" t="s">
        <v>31653</v>
      </c>
      <c r="I7545" t="s">
        <v>32375</v>
      </c>
      <c r="J7545" t="s">
        <v>32376</v>
      </c>
      <c r="K7545" t="s">
        <v>31656</v>
      </c>
      <c r="L7545" t="s">
        <v>32377</v>
      </c>
      <c r="M7545" t="s">
        <v>46</v>
      </c>
      <c r="N7545" t="s">
        <v>34595</v>
      </c>
      <c r="O7545" t="s">
        <v>32378</v>
      </c>
      <c r="P7545" t="s">
        <v>31659</v>
      </c>
      <c r="Q7545" t="s">
        <v>34755</v>
      </c>
      <c r="R7545">
        <v>22</v>
      </c>
      <c r="S7545">
        <v>32</v>
      </c>
    </row>
    <row r="7546" spans="1:19" x14ac:dyDescent="0.35">
      <c r="A7546">
        <v>9222</v>
      </c>
      <c r="B7546" t="s">
        <v>34738</v>
      </c>
      <c r="C7546" t="s">
        <v>42</v>
      </c>
      <c r="D7546" t="s">
        <v>34739</v>
      </c>
      <c r="E7546" t="e" cm="1">
        <f t="array" ref="E7546">- BISOPROLOL FUMARATE</f>
        <v>#NAME?</v>
      </c>
      <c r="F7546" t="s">
        <v>34740</v>
      </c>
      <c r="G7546" t="s">
        <v>23278</v>
      </c>
      <c r="H7546" t="s">
        <v>34607</v>
      </c>
      <c r="I7546" t="s">
        <v>34608</v>
      </c>
      <c r="J7546" t="s">
        <v>2478</v>
      </c>
      <c r="K7546" t="s">
        <v>34609</v>
      </c>
      <c r="L7546" t="s">
        <v>34610</v>
      </c>
      <c r="M7546" t="s">
        <v>46</v>
      </c>
      <c r="N7546" t="s">
        <v>6182</v>
      </c>
      <c r="O7546" t="s">
        <v>34611</v>
      </c>
      <c r="P7546" t="s">
        <v>34709</v>
      </c>
      <c r="Q7546" t="s">
        <v>34710</v>
      </c>
      <c r="R7546">
        <v>22</v>
      </c>
      <c r="S7546">
        <v>32</v>
      </c>
    </row>
    <row r="7547" spans="1:19" x14ac:dyDescent="0.35">
      <c r="A7547">
        <v>4537</v>
      </c>
      <c r="B7547" t="s">
        <v>26526</v>
      </c>
      <c r="C7547" t="s">
        <v>42</v>
      </c>
      <c r="D7547" t="s">
        <v>27519</v>
      </c>
      <c r="E7547" t="e" cm="1">
        <f t="array" ref="E7547">- DEXAMETHASONE SODIUM PHOSPHATE. NEOMYCIN SULFATE. POLYMYXIN B SULFATE</f>
        <v>#NAME?</v>
      </c>
      <c r="F7547" t="s">
        <v>27520</v>
      </c>
      <c r="G7547" t="s">
        <v>27521</v>
      </c>
      <c r="H7547" t="s">
        <v>26529</v>
      </c>
      <c r="I7547" t="s">
        <v>27522</v>
      </c>
      <c r="J7547" t="s">
        <v>18334</v>
      </c>
      <c r="K7547" t="s">
        <v>2726</v>
      </c>
      <c r="L7547" t="s">
        <v>19404</v>
      </c>
      <c r="M7547" t="s">
        <v>824</v>
      </c>
      <c r="N7547" t="s">
        <v>33939</v>
      </c>
      <c r="O7547" t="s">
        <v>26533</v>
      </c>
      <c r="P7547" t="s">
        <v>27523</v>
      </c>
      <c r="Q7547" t="s">
        <v>34743</v>
      </c>
      <c r="R7547">
        <v>22</v>
      </c>
      <c r="S7547">
        <v>32</v>
      </c>
    </row>
    <row r="7548" spans="1:19" x14ac:dyDescent="0.35">
      <c r="A7548">
        <v>898</v>
      </c>
      <c r="B7548" t="s">
        <v>30199</v>
      </c>
      <c r="C7548" t="s">
        <v>42</v>
      </c>
      <c r="D7548" t="s">
        <v>30311</v>
      </c>
      <c r="E7548" t="e" cm="1">
        <f t="array" ref="E7548">- PARACETAMOL. PHENYLPROPANOLAMINE HYDROCHLORIDE. CHLORPHENAMINE MALEATE. GUAIFENESIN</f>
        <v>#NAME?</v>
      </c>
      <c r="F7548" s="1">
        <v>2600</v>
      </c>
      <c r="G7548" t="s">
        <v>2241</v>
      </c>
      <c r="H7548" t="s">
        <v>30202</v>
      </c>
      <c r="I7548" t="s">
        <v>29641</v>
      </c>
      <c r="J7548" t="s">
        <v>30312</v>
      </c>
      <c r="K7548" t="s">
        <v>30313</v>
      </c>
      <c r="L7548" t="s">
        <v>30314</v>
      </c>
      <c r="M7548" t="s">
        <v>291</v>
      </c>
      <c r="N7548" t="s">
        <v>32489</v>
      </c>
      <c r="O7548" t="s">
        <v>29642</v>
      </c>
      <c r="P7548" t="s">
        <v>18538</v>
      </c>
      <c r="Q7548" t="s">
        <v>34685</v>
      </c>
      <c r="R7548">
        <v>22</v>
      </c>
      <c r="S7548">
        <v>32</v>
      </c>
    </row>
    <row r="7549" spans="1:19" x14ac:dyDescent="0.35">
      <c r="A7549">
        <v>2790</v>
      </c>
      <c r="B7549" t="s">
        <v>27982</v>
      </c>
      <c r="C7549" t="s">
        <v>42</v>
      </c>
      <c r="D7549" t="s">
        <v>34728</v>
      </c>
      <c r="E7549" t="e" cm="1">
        <f t="array" ref="E7549">- PARACETAMOL</f>
        <v>#NAME?</v>
      </c>
      <c r="F7549" t="s">
        <v>34729</v>
      </c>
      <c r="G7549" t="s">
        <v>6869</v>
      </c>
      <c r="H7549" t="s">
        <v>27985</v>
      </c>
      <c r="I7549" t="s">
        <v>32224</v>
      </c>
      <c r="J7549" t="s">
        <v>334</v>
      </c>
      <c r="K7549" t="s">
        <v>34730</v>
      </c>
      <c r="L7549" t="s">
        <v>34731</v>
      </c>
      <c r="M7549" t="s">
        <v>271</v>
      </c>
      <c r="N7549" t="s">
        <v>584</v>
      </c>
      <c r="O7549" t="s">
        <v>32225</v>
      </c>
      <c r="P7549" t="s">
        <v>27990</v>
      </c>
      <c r="Q7549" t="s">
        <v>34732</v>
      </c>
      <c r="R7549">
        <v>22</v>
      </c>
      <c r="S7549">
        <v>32</v>
      </c>
    </row>
    <row r="7550" spans="1:19" x14ac:dyDescent="0.35">
      <c r="A7550">
        <v>2455</v>
      </c>
      <c r="B7550" t="s">
        <v>34195</v>
      </c>
      <c r="C7550" t="s">
        <v>42</v>
      </c>
      <c r="D7550" t="s">
        <v>34196</v>
      </c>
      <c r="E7550" t="e" cm="1">
        <f t="array" ref="E7550">- PARACETAMOL. CAFFEINE</f>
        <v>#NAME?</v>
      </c>
      <c r="F7550" t="s">
        <v>34197</v>
      </c>
      <c r="H7550" t="s">
        <v>34198</v>
      </c>
      <c r="I7550" t="s">
        <v>32224</v>
      </c>
      <c r="J7550" t="s">
        <v>24355</v>
      </c>
      <c r="M7550" t="s">
        <v>291</v>
      </c>
      <c r="N7550" t="s">
        <v>3655</v>
      </c>
      <c r="O7550" t="s">
        <v>32225</v>
      </c>
      <c r="P7550" t="s">
        <v>34199</v>
      </c>
      <c r="Q7550" t="s">
        <v>34756</v>
      </c>
      <c r="R7550">
        <v>22</v>
      </c>
      <c r="S7550">
        <v>32</v>
      </c>
    </row>
    <row r="7551" spans="1:19" x14ac:dyDescent="0.35">
      <c r="A7551">
        <v>4475</v>
      </c>
      <c r="B7551" t="s">
        <v>31559</v>
      </c>
      <c r="C7551" t="s">
        <v>42</v>
      </c>
      <c r="D7551" t="s">
        <v>31560</v>
      </c>
      <c r="E7551" t="e" cm="1">
        <f t="array" ref="E7551">- DEXAMETHASONE. NEOMYCIN SULFATE. POLYMYXIN B SULFATE</f>
        <v>#NAME?</v>
      </c>
      <c r="F7551" t="s">
        <v>31561</v>
      </c>
      <c r="G7551" t="s">
        <v>31562</v>
      </c>
      <c r="H7551" t="s">
        <v>31563</v>
      </c>
      <c r="I7551" t="s">
        <v>31564</v>
      </c>
      <c r="J7551" t="s">
        <v>31565</v>
      </c>
      <c r="K7551" t="s">
        <v>31566</v>
      </c>
      <c r="L7551" t="s">
        <v>31567</v>
      </c>
      <c r="M7551" t="s">
        <v>824</v>
      </c>
      <c r="N7551" t="s">
        <v>34711</v>
      </c>
      <c r="O7551" t="s">
        <v>31568</v>
      </c>
      <c r="P7551" t="s">
        <v>31569</v>
      </c>
      <c r="Q7551" t="s">
        <v>34712</v>
      </c>
      <c r="R7551">
        <v>22</v>
      </c>
      <c r="S7551">
        <v>32</v>
      </c>
    </row>
    <row r="7552" spans="1:19" x14ac:dyDescent="0.35">
      <c r="A7552">
        <v>896</v>
      </c>
      <c r="B7552" t="s">
        <v>30199</v>
      </c>
      <c r="C7552" t="s">
        <v>42</v>
      </c>
      <c r="D7552" t="s">
        <v>30200</v>
      </c>
      <c r="E7552" t="e" cm="1">
        <f t="array" ref="E7552">- PARACETAMOL. PHENYLPROPANOLAMINE HYDROCHLORIDE. CHLORPHENAMINE MALEATE. GUAIFENESIN</f>
        <v>#NAME?</v>
      </c>
      <c r="F7552" t="s">
        <v>30201</v>
      </c>
      <c r="G7552" t="s">
        <v>2241</v>
      </c>
      <c r="H7552" t="s">
        <v>30202</v>
      </c>
      <c r="I7552" t="s">
        <v>29641</v>
      </c>
      <c r="J7552" t="s">
        <v>727</v>
      </c>
      <c r="K7552" t="s">
        <v>30203</v>
      </c>
      <c r="L7552" t="s">
        <v>30204</v>
      </c>
      <c r="M7552" t="s">
        <v>291</v>
      </c>
      <c r="N7552" t="s">
        <v>32489</v>
      </c>
      <c r="O7552" t="s">
        <v>29642</v>
      </c>
      <c r="P7552" t="s">
        <v>18538</v>
      </c>
      <c r="Q7552" t="s">
        <v>34685</v>
      </c>
      <c r="R7552">
        <v>22</v>
      </c>
      <c r="S7552">
        <v>32</v>
      </c>
    </row>
    <row r="7553" spans="1:19" x14ac:dyDescent="0.35">
      <c r="A7553">
        <v>9017</v>
      </c>
      <c r="B7553" t="s">
        <v>34757</v>
      </c>
      <c r="C7553" t="s">
        <v>42</v>
      </c>
      <c r="D7553" t="s">
        <v>34758</v>
      </c>
      <c r="E7553" t="e" cm="1">
        <f t="array" ref="E7553">- BISOPROLOL FUMARATE</f>
        <v>#NAME?</v>
      </c>
      <c r="F7553" t="s">
        <v>34759</v>
      </c>
      <c r="G7553" t="s">
        <v>23278</v>
      </c>
      <c r="H7553" t="s">
        <v>34607</v>
      </c>
      <c r="I7553" t="s">
        <v>34608</v>
      </c>
      <c r="J7553" t="s">
        <v>45</v>
      </c>
      <c r="K7553" t="s">
        <v>34609</v>
      </c>
      <c r="L7553" t="s">
        <v>34610</v>
      </c>
      <c r="M7553" t="s">
        <v>46</v>
      </c>
      <c r="N7553" t="s">
        <v>6182</v>
      </c>
      <c r="O7553" t="s">
        <v>34611</v>
      </c>
      <c r="P7553" t="s">
        <v>6479</v>
      </c>
      <c r="Q7553" t="s">
        <v>34760</v>
      </c>
      <c r="R7553">
        <v>22</v>
      </c>
      <c r="S7553">
        <v>32</v>
      </c>
    </row>
    <row r="7554" spans="1:19" x14ac:dyDescent="0.35">
      <c r="A7554">
        <v>9932</v>
      </c>
      <c r="B7554" t="s">
        <v>20885</v>
      </c>
      <c r="C7554" t="s">
        <v>42</v>
      </c>
      <c r="D7554" t="s">
        <v>34761</v>
      </c>
      <c r="E7554" t="e" cm="1">
        <f t="array" ref="E7554">- ISOSORBIDE DINITRATE</f>
        <v>#NAME?</v>
      </c>
      <c r="F7554" t="s">
        <v>34762</v>
      </c>
      <c r="G7554" t="s">
        <v>20888</v>
      </c>
      <c r="H7554" t="s">
        <v>34763</v>
      </c>
      <c r="I7554" t="s">
        <v>34764</v>
      </c>
      <c r="J7554" t="s">
        <v>34765</v>
      </c>
      <c r="K7554" t="s">
        <v>20891</v>
      </c>
      <c r="L7554" t="s">
        <v>20892</v>
      </c>
      <c r="M7554" t="s">
        <v>46</v>
      </c>
      <c r="N7554" t="s">
        <v>6733</v>
      </c>
      <c r="O7554" t="s">
        <v>33831</v>
      </c>
      <c r="P7554" t="s">
        <v>34766</v>
      </c>
      <c r="Q7554" t="s">
        <v>34767</v>
      </c>
      <c r="R7554">
        <v>22</v>
      </c>
      <c r="S7554">
        <v>32</v>
      </c>
    </row>
    <row r="7555" spans="1:19" x14ac:dyDescent="0.35">
      <c r="A7555">
        <v>2642</v>
      </c>
      <c r="B7555" t="s">
        <v>34768</v>
      </c>
      <c r="C7555" t="s">
        <v>42</v>
      </c>
      <c r="D7555" t="s">
        <v>34769</v>
      </c>
      <c r="E7555" t="e" cm="1">
        <f t="array" ref="E7555">- MEFENAMIC ACID</f>
        <v>#NAME?</v>
      </c>
      <c r="F7555" t="s">
        <v>17069</v>
      </c>
      <c r="G7555" t="s">
        <v>34084</v>
      </c>
      <c r="H7555" t="s">
        <v>34085</v>
      </c>
      <c r="I7555" t="s">
        <v>34272</v>
      </c>
      <c r="J7555" t="s">
        <v>9710</v>
      </c>
      <c r="K7555" t="s">
        <v>34770</v>
      </c>
      <c r="L7555" t="s">
        <v>34129</v>
      </c>
      <c r="M7555" t="s">
        <v>291</v>
      </c>
      <c r="N7555" t="s">
        <v>2235</v>
      </c>
      <c r="O7555" t="s">
        <v>34090</v>
      </c>
      <c r="P7555" t="s">
        <v>34771</v>
      </c>
      <c r="Q7555" t="s">
        <v>34772</v>
      </c>
      <c r="R7555">
        <v>22</v>
      </c>
      <c r="S7555">
        <v>32</v>
      </c>
    </row>
    <row r="7556" spans="1:19" x14ac:dyDescent="0.35">
      <c r="A7556">
        <v>2803</v>
      </c>
      <c r="B7556" t="s">
        <v>27982</v>
      </c>
      <c r="C7556" t="s">
        <v>42</v>
      </c>
      <c r="D7556" t="s">
        <v>34773</v>
      </c>
      <c r="E7556" t="e" cm="1">
        <f t="array" ref="E7556">- PARACETAMOL</f>
        <v>#NAME?</v>
      </c>
      <c r="F7556" t="s">
        <v>34774</v>
      </c>
      <c r="G7556" t="s">
        <v>6869</v>
      </c>
      <c r="H7556" t="s">
        <v>27985</v>
      </c>
      <c r="I7556" t="s">
        <v>32224</v>
      </c>
      <c r="J7556" t="s">
        <v>374</v>
      </c>
      <c r="K7556" t="s">
        <v>27987</v>
      </c>
      <c r="L7556" t="s">
        <v>34731</v>
      </c>
      <c r="M7556" t="s">
        <v>271</v>
      </c>
      <c r="N7556" t="s">
        <v>584</v>
      </c>
      <c r="O7556" t="s">
        <v>32225</v>
      </c>
      <c r="P7556" t="s">
        <v>27990</v>
      </c>
      <c r="Q7556" t="s">
        <v>34732</v>
      </c>
      <c r="R7556">
        <v>22</v>
      </c>
      <c r="S7556">
        <v>32</v>
      </c>
    </row>
    <row r="7557" spans="1:19" x14ac:dyDescent="0.35">
      <c r="A7557">
        <v>6219</v>
      </c>
      <c r="B7557" t="s">
        <v>34397</v>
      </c>
      <c r="C7557" t="s">
        <v>42</v>
      </c>
      <c r="D7557" t="s">
        <v>34398</v>
      </c>
      <c r="E7557" t="e" cm="1">
        <f t="array" ref="E7557">- SULFAMETHOXAZOLE. TRIMETHOPRIM</f>
        <v>#NAME?</v>
      </c>
      <c r="F7557" t="s">
        <v>18612</v>
      </c>
      <c r="G7557" t="s">
        <v>34399</v>
      </c>
      <c r="H7557" t="s">
        <v>34400</v>
      </c>
      <c r="I7557" t="s">
        <v>34401</v>
      </c>
      <c r="J7557" t="s">
        <v>3926</v>
      </c>
      <c r="K7557" t="s">
        <v>34402</v>
      </c>
      <c r="L7557" t="s">
        <v>34403</v>
      </c>
      <c r="M7557" t="s">
        <v>291</v>
      </c>
      <c r="N7557" t="s">
        <v>1379</v>
      </c>
      <c r="O7557" t="s">
        <v>34404</v>
      </c>
      <c r="P7557" t="s">
        <v>34405</v>
      </c>
      <c r="Q7557" t="s">
        <v>34775</v>
      </c>
      <c r="R7557">
        <v>22</v>
      </c>
      <c r="S7557">
        <v>32</v>
      </c>
    </row>
    <row r="7558" spans="1:19" x14ac:dyDescent="0.35">
      <c r="A7558">
        <v>9220</v>
      </c>
      <c r="B7558" t="s">
        <v>34706</v>
      </c>
      <c r="C7558" t="s">
        <v>42</v>
      </c>
      <c r="D7558" t="s">
        <v>34707</v>
      </c>
      <c r="E7558" t="e" cm="1">
        <f t="array" ref="E7558">- BISOPROLOL FUMARATE</f>
        <v>#NAME?</v>
      </c>
      <c r="F7558" t="s">
        <v>34708</v>
      </c>
      <c r="G7558" t="s">
        <v>23278</v>
      </c>
      <c r="H7558" t="s">
        <v>34607</v>
      </c>
      <c r="I7558" t="s">
        <v>34608</v>
      </c>
      <c r="J7558" t="s">
        <v>2478</v>
      </c>
      <c r="K7558" t="s">
        <v>34609</v>
      </c>
      <c r="L7558" t="s">
        <v>34610</v>
      </c>
      <c r="M7558" t="s">
        <v>46</v>
      </c>
      <c r="N7558" t="s">
        <v>6182</v>
      </c>
      <c r="O7558" t="s">
        <v>34611</v>
      </c>
      <c r="P7558" t="s">
        <v>34709</v>
      </c>
      <c r="Q7558" t="s">
        <v>34710</v>
      </c>
      <c r="R7558">
        <v>22</v>
      </c>
      <c r="S7558">
        <v>32</v>
      </c>
    </row>
    <row r="7559" spans="1:19" x14ac:dyDescent="0.35">
      <c r="A7559">
        <v>2802</v>
      </c>
      <c r="B7559" t="s">
        <v>27982</v>
      </c>
      <c r="C7559" t="s">
        <v>42</v>
      </c>
      <c r="D7559" t="s">
        <v>34773</v>
      </c>
      <c r="E7559" t="e" cm="1">
        <f t="array" ref="E7559">- PARACETAMOL</f>
        <v>#NAME?</v>
      </c>
      <c r="F7559" t="s">
        <v>34774</v>
      </c>
      <c r="G7559" t="s">
        <v>6869</v>
      </c>
      <c r="H7559" t="s">
        <v>27985</v>
      </c>
      <c r="I7559" t="s">
        <v>32224</v>
      </c>
      <c r="J7559" t="s">
        <v>374</v>
      </c>
      <c r="K7559" t="s">
        <v>27987</v>
      </c>
      <c r="L7559" t="s">
        <v>34731</v>
      </c>
      <c r="M7559" t="s">
        <v>271</v>
      </c>
      <c r="N7559" t="s">
        <v>584</v>
      </c>
      <c r="O7559" t="s">
        <v>32225</v>
      </c>
      <c r="P7559" t="s">
        <v>27990</v>
      </c>
      <c r="Q7559" t="s">
        <v>34732</v>
      </c>
      <c r="R7559">
        <v>22</v>
      </c>
      <c r="S7559">
        <v>32</v>
      </c>
    </row>
    <row r="7560" spans="1:19" x14ac:dyDescent="0.35">
      <c r="A7560">
        <v>2801</v>
      </c>
      <c r="B7560" t="s">
        <v>27982</v>
      </c>
      <c r="C7560" t="s">
        <v>42</v>
      </c>
      <c r="D7560" t="s">
        <v>34773</v>
      </c>
      <c r="E7560" t="e" cm="1">
        <f t="array" ref="E7560">- PARACETAMOL</f>
        <v>#NAME?</v>
      </c>
      <c r="F7560" t="s">
        <v>34774</v>
      </c>
      <c r="G7560" t="s">
        <v>6869</v>
      </c>
      <c r="H7560" t="s">
        <v>27985</v>
      </c>
      <c r="I7560" t="s">
        <v>32224</v>
      </c>
      <c r="J7560" t="s">
        <v>374</v>
      </c>
      <c r="K7560" t="s">
        <v>27987</v>
      </c>
      <c r="L7560" t="s">
        <v>34731</v>
      </c>
      <c r="M7560" t="s">
        <v>271</v>
      </c>
      <c r="N7560" t="s">
        <v>584</v>
      </c>
      <c r="O7560" t="s">
        <v>32225</v>
      </c>
      <c r="P7560" t="s">
        <v>27990</v>
      </c>
      <c r="Q7560" t="s">
        <v>34732</v>
      </c>
      <c r="R7560">
        <v>22</v>
      </c>
      <c r="S7560">
        <v>32</v>
      </c>
    </row>
    <row r="7561" spans="1:19" x14ac:dyDescent="0.35">
      <c r="A7561">
        <v>2800</v>
      </c>
      <c r="B7561" t="s">
        <v>27982</v>
      </c>
      <c r="C7561" t="s">
        <v>42</v>
      </c>
      <c r="D7561" t="s">
        <v>34773</v>
      </c>
      <c r="E7561" t="e" cm="1">
        <f t="array" ref="E7561">- PARACETAMOL</f>
        <v>#NAME?</v>
      </c>
      <c r="F7561" t="s">
        <v>34774</v>
      </c>
      <c r="G7561" t="s">
        <v>6869</v>
      </c>
      <c r="H7561" t="s">
        <v>27985</v>
      </c>
      <c r="I7561" t="s">
        <v>32224</v>
      </c>
      <c r="J7561" t="s">
        <v>374</v>
      </c>
      <c r="K7561" t="s">
        <v>27987</v>
      </c>
      <c r="L7561" t="s">
        <v>34731</v>
      </c>
      <c r="M7561" t="s">
        <v>271</v>
      </c>
      <c r="N7561" t="s">
        <v>584</v>
      </c>
      <c r="O7561" t="s">
        <v>32225</v>
      </c>
      <c r="P7561" t="s">
        <v>27990</v>
      </c>
      <c r="Q7561" t="s">
        <v>34732</v>
      </c>
      <c r="R7561">
        <v>22</v>
      </c>
      <c r="S7561">
        <v>32</v>
      </c>
    </row>
    <row r="7562" spans="1:19" x14ac:dyDescent="0.35">
      <c r="A7562">
        <v>1772</v>
      </c>
      <c r="B7562" t="s">
        <v>34776</v>
      </c>
      <c r="C7562" t="s">
        <v>850</v>
      </c>
      <c r="D7562" t="s">
        <v>34777</v>
      </c>
      <c r="E7562" t="e" cm="1">
        <f t="array" ref="E7562">- Eucalyptus Oil</f>
        <v>#NAME?</v>
      </c>
      <c r="F7562" t="s">
        <v>34778</v>
      </c>
      <c r="G7562" t="s">
        <v>27012</v>
      </c>
      <c r="H7562" t="s">
        <v>13586</v>
      </c>
      <c r="I7562" t="s">
        <v>34779</v>
      </c>
      <c r="J7562" t="s">
        <v>1824</v>
      </c>
      <c r="K7562" t="s">
        <v>2858</v>
      </c>
      <c r="L7562" t="s">
        <v>27014</v>
      </c>
      <c r="M7562" t="s">
        <v>2115</v>
      </c>
      <c r="N7562" t="s">
        <v>34780</v>
      </c>
      <c r="O7562" t="s">
        <v>34781</v>
      </c>
      <c r="P7562" t="s">
        <v>34782</v>
      </c>
      <c r="Q7562" t="s">
        <v>34783</v>
      </c>
      <c r="R7562">
        <v>22</v>
      </c>
      <c r="S7562">
        <v>32</v>
      </c>
    </row>
    <row r="7563" spans="1:19" x14ac:dyDescent="0.35">
      <c r="A7563">
        <v>9132</v>
      </c>
      <c r="B7563" t="s">
        <v>34784</v>
      </c>
      <c r="C7563" t="s">
        <v>42</v>
      </c>
      <c r="D7563" t="s">
        <v>34785</v>
      </c>
      <c r="E7563" t="e" cm="1">
        <f t="array" ref="E7563">- BISOPROLOL HEMIFUMARATE</f>
        <v>#NAME?</v>
      </c>
      <c r="F7563" t="s">
        <v>34786</v>
      </c>
      <c r="G7563" t="s">
        <v>23278</v>
      </c>
      <c r="H7563" t="s">
        <v>34607</v>
      </c>
      <c r="I7563" t="s">
        <v>34608</v>
      </c>
      <c r="J7563" t="s">
        <v>45</v>
      </c>
      <c r="K7563" t="s">
        <v>34609</v>
      </c>
      <c r="L7563" t="s">
        <v>34610</v>
      </c>
      <c r="M7563" t="s">
        <v>46</v>
      </c>
      <c r="N7563" t="s">
        <v>34741</v>
      </c>
      <c r="O7563" t="s">
        <v>34611</v>
      </c>
      <c r="P7563" t="s">
        <v>34787</v>
      </c>
      <c r="Q7563" t="s">
        <v>34788</v>
      </c>
      <c r="R7563">
        <v>22</v>
      </c>
      <c r="S7563">
        <v>32</v>
      </c>
    </row>
    <row r="7564" spans="1:19" x14ac:dyDescent="0.35">
      <c r="A7564">
        <v>2799</v>
      </c>
      <c r="B7564" t="s">
        <v>27982</v>
      </c>
      <c r="C7564" t="s">
        <v>42</v>
      </c>
      <c r="D7564" t="s">
        <v>34773</v>
      </c>
      <c r="E7564" t="e" cm="1">
        <f t="array" ref="E7564">- PARACETAMOL</f>
        <v>#NAME?</v>
      </c>
      <c r="F7564" t="s">
        <v>34774</v>
      </c>
      <c r="G7564" t="s">
        <v>6869</v>
      </c>
      <c r="H7564" t="s">
        <v>27985</v>
      </c>
      <c r="I7564" t="s">
        <v>32224</v>
      </c>
      <c r="J7564" t="s">
        <v>374</v>
      </c>
      <c r="K7564" t="s">
        <v>27987</v>
      </c>
      <c r="L7564" t="s">
        <v>34731</v>
      </c>
      <c r="M7564" t="s">
        <v>271</v>
      </c>
      <c r="N7564" t="s">
        <v>584</v>
      </c>
      <c r="O7564" t="s">
        <v>32225</v>
      </c>
      <c r="P7564" t="s">
        <v>27990</v>
      </c>
      <c r="Q7564" t="s">
        <v>34732</v>
      </c>
      <c r="R7564">
        <v>22</v>
      </c>
      <c r="S7564">
        <v>32</v>
      </c>
    </row>
    <row r="7565" spans="1:19" x14ac:dyDescent="0.35">
      <c r="A7565">
        <v>9131</v>
      </c>
      <c r="B7565" t="s">
        <v>34784</v>
      </c>
      <c r="C7565" t="s">
        <v>42</v>
      </c>
      <c r="D7565" t="s">
        <v>34785</v>
      </c>
      <c r="E7565" t="e" cm="1">
        <f t="array" ref="E7565">- BISOPROLOL FUMARATE</f>
        <v>#NAME?</v>
      </c>
      <c r="F7565" t="s">
        <v>34786</v>
      </c>
      <c r="G7565" t="s">
        <v>23278</v>
      </c>
      <c r="H7565" t="s">
        <v>34607</v>
      </c>
      <c r="I7565" t="s">
        <v>34608</v>
      </c>
      <c r="J7565" t="s">
        <v>45</v>
      </c>
      <c r="K7565" t="s">
        <v>34609</v>
      </c>
      <c r="L7565" t="s">
        <v>34610</v>
      </c>
      <c r="M7565" t="s">
        <v>46</v>
      </c>
      <c r="N7565" t="s">
        <v>6182</v>
      </c>
      <c r="O7565" t="s">
        <v>34611</v>
      </c>
      <c r="P7565" t="s">
        <v>34787</v>
      </c>
      <c r="Q7565" t="s">
        <v>34789</v>
      </c>
      <c r="R7565">
        <v>22</v>
      </c>
      <c r="S7565">
        <v>32</v>
      </c>
    </row>
    <row r="7566" spans="1:19" x14ac:dyDescent="0.35">
      <c r="A7566">
        <v>2792</v>
      </c>
      <c r="B7566" t="s">
        <v>27982</v>
      </c>
      <c r="C7566" t="s">
        <v>42</v>
      </c>
      <c r="D7566" t="s">
        <v>34728</v>
      </c>
      <c r="E7566" t="e" cm="1">
        <f t="array" ref="E7566">- PARACETAMOL</f>
        <v>#NAME?</v>
      </c>
      <c r="F7566" t="s">
        <v>34729</v>
      </c>
      <c r="G7566" t="s">
        <v>6869</v>
      </c>
      <c r="H7566" t="s">
        <v>27985</v>
      </c>
      <c r="I7566" t="s">
        <v>32224</v>
      </c>
      <c r="J7566" t="s">
        <v>334</v>
      </c>
      <c r="K7566" t="s">
        <v>34730</v>
      </c>
      <c r="L7566" t="s">
        <v>34731</v>
      </c>
      <c r="M7566" t="s">
        <v>271</v>
      </c>
      <c r="N7566" t="s">
        <v>584</v>
      </c>
      <c r="O7566" t="s">
        <v>32225</v>
      </c>
      <c r="P7566" t="s">
        <v>27990</v>
      </c>
      <c r="Q7566" t="s">
        <v>34732</v>
      </c>
      <c r="R7566">
        <v>22</v>
      </c>
      <c r="S7566">
        <v>32</v>
      </c>
    </row>
    <row r="7567" spans="1:19" x14ac:dyDescent="0.35">
      <c r="A7567">
        <v>1834</v>
      </c>
      <c r="B7567" t="s">
        <v>34790</v>
      </c>
      <c r="C7567" t="s">
        <v>42</v>
      </c>
      <c r="D7567" t="s">
        <v>34791</v>
      </c>
      <c r="E7567" t="e" cm="1">
        <f t="array" ref="E7567">- AMMONIUM CHLORIDE</f>
        <v>#NAME?</v>
      </c>
      <c r="F7567" t="s">
        <v>34792</v>
      </c>
      <c r="G7567" t="s">
        <v>60</v>
      </c>
      <c r="H7567" t="s">
        <v>34793</v>
      </c>
      <c r="I7567" t="s">
        <v>34794</v>
      </c>
      <c r="J7567" t="s">
        <v>630</v>
      </c>
      <c r="K7567" t="s">
        <v>34795</v>
      </c>
      <c r="L7567" t="s">
        <v>34796</v>
      </c>
      <c r="M7567" t="s">
        <v>271</v>
      </c>
      <c r="N7567" t="s">
        <v>1672</v>
      </c>
      <c r="O7567" t="s">
        <v>34797</v>
      </c>
      <c r="P7567" t="s">
        <v>34798</v>
      </c>
      <c r="Q7567" t="s">
        <v>34799</v>
      </c>
      <c r="R7567">
        <v>22</v>
      </c>
      <c r="S7567">
        <v>32</v>
      </c>
    </row>
    <row r="7568" spans="1:19" x14ac:dyDescent="0.35">
      <c r="A7568">
        <v>2791</v>
      </c>
      <c r="B7568" t="s">
        <v>27982</v>
      </c>
      <c r="C7568" t="s">
        <v>42</v>
      </c>
      <c r="D7568" t="s">
        <v>34728</v>
      </c>
      <c r="E7568" t="e" cm="1">
        <f t="array" ref="E7568">- PARACETAMOL</f>
        <v>#NAME?</v>
      </c>
      <c r="F7568" t="s">
        <v>34729</v>
      </c>
      <c r="G7568" t="s">
        <v>6869</v>
      </c>
      <c r="H7568" t="s">
        <v>27985</v>
      </c>
      <c r="I7568" t="s">
        <v>32224</v>
      </c>
      <c r="J7568" t="s">
        <v>334</v>
      </c>
      <c r="K7568" t="s">
        <v>34730</v>
      </c>
      <c r="L7568" t="s">
        <v>34731</v>
      </c>
      <c r="M7568" t="s">
        <v>271</v>
      </c>
      <c r="N7568" t="s">
        <v>584</v>
      </c>
      <c r="O7568" t="s">
        <v>32225</v>
      </c>
      <c r="P7568" t="s">
        <v>27990</v>
      </c>
      <c r="Q7568" t="s">
        <v>34732</v>
      </c>
      <c r="R7568">
        <v>22</v>
      </c>
      <c r="S7568">
        <v>32</v>
      </c>
    </row>
    <row r="7569" spans="1:19" x14ac:dyDescent="0.35">
      <c r="A7569">
        <v>1797</v>
      </c>
      <c r="B7569" t="s">
        <v>13250</v>
      </c>
      <c r="C7569" t="s">
        <v>850</v>
      </c>
      <c r="D7569" t="s">
        <v>33504</v>
      </c>
      <c r="E7569" t="e" cm="1">
        <f t="array" ref="E7569">- Lemon Oil</f>
        <v>#NAME?</v>
      </c>
      <c r="F7569" s="1">
        <v>143800</v>
      </c>
      <c r="G7569" t="s">
        <v>33505</v>
      </c>
      <c r="H7569" t="s">
        <v>33506</v>
      </c>
      <c r="I7569" t="s">
        <v>33507</v>
      </c>
      <c r="J7569" t="s">
        <v>33508</v>
      </c>
      <c r="M7569" t="s">
        <v>3453</v>
      </c>
      <c r="N7569" t="s">
        <v>13251</v>
      </c>
      <c r="O7569" t="s">
        <v>33509</v>
      </c>
      <c r="P7569" t="s">
        <v>33510</v>
      </c>
      <c r="Q7569" t="s">
        <v>34800</v>
      </c>
      <c r="R7569">
        <v>22</v>
      </c>
      <c r="S7569">
        <v>32</v>
      </c>
    </row>
    <row r="7570" spans="1:19" x14ac:dyDescent="0.35">
      <c r="A7570">
        <v>2804</v>
      </c>
      <c r="B7570" t="s">
        <v>27982</v>
      </c>
      <c r="C7570" t="s">
        <v>42</v>
      </c>
      <c r="D7570" t="s">
        <v>34773</v>
      </c>
      <c r="E7570" t="e" cm="1">
        <f t="array" ref="E7570">- PARACETAMOL</f>
        <v>#NAME?</v>
      </c>
      <c r="F7570" t="s">
        <v>34774</v>
      </c>
      <c r="G7570" t="s">
        <v>6869</v>
      </c>
      <c r="H7570" t="s">
        <v>27985</v>
      </c>
      <c r="I7570" t="s">
        <v>32224</v>
      </c>
      <c r="J7570" t="s">
        <v>374</v>
      </c>
      <c r="K7570" t="s">
        <v>27987</v>
      </c>
      <c r="L7570" t="s">
        <v>34731</v>
      </c>
      <c r="M7570" t="s">
        <v>271</v>
      </c>
      <c r="N7570" t="s">
        <v>584</v>
      </c>
      <c r="O7570" t="s">
        <v>32225</v>
      </c>
      <c r="P7570" t="s">
        <v>27990</v>
      </c>
      <c r="Q7570" t="s">
        <v>34732</v>
      </c>
      <c r="R7570">
        <v>22</v>
      </c>
      <c r="S7570">
        <v>32</v>
      </c>
    </row>
    <row r="7571" spans="1:19" x14ac:dyDescent="0.35">
      <c r="A7571">
        <v>9003</v>
      </c>
      <c r="B7571" t="s">
        <v>34801</v>
      </c>
      <c r="C7571" t="s">
        <v>42</v>
      </c>
      <c r="D7571" t="s">
        <v>34802</v>
      </c>
      <c r="E7571" t="e" cm="1">
        <f t="array" ref="E7571">- BISOPROLOL FUMARATE</f>
        <v>#NAME?</v>
      </c>
      <c r="F7571" t="s">
        <v>34803</v>
      </c>
      <c r="G7571" t="s">
        <v>23278</v>
      </c>
      <c r="H7571" t="s">
        <v>34607</v>
      </c>
      <c r="I7571" t="s">
        <v>34608</v>
      </c>
      <c r="J7571" t="s">
        <v>2100</v>
      </c>
      <c r="K7571" t="s">
        <v>34609</v>
      </c>
      <c r="L7571" t="s">
        <v>34610</v>
      </c>
      <c r="M7571" t="s">
        <v>46</v>
      </c>
      <c r="N7571" t="s">
        <v>6182</v>
      </c>
      <c r="O7571" t="s">
        <v>34611</v>
      </c>
      <c r="P7571" t="s">
        <v>34804</v>
      </c>
      <c r="Q7571" t="s">
        <v>34805</v>
      </c>
      <c r="R7571">
        <v>22</v>
      </c>
      <c r="S7571">
        <v>32</v>
      </c>
    </row>
    <row r="7572" spans="1:19" x14ac:dyDescent="0.35">
      <c r="A7572">
        <v>6566</v>
      </c>
      <c r="B7572" t="s">
        <v>34806</v>
      </c>
      <c r="C7572" t="s">
        <v>42</v>
      </c>
      <c r="D7572" t="s">
        <v>34807</v>
      </c>
      <c r="E7572" t="e" cm="1">
        <f t="array" ref="E7572">- FLUCONAZOLE</f>
        <v>#NAME?</v>
      </c>
      <c r="F7572" t="s">
        <v>34808</v>
      </c>
      <c r="G7572" t="s">
        <v>34809</v>
      </c>
      <c r="H7572" t="s">
        <v>34810</v>
      </c>
      <c r="I7572" t="s">
        <v>34811</v>
      </c>
      <c r="J7572" t="s">
        <v>34812</v>
      </c>
      <c r="K7572" t="s">
        <v>34813</v>
      </c>
      <c r="L7572" t="s">
        <v>34814</v>
      </c>
      <c r="M7572" t="s">
        <v>38</v>
      </c>
      <c r="N7572" t="s">
        <v>7992</v>
      </c>
      <c r="O7572" t="s">
        <v>34815</v>
      </c>
      <c r="P7572" t="s">
        <v>34816</v>
      </c>
      <c r="Q7572" t="s">
        <v>34817</v>
      </c>
      <c r="R7572">
        <v>22</v>
      </c>
      <c r="S7572">
        <v>32</v>
      </c>
    </row>
    <row r="7573" spans="1:19" x14ac:dyDescent="0.35">
      <c r="A7573">
        <v>4407</v>
      </c>
      <c r="B7573" t="s">
        <v>33780</v>
      </c>
      <c r="C7573" t="s">
        <v>42</v>
      </c>
      <c r="D7573" t="s">
        <v>34818</v>
      </c>
      <c r="E7573" t="e" cm="1">
        <f t="array" ref="E7573">- DEQUALINIUM CHLORIDE</f>
        <v>#NAME?</v>
      </c>
      <c r="F7573" t="s">
        <v>34819</v>
      </c>
      <c r="G7573" t="s">
        <v>33783</v>
      </c>
      <c r="H7573" t="s">
        <v>33784</v>
      </c>
      <c r="I7573" t="s">
        <v>34820</v>
      </c>
      <c r="J7573" t="s">
        <v>23738</v>
      </c>
      <c r="K7573" t="s">
        <v>34821</v>
      </c>
      <c r="L7573" t="s">
        <v>33788</v>
      </c>
      <c r="M7573" t="s">
        <v>46</v>
      </c>
      <c r="N7573" t="s">
        <v>10495</v>
      </c>
      <c r="O7573" t="s">
        <v>34822</v>
      </c>
      <c r="P7573" t="s">
        <v>33790</v>
      </c>
      <c r="Q7573" t="s">
        <v>34823</v>
      </c>
      <c r="R7573">
        <v>22</v>
      </c>
      <c r="S7573">
        <v>32</v>
      </c>
    </row>
    <row r="7574" spans="1:19" x14ac:dyDescent="0.35">
      <c r="A7574">
        <v>9678</v>
      </c>
      <c r="B7574" t="s">
        <v>34824</v>
      </c>
      <c r="C7574" t="s">
        <v>42</v>
      </c>
      <c r="D7574" t="s">
        <v>34825</v>
      </c>
      <c r="E7574" t="e" cm="1">
        <f t="array" ref="E7574">- ROSUVASTATIN CALCIUM</f>
        <v>#NAME?</v>
      </c>
      <c r="F7574" t="s">
        <v>34826</v>
      </c>
      <c r="G7574" t="s">
        <v>2734</v>
      </c>
      <c r="H7574" t="s">
        <v>30631</v>
      </c>
      <c r="I7574" t="s">
        <v>34827</v>
      </c>
      <c r="J7574" t="s">
        <v>34828</v>
      </c>
      <c r="K7574" t="s">
        <v>34829</v>
      </c>
      <c r="L7574" t="s">
        <v>34830</v>
      </c>
      <c r="M7574" t="s">
        <v>46</v>
      </c>
      <c r="N7574" t="s">
        <v>2308</v>
      </c>
      <c r="O7574" t="s">
        <v>34831</v>
      </c>
      <c r="P7574" t="s">
        <v>34832</v>
      </c>
      <c r="Q7574" t="s">
        <v>34833</v>
      </c>
      <c r="R7574">
        <v>22</v>
      </c>
      <c r="S7574">
        <v>32</v>
      </c>
    </row>
    <row r="7575" spans="1:19" x14ac:dyDescent="0.35">
      <c r="A7575">
        <v>3247</v>
      </c>
      <c r="B7575" t="s">
        <v>34834</v>
      </c>
      <c r="C7575" t="s">
        <v>42</v>
      </c>
      <c r="D7575" t="s">
        <v>34835</v>
      </c>
      <c r="E7575" t="e" cm="1">
        <f t="array" ref="E7575">- SIMETHICONE. DRIED ALUMINIUM HYDROXIDE GEL. MAGNESIUM HYDROXIDE</f>
        <v>#NAME?</v>
      </c>
      <c r="F7575" t="s">
        <v>34836</v>
      </c>
      <c r="G7575" t="s">
        <v>29821</v>
      </c>
      <c r="H7575" t="s">
        <v>29822</v>
      </c>
      <c r="I7575" t="s">
        <v>29823</v>
      </c>
      <c r="J7575" t="s">
        <v>4797</v>
      </c>
      <c r="K7575" t="s">
        <v>11904</v>
      </c>
      <c r="L7575" t="s">
        <v>34837</v>
      </c>
      <c r="M7575" t="s">
        <v>46</v>
      </c>
      <c r="N7575" t="s">
        <v>31821</v>
      </c>
      <c r="O7575" t="s">
        <v>29826</v>
      </c>
      <c r="P7575" t="s">
        <v>34838</v>
      </c>
      <c r="Q7575" t="s">
        <v>34839</v>
      </c>
      <c r="R7575">
        <v>22</v>
      </c>
      <c r="S7575">
        <v>32</v>
      </c>
    </row>
    <row r="7576" spans="1:19" x14ac:dyDescent="0.35">
      <c r="A7576">
        <v>3241</v>
      </c>
      <c r="B7576" t="s">
        <v>31627</v>
      </c>
      <c r="C7576" t="s">
        <v>42</v>
      </c>
      <c r="D7576" t="s">
        <v>31628</v>
      </c>
      <c r="E7576" t="e" cm="1">
        <f t="array" ref="E7576">- MAGNESIUM HYDROXIDE. DRIED ALUMINIUM HYDROXIDE GEL. SIMETHICONE</f>
        <v>#NAME?</v>
      </c>
      <c r="F7576" t="s">
        <v>31629</v>
      </c>
      <c r="G7576" t="s">
        <v>31630</v>
      </c>
      <c r="H7576" t="s">
        <v>31631</v>
      </c>
      <c r="I7576" t="s">
        <v>31632</v>
      </c>
      <c r="J7576" t="s">
        <v>9961</v>
      </c>
      <c r="K7576" t="s">
        <v>29797</v>
      </c>
      <c r="L7576" t="s">
        <v>31633</v>
      </c>
      <c r="M7576" t="s">
        <v>46</v>
      </c>
      <c r="N7576" t="s">
        <v>10805</v>
      </c>
      <c r="O7576" t="s">
        <v>31634</v>
      </c>
      <c r="P7576" t="s">
        <v>4173</v>
      </c>
      <c r="Q7576" t="s">
        <v>34840</v>
      </c>
      <c r="R7576">
        <v>22</v>
      </c>
      <c r="S7576">
        <v>32</v>
      </c>
    </row>
    <row r="7577" spans="1:19" x14ac:dyDescent="0.35">
      <c r="A7577">
        <v>9772</v>
      </c>
      <c r="B7577" t="s">
        <v>34841</v>
      </c>
      <c r="C7577" t="s">
        <v>42</v>
      </c>
      <c r="D7577" t="s">
        <v>34842</v>
      </c>
      <c r="E7577" t="e" cm="1">
        <f t="array" ref="E7577">- ROSUVASTATIN CALCIUM</f>
        <v>#NAME?</v>
      </c>
      <c r="F7577" t="s">
        <v>34843</v>
      </c>
      <c r="G7577" t="s">
        <v>3098</v>
      </c>
      <c r="H7577" t="s">
        <v>34844</v>
      </c>
    </row>
    <row r="7578" spans="1:19" x14ac:dyDescent="0.35">
      <c r="A7578">
        <v>2095</v>
      </c>
      <c r="B7578" t="s">
        <v>34845</v>
      </c>
      <c r="C7578" t="s">
        <v>42</v>
      </c>
      <c r="D7578" t="s">
        <v>34846</v>
      </c>
      <c r="E7578" t="e" cm="1">
        <f t="array" ref="E7578">- MEFENAMIC ACID</f>
        <v>#NAME?</v>
      </c>
      <c r="F7578" t="s">
        <v>34847</v>
      </c>
      <c r="G7578" t="s">
        <v>32361</v>
      </c>
      <c r="H7578" t="s">
        <v>33469</v>
      </c>
      <c r="I7578" t="s">
        <v>33470</v>
      </c>
      <c r="J7578" t="s">
        <v>34848</v>
      </c>
      <c r="K7578" t="s">
        <v>33471</v>
      </c>
      <c r="L7578" t="s">
        <v>33472</v>
      </c>
      <c r="M7578" t="s">
        <v>291</v>
      </c>
      <c r="N7578" t="s">
        <v>2235</v>
      </c>
      <c r="O7578" t="s">
        <v>33473</v>
      </c>
      <c r="P7578" t="s">
        <v>34849</v>
      </c>
      <c r="Q7578" t="s">
        <v>34850</v>
      </c>
      <c r="R7578">
        <v>22</v>
      </c>
      <c r="S7578">
        <v>32</v>
      </c>
    </row>
    <row r="7579" spans="1:19" x14ac:dyDescent="0.35">
      <c r="A7579">
        <v>3621</v>
      </c>
      <c r="B7579" t="s">
        <v>34851</v>
      </c>
      <c r="C7579" t="s">
        <v>42</v>
      </c>
      <c r="D7579" t="s">
        <v>34852</v>
      </c>
      <c r="E7579" t="e" cm="1">
        <f t="array" ref="E7579">- METOCLOPRAMIDE HYDROCHLORIDE</f>
        <v>#NAME?</v>
      </c>
      <c r="F7579" t="s">
        <v>34853</v>
      </c>
      <c r="G7579" t="s">
        <v>34854</v>
      </c>
      <c r="H7579" t="s">
        <v>34855</v>
      </c>
      <c r="I7579" t="s">
        <v>34856</v>
      </c>
      <c r="J7579" t="s">
        <v>334</v>
      </c>
      <c r="K7579" t="s">
        <v>34857</v>
      </c>
      <c r="L7579" t="s">
        <v>34858</v>
      </c>
      <c r="M7579" t="s">
        <v>271</v>
      </c>
      <c r="N7579" t="s">
        <v>1876</v>
      </c>
      <c r="O7579" t="s">
        <v>34859</v>
      </c>
      <c r="P7579" t="s">
        <v>1877</v>
      </c>
      <c r="Q7579" t="s">
        <v>34860</v>
      </c>
      <c r="R7579">
        <v>22</v>
      </c>
      <c r="S7579">
        <v>32</v>
      </c>
    </row>
    <row r="7580" spans="1:19" x14ac:dyDescent="0.35">
      <c r="A7580">
        <v>3639</v>
      </c>
      <c r="B7580" t="s">
        <v>34861</v>
      </c>
      <c r="C7580" t="s">
        <v>20</v>
      </c>
      <c r="D7580" t="s">
        <v>34862</v>
      </c>
      <c r="E7580" t="s">
        <v>34863</v>
      </c>
      <c r="F7580" t="s">
        <v>34864</v>
      </c>
      <c r="G7580" t="s">
        <v>5746</v>
      </c>
      <c r="H7580" t="s">
        <v>34865</v>
      </c>
      <c r="I7580" t="s">
        <v>34866</v>
      </c>
      <c r="J7580" t="s">
        <v>34867</v>
      </c>
      <c r="L7580" t="s">
        <v>34868</v>
      </c>
      <c r="M7580" t="s">
        <v>46</v>
      </c>
      <c r="N7580" t="s">
        <v>34869</v>
      </c>
      <c r="O7580" t="s">
        <v>34870</v>
      </c>
      <c r="P7580" t="s">
        <v>34869</v>
      </c>
      <c r="Q7580" t="s">
        <v>34871</v>
      </c>
      <c r="R7580">
        <v>22</v>
      </c>
      <c r="S7580">
        <v>32</v>
      </c>
    </row>
    <row r="7581" spans="1:19" x14ac:dyDescent="0.35">
      <c r="A7581">
        <v>3640</v>
      </c>
      <c r="B7581" t="s">
        <v>34861</v>
      </c>
      <c r="C7581" t="s">
        <v>20</v>
      </c>
      <c r="D7581" t="s">
        <v>34862</v>
      </c>
      <c r="E7581" t="s">
        <v>34863</v>
      </c>
      <c r="F7581" t="s">
        <v>34864</v>
      </c>
      <c r="G7581" t="s">
        <v>5746</v>
      </c>
      <c r="H7581" t="s">
        <v>34865</v>
      </c>
      <c r="I7581" t="s">
        <v>34866</v>
      </c>
      <c r="J7581" t="s">
        <v>34867</v>
      </c>
      <c r="L7581" t="s">
        <v>34868</v>
      </c>
      <c r="M7581" t="s">
        <v>46</v>
      </c>
      <c r="N7581" t="s">
        <v>34869</v>
      </c>
      <c r="O7581" t="s">
        <v>34870</v>
      </c>
      <c r="P7581" t="s">
        <v>34869</v>
      </c>
      <c r="Q7581" t="s">
        <v>34871</v>
      </c>
      <c r="R7581">
        <v>22</v>
      </c>
      <c r="S7581">
        <v>32</v>
      </c>
    </row>
    <row r="7582" spans="1:19" x14ac:dyDescent="0.35">
      <c r="A7582">
        <v>6068</v>
      </c>
      <c r="B7582" t="s">
        <v>34872</v>
      </c>
      <c r="C7582" t="s">
        <v>42</v>
      </c>
      <c r="D7582" t="s">
        <v>34873</v>
      </c>
      <c r="E7582" t="e" cm="1">
        <f t="array" ref="E7582">- CEFACLOR MONOHYDRATE MICRONIZED</f>
        <v>#NAME?</v>
      </c>
      <c r="F7582" t="s">
        <v>34874</v>
      </c>
      <c r="H7582" t="s">
        <v>33490</v>
      </c>
      <c r="I7582" t="s">
        <v>33491</v>
      </c>
    </row>
    <row r="7583" spans="1:19" x14ac:dyDescent="0.35">
      <c r="A7583">
        <v>6064</v>
      </c>
      <c r="B7583" t="s">
        <v>33476</v>
      </c>
      <c r="C7583" t="s">
        <v>42</v>
      </c>
      <c r="D7583" t="s">
        <v>33477</v>
      </c>
      <c r="E7583" t="e" cm="1">
        <f t="array" ref="E7583">- LEVOFLOXACIN HEMIHYDRATE</f>
        <v>#NAME?</v>
      </c>
      <c r="F7583" t="s">
        <v>33478</v>
      </c>
      <c r="G7583" t="s">
        <v>1691</v>
      </c>
      <c r="H7583" t="s">
        <v>33479</v>
      </c>
      <c r="I7583" t="s">
        <v>33480</v>
      </c>
      <c r="J7583" t="s">
        <v>33481</v>
      </c>
      <c r="K7583" t="s">
        <v>33482</v>
      </c>
      <c r="L7583" t="s">
        <v>33483</v>
      </c>
      <c r="M7583" t="s">
        <v>46</v>
      </c>
      <c r="N7583" t="s">
        <v>1784</v>
      </c>
      <c r="O7583" t="s">
        <v>33484</v>
      </c>
      <c r="P7583" t="s">
        <v>33485</v>
      </c>
      <c r="Q7583" t="s">
        <v>34875</v>
      </c>
      <c r="R7583">
        <v>22</v>
      </c>
      <c r="S7583">
        <v>32</v>
      </c>
    </row>
    <row r="7584" spans="1:19" x14ac:dyDescent="0.35">
      <c r="A7584">
        <v>9679</v>
      </c>
      <c r="B7584" t="s">
        <v>34824</v>
      </c>
      <c r="C7584" t="s">
        <v>42</v>
      </c>
      <c r="D7584" t="s">
        <v>34825</v>
      </c>
      <c r="E7584" t="e" cm="1">
        <f t="array" ref="E7584">- ROSUVASTATIN CALCIUM</f>
        <v>#NAME?</v>
      </c>
      <c r="F7584" t="s">
        <v>34826</v>
      </c>
      <c r="G7584" t="s">
        <v>2734</v>
      </c>
      <c r="H7584" t="s">
        <v>30631</v>
      </c>
      <c r="I7584" t="s">
        <v>34827</v>
      </c>
      <c r="J7584" t="s">
        <v>34828</v>
      </c>
      <c r="K7584" t="s">
        <v>34829</v>
      </c>
      <c r="L7584" t="s">
        <v>34830</v>
      </c>
      <c r="M7584" t="s">
        <v>46</v>
      </c>
      <c r="N7584" t="s">
        <v>2308</v>
      </c>
      <c r="O7584" t="s">
        <v>34831</v>
      </c>
      <c r="P7584" t="s">
        <v>34832</v>
      </c>
      <c r="Q7584" t="s">
        <v>34833</v>
      </c>
      <c r="R7584">
        <v>22</v>
      </c>
      <c r="S7584">
        <v>32</v>
      </c>
    </row>
    <row r="7585" spans="1:19" x14ac:dyDescent="0.35">
      <c r="A7585">
        <v>6063</v>
      </c>
      <c r="B7585" t="s">
        <v>34876</v>
      </c>
      <c r="C7585" t="s">
        <v>42</v>
      </c>
      <c r="D7585" t="s">
        <v>34877</v>
      </c>
      <c r="E7585" t="e" cm="1">
        <f t="array" ref="E7585">- CIPROFLOXACIN</f>
        <v>#NAME?</v>
      </c>
      <c r="F7585" t="s">
        <v>34878</v>
      </c>
      <c r="G7585" t="s">
        <v>1691</v>
      </c>
      <c r="H7585" t="s">
        <v>34879</v>
      </c>
      <c r="I7585" t="s">
        <v>34880</v>
      </c>
      <c r="J7585" t="s">
        <v>8045</v>
      </c>
      <c r="K7585" t="s">
        <v>34881</v>
      </c>
      <c r="L7585" t="s">
        <v>34882</v>
      </c>
      <c r="M7585" t="s">
        <v>291</v>
      </c>
      <c r="N7585" t="s">
        <v>1056</v>
      </c>
      <c r="O7585" t="s">
        <v>34883</v>
      </c>
      <c r="P7585" t="s">
        <v>34884</v>
      </c>
      <c r="Q7585" t="s">
        <v>34885</v>
      </c>
      <c r="R7585">
        <v>22</v>
      </c>
      <c r="S7585">
        <v>32</v>
      </c>
    </row>
    <row r="7586" spans="1:19" x14ac:dyDescent="0.35">
      <c r="A7586">
        <v>2185</v>
      </c>
      <c r="B7586" t="s">
        <v>34886</v>
      </c>
      <c r="C7586" t="s">
        <v>42</v>
      </c>
      <c r="D7586" t="s">
        <v>34887</v>
      </c>
      <c r="E7586" t="e" cm="1">
        <f t="array" ref="E7586">- KETOPROFEN</f>
        <v>#NAME?</v>
      </c>
      <c r="F7586" t="s">
        <v>34888</v>
      </c>
      <c r="G7586" t="s">
        <v>2453</v>
      </c>
      <c r="H7586" t="s">
        <v>34889</v>
      </c>
      <c r="I7586" t="s">
        <v>34890</v>
      </c>
    </row>
    <row r="7587" spans="1:19" x14ac:dyDescent="0.35">
      <c r="A7587">
        <v>8187</v>
      </c>
      <c r="B7587" t="s">
        <v>551</v>
      </c>
      <c r="C7587" t="s">
        <v>42</v>
      </c>
      <c r="D7587" t="s">
        <v>34891</v>
      </c>
      <c r="E7587" t="e" cm="1">
        <f t="array" ref="E7587">- POVIDONE-IODINE</f>
        <v>#NAME?</v>
      </c>
      <c r="F7587" t="s">
        <v>34892</v>
      </c>
      <c r="G7587" t="s">
        <v>34893</v>
      </c>
      <c r="I7587" t="s">
        <v>34894</v>
      </c>
      <c r="J7587" t="s">
        <v>34895</v>
      </c>
      <c r="M7587" t="s">
        <v>554</v>
      </c>
      <c r="N7587" t="s">
        <v>555</v>
      </c>
      <c r="O7587" t="s">
        <v>34896</v>
      </c>
      <c r="P7587" t="s">
        <v>34897</v>
      </c>
      <c r="Q7587" t="s">
        <v>34898</v>
      </c>
      <c r="R7587">
        <v>22</v>
      </c>
      <c r="S7587">
        <v>32</v>
      </c>
    </row>
    <row r="7588" spans="1:19" x14ac:dyDescent="0.35">
      <c r="A7588">
        <v>8186</v>
      </c>
      <c r="B7588" t="s">
        <v>551</v>
      </c>
      <c r="C7588" t="s">
        <v>42</v>
      </c>
      <c r="D7588" t="s">
        <v>34891</v>
      </c>
      <c r="E7588" t="e" cm="1">
        <f t="array" ref="E7588">- POVIDONE-IODINE</f>
        <v>#NAME?</v>
      </c>
      <c r="F7588" t="s">
        <v>34892</v>
      </c>
      <c r="G7588" t="s">
        <v>34893</v>
      </c>
      <c r="I7588" t="s">
        <v>34894</v>
      </c>
      <c r="J7588" t="s">
        <v>34895</v>
      </c>
      <c r="M7588" t="s">
        <v>554</v>
      </c>
      <c r="N7588" t="s">
        <v>555</v>
      </c>
      <c r="O7588" t="s">
        <v>34896</v>
      </c>
      <c r="P7588" t="s">
        <v>34897</v>
      </c>
      <c r="Q7588" t="s">
        <v>34898</v>
      </c>
      <c r="R7588">
        <v>22</v>
      </c>
      <c r="S7588">
        <v>32</v>
      </c>
    </row>
    <row r="7589" spans="1:19" x14ac:dyDescent="0.35">
      <c r="A7589">
        <v>1305</v>
      </c>
      <c r="B7589" t="s">
        <v>29638</v>
      </c>
      <c r="C7589" t="s">
        <v>42</v>
      </c>
      <c r="D7589" t="s">
        <v>29639</v>
      </c>
      <c r="E7589" t="e" cm="1">
        <f t="array" ref="E7589">- PARACETAMOL. CHLORPHENAMINE MALEATE. PSEUDOEPHEDRINE HYDROCHLORIDE. GUAIFENESIN</f>
        <v>#NAME?</v>
      </c>
      <c r="F7589" t="s">
        <v>29640</v>
      </c>
      <c r="G7589" t="s">
        <v>539</v>
      </c>
      <c r="I7589" t="s">
        <v>29641</v>
      </c>
      <c r="M7589" t="s">
        <v>271</v>
      </c>
      <c r="N7589" t="s">
        <v>34899</v>
      </c>
      <c r="O7589" t="s">
        <v>29642</v>
      </c>
      <c r="P7589" t="s">
        <v>29643</v>
      </c>
      <c r="Q7589" t="s">
        <v>34900</v>
      </c>
      <c r="R7589">
        <v>22</v>
      </c>
      <c r="S7589">
        <v>32</v>
      </c>
    </row>
    <row r="7590" spans="1:19" x14ac:dyDescent="0.35">
      <c r="A7590">
        <v>2186</v>
      </c>
      <c r="B7590" t="s">
        <v>34886</v>
      </c>
      <c r="C7590" t="s">
        <v>42</v>
      </c>
      <c r="D7590" t="s">
        <v>34887</v>
      </c>
      <c r="E7590" t="e" cm="1">
        <f t="array" ref="E7590">- KETOPROFEN</f>
        <v>#NAME?</v>
      </c>
      <c r="F7590" t="s">
        <v>34888</v>
      </c>
      <c r="G7590" t="s">
        <v>2453</v>
      </c>
      <c r="H7590" t="s">
        <v>34889</v>
      </c>
      <c r="I7590" t="s">
        <v>34890</v>
      </c>
    </row>
    <row r="7591" spans="1:19" x14ac:dyDescent="0.35">
      <c r="A7591">
        <v>2204</v>
      </c>
      <c r="B7591" t="s">
        <v>34901</v>
      </c>
      <c r="C7591" t="s">
        <v>42</v>
      </c>
      <c r="D7591" t="s">
        <v>34902</v>
      </c>
      <c r="E7591" t="e" cm="1">
        <f t="array" ref="E7591">- DICLOFENAC SODIUM</f>
        <v>#NAME?</v>
      </c>
      <c r="F7591" t="s">
        <v>34903</v>
      </c>
      <c r="G7591" t="s">
        <v>19948</v>
      </c>
      <c r="H7591" t="s">
        <v>34904</v>
      </c>
      <c r="I7591" t="s">
        <v>34905</v>
      </c>
      <c r="J7591" t="s">
        <v>34906</v>
      </c>
      <c r="K7591" t="s">
        <v>34907</v>
      </c>
      <c r="L7591" t="s">
        <v>34908</v>
      </c>
      <c r="M7591" t="s">
        <v>46</v>
      </c>
      <c r="N7591" t="s">
        <v>2597</v>
      </c>
      <c r="O7591" t="s">
        <v>34909</v>
      </c>
      <c r="P7591" t="s">
        <v>34910</v>
      </c>
      <c r="Q7591" t="s">
        <v>34911</v>
      </c>
      <c r="R7591">
        <v>22</v>
      </c>
      <c r="S7591">
        <v>32</v>
      </c>
    </row>
    <row r="7592" spans="1:19" x14ac:dyDescent="0.35">
      <c r="A7592">
        <v>3174</v>
      </c>
      <c r="B7592" t="s">
        <v>34912</v>
      </c>
      <c r="C7592" t="s">
        <v>42</v>
      </c>
      <c r="D7592" t="s">
        <v>34913</v>
      </c>
      <c r="E7592" t="e" cm="1">
        <f t="array" ref="E7592">- PANTOPRAZOLE SODIUM SESQUIHYDRATE</f>
        <v>#NAME?</v>
      </c>
      <c r="F7592" t="s">
        <v>34914</v>
      </c>
      <c r="G7592" t="s">
        <v>34062</v>
      </c>
      <c r="H7592" t="s">
        <v>34063</v>
      </c>
      <c r="I7592" t="s">
        <v>34064</v>
      </c>
      <c r="J7592" t="s">
        <v>34915</v>
      </c>
      <c r="K7592" t="s">
        <v>34916</v>
      </c>
      <c r="L7592" t="s">
        <v>34066</v>
      </c>
      <c r="M7592" t="s">
        <v>46</v>
      </c>
      <c r="N7592" t="s">
        <v>14942</v>
      </c>
      <c r="O7592" t="s">
        <v>34067</v>
      </c>
      <c r="P7592" t="s">
        <v>34917</v>
      </c>
      <c r="Q7592" t="s">
        <v>34918</v>
      </c>
      <c r="R7592">
        <v>22</v>
      </c>
      <c r="S7592">
        <v>32</v>
      </c>
    </row>
    <row r="7593" spans="1:19" x14ac:dyDescent="0.35">
      <c r="A7593">
        <v>8540</v>
      </c>
      <c r="B7593" t="s">
        <v>34919</v>
      </c>
      <c r="C7593" t="s">
        <v>42</v>
      </c>
      <c r="D7593" t="s">
        <v>34920</v>
      </c>
      <c r="E7593" t="e" cm="1">
        <f t="array" ref="E7593">- GLIMEPIRIDE</f>
        <v>#NAME?</v>
      </c>
      <c r="F7593" t="s">
        <v>34921</v>
      </c>
      <c r="G7593" t="s">
        <v>34922</v>
      </c>
      <c r="H7593" t="s">
        <v>34923</v>
      </c>
      <c r="I7593" t="s">
        <v>34924</v>
      </c>
      <c r="J7593" t="s">
        <v>381</v>
      </c>
      <c r="K7593" t="s">
        <v>34925</v>
      </c>
      <c r="L7593" t="s">
        <v>34926</v>
      </c>
      <c r="M7593" t="s">
        <v>46</v>
      </c>
      <c r="N7593" t="s">
        <v>34927</v>
      </c>
      <c r="O7593" t="s">
        <v>34928</v>
      </c>
      <c r="P7593" t="s">
        <v>34927</v>
      </c>
      <c r="Q7593" t="s">
        <v>34929</v>
      </c>
      <c r="R7593">
        <v>22</v>
      </c>
      <c r="S7593">
        <v>32</v>
      </c>
    </row>
    <row r="7594" spans="1:19" x14ac:dyDescent="0.35">
      <c r="A7594">
        <v>8541</v>
      </c>
      <c r="B7594" t="s">
        <v>34930</v>
      </c>
      <c r="C7594" t="s">
        <v>42</v>
      </c>
      <c r="D7594" t="s">
        <v>34931</v>
      </c>
      <c r="E7594" t="e" cm="1">
        <f t="array" ref="E7594">- GLIMEPIRIDE</f>
        <v>#NAME?</v>
      </c>
      <c r="F7594" t="s">
        <v>34932</v>
      </c>
      <c r="G7594" t="s">
        <v>34922</v>
      </c>
      <c r="H7594" t="s">
        <v>34923</v>
      </c>
      <c r="I7594" t="s">
        <v>34924</v>
      </c>
      <c r="J7594" t="s">
        <v>381</v>
      </c>
      <c r="K7594" t="s">
        <v>34925</v>
      </c>
      <c r="L7594" t="s">
        <v>34926</v>
      </c>
      <c r="M7594" t="s">
        <v>46</v>
      </c>
      <c r="N7594" t="s">
        <v>34927</v>
      </c>
      <c r="O7594" t="s">
        <v>34928</v>
      </c>
      <c r="P7594" t="s">
        <v>34927</v>
      </c>
      <c r="Q7594" t="s">
        <v>34929</v>
      </c>
      <c r="R7594">
        <v>22</v>
      </c>
      <c r="S7594">
        <v>32</v>
      </c>
    </row>
    <row r="7595" spans="1:19" x14ac:dyDescent="0.35">
      <c r="A7595">
        <v>3806</v>
      </c>
      <c r="B7595" t="s">
        <v>34933</v>
      </c>
      <c r="C7595" t="s">
        <v>42</v>
      </c>
      <c r="D7595" t="s">
        <v>34934</v>
      </c>
      <c r="E7595" t="e" cm="1">
        <f t="array" ref="E7595">- ZINC SULFATE MONOHYDRATE</f>
        <v>#NAME?</v>
      </c>
      <c r="F7595" t="s">
        <v>34935</v>
      </c>
      <c r="G7595" t="s">
        <v>34936</v>
      </c>
      <c r="H7595" t="s">
        <v>34937</v>
      </c>
      <c r="I7595" t="s">
        <v>34938</v>
      </c>
      <c r="J7595" t="s">
        <v>381</v>
      </c>
      <c r="M7595" t="s">
        <v>46</v>
      </c>
      <c r="N7595" t="s">
        <v>2750</v>
      </c>
      <c r="O7595" t="s">
        <v>34939</v>
      </c>
      <c r="P7595" t="s">
        <v>20107</v>
      </c>
      <c r="Q7595" t="s">
        <v>34940</v>
      </c>
      <c r="R7595">
        <v>22</v>
      </c>
      <c r="S7595">
        <v>32</v>
      </c>
    </row>
    <row r="7596" spans="1:19" x14ac:dyDescent="0.35">
      <c r="A7596">
        <v>3217</v>
      </c>
      <c r="B7596" t="s">
        <v>34941</v>
      </c>
      <c r="C7596" t="s">
        <v>42</v>
      </c>
      <c r="D7596" t="s">
        <v>34942</v>
      </c>
      <c r="E7596" t="e" cm="1">
        <f t="array" ref="E7596">- DRIED ALUMINIUM HYDROXIDE GEL</f>
        <v>#NAME?</v>
      </c>
      <c r="F7596" t="s">
        <v>34943</v>
      </c>
      <c r="G7596" t="s">
        <v>34944</v>
      </c>
      <c r="H7596" t="s">
        <v>34945</v>
      </c>
      <c r="I7596" t="s">
        <v>34946</v>
      </c>
      <c r="J7596" t="s">
        <v>34947</v>
      </c>
      <c r="K7596" t="s">
        <v>34948</v>
      </c>
      <c r="L7596" t="s">
        <v>34949</v>
      </c>
      <c r="M7596" t="s">
        <v>46</v>
      </c>
      <c r="N7596" t="s">
        <v>4172</v>
      </c>
      <c r="O7596" t="s">
        <v>34950</v>
      </c>
      <c r="P7596" t="s">
        <v>34951</v>
      </c>
      <c r="Q7596" t="s">
        <v>34952</v>
      </c>
      <c r="R7596">
        <v>22</v>
      </c>
      <c r="S7596">
        <v>32</v>
      </c>
    </row>
    <row r="7597" spans="1:19" x14ac:dyDescent="0.35">
      <c r="A7597">
        <v>3807</v>
      </c>
      <c r="B7597" t="s">
        <v>34933</v>
      </c>
      <c r="C7597" t="s">
        <v>42</v>
      </c>
      <c r="D7597" t="s">
        <v>34934</v>
      </c>
      <c r="E7597" t="e" cm="1">
        <f t="array" ref="E7597">- ZINC SULFATE MONOHYDRATE</f>
        <v>#NAME?</v>
      </c>
      <c r="F7597" t="s">
        <v>34935</v>
      </c>
      <c r="G7597" t="s">
        <v>34936</v>
      </c>
      <c r="H7597" t="s">
        <v>34937</v>
      </c>
      <c r="I7597" t="s">
        <v>34938</v>
      </c>
      <c r="J7597" t="s">
        <v>381</v>
      </c>
      <c r="M7597" t="s">
        <v>46</v>
      </c>
      <c r="N7597" t="s">
        <v>2750</v>
      </c>
      <c r="O7597" t="s">
        <v>34939</v>
      </c>
      <c r="P7597" t="s">
        <v>20107</v>
      </c>
      <c r="Q7597" t="s">
        <v>34940</v>
      </c>
      <c r="R7597">
        <v>22</v>
      </c>
      <c r="S7597">
        <v>32</v>
      </c>
    </row>
    <row r="7598" spans="1:19" x14ac:dyDescent="0.35">
      <c r="A7598">
        <v>3580</v>
      </c>
      <c r="B7598" t="s">
        <v>34953</v>
      </c>
      <c r="C7598" t="s">
        <v>42</v>
      </c>
      <c r="D7598" t="s">
        <v>34954</v>
      </c>
      <c r="E7598" t="e" cm="1">
        <f t="array" ref="E7598">- DOMPERIDONE MALEATE</f>
        <v>#NAME?</v>
      </c>
      <c r="F7598" t="s">
        <v>34955</v>
      </c>
      <c r="G7598" t="s">
        <v>10502</v>
      </c>
      <c r="H7598" t="s">
        <v>1589</v>
      </c>
      <c r="I7598" t="s">
        <v>34956</v>
      </c>
    </row>
    <row r="7599" spans="1:19" x14ac:dyDescent="0.35">
      <c r="A7599">
        <v>9680</v>
      </c>
      <c r="B7599" t="s">
        <v>34824</v>
      </c>
      <c r="C7599" t="s">
        <v>42</v>
      </c>
      <c r="D7599" t="s">
        <v>34825</v>
      </c>
      <c r="E7599" t="e" cm="1">
        <f t="array" ref="E7599">- ROSUVASTATIN CALCIUM</f>
        <v>#NAME?</v>
      </c>
      <c r="F7599" t="s">
        <v>34826</v>
      </c>
      <c r="G7599" t="s">
        <v>2734</v>
      </c>
      <c r="H7599" t="s">
        <v>30631</v>
      </c>
      <c r="I7599" t="s">
        <v>34827</v>
      </c>
      <c r="J7599" t="s">
        <v>34828</v>
      </c>
      <c r="K7599" t="s">
        <v>34829</v>
      </c>
      <c r="L7599" t="s">
        <v>34830</v>
      </c>
      <c r="M7599" t="s">
        <v>46</v>
      </c>
      <c r="N7599" t="s">
        <v>2308</v>
      </c>
      <c r="O7599" t="s">
        <v>34831</v>
      </c>
      <c r="P7599" t="s">
        <v>34832</v>
      </c>
      <c r="Q7599" t="s">
        <v>34833</v>
      </c>
      <c r="R7599">
        <v>22</v>
      </c>
      <c r="S7599">
        <v>32</v>
      </c>
    </row>
    <row r="7600" spans="1:19" x14ac:dyDescent="0.35">
      <c r="A7600">
        <v>8321</v>
      </c>
      <c r="B7600" t="s">
        <v>551</v>
      </c>
      <c r="C7600" t="s">
        <v>42</v>
      </c>
      <c r="D7600" t="s">
        <v>34957</v>
      </c>
      <c r="E7600" t="e" cm="1">
        <f t="array" ref="E7600">- POVIDONE-IODINE</f>
        <v>#NAME?</v>
      </c>
      <c r="F7600" t="s">
        <v>34958</v>
      </c>
      <c r="I7600" t="s">
        <v>34959</v>
      </c>
      <c r="J7600" t="s">
        <v>34960</v>
      </c>
      <c r="M7600" t="s">
        <v>554</v>
      </c>
      <c r="N7600" t="s">
        <v>555</v>
      </c>
      <c r="O7600" t="s">
        <v>34961</v>
      </c>
      <c r="P7600" t="s">
        <v>34897</v>
      </c>
      <c r="Q7600" t="s">
        <v>34962</v>
      </c>
      <c r="R7600">
        <v>22</v>
      </c>
      <c r="S7600">
        <v>32</v>
      </c>
    </row>
    <row r="7601" spans="1:19" x14ac:dyDescent="0.35">
      <c r="A7601">
        <v>8320</v>
      </c>
      <c r="B7601" t="s">
        <v>551</v>
      </c>
      <c r="C7601" t="s">
        <v>42</v>
      </c>
      <c r="D7601" t="s">
        <v>34957</v>
      </c>
      <c r="E7601" t="e" cm="1">
        <f t="array" ref="E7601">- POVIDONE-IODINE</f>
        <v>#NAME?</v>
      </c>
      <c r="F7601" t="s">
        <v>34958</v>
      </c>
      <c r="I7601" t="s">
        <v>34959</v>
      </c>
      <c r="J7601" t="s">
        <v>34960</v>
      </c>
      <c r="M7601" t="s">
        <v>554</v>
      </c>
      <c r="N7601" t="s">
        <v>555</v>
      </c>
      <c r="O7601" t="s">
        <v>34961</v>
      </c>
      <c r="P7601" t="s">
        <v>34897</v>
      </c>
      <c r="Q7601" t="s">
        <v>34962</v>
      </c>
      <c r="R7601">
        <v>22</v>
      </c>
      <c r="S7601">
        <v>32</v>
      </c>
    </row>
    <row r="7602" spans="1:19" x14ac:dyDescent="0.35">
      <c r="A7602">
        <v>9733</v>
      </c>
      <c r="B7602" t="s">
        <v>34963</v>
      </c>
      <c r="C7602" t="s">
        <v>42</v>
      </c>
      <c r="D7602" t="s">
        <v>34964</v>
      </c>
      <c r="E7602" t="e" cm="1">
        <f t="array" ref="E7602">- ROSUVASTATIN CALCIUM</f>
        <v>#NAME?</v>
      </c>
      <c r="F7602" t="s">
        <v>34965</v>
      </c>
      <c r="G7602" t="s">
        <v>2734</v>
      </c>
      <c r="H7602" t="s">
        <v>30631</v>
      </c>
      <c r="I7602" t="s">
        <v>34827</v>
      </c>
      <c r="J7602" t="s">
        <v>34828</v>
      </c>
      <c r="K7602" t="s">
        <v>34829</v>
      </c>
      <c r="L7602" t="s">
        <v>34830</v>
      </c>
      <c r="M7602" t="s">
        <v>46</v>
      </c>
      <c r="N7602" t="s">
        <v>2308</v>
      </c>
      <c r="O7602" t="s">
        <v>34831</v>
      </c>
      <c r="P7602" t="s">
        <v>34832</v>
      </c>
      <c r="Q7602" t="s">
        <v>34833</v>
      </c>
      <c r="R7602">
        <v>22</v>
      </c>
      <c r="S7602">
        <v>32</v>
      </c>
    </row>
    <row r="7603" spans="1:19" x14ac:dyDescent="0.35">
      <c r="A7603">
        <v>3438</v>
      </c>
      <c r="B7603" t="s">
        <v>34966</v>
      </c>
      <c r="C7603" t="s">
        <v>42</v>
      </c>
      <c r="D7603" t="s">
        <v>34967</v>
      </c>
      <c r="E7603" t="e" cm="1">
        <f t="array" ref="E7603">- MAGNESIUM HYDROXIDE. DRIED ALUMINIUM HYDROXIDE GEL. SIMETHICONE</f>
        <v>#NAME?</v>
      </c>
      <c r="F7603" t="s">
        <v>34968</v>
      </c>
      <c r="G7603" t="s">
        <v>34969</v>
      </c>
      <c r="H7603" t="s">
        <v>34970</v>
      </c>
      <c r="I7603" t="s">
        <v>34971</v>
      </c>
      <c r="J7603" t="s">
        <v>381</v>
      </c>
      <c r="K7603" t="s">
        <v>28587</v>
      </c>
      <c r="L7603" t="s">
        <v>34972</v>
      </c>
      <c r="M7603" t="s">
        <v>46</v>
      </c>
      <c r="N7603" t="s">
        <v>10805</v>
      </c>
      <c r="O7603" t="s">
        <v>34973</v>
      </c>
      <c r="P7603" t="s">
        <v>28589</v>
      </c>
      <c r="Q7603" t="s">
        <v>34974</v>
      </c>
      <c r="R7603">
        <v>22</v>
      </c>
      <c r="S7603">
        <v>32</v>
      </c>
    </row>
    <row r="7604" spans="1:19" x14ac:dyDescent="0.35">
      <c r="A7604">
        <v>3437</v>
      </c>
      <c r="B7604" t="s">
        <v>34975</v>
      </c>
      <c r="C7604" t="s">
        <v>42</v>
      </c>
      <c r="D7604" t="s">
        <v>34976</v>
      </c>
      <c r="E7604" t="e" cm="1">
        <f t="array" ref="E7604">- RANITIDINE HYDROCHLORIDE</f>
        <v>#NAME?</v>
      </c>
      <c r="F7604" t="s">
        <v>34977</v>
      </c>
      <c r="G7604" t="s">
        <v>60</v>
      </c>
      <c r="H7604" t="s">
        <v>34978</v>
      </c>
      <c r="I7604" t="s">
        <v>34979</v>
      </c>
      <c r="J7604" t="s">
        <v>14046</v>
      </c>
      <c r="K7604" t="s">
        <v>34980</v>
      </c>
      <c r="L7604" t="s">
        <v>34981</v>
      </c>
      <c r="M7604" t="s">
        <v>46</v>
      </c>
      <c r="N7604" t="s">
        <v>1985</v>
      </c>
      <c r="O7604" t="s">
        <v>34982</v>
      </c>
      <c r="P7604" t="s">
        <v>34983</v>
      </c>
      <c r="Q7604" t="s">
        <v>34984</v>
      </c>
      <c r="R7604">
        <v>22</v>
      </c>
      <c r="S7604">
        <v>32</v>
      </c>
    </row>
    <row r="7605" spans="1:19" x14ac:dyDescent="0.35">
      <c r="A7605">
        <v>3436</v>
      </c>
      <c r="B7605" t="s">
        <v>34975</v>
      </c>
      <c r="C7605" t="s">
        <v>42</v>
      </c>
      <c r="D7605" t="s">
        <v>34976</v>
      </c>
      <c r="E7605" t="e" cm="1">
        <f t="array" ref="E7605">- RANITIDINE HYDROCHLORIDE</f>
        <v>#NAME?</v>
      </c>
      <c r="F7605" t="s">
        <v>34977</v>
      </c>
      <c r="G7605" t="s">
        <v>60</v>
      </c>
      <c r="H7605" t="s">
        <v>34978</v>
      </c>
      <c r="I7605" t="s">
        <v>34979</v>
      </c>
      <c r="J7605" t="s">
        <v>14046</v>
      </c>
      <c r="K7605" t="s">
        <v>34980</v>
      </c>
      <c r="L7605" t="s">
        <v>34981</v>
      </c>
      <c r="M7605" t="s">
        <v>46</v>
      </c>
      <c r="N7605" t="s">
        <v>1985</v>
      </c>
      <c r="O7605" t="s">
        <v>34982</v>
      </c>
      <c r="P7605" t="s">
        <v>34983</v>
      </c>
      <c r="Q7605" t="s">
        <v>34984</v>
      </c>
      <c r="R7605">
        <v>22</v>
      </c>
      <c r="S7605">
        <v>32</v>
      </c>
    </row>
    <row r="7606" spans="1:19" x14ac:dyDescent="0.35">
      <c r="A7606">
        <v>3431</v>
      </c>
      <c r="B7606" t="s">
        <v>34582</v>
      </c>
      <c r="C7606" t="s">
        <v>42</v>
      </c>
      <c r="D7606" t="s">
        <v>34583</v>
      </c>
      <c r="E7606" t="e" cm="1">
        <f t="array" ref="E7606">- RANITIDINE HYDROCHLORIDE</f>
        <v>#NAME?</v>
      </c>
      <c r="F7606" t="s">
        <v>34584</v>
      </c>
      <c r="G7606" t="s">
        <v>60</v>
      </c>
      <c r="H7606" t="s">
        <v>1984</v>
      </c>
      <c r="I7606" t="s">
        <v>34585</v>
      </c>
      <c r="J7606" t="s">
        <v>18149</v>
      </c>
      <c r="K7606" t="s">
        <v>34586</v>
      </c>
      <c r="L7606" t="s">
        <v>34587</v>
      </c>
      <c r="M7606" t="s">
        <v>46</v>
      </c>
      <c r="N7606" t="s">
        <v>1985</v>
      </c>
      <c r="O7606" t="s">
        <v>34589</v>
      </c>
      <c r="P7606" t="s">
        <v>34590</v>
      </c>
      <c r="Q7606" t="s">
        <v>34985</v>
      </c>
      <c r="R7606">
        <v>22</v>
      </c>
      <c r="S7606">
        <v>32</v>
      </c>
    </row>
    <row r="7607" spans="1:19" x14ac:dyDescent="0.35">
      <c r="A7607">
        <v>1368</v>
      </c>
      <c r="B7607" t="s">
        <v>2074</v>
      </c>
      <c r="C7607" t="s">
        <v>42</v>
      </c>
      <c r="D7607" t="s">
        <v>34986</v>
      </c>
      <c r="E7607" t="e" cm="1">
        <f t="array" ref="E7607">- GUAIFENESIN</f>
        <v>#NAME?</v>
      </c>
      <c r="F7607" s="1">
        <v>151000</v>
      </c>
      <c r="G7607" t="s">
        <v>34987</v>
      </c>
      <c r="H7607" t="s">
        <v>31316</v>
      </c>
      <c r="I7607" t="s">
        <v>34988</v>
      </c>
      <c r="J7607" t="s">
        <v>34989</v>
      </c>
      <c r="K7607" t="s">
        <v>4677</v>
      </c>
      <c r="L7607" t="s">
        <v>31318</v>
      </c>
      <c r="M7607" t="s">
        <v>46</v>
      </c>
      <c r="N7607" t="s">
        <v>361</v>
      </c>
      <c r="O7607" t="s">
        <v>34990</v>
      </c>
      <c r="P7607" t="s">
        <v>34991</v>
      </c>
      <c r="Q7607" t="s">
        <v>34992</v>
      </c>
      <c r="R7607">
        <v>22</v>
      </c>
      <c r="S7607">
        <v>32</v>
      </c>
    </row>
    <row r="7608" spans="1:19" x14ac:dyDescent="0.35">
      <c r="A7608">
        <v>3540</v>
      </c>
      <c r="B7608" t="s">
        <v>33575</v>
      </c>
      <c r="C7608" t="s">
        <v>42</v>
      </c>
      <c r="D7608" t="s">
        <v>33576</v>
      </c>
      <c r="E7608" t="e" cm="1">
        <f t="array" ref="E7608">- METOCLOPRAMIDE HYDROCHLORIDE MONOHYDRATE</f>
        <v>#NAME?</v>
      </c>
      <c r="F7608" t="s">
        <v>33577</v>
      </c>
      <c r="G7608" t="s">
        <v>737</v>
      </c>
      <c r="H7608" t="s">
        <v>5688</v>
      </c>
      <c r="I7608" t="s">
        <v>33569</v>
      </c>
      <c r="J7608" t="s">
        <v>33578</v>
      </c>
      <c r="K7608" t="s">
        <v>33570</v>
      </c>
      <c r="L7608" t="s">
        <v>33579</v>
      </c>
      <c r="M7608" t="s">
        <v>46</v>
      </c>
      <c r="N7608" t="s">
        <v>2774</v>
      </c>
      <c r="O7608" t="s">
        <v>33572</v>
      </c>
      <c r="P7608" t="s">
        <v>33573</v>
      </c>
      <c r="Q7608" t="s">
        <v>34993</v>
      </c>
      <c r="R7608">
        <v>22</v>
      </c>
      <c r="S7608">
        <v>32</v>
      </c>
    </row>
    <row r="7609" spans="1:19" x14ac:dyDescent="0.35">
      <c r="A7609">
        <v>9732</v>
      </c>
      <c r="B7609" t="s">
        <v>34963</v>
      </c>
      <c r="C7609" t="s">
        <v>42</v>
      </c>
      <c r="D7609" t="s">
        <v>34964</v>
      </c>
      <c r="E7609" t="e" cm="1">
        <f t="array" ref="E7609">- ROSUVASTATIN CALCIUM</f>
        <v>#NAME?</v>
      </c>
      <c r="F7609" t="s">
        <v>34965</v>
      </c>
      <c r="G7609" t="s">
        <v>2734</v>
      </c>
      <c r="H7609" t="s">
        <v>30631</v>
      </c>
      <c r="I7609" t="s">
        <v>34827</v>
      </c>
      <c r="J7609" t="s">
        <v>34828</v>
      </c>
      <c r="K7609" t="s">
        <v>34829</v>
      </c>
      <c r="L7609" t="s">
        <v>34830</v>
      </c>
      <c r="M7609" t="s">
        <v>46</v>
      </c>
      <c r="N7609" t="s">
        <v>2308</v>
      </c>
      <c r="O7609" t="s">
        <v>34831</v>
      </c>
      <c r="P7609" t="s">
        <v>34832</v>
      </c>
      <c r="Q7609" t="s">
        <v>34833</v>
      </c>
      <c r="R7609">
        <v>22</v>
      </c>
      <c r="S7609">
        <v>32</v>
      </c>
    </row>
    <row r="7610" spans="1:19" x14ac:dyDescent="0.35">
      <c r="A7610">
        <v>6846</v>
      </c>
      <c r="B7610" t="s">
        <v>34994</v>
      </c>
      <c r="C7610" t="s">
        <v>42</v>
      </c>
      <c r="D7610" t="s">
        <v>34995</v>
      </c>
      <c r="E7610" t="e" cm="1">
        <f t="array" ref="E7610">- DICLOFENAC DIETHYLAMINE</f>
        <v>#NAME?</v>
      </c>
      <c r="F7610" t="s">
        <v>34996</v>
      </c>
      <c r="G7610" t="s">
        <v>34997</v>
      </c>
      <c r="H7610" t="s">
        <v>30527</v>
      </c>
      <c r="I7610" t="s">
        <v>34998</v>
      </c>
      <c r="J7610" t="s">
        <v>2040</v>
      </c>
      <c r="K7610" t="s">
        <v>34999</v>
      </c>
      <c r="L7610" t="s">
        <v>35000</v>
      </c>
      <c r="M7610" t="s">
        <v>87</v>
      </c>
      <c r="N7610" t="s">
        <v>1958</v>
      </c>
      <c r="O7610" t="s">
        <v>35001</v>
      </c>
      <c r="P7610" t="s">
        <v>35002</v>
      </c>
      <c r="Q7610" t="s">
        <v>35003</v>
      </c>
      <c r="R7610">
        <v>22</v>
      </c>
      <c r="S7610">
        <v>32</v>
      </c>
    </row>
    <row r="7611" spans="1:19" x14ac:dyDescent="0.35">
      <c r="A7611">
        <v>3543</v>
      </c>
      <c r="B7611" t="s">
        <v>35004</v>
      </c>
      <c r="C7611" t="s">
        <v>42</v>
      </c>
      <c r="D7611" t="s">
        <v>35005</v>
      </c>
      <c r="E7611" t="e" cm="1">
        <f t="array" ref="E7611">- METOCLOPRAMIDE HYDROCHLORIDE MONOHYDRATE</f>
        <v>#NAME?</v>
      </c>
      <c r="F7611" t="s">
        <v>35006</v>
      </c>
      <c r="G7611" t="s">
        <v>737</v>
      </c>
      <c r="H7611" t="s">
        <v>35007</v>
      </c>
      <c r="I7611" t="s">
        <v>33569</v>
      </c>
      <c r="J7611" t="s">
        <v>35008</v>
      </c>
      <c r="K7611" t="s">
        <v>33570</v>
      </c>
      <c r="L7611" t="s">
        <v>33571</v>
      </c>
      <c r="M7611" t="s">
        <v>271</v>
      </c>
      <c r="N7611" t="s">
        <v>2774</v>
      </c>
      <c r="O7611" t="s">
        <v>33572</v>
      </c>
      <c r="P7611" t="s">
        <v>33573</v>
      </c>
      <c r="Q7611" t="s">
        <v>35009</v>
      </c>
      <c r="R7611">
        <v>22</v>
      </c>
      <c r="S7611">
        <v>32</v>
      </c>
    </row>
    <row r="7612" spans="1:19" x14ac:dyDescent="0.35">
      <c r="A7612">
        <v>3545</v>
      </c>
      <c r="B7612" t="s">
        <v>35010</v>
      </c>
      <c r="C7612" t="s">
        <v>42</v>
      </c>
      <c r="D7612" t="s">
        <v>35011</v>
      </c>
      <c r="E7612" t="e" cm="1">
        <f t="array" ref="E7612">- DIMENHYDRINATE</f>
        <v>#NAME?</v>
      </c>
      <c r="F7612" s="1">
        <v>500</v>
      </c>
      <c r="G7612" t="s">
        <v>35012</v>
      </c>
      <c r="I7612" t="s">
        <v>35013</v>
      </c>
      <c r="J7612" t="s">
        <v>754</v>
      </c>
      <c r="M7612" t="s">
        <v>46</v>
      </c>
      <c r="N7612" t="s">
        <v>329</v>
      </c>
      <c r="O7612" t="s">
        <v>35014</v>
      </c>
      <c r="P7612" t="s">
        <v>329</v>
      </c>
      <c r="Q7612" t="s">
        <v>35015</v>
      </c>
      <c r="R7612">
        <v>22</v>
      </c>
      <c r="S7612">
        <v>32</v>
      </c>
    </row>
    <row r="7613" spans="1:19" x14ac:dyDescent="0.35">
      <c r="A7613">
        <v>9731</v>
      </c>
      <c r="B7613" t="s">
        <v>35016</v>
      </c>
      <c r="C7613" t="s">
        <v>42</v>
      </c>
      <c r="D7613" t="s">
        <v>35017</v>
      </c>
      <c r="E7613" t="e" cm="1">
        <f t="array" ref="E7613">- ROSUVASTATIN CALCIUM</f>
        <v>#NAME?</v>
      </c>
      <c r="F7613" t="s">
        <v>35018</v>
      </c>
      <c r="G7613" t="s">
        <v>3098</v>
      </c>
      <c r="H7613" t="s">
        <v>30631</v>
      </c>
      <c r="I7613" t="s">
        <v>34827</v>
      </c>
      <c r="J7613" t="s">
        <v>956</v>
      </c>
      <c r="K7613" t="s">
        <v>34829</v>
      </c>
      <c r="L7613" t="s">
        <v>34830</v>
      </c>
      <c r="M7613" t="s">
        <v>46</v>
      </c>
      <c r="N7613" t="s">
        <v>2308</v>
      </c>
      <c r="O7613" t="s">
        <v>34831</v>
      </c>
      <c r="P7613" t="s">
        <v>34832</v>
      </c>
      <c r="Q7613" t="s">
        <v>34833</v>
      </c>
      <c r="R7613">
        <v>22</v>
      </c>
      <c r="S7613">
        <v>32</v>
      </c>
    </row>
    <row r="7614" spans="1:19" x14ac:dyDescent="0.35">
      <c r="A7614">
        <v>293</v>
      </c>
      <c r="B7614" t="s">
        <v>35019</v>
      </c>
      <c r="C7614" t="s">
        <v>42</v>
      </c>
      <c r="D7614" t="s">
        <v>35020</v>
      </c>
      <c r="E7614" t="e" cm="1">
        <f t="array" ref="E7614">- CLOMIFENE CITRATE</f>
        <v>#NAME?</v>
      </c>
      <c r="F7614" s="1">
        <v>185700</v>
      </c>
      <c r="G7614" t="s">
        <v>60</v>
      </c>
      <c r="H7614" t="s">
        <v>35021</v>
      </c>
      <c r="I7614" t="s">
        <v>35022</v>
      </c>
      <c r="J7614" t="s">
        <v>411</v>
      </c>
      <c r="K7614" t="s">
        <v>35023</v>
      </c>
      <c r="L7614" t="s">
        <v>35024</v>
      </c>
      <c r="M7614" t="s">
        <v>46</v>
      </c>
      <c r="N7614" t="s">
        <v>5738</v>
      </c>
      <c r="O7614" t="s">
        <v>35025</v>
      </c>
      <c r="P7614" t="s">
        <v>35026</v>
      </c>
      <c r="Q7614" t="s">
        <v>35027</v>
      </c>
      <c r="R7614">
        <v>22</v>
      </c>
      <c r="S7614">
        <v>32</v>
      </c>
    </row>
    <row r="7615" spans="1:19" x14ac:dyDescent="0.35">
      <c r="A7615">
        <v>9730</v>
      </c>
      <c r="B7615" t="s">
        <v>35016</v>
      </c>
      <c r="C7615" t="s">
        <v>42</v>
      </c>
      <c r="D7615" t="s">
        <v>35017</v>
      </c>
      <c r="E7615" t="e" cm="1">
        <f t="array" ref="E7615">- ROSUVASTATIN CALCIUM</f>
        <v>#NAME?</v>
      </c>
      <c r="F7615" t="s">
        <v>35018</v>
      </c>
      <c r="G7615" t="s">
        <v>3098</v>
      </c>
      <c r="H7615" t="s">
        <v>30631</v>
      </c>
      <c r="I7615" t="s">
        <v>34827</v>
      </c>
      <c r="J7615" t="s">
        <v>956</v>
      </c>
      <c r="K7615" t="s">
        <v>34829</v>
      </c>
      <c r="L7615" t="s">
        <v>34830</v>
      </c>
      <c r="M7615" t="s">
        <v>46</v>
      </c>
      <c r="N7615" t="s">
        <v>2308</v>
      </c>
      <c r="O7615" t="s">
        <v>34831</v>
      </c>
      <c r="P7615" t="s">
        <v>34832</v>
      </c>
      <c r="Q7615" t="s">
        <v>34833</v>
      </c>
      <c r="R7615">
        <v>22</v>
      </c>
      <c r="S7615">
        <v>32</v>
      </c>
    </row>
    <row r="7616" spans="1:19" x14ac:dyDescent="0.35">
      <c r="A7616">
        <v>1345</v>
      </c>
      <c r="B7616" t="s">
        <v>35028</v>
      </c>
      <c r="C7616" t="s">
        <v>42</v>
      </c>
      <c r="D7616" t="s">
        <v>35029</v>
      </c>
      <c r="E7616" t="e" cm="1">
        <f t="array" ref="E7616">- PARACETAMOL. PHENYLPROPANOLAMINE HYDROCHLORIDE. DEXCHLORPHENIRAMINE MALEATE. GUAIFENESIN. DEXTROMETHORPHAN HYDROBROMIDE</f>
        <v>#NAME?</v>
      </c>
      <c r="F7616" t="s">
        <v>35030</v>
      </c>
      <c r="G7616" t="s">
        <v>4545</v>
      </c>
      <c r="H7616" t="s">
        <v>35031</v>
      </c>
      <c r="I7616" t="s">
        <v>35032</v>
      </c>
      <c r="J7616" t="s">
        <v>334</v>
      </c>
      <c r="L7616" t="s">
        <v>35033</v>
      </c>
      <c r="M7616" t="s">
        <v>271</v>
      </c>
      <c r="N7616" t="s">
        <v>35034</v>
      </c>
      <c r="O7616" t="s">
        <v>32915</v>
      </c>
      <c r="P7616" t="s">
        <v>35035</v>
      </c>
      <c r="Q7616" t="s">
        <v>35036</v>
      </c>
      <c r="R7616">
        <v>22</v>
      </c>
      <c r="S7616">
        <v>32</v>
      </c>
    </row>
    <row r="7617" spans="1:19" x14ac:dyDescent="0.35">
      <c r="A7617">
        <v>9683</v>
      </c>
      <c r="B7617" t="s">
        <v>35037</v>
      </c>
      <c r="C7617" t="s">
        <v>42</v>
      </c>
      <c r="D7617" t="s">
        <v>35038</v>
      </c>
      <c r="E7617" t="e" cm="1">
        <f t="array" ref="E7617">- ROSUVASTATIN CALCIUM</f>
        <v>#NAME?</v>
      </c>
      <c r="F7617" t="s">
        <v>35039</v>
      </c>
      <c r="G7617" t="s">
        <v>3098</v>
      </c>
      <c r="H7617" t="s">
        <v>30631</v>
      </c>
      <c r="I7617" t="s">
        <v>34827</v>
      </c>
      <c r="J7617" t="s">
        <v>34828</v>
      </c>
      <c r="K7617" t="s">
        <v>34829</v>
      </c>
      <c r="L7617" t="s">
        <v>34830</v>
      </c>
      <c r="M7617" t="s">
        <v>46</v>
      </c>
      <c r="N7617" t="s">
        <v>2308</v>
      </c>
      <c r="O7617" t="s">
        <v>34831</v>
      </c>
      <c r="P7617" t="s">
        <v>34832</v>
      </c>
      <c r="Q7617" t="s">
        <v>34833</v>
      </c>
      <c r="R7617">
        <v>22</v>
      </c>
      <c r="S7617">
        <v>32</v>
      </c>
    </row>
    <row r="7618" spans="1:19" x14ac:dyDescent="0.35">
      <c r="A7618">
        <v>9682</v>
      </c>
      <c r="B7618" t="s">
        <v>35037</v>
      </c>
      <c r="C7618" t="s">
        <v>42</v>
      </c>
      <c r="D7618" t="s">
        <v>35038</v>
      </c>
      <c r="E7618" t="e" cm="1">
        <f t="array" ref="E7618">- ROSUVASTATIN CALCIUM</f>
        <v>#NAME?</v>
      </c>
      <c r="F7618" t="s">
        <v>35039</v>
      </c>
      <c r="G7618" t="s">
        <v>3098</v>
      </c>
      <c r="H7618" t="s">
        <v>30631</v>
      </c>
      <c r="I7618" t="s">
        <v>34827</v>
      </c>
      <c r="J7618" t="s">
        <v>34828</v>
      </c>
      <c r="K7618" t="s">
        <v>34829</v>
      </c>
      <c r="L7618" t="s">
        <v>34830</v>
      </c>
      <c r="M7618" t="s">
        <v>46</v>
      </c>
      <c r="N7618" t="s">
        <v>2308</v>
      </c>
      <c r="O7618" t="s">
        <v>34831</v>
      </c>
      <c r="P7618" t="s">
        <v>34832</v>
      </c>
      <c r="Q7618" t="s">
        <v>34833</v>
      </c>
      <c r="R7618">
        <v>22</v>
      </c>
      <c r="S7618">
        <v>32</v>
      </c>
    </row>
    <row r="7619" spans="1:19" x14ac:dyDescent="0.35">
      <c r="A7619">
        <v>3360</v>
      </c>
      <c r="B7619" t="s">
        <v>32161</v>
      </c>
      <c r="C7619" t="s">
        <v>42</v>
      </c>
      <c r="D7619" t="s">
        <v>32162</v>
      </c>
      <c r="E7619" t="e" cm="1">
        <f t="array" ref="E7619">- PANTOPRAZOLE SODIUM SESQUIHYDRATE</f>
        <v>#NAME?</v>
      </c>
      <c r="F7619" t="s">
        <v>32163</v>
      </c>
      <c r="G7619" t="s">
        <v>25424</v>
      </c>
      <c r="H7619" t="s">
        <v>32164</v>
      </c>
      <c r="I7619" t="s">
        <v>32165</v>
      </c>
    </row>
    <row r="7620" spans="1:19" x14ac:dyDescent="0.35">
      <c r="A7620">
        <v>3338</v>
      </c>
      <c r="B7620" t="s">
        <v>31755</v>
      </c>
      <c r="C7620" t="s">
        <v>42</v>
      </c>
      <c r="D7620" t="s">
        <v>31756</v>
      </c>
      <c r="E7620" t="e" cm="1">
        <f t="array" ref="E7620">- DRIED ALUMINIUM HYDROXIDE GEL. MAGNESIUM HYDROXIDE. SIMETHICONE</f>
        <v>#NAME?</v>
      </c>
      <c r="F7620" t="s">
        <v>31757</v>
      </c>
      <c r="G7620" t="s">
        <v>31758</v>
      </c>
      <c r="H7620" t="s">
        <v>31759</v>
      </c>
      <c r="I7620" t="s">
        <v>31760</v>
      </c>
      <c r="J7620" t="s">
        <v>614</v>
      </c>
      <c r="K7620" t="s">
        <v>31761</v>
      </c>
      <c r="L7620" t="s">
        <v>21928</v>
      </c>
    </row>
    <row r="7621" spans="1:19" x14ac:dyDescent="0.35">
      <c r="A7621">
        <v>9681</v>
      </c>
      <c r="B7621" t="s">
        <v>35037</v>
      </c>
      <c r="C7621" t="s">
        <v>42</v>
      </c>
      <c r="D7621" t="s">
        <v>35038</v>
      </c>
      <c r="E7621" t="e" cm="1">
        <f t="array" ref="E7621">- ROSUVASTATIN CALCIUM</f>
        <v>#NAME?</v>
      </c>
      <c r="F7621" t="s">
        <v>35039</v>
      </c>
      <c r="G7621" t="s">
        <v>3098</v>
      </c>
      <c r="H7621" t="s">
        <v>30631</v>
      </c>
      <c r="I7621" t="s">
        <v>34827</v>
      </c>
      <c r="J7621" t="s">
        <v>34828</v>
      </c>
      <c r="K7621" t="s">
        <v>34829</v>
      </c>
      <c r="L7621" t="s">
        <v>34830</v>
      </c>
      <c r="M7621" t="s">
        <v>46</v>
      </c>
      <c r="N7621" t="s">
        <v>2308</v>
      </c>
      <c r="O7621" t="s">
        <v>34831</v>
      </c>
      <c r="P7621" t="s">
        <v>34832</v>
      </c>
      <c r="Q7621" t="s">
        <v>34833</v>
      </c>
      <c r="R7621">
        <v>22</v>
      </c>
      <c r="S7621">
        <v>32</v>
      </c>
    </row>
    <row r="7622" spans="1:19" x14ac:dyDescent="0.35">
      <c r="A7622">
        <v>3544</v>
      </c>
      <c r="B7622" t="s">
        <v>35010</v>
      </c>
      <c r="C7622" t="s">
        <v>42</v>
      </c>
      <c r="D7622" t="s">
        <v>35011</v>
      </c>
      <c r="E7622" t="e" cm="1">
        <f t="array" ref="E7622">- DIMENHYDRINATE</f>
        <v>#NAME?</v>
      </c>
      <c r="F7622" s="1">
        <v>500</v>
      </c>
      <c r="G7622" t="s">
        <v>35012</v>
      </c>
      <c r="I7622" t="s">
        <v>35013</v>
      </c>
      <c r="J7622" t="s">
        <v>754</v>
      </c>
      <c r="M7622" t="s">
        <v>46</v>
      </c>
      <c r="N7622" t="s">
        <v>329</v>
      </c>
      <c r="O7622" t="s">
        <v>35014</v>
      </c>
      <c r="P7622" t="s">
        <v>329</v>
      </c>
      <c r="Q7622" t="s">
        <v>35015</v>
      </c>
      <c r="R7622">
        <v>22</v>
      </c>
      <c r="S7622">
        <v>32</v>
      </c>
    </row>
    <row r="7623" spans="1:19" x14ac:dyDescent="0.35">
      <c r="A7623">
        <v>3160</v>
      </c>
      <c r="B7623" t="s">
        <v>35040</v>
      </c>
      <c r="C7623" t="s">
        <v>42</v>
      </c>
      <c r="D7623" t="s">
        <v>35041</v>
      </c>
      <c r="E7623" t="s">
        <v>20682</v>
      </c>
      <c r="F7623" t="s">
        <v>35042</v>
      </c>
      <c r="G7623" t="s">
        <v>14621</v>
      </c>
      <c r="H7623" t="s">
        <v>4222</v>
      </c>
      <c r="I7623" t="s">
        <v>31596</v>
      </c>
      <c r="J7623" t="s">
        <v>1181</v>
      </c>
      <c r="K7623" t="s">
        <v>31597</v>
      </c>
      <c r="L7623" t="s">
        <v>31598</v>
      </c>
    </row>
    <row r="7624" spans="1:19" x14ac:dyDescent="0.35">
      <c r="A7624">
        <v>9804</v>
      </c>
      <c r="B7624" t="s">
        <v>35043</v>
      </c>
      <c r="C7624" t="s">
        <v>42</v>
      </c>
      <c r="D7624" t="s">
        <v>35044</v>
      </c>
      <c r="E7624" t="e" cm="1">
        <f t="array" ref="E7624">- ROSUVASTATIN CALCIUM</f>
        <v>#NAME?</v>
      </c>
      <c r="F7624" t="s">
        <v>35045</v>
      </c>
      <c r="G7624" t="s">
        <v>35046</v>
      </c>
      <c r="H7624" t="s">
        <v>30631</v>
      </c>
      <c r="I7624" t="s">
        <v>34827</v>
      </c>
      <c r="J7624" t="s">
        <v>2478</v>
      </c>
      <c r="K7624" t="s">
        <v>34829</v>
      </c>
      <c r="L7624" t="s">
        <v>34830</v>
      </c>
      <c r="M7624" t="s">
        <v>46</v>
      </c>
      <c r="N7624" t="s">
        <v>2308</v>
      </c>
      <c r="O7624" t="s">
        <v>34831</v>
      </c>
      <c r="P7624" t="s">
        <v>9940</v>
      </c>
      <c r="Q7624" t="s">
        <v>35047</v>
      </c>
      <c r="R7624">
        <v>22</v>
      </c>
      <c r="S7624">
        <v>32</v>
      </c>
    </row>
    <row r="7625" spans="1:19" x14ac:dyDescent="0.35">
      <c r="A7625">
        <v>9805</v>
      </c>
      <c r="B7625" t="s">
        <v>35043</v>
      </c>
      <c r="C7625" t="s">
        <v>42</v>
      </c>
      <c r="D7625" t="s">
        <v>35044</v>
      </c>
      <c r="E7625" t="e" cm="1">
        <f t="array" ref="E7625">- ROSUVASTATIN CALCIUM</f>
        <v>#NAME?</v>
      </c>
      <c r="F7625" t="s">
        <v>35045</v>
      </c>
      <c r="G7625" t="s">
        <v>35046</v>
      </c>
      <c r="H7625" t="s">
        <v>30631</v>
      </c>
      <c r="I7625" t="s">
        <v>34827</v>
      </c>
      <c r="J7625" t="s">
        <v>2478</v>
      </c>
      <c r="K7625" t="s">
        <v>34829</v>
      </c>
      <c r="L7625" t="s">
        <v>34830</v>
      </c>
      <c r="M7625" t="s">
        <v>46</v>
      </c>
      <c r="N7625" t="s">
        <v>2308</v>
      </c>
      <c r="O7625" t="s">
        <v>34831</v>
      </c>
      <c r="P7625" t="s">
        <v>9940</v>
      </c>
      <c r="Q7625" t="s">
        <v>35047</v>
      </c>
      <c r="R7625">
        <v>22</v>
      </c>
      <c r="S7625">
        <v>32</v>
      </c>
    </row>
    <row r="7626" spans="1:19" x14ac:dyDescent="0.35">
      <c r="A7626">
        <v>8907</v>
      </c>
      <c r="B7626" t="s">
        <v>35048</v>
      </c>
      <c r="C7626" t="s">
        <v>42</v>
      </c>
      <c r="D7626" t="s">
        <v>35049</v>
      </c>
      <c r="E7626" t="e" cm="1">
        <f t="array" ref="E7626">- BISOPROLOL FUMARATE</f>
        <v>#NAME?</v>
      </c>
      <c r="F7626" t="s">
        <v>35050</v>
      </c>
      <c r="G7626" t="s">
        <v>5746</v>
      </c>
      <c r="H7626" t="s">
        <v>34607</v>
      </c>
      <c r="I7626" t="s">
        <v>34608</v>
      </c>
      <c r="J7626" t="s">
        <v>754</v>
      </c>
      <c r="K7626" t="s">
        <v>35051</v>
      </c>
      <c r="L7626" t="s">
        <v>34610</v>
      </c>
      <c r="M7626" t="s">
        <v>46</v>
      </c>
      <c r="N7626" t="s">
        <v>6182</v>
      </c>
      <c r="O7626" t="s">
        <v>34611</v>
      </c>
      <c r="P7626" t="s">
        <v>35052</v>
      </c>
      <c r="Q7626" t="s">
        <v>35053</v>
      </c>
      <c r="R7626">
        <v>22</v>
      </c>
      <c r="S7626">
        <v>32</v>
      </c>
    </row>
    <row r="7627" spans="1:19" x14ac:dyDescent="0.35">
      <c r="A7627">
        <v>8908</v>
      </c>
      <c r="B7627" t="s">
        <v>35048</v>
      </c>
      <c r="C7627" t="s">
        <v>42</v>
      </c>
      <c r="D7627" t="s">
        <v>35049</v>
      </c>
      <c r="E7627" t="e" cm="1">
        <f t="array" ref="E7627">- BISOPROLOL FUMARATE</f>
        <v>#NAME?</v>
      </c>
      <c r="F7627" t="s">
        <v>35050</v>
      </c>
      <c r="G7627" t="s">
        <v>5746</v>
      </c>
      <c r="H7627" t="s">
        <v>34607</v>
      </c>
      <c r="I7627" t="s">
        <v>34608</v>
      </c>
      <c r="J7627" t="s">
        <v>754</v>
      </c>
      <c r="K7627" t="s">
        <v>35051</v>
      </c>
      <c r="L7627" t="s">
        <v>34610</v>
      </c>
      <c r="M7627" t="s">
        <v>46</v>
      </c>
      <c r="N7627" t="s">
        <v>6182</v>
      </c>
      <c r="O7627" t="s">
        <v>34611</v>
      </c>
      <c r="P7627" t="s">
        <v>35052</v>
      </c>
      <c r="Q7627" t="s">
        <v>35053</v>
      </c>
      <c r="R7627">
        <v>22</v>
      </c>
      <c r="S7627">
        <v>32</v>
      </c>
    </row>
    <row r="7628" spans="1:19" x14ac:dyDescent="0.35">
      <c r="A7628">
        <v>6152</v>
      </c>
      <c r="B7628" t="s">
        <v>35054</v>
      </c>
      <c r="C7628" t="s">
        <v>42</v>
      </c>
      <c r="D7628" t="s">
        <v>35055</v>
      </c>
      <c r="E7628" t="e" cm="1">
        <f t="array" ref="E7628">- AMOXICILLIN TRIHYDRATE</f>
        <v>#NAME?</v>
      </c>
      <c r="F7628" t="s">
        <v>35056</v>
      </c>
      <c r="G7628" t="s">
        <v>2241</v>
      </c>
      <c r="I7628" t="s">
        <v>34137</v>
      </c>
      <c r="J7628" t="s">
        <v>515</v>
      </c>
      <c r="M7628" t="s">
        <v>291</v>
      </c>
      <c r="N7628" t="s">
        <v>1523</v>
      </c>
      <c r="O7628" t="s">
        <v>33150</v>
      </c>
      <c r="P7628" t="s">
        <v>35057</v>
      </c>
      <c r="Q7628" t="s">
        <v>35058</v>
      </c>
      <c r="R7628">
        <v>22</v>
      </c>
      <c r="S7628">
        <v>32</v>
      </c>
    </row>
    <row r="7629" spans="1:19" x14ac:dyDescent="0.35">
      <c r="A7629">
        <v>4161</v>
      </c>
      <c r="B7629" t="s">
        <v>35059</v>
      </c>
      <c r="C7629" t="s">
        <v>42</v>
      </c>
      <c r="D7629" t="s">
        <v>35060</v>
      </c>
      <c r="E7629" t="e" cm="1">
        <f t="array" ref="E7629">- LEVOCETIRIZINE DIHYDROCHLORIDE</f>
        <v>#NAME?</v>
      </c>
      <c r="F7629" t="s">
        <v>35061</v>
      </c>
      <c r="G7629" t="s">
        <v>2241</v>
      </c>
      <c r="H7629" t="s">
        <v>35062</v>
      </c>
      <c r="I7629" t="s">
        <v>35063</v>
      </c>
      <c r="J7629" t="s">
        <v>45</v>
      </c>
      <c r="K7629" t="s">
        <v>3952</v>
      </c>
    </row>
    <row r="7630" spans="1:19" x14ac:dyDescent="0.35">
      <c r="A7630">
        <v>6485</v>
      </c>
      <c r="B7630" t="s">
        <v>35064</v>
      </c>
      <c r="C7630" t="s">
        <v>42</v>
      </c>
      <c r="D7630" t="s">
        <v>35065</v>
      </c>
      <c r="E7630" t="e" cm="1">
        <f t="array" ref="E7630">- CIPROFLOXACIN HYDROCHLORIDE</f>
        <v>#NAME?</v>
      </c>
      <c r="F7630" t="s">
        <v>35066</v>
      </c>
      <c r="G7630" t="s">
        <v>1691</v>
      </c>
      <c r="H7630" t="s">
        <v>35067</v>
      </c>
      <c r="I7630" t="s">
        <v>35068</v>
      </c>
      <c r="J7630" t="s">
        <v>35069</v>
      </c>
      <c r="K7630" t="s">
        <v>35070</v>
      </c>
      <c r="L7630" t="s">
        <v>35071</v>
      </c>
      <c r="M7630" t="s">
        <v>291</v>
      </c>
      <c r="N7630" t="s">
        <v>1624</v>
      </c>
      <c r="O7630" t="s">
        <v>35072</v>
      </c>
      <c r="P7630" t="s">
        <v>35073</v>
      </c>
      <c r="Q7630" t="s">
        <v>35074</v>
      </c>
      <c r="R7630">
        <v>22</v>
      </c>
      <c r="S7630">
        <v>32</v>
      </c>
    </row>
    <row r="7631" spans="1:19" x14ac:dyDescent="0.35">
      <c r="A7631">
        <v>6483</v>
      </c>
      <c r="B7631" t="s">
        <v>26214</v>
      </c>
      <c r="C7631" t="s">
        <v>42</v>
      </c>
      <c r="D7631" t="s">
        <v>26215</v>
      </c>
      <c r="E7631" t="e" cm="1">
        <f t="array" ref="E7631">- AMOXICILLIN TRIHYDRATE. POTASSIUM CLAVULANATE WITH MICROCRYSTALLINE CELLULOSE</f>
        <v>#NAME?</v>
      </c>
      <c r="F7631" t="s">
        <v>26216</v>
      </c>
      <c r="G7631" t="s">
        <v>26217</v>
      </c>
      <c r="H7631" t="s">
        <v>26218</v>
      </c>
      <c r="I7631" t="s">
        <v>26219</v>
      </c>
      <c r="J7631" t="s">
        <v>26220</v>
      </c>
      <c r="K7631" t="s">
        <v>26221</v>
      </c>
      <c r="L7631" t="s">
        <v>26222</v>
      </c>
      <c r="M7631" t="s">
        <v>291</v>
      </c>
      <c r="N7631" t="s">
        <v>11276</v>
      </c>
      <c r="O7631" t="s">
        <v>26223</v>
      </c>
      <c r="P7631" t="s">
        <v>26224</v>
      </c>
      <c r="Q7631" t="s">
        <v>35075</v>
      </c>
      <c r="R7631">
        <v>22</v>
      </c>
      <c r="S7631">
        <v>32</v>
      </c>
    </row>
    <row r="7632" spans="1:19" x14ac:dyDescent="0.35">
      <c r="A7632">
        <v>2383</v>
      </c>
      <c r="B7632" t="s">
        <v>35076</v>
      </c>
      <c r="C7632" t="s">
        <v>42</v>
      </c>
      <c r="D7632" t="s">
        <v>35077</v>
      </c>
      <c r="E7632" t="e" cm="1">
        <f t="array" ref="E7632">- FLUNARIZINE</f>
        <v>#NAME?</v>
      </c>
      <c r="F7632" t="s">
        <v>35078</v>
      </c>
      <c r="G7632" t="s">
        <v>60</v>
      </c>
      <c r="H7632" t="s">
        <v>35079</v>
      </c>
      <c r="I7632" t="s">
        <v>35080</v>
      </c>
      <c r="J7632" t="s">
        <v>24669</v>
      </c>
      <c r="K7632" t="s">
        <v>35081</v>
      </c>
      <c r="L7632" t="s">
        <v>35082</v>
      </c>
      <c r="M7632" t="s">
        <v>46</v>
      </c>
      <c r="N7632" t="s">
        <v>2623</v>
      </c>
      <c r="O7632" t="s">
        <v>35083</v>
      </c>
      <c r="P7632" t="s">
        <v>35084</v>
      </c>
      <c r="Q7632" t="s">
        <v>35085</v>
      </c>
      <c r="R7632">
        <v>22</v>
      </c>
      <c r="S7632">
        <v>32</v>
      </c>
    </row>
    <row r="7633" spans="1:19" x14ac:dyDescent="0.35">
      <c r="A7633">
        <v>7971</v>
      </c>
      <c r="B7633" t="s">
        <v>35086</v>
      </c>
      <c r="C7633" t="s">
        <v>20</v>
      </c>
      <c r="D7633" t="s">
        <v>35087</v>
      </c>
      <c r="E7633" t="s">
        <v>35088</v>
      </c>
      <c r="F7633" t="s">
        <v>35089</v>
      </c>
      <c r="G7633" t="s">
        <v>737</v>
      </c>
      <c r="H7633" t="s">
        <v>35090</v>
      </c>
      <c r="I7633" t="s">
        <v>35091</v>
      </c>
      <c r="J7633" t="s">
        <v>35092</v>
      </c>
      <c r="M7633" t="s">
        <v>2374</v>
      </c>
      <c r="N7633" t="s">
        <v>35093</v>
      </c>
      <c r="O7633" t="s">
        <v>35094</v>
      </c>
      <c r="P7633" t="s">
        <v>35093</v>
      </c>
      <c r="Q7633" t="s">
        <v>35095</v>
      </c>
      <c r="R7633">
        <v>22</v>
      </c>
      <c r="S7633">
        <v>32</v>
      </c>
    </row>
    <row r="7634" spans="1:19" x14ac:dyDescent="0.35">
      <c r="A7634">
        <v>1132</v>
      </c>
      <c r="B7634" t="s">
        <v>35096</v>
      </c>
      <c r="C7634" t="s">
        <v>42</v>
      </c>
      <c r="D7634" t="s">
        <v>35097</v>
      </c>
      <c r="E7634" t="e" cm="1">
        <f t="array" ref="E7634">- AMMONIUM CHLORIDE</f>
        <v>#NAME?</v>
      </c>
      <c r="F7634" t="s">
        <v>35098</v>
      </c>
      <c r="G7634" t="s">
        <v>4649</v>
      </c>
      <c r="H7634" t="s">
        <v>35099</v>
      </c>
      <c r="I7634" t="s">
        <v>35100</v>
      </c>
      <c r="J7634" t="s">
        <v>374</v>
      </c>
      <c r="K7634" t="s">
        <v>35101</v>
      </c>
      <c r="L7634" t="s">
        <v>2726</v>
      </c>
      <c r="M7634" t="s">
        <v>271</v>
      </c>
      <c r="N7634" t="s">
        <v>1672</v>
      </c>
      <c r="O7634" t="s">
        <v>35102</v>
      </c>
      <c r="P7634" t="s">
        <v>35103</v>
      </c>
      <c r="Q7634" t="s">
        <v>35104</v>
      </c>
      <c r="R7634">
        <v>22</v>
      </c>
      <c r="S7634">
        <v>32</v>
      </c>
    </row>
    <row r="7635" spans="1:19" x14ac:dyDescent="0.35">
      <c r="A7635">
        <v>1131</v>
      </c>
      <c r="B7635" t="s">
        <v>35096</v>
      </c>
      <c r="C7635" t="s">
        <v>42</v>
      </c>
      <c r="D7635" t="s">
        <v>35097</v>
      </c>
      <c r="E7635" t="e" cm="1">
        <f t="array" ref="E7635">- AMMONIUM CHLORIDE</f>
        <v>#NAME?</v>
      </c>
      <c r="F7635" t="s">
        <v>35098</v>
      </c>
      <c r="G7635" t="s">
        <v>4649</v>
      </c>
      <c r="H7635" t="s">
        <v>35099</v>
      </c>
      <c r="I7635" t="s">
        <v>35100</v>
      </c>
      <c r="J7635" t="s">
        <v>374</v>
      </c>
      <c r="K7635" t="s">
        <v>35101</v>
      </c>
      <c r="L7635" t="s">
        <v>2726</v>
      </c>
      <c r="M7635" t="s">
        <v>271</v>
      </c>
      <c r="N7635" t="s">
        <v>1672</v>
      </c>
      <c r="O7635" t="s">
        <v>35102</v>
      </c>
      <c r="P7635" t="s">
        <v>35103</v>
      </c>
      <c r="Q7635" t="s">
        <v>35104</v>
      </c>
      <c r="R7635">
        <v>22</v>
      </c>
      <c r="S7635">
        <v>32</v>
      </c>
    </row>
    <row r="7636" spans="1:19" x14ac:dyDescent="0.35">
      <c r="A7636">
        <v>8906</v>
      </c>
      <c r="B7636" t="s">
        <v>35048</v>
      </c>
      <c r="C7636" t="s">
        <v>42</v>
      </c>
      <c r="D7636" t="s">
        <v>35049</v>
      </c>
      <c r="E7636" t="e" cm="1">
        <f t="array" ref="E7636">- BISOPROLOL FUMARATE</f>
        <v>#NAME?</v>
      </c>
      <c r="F7636" t="s">
        <v>35050</v>
      </c>
      <c r="G7636" t="s">
        <v>5746</v>
      </c>
      <c r="H7636" t="s">
        <v>34607</v>
      </c>
      <c r="I7636" t="s">
        <v>34608</v>
      </c>
      <c r="J7636" t="s">
        <v>754</v>
      </c>
      <c r="K7636" t="s">
        <v>35051</v>
      </c>
      <c r="L7636" t="s">
        <v>34610</v>
      </c>
      <c r="M7636" t="s">
        <v>46</v>
      </c>
      <c r="N7636" t="s">
        <v>6182</v>
      </c>
      <c r="O7636" t="s">
        <v>34611</v>
      </c>
      <c r="P7636" t="s">
        <v>35052</v>
      </c>
      <c r="Q7636" t="s">
        <v>35053</v>
      </c>
      <c r="R7636">
        <v>22</v>
      </c>
      <c r="S7636">
        <v>32</v>
      </c>
    </row>
    <row r="7637" spans="1:19" x14ac:dyDescent="0.35">
      <c r="A7637">
        <v>7941</v>
      </c>
      <c r="B7637" t="s">
        <v>35105</v>
      </c>
      <c r="C7637" t="s">
        <v>20</v>
      </c>
      <c r="D7637" t="s">
        <v>35106</v>
      </c>
      <c r="E7637" t="s">
        <v>35107</v>
      </c>
      <c r="F7637" t="s">
        <v>35108</v>
      </c>
      <c r="G7637" t="s">
        <v>2241</v>
      </c>
      <c r="H7637" t="s">
        <v>35109</v>
      </c>
      <c r="I7637" t="s">
        <v>35110</v>
      </c>
      <c r="J7637" t="s">
        <v>35111</v>
      </c>
      <c r="L7637" t="s">
        <v>35112</v>
      </c>
      <c r="M7637" t="s">
        <v>38</v>
      </c>
      <c r="N7637" t="s">
        <v>35113</v>
      </c>
      <c r="O7637" t="s">
        <v>35114</v>
      </c>
      <c r="P7637" t="s">
        <v>35115</v>
      </c>
      <c r="Q7637" t="s">
        <v>35116</v>
      </c>
      <c r="R7637">
        <v>22</v>
      </c>
      <c r="S7637">
        <v>32</v>
      </c>
    </row>
    <row r="7638" spans="1:19" x14ac:dyDescent="0.35">
      <c r="A7638">
        <v>8950</v>
      </c>
      <c r="B7638" t="s">
        <v>35117</v>
      </c>
      <c r="C7638" t="s">
        <v>42</v>
      </c>
      <c r="D7638" t="s">
        <v>35118</v>
      </c>
      <c r="E7638" t="e" cm="1">
        <f t="array" ref="E7638">- BISOPROLOL FUMARATE</f>
        <v>#NAME?</v>
      </c>
      <c r="F7638" t="s">
        <v>35119</v>
      </c>
      <c r="G7638" t="s">
        <v>23278</v>
      </c>
      <c r="H7638" t="s">
        <v>34607</v>
      </c>
      <c r="I7638" t="s">
        <v>34608</v>
      </c>
      <c r="J7638" t="s">
        <v>2402</v>
      </c>
      <c r="K7638" t="s">
        <v>34609</v>
      </c>
      <c r="L7638" t="s">
        <v>34610</v>
      </c>
      <c r="M7638" t="s">
        <v>46</v>
      </c>
      <c r="N7638" t="s">
        <v>6182</v>
      </c>
      <c r="O7638" t="s">
        <v>34611</v>
      </c>
      <c r="P7638" t="s">
        <v>35120</v>
      </c>
      <c r="Q7638" t="s">
        <v>35121</v>
      </c>
      <c r="R7638">
        <v>22</v>
      </c>
      <c r="S7638">
        <v>32</v>
      </c>
    </row>
    <row r="7639" spans="1:19" x14ac:dyDescent="0.35">
      <c r="A7639">
        <v>2414</v>
      </c>
      <c r="B7639" t="s">
        <v>34254</v>
      </c>
      <c r="C7639" t="s">
        <v>42</v>
      </c>
      <c r="D7639" t="s">
        <v>34255</v>
      </c>
      <c r="E7639" t="e" cm="1">
        <f t="array" ref="E7639">- KOMBINASI-PELLET DICLOFENAC SODIUM</f>
        <v>#NAME?</v>
      </c>
      <c r="F7639" t="s">
        <v>34256</v>
      </c>
      <c r="H7639" t="s">
        <v>34257</v>
      </c>
      <c r="I7639" t="s">
        <v>34258</v>
      </c>
      <c r="J7639" t="s">
        <v>34259</v>
      </c>
      <c r="K7639" t="s">
        <v>34260</v>
      </c>
      <c r="L7639" t="s">
        <v>321</v>
      </c>
      <c r="M7639" t="s">
        <v>38</v>
      </c>
      <c r="N7639" t="s">
        <v>35122</v>
      </c>
      <c r="O7639" t="s">
        <v>34261</v>
      </c>
      <c r="P7639" t="s">
        <v>34262</v>
      </c>
      <c r="Q7639" t="s">
        <v>35123</v>
      </c>
      <c r="R7639">
        <v>22</v>
      </c>
      <c r="S7639">
        <v>32</v>
      </c>
    </row>
    <row r="7640" spans="1:19" x14ac:dyDescent="0.35">
      <c r="A7640">
        <v>9911</v>
      </c>
      <c r="B7640" t="s">
        <v>35124</v>
      </c>
      <c r="C7640" t="s">
        <v>42</v>
      </c>
      <c r="D7640" t="s">
        <v>35125</v>
      </c>
      <c r="E7640" t="e" cm="1">
        <f t="array" ref="E7640">- RANOLAZINE</f>
        <v>#NAME?</v>
      </c>
      <c r="F7640" t="s">
        <v>35126</v>
      </c>
      <c r="G7640" t="s">
        <v>35127</v>
      </c>
      <c r="H7640" t="s">
        <v>35128</v>
      </c>
      <c r="I7640" t="s">
        <v>35129</v>
      </c>
      <c r="J7640" t="s">
        <v>35130</v>
      </c>
      <c r="K7640" t="s">
        <v>35131</v>
      </c>
      <c r="L7640" t="s">
        <v>35132</v>
      </c>
    </row>
    <row r="7641" spans="1:19" x14ac:dyDescent="0.35">
      <c r="A7641">
        <v>5993</v>
      </c>
      <c r="B7641" t="s">
        <v>35133</v>
      </c>
      <c r="C7641" t="s">
        <v>42</v>
      </c>
      <c r="D7641" t="s">
        <v>35134</v>
      </c>
      <c r="E7641" t="e" cm="1">
        <f t="array" ref="E7641">- AMOXICILLIN TRIHYDRATE</f>
        <v>#NAME?</v>
      </c>
      <c r="F7641" t="s">
        <v>35135</v>
      </c>
      <c r="G7641" t="s">
        <v>20492</v>
      </c>
      <c r="H7641" t="s">
        <v>33777</v>
      </c>
      <c r="I7641" t="s">
        <v>33708</v>
      </c>
      <c r="J7641" t="s">
        <v>334</v>
      </c>
      <c r="L7641" t="s">
        <v>270</v>
      </c>
      <c r="M7641" t="s">
        <v>271</v>
      </c>
      <c r="N7641" t="s">
        <v>1523</v>
      </c>
      <c r="O7641" t="s">
        <v>33710</v>
      </c>
      <c r="P7641" t="s">
        <v>35136</v>
      </c>
      <c r="Q7641" t="s">
        <v>35137</v>
      </c>
      <c r="R7641">
        <v>22</v>
      </c>
      <c r="S7641">
        <v>32</v>
      </c>
    </row>
    <row r="7642" spans="1:19" x14ac:dyDescent="0.35">
      <c r="A7642">
        <v>4366</v>
      </c>
      <c r="B7642" t="s">
        <v>1637</v>
      </c>
      <c r="C7642" t="s">
        <v>42</v>
      </c>
      <c r="D7642" t="s">
        <v>34986</v>
      </c>
      <c r="E7642" t="e" cm="1">
        <f t="array" ref="E7642">- OFLOXACIN</f>
        <v>#NAME?</v>
      </c>
      <c r="F7642" s="1">
        <v>151000</v>
      </c>
      <c r="G7642" t="s">
        <v>34987</v>
      </c>
      <c r="H7642" t="s">
        <v>31316</v>
      </c>
      <c r="I7642" t="s">
        <v>34988</v>
      </c>
      <c r="J7642" t="s">
        <v>34989</v>
      </c>
      <c r="K7642" t="s">
        <v>4677</v>
      </c>
      <c r="L7642" t="s">
        <v>31318</v>
      </c>
      <c r="M7642" t="s">
        <v>824</v>
      </c>
      <c r="N7642" t="s">
        <v>1640</v>
      </c>
      <c r="O7642" t="s">
        <v>34990</v>
      </c>
      <c r="P7642" t="s">
        <v>34991</v>
      </c>
      <c r="Q7642" t="s">
        <v>35138</v>
      </c>
      <c r="R7642">
        <v>22</v>
      </c>
      <c r="S7642">
        <v>32</v>
      </c>
    </row>
    <row r="7643" spans="1:19" x14ac:dyDescent="0.35">
      <c r="A7643">
        <v>9002</v>
      </c>
      <c r="B7643" t="s">
        <v>35139</v>
      </c>
      <c r="C7643" t="s">
        <v>42</v>
      </c>
      <c r="D7643" t="s">
        <v>35140</v>
      </c>
      <c r="E7643" t="e" cm="1">
        <f t="array" ref="E7643">- BISOPROLOL FUMARATE</f>
        <v>#NAME?</v>
      </c>
      <c r="F7643" t="s">
        <v>35141</v>
      </c>
      <c r="G7643" t="s">
        <v>23278</v>
      </c>
      <c r="H7643" t="s">
        <v>34607</v>
      </c>
      <c r="I7643" t="s">
        <v>34608</v>
      </c>
      <c r="J7643" t="s">
        <v>2100</v>
      </c>
      <c r="M7643" t="s">
        <v>46</v>
      </c>
      <c r="N7643" t="s">
        <v>6182</v>
      </c>
      <c r="O7643" t="s">
        <v>34611</v>
      </c>
      <c r="P7643" t="s">
        <v>34804</v>
      </c>
      <c r="Q7643" t="s">
        <v>34805</v>
      </c>
      <c r="R7643">
        <v>22</v>
      </c>
      <c r="S7643">
        <v>32</v>
      </c>
    </row>
    <row r="7644" spans="1:19" x14ac:dyDescent="0.35">
      <c r="A7644">
        <v>4387</v>
      </c>
      <c r="B7644" t="s">
        <v>1637</v>
      </c>
      <c r="C7644" t="s">
        <v>42</v>
      </c>
      <c r="D7644" t="s">
        <v>35142</v>
      </c>
      <c r="E7644" t="e" cm="1">
        <f t="array" ref="E7644">- OFLOXACIN</f>
        <v>#NAME?</v>
      </c>
      <c r="F7644" s="1">
        <v>173100</v>
      </c>
      <c r="H7644" t="s">
        <v>35143</v>
      </c>
      <c r="I7644" t="s">
        <v>35144</v>
      </c>
      <c r="J7644" t="s">
        <v>35145</v>
      </c>
      <c r="L7644" t="s">
        <v>35146</v>
      </c>
      <c r="M7644" t="s">
        <v>824</v>
      </c>
      <c r="N7644" t="s">
        <v>1640</v>
      </c>
      <c r="O7644" t="s">
        <v>35147</v>
      </c>
      <c r="P7644" t="s">
        <v>35148</v>
      </c>
      <c r="Q7644" t="s">
        <v>35149</v>
      </c>
      <c r="R7644">
        <v>22</v>
      </c>
      <c r="S7644">
        <v>32</v>
      </c>
    </row>
    <row r="7645" spans="1:19" x14ac:dyDescent="0.35">
      <c r="A7645">
        <v>4389</v>
      </c>
      <c r="B7645" t="s">
        <v>35150</v>
      </c>
      <c r="C7645" t="s">
        <v>42</v>
      </c>
      <c r="D7645" t="s">
        <v>35151</v>
      </c>
      <c r="E7645" t="s">
        <v>35152</v>
      </c>
      <c r="F7645" t="s">
        <v>20999</v>
      </c>
      <c r="G7645" t="s">
        <v>9326</v>
      </c>
      <c r="H7645" t="s">
        <v>35153</v>
      </c>
      <c r="I7645" t="s">
        <v>35154</v>
      </c>
      <c r="J7645" t="s">
        <v>1647</v>
      </c>
      <c r="K7645" t="s">
        <v>2726</v>
      </c>
      <c r="L7645" t="s">
        <v>35155</v>
      </c>
      <c r="M7645" t="s">
        <v>824</v>
      </c>
      <c r="N7645" t="s">
        <v>35156</v>
      </c>
      <c r="O7645" t="s">
        <v>35157</v>
      </c>
      <c r="P7645" t="s">
        <v>35158</v>
      </c>
      <c r="Q7645" t="s">
        <v>35159</v>
      </c>
      <c r="R7645">
        <v>22</v>
      </c>
      <c r="S7645">
        <v>32</v>
      </c>
    </row>
    <row r="7646" spans="1:19" x14ac:dyDescent="0.35">
      <c r="A7646">
        <v>4405</v>
      </c>
      <c r="B7646" t="s">
        <v>33780</v>
      </c>
      <c r="C7646" t="s">
        <v>42</v>
      </c>
      <c r="D7646" t="s">
        <v>34818</v>
      </c>
      <c r="E7646" t="e" cm="1">
        <f t="array" ref="E7646">- DEQUALINIUM CHLORIDE</f>
        <v>#NAME?</v>
      </c>
      <c r="F7646" t="s">
        <v>34819</v>
      </c>
      <c r="G7646" t="s">
        <v>33783</v>
      </c>
      <c r="H7646" t="s">
        <v>33784</v>
      </c>
      <c r="I7646" t="s">
        <v>34820</v>
      </c>
      <c r="J7646" t="s">
        <v>23738</v>
      </c>
      <c r="K7646" t="s">
        <v>34821</v>
      </c>
      <c r="L7646" t="s">
        <v>33788</v>
      </c>
      <c r="M7646" t="s">
        <v>46</v>
      </c>
      <c r="N7646" t="s">
        <v>10495</v>
      </c>
      <c r="O7646" t="s">
        <v>34822</v>
      </c>
      <c r="P7646" t="s">
        <v>33790</v>
      </c>
      <c r="Q7646" t="s">
        <v>34823</v>
      </c>
      <c r="R7646">
        <v>22</v>
      </c>
      <c r="S7646">
        <v>32</v>
      </c>
    </row>
    <row r="7647" spans="1:19" x14ac:dyDescent="0.35">
      <c r="A7647">
        <v>4406</v>
      </c>
      <c r="B7647" t="s">
        <v>33780</v>
      </c>
      <c r="C7647" t="s">
        <v>42</v>
      </c>
      <c r="D7647" t="s">
        <v>34818</v>
      </c>
      <c r="E7647" t="e" cm="1">
        <f t="array" ref="E7647">- DEQUALINIUM CHLORIDE</f>
        <v>#NAME?</v>
      </c>
      <c r="F7647" t="s">
        <v>34819</v>
      </c>
      <c r="G7647" t="s">
        <v>33783</v>
      </c>
      <c r="H7647" t="s">
        <v>33784</v>
      </c>
      <c r="I7647" t="s">
        <v>34820</v>
      </c>
      <c r="J7647" t="s">
        <v>23738</v>
      </c>
      <c r="K7647" t="s">
        <v>34821</v>
      </c>
      <c r="L7647" t="s">
        <v>33788</v>
      </c>
      <c r="M7647" t="s">
        <v>46</v>
      </c>
      <c r="N7647" t="s">
        <v>10495</v>
      </c>
      <c r="O7647" t="s">
        <v>34822</v>
      </c>
      <c r="P7647" t="s">
        <v>33790</v>
      </c>
      <c r="Q7647" t="s">
        <v>34823</v>
      </c>
      <c r="R7647">
        <v>22</v>
      </c>
      <c r="S7647">
        <v>32</v>
      </c>
    </row>
    <row r="7648" spans="1:19" x14ac:dyDescent="0.35">
      <c r="A7648">
        <v>7940</v>
      </c>
      <c r="B7648" t="s">
        <v>35105</v>
      </c>
      <c r="C7648" t="s">
        <v>20</v>
      </c>
      <c r="D7648" t="s">
        <v>35106</v>
      </c>
      <c r="E7648" t="s">
        <v>35107</v>
      </c>
      <c r="F7648" t="s">
        <v>35108</v>
      </c>
      <c r="G7648" t="s">
        <v>2241</v>
      </c>
      <c r="H7648" t="s">
        <v>35109</v>
      </c>
      <c r="I7648" t="s">
        <v>35110</v>
      </c>
      <c r="J7648" t="s">
        <v>35111</v>
      </c>
      <c r="L7648" t="s">
        <v>35112</v>
      </c>
      <c r="M7648" t="s">
        <v>38</v>
      </c>
      <c r="N7648" t="s">
        <v>35113</v>
      </c>
      <c r="O7648" t="s">
        <v>35114</v>
      </c>
      <c r="P7648" t="s">
        <v>35115</v>
      </c>
      <c r="Q7648" t="s">
        <v>35116</v>
      </c>
      <c r="R7648">
        <v>22</v>
      </c>
      <c r="S7648">
        <v>32</v>
      </c>
    </row>
    <row r="7649" spans="1:19" x14ac:dyDescent="0.35">
      <c r="A7649">
        <v>6379</v>
      </c>
      <c r="B7649" t="s">
        <v>35160</v>
      </c>
      <c r="C7649" t="s">
        <v>42</v>
      </c>
      <c r="D7649" t="s">
        <v>35161</v>
      </c>
      <c r="E7649" t="e" cm="1">
        <f t="array" ref="E7649">- METRONIDAZOLE BENZOATE</f>
        <v>#NAME?</v>
      </c>
      <c r="F7649" t="s">
        <v>35162</v>
      </c>
      <c r="G7649" t="s">
        <v>737</v>
      </c>
      <c r="H7649" t="s">
        <v>35163</v>
      </c>
      <c r="I7649" t="s">
        <v>35164</v>
      </c>
      <c r="J7649" t="s">
        <v>334</v>
      </c>
      <c r="K7649" t="s">
        <v>35165</v>
      </c>
      <c r="L7649" t="s">
        <v>35166</v>
      </c>
      <c r="M7649" t="s">
        <v>340</v>
      </c>
      <c r="N7649" t="s">
        <v>1893</v>
      </c>
      <c r="O7649" t="s">
        <v>35167</v>
      </c>
      <c r="P7649" t="s">
        <v>35168</v>
      </c>
      <c r="Q7649" t="s">
        <v>35169</v>
      </c>
      <c r="R7649">
        <v>22</v>
      </c>
      <c r="S7649">
        <v>32</v>
      </c>
    </row>
    <row r="7650" spans="1:19" x14ac:dyDescent="0.35">
      <c r="A7650">
        <v>1174</v>
      </c>
      <c r="B7650" t="s">
        <v>29716</v>
      </c>
      <c r="C7650" t="s">
        <v>42</v>
      </c>
      <c r="D7650" t="s">
        <v>29717</v>
      </c>
      <c r="E7650" t="e" cm="1">
        <f t="array" ref="E7650">- PARACETAMOL. CHLORPHENAMINE MALEATE. GUAIFENESIN. PSEUDOEPHEDRINE HYDROCHLORIDE</f>
        <v>#NAME?</v>
      </c>
      <c r="F7650" t="s">
        <v>29718</v>
      </c>
      <c r="G7650" t="s">
        <v>60</v>
      </c>
      <c r="H7650" t="s">
        <v>29719</v>
      </c>
      <c r="I7650" t="s">
        <v>29720</v>
      </c>
      <c r="J7650" t="s">
        <v>630</v>
      </c>
      <c r="K7650" t="s">
        <v>29721</v>
      </c>
      <c r="L7650" t="s">
        <v>29722</v>
      </c>
      <c r="M7650" t="s">
        <v>271</v>
      </c>
      <c r="N7650" t="s">
        <v>8354</v>
      </c>
      <c r="O7650" t="s">
        <v>29723</v>
      </c>
      <c r="P7650" t="s">
        <v>29724</v>
      </c>
      <c r="Q7650" t="s">
        <v>35170</v>
      </c>
      <c r="R7650">
        <v>22</v>
      </c>
      <c r="S7650">
        <v>32</v>
      </c>
    </row>
    <row r="7651" spans="1:19" x14ac:dyDescent="0.35">
      <c r="A7651">
        <v>1175</v>
      </c>
      <c r="B7651" t="s">
        <v>29716</v>
      </c>
      <c r="C7651" t="s">
        <v>42</v>
      </c>
      <c r="D7651" t="s">
        <v>29717</v>
      </c>
      <c r="E7651" t="e" cm="1">
        <f t="array" ref="E7651">- PARACETAMOL. CHLORPHENAMINE MALEATE. GUAIFENESIN. PSEUDOEPHEDRINE HYDROCHLORIDE</f>
        <v>#NAME?</v>
      </c>
      <c r="F7651" t="s">
        <v>29718</v>
      </c>
      <c r="G7651" t="s">
        <v>60</v>
      </c>
      <c r="H7651" t="s">
        <v>29719</v>
      </c>
      <c r="I7651" t="s">
        <v>29720</v>
      </c>
      <c r="J7651" t="s">
        <v>630</v>
      </c>
      <c r="K7651" t="s">
        <v>29721</v>
      </c>
      <c r="L7651" t="s">
        <v>29722</v>
      </c>
      <c r="M7651" t="s">
        <v>271</v>
      </c>
      <c r="N7651" t="s">
        <v>8354</v>
      </c>
      <c r="O7651" t="s">
        <v>29723</v>
      </c>
      <c r="P7651" t="s">
        <v>29724</v>
      </c>
      <c r="Q7651" t="s">
        <v>35170</v>
      </c>
      <c r="R7651">
        <v>22</v>
      </c>
      <c r="S7651">
        <v>32</v>
      </c>
    </row>
    <row r="7652" spans="1:19" x14ac:dyDescent="0.35">
      <c r="A7652">
        <v>8564</v>
      </c>
      <c r="B7652" t="s">
        <v>35171</v>
      </c>
      <c r="C7652" t="s">
        <v>42</v>
      </c>
      <c r="D7652" t="s">
        <v>35172</v>
      </c>
      <c r="E7652" t="e" cm="1">
        <f t="array" ref="E7652">- GLIMEPIRIDE</f>
        <v>#NAME?</v>
      </c>
      <c r="F7652" t="s">
        <v>35173</v>
      </c>
      <c r="G7652" t="s">
        <v>34922</v>
      </c>
      <c r="H7652" t="s">
        <v>34923</v>
      </c>
      <c r="I7652" t="s">
        <v>34924</v>
      </c>
      <c r="J7652" t="s">
        <v>381</v>
      </c>
      <c r="K7652" t="s">
        <v>34925</v>
      </c>
      <c r="L7652" t="s">
        <v>34926</v>
      </c>
      <c r="M7652" t="s">
        <v>46</v>
      </c>
      <c r="N7652" t="s">
        <v>34927</v>
      </c>
      <c r="O7652" t="s">
        <v>34928</v>
      </c>
      <c r="P7652" t="s">
        <v>34927</v>
      </c>
      <c r="Q7652" t="s">
        <v>34929</v>
      </c>
      <c r="R7652">
        <v>22</v>
      </c>
      <c r="S7652">
        <v>32</v>
      </c>
    </row>
    <row r="7653" spans="1:19" x14ac:dyDescent="0.35">
      <c r="A7653">
        <v>8565</v>
      </c>
      <c r="B7653" t="s">
        <v>35171</v>
      </c>
      <c r="C7653" t="s">
        <v>42</v>
      </c>
      <c r="D7653" t="s">
        <v>35172</v>
      </c>
      <c r="E7653" t="e" cm="1">
        <f t="array" ref="E7653">- GLIMEPIRIDE</f>
        <v>#NAME?</v>
      </c>
      <c r="F7653" t="s">
        <v>35173</v>
      </c>
      <c r="G7653" t="s">
        <v>34922</v>
      </c>
      <c r="H7653" t="s">
        <v>34923</v>
      </c>
      <c r="I7653" t="s">
        <v>34924</v>
      </c>
      <c r="J7653" t="s">
        <v>381</v>
      </c>
      <c r="K7653" t="s">
        <v>34925</v>
      </c>
      <c r="L7653" t="s">
        <v>34926</v>
      </c>
      <c r="M7653" t="s">
        <v>46</v>
      </c>
      <c r="N7653" t="s">
        <v>34927</v>
      </c>
      <c r="O7653" t="s">
        <v>34928</v>
      </c>
      <c r="P7653" t="s">
        <v>34927</v>
      </c>
      <c r="Q7653" t="s">
        <v>34929</v>
      </c>
      <c r="R7653">
        <v>22</v>
      </c>
      <c r="S7653">
        <v>32</v>
      </c>
    </row>
    <row r="7654" spans="1:19" x14ac:dyDescent="0.35">
      <c r="A7654">
        <v>8566</v>
      </c>
      <c r="B7654" t="s">
        <v>35174</v>
      </c>
      <c r="C7654" t="s">
        <v>42</v>
      </c>
      <c r="D7654" t="s">
        <v>35175</v>
      </c>
      <c r="E7654" t="e" cm="1">
        <f t="array" ref="E7654">- GLIMEPIRIDE</f>
        <v>#NAME?</v>
      </c>
      <c r="F7654" t="s">
        <v>35176</v>
      </c>
      <c r="G7654" t="s">
        <v>34922</v>
      </c>
      <c r="H7654" t="s">
        <v>34923</v>
      </c>
      <c r="I7654" t="s">
        <v>34924</v>
      </c>
      <c r="J7654" t="s">
        <v>381</v>
      </c>
      <c r="K7654" t="s">
        <v>34925</v>
      </c>
      <c r="L7654" t="s">
        <v>34926</v>
      </c>
      <c r="M7654" t="s">
        <v>46</v>
      </c>
      <c r="N7654" t="s">
        <v>34927</v>
      </c>
      <c r="O7654" t="s">
        <v>34928</v>
      </c>
      <c r="P7654" t="s">
        <v>34927</v>
      </c>
      <c r="Q7654" t="s">
        <v>34929</v>
      </c>
      <c r="R7654">
        <v>22</v>
      </c>
      <c r="S7654">
        <v>32</v>
      </c>
    </row>
    <row r="7655" spans="1:19" x14ac:dyDescent="0.35">
      <c r="A7655">
        <v>3865</v>
      </c>
      <c r="B7655" t="s">
        <v>35177</v>
      </c>
      <c r="C7655" t="s">
        <v>42</v>
      </c>
      <c r="D7655" t="s">
        <v>35178</v>
      </c>
      <c r="E7655" t="e" cm="1">
        <f t="array" ref="E7655">- ZINC SULFATE MONOHYDRATE</f>
        <v>#NAME?</v>
      </c>
      <c r="F7655" t="s">
        <v>35179</v>
      </c>
      <c r="G7655" t="s">
        <v>35180</v>
      </c>
      <c r="H7655" t="s">
        <v>34937</v>
      </c>
      <c r="I7655" t="s">
        <v>34938</v>
      </c>
      <c r="J7655" t="s">
        <v>24957</v>
      </c>
      <c r="K7655" t="s">
        <v>12782</v>
      </c>
      <c r="L7655" t="s">
        <v>35181</v>
      </c>
      <c r="M7655" t="s">
        <v>46</v>
      </c>
      <c r="N7655" t="s">
        <v>2750</v>
      </c>
      <c r="O7655" t="s">
        <v>34939</v>
      </c>
      <c r="P7655" t="s">
        <v>35182</v>
      </c>
      <c r="Q7655" t="s">
        <v>35183</v>
      </c>
      <c r="R7655">
        <v>22</v>
      </c>
      <c r="S7655">
        <v>32</v>
      </c>
    </row>
    <row r="7656" spans="1:19" x14ac:dyDescent="0.35">
      <c r="A7656">
        <v>2233</v>
      </c>
      <c r="B7656" t="s">
        <v>35184</v>
      </c>
      <c r="C7656" t="s">
        <v>42</v>
      </c>
      <c r="D7656" t="s">
        <v>35185</v>
      </c>
      <c r="E7656" t="e" cm="1">
        <f t="array" ref="E7656">- MEFENAMIC ACID</f>
        <v>#NAME?</v>
      </c>
      <c r="F7656" t="s">
        <v>35186</v>
      </c>
      <c r="G7656" t="s">
        <v>34084</v>
      </c>
      <c r="H7656" t="s">
        <v>34085</v>
      </c>
      <c r="I7656" t="s">
        <v>34086</v>
      </c>
      <c r="J7656" t="s">
        <v>532</v>
      </c>
      <c r="K7656" t="s">
        <v>35187</v>
      </c>
      <c r="L7656" t="s">
        <v>34129</v>
      </c>
      <c r="M7656" t="s">
        <v>291</v>
      </c>
      <c r="N7656" t="s">
        <v>2235</v>
      </c>
      <c r="O7656" t="s">
        <v>34090</v>
      </c>
      <c r="P7656" t="s">
        <v>35188</v>
      </c>
      <c r="Q7656" t="s">
        <v>35189</v>
      </c>
      <c r="R7656">
        <v>22</v>
      </c>
      <c r="S7656">
        <v>32</v>
      </c>
    </row>
    <row r="7657" spans="1:19" x14ac:dyDescent="0.35">
      <c r="A7657">
        <v>3866</v>
      </c>
      <c r="B7657" t="s">
        <v>35177</v>
      </c>
      <c r="C7657" t="s">
        <v>42</v>
      </c>
      <c r="D7657" t="s">
        <v>35178</v>
      </c>
      <c r="E7657" t="e" cm="1">
        <f t="array" ref="E7657">- ZINC SULFATE MONOHYDRATE</f>
        <v>#NAME?</v>
      </c>
      <c r="F7657" t="s">
        <v>35179</v>
      </c>
      <c r="G7657" t="s">
        <v>35180</v>
      </c>
      <c r="H7657" t="s">
        <v>34937</v>
      </c>
      <c r="I7657" t="s">
        <v>34938</v>
      </c>
      <c r="J7657" t="s">
        <v>24957</v>
      </c>
      <c r="K7657" t="s">
        <v>12782</v>
      </c>
      <c r="L7657" t="s">
        <v>35181</v>
      </c>
      <c r="M7657" t="s">
        <v>46</v>
      </c>
      <c r="N7657" t="s">
        <v>2750</v>
      </c>
      <c r="O7657" t="s">
        <v>34939</v>
      </c>
      <c r="P7657" t="s">
        <v>35182</v>
      </c>
      <c r="Q7657" t="s">
        <v>35183</v>
      </c>
      <c r="R7657">
        <v>22</v>
      </c>
      <c r="S7657">
        <v>32</v>
      </c>
    </row>
    <row r="7658" spans="1:19" x14ac:dyDescent="0.35">
      <c r="A7658">
        <v>3867</v>
      </c>
      <c r="B7658" t="s">
        <v>35177</v>
      </c>
      <c r="C7658" t="s">
        <v>42</v>
      </c>
      <c r="D7658" t="s">
        <v>35178</v>
      </c>
      <c r="E7658" t="e" cm="1">
        <f t="array" ref="E7658">- ZINC SULFATE MONOHYDRATE</f>
        <v>#NAME?</v>
      </c>
      <c r="F7658" t="s">
        <v>35179</v>
      </c>
      <c r="G7658" t="s">
        <v>35180</v>
      </c>
      <c r="H7658" t="s">
        <v>34937</v>
      </c>
      <c r="I7658" t="s">
        <v>34938</v>
      </c>
      <c r="J7658" t="s">
        <v>24957</v>
      </c>
      <c r="K7658" t="s">
        <v>12782</v>
      </c>
      <c r="L7658" t="s">
        <v>35181</v>
      </c>
      <c r="M7658" t="s">
        <v>46</v>
      </c>
      <c r="N7658" t="s">
        <v>2750</v>
      </c>
      <c r="O7658" t="s">
        <v>34939</v>
      </c>
      <c r="P7658" t="s">
        <v>35182</v>
      </c>
      <c r="Q7658" t="s">
        <v>35183</v>
      </c>
      <c r="R7658">
        <v>22</v>
      </c>
      <c r="S7658">
        <v>32</v>
      </c>
    </row>
    <row r="7659" spans="1:19" x14ac:dyDescent="0.35">
      <c r="A7659">
        <v>3868</v>
      </c>
      <c r="B7659" t="s">
        <v>35177</v>
      </c>
      <c r="C7659" t="s">
        <v>42</v>
      </c>
      <c r="D7659" t="s">
        <v>35178</v>
      </c>
      <c r="E7659" t="e" cm="1">
        <f t="array" ref="E7659">- ZINC SULFATE MONOHYDRATE</f>
        <v>#NAME?</v>
      </c>
      <c r="F7659" t="s">
        <v>35179</v>
      </c>
      <c r="G7659" t="s">
        <v>35180</v>
      </c>
      <c r="H7659" t="s">
        <v>34937</v>
      </c>
      <c r="I7659" t="s">
        <v>34938</v>
      </c>
      <c r="J7659" t="s">
        <v>24957</v>
      </c>
      <c r="K7659" t="s">
        <v>12782</v>
      </c>
      <c r="L7659" t="s">
        <v>35181</v>
      </c>
      <c r="M7659" t="s">
        <v>46</v>
      </c>
      <c r="N7659" t="s">
        <v>2750</v>
      </c>
      <c r="O7659" t="s">
        <v>34939</v>
      </c>
      <c r="P7659" t="s">
        <v>35182</v>
      </c>
      <c r="Q7659" t="s">
        <v>35183</v>
      </c>
      <c r="R7659">
        <v>22</v>
      </c>
      <c r="S7659">
        <v>32</v>
      </c>
    </row>
    <row r="7660" spans="1:19" x14ac:dyDescent="0.35">
      <c r="A7660">
        <v>9842</v>
      </c>
      <c r="B7660" t="s">
        <v>35190</v>
      </c>
      <c r="C7660" t="s">
        <v>42</v>
      </c>
      <c r="D7660" t="s">
        <v>35191</v>
      </c>
      <c r="E7660" t="e" cm="1">
        <f t="array" ref="E7660">- ROSUVASTATIN CALCIUM</f>
        <v>#NAME?</v>
      </c>
      <c r="F7660" t="s">
        <v>35192</v>
      </c>
      <c r="G7660" t="s">
        <v>2266</v>
      </c>
      <c r="H7660" t="s">
        <v>35193</v>
      </c>
      <c r="I7660" t="s">
        <v>35194</v>
      </c>
      <c r="J7660" t="s">
        <v>13361</v>
      </c>
      <c r="K7660" t="s">
        <v>30813</v>
      </c>
      <c r="L7660" t="s">
        <v>321</v>
      </c>
      <c r="M7660" t="s">
        <v>46</v>
      </c>
      <c r="N7660" t="s">
        <v>2308</v>
      </c>
      <c r="O7660" t="s">
        <v>35195</v>
      </c>
      <c r="P7660" t="s">
        <v>13365</v>
      </c>
      <c r="Q7660" t="s">
        <v>35196</v>
      </c>
      <c r="R7660">
        <v>22</v>
      </c>
      <c r="S7660">
        <v>32</v>
      </c>
    </row>
    <row r="7661" spans="1:19" x14ac:dyDescent="0.35">
      <c r="A7661">
        <v>9843</v>
      </c>
      <c r="B7661" t="s">
        <v>35190</v>
      </c>
      <c r="C7661" t="s">
        <v>42</v>
      </c>
      <c r="D7661" t="s">
        <v>35191</v>
      </c>
      <c r="E7661" t="e" cm="1">
        <f t="array" ref="E7661">- ROSUVASTATIN CALCIUM</f>
        <v>#NAME?</v>
      </c>
      <c r="F7661" t="s">
        <v>35192</v>
      </c>
      <c r="G7661" t="s">
        <v>2266</v>
      </c>
      <c r="H7661" t="s">
        <v>35193</v>
      </c>
      <c r="I7661" t="s">
        <v>35194</v>
      </c>
      <c r="J7661" t="s">
        <v>13361</v>
      </c>
      <c r="K7661" t="s">
        <v>30813</v>
      </c>
      <c r="L7661" t="s">
        <v>321</v>
      </c>
      <c r="M7661" t="s">
        <v>46</v>
      </c>
      <c r="N7661" t="s">
        <v>2308</v>
      </c>
      <c r="O7661" t="s">
        <v>35195</v>
      </c>
      <c r="P7661" t="s">
        <v>13365</v>
      </c>
      <c r="Q7661" t="s">
        <v>35196</v>
      </c>
      <c r="R7661">
        <v>22</v>
      </c>
      <c r="S7661">
        <v>32</v>
      </c>
    </row>
    <row r="7662" spans="1:19" x14ac:dyDescent="0.35">
      <c r="A7662">
        <v>8707</v>
      </c>
      <c r="B7662" t="s">
        <v>35197</v>
      </c>
      <c r="C7662" t="s">
        <v>42</v>
      </c>
      <c r="D7662" t="s">
        <v>35198</v>
      </c>
      <c r="E7662" t="e" cm="1">
        <f t="array" ref="E7662">- GLIBENCLAMIDE</f>
        <v>#NAME?</v>
      </c>
      <c r="F7662" t="s">
        <v>35199</v>
      </c>
      <c r="G7662" t="s">
        <v>1258</v>
      </c>
      <c r="H7662" t="s">
        <v>35200</v>
      </c>
      <c r="I7662" t="s">
        <v>35201</v>
      </c>
      <c r="J7662" t="s">
        <v>6476</v>
      </c>
      <c r="K7662" t="s">
        <v>35202</v>
      </c>
      <c r="L7662" t="s">
        <v>35203</v>
      </c>
      <c r="M7662" t="s">
        <v>46</v>
      </c>
      <c r="N7662" t="s">
        <v>1260</v>
      </c>
      <c r="O7662" t="s">
        <v>35204</v>
      </c>
      <c r="P7662" t="s">
        <v>1261</v>
      </c>
      <c r="Q7662" t="s">
        <v>35205</v>
      </c>
      <c r="R7662">
        <v>22</v>
      </c>
      <c r="S7662">
        <v>32</v>
      </c>
    </row>
    <row r="7663" spans="1:19" x14ac:dyDescent="0.35">
      <c r="A7663">
        <v>2251</v>
      </c>
      <c r="B7663" t="s">
        <v>35206</v>
      </c>
      <c r="C7663" t="s">
        <v>42</v>
      </c>
      <c r="D7663" t="s">
        <v>35207</v>
      </c>
      <c r="E7663" t="e" cm="1">
        <f t="array" ref="E7663">- IBUPROFEN</f>
        <v>#NAME?</v>
      </c>
      <c r="F7663" t="s">
        <v>35208</v>
      </c>
      <c r="G7663" t="s">
        <v>2241</v>
      </c>
      <c r="H7663" t="s">
        <v>35209</v>
      </c>
      <c r="I7663" t="s">
        <v>35210</v>
      </c>
      <c r="J7663" t="s">
        <v>630</v>
      </c>
      <c r="K7663" t="s">
        <v>35211</v>
      </c>
      <c r="L7663" t="s">
        <v>35212</v>
      </c>
    </row>
    <row r="7664" spans="1:19" x14ac:dyDescent="0.35">
      <c r="A7664">
        <v>3108</v>
      </c>
      <c r="B7664" t="s">
        <v>35213</v>
      </c>
      <c r="C7664" t="s">
        <v>42</v>
      </c>
      <c r="D7664" t="s">
        <v>35214</v>
      </c>
      <c r="E7664" t="e" cm="1">
        <f t="array" ref="E7664">- PANTOPRAZOLE SODIUM SESQUIHYDRATE</f>
        <v>#NAME?</v>
      </c>
      <c r="F7664" s="1">
        <v>42300</v>
      </c>
      <c r="G7664" t="s">
        <v>35215</v>
      </c>
      <c r="H7664" t="s">
        <v>25425</v>
      </c>
      <c r="I7664" t="s">
        <v>35216</v>
      </c>
    </row>
    <row r="7665" spans="1:19" x14ac:dyDescent="0.35">
      <c r="A7665">
        <v>3104</v>
      </c>
      <c r="B7665" t="s">
        <v>34051</v>
      </c>
      <c r="C7665" t="s">
        <v>42</v>
      </c>
      <c r="D7665" t="s">
        <v>34052</v>
      </c>
      <c r="E7665" t="e" cm="1">
        <f t="array" ref="E7665">- ALUMINIUM HYDROXIDE GEL. MAGNESIUM HYDROXIDE. SIMETHICONE</f>
        <v>#NAME?</v>
      </c>
      <c r="F7665" t="s">
        <v>34053</v>
      </c>
      <c r="G7665" t="s">
        <v>34054</v>
      </c>
      <c r="H7665" t="s">
        <v>34055</v>
      </c>
      <c r="I7665" t="s">
        <v>32099</v>
      </c>
      <c r="J7665" t="s">
        <v>1144</v>
      </c>
      <c r="K7665" t="s">
        <v>34056</v>
      </c>
      <c r="L7665" t="s">
        <v>32094</v>
      </c>
      <c r="M7665" t="s">
        <v>340</v>
      </c>
      <c r="N7665" t="s">
        <v>35217</v>
      </c>
      <c r="O7665" t="s">
        <v>32095</v>
      </c>
      <c r="P7665" t="s">
        <v>32096</v>
      </c>
      <c r="Q7665" t="s">
        <v>35218</v>
      </c>
      <c r="R7665">
        <v>22</v>
      </c>
      <c r="S7665">
        <v>32</v>
      </c>
    </row>
    <row r="7666" spans="1:19" x14ac:dyDescent="0.35">
      <c r="A7666">
        <v>3102</v>
      </c>
      <c r="B7666" t="s">
        <v>34051</v>
      </c>
      <c r="C7666" t="s">
        <v>42</v>
      </c>
      <c r="D7666" t="s">
        <v>34052</v>
      </c>
      <c r="E7666" t="e" cm="1">
        <f t="array" ref="E7666">- SIMETHICONE. ALUMINIUM HYDROXIDE GEL. MAGNESIUM HYDROXIDE</f>
        <v>#NAME?</v>
      </c>
      <c r="F7666" t="s">
        <v>34053</v>
      </c>
      <c r="G7666" t="s">
        <v>34054</v>
      </c>
      <c r="H7666" t="s">
        <v>34055</v>
      </c>
      <c r="I7666" t="s">
        <v>32099</v>
      </c>
      <c r="J7666" t="s">
        <v>1144</v>
      </c>
      <c r="K7666" t="s">
        <v>34056</v>
      </c>
      <c r="L7666" t="s">
        <v>32094</v>
      </c>
      <c r="M7666" t="s">
        <v>340</v>
      </c>
      <c r="N7666" t="s">
        <v>35219</v>
      </c>
      <c r="O7666" t="s">
        <v>32095</v>
      </c>
      <c r="P7666" t="s">
        <v>32096</v>
      </c>
      <c r="Q7666" t="s">
        <v>35220</v>
      </c>
      <c r="R7666">
        <v>22</v>
      </c>
      <c r="S7666">
        <v>32</v>
      </c>
    </row>
    <row r="7667" spans="1:19" x14ac:dyDescent="0.35">
      <c r="A7667">
        <v>1209</v>
      </c>
      <c r="B7667" t="s">
        <v>35221</v>
      </c>
      <c r="C7667" t="s">
        <v>42</v>
      </c>
      <c r="D7667" t="s">
        <v>35222</v>
      </c>
      <c r="E7667" t="e" cm="1">
        <f t="array" ref="E7667">- CHLORPHENAMINE MALEATE. GUAIFENESIN. PARACETAMOL. DEXTROMETHORPHAN HYDROBROMIDE. PHENYLPROPANOLAMINE HYDROCHLORIDE</f>
        <v>#NAME?</v>
      </c>
      <c r="F7667" t="s">
        <v>28662</v>
      </c>
      <c r="G7667" t="s">
        <v>2241</v>
      </c>
      <c r="H7667" t="s">
        <v>35223</v>
      </c>
      <c r="I7667" t="s">
        <v>26549</v>
      </c>
      <c r="J7667" t="s">
        <v>35224</v>
      </c>
      <c r="K7667" t="s">
        <v>35225</v>
      </c>
      <c r="L7667" t="s">
        <v>35226</v>
      </c>
      <c r="M7667" t="s">
        <v>271</v>
      </c>
      <c r="N7667" t="s">
        <v>35227</v>
      </c>
      <c r="O7667" t="s">
        <v>26523</v>
      </c>
      <c r="P7667" t="s">
        <v>5289</v>
      </c>
      <c r="Q7667" t="s">
        <v>35228</v>
      </c>
      <c r="R7667">
        <v>22</v>
      </c>
      <c r="S7667">
        <v>32</v>
      </c>
    </row>
    <row r="7668" spans="1:19" x14ac:dyDescent="0.35">
      <c r="A7668">
        <v>6033</v>
      </c>
      <c r="B7668" t="s">
        <v>35229</v>
      </c>
      <c r="C7668" t="s">
        <v>42</v>
      </c>
      <c r="D7668" t="s">
        <v>35230</v>
      </c>
      <c r="E7668" t="e" cm="1">
        <f t="array" ref="E7668">- ETHAMBUTOL</f>
        <v>#NAME?</v>
      </c>
      <c r="F7668" t="s">
        <v>35231</v>
      </c>
      <c r="H7668" t="s">
        <v>319</v>
      </c>
      <c r="I7668" t="s">
        <v>35232</v>
      </c>
      <c r="J7668" t="s">
        <v>35233</v>
      </c>
      <c r="K7668" t="s">
        <v>35234</v>
      </c>
      <c r="L7668" t="s">
        <v>35235</v>
      </c>
      <c r="M7668" t="s">
        <v>46</v>
      </c>
      <c r="N7668" t="s">
        <v>7283</v>
      </c>
      <c r="O7668" t="s">
        <v>35236</v>
      </c>
      <c r="P7668" t="s">
        <v>7283</v>
      </c>
      <c r="Q7668" t="s">
        <v>35237</v>
      </c>
      <c r="R7668">
        <v>22</v>
      </c>
      <c r="S7668">
        <v>32</v>
      </c>
    </row>
    <row r="7669" spans="1:19" x14ac:dyDescent="0.35">
      <c r="A7669">
        <v>1194</v>
      </c>
      <c r="B7669" t="s">
        <v>33941</v>
      </c>
      <c r="C7669" t="s">
        <v>42</v>
      </c>
      <c r="D7669" t="s">
        <v>33942</v>
      </c>
      <c r="E7669" t="e" cm="1">
        <f t="array" ref="E7669">- IBUPROFEN. PARACETAMOL</f>
        <v>#NAME?</v>
      </c>
      <c r="F7669" t="s">
        <v>33943</v>
      </c>
      <c r="I7669" t="s">
        <v>33944</v>
      </c>
      <c r="M7669" t="s">
        <v>291</v>
      </c>
      <c r="N7669" t="s">
        <v>16974</v>
      </c>
      <c r="O7669" t="s">
        <v>33945</v>
      </c>
      <c r="P7669" t="s">
        <v>33946</v>
      </c>
      <c r="Q7669" t="s">
        <v>35238</v>
      </c>
      <c r="R7669">
        <v>22</v>
      </c>
      <c r="S7669">
        <v>32</v>
      </c>
    </row>
    <row r="7670" spans="1:19" x14ac:dyDescent="0.35">
      <c r="A7670">
        <v>3006</v>
      </c>
      <c r="B7670" t="s">
        <v>32331</v>
      </c>
      <c r="C7670" t="s">
        <v>42</v>
      </c>
      <c r="D7670" t="s">
        <v>32332</v>
      </c>
      <c r="E7670" t="s">
        <v>20682</v>
      </c>
      <c r="F7670" t="s">
        <v>32333</v>
      </c>
      <c r="G7670" t="s">
        <v>11823</v>
      </c>
      <c r="H7670" t="s">
        <v>4222</v>
      </c>
      <c r="I7670" t="s">
        <v>31596</v>
      </c>
      <c r="J7670" t="s">
        <v>14600</v>
      </c>
      <c r="K7670" t="s">
        <v>31597</v>
      </c>
      <c r="L7670" t="s">
        <v>31598</v>
      </c>
    </row>
    <row r="7671" spans="1:19" x14ac:dyDescent="0.35">
      <c r="A7671">
        <v>4070</v>
      </c>
      <c r="B7671" t="s">
        <v>35239</v>
      </c>
      <c r="C7671" t="s">
        <v>42</v>
      </c>
      <c r="D7671" t="s">
        <v>35240</v>
      </c>
      <c r="E7671" t="e" cm="1">
        <f t="array" ref="E7671">- LEVOCETIRIZINE DIHYDROCHLORIDE</f>
        <v>#NAME?</v>
      </c>
      <c r="F7671" s="1">
        <v>76500</v>
      </c>
      <c r="G7671" t="s">
        <v>2241</v>
      </c>
      <c r="H7671" t="s">
        <v>35062</v>
      </c>
      <c r="I7671" t="s">
        <v>35063</v>
      </c>
      <c r="J7671" t="s">
        <v>2100</v>
      </c>
      <c r="K7671" t="s">
        <v>3952</v>
      </c>
    </row>
    <row r="7672" spans="1:19" x14ac:dyDescent="0.35">
      <c r="A7672">
        <v>4071</v>
      </c>
      <c r="B7672" t="s">
        <v>35239</v>
      </c>
      <c r="C7672" t="s">
        <v>42</v>
      </c>
      <c r="D7672" t="s">
        <v>35240</v>
      </c>
      <c r="E7672" t="e" cm="1">
        <f t="array" ref="E7672">- LEVOCETIRIZINE HYDROCHLORIDE</f>
        <v>#NAME?</v>
      </c>
      <c r="F7672" s="1">
        <v>76500</v>
      </c>
      <c r="G7672" t="s">
        <v>2241</v>
      </c>
      <c r="H7672" t="s">
        <v>35062</v>
      </c>
      <c r="I7672" t="s">
        <v>35063</v>
      </c>
      <c r="J7672" t="s">
        <v>2100</v>
      </c>
      <c r="K7672" t="s">
        <v>3952</v>
      </c>
    </row>
    <row r="7673" spans="1:19" x14ac:dyDescent="0.35">
      <c r="A7673">
        <v>1180</v>
      </c>
      <c r="B7673" t="s">
        <v>29716</v>
      </c>
      <c r="C7673" t="s">
        <v>42</v>
      </c>
      <c r="D7673" t="s">
        <v>29726</v>
      </c>
      <c r="E7673" t="e" cm="1">
        <f t="array" ref="E7673">- PARACETAMOL. CHLORPHENAMINE MALEATE. GUAIFENESIN. PSEUDOEPHEDRINE HYDROCHLORIDE</f>
        <v>#NAME?</v>
      </c>
      <c r="F7673" t="s">
        <v>29727</v>
      </c>
      <c r="G7673" t="s">
        <v>2241</v>
      </c>
      <c r="H7673" t="s">
        <v>29728</v>
      </c>
      <c r="I7673" t="s">
        <v>29720</v>
      </c>
      <c r="J7673" t="s">
        <v>829</v>
      </c>
      <c r="K7673" t="s">
        <v>29729</v>
      </c>
      <c r="L7673" t="s">
        <v>29730</v>
      </c>
      <c r="M7673" t="s">
        <v>271</v>
      </c>
      <c r="N7673" t="s">
        <v>8354</v>
      </c>
      <c r="O7673" t="s">
        <v>29723</v>
      </c>
      <c r="P7673" t="s">
        <v>29724</v>
      </c>
      <c r="Q7673" t="s">
        <v>35170</v>
      </c>
      <c r="R7673">
        <v>22</v>
      </c>
      <c r="S7673">
        <v>32</v>
      </c>
    </row>
    <row r="7674" spans="1:19" x14ac:dyDescent="0.35">
      <c r="A7674">
        <v>1179</v>
      </c>
      <c r="B7674" t="s">
        <v>29716</v>
      </c>
      <c r="C7674" t="s">
        <v>42</v>
      </c>
      <c r="D7674" t="s">
        <v>29726</v>
      </c>
      <c r="E7674" t="e" cm="1">
        <f t="array" ref="E7674">- PARACETAMOL. CHLORPHENAMINE MALEATE. GUAIFENESIN. PSEUDOEPHEDRINE HYDROCHLORIDE</f>
        <v>#NAME?</v>
      </c>
      <c r="F7674" t="s">
        <v>29727</v>
      </c>
      <c r="G7674" t="s">
        <v>2241</v>
      </c>
      <c r="H7674" t="s">
        <v>29728</v>
      </c>
      <c r="I7674" t="s">
        <v>29720</v>
      </c>
      <c r="J7674" t="s">
        <v>829</v>
      </c>
      <c r="K7674" t="s">
        <v>29729</v>
      </c>
      <c r="L7674" t="s">
        <v>29730</v>
      </c>
      <c r="M7674" t="s">
        <v>271</v>
      </c>
      <c r="N7674" t="s">
        <v>8354</v>
      </c>
      <c r="O7674" t="s">
        <v>29723</v>
      </c>
      <c r="P7674" t="s">
        <v>29724</v>
      </c>
      <c r="Q7674" t="s">
        <v>35170</v>
      </c>
      <c r="R7674">
        <v>22</v>
      </c>
      <c r="S7674">
        <v>32</v>
      </c>
    </row>
    <row r="7675" spans="1:19" x14ac:dyDescent="0.35">
      <c r="A7675">
        <v>4408</v>
      </c>
      <c r="B7675" t="s">
        <v>33780</v>
      </c>
      <c r="C7675" t="s">
        <v>42</v>
      </c>
      <c r="D7675" t="s">
        <v>34818</v>
      </c>
      <c r="E7675" t="e" cm="1">
        <f t="array" ref="E7675">- DEQUALINIUM CHLORIDE</f>
        <v>#NAME?</v>
      </c>
      <c r="F7675" t="s">
        <v>34819</v>
      </c>
      <c r="G7675" t="s">
        <v>33783</v>
      </c>
      <c r="H7675" t="s">
        <v>33784</v>
      </c>
      <c r="I7675" t="s">
        <v>34820</v>
      </c>
      <c r="J7675" t="s">
        <v>23738</v>
      </c>
      <c r="K7675" t="s">
        <v>34821</v>
      </c>
      <c r="L7675" t="s">
        <v>33788</v>
      </c>
      <c r="M7675" t="s">
        <v>46</v>
      </c>
      <c r="N7675" t="s">
        <v>10495</v>
      </c>
      <c r="O7675" t="s">
        <v>34822</v>
      </c>
      <c r="P7675" t="s">
        <v>33790</v>
      </c>
      <c r="Q7675" t="s">
        <v>34823</v>
      </c>
      <c r="R7675">
        <v>22</v>
      </c>
      <c r="S7675">
        <v>32</v>
      </c>
    </row>
    <row r="7676" spans="1:19" x14ac:dyDescent="0.35">
      <c r="A7676">
        <v>4807</v>
      </c>
      <c r="B7676" t="s">
        <v>32566</v>
      </c>
      <c r="C7676" t="s">
        <v>42</v>
      </c>
      <c r="D7676" t="s">
        <v>32567</v>
      </c>
      <c r="E7676" t="e" cm="1">
        <f t="array" ref="E7676">- DEXAMETHASONE SODIUM PHOSPHATE. NEOMYCIN SULFATE</f>
        <v>#NAME?</v>
      </c>
      <c r="F7676" t="s">
        <v>32568</v>
      </c>
      <c r="G7676" t="s">
        <v>7569</v>
      </c>
      <c r="H7676" t="s">
        <v>7570</v>
      </c>
      <c r="I7676" t="s">
        <v>32569</v>
      </c>
      <c r="J7676" t="s">
        <v>11321</v>
      </c>
      <c r="L7676" t="s">
        <v>16435</v>
      </c>
      <c r="M7676" t="s">
        <v>824</v>
      </c>
      <c r="N7676" t="s">
        <v>35241</v>
      </c>
      <c r="O7676" t="s">
        <v>32570</v>
      </c>
      <c r="P7676" t="s">
        <v>32571</v>
      </c>
      <c r="Q7676" t="s">
        <v>35242</v>
      </c>
      <c r="R7676">
        <v>22</v>
      </c>
      <c r="S7676">
        <v>32</v>
      </c>
    </row>
    <row r="7677" spans="1:19" x14ac:dyDescent="0.35">
      <c r="A7677">
        <v>6847</v>
      </c>
      <c r="B7677" t="s">
        <v>34994</v>
      </c>
      <c r="C7677" t="s">
        <v>42</v>
      </c>
      <c r="D7677" t="s">
        <v>34995</v>
      </c>
      <c r="E7677" t="e" cm="1">
        <f t="array" ref="E7677">- DICLOFENAC DIETHYLAMINE</f>
        <v>#NAME?</v>
      </c>
      <c r="F7677" t="s">
        <v>34996</v>
      </c>
      <c r="G7677" t="s">
        <v>34997</v>
      </c>
      <c r="H7677" t="s">
        <v>30527</v>
      </c>
      <c r="I7677" t="s">
        <v>34998</v>
      </c>
      <c r="J7677" t="s">
        <v>2040</v>
      </c>
      <c r="K7677" t="s">
        <v>34999</v>
      </c>
      <c r="L7677" t="s">
        <v>35000</v>
      </c>
      <c r="M7677" t="s">
        <v>87</v>
      </c>
      <c r="N7677" t="s">
        <v>1958</v>
      </c>
      <c r="O7677" t="s">
        <v>35001</v>
      </c>
      <c r="P7677" t="s">
        <v>35002</v>
      </c>
      <c r="Q7677" t="s">
        <v>35003</v>
      </c>
      <c r="R7677">
        <v>22</v>
      </c>
      <c r="S7677">
        <v>32</v>
      </c>
    </row>
    <row r="7678" spans="1:19" x14ac:dyDescent="0.35">
      <c r="A7678">
        <v>6786</v>
      </c>
      <c r="B7678" t="s">
        <v>35243</v>
      </c>
      <c r="C7678" t="s">
        <v>42</v>
      </c>
      <c r="D7678" t="s">
        <v>35244</v>
      </c>
      <c r="E7678" t="e" cm="1">
        <f t="array" ref="E7678">- ALLOPURINOL</f>
        <v>#NAME?</v>
      </c>
      <c r="F7678" t="s">
        <v>35245</v>
      </c>
      <c r="G7678" t="s">
        <v>5033</v>
      </c>
      <c r="H7678" t="s">
        <v>33716</v>
      </c>
      <c r="I7678" t="s">
        <v>33717</v>
      </c>
      <c r="J7678" t="s">
        <v>532</v>
      </c>
      <c r="K7678" t="s">
        <v>35246</v>
      </c>
      <c r="L7678" t="s">
        <v>35247</v>
      </c>
      <c r="M7678" t="s">
        <v>46</v>
      </c>
      <c r="N7678" t="s">
        <v>424</v>
      </c>
      <c r="O7678" t="s">
        <v>33720</v>
      </c>
      <c r="P7678" t="s">
        <v>35248</v>
      </c>
      <c r="Q7678" t="s">
        <v>35249</v>
      </c>
      <c r="R7678">
        <v>22</v>
      </c>
      <c r="S7678">
        <v>32</v>
      </c>
    </row>
    <row r="7679" spans="1:19" x14ac:dyDescent="0.35">
      <c r="A7679">
        <v>5745</v>
      </c>
      <c r="B7679" t="s">
        <v>35250</v>
      </c>
      <c r="C7679" t="s">
        <v>42</v>
      </c>
      <c r="D7679" t="s">
        <v>35251</v>
      </c>
      <c r="E7679" t="e" cm="1">
        <f t="array" ref="E7679">- AZITHROMYCIN DIHYDRATE</f>
        <v>#NAME?</v>
      </c>
      <c r="F7679" t="s">
        <v>35252</v>
      </c>
      <c r="G7679" t="s">
        <v>1691</v>
      </c>
      <c r="H7679" t="s">
        <v>35253</v>
      </c>
      <c r="I7679" t="s">
        <v>35254</v>
      </c>
    </row>
    <row r="7680" spans="1:19" x14ac:dyDescent="0.35">
      <c r="A7680">
        <v>6819</v>
      </c>
      <c r="B7680" t="s">
        <v>34994</v>
      </c>
      <c r="C7680" t="s">
        <v>42</v>
      </c>
      <c r="D7680" t="s">
        <v>35255</v>
      </c>
      <c r="E7680" t="e" cm="1">
        <f t="array" ref="E7680">- DICLOFENAC DIETHYLAMINE</f>
        <v>#NAME?</v>
      </c>
      <c r="F7680" t="s">
        <v>35256</v>
      </c>
      <c r="G7680" t="s">
        <v>34997</v>
      </c>
      <c r="H7680" t="s">
        <v>30527</v>
      </c>
      <c r="I7680" t="s">
        <v>34998</v>
      </c>
      <c r="J7680" t="s">
        <v>1367</v>
      </c>
      <c r="K7680" t="s">
        <v>34999</v>
      </c>
      <c r="L7680" t="s">
        <v>35000</v>
      </c>
      <c r="M7680" t="s">
        <v>87</v>
      </c>
      <c r="N7680" t="s">
        <v>1958</v>
      </c>
      <c r="O7680" t="s">
        <v>35001</v>
      </c>
      <c r="P7680" t="s">
        <v>35002</v>
      </c>
      <c r="Q7680" t="s">
        <v>35003</v>
      </c>
      <c r="R7680">
        <v>22</v>
      </c>
      <c r="S7680">
        <v>32</v>
      </c>
    </row>
    <row r="7681" spans="1:19" x14ac:dyDescent="0.35">
      <c r="A7681">
        <v>6820</v>
      </c>
      <c r="B7681" t="s">
        <v>34994</v>
      </c>
      <c r="C7681" t="s">
        <v>42</v>
      </c>
      <c r="D7681" t="s">
        <v>35255</v>
      </c>
      <c r="E7681" t="e" cm="1">
        <f t="array" ref="E7681">- DICLOFENAC DIETHYLAMINE</f>
        <v>#NAME?</v>
      </c>
      <c r="F7681" t="s">
        <v>35256</v>
      </c>
      <c r="G7681" t="s">
        <v>34997</v>
      </c>
      <c r="H7681" t="s">
        <v>30527</v>
      </c>
      <c r="I7681" t="s">
        <v>34998</v>
      </c>
      <c r="J7681" t="s">
        <v>1367</v>
      </c>
      <c r="K7681" t="s">
        <v>34999</v>
      </c>
      <c r="L7681" t="s">
        <v>35000</v>
      </c>
      <c r="M7681" t="s">
        <v>87</v>
      </c>
      <c r="N7681" t="s">
        <v>1958</v>
      </c>
      <c r="O7681" t="s">
        <v>35001</v>
      </c>
      <c r="P7681" t="s">
        <v>35002</v>
      </c>
      <c r="Q7681" t="s">
        <v>35003</v>
      </c>
      <c r="R7681">
        <v>22</v>
      </c>
      <c r="S7681">
        <v>32</v>
      </c>
    </row>
    <row r="7682" spans="1:19" x14ac:dyDescent="0.35">
      <c r="A7682">
        <v>6807</v>
      </c>
      <c r="B7682" t="s">
        <v>35257</v>
      </c>
      <c r="C7682" t="s">
        <v>42</v>
      </c>
      <c r="D7682" t="s">
        <v>35258</v>
      </c>
      <c r="E7682" t="e" cm="1">
        <f t="array" ref="E7682">- ALLOPURINOL</f>
        <v>#NAME?</v>
      </c>
      <c r="F7682" t="s">
        <v>11886</v>
      </c>
      <c r="G7682" t="s">
        <v>5033</v>
      </c>
      <c r="H7682" t="s">
        <v>33716</v>
      </c>
      <c r="I7682" t="s">
        <v>33717</v>
      </c>
      <c r="J7682" t="s">
        <v>381</v>
      </c>
      <c r="K7682" t="s">
        <v>35246</v>
      </c>
      <c r="L7682" t="s">
        <v>35259</v>
      </c>
      <c r="M7682" t="s">
        <v>46</v>
      </c>
      <c r="N7682" t="s">
        <v>424</v>
      </c>
      <c r="O7682" t="s">
        <v>33720</v>
      </c>
      <c r="P7682" t="s">
        <v>35260</v>
      </c>
      <c r="Q7682" t="s">
        <v>35261</v>
      </c>
      <c r="R7682">
        <v>22</v>
      </c>
      <c r="S7682">
        <v>32</v>
      </c>
    </row>
    <row r="7683" spans="1:19" x14ac:dyDescent="0.35">
      <c r="A7683">
        <v>5633</v>
      </c>
      <c r="B7683" t="s">
        <v>34550</v>
      </c>
      <c r="C7683" t="s">
        <v>42</v>
      </c>
      <c r="D7683" t="s">
        <v>34551</v>
      </c>
      <c r="E7683" t="e" cm="1">
        <f t="array" ref="E7683">- TRIMETHOPRIM. SULFAMETHOXAZOLE</f>
        <v>#NAME?</v>
      </c>
      <c r="F7683" t="s">
        <v>34552</v>
      </c>
      <c r="G7683" t="s">
        <v>4045</v>
      </c>
      <c r="H7683" t="s">
        <v>34380</v>
      </c>
      <c r="I7683" t="s">
        <v>34381</v>
      </c>
      <c r="J7683" t="s">
        <v>2634</v>
      </c>
      <c r="K7683" t="s">
        <v>13519</v>
      </c>
      <c r="L7683" t="s">
        <v>34553</v>
      </c>
      <c r="M7683" t="s">
        <v>291</v>
      </c>
      <c r="N7683" t="s">
        <v>1469</v>
      </c>
      <c r="O7683" t="s">
        <v>34383</v>
      </c>
      <c r="P7683" t="s">
        <v>34554</v>
      </c>
      <c r="Q7683" t="s">
        <v>35262</v>
      </c>
      <c r="R7683">
        <v>22</v>
      </c>
      <c r="S7683">
        <v>32</v>
      </c>
    </row>
    <row r="7684" spans="1:19" x14ac:dyDescent="0.35">
      <c r="A7684">
        <v>6806</v>
      </c>
      <c r="B7684" t="s">
        <v>35257</v>
      </c>
      <c r="C7684" t="s">
        <v>42</v>
      </c>
      <c r="D7684" t="s">
        <v>35258</v>
      </c>
      <c r="E7684" t="e" cm="1">
        <f t="array" ref="E7684">- ALLOPURINOL</f>
        <v>#NAME?</v>
      </c>
      <c r="F7684" t="s">
        <v>11886</v>
      </c>
      <c r="G7684" t="s">
        <v>5033</v>
      </c>
      <c r="H7684" t="s">
        <v>33716</v>
      </c>
      <c r="I7684" t="s">
        <v>33717</v>
      </c>
      <c r="J7684" t="s">
        <v>381</v>
      </c>
      <c r="K7684" t="s">
        <v>35246</v>
      </c>
      <c r="L7684" t="s">
        <v>35259</v>
      </c>
      <c r="M7684" t="s">
        <v>46</v>
      </c>
      <c r="N7684" t="s">
        <v>424</v>
      </c>
      <c r="O7684" t="s">
        <v>33720</v>
      </c>
      <c r="P7684" t="s">
        <v>35260</v>
      </c>
      <c r="Q7684" t="s">
        <v>35261</v>
      </c>
      <c r="R7684">
        <v>22</v>
      </c>
      <c r="S7684">
        <v>32</v>
      </c>
    </row>
    <row r="7685" spans="1:19" x14ac:dyDescent="0.35">
      <c r="A7685">
        <v>646</v>
      </c>
      <c r="B7685" t="s">
        <v>35263</v>
      </c>
      <c r="C7685" t="s">
        <v>42</v>
      </c>
      <c r="D7685" t="s">
        <v>35264</v>
      </c>
      <c r="E7685" t="e" cm="1">
        <f t="array" ref="E7685">- DEXPANTHENOL</f>
        <v>#NAME?</v>
      </c>
      <c r="F7685" t="s">
        <v>1364</v>
      </c>
      <c r="G7685" t="s">
        <v>35265</v>
      </c>
      <c r="H7685" t="s">
        <v>11877</v>
      </c>
      <c r="I7685" t="s">
        <v>35266</v>
      </c>
      <c r="J7685" t="s">
        <v>35267</v>
      </c>
      <c r="K7685" t="s">
        <v>35268</v>
      </c>
      <c r="L7685" t="s">
        <v>35269</v>
      </c>
      <c r="M7685" t="s">
        <v>1029</v>
      </c>
      <c r="N7685" t="s">
        <v>5460</v>
      </c>
      <c r="O7685" t="s">
        <v>35270</v>
      </c>
      <c r="P7685" t="s">
        <v>35271</v>
      </c>
      <c r="Q7685" t="s">
        <v>35272</v>
      </c>
      <c r="R7685">
        <v>22</v>
      </c>
      <c r="S7685">
        <v>32</v>
      </c>
    </row>
    <row r="7686" spans="1:19" x14ac:dyDescent="0.35">
      <c r="A7686">
        <v>6800</v>
      </c>
      <c r="B7686" t="s">
        <v>35273</v>
      </c>
      <c r="C7686" t="s">
        <v>42</v>
      </c>
      <c r="D7686" t="s">
        <v>35274</v>
      </c>
      <c r="E7686" t="e" cm="1">
        <f t="array" ref="E7686">- ALLOPURINOL</f>
        <v>#NAME?</v>
      </c>
      <c r="F7686" t="s">
        <v>35275</v>
      </c>
      <c r="G7686" t="s">
        <v>5033</v>
      </c>
      <c r="H7686" t="s">
        <v>33716</v>
      </c>
      <c r="I7686" t="s">
        <v>33717</v>
      </c>
      <c r="J7686" t="s">
        <v>381</v>
      </c>
      <c r="K7686" t="s">
        <v>35246</v>
      </c>
      <c r="L7686" t="s">
        <v>35259</v>
      </c>
      <c r="M7686" t="s">
        <v>46</v>
      </c>
      <c r="N7686" t="s">
        <v>424</v>
      </c>
      <c r="O7686" t="s">
        <v>33720</v>
      </c>
      <c r="P7686" t="s">
        <v>35276</v>
      </c>
      <c r="Q7686" t="s">
        <v>35277</v>
      </c>
      <c r="R7686">
        <v>22</v>
      </c>
      <c r="S7686">
        <v>32</v>
      </c>
    </row>
    <row r="7687" spans="1:19" x14ac:dyDescent="0.35">
      <c r="A7687">
        <v>6845</v>
      </c>
      <c r="B7687" t="s">
        <v>34994</v>
      </c>
      <c r="C7687" t="s">
        <v>42</v>
      </c>
      <c r="D7687" t="s">
        <v>34995</v>
      </c>
      <c r="E7687" t="e" cm="1">
        <f t="array" ref="E7687">- DICLOFENAC DIETHYLAMINE</f>
        <v>#NAME?</v>
      </c>
      <c r="F7687" t="s">
        <v>34996</v>
      </c>
      <c r="G7687" t="s">
        <v>34997</v>
      </c>
      <c r="H7687" t="s">
        <v>30527</v>
      </c>
      <c r="I7687" t="s">
        <v>34998</v>
      </c>
      <c r="J7687" t="s">
        <v>2040</v>
      </c>
      <c r="K7687" t="s">
        <v>34999</v>
      </c>
      <c r="L7687" t="s">
        <v>35000</v>
      </c>
      <c r="M7687" t="s">
        <v>87</v>
      </c>
      <c r="N7687" t="s">
        <v>1958</v>
      </c>
      <c r="O7687" t="s">
        <v>35001</v>
      </c>
      <c r="P7687" t="s">
        <v>35002</v>
      </c>
      <c r="Q7687" t="s">
        <v>35003</v>
      </c>
      <c r="R7687">
        <v>22</v>
      </c>
      <c r="S7687">
        <v>32</v>
      </c>
    </row>
    <row r="7688" spans="1:19" x14ac:dyDescent="0.35">
      <c r="A7688">
        <v>6751</v>
      </c>
      <c r="B7688" t="s">
        <v>35278</v>
      </c>
      <c r="C7688" t="s">
        <v>42</v>
      </c>
      <c r="D7688" t="s">
        <v>35279</v>
      </c>
      <c r="E7688" t="e" cm="1">
        <f t="array" ref="E7688">- ALLOPURINOL</f>
        <v>#NAME?</v>
      </c>
      <c r="F7688" t="s">
        <v>35280</v>
      </c>
      <c r="G7688" t="s">
        <v>5033</v>
      </c>
      <c r="H7688" t="s">
        <v>33716</v>
      </c>
      <c r="I7688" t="s">
        <v>33717</v>
      </c>
      <c r="J7688" t="s">
        <v>2478</v>
      </c>
      <c r="K7688" t="s">
        <v>35246</v>
      </c>
      <c r="L7688" t="s">
        <v>35259</v>
      </c>
      <c r="M7688" t="s">
        <v>46</v>
      </c>
      <c r="N7688" t="s">
        <v>424</v>
      </c>
      <c r="O7688" t="s">
        <v>33720</v>
      </c>
      <c r="P7688" t="s">
        <v>35281</v>
      </c>
      <c r="Q7688" t="s">
        <v>35282</v>
      </c>
      <c r="R7688">
        <v>22</v>
      </c>
      <c r="S7688">
        <v>32</v>
      </c>
    </row>
    <row r="7689" spans="1:19" x14ac:dyDescent="0.35">
      <c r="A7689">
        <v>6790</v>
      </c>
      <c r="B7689" t="s">
        <v>35283</v>
      </c>
      <c r="C7689" t="s">
        <v>42</v>
      </c>
      <c r="D7689" t="s">
        <v>35284</v>
      </c>
      <c r="E7689" t="e" cm="1">
        <f t="array" ref="E7689">- ALLOPURINOL</f>
        <v>#NAME?</v>
      </c>
      <c r="F7689" s="1">
        <v>20600</v>
      </c>
      <c r="G7689" t="s">
        <v>5033</v>
      </c>
      <c r="H7689" t="s">
        <v>33716</v>
      </c>
      <c r="I7689" t="s">
        <v>33717</v>
      </c>
      <c r="J7689" t="s">
        <v>969</v>
      </c>
      <c r="K7689" t="s">
        <v>35246</v>
      </c>
      <c r="L7689" t="s">
        <v>35247</v>
      </c>
      <c r="M7689" t="s">
        <v>46</v>
      </c>
      <c r="N7689" t="s">
        <v>424</v>
      </c>
      <c r="O7689" t="s">
        <v>33720</v>
      </c>
      <c r="P7689" t="s">
        <v>35285</v>
      </c>
      <c r="Q7689" t="s">
        <v>35286</v>
      </c>
      <c r="R7689">
        <v>22</v>
      </c>
      <c r="S7689">
        <v>32</v>
      </c>
    </row>
    <row r="7690" spans="1:19" x14ac:dyDescent="0.35">
      <c r="A7690">
        <v>645</v>
      </c>
      <c r="B7690" t="s">
        <v>35263</v>
      </c>
      <c r="C7690" t="s">
        <v>42</v>
      </c>
      <c r="D7690" t="s">
        <v>35264</v>
      </c>
      <c r="E7690" t="e" cm="1">
        <f t="array" ref="E7690">- DEXPANTHENOL</f>
        <v>#NAME?</v>
      </c>
      <c r="F7690" t="s">
        <v>1364</v>
      </c>
      <c r="G7690" t="s">
        <v>35265</v>
      </c>
      <c r="H7690" t="s">
        <v>11877</v>
      </c>
      <c r="I7690" t="s">
        <v>35266</v>
      </c>
      <c r="J7690" t="s">
        <v>35267</v>
      </c>
      <c r="K7690" t="s">
        <v>35268</v>
      </c>
      <c r="L7690" t="s">
        <v>35269</v>
      </c>
      <c r="M7690" t="s">
        <v>1029</v>
      </c>
      <c r="N7690" t="s">
        <v>5460</v>
      </c>
      <c r="O7690" t="s">
        <v>35270</v>
      </c>
      <c r="P7690" t="s">
        <v>35271</v>
      </c>
      <c r="Q7690" t="s">
        <v>35272</v>
      </c>
      <c r="R7690">
        <v>22</v>
      </c>
      <c r="S7690">
        <v>32</v>
      </c>
    </row>
    <row r="7691" spans="1:19" x14ac:dyDescent="0.35">
      <c r="A7691">
        <v>955</v>
      </c>
      <c r="B7691" t="s">
        <v>32101</v>
      </c>
      <c r="C7691" t="s">
        <v>42</v>
      </c>
      <c r="D7691" t="s">
        <v>32102</v>
      </c>
      <c r="E7691" t="e" cm="1">
        <f t="array" ref="E7691">- PSEUDOEPHEDRINE HYDROCHLORIDE. TRIPROLIDINE HYDROCHLORIDE</f>
        <v>#NAME?</v>
      </c>
      <c r="F7691" t="s">
        <v>25890</v>
      </c>
      <c r="G7691" t="s">
        <v>5233</v>
      </c>
      <c r="H7691" t="s">
        <v>269</v>
      </c>
      <c r="I7691" t="s">
        <v>32103</v>
      </c>
      <c r="J7691" t="s">
        <v>727</v>
      </c>
      <c r="K7691" t="s">
        <v>32104</v>
      </c>
      <c r="L7691" t="s">
        <v>321</v>
      </c>
      <c r="M7691" t="s">
        <v>291</v>
      </c>
      <c r="N7691" t="s">
        <v>3820</v>
      </c>
      <c r="O7691" t="s">
        <v>32105</v>
      </c>
      <c r="P7691" t="s">
        <v>17921</v>
      </c>
      <c r="Q7691" t="s">
        <v>35287</v>
      </c>
      <c r="R7691">
        <v>22</v>
      </c>
      <c r="S7691">
        <v>32</v>
      </c>
    </row>
    <row r="7692" spans="1:19" x14ac:dyDescent="0.35">
      <c r="A7692">
        <v>6791</v>
      </c>
      <c r="B7692" t="s">
        <v>35283</v>
      </c>
      <c r="C7692" t="s">
        <v>42</v>
      </c>
      <c r="D7692" t="s">
        <v>35284</v>
      </c>
      <c r="E7692" t="e" cm="1">
        <f t="array" ref="E7692">- ALLOPURINOL</f>
        <v>#NAME?</v>
      </c>
      <c r="F7692" s="1">
        <v>20600</v>
      </c>
      <c r="G7692" t="s">
        <v>5033</v>
      </c>
      <c r="H7692" t="s">
        <v>33716</v>
      </c>
      <c r="I7692" t="s">
        <v>33717</v>
      </c>
      <c r="J7692" t="s">
        <v>969</v>
      </c>
      <c r="K7692" t="s">
        <v>35246</v>
      </c>
      <c r="L7692" t="s">
        <v>35247</v>
      </c>
      <c r="M7692" t="s">
        <v>46</v>
      </c>
      <c r="N7692" t="s">
        <v>424</v>
      </c>
      <c r="O7692" t="s">
        <v>33720</v>
      </c>
      <c r="P7692" t="s">
        <v>35285</v>
      </c>
      <c r="Q7692" t="s">
        <v>35286</v>
      </c>
      <c r="R7692">
        <v>22</v>
      </c>
      <c r="S7692">
        <v>32</v>
      </c>
    </row>
    <row r="7693" spans="1:19" x14ac:dyDescent="0.35">
      <c r="A7693">
        <v>6752</v>
      </c>
      <c r="B7693" t="s">
        <v>35278</v>
      </c>
      <c r="C7693" t="s">
        <v>42</v>
      </c>
      <c r="D7693" t="s">
        <v>35279</v>
      </c>
      <c r="E7693" t="e" cm="1">
        <f t="array" ref="E7693">- ALLOPURINOL</f>
        <v>#NAME?</v>
      </c>
      <c r="F7693" t="s">
        <v>35280</v>
      </c>
      <c r="G7693" t="s">
        <v>5033</v>
      </c>
      <c r="H7693" t="s">
        <v>33716</v>
      </c>
      <c r="I7693" t="s">
        <v>33717</v>
      </c>
      <c r="J7693" t="s">
        <v>2478</v>
      </c>
      <c r="K7693" t="s">
        <v>35246</v>
      </c>
      <c r="L7693" t="s">
        <v>35259</v>
      </c>
      <c r="M7693" t="s">
        <v>46</v>
      </c>
      <c r="N7693" t="s">
        <v>424</v>
      </c>
      <c r="O7693" t="s">
        <v>33720</v>
      </c>
      <c r="P7693" t="s">
        <v>35281</v>
      </c>
      <c r="Q7693" t="s">
        <v>35282</v>
      </c>
      <c r="R7693">
        <v>22</v>
      </c>
      <c r="S7693">
        <v>32</v>
      </c>
    </row>
    <row r="7694" spans="1:19" x14ac:dyDescent="0.35">
      <c r="A7694">
        <v>6792</v>
      </c>
      <c r="B7694" t="s">
        <v>35288</v>
      </c>
      <c r="C7694" t="s">
        <v>42</v>
      </c>
      <c r="D7694" t="s">
        <v>35289</v>
      </c>
      <c r="E7694" t="e" cm="1">
        <f t="array" ref="E7694">- ALLOPURINOL</f>
        <v>#NAME?</v>
      </c>
      <c r="F7694" t="s">
        <v>35290</v>
      </c>
      <c r="G7694" t="s">
        <v>5033</v>
      </c>
      <c r="H7694" t="s">
        <v>33716</v>
      </c>
      <c r="I7694" t="s">
        <v>33717</v>
      </c>
      <c r="J7694" t="s">
        <v>969</v>
      </c>
      <c r="K7694" t="s">
        <v>35246</v>
      </c>
      <c r="L7694" t="s">
        <v>35259</v>
      </c>
      <c r="M7694" t="s">
        <v>46</v>
      </c>
      <c r="N7694" t="s">
        <v>424</v>
      </c>
      <c r="O7694" t="s">
        <v>33720</v>
      </c>
      <c r="P7694" t="s">
        <v>35285</v>
      </c>
      <c r="Q7694" t="s">
        <v>35286</v>
      </c>
      <c r="R7694">
        <v>22</v>
      </c>
      <c r="S7694">
        <v>32</v>
      </c>
    </row>
    <row r="7695" spans="1:19" x14ac:dyDescent="0.35">
      <c r="A7695">
        <v>6844</v>
      </c>
      <c r="B7695" t="s">
        <v>34994</v>
      </c>
      <c r="C7695" t="s">
        <v>42</v>
      </c>
      <c r="D7695" t="s">
        <v>34995</v>
      </c>
      <c r="E7695" t="e" cm="1">
        <f t="array" ref="E7695">- DICLOFENAC DIETHYLAMINE</f>
        <v>#NAME?</v>
      </c>
      <c r="F7695" t="s">
        <v>34996</v>
      </c>
      <c r="G7695" t="s">
        <v>34997</v>
      </c>
      <c r="H7695" t="s">
        <v>30527</v>
      </c>
      <c r="I7695" t="s">
        <v>34998</v>
      </c>
      <c r="J7695" t="s">
        <v>2040</v>
      </c>
      <c r="K7695" t="s">
        <v>34999</v>
      </c>
      <c r="L7695" t="s">
        <v>35000</v>
      </c>
      <c r="M7695" t="s">
        <v>87</v>
      </c>
      <c r="N7695" t="s">
        <v>1958</v>
      </c>
      <c r="O7695" t="s">
        <v>35001</v>
      </c>
      <c r="P7695" t="s">
        <v>35002</v>
      </c>
      <c r="Q7695" t="s">
        <v>35003</v>
      </c>
      <c r="R7695">
        <v>22</v>
      </c>
      <c r="S7695">
        <v>32</v>
      </c>
    </row>
    <row r="7696" spans="1:19" x14ac:dyDescent="0.35">
      <c r="A7696">
        <v>6843</v>
      </c>
      <c r="B7696" t="s">
        <v>34994</v>
      </c>
      <c r="C7696" t="s">
        <v>42</v>
      </c>
      <c r="D7696" t="s">
        <v>34995</v>
      </c>
      <c r="E7696" t="e" cm="1">
        <f t="array" ref="E7696">- DICLOFENAC DIETHYLAMINE</f>
        <v>#NAME?</v>
      </c>
      <c r="F7696" t="s">
        <v>34996</v>
      </c>
      <c r="G7696" t="s">
        <v>34997</v>
      </c>
      <c r="H7696" t="s">
        <v>30527</v>
      </c>
      <c r="I7696" t="s">
        <v>34998</v>
      </c>
      <c r="J7696" t="s">
        <v>2040</v>
      </c>
      <c r="K7696" t="s">
        <v>34999</v>
      </c>
      <c r="L7696" t="s">
        <v>35000</v>
      </c>
      <c r="M7696" t="s">
        <v>87</v>
      </c>
      <c r="N7696" t="s">
        <v>1958</v>
      </c>
      <c r="O7696" t="s">
        <v>35001</v>
      </c>
      <c r="P7696" t="s">
        <v>35002</v>
      </c>
      <c r="Q7696" t="s">
        <v>35003</v>
      </c>
      <c r="R7696">
        <v>22</v>
      </c>
      <c r="S7696">
        <v>32</v>
      </c>
    </row>
    <row r="7697" spans="1:19" x14ac:dyDescent="0.35">
      <c r="A7697">
        <v>6842</v>
      </c>
      <c r="B7697" t="s">
        <v>34994</v>
      </c>
      <c r="C7697" t="s">
        <v>42</v>
      </c>
      <c r="D7697" t="s">
        <v>34995</v>
      </c>
      <c r="E7697" t="e" cm="1">
        <f t="array" ref="E7697">- DICLOFENAC DIETHYLAMINE</f>
        <v>#NAME?</v>
      </c>
      <c r="F7697" t="s">
        <v>34996</v>
      </c>
      <c r="G7697" t="s">
        <v>34997</v>
      </c>
      <c r="H7697" t="s">
        <v>30527</v>
      </c>
      <c r="I7697" t="s">
        <v>34998</v>
      </c>
      <c r="J7697" t="s">
        <v>2040</v>
      </c>
      <c r="K7697" t="s">
        <v>34999</v>
      </c>
      <c r="L7697" t="s">
        <v>35000</v>
      </c>
      <c r="M7697" t="s">
        <v>87</v>
      </c>
      <c r="N7697" t="s">
        <v>1958</v>
      </c>
      <c r="O7697" t="s">
        <v>35001</v>
      </c>
      <c r="P7697" t="s">
        <v>35002</v>
      </c>
      <c r="Q7697" t="s">
        <v>35003</v>
      </c>
      <c r="R7697">
        <v>22</v>
      </c>
      <c r="S7697">
        <v>32</v>
      </c>
    </row>
    <row r="7698" spans="1:19" x14ac:dyDescent="0.35">
      <c r="A7698">
        <v>6841</v>
      </c>
      <c r="B7698" t="s">
        <v>34994</v>
      </c>
      <c r="C7698" t="s">
        <v>42</v>
      </c>
      <c r="D7698" t="s">
        <v>34995</v>
      </c>
      <c r="E7698" t="e" cm="1">
        <f t="array" ref="E7698">- DICLOFENAC DIETHYLAMINE</f>
        <v>#NAME?</v>
      </c>
      <c r="F7698" t="s">
        <v>34996</v>
      </c>
      <c r="G7698" t="s">
        <v>34997</v>
      </c>
      <c r="H7698" t="s">
        <v>30527</v>
      </c>
      <c r="I7698" t="s">
        <v>34998</v>
      </c>
      <c r="J7698" t="s">
        <v>2040</v>
      </c>
      <c r="K7698" t="s">
        <v>34999</v>
      </c>
      <c r="L7698" t="s">
        <v>35000</v>
      </c>
      <c r="M7698" t="s">
        <v>87</v>
      </c>
      <c r="N7698" t="s">
        <v>1958</v>
      </c>
      <c r="O7698" t="s">
        <v>35001</v>
      </c>
      <c r="P7698" t="s">
        <v>35002</v>
      </c>
      <c r="Q7698" t="s">
        <v>35003</v>
      </c>
      <c r="R7698">
        <v>22</v>
      </c>
      <c r="S7698">
        <v>32</v>
      </c>
    </row>
    <row r="7699" spans="1:19" x14ac:dyDescent="0.35">
      <c r="A7699">
        <v>7308</v>
      </c>
      <c r="B7699" t="s">
        <v>35291</v>
      </c>
      <c r="C7699" t="s">
        <v>42</v>
      </c>
      <c r="D7699" t="s">
        <v>35292</v>
      </c>
      <c r="E7699" t="e" cm="1">
        <f t="array" ref="E7699">- TOLTERODINE</f>
        <v>#NAME?</v>
      </c>
      <c r="F7699" t="s">
        <v>35293</v>
      </c>
      <c r="G7699" t="s">
        <v>60</v>
      </c>
      <c r="H7699" t="s">
        <v>21015</v>
      </c>
      <c r="I7699" t="s">
        <v>35294</v>
      </c>
      <c r="J7699" t="s">
        <v>35295</v>
      </c>
      <c r="K7699" t="s">
        <v>35296</v>
      </c>
      <c r="L7699" t="s">
        <v>35297</v>
      </c>
      <c r="M7699" t="s">
        <v>46</v>
      </c>
      <c r="N7699" t="s">
        <v>35298</v>
      </c>
      <c r="O7699" t="s">
        <v>35299</v>
      </c>
      <c r="P7699" t="s">
        <v>35300</v>
      </c>
      <c r="Q7699" t="s">
        <v>35301</v>
      </c>
      <c r="R7699">
        <v>22</v>
      </c>
      <c r="S7699">
        <v>32</v>
      </c>
    </row>
    <row r="7700" spans="1:19" x14ac:dyDescent="0.35">
      <c r="A7700">
        <v>6818</v>
      </c>
      <c r="B7700" t="s">
        <v>34994</v>
      </c>
      <c r="C7700" t="s">
        <v>42</v>
      </c>
      <c r="D7700" t="s">
        <v>35255</v>
      </c>
      <c r="E7700" t="e" cm="1">
        <f t="array" ref="E7700">- DICLOFENAC DIETHYLAMINE</f>
        <v>#NAME?</v>
      </c>
      <c r="F7700" t="s">
        <v>35256</v>
      </c>
      <c r="G7700" t="s">
        <v>34997</v>
      </c>
      <c r="H7700" t="s">
        <v>30527</v>
      </c>
      <c r="I7700" t="s">
        <v>34998</v>
      </c>
      <c r="J7700" t="s">
        <v>1367</v>
      </c>
      <c r="K7700" t="s">
        <v>34999</v>
      </c>
      <c r="L7700" t="s">
        <v>35000</v>
      </c>
      <c r="M7700" t="s">
        <v>87</v>
      </c>
      <c r="N7700" t="s">
        <v>1958</v>
      </c>
      <c r="O7700" t="s">
        <v>35001</v>
      </c>
      <c r="P7700" t="s">
        <v>35002</v>
      </c>
      <c r="Q7700" t="s">
        <v>35003</v>
      </c>
      <c r="R7700">
        <v>22</v>
      </c>
      <c r="S7700">
        <v>32</v>
      </c>
    </row>
    <row r="7701" spans="1:19" x14ac:dyDescent="0.35">
      <c r="A7701">
        <v>6750</v>
      </c>
      <c r="B7701" t="s">
        <v>35278</v>
      </c>
      <c r="C7701" t="s">
        <v>42</v>
      </c>
      <c r="D7701" t="s">
        <v>35279</v>
      </c>
      <c r="E7701" t="e" cm="1">
        <f t="array" ref="E7701">- ALLOPURINOL</f>
        <v>#NAME?</v>
      </c>
      <c r="F7701" t="s">
        <v>35280</v>
      </c>
      <c r="G7701" t="s">
        <v>5033</v>
      </c>
      <c r="H7701" t="s">
        <v>33716</v>
      </c>
      <c r="I7701" t="s">
        <v>33717</v>
      </c>
      <c r="J7701" t="s">
        <v>2478</v>
      </c>
      <c r="K7701" t="s">
        <v>35246</v>
      </c>
      <c r="L7701" t="s">
        <v>35259</v>
      </c>
      <c r="M7701" t="s">
        <v>46</v>
      </c>
      <c r="N7701" t="s">
        <v>424</v>
      </c>
      <c r="O7701" t="s">
        <v>33720</v>
      </c>
      <c r="P7701" t="s">
        <v>35281</v>
      </c>
      <c r="Q7701" t="s">
        <v>35282</v>
      </c>
      <c r="R7701">
        <v>22</v>
      </c>
      <c r="S7701">
        <v>32</v>
      </c>
    </row>
    <row r="7702" spans="1:19" x14ac:dyDescent="0.35">
      <c r="A7702">
        <v>6749</v>
      </c>
      <c r="B7702" t="s">
        <v>35302</v>
      </c>
      <c r="C7702" t="s">
        <v>42</v>
      </c>
      <c r="D7702" t="s">
        <v>35303</v>
      </c>
      <c r="E7702" t="e" cm="1">
        <f t="array" ref="E7702">- ALLOPURINOL</f>
        <v>#NAME?</v>
      </c>
      <c r="F7702" t="s">
        <v>35304</v>
      </c>
      <c r="G7702" t="s">
        <v>5033</v>
      </c>
      <c r="H7702" t="s">
        <v>33716</v>
      </c>
      <c r="I7702" t="s">
        <v>33717</v>
      </c>
      <c r="J7702" t="s">
        <v>33027</v>
      </c>
      <c r="K7702" t="s">
        <v>35246</v>
      </c>
      <c r="L7702" t="s">
        <v>35247</v>
      </c>
      <c r="M7702" t="s">
        <v>46</v>
      </c>
      <c r="N7702" t="s">
        <v>424</v>
      </c>
      <c r="O7702" t="s">
        <v>33720</v>
      </c>
      <c r="P7702" t="s">
        <v>35281</v>
      </c>
      <c r="Q7702" t="s">
        <v>35282</v>
      </c>
      <c r="R7702">
        <v>22</v>
      </c>
      <c r="S7702">
        <v>32</v>
      </c>
    </row>
    <row r="7703" spans="1:19" x14ac:dyDescent="0.35">
      <c r="A7703">
        <v>6830</v>
      </c>
      <c r="B7703" t="s">
        <v>34994</v>
      </c>
      <c r="C7703" t="s">
        <v>42</v>
      </c>
      <c r="D7703" t="s">
        <v>35305</v>
      </c>
      <c r="E7703" t="e" cm="1">
        <f t="array" ref="E7703">- DICLOFENAC DIETHYLAMINE</f>
        <v>#NAME?</v>
      </c>
      <c r="F7703" t="s">
        <v>35306</v>
      </c>
      <c r="G7703" t="s">
        <v>34997</v>
      </c>
      <c r="H7703" t="s">
        <v>30527</v>
      </c>
      <c r="I7703" t="s">
        <v>34998</v>
      </c>
      <c r="J7703" t="s">
        <v>3197</v>
      </c>
      <c r="K7703" t="s">
        <v>34999</v>
      </c>
      <c r="L7703" t="s">
        <v>35000</v>
      </c>
      <c r="M7703" t="s">
        <v>87</v>
      </c>
      <c r="N7703" t="s">
        <v>1958</v>
      </c>
      <c r="O7703" t="s">
        <v>35001</v>
      </c>
      <c r="P7703" t="s">
        <v>35002</v>
      </c>
      <c r="Q7703" t="s">
        <v>35003</v>
      </c>
      <c r="R7703">
        <v>22</v>
      </c>
      <c r="S7703">
        <v>32</v>
      </c>
    </row>
    <row r="7704" spans="1:19" x14ac:dyDescent="0.35">
      <c r="A7704">
        <v>1069</v>
      </c>
      <c r="B7704" t="s">
        <v>28617</v>
      </c>
      <c r="C7704" t="s">
        <v>42</v>
      </c>
      <c r="D7704" t="s">
        <v>28618</v>
      </c>
      <c r="E7704" t="e" cm="1">
        <f t="array" ref="E7704">- DEXTROMETHORPHAN HYDROBROMIDE. PHENYLPROPANOLAMINE HYDROCHLORIDE. CHLORPHENAMINE MALEATE. PARACETAMOL</f>
        <v>#NAME?</v>
      </c>
      <c r="F7704" t="s">
        <v>28619</v>
      </c>
      <c r="G7704" t="s">
        <v>2241</v>
      </c>
      <c r="H7704" t="s">
        <v>28620</v>
      </c>
      <c r="I7704" t="s">
        <v>28621</v>
      </c>
      <c r="J7704" t="s">
        <v>3797</v>
      </c>
      <c r="K7704" t="s">
        <v>28622</v>
      </c>
      <c r="L7704" t="s">
        <v>28623</v>
      </c>
      <c r="M7704" t="s">
        <v>291</v>
      </c>
      <c r="N7704" t="s">
        <v>35307</v>
      </c>
      <c r="O7704" t="s">
        <v>28624</v>
      </c>
      <c r="P7704" t="s">
        <v>28625</v>
      </c>
      <c r="Q7704" t="s">
        <v>35308</v>
      </c>
      <c r="R7704">
        <v>22</v>
      </c>
      <c r="S7704">
        <v>32</v>
      </c>
    </row>
    <row r="7705" spans="1:19" x14ac:dyDescent="0.35">
      <c r="A7705">
        <v>7339</v>
      </c>
      <c r="B7705" t="s">
        <v>32123</v>
      </c>
      <c r="C7705" t="s">
        <v>42</v>
      </c>
      <c r="D7705" t="s">
        <v>35309</v>
      </c>
      <c r="E7705" t="e" cm="1">
        <f t="array" ref="E7705">- POVIDONE-IODINE</f>
        <v>#NAME?</v>
      </c>
      <c r="F7705" t="s">
        <v>35310</v>
      </c>
      <c r="G7705" t="s">
        <v>32126</v>
      </c>
      <c r="H7705" t="s">
        <v>35311</v>
      </c>
      <c r="I7705" t="s">
        <v>35312</v>
      </c>
      <c r="J7705" t="s">
        <v>374</v>
      </c>
      <c r="K7705" t="s">
        <v>32130</v>
      </c>
      <c r="L7705" t="s">
        <v>32131</v>
      </c>
      <c r="M7705" t="s">
        <v>554</v>
      </c>
      <c r="N7705" t="s">
        <v>555</v>
      </c>
      <c r="O7705" t="s">
        <v>35313</v>
      </c>
      <c r="P7705" t="s">
        <v>32133</v>
      </c>
      <c r="Q7705" t="s">
        <v>35314</v>
      </c>
      <c r="R7705">
        <v>22</v>
      </c>
      <c r="S7705">
        <v>32</v>
      </c>
    </row>
    <row r="7706" spans="1:19" x14ac:dyDescent="0.35">
      <c r="A7706">
        <v>7338</v>
      </c>
      <c r="B7706" t="s">
        <v>32123</v>
      </c>
      <c r="C7706" t="s">
        <v>42</v>
      </c>
      <c r="D7706" t="s">
        <v>35309</v>
      </c>
      <c r="E7706" t="e" cm="1">
        <f t="array" ref="E7706">- POVIDONE-IODINE</f>
        <v>#NAME?</v>
      </c>
      <c r="F7706" t="s">
        <v>35310</v>
      </c>
      <c r="G7706" t="s">
        <v>32126</v>
      </c>
      <c r="H7706" t="s">
        <v>35311</v>
      </c>
      <c r="I7706" t="s">
        <v>35312</v>
      </c>
      <c r="J7706" t="s">
        <v>374</v>
      </c>
      <c r="K7706" t="s">
        <v>32130</v>
      </c>
      <c r="L7706" t="s">
        <v>32131</v>
      </c>
      <c r="M7706" t="s">
        <v>554</v>
      </c>
      <c r="N7706" t="s">
        <v>555</v>
      </c>
      <c r="O7706" t="s">
        <v>35313</v>
      </c>
      <c r="P7706" t="s">
        <v>32133</v>
      </c>
      <c r="Q7706" t="s">
        <v>35314</v>
      </c>
      <c r="R7706">
        <v>22</v>
      </c>
      <c r="S7706">
        <v>32</v>
      </c>
    </row>
    <row r="7707" spans="1:19" x14ac:dyDescent="0.35">
      <c r="A7707">
        <v>7337</v>
      </c>
      <c r="B7707" t="s">
        <v>32123</v>
      </c>
      <c r="C7707" t="s">
        <v>42</v>
      </c>
      <c r="D7707" t="s">
        <v>35309</v>
      </c>
      <c r="E7707" t="e" cm="1">
        <f t="array" ref="E7707">- POVIDONE-IODINE</f>
        <v>#NAME?</v>
      </c>
      <c r="F7707" t="s">
        <v>35310</v>
      </c>
      <c r="G7707" t="s">
        <v>32126</v>
      </c>
      <c r="H7707" t="s">
        <v>35311</v>
      </c>
      <c r="I7707" t="s">
        <v>35312</v>
      </c>
      <c r="J7707" t="s">
        <v>374</v>
      </c>
      <c r="K7707" t="s">
        <v>32130</v>
      </c>
      <c r="L7707" t="s">
        <v>32131</v>
      </c>
      <c r="M7707" t="s">
        <v>554</v>
      </c>
      <c r="N7707" t="s">
        <v>555</v>
      </c>
      <c r="O7707" t="s">
        <v>35313</v>
      </c>
      <c r="P7707" t="s">
        <v>32133</v>
      </c>
      <c r="Q7707" t="s">
        <v>35314</v>
      </c>
      <c r="R7707">
        <v>22</v>
      </c>
      <c r="S7707">
        <v>32</v>
      </c>
    </row>
    <row r="7708" spans="1:19" x14ac:dyDescent="0.35">
      <c r="A7708">
        <v>6779</v>
      </c>
      <c r="B7708" t="s">
        <v>35315</v>
      </c>
      <c r="C7708" t="s">
        <v>42</v>
      </c>
      <c r="D7708" t="s">
        <v>35316</v>
      </c>
      <c r="E7708" t="e" cm="1">
        <f t="array" ref="E7708">- ALLOPURINOL</f>
        <v>#NAME?</v>
      </c>
      <c r="F7708" t="s">
        <v>35317</v>
      </c>
      <c r="G7708" t="s">
        <v>5033</v>
      </c>
      <c r="H7708" t="s">
        <v>33716</v>
      </c>
      <c r="I7708" t="s">
        <v>33717</v>
      </c>
      <c r="J7708" t="s">
        <v>381</v>
      </c>
      <c r="K7708" t="s">
        <v>35246</v>
      </c>
      <c r="L7708" t="s">
        <v>35259</v>
      </c>
      <c r="M7708" t="s">
        <v>46</v>
      </c>
      <c r="N7708" t="s">
        <v>424</v>
      </c>
      <c r="O7708" t="s">
        <v>33720</v>
      </c>
      <c r="P7708" t="s">
        <v>35318</v>
      </c>
      <c r="Q7708" t="s">
        <v>35319</v>
      </c>
      <c r="R7708">
        <v>22</v>
      </c>
      <c r="S7708">
        <v>32</v>
      </c>
    </row>
    <row r="7709" spans="1:19" x14ac:dyDescent="0.35">
      <c r="A7709">
        <v>6788</v>
      </c>
      <c r="B7709" t="s">
        <v>35320</v>
      </c>
      <c r="C7709" t="s">
        <v>42</v>
      </c>
      <c r="D7709" t="s">
        <v>35321</v>
      </c>
      <c r="E7709" t="e" cm="1">
        <f t="array" ref="E7709">- ALLOPURINOL</f>
        <v>#NAME?</v>
      </c>
      <c r="F7709" t="s">
        <v>35322</v>
      </c>
      <c r="G7709" t="s">
        <v>5033</v>
      </c>
      <c r="H7709" t="s">
        <v>33716</v>
      </c>
      <c r="I7709" t="s">
        <v>33717</v>
      </c>
      <c r="J7709" t="s">
        <v>532</v>
      </c>
      <c r="K7709" t="s">
        <v>33718</v>
      </c>
      <c r="L7709" t="s">
        <v>35259</v>
      </c>
      <c r="M7709" t="s">
        <v>46</v>
      </c>
      <c r="N7709" t="s">
        <v>424</v>
      </c>
      <c r="O7709" t="s">
        <v>33720</v>
      </c>
      <c r="P7709" t="s">
        <v>35248</v>
      </c>
      <c r="Q7709" t="s">
        <v>35249</v>
      </c>
      <c r="R7709">
        <v>22</v>
      </c>
      <c r="S7709">
        <v>32</v>
      </c>
    </row>
    <row r="7710" spans="1:19" x14ac:dyDescent="0.35">
      <c r="A7710">
        <v>6831</v>
      </c>
      <c r="B7710" t="s">
        <v>34994</v>
      </c>
      <c r="C7710" t="s">
        <v>42</v>
      </c>
      <c r="D7710" t="s">
        <v>35305</v>
      </c>
      <c r="E7710" t="e" cm="1">
        <f t="array" ref="E7710">- DICLOFENAC DIETHYLAMINE</f>
        <v>#NAME?</v>
      </c>
      <c r="F7710" t="s">
        <v>35306</v>
      </c>
      <c r="G7710" t="s">
        <v>34997</v>
      </c>
      <c r="H7710" t="s">
        <v>30527</v>
      </c>
      <c r="I7710" t="s">
        <v>34998</v>
      </c>
      <c r="J7710" t="s">
        <v>3197</v>
      </c>
      <c r="K7710" t="s">
        <v>34999</v>
      </c>
      <c r="L7710" t="s">
        <v>35000</v>
      </c>
      <c r="M7710" t="s">
        <v>87</v>
      </c>
      <c r="N7710" t="s">
        <v>1958</v>
      </c>
      <c r="O7710" t="s">
        <v>35001</v>
      </c>
      <c r="P7710" t="s">
        <v>35002</v>
      </c>
      <c r="Q7710" t="s">
        <v>35003</v>
      </c>
      <c r="R7710">
        <v>22</v>
      </c>
      <c r="S7710">
        <v>32</v>
      </c>
    </row>
    <row r="7711" spans="1:19" x14ac:dyDescent="0.35">
      <c r="A7711">
        <v>7170</v>
      </c>
      <c r="B7711" t="s">
        <v>35323</v>
      </c>
      <c r="C7711" t="s">
        <v>850</v>
      </c>
      <c r="D7711" t="s">
        <v>35324</v>
      </c>
      <c r="E7711" t="e" cm="1">
        <f t="array" ref="E7711">- Achyrantes Bidentata Radix</f>
        <v>#NAME?</v>
      </c>
      <c r="F7711" t="s">
        <v>35325</v>
      </c>
      <c r="G7711" t="s">
        <v>35326</v>
      </c>
      <c r="H7711" t="s">
        <v>1322</v>
      </c>
      <c r="I7711" t="s">
        <v>35327</v>
      </c>
      <c r="J7711" t="s">
        <v>35328</v>
      </c>
      <c r="L7711" t="s">
        <v>35329</v>
      </c>
      <c r="M7711" t="s">
        <v>2115</v>
      </c>
      <c r="N7711" t="s">
        <v>35330</v>
      </c>
      <c r="O7711" t="s">
        <v>35331</v>
      </c>
      <c r="P7711" t="s">
        <v>35332</v>
      </c>
      <c r="Q7711" t="s">
        <v>35333</v>
      </c>
      <c r="R7711">
        <v>22</v>
      </c>
      <c r="S7711">
        <v>32</v>
      </c>
    </row>
    <row r="7712" spans="1:19" x14ac:dyDescent="0.35">
      <c r="A7712">
        <v>7169</v>
      </c>
      <c r="B7712" t="s">
        <v>35323</v>
      </c>
      <c r="C7712" t="s">
        <v>850</v>
      </c>
      <c r="D7712" t="s">
        <v>35334</v>
      </c>
      <c r="E7712" t="e" cm="1">
        <f t="array" ref="E7712">- Achyrantes Bidentata Radix</f>
        <v>#NAME?</v>
      </c>
      <c r="F7712" t="s">
        <v>35335</v>
      </c>
      <c r="G7712" t="s">
        <v>35326</v>
      </c>
      <c r="H7712" t="s">
        <v>1322</v>
      </c>
      <c r="I7712" t="s">
        <v>35327</v>
      </c>
      <c r="J7712" t="s">
        <v>846</v>
      </c>
      <c r="K7712" t="s">
        <v>4677</v>
      </c>
      <c r="L7712" t="s">
        <v>35329</v>
      </c>
      <c r="M7712" t="s">
        <v>2115</v>
      </c>
      <c r="N7712" t="s">
        <v>35330</v>
      </c>
      <c r="O7712" t="s">
        <v>35331</v>
      </c>
      <c r="P7712" t="s">
        <v>35336</v>
      </c>
      <c r="Q7712" t="s">
        <v>35337</v>
      </c>
      <c r="R7712">
        <v>22</v>
      </c>
      <c r="S7712">
        <v>32</v>
      </c>
    </row>
    <row r="7713" spans="1:19" x14ac:dyDescent="0.35">
      <c r="A7713">
        <v>5933</v>
      </c>
      <c r="B7713" t="s">
        <v>28932</v>
      </c>
      <c r="C7713" t="s">
        <v>42</v>
      </c>
      <c r="D7713" t="s">
        <v>28933</v>
      </c>
      <c r="E7713" t="e" cm="1">
        <f t="array" ref="E7713">- AMOXICILLIN TRIHYDRATE. POTASSIUM CLAVULANATE WITH SILICON DIOXIDE</f>
        <v>#NAME?</v>
      </c>
      <c r="F7713" s="1">
        <v>145700</v>
      </c>
      <c r="G7713" t="s">
        <v>28934</v>
      </c>
      <c r="H7713" t="s">
        <v>28935</v>
      </c>
      <c r="I7713" t="s">
        <v>28936</v>
      </c>
      <c r="J7713" t="s">
        <v>334</v>
      </c>
      <c r="K7713" t="s">
        <v>2726</v>
      </c>
      <c r="L7713" t="s">
        <v>28937</v>
      </c>
      <c r="M7713" t="s">
        <v>271</v>
      </c>
      <c r="N7713" t="s">
        <v>35338</v>
      </c>
      <c r="O7713" t="s">
        <v>28939</v>
      </c>
      <c r="P7713" t="s">
        <v>28940</v>
      </c>
      <c r="Q7713" t="s">
        <v>35339</v>
      </c>
      <c r="R7713">
        <v>22</v>
      </c>
      <c r="S7713">
        <v>32</v>
      </c>
    </row>
    <row r="7714" spans="1:19" x14ac:dyDescent="0.35">
      <c r="A7714">
        <v>1063</v>
      </c>
      <c r="B7714" t="s">
        <v>28135</v>
      </c>
      <c r="C7714" t="s">
        <v>42</v>
      </c>
      <c r="D7714" t="s">
        <v>28136</v>
      </c>
      <c r="E7714" t="e" cm="1">
        <f t="array" ref="E7714">- PARACETAMOL. CHLORPHENAMINE MALEATE. PHENYLPROPANOLAMINE HYDROCHLORIDE. DEXTROMETHORPHAN HYDROBROMIDE</f>
        <v>#NAME?</v>
      </c>
      <c r="F7714" s="1">
        <v>8900</v>
      </c>
      <c r="G7714" t="s">
        <v>2241</v>
      </c>
      <c r="H7714" t="s">
        <v>14671</v>
      </c>
      <c r="I7714" t="s">
        <v>28137</v>
      </c>
      <c r="J7714" t="s">
        <v>28138</v>
      </c>
      <c r="K7714" t="s">
        <v>28139</v>
      </c>
      <c r="L7714" t="s">
        <v>28140</v>
      </c>
      <c r="M7714" t="s">
        <v>291</v>
      </c>
      <c r="N7714" t="s">
        <v>11035</v>
      </c>
      <c r="O7714" t="s">
        <v>28141</v>
      </c>
      <c r="P7714" t="s">
        <v>28142</v>
      </c>
      <c r="Q7714" t="s">
        <v>35340</v>
      </c>
      <c r="R7714">
        <v>22</v>
      </c>
      <c r="S7714">
        <v>32</v>
      </c>
    </row>
    <row r="7715" spans="1:19" x14ac:dyDescent="0.35">
      <c r="A7715">
        <v>6832</v>
      </c>
      <c r="B7715" t="s">
        <v>34994</v>
      </c>
      <c r="C7715" t="s">
        <v>42</v>
      </c>
      <c r="D7715" t="s">
        <v>35305</v>
      </c>
      <c r="E7715" t="e" cm="1">
        <f t="array" ref="E7715">- DICLOFENAC DIETHYLAMINE</f>
        <v>#NAME?</v>
      </c>
      <c r="F7715" t="s">
        <v>35306</v>
      </c>
      <c r="G7715" t="s">
        <v>34997</v>
      </c>
      <c r="H7715" t="s">
        <v>30527</v>
      </c>
      <c r="I7715" t="s">
        <v>34998</v>
      </c>
      <c r="J7715" t="s">
        <v>3197</v>
      </c>
      <c r="K7715" t="s">
        <v>34999</v>
      </c>
      <c r="L7715" t="s">
        <v>35000</v>
      </c>
      <c r="M7715" t="s">
        <v>87</v>
      </c>
      <c r="N7715" t="s">
        <v>1958</v>
      </c>
      <c r="O7715" t="s">
        <v>35001</v>
      </c>
      <c r="P7715" t="s">
        <v>35002</v>
      </c>
      <c r="Q7715" t="s">
        <v>35003</v>
      </c>
      <c r="R7715">
        <v>22</v>
      </c>
      <c r="S7715">
        <v>32</v>
      </c>
    </row>
    <row r="7716" spans="1:19" x14ac:dyDescent="0.35">
      <c r="A7716">
        <v>6816</v>
      </c>
      <c r="B7716" t="s">
        <v>34994</v>
      </c>
      <c r="C7716" t="s">
        <v>42</v>
      </c>
      <c r="D7716" t="s">
        <v>35255</v>
      </c>
      <c r="E7716" t="e" cm="1">
        <f t="array" ref="E7716">- DICLOFENAC DIETHYLAMINE</f>
        <v>#NAME?</v>
      </c>
      <c r="F7716" t="s">
        <v>35256</v>
      </c>
      <c r="G7716" t="s">
        <v>34997</v>
      </c>
      <c r="H7716" t="s">
        <v>30527</v>
      </c>
      <c r="I7716" t="s">
        <v>34998</v>
      </c>
      <c r="J7716" t="s">
        <v>1367</v>
      </c>
      <c r="K7716" t="s">
        <v>34999</v>
      </c>
      <c r="L7716" t="s">
        <v>35000</v>
      </c>
      <c r="M7716" t="s">
        <v>87</v>
      </c>
      <c r="N7716" t="s">
        <v>1958</v>
      </c>
      <c r="O7716" t="s">
        <v>35001</v>
      </c>
      <c r="P7716" t="s">
        <v>35002</v>
      </c>
      <c r="Q7716" t="s">
        <v>35003</v>
      </c>
      <c r="R7716">
        <v>22</v>
      </c>
      <c r="S7716">
        <v>32</v>
      </c>
    </row>
    <row r="7717" spans="1:19" x14ac:dyDescent="0.35">
      <c r="A7717">
        <v>6817</v>
      </c>
      <c r="B7717" t="s">
        <v>34994</v>
      </c>
      <c r="C7717" t="s">
        <v>42</v>
      </c>
      <c r="D7717" t="s">
        <v>35255</v>
      </c>
      <c r="E7717" t="e" cm="1">
        <f t="array" ref="E7717">- DICLOFENAC DIETHYLAMINE</f>
        <v>#NAME?</v>
      </c>
      <c r="F7717" t="s">
        <v>35256</v>
      </c>
      <c r="G7717" t="s">
        <v>34997</v>
      </c>
      <c r="H7717" t="s">
        <v>30527</v>
      </c>
      <c r="I7717" t="s">
        <v>34998</v>
      </c>
      <c r="J7717" t="s">
        <v>1367</v>
      </c>
      <c r="K7717" t="s">
        <v>34999</v>
      </c>
      <c r="L7717" t="s">
        <v>35000</v>
      </c>
      <c r="M7717" t="s">
        <v>87</v>
      </c>
      <c r="N7717" t="s">
        <v>1958</v>
      </c>
      <c r="O7717" t="s">
        <v>35001</v>
      </c>
      <c r="P7717" t="s">
        <v>35002</v>
      </c>
      <c r="Q7717" t="s">
        <v>35003</v>
      </c>
      <c r="R7717">
        <v>22</v>
      </c>
      <c r="S7717">
        <v>32</v>
      </c>
    </row>
    <row r="7718" spans="1:19" x14ac:dyDescent="0.35">
      <c r="A7718">
        <v>6775</v>
      </c>
      <c r="B7718" t="s">
        <v>35341</v>
      </c>
      <c r="C7718" t="s">
        <v>42</v>
      </c>
      <c r="D7718" t="s">
        <v>35342</v>
      </c>
      <c r="E7718" t="e" cm="1">
        <f t="array" ref="E7718">- ALLOPURINOL</f>
        <v>#NAME?</v>
      </c>
      <c r="F7718" t="s">
        <v>35343</v>
      </c>
      <c r="G7718" t="s">
        <v>5033</v>
      </c>
      <c r="H7718" t="s">
        <v>33716</v>
      </c>
      <c r="I7718" t="s">
        <v>33717</v>
      </c>
      <c r="J7718" t="s">
        <v>727</v>
      </c>
      <c r="K7718" t="s">
        <v>35246</v>
      </c>
      <c r="L7718" t="s">
        <v>35259</v>
      </c>
      <c r="M7718" t="s">
        <v>291</v>
      </c>
      <c r="N7718" t="s">
        <v>424</v>
      </c>
      <c r="O7718" t="s">
        <v>33720</v>
      </c>
      <c r="P7718" t="s">
        <v>4902</v>
      </c>
      <c r="Q7718" t="s">
        <v>35344</v>
      </c>
      <c r="R7718">
        <v>22</v>
      </c>
      <c r="S7718">
        <v>32</v>
      </c>
    </row>
    <row r="7719" spans="1:19" x14ac:dyDescent="0.35">
      <c r="A7719">
        <v>6789</v>
      </c>
      <c r="B7719" t="s">
        <v>35320</v>
      </c>
      <c r="C7719" t="s">
        <v>42</v>
      </c>
      <c r="D7719" t="s">
        <v>35321</v>
      </c>
      <c r="E7719" t="e" cm="1">
        <f t="array" ref="E7719">- ALLOPURINOL</f>
        <v>#NAME?</v>
      </c>
      <c r="F7719" t="s">
        <v>35322</v>
      </c>
      <c r="G7719" t="s">
        <v>5033</v>
      </c>
      <c r="H7719" t="s">
        <v>33716</v>
      </c>
      <c r="I7719" t="s">
        <v>33717</v>
      </c>
      <c r="J7719" t="s">
        <v>532</v>
      </c>
      <c r="K7719" t="s">
        <v>33718</v>
      </c>
      <c r="L7719" t="s">
        <v>35259</v>
      </c>
      <c r="M7719" t="s">
        <v>46</v>
      </c>
      <c r="N7719" t="s">
        <v>424</v>
      </c>
      <c r="O7719" t="s">
        <v>33720</v>
      </c>
      <c r="P7719" t="s">
        <v>35248</v>
      </c>
      <c r="Q7719" t="s">
        <v>35249</v>
      </c>
      <c r="R7719">
        <v>22</v>
      </c>
      <c r="S7719">
        <v>32</v>
      </c>
    </row>
    <row r="7720" spans="1:19" x14ac:dyDescent="0.35">
      <c r="A7720">
        <v>6746</v>
      </c>
      <c r="B7720" t="s">
        <v>35302</v>
      </c>
      <c r="C7720" t="s">
        <v>42</v>
      </c>
      <c r="D7720" t="s">
        <v>35303</v>
      </c>
      <c r="E7720" t="e" cm="1">
        <f t="array" ref="E7720">- ALLOPURINOL</f>
        <v>#NAME?</v>
      </c>
      <c r="F7720" t="s">
        <v>35304</v>
      </c>
      <c r="G7720" t="s">
        <v>5033</v>
      </c>
      <c r="H7720" t="s">
        <v>33716</v>
      </c>
      <c r="I7720" t="s">
        <v>33717</v>
      </c>
      <c r="J7720" t="s">
        <v>33027</v>
      </c>
      <c r="K7720" t="s">
        <v>35246</v>
      </c>
      <c r="L7720" t="s">
        <v>35247</v>
      </c>
      <c r="M7720" t="s">
        <v>46</v>
      </c>
      <c r="N7720" t="s">
        <v>424</v>
      </c>
      <c r="O7720" t="s">
        <v>33720</v>
      </c>
      <c r="P7720" t="s">
        <v>35281</v>
      </c>
      <c r="Q7720" t="s">
        <v>35282</v>
      </c>
      <c r="R7720">
        <v>22</v>
      </c>
      <c r="S7720">
        <v>32</v>
      </c>
    </row>
    <row r="7721" spans="1:19" x14ac:dyDescent="0.35">
      <c r="A7721">
        <v>7590</v>
      </c>
      <c r="B7721" t="s">
        <v>33756</v>
      </c>
      <c r="C7721" t="s">
        <v>20</v>
      </c>
      <c r="D7721" t="s">
        <v>35345</v>
      </c>
      <c r="E7721" t="s">
        <v>33758</v>
      </c>
      <c r="F7721" t="s">
        <v>35346</v>
      </c>
      <c r="G7721" t="s">
        <v>29344</v>
      </c>
      <c r="H7721" t="s">
        <v>29345</v>
      </c>
      <c r="I7721" t="s">
        <v>29346</v>
      </c>
      <c r="J7721" t="s">
        <v>6679</v>
      </c>
      <c r="L7721" t="s">
        <v>29347</v>
      </c>
      <c r="M7721" t="s">
        <v>271</v>
      </c>
      <c r="N7721" t="s">
        <v>33760</v>
      </c>
      <c r="O7721" t="s">
        <v>29349</v>
      </c>
      <c r="P7721" t="s">
        <v>35347</v>
      </c>
      <c r="Q7721" t="s">
        <v>35348</v>
      </c>
      <c r="R7721">
        <v>22</v>
      </c>
      <c r="S7721">
        <v>32</v>
      </c>
    </row>
    <row r="7722" spans="1:19" x14ac:dyDescent="0.35">
      <c r="A7722">
        <v>6747</v>
      </c>
      <c r="B7722" t="s">
        <v>35302</v>
      </c>
      <c r="C7722" t="s">
        <v>42</v>
      </c>
      <c r="D7722" t="s">
        <v>35303</v>
      </c>
      <c r="E7722" t="e" cm="1">
        <f t="array" ref="E7722">- ALLOPURINOL</f>
        <v>#NAME?</v>
      </c>
      <c r="F7722" t="s">
        <v>35304</v>
      </c>
      <c r="G7722" t="s">
        <v>5033</v>
      </c>
      <c r="H7722" t="s">
        <v>33716</v>
      </c>
      <c r="I7722" t="s">
        <v>33717</v>
      </c>
      <c r="J7722" t="s">
        <v>33027</v>
      </c>
      <c r="K7722" t="s">
        <v>35246</v>
      </c>
      <c r="L7722" t="s">
        <v>35247</v>
      </c>
      <c r="M7722" t="s">
        <v>46</v>
      </c>
      <c r="N7722" t="s">
        <v>424</v>
      </c>
      <c r="O7722" t="s">
        <v>33720</v>
      </c>
      <c r="P7722" t="s">
        <v>35281</v>
      </c>
      <c r="Q7722" t="s">
        <v>35282</v>
      </c>
      <c r="R7722">
        <v>22</v>
      </c>
      <c r="S7722">
        <v>32</v>
      </c>
    </row>
    <row r="7723" spans="1:19" x14ac:dyDescent="0.35">
      <c r="A7723">
        <v>6748</v>
      </c>
      <c r="B7723" t="s">
        <v>35302</v>
      </c>
      <c r="C7723" t="s">
        <v>42</v>
      </c>
      <c r="D7723" t="s">
        <v>35303</v>
      </c>
      <c r="E7723" t="e" cm="1">
        <f t="array" ref="E7723">- ALLOPURINOL</f>
        <v>#NAME?</v>
      </c>
      <c r="F7723" t="s">
        <v>35304</v>
      </c>
      <c r="G7723" t="s">
        <v>5033</v>
      </c>
      <c r="H7723" t="s">
        <v>33716</v>
      </c>
      <c r="I7723" t="s">
        <v>33717</v>
      </c>
      <c r="J7723" t="s">
        <v>33027</v>
      </c>
      <c r="K7723" t="s">
        <v>35246</v>
      </c>
      <c r="L7723" t="s">
        <v>35247</v>
      </c>
      <c r="M7723" t="s">
        <v>46</v>
      </c>
      <c r="N7723" t="s">
        <v>424</v>
      </c>
      <c r="O7723" t="s">
        <v>33720</v>
      </c>
      <c r="P7723" t="s">
        <v>35281</v>
      </c>
      <c r="Q7723" t="s">
        <v>35282</v>
      </c>
      <c r="R7723">
        <v>22</v>
      </c>
      <c r="S7723">
        <v>32</v>
      </c>
    </row>
    <row r="7724" spans="1:19" x14ac:dyDescent="0.35">
      <c r="A7724">
        <v>6958</v>
      </c>
      <c r="B7724" t="s">
        <v>1803</v>
      </c>
      <c r="C7724" t="s">
        <v>42</v>
      </c>
      <c r="D7724" t="s">
        <v>35349</v>
      </c>
      <c r="E7724" t="e" cm="1">
        <f t="array" ref="E7724">- TIZANIDINE HYDROCHLORIDE</f>
        <v>#NAME?</v>
      </c>
      <c r="F7724" s="1">
        <v>12000</v>
      </c>
      <c r="G7724" t="s">
        <v>35350</v>
      </c>
      <c r="H7724" t="s">
        <v>1322</v>
      </c>
      <c r="I7724" t="s">
        <v>35351</v>
      </c>
      <c r="J7724" t="s">
        <v>35352</v>
      </c>
      <c r="L7724" t="s">
        <v>35353</v>
      </c>
      <c r="M7724" t="s">
        <v>46</v>
      </c>
      <c r="N7724" t="s">
        <v>1806</v>
      </c>
      <c r="O7724" t="s">
        <v>35354</v>
      </c>
      <c r="P7724" t="s">
        <v>5358</v>
      </c>
      <c r="Q7724" t="s">
        <v>35355</v>
      </c>
      <c r="R7724">
        <v>22</v>
      </c>
      <c r="S7724">
        <v>32</v>
      </c>
    </row>
    <row r="7725" spans="1:19" x14ac:dyDescent="0.35">
      <c r="A7725">
        <v>6840</v>
      </c>
      <c r="B7725" t="s">
        <v>34994</v>
      </c>
      <c r="C7725" t="s">
        <v>42</v>
      </c>
      <c r="D7725" t="s">
        <v>34995</v>
      </c>
      <c r="E7725" t="e" cm="1">
        <f t="array" ref="E7725">- DICLOFENAC DIETHYLAMINE</f>
        <v>#NAME?</v>
      </c>
      <c r="F7725" t="s">
        <v>34996</v>
      </c>
      <c r="G7725" t="s">
        <v>34997</v>
      </c>
      <c r="H7725" t="s">
        <v>30527</v>
      </c>
      <c r="I7725" t="s">
        <v>34998</v>
      </c>
      <c r="J7725" t="s">
        <v>2040</v>
      </c>
      <c r="K7725" t="s">
        <v>34999</v>
      </c>
      <c r="L7725" t="s">
        <v>35000</v>
      </c>
      <c r="M7725" t="s">
        <v>87</v>
      </c>
      <c r="N7725" t="s">
        <v>1958</v>
      </c>
      <c r="O7725" t="s">
        <v>35001</v>
      </c>
      <c r="P7725" t="s">
        <v>35002</v>
      </c>
      <c r="Q7725" t="s">
        <v>35003</v>
      </c>
      <c r="R7725">
        <v>22</v>
      </c>
      <c r="S7725">
        <v>32</v>
      </c>
    </row>
    <row r="7726" spans="1:19" x14ac:dyDescent="0.35">
      <c r="A7726">
        <v>6839</v>
      </c>
      <c r="B7726" t="s">
        <v>34994</v>
      </c>
      <c r="C7726" t="s">
        <v>42</v>
      </c>
      <c r="D7726" t="s">
        <v>35305</v>
      </c>
      <c r="E7726" t="e" cm="1">
        <f t="array" ref="E7726">- DICLOFENAC DIETHYLAMINE</f>
        <v>#NAME?</v>
      </c>
      <c r="F7726" t="s">
        <v>35306</v>
      </c>
      <c r="G7726" t="s">
        <v>34997</v>
      </c>
      <c r="H7726" t="s">
        <v>30527</v>
      </c>
      <c r="I7726" t="s">
        <v>34998</v>
      </c>
      <c r="J7726" t="s">
        <v>3197</v>
      </c>
      <c r="K7726" t="s">
        <v>34999</v>
      </c>
      <c r="L7726" t="s">
        <v>35000</v>
      </c>
      <c r="M7726" t="s">
        <v>87</v>
      </c>
      <c r="N7726" t="s">
        <v>1958</v>
      </c>
      <c r="O7726" t="s">
        <v>35001</v>
      </c>
      <c r="P7726" t="s">
        <v>35002</v>
      </c>
      <c r="Q7726" t="s">
        <v>35003</v>
      </c>
      <c r="R7726">
        <v>22</v>
      </c>
      <c r="S7726">
        <v>32</v>
      </c>
    </row>
    <row r="7727" spans="1:19" x14ac:dyDescent="0.35">
      <c r="A7727">
        <v>6838</v>
      </c>
      <c r="B7727" t="s">
        <v>34994</v>
      </c>
      <c r="C7727" t="s">
        <v>42</v>
      </c>
      <c r="D7727" t="s">
        <v>35305</v>
      </c>
      <c r="E7727" t="e" cm="1">
        <f t="array" ref="E7727">- DICLOFENAC DIETHYLAMINE</f>
        <v>#NAME?</v>
      </c>
      <c r="F7727" t="s">
        <v>35306</v>
      </c>
      <c r="G7727" t="s">
        <v>34997</v>
      </c>
      <c r="H7727" t="s">
        <v>30527</v>
      </c>
      <c r="I7727" t="s">
        <v>34998</v>
      </c>
      <c r="J7727" t="s">
        <v>3197</v>
      </c>
      <c r="K7727" t="s">
        <v>34999</v>
      </c>
      <c r="L7727" t="s">
        <v>35000</v>
      </c>
      <c r="M7727" t="s">
        <v>87</v>
      </c>
      <c r="N7727" t="s">
        <v>1958</v>
      </c>
      <c r="O7727" t="s">
        <v>35001</v>
      </c>
      <c r="P7727" t="s">
        <v>35002</v>
      </c>
      <c r="Q7727" t="s">
        <v>35003</v>
      </c>
      <c r="R7727">
        <v>22</v>
      </c>
      <c r="S7727">
        <v>32</v>
      </c>
    </row>
    <row r="7728" spans="1:19" x14ac:dyDescent="0.35">
      <c r="A7728">
        <v>6833</v>
      </c>
      <c r="B7728" t="s">
        <v>34994</v>
      </c>
      <c r="C7728" t="s">
        <v>42</v>
      </c>
      <c r="D7728" t="s">
        <v>35305</v>
      </c>
      <c r="E7728" t="e" cm="1">
        <f t="array" ref="E7728">- DICLOFENAC DIETHYLAMINE</f>
        <v>#NAME?</v>
      </c>
      <c r="F7728" t="s">
        <v>35306</v>
      </c>
      <c r="G7728" t="s">
        <v>34997</v>
      </c>
      <c r="H7728" t="s">
        <v>30527</v>
      </c>
      <c r="I7728" t="s">
        <v>34998</v>
      </c>
      <c r="J7728" t="s">
        <v>3197</v>
      </c>
      <c r="K7728" t="s">
        <v>34999</v>
      </c>
      <c r="L7728" t="s">
        <v>35000</v>
      </c>
      <c r="M7728" t="s">
        <v>87</v>
      </c>
      <c r="N7728" t="s">
        <v>1958</v>
      </c>
      <c r="O7728" t="s">
        <v>35001</v>
      </c>
      <c r="P7728" t="s">
        <v>35002</v>
      </c>
      <c r="Q7728" t="s">
        <v>35003</v>
      </c>
      <c r="R7728">
        <v>22</v>
      </c>
      <c r="S7728">
        <v>32</v>
      </c>
    </row>
    <row r="7729" spans="1:19" x14ac:dyDescent="0.35">
      <c r="A7729">
        <v>6942</v>
      </c>
      <c r="B7729" t="s">
        <v>1803</v>
      </c>
      <c r="C7729" t="s">
        <v>42</v>
      </c>
      <c r="D7729" t="s">
        <v>35356</v>
      </c>
      <c r="E7729" t="e" cm="1">
        <f t="array" ref="E7729">- TIZANIDINE HYDROCHLORIDE</f>
        <v>#NAME?</v>
      </c>
      <c r="F7729" t="s">
        <v>35357</v>
      </c>
      <c r="G7729" t="s">
        <v>35358</v>
      </c>
      <c r="I7729" t="s">
        <v>31064</v>
      </c>
      <c r="J7729" t="s">
        <v>35359</v>
      </c>
      <c r="M7729" t="s">
        <v>46</v>
      </c>
      <c r="N7729" t="s">
        <v>1806</v>
      </c>
      <c r="O7729" t="s">
        <v>31066</v>
      </c>
      <c r="P7729" t="s">
        <v>35360</v>
      </c>
      <c r="Q7729" t="s">
        <v>35361</v>
      </c>
      <c r="R7729">
        <v>22</v>
      </c>
      <c r="S7729">
        <v>32</v>
      </c>
    </row>
    <row r="7730" spans="1:19" x14ac:dyDescent="0.35">
      <c r="A7730">
        <v>6943</v>
      </c>
      <c r="B7730" t="s">
        <v>1803</v>
      </c>
      <c r="C7730" t="s">
        <v>42</v>
      </c>
      <c r="D7730" t="s">
        <v>35362</v>
      </c>
      <c r="E7730" t="e" cm="1">
        <f t="array" ref="E7730">- TIZANIDINE HYDROCHLORIDE</f>
        <v>#NAME?</v>
      </c>
      <c r="F7730" t="s">
        <v>23790</v>
      </c>
      <c r="G7730" t="s">
        <v>35363</v>
      </c>
      <c r="I7730" t="s">
        <v>31064</v>
      </c>
      <c r="J7730" t="s">
        <v>35359</v>
      </c>
      <c r="M7730" t="s">
        <v>46</v>
      </c>
      <c r="N7730" t="s">
        <v>1806</v>
      </c>
      <c r="O7730" t="s">
        <v>31066</v>
      </c>
      <c r="P7730" t="s">
        <v>35364</v>
      </c>
      <c r="Q7730" t="s">
        <v>35365</v>
      </c>
      <c r="R7730">
        <v>22</v>
      </c>
      <c r="S7730">
        <v>32</v>
      </c>
    </row>
    <row r="7731" spans="1:19" x14ac:dyDescent="0.35">
      <c r="A7731">
        <v>6771</v>
      </c>
      <c r="B7731" t="s">
        <v>35366</v>
      </c>
      <c r="C7731" t="s">
        <v>42</v>
      </c>
      <c r="D7731" t="s">
        <v>35367</v>
      </c>
      <c r="E7731" t="e" cm="1">
        <f t="array" ref="E7731">- ALLOPURINOL</f>
        <v>#NAME?</v>
      </c>
      <c r="F7731" t="s">
        <v>35368</v>
      </c>
      <c r="G7731" t="s">
        <v>5033</v>
      </c>
      <c r="H7731" t="s">
        <v>33716</v>
      </c>
      <c r="I7731" t="s">
        <v>33717</v>
      </c>
      <c r="J7731" t="s">
        <v>381</v>
      </c>
      <c r="K7731" t="s">
        <v>35246</v>
      </c>
      <c r="L7731" t="s">
        <v>35247</v>
      </c>
      <c r="M7731" t="s">
        <v>46</v>
      </c>
      <c r="N7731" t="s">
        <v>424</v>
      </c>
      <c r="O7731" t="s">
        <v>33720</v>
      </c>
      <c r="P7731" t="s">
        <v>35369</v>
      </c>
      <c r="Q7731" t="s">
        <v>35370</v>
      </c>
      <c r="R7731">
        <v>22</v>
      </c>
      <c r="S7731">
        <v>32</v>
      </c>
    </row>
    <row r="7732" spans="1:19" x14ac:dyDescent="0.35">
      <c r="A7732">
        <v>6952</v>
      </c>
      <c r="B7732" t="s">
        <v>1803</v>
      </c>
      <c r="C7732" t="s">
        <v>42</v>
      </c>
      <c r="D7732" t="s">
        <v>35371</v>
      </c>
      <c r="E7732" t="e" cm="1">
        <f t="array" ref="E7732">- TIZANIDINE HYDROCHLORIDE</f>
        <v>#NAME?</v>
      </c>
      <c r="F7732" t="s">
        <v>35372</v>
      </c>
      <c r="G7732" t="s">
        <v>35373</v>
      </c>
      <c r="I7732" t="s">
        <v>35374</v>
      </c>
      <c r="J7732" t="s">
        <v>35375</v>
      </c>
      <c r="M7732" t="s">
        <v>46</v>
      </c>
      <c r="N7732" t="s">
        <v>1806</v>
      </c>
      <c r="O7732" t="s">
        <v>35376</v>
      </c>
      <c r="P7732" t="s">
        <v>35377</v>
      </c>
      <c r="Q7732" t="s">
        <v>35378</v>
      </c>
      <c r="R7732">
        <v>22</v>
      </c>
      <c r="S7732">
        <v>32</v>
      </c>
    </row>
    <row r="7733" spans="1:19" x14ac:dyDescent="0.35">
      <c r="A7733">
        <v>6770</v>
      </c>
      <c r="B7733" t="s">
        <v>35366</v>
      </c>
      <c r="C7733" t="s">
        <v>42</v>
      </c>
      <c r="D7733" t="s">
        <v>35367</v>
      </c>
      <c r="E7733" t="e" cm="1">
        <f t="array" ref="E7733">- ALLOPURINOL</f>
        <v>#NAME?</v>
      </c>
      <c r="F7733" t="s">
        <v>35368</v>
      </c>
      <c r="G7733" t="s">
        <v>5033</v>
      </c>
      <c r="H7733" t="s">
        <v>33716</v>
      </c>
      <c r="I7733" t="s">
        <v>33717</v>
      </c>
      <c r="J7733" t="s">
        <v>381</v>
      </c>
      <c r="K7733" t="s">
        <v>35246</v>
      </c>
      <c r="L7733" t="s">
        <v>35247</v>
      </c>
      <c r="M7733" t="s">
        <v>46</v>
      </c>
      <c r="N7733" t="s">
        <v>424</v>
      </c>
      <c r="O7733" t="s">
        <v>33720</v>
      </c>
      <c r="P7733" t="s">
        <v>35369</v>
      </c>
      <c r="Q7733" t="s">
        <v>35370</v>
      </c>
      <c r="R7733">
        <v>22</v>
      </c>
      <c r="S7733">
        <v>32</v>
      </c>
    </row>
    <row r="7734" spans="1:19" x14ac:dyDescent="0.35">
      <c r="A7734">
        <v>6769</v>
      </c>
      <c r="B7734" t="s">
        <v>35379</v>
      </c>
      <c r="C7734" t="s">
        <v>42</v>
      </c>
      <c r="D7734" t="s">
        <v>35380</v>
      </c>
      <c r="E7734" t="e" cm="1">
        <f t="array" ref="E7734">- ALLOPURINOL</f>
        <v>#NAME?</v>
      </c>
      <c r="F7734" s="1">
        <v>44900</v>
      </c>
      <c r="G7734" t="s">
        <v>5033</v>
      </c>
      <c r="H7734" t="s">
        <v>33716</v>
      </c>
      <c r="I7734" t="s">
        <v>33717</v>
      </c>
      <c r="J7734" t="s">
        <v>532</v>
      </c>
      <c r="K7734" t="s">
        <v>35246</v>
      </c>
      <c r="L7734" t="s">
        <v>35259</v>
      </c>
      <c r="M7734" t="s">
        <v>46</v>
      </c>
      <c r="N7734" t="s">
        <v>424</v>
      </c>
      <c r="O7734" t="s">
        <v>33720</v>
      </c>
      <c r="P7734" t="s">
        <v>35381</v>
      </c>
      <c r="Q7734" t="s">
        <v>35382</v>
      </c>
      <c r="R7734">
        <v>22</v>
      </c>
      <c r="S7734">
        <v>32</v>
      </c>
    </row>
    <row r="7735" spans="1:19" x14ac:dyDescent="0.35">
      <c r="A7735">
        <v>686</v>
      </c>
      <c r="B7735" t="s">
        <v>27244</v>
      </c>
      <c r="C7735" t="s">
        <v>20</v>
      </c>
      <c r="D7735" t="s">
        <v>35383</v>
      </c>
      <c r="E7735" t="s">
        <v>27246</v>
      </c>
      <c r="F7735" t="s">
        <v>35384</v>
      </c>
      <c r="G7735" t="s">
        <v>35385</v>
      </c>
      <c r="H7735" t="s">
        <v>27249</v>
      </c>
      <c r="I7735" t="s">
        <v>35386</v>
      </c>
      <c r="J7735" t="s">
        <v>334</v>
      </c>
      <c r="K7735" t="s">
        <v>2858</v>
      </c>
      <c r="L7735" t="s">
        <v>27014</v>
      </c>
      <c r="M7735" t="s">
        <v>2115</v>
      </c>
      <c r="N7735" t="s">
        <v>27251</v>
      </c>
      <c r="O7735" t="s">
        <v>35387</v>
      </c>
      <c r="P7735" t="s">
        <v>27253</v>
      </c>
      <c r="Q7735" t="s">
        <v>35388</v>
      </c>
      <c r="R7735">
        <v>22</v>
      </c>
      <c r="S7735">
        <v>32</v>
      </c>
    </row>
    <row r="7736" spans="1:19" x14ac:dyDescent="0.35">
      <c r="A7736">
        <v>6802</v>
      </c>
      <c r="B7736" t="s">
        <v>35389</v>
      </c>
      <c r="C7736" t="s">
        <v>42</v>
      </c>
      <c r="D7736" t="s">
        <v>35390</v>
      </c>
      <c r="E7736" t="e" cm="1">
        <f t="array" ref="E7736">- ALLOPURINOL</f>
        <v>#NAME?</v>
      </c>
      <c r="F7736" t="s">
        <v>35391</v>
      </c>
      <c r="G7736" t="s">
        <v>6135</v>
      </c>
      <c r="H7736" t="s">
        <v>35392</v>
      </c>
      <c r="I7736" t="s">
        <v>35393</v>
      </c>
      <c r="J7736" t="s">
        <v>35394</v>
      </c>
      <c r="K7736" t="s">
        <v>35395</v>
      </c>
      <c r="L7736" t="s">
        <v>35396</v>
      </c>
      <c r="M7736" t="s">
        <v>46</v>
      </c>
      <c r="N7736" t="s">
        <v>424</v>
      </c>
      <c r="O7736" t="s">
        <v>35397</v>
      </c>
      <c r="P7736" t="s">
        <v>35398</v>
      </c>
      <c r="Q7736" t="s">
        <v>35399</v>
      </c>
      <c r="R7736">
        <v>22</v>
      </c>
      <c r="S7736">
        <v>32</v>
      </c>
    </row>
    <row r="7737" spans="1:19" x14ac:dyDescent="0.35">
      <c r="A7737">
        <v>6768</v>
      </c>
      <c r="B7737" t="s">
        <v>35379</v>
      </c>
      <c r="C7737" t="s">
        <v>42</v>
      </c>
      <c r="D7737" t="s">
        <v>35380</v>
      </c>
      <c r="E7737" t="e" cm="1">
        <f t="array" ref="E7737">- ALLOPURINOL</f>
        <v>#NAME?</v>
      </c>
      <c r="F7737" s="1">
        <v>44900</v>
      </c>
      <c r="G7737" t="s">
        <v>5033</v>
      </c>
      <c r="H7737" t="s">
        <v>33716</v>
      </c>
      <c r="I7737" t="s">
        <v>33717</v>
      </c>
      <c r="J7737" t="s">
        <v>532</v>
      </c>
      <c r="K7737" t="s">
        <v>35246</v>
      </c>
      <c r="L7737" t="s">
        <v>35259</v>
      </c>
      <c r="M7737" t="s">
        <v>46</v>
      </c>
      <c r="N7737" t="s">
        <v>424</v>
      </c>
      <c r="O7737" t="s">
        <v>33720</v>
      </c>
      <c r="P7737" t="s">
        <v>35381</v>
      </c>
      <c r="Q7737" t="s">
        <v>35382</v>
      </c>
      <c r="R7737">
        <v>22</v>
      </c>
      <c r="S7737">
        <v>32</v>
      </c>
    </row>
    <row r="7738" spans="1:19" x14ac:dyDescent="0.35">
      <c r="A7738">
        <v>6767</v>
      </c>
      <c r="B7738" t="s">
        <v>35379</v>
      </c>
      <c r="C7738" t="s">
        <v>42</v>
      </c>
      <c r="D7738" t="s">
        <v>35380</v>
      </c>
      <c r="E7738" t="e" cm="1">
        <f t="array" ref="E7738">- ALLOPURINOL</f>
        <v>#NAME?</v>
      </c>
      <c r="F7738" s="1">
        <v>44900</v>
      </c>
      <c r="G7738" t="s">
        <v>5033</v>
      </c>
      <c r="H7738" t="s">
        <v>33716</v>
      </c>
      <c r="I7738" t="s">
        <v>33717</v>
      </c>
      <c r="J7738" t="s">
        <v>532</v>
      </c>
      <c r="K7738" t="s">
        <v>35246</v>
      </c>
      <c r="L7738" t="s">
        <v>35259</v>
      </c>
      <c r="M7738" t="s">
        <v>46</v>
      </c>
      <c r="N7738" t="s">
        <v>424</v>
      </c>
      <c r="O7738" t="s">
        <v>33720</v>
      </c>
      <c r="P7738" t="s">
        <v>35381</v>
      </c>
      <c r="Q7738" t="s">
        <v>35382</v>
      </c>
      <c r="R7738">
        <v>22</v>
      </c>
      <c r="S7738">
        <v>32</v>
      </c>
    </row>
    <row r="7739" spans="1:19" x14ac:dyDescent="0.35">
      <c r="A7739">
        <v>6766</v>
      </c>
      <c r="B7739" t="s">
        <v>35400</v>
      </c>
      <c r="C7739" t="s">
        <v>42</v>
      </c>
      <c r="D7739" t="s">
        <v>35401</v>
      </c>
      <c r="E7739" t="e" cm="1">
        <f t="array" ref="E7739">- ALLOPURINOL</f>
        <v>#NAME?</v>
      </c>
      <c r="F7739" t="s">
        <v>35402</v>
      </c>
      <c r="G7739" t="s">
        <v>5033</v>
      </c>
      <c r="H7739" t="s">
        <v>33716</v>
      </c>
      <c r="I7739" t="s">
        <v>33717</v>
      </c>
      <c r="J7739" t="s">
        <v>381</v>
      </c>
      <c r="K7739" t="s">
        <v>35246</v>
      </c>
      <c r="L7739" t="s">
        <v>35259</v>
      </c>
      <c r="M7739" t="s">
        <v>46</v>
      </c>
      <c r="N7739" t="s">
        <v>424</v>
      </c>
      <c r="O7739" t="s">
        <v>33720</v>
      </c>
      <c r="P7739" t="s">
        <v>35403</v>
      </c>
      <c r="Q7739" t="s">
        <v>35404</v>
      </c>
      <c r="R7739">
        <v>22</v>
      </c>
      <c r="S7739">
        <v>32</v>
      </c>
    </row>
    <row r="7740" spans="1:19" x14ac:dyDescent="0.35">
      <c r="A7740">
        <v>6827</v>
      </c>
      <c r="B7740" t="s">
        <v>34994</v>
      </c>
      <c r="C7740" t="s">
        <v>42</v>
      </c>
      <c r="D7740" t="s">
        <v>35255</v>
      </c>
      <c r="E7740" t="e" cm="1">
        <f t="array" ref="E7740">- DICLOFENAC DIETHYLAMINE</f>
        <v>#NAME?</v>
      </c>
      <c r="F7740" t="s">
        <v>35256</v>
      </c>
      <c r="G7740" t="s">
        <v>34997</v>
      </c>
      <c r="H7740" t="s">
        <v>30527</v>
      </c>
      <c r="I7740" t="s">
        <v>34998</v>
      </c>
      <c r="J7740" t="s">
        <v>1367</v>
      </c>
      <c r="K7740" t="s">
        <v>34999</v>
      </c>
      <c r="L7740" t="s">
        <v>35000</v>
      </c>
      <c r="M7740" t="s">
        <v>87</v>
      </c>
      <c r="N7740" t="s">
        <v>1958</v>
      </c>
      <c r="O7740" t="s">
        <v>35001</v>
      </c>
      <c r="P7740" t="s">
        <v>35002</v>
      </c>
      <c r="Q7740" t="s">
        <v>35003</v>
      </c>
      <c r="R7740">
        <v>22</v>
      </c>
      <c r="S7740">
        <v>32</v>
      </c>
    </row>
    <row r="7741" spans="1:19" x14ac:dyDescent="0.35">
      <c r="A7741">
        <v>6761</v>
      </c>
      <c r="B7741" t="s">
        <v>35405</v>
      </c>
      <c r="C7741" t="s">
        <v>42</v>
      </c>
      <c r="D7741" t="s">
        <v>35406</v>
      </c>
      <c r="E7741" t="e" cm="1">
        <f t="array" ref="E7741">- ALLOPURINOL</f>
        <v>#NAME?</v>
      </c>
      <c r="F7741" t="s">
        <v>35407</v>
      </c>
      <c r="G7741" t="s">
        <v>5033</v>
      </c>
      <c r="H7741" t="s">
        <v>33716</v>
      </c>
      <c r="I7741" t="s">
        <v>33717</v>
      </c>
      <c r="J7741" t="s">
        <v>381</v>
      </c>
      <c r="K7741" t="s">
        <v>35246</v>
      </c>
      <c r="L7741" t="s">
        <v>35247</v>
      </c>
      <c r="M7741" t="s">
        <v>46</v>
      </c>
      <c r="N7741" t="s">
        <v>424</v>
      </c>
      <c r="O7741" t="s">
        <v>33720</v>
      </c>
      <c r="P7741" t="s">
        <v>35318</v>
      </c>
      <c r="Q7741" t="s">
        <v>35319</v>
      </c>
      <c r="R7741">
        <v>22</v>
      </c>
      <c r="S7741">
        <v>32</v>
      </c>
    </row>
    <row r="7742" spans="1:19" x14ac:dyDescent="0.35">
      <c r="A7742">
        <v>6826</v>
      </c>
      <c r="B7742" t="s">
        <v>34994</v>
      </c>
      <c r="C7742" t="s">
        <v>42</v>
      </c>
      <c r="D7742" t="s">
        <v>35255</v>
      </c>
      <c r="E7742" t="e" cm="1">
        <f t="array" ref="E7742">- DICLOFENAC DIETHYLAMINE</f>
        <v>#NAME?</v>
      </c>
      <c r="F7742" t="s">
        <v>35256</v>
      </c>
      <c r="G7742" t="s">
        <v>34997</v>
      </c>
      <c r="H7742" t="s">
        <v>30527</v>
      </c>
      <c r="I7742" t="s">
        <v>34998</v>
      </c>
      <c r="J7742" t="s">
        <v>1367</v>
      </c>
      <c r="K7742" t="s">
        <v>34999</v>
      </c>
      <c r="L7742" t="s">
        <v>35000</v>
      </c>
      <c r="M7742" t="s">
        <v>87</v>
      </c>
      <c r="N7742" t="s">
        <v>1958</v>
      </c>
      <c r="O7742" t="s">
        <v>35001</v>
      </c>
      <c r="P7742" t="s">
        <v>35002</v>
      </c>
      <c r="Q7742" t="s">
        <v>35003</v>
      </c>
      <c r="R7742">
        <v>22</v>
      </c>
      <c r="S7742">
        <v>32</v>
      </c>
    </row>
    <row r="7743" spans="1:19" x14ac:dyDescent="0.35">
      <c r="A7743">
        <v>6825</v>
      </c>
      <c r="B7743" t="s">
        <v>34994</v>
      </c>
      <c r="C7743" t="s">
        <v>42</v>
      </c>
      <c r="D7743" t="s">
        <v>35255</v>
      </c>
      <c r="E7743" t="e" cm="1">
        <f t="array" ref="E7743">- DICLOFENAC DIETHYLAMINE</f>
        <v>#NAME?</v>
      </c>
      <c r="F7743" t="s">
        <v>35256</v>
      </c>
      <c r="G7743" t="s">
        <v>34997</v>
      </c>
      <c r="H7743" t="s">
        <v>30527</v>
      </c>
      <c r="I7743" t="s">
        <v>34998</v>
      </c>
      <c r="J7743" t="s">
        <v>1367</v>
      </c>
      <c r="K7743" t="s">
        <v>34999</v>
      </c>
      <c r="L7743" t="s">
        <v>35000</v>
      </c>
      <c r="M7743" t="s">
        <v>87</v>
      </c>
      <c r="N7743" t="s">
        <v>1958</v>
      </c>
      <c r="O7743" t="s">
        <v>35001</v>
      </c>
      <c r="P7743" t="s">
        <v>35002</v>
      </c>
      <c r="Q7743" t="s">
        <v>35003</v>
      </c>
      <c r="R7743">
        <v>22</v>
      </c>
      <c r="S7743">
        <v>32</v>
      </c>
    </row>
    <row r="7744" spans="1:19" x14ac:dyDescent="0.35">
      <c r="A7744">
        <v>5940</v>
      </c>
      <c r="B7744" t="s">
        <v>35408</v>
      </c>
      <c r="C7744" t="s">
        <v>42</v>
      </c>
      <c r="D7744" t="s">
        <v>35409</v>
      </c>
      <c r="E7744" t="e" cm="1">
        <f t="array" ref="E7744">- AMOXICILLIN</f>
        <v>#NAME?</v>
      </c>
      <c r="F7744" t="s">
        <v>35410</v>
      </c>
      <c r="G7744" t="s">
        <v>2241</v>
      </c>
      <c r="H7744" t="s">
        <v>269</v>
      </c>
      <c r="I7744" t="s">
        <v>35411</v>
      </c>
      <c r="J7744" t="s">
        <v>846</v>
      </c>
      <c r="K7744" t="s">
        <v>19724</v>
      </c>
      <c r="L7744" t="s">
        <v>270</v>
      </c>
      <c r="M7744" t="s">
        <v>271</v>
      </c>
      <c r="N7744" t="s">
        <v>505</v>
      </c>
      <c r="O7744" t="s">
        <v>35412</v>
      </c>
      <c r="P7744" t="s">
        <v>35413</v>
      </c>
      <c r="Q7744" t="s">
        <v>35414</v>
      </c>
      <c r="R7744">
        <v>22</v>
      </c>
      <c r="S7744">
        <v>32</v>
      </c>
    </row>
    <row r="7745" spans="1:19" x14ac:dyDescent="0.35">
      <c r="A7745">
        <v>6801</v>
      </c>
      <c r="B7745" t="s">
        <v>35273</v>
      </c>
      <c r="C7745" t="s">
        <v>42</v>
      </c>
      <c r="D7745" t="s">
        <v>35274</v>
      </c>
      <c r="E7745" t="e" cm="1">
        <f t="array" ref="E7745">- ALLOPURINOL</f>
        <v>#NAME?</v>
      </c>
      <c r="F7745" t="s">
        <v>35275</v>
      </c>
      <c r="G7745" t="s">
        <v>5033</v>
      </c>
      <c r="H7745" t="s">
        <v>33716</v>
      </c>
      <c r="I7745" t="s">
        <v>33717</v>
      </c>
      <c r="J7745" t="s">
        <v>381</v>
      </c>
      <c r="K7745" t="s">
        <v>35246</v>
      </c>
      <c r="L7745" t="s">
        <v>35259</v>
      </c>
      <c r="M7745" t="s">
        <v>46</v>
      </c>
      <c r="N7745" t="s">
        <v>424</v>
      </c>
      <c r="O7745" t="s">
        <v>33720</v>
      </c>
      <c r="P7745" t="s">
        <v>35276</v>
      </c>
      <c r="Q7745" t="s">
        <v>35277</v>
      </c>
      <c r="R7745">
        <v>22</v>
      </c>
      <c r="S7745">
        <v>32</v>
      </c>
    </row>
    <row r="7746" spans="1:19" x14ac:dyDescent="0.35">
      <c r="A7746">
        <v>5705</v>
      </c>
      <c r="B7746" t="s">
        <v>34376</v>
      </c>
      <c r="C7746" t="s">
        <v>42</v>
      </c>
      <c r="D7746" t="s">
        <v>34377</v>
      </c>
      <c r="E7746" t="e" cm="1">
        <f t="array" ref="E7746">- SULFAMETHOXAZOLE. TRIMETHOPRIM</f>
        <v>#NAME?</v>
      </c>
      <c r="F7746" t="s">
        <v>34378</v>
      </c>
      <c r="G7746" t="s">
        <v>34379</v>
      </c>
      <c r="H7746" t="s">
        <v>34380</v>
      </c>
      <c r="I7746" t="s">
        <v>34381</v>
      </c>
      <c r="J7746" t="s">
        <v>727</v>
      </c>
      <c r="K7746" t="s">
        <v>13519</v>
      </c>
      <c r="L7746" t="s">
        <v>34382</v>
      </c>
      <c r="M7746" t="s">
        <v>291</v>
      </c>
      <c r="N7746" t="s">
        <v>1379</v>
      </c>
      <c r="O7746" t="s">
        <v>34383</v>
      </c>
      <c r="P7746" t="s">
        <v>34384</v>
      </c>
      <c r="Q7746" t="s">
        <v>35415</v>
      </c>
      <c r="R7746">
        <v>22</v>
      </c>
      <c r="S7746">
        <v>32</v>
      </c>
    </row>
    <row r="7747" spans="1:19" x14ac:dyDescent="0.35">
      <c r="A7747">
        <v>7480</v>
      </c>
      <c r="B7747" t="s">
        <v>35416</v>
      </c>
      <c r="C7747" t="s">
        <v>20</v>
      </c>
      <c r="D7747" t="s">
        <v>35417</v>
      </c>
      <c r="E7747" t="s">
        <v>27345</v>
      </c>
      <c r="F7747" t="s">
        <v>35418</v>
      </c>
      <c r="G7747" t="s">
        <v>2241</v>
      </c>
      <c r="H7747" t="s">
        <v>35419</v>
      </c>
      <c r="I7747" t="s">
        <v>35420</v>
      </c>
      <c r="J7747" t="s">
        <v>107</v>
      </c>
      <c r="K7747" t="s">
        <v>35421</v>
      </c>
      <c r="L7747" t="s">
        <v>35422</v>
      </c>
      <c r="M7747" t="s">
        <v>38</v>
      </c>
      <c r="N7747" t="s">
        <v>27351</v>
      </c>
      <c r="O7747" t="s">
        <v>35423</v>
      </c>
      <c r="P7747" t="s">
        <v>27351</v>
      </c>
      <c r="Q7747" t="s">
        <v>35424</v>
      </c>
      <c r="R7747">
        <v>22</v>
      </c>
      <c r="S7747">
        <v>32</v>
      </c>
    </row>
    <row r="7748" spans="1:19" x14ac:dyDescent="0.35">
      <c r="A7748">
        <v>6762</v>
      </c>
      <c r="B7748" t="s">
        <v>35405</v>
      </c>
      <c r="C7748" t="s">
        <v>42</v>
      </c>
      <c r="D7748" t="s">
        <v>35406</v>
      </c>
      <c r="E7748" t="e" cm="1">
        <f t="array" ref="E7748">- ALLOPURINOL</f>
        <v>#NAME?</v>
      </c>
      <c r="F7748" t="s">
        <v>35407</v>
      </c>
      <c r="G7748" t="s">
        <v>5033</v>
      </c>
      <c r="H7748" t="s">
        <v>33716</v>
      </c>
      <c r="I7748" t="s">
        <v>33717</v>
      </c>
      <c r="J7748" t="s">
        <v>381</v>
      </c>
      <c r="K7748" t="s">
        <v>35246</v>
      </c>
      <c r="L7748" t="s">
        <v>35247</v>
      </c>
      <c r="M7748" t="s">
        <v>46</v>
      </c>
      <c r="N7748" t="s">
        <v>424</v>
      </c>
      <c r="O7748" t="s">
        <v>33720</v>
      </c>
      <c r="P7748" t="s">
        <v>35318</v>
      </c>
      <c r="Q7748" t="s">
        <v>35319</v>
      </c>
      <c r="R7748">
        <v>22</v>
      </c>
      <c r="S7748">
        <v>32</v>
      </c>
    </row>
    <row r="7749" spans="1:19" x14ac:dyDescent="0.35">
      <c r="A7749">
        <v>6834</v>
      </c>
      <c r="B7749" t="s">
        <v>34994</v>
      </c>
      <c r="C7749" t="s">
        <v>42</v>
      </c>
      <c r="D7749" t="s">
        <v>35305</v>
      </c>
      <c r="E7749" t="e" cm="1">
        <f t="array" ref="E7749">- DICLOFENAC DIETHYLAMINE</f>
        <v>#NAME?</v>
      </c>
      <c r="F7749" t="s">
        <v>35306</v>
      </c>
      <c r="G7749" t="s">
        <v>34997</v>
      </c>
      <c r="H7749" t="s">
        <v>30527</v>
      </c>
      <c r="I7749" t="s">
        <v>34998</v>
      </c>
      <c r="J7749" t="s">
        <v>3197</v>
      </c>
      <c r="K7749" t="s">
        <v>34999</v>
      </c>
      <c r="L7749" t="s">
        <v>35000</v>
      </c>
      <c r="M7749" t="s">
        <v>87</v>
      </c>
      <c r="N7749" t="s">
        <v>1958</v>
      </c>
      <c r="O7749" t="s">
        <v>35001</v>
      </c>
      <c r="P7749" t="s">
        <v>35002</v>
      </c>
      <c r="Q7749" t="s">
        <v>35003</v>
      </c>
      <c r="R7749">
        <v>22</v>
      </c>
      <c r="S7749">
        <v>32</v>
      </c>
    </row>
    <row r="7750" spans="1:19" x14ac:dyDescent="0.35">
      <c r="A7750">
        <v>6780</v>
      </c>
      <c r="B7750" t="s">
        <v>35315</v>
      </c>
      <c r="C7750" t="s">
        <v>42</v>
      </c>
      <c r="D7750" t="s">
        <v>35316</v>
      </c>
      <c r="E7750" t="e" cm="1">
        <f t="array" ref="E7750">- ALLOPURINOL</f>
        <v>#NAME?</v>
      </c>
      <c r="F7750" t="s">
        <v>35317</v>
      </c>
      <c r="G7750" t="s">
        <v>5033</v>
      </c>
      <c r="H7750" t="s">
        <v>33716</v>
      </c>
      <c r="I7750" t="s">
        <v>33717</v>
      </c>
      <c r="J7750" t="s">
        <v>381</v>
      </c>
      <c r="K7750" t="s">
        <v>35246</v>
      </c>
      <c r="L7750" t="s">
        <v>35259</v>
      </c>
      <c r="M7750" t="s">
        <v>46</v>
      </c>
      <c r="N7750" t="s">
        <v>424</v>
      </c>
      <c r="O7750" t="s">
        <v>33720</v>
      </c>
      <c r="P7750" t="s">
        <v>35318</v>
      </c>
      <c r="Q7750" t="s">
        <v>35319</v>
      </c>
      <c r="R7750">
        <v>22</v>
      </c>
      <c r="S7750">
        <v>32</v>
      </c>
    </row>
    <row r="7751" spans="1:19" x14ac:dyDescent="0.35">
      <c r="A7751">
        <v>6835</v>
      </c>
      <c r="B7751" t="s">
        <v>34994</v>
      </c>
      <c r="C7751" t="s">
        <v>42</v>
      </c>
      <c r="D7751" t="s">
        <v>35305</v>
      </c>
      <c r="E7751" t="e" cm="1">
        <f t="array" ref="E7751">- DICLOFENAC DIETHYLAMINE</f>
        <v>#NAME?</v>
      </c>
      <c r="F7751" t="s">
        <v>35306</v>
      </c>
      <c r="G7751" t="s">
        <v>34997</v>
      </c>
      <c r="H7751" t="s">
        <v>30527</v>
      </c>
      <c r="I7751" t="s">
        <v>34998</v>
      </c>
      <c r="J7751" t="s">
        <v>3197</v>
      </c>
      <c r="K7751" t="s">
        <v>34999</v>
      </c>
      <c r="L7751" t="s">
        <v>35000</v>
      </c>
      <c r="M7751" t="s">
        <v>87</v>
      </c>
      <c r="N7751" t="s">
        <v>1958</v>
      </c>
      <c r="O7751" t="s">
        <v>35001</v>
      </c>
      <c r="P7751" t="s">
        <v>35002</v>
      </c>
      <c r="Q7751" t="s">
        <v>35003</v>
      </c>
      <c r="R7751">
        <v>22</v>
      </c>
      <c r="S7751">
        <v>32</v>
      </c>
    </row>
    <row r="7752" spans="1:19" x14ac:dyDescent="0.35">
      <c r="A7752">
        <v>6798</v>
      </c>
      <c r="B7752" t="s">
        <v>35425</v>
      </c>
      <c r="C7752" t="s">
        <v>42</v>
      </c>
      <c r="D7752" t="s">
        <v>35426</v>
      </c>
      <c r="E7752" t="e" cm="1">
        <f t="array" ref="E7752">- ALLOPURINOL</f>
        <v>#NAME?</v>
      </c>
      <c r="F7752" t="s">
        <v>35427</v>
      </c>
      <c r="G7752" t="s">
        <v>5033</v>
      </c>
      <c r="H7752" t="s">
        <v>33716</v>
      </c>
      <c r="I7752" t="s">
        <v>33717</v>
      </c>
      <c r="J7752" t="s">
        <v>381</v>
      </c>
      <c r="K7752" t="s">
        <v>35246</v>
      </c>
      <c r="L7752" t="s">
        <v>35247</v>
      </c>
      <c r="M7752" t="s">
        <v>46</v>
      </c>
      <c r="N7752" t="s">
        <v>424</v>
      </c>
      <c r="O7752" t="s">
        <v>33720</v>
      </c>
      <c r="P7752" t="s">
        <v>35276</v>
      </c>
      <c r="Q7752" t="s">
        <v>35277</v>
      </c>
      <c r="R7752">
        <v>22</v>
      </c>
      <c r="S7752">
        <v>32</v>
      </c>
    </row>
    <row r="7753" spans="1:19" x14ac:dyDescent="0.35">
      <c r="A7753">
        <v>6837</v>
      </c>
      <c r="B7753" t="s">
        <v>34994</v>
      </c>
      <c r="C7753" t="s">
        <v>42</v>
      </c>
      <c r="D7753" t="s">
        <v>35305</v>
      </c>
      <c r="E7753" t="e" cm="1">
        <f t="array" ref="E7753">- DICLOFENAC DIETHYLAMINE</f>
        <v>#NAME?</v>
      </c>
      <c r="F7753" t="s">
        <v>35306</v>
      </c>
      <c r="G7753" t="s">
        <v>34997</v>
      </c>
      <c r="H7753" t="s">
        <v>30527</v>
      </c>
      <c r="I7753" t="s">
        <v>34998</v>
      </c>
      <c r="J7753" t="s">
        <v>3197</v>
      </c>
      <c r="K7753" t="s">
        <v>34999</v>
      </c>
      <c r="L7753" t="s">
        <v>35000</v>
      </c>
      <c r="M7753" t="s">
        <v>87</v>
      </c>
      <c r="N7753" t="s">
        <v>1958</v>
      </c>
      <c r="O7753" t="s">
        <v>35001</v>
      </c>
      <c r="P7753" t="s">
        <v>35002</v>
      </c>
      <c r="Q7753" t="s">
        <v>35003</v>
      </c>
      <c r="R7753">
        <v>22</v>
      </c>
      <c r="S7753">
        <v>32</v>
      </c>
    </row>
    <row r="7754" spans="1:19" x14ac:dyDescent="0.35">
      <c r="A7754">
        <v>6836</v>
      </c>
      <c r="B7754" t="s">
        <v>34994</v>
      </c>
      <c r="C7754" t="s">
        <v>42</v>
      </c>
      <c r="D7754" t="s">
        <v>35305</v>
      </c>
      <c r="E7754" t="e" cm="1">
        <f t="array" ref="E7754">- DICLOFENAC DIETHYLAMINE</f>
        <v>#NAME?</v>
      </c>
      <c r="F7754" t="s">
        <v>35306</v>
      </c>
      <c r="G7754" t="s">
        <v>34997</v>
      </c>
      <c r="H7754" t="s">
        <v>30527</v>
      </c>
      <c r="I7754" t="s">
        <v>34998</v>
      </c>
      <c r="J7754" t="s">
        <v>3197</v>
      </c>
      <c r="K7754" t="s">
        <v>34999</v>
      </c>
      <c r="L7754" t="s">
        <v>35000</v>
      </c>
      <c r="M7754" t="s">
        <v>87</v>
      </c>
      <c r="N7754" t="s">
        <v>1958</v>
      </c>
      <c r="O7754" t="s">
        <v>35001</v>
      </c>
      <c r="P7754" t="s">
        <v>35002</v>
      </c>
      <c r="Q7754" t="s">
        <v>35003</v>
      </c>
      <c r="R7754">
        <v>22</v>
      </c>
      <c r="S7754">
        <v>32</v>
      </c>
    </row>
    <row r="7755" spans="1:19" x14ac:dyDescent="0.35">
      <c r="A7755">
        <v>6803</v>
      </c>
      <c r="B7755" t="s">
        <v>35428</v>
      </c>
      <c r="C7755" t="s">
        <v>42</v>
      </c>
      <c r="D7755" t="s">
        <v>35429</v>
      </c>
      <c r="E7755" t="e" cm="1">
        <f t="array" ref="E7755">- ALLOPURINOL</f>
        <v>#NAME?</v>
      </c>
      <c r="F7755" t="s">
        <v>35430</v>
      </c>
      <c r="G7755" t="s">
        <v>6135</v>
      </c>
      <c r="H7755" t="s">
        <v>35392</v>
      </c>
      <c r="I7755" t="s">
        <v>35393</v>
      </c>
      <c r="J7755" t="s">
        <v>5085</v>
      </c>
      <c r="K7755" t="s">
        <v>35395</v>
      </c>
      <c r="L7755" t="s">
        <v>35431</v>
      </c>
      <c r="M7755" t="s">
        <v>291</v>
      </c>
      <c r="N7755" t="s">
        <v>424</v>
      </c>
      <c r="O7755" t="s">
        <v>35397</v>
      </c>
      <c r="P7755" t="s">
        <v>35398</v>
      </c>
      <c r="Q7755" t="s">
        <v>35432</v>
      </c>
      <c r="R7755">
        <v>22</v>
      </c>
      <c r="S7755">
        <v>32</v>
      </c>
    </row>
    <row r="7756" spans="1:19" x14ac:dyDescent="0.35">
      <c r="A7756">
        <v>6756</v>
      </c>
      <c r="B7756" t="s">
        <v>35433</v>
      </c>
      <c r="C7756" t="s">
        <v>42</v>
      </c>
      <c r="D7756" t="s">
        <v>35434</v>
      </c>
      <c r="E7756" t="e" cm="1">
        <f t="array" ref="E7756">- ALLOPURINOL</f>
        <v>#NAME?</v>
      </c>
      <c r="F7756" s="1">
        <v>27000</v>
      </c>
      <c r="G7756" t="s">
        <v>5033</v>
      </c>
      <c r="H7756" t="s">
        <v>33716</v>
      </c>
      <c r="I7756" t="s">
        <v>33717</v>
      </c>
      <c r="J7756" t="s">
        <v>532</v>
      </c>
      <c r="K7756" t="s">
        <v>35246</v>
      </c>
      <c r="L7756" t="s">
        <v>35247</v>
      </c>
      <c r="M7756" t="s">
        <v>46</v>
      </c>
      <c r="N7756" t="s">
        <v>424</v>
      </c>
      <c r="O7756" t="s">
        <v>33720</v>
      </c>
      <c r="P7756" t="s">
        <v>35381</v>
      </c>
      <c r="Q7756" t="s">
        <v>35382</v>
      </c>
      <c r="R7756">
        <v>22</v>
      </c>
      <c r="S7756">
        <v>32</v>
      </c>
    </row>
    <row r="7757" spans="1:19" x14ac:dyDescent="0.35">
      <c r="A7757">
        <v>6757</v>
      </c>
      <c r="B7757" t="s">
        <v>35433</v>
      </c>
      <c r="C7757" t="s">
        <v>42</v>
      </c>
      <c r="D7757" t="s">
        <v>35434</v>
      </c>
      <c r="E7757" t="e" cm="1">
        <f t="array" ref="E7757">- ALLOPURINOL</f>
        <v>#NAME?</v>
      </c>
      <c r="F7757" s="1">
        <v>27000</v>
      </c>
      <c r="G7757" t="s">
        <v>5033</v>
      </c>
      <c r="H7757" t="s">
        <v>33716</v>
      </c>
      <c r="I7757" t="s">
        <v>33717</v>
      </c>
      <c r="J7757" t="s">
        <v>532</v>
      </c>
      <c r="K7757" t="s">
        <v>35246</v>
      </c>
      <c r="L7757" t="s">
        <v>35247</v>
      </c>
      <c r="M7757" t="s">
        <v>46</v>
      </c>
      <c r="N7757" t="s">
        <v>424</v>
      </c>
      <c r="O7757" t="s">
        <v>33720</v>
      </c>
      <c r="P7757" t="s">
        <v>35381</v>
      </c>
      <c r="Q7757" t="s">
        <v>35382</v>
      </c>
      <c r="R7757">
        <v>22</v>
      </c>
      <c r="S7757">
        <v>32</v>
      </c>
    </row>
    <row r="7758" spans="1:19" x14ac:dyDescent="0.35">
      <c r="A7758">
        <v>7297</v>
      </c>
      <c r="B7758" t="s">
        <v>35435</v>
      </c>
      <c r="C7758" t="s">
        <v>850</v>
      </c>
      <c r="D7758" t="s">
        <v>35436</v>
      </c>
      <c r="E7758" t="e" cm="1">
        <f t="array" ref="E7758">- Camphora</f>
        <v>#NAME?</v>
      </c>
      <c r="F7758" t="s">
        <v>35437</v>
      </c>
      <c r="G7758" t="s">
        <v>35438</v>
      </c>
      <c r="H7758" t="s">
        <v>1322</v>
      </c>
      <c r="I7758" t="s">
        <v>35439</v>
      </c>
      <c r="J7758" t="s">
        <v>35440</v>
      </c>
      <c r="M7758" t="s">
        <v>3632</v>
      </c>
      <c r="N7758" t="s">
        <v>3633</v>
      </c>
      <c r="O7758" t="s">
        <v>35441</v>
      </c>
      <c r="P7758" t="s">
        <v>35442</v>
      </c>
      <c r="Q7758" t="s">
        <v>35443</v>
      </c>
      <c r="R7758">
        <v>22</v>
      </c>
      <c r="S7758">
        <v>32</v>
      </c>
    </row>
    <row r="7759" spans="1:19" x14ac:dyDescent="0.35">
      <c r="A7759">
        <v>6793</v>
      </c>
      <c r="B7759" t="s">
        <v>35288</v>
      </c>
      <c r="C7759" t="s">
        <v>42</v>
      </c>
      <c r="D7759" t="s">
        <v>35289</v>
      </c>
      <c r="E7759" t="e" cm="1">
        <f t="array" ref="E7759">- ALLOPURINOL</f>
        <v>#NAME?</v>
      </c>
      <c r="F7759" t="s">
        <v>35290</v>
      </c>
      <c r="G7759" t="s">
        <v>5033</v>
      </c>
      <c r="H7759" t="s">
        <v>33716</v>
      </c>
      <c r="I7759" t="s">
        <v>33717</v>
      </c>
      <c r="J7759" t="s">
        <v>969</v>
      </c>
      <c r="K7759" t="s">
        <v>35246</v>
      </c>
      <c r="L7759" t="s">
        <v>35259</v>
      </c>
      <c r="M7759" t="s">
        <v>46</v>
      </c>
      <c r="N7759" t="s">
        <v>424</v>
      </c>
      <c r="O7759" t="s">
        <v>33720</v>
      </c>
      <c r="P7759" t="s">
        <v>35285</v>
      </c>
      <c r="Q7759" t="s">
        <v>35286</v>
      </c>
      <c r="R7759">
        <v>22</v>
      </c>
      <c r="S7759">
        <v>32</v>
      </c>
    </row>
    <row r="7760" spans="1:19" x14ac:dyDescent="0.35">
      <c r="A7760">
        <v>5880</v>
      </c>
      <c r="B7760" t="s">
        <v>35444</v>
      </c>
      <c r="C7760" t="s">
        <v>42</v>
      </c>
      <c r="D7760" t="s">
        <v>35445</v>
      </c>
      <c r="E7760" t="e" cm="1">
        <f t="array" ref="E7760">- CEFADROXIL</f>
        <v>#NAME?</v>
      </c>
      <c r="F7760" t="s">
        <v>35446</v>
      </c>
      <c r="G7760" t="s">
        <v>5301</v>
      </c>
      <c r="H7760" t="s">
        <v>35447</v>
      </c>
      <c r="I7760" t="s">
        <v>35448</v>
      </c>
      <c r="J7760" t="s">
        <v>35449</v>
      </c>
      <c r="K7760" t="s">
        <v>35450</v>
      </c>
      <c r="L7760" t="s">
        <v>35451</v>
      </c>
      <c r="M7760" t="s">
        <v>38</v>
      </c>
      <c r="N7760" t="s">
        <v>21357</v>
      </c>
      <c r="O7760" t="s">
        <v>35452</v>
      </c>
      <c r="P7760" t="s">
        <v>23731</v>
      </c>
      <c r="Q7760" t="s">
        <v>35453</v>
      </c>
      <c r="R7760">
        <v>22</v>
      </c>
      <c r="S7760">
        <v>32</v>
      </c>
    </row>
    <row r="7761" spans="1:19" x14ac:dyDescent="0.35">
      <c r="A7761">
        <v>6774</v>
      </c>
      <c r="B7761" t="s">
        <v>35341</v>
      </c>
      <c r="C7761" t="s">
        <v>42</v>
      </c>
      <c r="D7761" t="s">
        <v>35342</v>
      </c>
      <c r="E7761" t="e" cm="1">
        <f t="array" ref="E7761">- ALLOPURINOL</f>
        <v>#NAME?</v>
      </c>
      <c r="F7761" t="s">
        <v>35343</v>
      </c>
      <c r="G7761" t="s">
        <v>5033</v>
      </c>
      <c r="H7761" t="s">
        <v>33716</v>
      </c>
      <c r="I7761" t="s">
        <v>33717</v>
      </c>
      <c r="J7761" t="s">
        <v>727</v>
      </c>
      <c r="K7761" t="s">
        <v>35246</v>
      </c>
      <c r="L7761" t="s">
        <v>35259</v>
      </c>
      <c r="M7761" t="s">
        <v>291</v>
      </c>
      <c r="N7761" t="s">
        <v>424</v>
      </c>
      <c r="O7761" t="s">
        <v>33720</v>
      </c>
      <c r="P7761" t="s">
        <v>4902</v>
      </c>
      <c r="Q7761" t="s">
        <v>35344</v>
      </c>
      <c r="R7761">
        <v>22</v>
      </c>
      <c r="S7761">
        <v>32</v>
      </c>
    </row>
    <row r="7762" spans="1:19" x14ac:dyDescent="0.35">
      <c r="A7762">
        <v>680</v>
      </c>
      <c r="B7762" t="s">
        <v>35454</v>
      </c>
      <c r="C7762" t="s">
        <v>20</v>
      </c>
      <c r="D7762" t="s">
        <v>35455</v>
      </c>
      <c r="E7762" t="s">
        <v>35456</v>
      </c>
      <c r="F7762" t="s">
        <v>35457</v>
      </c>
      <c r="G7762" t="s">
        <v>35458</v>
      </c>
      <c r="H7762" t="s">
        <v>1322</v>
      </c>
      <c r="I7762" t="s">
        <v>35459</v>
      </c>
      <c r="J7762" t="s">
        <v>614</v>
      </c>
      <c r="L7762" t="s">
        <v>21453</v>
      </c>
      <c r="M7762" t="s">
        <v>2115</v>
      </c>
      <c r="N7762" t="s">
        <v>35460</v>
      </c>
      <c r="O7762" t="s">
        <v>35461</v>
      </c>
      <c r="P7762" t="s">
        <v>35462</v>
      </c>
      <c r="Q7762" t="s">
        <v>35463</v>
      </c>
      <c r="R7762">
        <v>22</v>
      </c>
      <c r="S7762">
        <v>32</v>
      </c>
    </row>
    <row r="7763" spans="1:19" x14ac:dyDescent="0.35">
      <c r="A7763">
        <v>6773</v>
      </c>
      <c r="B7763" t="s">
        <v>35464</v>
      </c>
      <c r="C7763" t="s">
        <v>42</v>
      </c>
      <c r="D7763" t="s">
        <v>35465</v>
      </c>
      <c r="E7763" t="e" cm="1">
        <f t="array" ref="E7763">- ALLOPURINOL</f>
        <v>#NAME?</v>
      </c>
      <c r="F7763" t="s">
        <v>35466</v>
      </c>
      <c r="G7763" t="s">
        <v>5033</v>
      </c>
      <c r="H7763" t="s">
        <v>33716</v>
      </c>
      <c r="I7763" t="s">
        <v>33717</v>
      </c>
      <c r="J7763" t="s">
        <v>381</v>
      </c>
      <c r="K7763" t="s">
        <v>35246</v>
      </c>
      <c r="L7763" t="s">
        <v>35259</v>
      </c>
      <c r="M7763" t="s">
        <v>46</v>
      </c>
      <c r="N7763" t="s">
        <v>424</v>
      </c>
      <c r="O7763" t="s">
        <v>33720</v>
      </c>
      <c r="P7763" t="s">
        <v>35369</v>
      </c>
      <c r="Q7763" t="s">
        <v>35370</v>
      </c>
      <c r="R7763">
        <v>22</v>
      </c>
      <c r="S7763">
        <v>32</v>
      </c>
    </row>
    <row r="7764" spans="1:19" x14ac:dyDescent="0.35">
      <c r="A7764">
        <v>6772</v>
      </c>
      <c r="B7764" t="s">
        <v>35464</v>
      </c>
      <c r="C7764" t="s">
        <v>42</v>
      </c>
      <c r="D7764" t="s">
        <v>35465</v>
      </c>
      <c r="E7764" t="e" cm="1">
        <f t="array" ref="E7764">- ALLOPURINOL</f>
        <v>#NAME?</v>
      </c>
      <c r="F7764" t="s">
        <v>35466</v>
      </c>
      <c r="G7764" t="s">
        <v>5033</v>
      </c>
      <c r="H7764" t="s">
        <v>33716</v>
      </c>
      <c r="I7764" t="s">
        <v>33717</v>
      </c>
      <c r="J7764" t="s">
        <v>381</v>
      </c>
      <c r="K7764" t="s">
        <v>35246</v>
      </c>
      <c r="L7764" t="s">
        <v>35259</v>
      </c>
      <c r="M7764" t="s">
        <v>46</v>
      </c>
      <c r="N7764" t="s">
        <v>424</v>
      </c>
      <c r="O7764" t="s">
        <v>33720</v>
      </c>
      <c r="P7764" t="s">
        <v>35369</v>
      </c>
      <c r="Q7764" t="s">
        <v>35370</v>
      </c>
      <c r="R7764">
        <v>22</v>
      </c>
      <c r="S7764">
        <v>32</v>
      </c>
    </row>
    <row r="7765" spans="1:19" x14ac:dyDescent="0.35">
      <c r="A7765">
        <v>6821</v>
      </c>
      <c r="B7765" t="s">
        <v>34994</v>
      </c>
      <c r="C7765" t="s">
        <v>42</v>
      </c>
      <c r="D7765" t="s">
        <v>35255</v>
      </c>
      <c r="E7765" t="e" cm="1">
        <f t="array" ref="E7765">- DICLOFENAC DIETHYLAMINE</f>
        <v>#NAME?</v>
      </c>
      <c r="F7765" t="s">
        <v>35256</v>
      </c>
      <c r="G7765" t="s">
        <v>34997</v>
      </c>
      <c r="H7765" t="s">
        <v>30527</v>
      </c>
      <c r="I7765" t="s">
        <v>34998</v>
      </c>
      <c r="J7765" t="s">
        <v>1367</v>
      </c>
      <c r="K7765" t="s">
        <v>34999</v>
      </c>
      <c r="L7765" t="s">
        <v>35000</v>
      </c>
      <c r="M7765" t="s">
        <v>87</v>
      </c>
      <c r="N7765" t="s">
        <v>1958</v>
      </c>
      <c r="O7765" t="s">
        <v>35001</v>
      </c>
      <c r="P7765" t="s">
        <v>35002</v>
      </c>
      <c r="Q7765" t="s">
        <v>35003</v>
      </c>
      <c r="R7765">
        <v>22</v>
      </c>
      <c r="S7765">
        <v>32</v>
      </c>
    </row>
    <row r="7766" spans="1:19" x14ac:dyDescent="0.35">
      <c r="A7766">
        <v>6933</v>
      </c>
      <c r="B7766" t="s">
        <v>1803</v>
      </c>
      <c r="C7766" t="s">
        <v>42</v>
      </c>
      <c r="D7766" t="s">
        <v>35371</v>
      </c>
      <c r="E7766" t="e" cm="1">
        <f t="array" ref="E7766">- TIZANIDINE HYDROCHLORIDE</f>
        <v>#NAME?</v>
      </c>
      <c r="F7766" t="s">
        <v>35372</v>
      </c>
      <c r="G7766" t="s">
        <v>35373</v>
      </c>
      <c r="I7766" t="s">
        <v>35374</v>
      </c>
      <c r="J7766" t="s">
        <v>35375</v>
      </c>
      <c r="M7766" t="s">
        <v>46</v>
      </c>
      <c r="N7766" t="s">
        <v>1806</v>
      </c>
      <c r="O7766" t="s">
        <v>35376</v>
      </c>
      <c r="P7766" t="s">
        <v>35377</v>
      </c>
      <c r="Q7766" t="s">
        <v>35378</v>
      </c>
      <c r="R7766">
        <v>22</v>
      </c>
      <c r="S7766">
        <v>32</v>
      </c>
    </row>
    <row r="7767" spans="1:19" x14ac:dyDescent="0.35">
      <c r="A7767">
        <v>6822</v>
      </c>
      <c r="B7767" t="s">
        <v>34994</v>
      </c>
      <c r="C7767" t="s">
        <v>42</v>
      </c>
      <c r="D7767" t="s">
        <v>35255</v>
      </c>
      <c r="E7767" t="e" cm="1">
        <f t="array" ref="E7767">- DICLOFENAC DIETHYLAMINE</f>
        <v>#NAME?</v>
      </c>
      <c r="F7767" t="s">
        <v>35256</v>
      </c>
      <c r="G7767" t="s">
        <v>34997</v>
      </c>
      <c r="H7767" t="s">
        <v>30527</v>
      </c>
      <c r="I7767" t="s">
        <v>34998</v>
      </c>
      <c r="J7767" t="s">
        <v>1367</v>
      </c>
      <c r="K7767" t="s">
        <v>34999</v>
      </c>
      <c r="L7767" t="s">
        <v>35000</v>
      </c>
      <c r="M7767" t="s">
        <v>87</v>
      </c>
      <c r="N7767" t="s">
        <v>1958</v>
      </c>
      <c r="O7767" t="s">
        <v>35001</v>
      </c>
      <c r="P7767" t="s">
        <v>35002</v>
      </c>
      <c r="Q7767" t="s">
        <v>35003</v>
      </c>
      <c r="R7767">
        <v>22</v>
      </c>
      <c r="S7767">
        <v>32</v>
      </c>
    </row>
    <row r="7768" spans="1:19" x14ac:dyDescent="0.35">
      <c r="A7768">
        <v>6795</v>
      </c>
      <c r="B7768" t="s">
        <v>35467</v>
      </c>
      <c r="C7768" t="s">
        <v>42</v>
      </c>
      <c r="D7768" t="s">
        <v>35468</v>
      </c>
      <c r="E7768" t="e" cm="1">
        <f t="array" ref="E7768">- ALLOPURINOL</f>
        <v>#NAME?</v>
      </c>
      <c r="F7768" t="s">
        <v>35469</v>
      </c>
      <c r="G7768" t="s">
        <v>5033</v>
      </c>
      <c r="H7768" t="s">
        <v>33716</v>
      </c>
      <c r="I7768" t="s">
        <v>33717</v>
      </c>
      <c r="J7768" t="s">
        <v>381</v>
      </c>
      <c r="K7768" t="s">
        <v>35246</v>
      </c>
      <c r="L7768" t="s">
        <v>35247</v>
      </c>
      <c r="M7768" t="s">
        <v>46</v>
      </c>
      <c r="N7768" t="s">
        <v>424</v>
      </c>
      <c r="O7768" t="s">
        <v>33720</v>
      </c>
      <c r="P7768" t="s">
        <v>35470</v>
      </c>
      <c r="Q7768" t="s">
        <v>35471</v>
      </c>
      <c r="R7768">
        <v>22</v>
      </c>
      <c r="S7768">
        <v>32</v>
      </c>
    </row>
    <row r="7769" spans="1:19" x14ac:dyDescent="0.35">
      <c r="A7769">
        <v>5669</v>
      </c>
      <c r="B7769" t="s">
        <v>35472</v>
      </c>
      <c r="C7769" t="s">
        <v>42</v>
      </c>
      <c r="D7769" t="s">
        <v>35473</v>
      </c>
      <c r="E7769" t="e" cm="1">
        <f t="array" ref="E7769">- METRONIDAZOLE BENZOATE</f>
        <v>#NAME?</v>
      </c>
      <c r="F7769" t="s">
        <v>35474</v>
      </c>
      <c r="G7769" t="s">
        <v>6135</v>
      </c>
      <c r="H7769" t="s">
        <v>35475</v>
      </c>
    </row>
    <row r="7770" spans="1:19" x14ac:dyDescent="0.35">
      <c r="A7770">
        <v>685</v>
      </c>
      <c r="B7770" t="s">
        <v>27244</v>
      </c>
      <c r="C7770" t="s">
        <v>20</v>
      </c>
      <c r="D7770" t="s">
        <v>35476</v>
      </c>
      <c r="E7770" t="s">
        <v>27246</v>
      </c>
      <c r="F7770" t="s">
        <v>35477</v>
      </c>
      <c r="G7770" t="s">
        <v>35385</v>
      </c>
      <c r="H7770" t="s">
        <v>27249</v>
      </c>
      <c r="I7770" t="s">
        <v>35386</v>
      </c>
      <c r="J7770" t="s">
        <v>829</v>
      </c>
      <c r="K7770" t="s">
        <v>2858</v>
      </c>
      <c r="L7770" t="s">
        <v>27014</v>
      </c>
      <c r="M7770" t="s">
        <v>2115</v>
      </c>
      <c r="N7770" t="s">
        <v>27251</v>
      </c>
      <c r="O7770" t="s">
        <v>35387</v>
      </c>
      <c r="P7770" t="s">
        <v>27253</v>
      </c>
      <c r="Q7770" t="s">
        <v>35388</v>
      </c>
      <c r="R7770">
        <v>22</v>
      </c>
      <c r="S7770">
        <v>32</v>
      </c>
    </row>
    <row r="7771" spans="1:19" x14ac:dyDescent="0.35">
      <c r="A7771">
        <v>6823</v>
      </c>
      <c r="B7771" t="s">
        <v>34994</v>
      </c>
      <c r="C7771" t="s">
        <v>42</v>
      </c>
      <c r="D7771" t="s">
        <v>35255</v>
      </c>
      <c r="E7771" t="e" cm="1">
        <f t="array" ref="E7771">- DICLOFENAC DIETHYLAMINE</f>
        <v>#NAME?</v>
      </c>
      <c r="F7771" t="s">
        <v>35256</v>
      </c>
      <c r="G7771" t="s">
        <v>34997</v>
      </c>
      <c r="H7771" t="s">
        <v>30527</v>
      </c>
      <c r="I7771" t="s">
        <v>34998</v>
      </c>
      <c r="J7771" t="s">
        <v>1367</v>
      </c>
      <c r="K7771" t="s">
        <v>34999</v>
      </c>
      <c r="L7771" t="s">
        <v>35000</v>
      </c>
      <c r="M7771" t="s">
        <v>87</v>
      </c>
      <c r="N7771" t="s">
        <v>1958</v>
      </c>
      <c r="O7771" t="s">
        <v>35001</v>
      </c>
      <c r="P7771" t="s">
        <v>35002</v>
      </c>
      <c r="Q7771" t="s">
        <v>35003</v>
      </c>
      <c r="R7771">
        <v>22</v>
      </c>
      <c r="S7771">
        <v>32</v>
      </c>
    </row>
    <row r="7772" spans="1:19" x14ac:dyDescent="0.35">
      <c r="A7772">
        <v>6824</v>
      </c>
      <c r="B7772" t="s">
        <v>34994</v>
      </c>
      <c r="C7772" t="s">
        <v>42</v>
      </c>
      <c r="D7772" t="s">
        <v>35255</v>
      </c>
      <c r="E7772" t="e" cm="1">
        <f t="array" ref="E7772">- DICLOFENAC DIETHYLAMINE</f>
        <v>#NAME?</v>
      </c>
      <c r="F7772" t="s">
        <v>35256</v>
      </c>
      <c r="G7772" t="s">
        <v>34997</v>
      </c>
      <c r="H7772" t="s">
        <v>30527</v>
      </c>
      <c r="I7772" t="s">
        <v>34998</v>
      </c>
      <c r="J7772" t="s">
        <v>1367</v>
      </c>
      <c r="K7772" t="s">
        <v>34999</v>
      </c>
      <c r="L7772" t="s">
        <v>35000</v>
      </c>
      <c r="M7772" t="s">
        <v>87</v>
      </c>
      <c r="N7772" t="s">
        <v>1958</v>
      </c>
      <c r="O7772" t="s">
        <v>35001</v>
      </c>
      <c r="P7772" t="s">
        <v>35002</v>
      </c>
      <c r="Q7772" t="s">
        <v>35003</v>
      </c>
      <c r="R7772">
        <v>22</v>
      </c>
      <c r="S7772">
        <v>32</v>
      </c>
    </row>
    <row r="7773" spans="1:19" x14ac:dyDescent="0.35">
      <c r="A7773">
        <v>6797</v>
      </c>
      <c r="B7773" t="s">
        <v>35425</v>
      </c>
      <c r="C7773" t="s">
        <v>42</v>
      </c>
      <c r="D7773" t="s">
        <v>35426</v>
      </c>
      <c r="E7773" t="e" cm="1">
        <f t="array" ref="E7773">- ALLOPURINOL</f>
        <v>#NAME?</v>
      </c>
      <c r="F7773" t="s">
        <v>35427</v>
      </c>
      <c r="G7773" t="s">
        <v>5033</v>
      </c>
      <c r="H7773" t="s">
        <v>33716</v>
      </c>
      <c r="I7773" t="s">
        <v>33717</v>
      </c>
      <c r="J7773" t="s">
        <v>381</v>
      </c>
      <c r="K7773" t="s">
        <v>35246</v>
      </c>
      <c r="L7773" t="s">
        <v>35247</v>
      </c>
      <c r="M7773" t="s">
        <v>46</v>
      </c>
      <c r="N7773" t="s">
        <v>424</v>
      </c>
      <c r="O7773" t="s">
        <v>33720</v>
      </c>
      <c r="P7773" t="s">
        <v>35276</v>
      </c>
      <c r="Q7773" t="s">
        <v>35277</v>
      </c>
      <c r="R7773">
        <v>22</v>
      </c>
      <c r="S7773">
        <v>32</v>
      </c>
    </row>
    <row r="7774" spans="1:19" x14ac:dyDescent="0.35">
      <c r="A7774">
        <v>6758</v>
      </c>
      <c r="B7774" t="s">
        <v>35433</v>
      </c>
      <c r="C7774" t="s">
        <v>42</v>
      </c>
      <c r="D7774" t="s">
        <v>35434</v>
      </c>
      <c r="E7774" t="e" cm="1">
        <f t="array" ref="E7774">- ALLOPURINOL</f>
        <v>#NAME?</v>
      </c>
      <c r="F7774" s="1">
        <v>27000</v>
      </c>
      <c r="G7774" t="s">
        <v>5033</v>
      </c>
      <c r="H7774" t="s">
        <v>33716</v>
      </c>
      <c r="I7774" t="s">
        <v>33717</v>
      </c>
      <c r="J7774" t="s">
        <v>532</v>
      </c>
      <c r="K7774" t="s">
        <v>35246</v>
      </c>
      <c r="L7774" t="s">
        <v>35247</v>
      </c>
      <c r="M7774" t="s">
        <v>46</v>
      </c>
      <c r="N7774" t="s">
        <v>424</v>
      </c>
      <c r="O7774" t="s">
        <v>33720</v>
      </c>
      <c r="P7774" t="s">
        <v>35381</v>
      </c>
      <c r="Q7774" t="s">
        <v>35382</v>
      </c>
      <c r="R7774">
        <v>22</v>
      </c>
      <c r="S7774">
        <v>32</v>
      </c>
    </row>
    <row r="7775" spans="1:19" x14ac:dyDescent="0.35">
      <c r="A7775">
        <v>6863</v>
      </c>
      <c r="B7775" t="s">
        <v>34994</v>
      </c>
      <c r="C7775" t="s">
        <v>42</v>
      </c>
      <c r="D7775" t="s">
        <v>35478</v>
      </c>
      <c r="E7775" t="e" cm="1">
        <f t="array" ref="E7775">- DICLOFENAC DIETHYLAMINE</f>
        <v>#NAME?</v>
      </c>
      <c r="F7775" t="s">
        <v>35479</v>
      </c>
      <c r="G7775" t="s">
        <v>34997</v>
      </c>
      <c r="H7775" t="s">
        <v>30527</v>
      </c>
      <c r="I7775" t="s">
        <v>34998</v>
      </c>
      <c r="J7775" t="s">
        <v>19716</v>
      </c>
      <c r="K7775" t="s">
        <v>34999</v>
      </c>
      <c r="L7775" t="s">
        <v>35000</v>
      </c>
      <c r="M7775" t="s">
        <v>87</v>
      </c>
      <c r="N7775" t="s">
        <v>1958</v>
      </c>
      <c r="O7775" t="s">
        <v>35001</v>
      </c>
      <c r="P7775" t="s">
        <v>35002</v>
      </c>
      <c r="Q7775" t="s">
        <v>35003</v>
      </c>
      <c r="R7775">
        <v>22</v>
      </c>
      <c r="S7775">
        <v>32</v>
      </c>
    </row>
    <row r="7776" spans="1:19" x14ac:dyDescent="0.35">
      <c r="A7776">
        <v>6799</v>
      </c>
      <c r="B7776" t="s">
        <v>35425</v>
      </c>
      <c r="C7776" t="s">
        <v>42</v>
      </c>
      <c r="D7776" t="s">
        <v>35426</v>
      </c>
      <c r="E7776" t="e" cm="1">
        <f t="array" ref="E7776">- ALLOPURINOL</f>
        <v>#NAME?</v>
      </c>
      <c r="F7776" t="s">
        <v>35427</v>
      </c>
      <c r="G7776" t="s">
        <v>5033</v>
      </c>
      <c r="H7776" t="s">
        <v>33716</v>
      </c>
      <c r="I7776" t="s">
        <v>33717</v>
      </c>
      <c r="J7776" t="s">
        <v>381</v>
      </c>
      <c r="K7776" t="s">
        <v>35246</v>
      </c>
      <c r="L7776" t="s">
        <v>35247</v>
      </c>
      <c r="M7776" t="s">
        <v>46</v>
      </c>
      <c r="N7776" t="s">
        <v>424</v>
      </c>
      <c r="O7776" t="s">
        <v>33720</v>
      </c>
      <c r="P7776" t="s">
        <v>35276</v>
      </c>
      <c r="Q7776" t="s">
        <v>35277</v>
      </c>
      <c r="R7776">
        <v>22</v>
      </c>
      <c r="S7776">
        <v>32</v>
      </c>
    </row>
    <row r="7777" spans="1:19" x14ac:dyDescent="0.35">
      <c r="A7777">
        <v>6808</v>
      </c>
      <c r="B7777" t="s">
        <v>35257</v>
      </c>
      <c r="C7777" t="s">
        <v>42</v>
      </c>
      <c r="D7777" t="s">
        <v>35258</v>
      </c>
      <c r="E7777" t="e" cm="1">
        <f t="array" ref="E7777">- ALLOPURINOL</f>
        <v>#NAME?</v>
      </c>
      <c r="F7777" t="s">
        <v>11886</v>
      </c>
      <c r="G7777" t="s">
        <v>5033</v>
      </c>
      <c r="H7777" t="s">
        <v>33716</v>
      </c>
      <c r="I7777" t="s">
        <v>33717</v>
      </c>
      <c r="J7777" t="s">
        <v>381</v>
      </c>
      <c r="K7777" t="s">
        <v>35246</v>
      </c>
      <c r="L7777" t="s">
        <v>35259</v>
      </c>
      <c r="M7777" t="s">
        <v>46</v>
      </c>
      <c r="N7777" t="s">
        <v>424</v>
      </c>
      <c r="O7777" t="s">
        <v>33720</v>
      </c>
      <c r="P7777" t="s">
        <v>35260</v>
      </c>
      <c r="Q7777" t="s">
        <v>35261</v>
      </c>
      <c r="R7777">
        <v>22</v>
      </c>
      <c r="S7777">
        <v>32</v>
      </c>
    </row>
    <row r="7778" spans="1:19" x14ac:dyDescent="0.35">
      <c r="A7778">
        <v>7383</v>
      </c>
      <c r="B7778" t="s">
        <v>35480</v>
      </c>
      <c r="C7778" t="s">
        <v>42</v>
      </c>
      <c r="D7778" t="s">
        <v>35481</v>
      </c>
      <c r="E7778" t="e" cm="1">
        <f t="array" ref="E7778">- CYANOCOBALAMIN</f>
        <v>#NAME?</v>
      </c>
      <c r="F7778" t="s">
        <v>35482</v>
      </c>
      <c r="G7778" t="s">
        <v>35483</v>
      </c>
      <c r="H7778" t="s">
        <v>35484</v>
      </c>
      <c r="I7778" t="s">
        <v>35485</v>
      </c>
      <c r="J7778" t="s">
        <v>35486</v>
      </c>
      <c r="K7778" t="s">
        <v>35487</v>
      </c>
      <c r="L7778" t="s">
        <v>35488</v>
      </c>
      <c r="M7778" t="s">
        <v>46</v>
      </c>
      <c r="N7778" t="s">
        <v>677</v>
      </c>
      <c r="O7778" t="s">
        <v>35489</v>
      </c>
      <c r="P7778" t="s">
        <v>35490</v>
      </c>
      <c r="Q7778" t="s">
        <v>35491</v>
      </c>
      <c r="R7778">
        <v>22</v>
      </c>
      <c r="S7778">
        <v>32</v>
      </c>
    </row>
    <row r="7779" spans="1:19" x14ac:dyDescent="0.35">
      <c r="A7779">
        <v>7382</v>
      </c>
      <c r="B7779" t="s">
        <v>35480</v>
      </c>
      <c r="C7779" t="s">
        <v>42</v>
      </c>
      <c r="D7779" t="s">
        <v>35481</v>
      </c>
      <c r="E7779" t="e" cm="1">
        <f t="array" ref="E7779">- CYANOCOBALAMIN</f>
        <v>#NAME?</v>
      </c>
      <c r="F7779" t="s">
        <v>35482</v>
      </c>
      <c r="G7779" t="s">
        <v>35483</v>
      </c>
      <c r="H7779" t="s">
        <v>35484</v>
      </c>
      <c r="I7779" t="s">
        <v>35485</v>
      </c>
      <c r="J7779" t="s">
        <v>35486</v>
      </c>
      <c r="K7779" t="s">
        <v>35487</v>
      </c>
      <c r="L7779" t="s">
        <v>35488</v>
      </c>
      <c r="M7779" t="s">
        <v>46</v>
      </c>
      <c r="N7779" t="s">
        <v>677</v>
      </c>
      <c r="O7779" t="s">
        <v>35489</v>
      </c>
      <c r="P7779" t="s">
        <v>35490</v>
      </c>
      <c r="Q7779" t="s">
        <v>35491</v>
      </c>
      <c r="R7779">
        <v>22</v>
      </c>
      <c r="S7779">
        <v>32</v>
      </c>
    </row>
    <row r="7780" spans="1:19" x14ac:dyDescent="0.35">
      <c r="A7780">
        <v>6852</v>
      </c>
      <c r="B7780" t="s">
        <v>34994</v>
      </c>
      <c r="C7780" t="s">
        <v>42</v>
      </c>
      <c r="D7780" t="s">
        <v>35478</v>
      </c>
      <c r="E7780" t="e" cm="1">
        <f t="array" ref="E7780">- DICLOFENAC DIETHYLAMINE</f>
        <v>#NAME?</v>
      </c>
      <c r="F7780" t="s">
        <v>35479</v>
      </c>
      <c r="G7780" t="s">
        <v>34997</v>
      </c>
      <c r="H7780" t="s">
        <v>30527</v>
      </c>
      <c r="I7780" t="s">
        <v>34998</v>
      </c>
      <c r="J7780" t="s">
        <v>19716</v>
      </c>
      <c r="K7780" t="s">
        <v>34999</v>
      </c>
      <c r="L7780" t="s">
        <v>35000</v>
      </c>
      <c r="M7780" t="s">
        <v>87</v>
      </c>
      <c r="N7780" t="s">
        <v>1958</v>
      </c>
      <c r="O7780" t="s">
        <v>35001</v>
      </c>
      <c r="P7780" t="s">
        <v>35002</v>
      </c>
      <c r="Q7780" t="s">
        <v>35003</v>
      </c>
      <c r="R7780">
        <v>22</v>
      </c>
      <c r="S7780">
        <v>32</v>
      </c>
    </row>
    <row r="7781" spans="1:19" x14ac:dyDescent="0.35">
      <c r="A7781">
        <v>6858</v>
      </c>
      <c r="B7781" t="s">
        <v>34994</v>
      </c>
      <c r="C7781" t="s">
        <v>42</v>
      </c>
      <c r="D7781" t="s">
        <v>35478</v>
      </c>
      <c r="E7781" t="e" cm="1">
        <f t="array" ref="E7781">- DICLOFENAC DIETHYLAMINE</f>
        <v>#NAME?</v>
      </c>
      <c r="F7781" t="s">
        <v>35479</v>
      </c>
      <c r="G7781" t="s">
        <v>34997</v>
      </c>
      <c r="H7781" t="s">
        <v>30527</v>
      </c>
      <c r="I7781" t="s">
        <v>34998</v>
      </c>
      <c r="J7781" t="s">
        <v>19716</v>
      </c>
      <c r="K7781" t="s">
        <v>34999</v>
      </c>
      <c r="L7781" t="s">
        <v>35000</v>
      </c>
      <c r="M7781" t="s">
        <v>87</v>
      </c>
      <c r="N7781" t="s">
        <v>1958</v>
      </c>
      <c r="O7781" t="s">
        <v>35001</v>
      </c>
      <c r="P7781" t="s">
        <v>35002</v>
      </c>
      <c r="Q7781" t="s">
        <v>35003</v>
      </c>
      <c r="R7781">
        <v>22</v>
      </c>
      <c r="S7781">
        <v>32</v>
      </c>
    </row>
    <row r="7782" spans="1:19" x14ac:dyDescent="0.35">
      <c r="A7782">
        <v>7341</v>
      </c>
      <c r="B7782" t="s">
        <v>32123</v>
      </c>
      <c r="C7782" t="s">
        <v>42</v>
      </c>
      <c r="D7782" t="s">
        <v>35309</v>
      </c>
      <c r="E7782" t="e" cm="1">
        <f t="array" ref="E7782">- POVIDONE-IODINE</f>
        <v>#NAME?</v>
      </c>
      <c r="F7782" t="s">
        <v>35310</v>
      </c>
      <c r="G7782" t="s">
        <v>32126</v>
      </c>
      <c r="H7782" t="s">
        <v>35311</v>
      </c>
      <c r="I7782" t="s">
        <v>35312</v>
      </c>
      <c r="J7782" t="s">
        <v>374</v>
      </c>
      <c r="K7782" t="s">
        <v>32130</v>
      </c>
      <c r="L7782" t="s">
        <v>32131</v>
      </c>
      <c r="M7782" t="s">
        <v>554</v>
      </c>
      <c r="N7782" t="s">
        <v>555</v>
      </c>
      <c r="O7782" t="s">
        <v>35313</v>
      </c>
      <c r="P7782" t="s">
        <v>32133</v>
      </c>
      <c r="Q7782" t="s">
        <v>35314</v>
      </c>
      <c r="R7782">
        <v>22</v>
      </c>
      <c r="S7782">
        <v>32</v>
      </c>
    </row>
    <row r="7783" spans="1:19" x14ac:dyDescent="0.35">
      <c r="A7783">
        <v>4808</v>
      </c>
      <c r="B7783" t="s">
        <v>32566</v>
      </c>
      <c r="C7783" t="s">
        <v>42</v>
      </c>
      <c r="D7783" t="s">
        <v>32567</v>
      </c>
      <c r="E7783" t="e" cm="1">
        <f t="array" ref="E7783">- DEXAMETHASONE SODIUM PHOSPHATE. NEOMYCIN SULFATE</f>
        <v>#NAME?</v>
      </c>
      <c r="F7783" t="s">
        <v>32568</v>
      </c>
      <c r="G7783" t="s">
        <v>7569</v>
      </c>
      <c r="H7783" t="s">
        <v>7570</v>
      </c>
      <c r="I7783" t="s">
        <v>32569</v>
      </c>
      <c r="J7783" t="s">
        <v>11321</v>
      </c>
      <c r="L7783" t="s">
        <v>16435</v>
      </c>
      <c r="M7783" t="s">
        <v>824</v>
      </c>
      <c r="N7783" t="s">
        <v>35241</v>
      </c>
      <c r="O7783" t="s">
        <v>32570</v>
      </c>
      <c r="P7783" t="s">
        <v>32571</v>
      </c>
      <c r="Q7783" t="s">
        <v>35242</v>
      </c>
      <c r="R7783">
        <v>22</v>
      </c>
      <c r="S7783">
        <v>32</v>
      </c>
    </row>
    <row r="7784" spans="1:19" x14ac:dyDescent="0.35">
      <c r="A7784">
        <v>6859</v>
      </c>
      <c r="B7784" t="s">
        <v>34994</v>
      </c>
      <c r="C7784" t="s">
        <v>42</v>
      </c>
      <c r="D7784" t="s">
        <v>35478</v>
      </c>
      <c r="E7784" t="e" cm="1">
        <f t="array" ref="E7784">- DICLOFENAC DIETHYLAMINE</f>
        <v>#NAME?</v>
      </c>
      <c r="F7784" t="s">
        <v>35479</v>
      </c>
      <c r="G7784" t="s">
        <v>34997</v>
      </c>
      <c r="H7784" t="s">
        <v>30527</v>
      </c>
      <c r="I7784" t="s">
        <v>34998</v>
      </c>
      <c r="J7784" t="s">
        <v>19716</v>
      </c>
      <c r="K7784" t="s">
        <v>34999</v>
      </c>
      <c r="L7784" t="s">
        <v>35000</v>
      </c>
      <c r="M7784" t="s">
        <v>87</v>
      </c>
      <c r="N7784" t="s">
        <v>1958</v>
      </c>
      <c r="O7784" t="s">
        <v>35001</v>
      </c>
      <c r="P7784" t="s">
        <v>35002</v>
      </c>
      <c r="Q7784" t="s">
        <v>35003</v>
      </c>
      <c r="R7784">
        <v>22</v>
      </c>
      <c r="S7784">
        <v>32</v>
      </c>
    </row>
    <row r="7785" spans="1:19" x14ac:dyDescent="0.35">
      <c r="A7785">
        <v>6860</v>
      </c>
      <c r="B7785" t="s">
        <v>34994</v>
      </c>
      <c r="C7785" t="s">
        <v>42</v>
      </c>
      <c r="D7785" t="s">
        <v>35478</v>
      </c>
      <c r="E7785" t="e" cm="1">
        <f t="array" ref="E7785">- DICLOFENAC DIETHYLAMINE</f>
        <v>#NAME?</v>
      </c>
      <c r="F7785" t="s">
        <v>35479</v>
      </c>
      <c r="G7785" t="s">
        <v>34997</v>
      </c>
      <c r="H7785" t="s">
        <v>30527</v>
      </c>
      <c r="I7785" t="s">
        <v>34998</v>
      </c>
      <c r="J7785" t="s">
        <v>19716</v>
      </c>
      <c r="K7785" t="s">
        <v>34999</v>
      </c>
      <c r="L7785" t="s">
        <v>35000</v>
      </c>
      <c r="M7785" t="s">
        <v>87</v>
      </c>
      <c r="N7785" t="s">
        <v>1958</v>
      </c>
      <c r="O7785" t="s">
        <v>35001</v>
      </c>
      <c r="P7785" t="s">
        <v>35002</v>
      </c>
      <c r="Q7785" t="s">
        <v>35003</v>
      </c>
      <c r="R7785">
        <v>22</v>
      </c>
      <c r="S7785">
        <v>32</v>
      </c>
    </row>
    <row r="7786" spans="1:19" x14ac:dyDescent="0.35">
      <c r="A7786">
        <v>6856</v>
      </c>
      <c r="B7786" t="s">
        <v>34994</v>
      </c>
      <c r="C7786" t="s">
        <v>42</v>
      </c>
      <c r="D7786" t="s">
        <v>35478</v>
      </c>
      <c r="E7786" t="e" cm="1">
        <f t="array" ref="E7786">- DICLOFENAC DIETHYLAMINE</f>
        <v>#NAME?</v>
      </c>
      <c r="F7786" t="s">
        <v>35479</v>
      </c>
      <c r="G7786" t="s">
        <v>34997</v>
      </c>
      <c r="H7786" t="s">
        <v>30527</v>
      </c>
      <c r="I7786" t="s">
        <v>34998</v>
      </c>
      <c r="J7786" t="s">
        <v>19716</v>
      </c>
      <c r="K7786" t="s">
        <v>34999</v>
      </c>
      <c r="L7786" t="s">
        <v>35000</v>
      </c>
      <c r="M7786" t="s">
        <v>87</v>
      </c>
      <c r="N7786" t="s">
        <v>1958</v>
      </c>
      <c r="O7786" t="s">
        <v>35001</v>
      </c>
      <c r="P7786" t="s">
        <v>35002</v>
      </c>
      <c r="Q7786" t="s">
        <v>35003</v>
      </c>
      <c r="R7786">
        <v>22</v>
      </c>
      <c r="S7786">
        <v>32</v>
      </c>
    </row>
    <row r="7787" spans="1:19" x14ac:dyDescent="0.35">
      <c r="A7787">
        <v>6855</v>
      </c>
      <c r="B7787" t="s">
        <v>34994</v>
      </c>
      <c r="C7787" t="s">
        <v>42</v>
      </c>
      <c r="D7787" t="s">
        <v>35478</v>
      </c>
      <c r="E7787" t="e" cm="1">
        <f t="array" ref="E7787">- DICLOFENAC DIETHYLAMINE</f>
        <v>#NAME?</v>
      </c>
      <c r="F7787" t="s">
        <v>35479</v>
      </c>
      <c r="G7787" t="s">
        <v>34997</v>
      </c>
      <c r="H7787" t="s">
        <v>30527</v>
      </c>
      <c r="I7787" t="s">
        <v>34998</v>
      </c>
      <c r="J7787" t="s">
        <v>19716</v>
      </c>
      <c r="K7787" t="s">
        <v>34999</v>
      </c>
      <c r="L7787" t="s">
        <v>35000</v>
      </c>
      <c r="M7787" t="s">
        <v>87</v>
      </c>
      <c r="N7787" t="s">
        <v>1958</v>
      </c>
      <c r="O7787" t="s">
        <v>35001</v>
      </c>
      <c r="P7787" t="s">
        <v>35002</v>
      </c>
      <c r="Q7787" t="s">
        <v>35003</v>
      </c>
      <c r="R7787">
        <v>22</v>
      </c>
      <c r="S7787">
        <v>32</v>
      </c>
    </row>
    <row r="7788" spans="1:19" x14ac:dyDescent="0.35">
      <c r="A7788">
        <v>6849</v>
      </c>
      <c r="B7788" t="s">
        <v>34994</v>
      </c>
      <c r="C7788" t="s">
        <v>42</v>
      </c>
      <c r="D7788" t="s">
        <v>34995</v>
      </c>
      <c r="E7788" t="e" cm="1">
        <f t="array" ref="E7788">- DICLOFENAC DIETHYLAMINE</f>
        <v>#NAME?</v>
      </c>
      <c r="F7788" t="s">
        <v>34996</v>
      </c>
      <c r="G7788" t="s">
        <v>34997</v>
      </c>
      <c r="H7788" t="s">
        <v>30527</v>
      </c>
      <c r="I7788" t="s">
        <v>34998</v>
      </c>
      <c r="J7788" t="s">
        <v>2040</v>
      </c>
      <c r="K7788" t="s">
        <v>34999</v>
      </c>
      <c r="L7788" t="s">
        <v>35000</v>
      </c>
      <c r="M7788" t="s">
        <v>87</v>
      </c>
      <c r="N7788" t="s">
        <v>1958</v>
      </c>
      <c r="O7788" t="s">
        <v>35001</v>
      </c>
      <c r="P7788" t="s">
        <v>35002</v>
      </c>
      <c r="Q7788" t="s">
        <v>35003</v>
      </c>
      <c r="R7788">
        <v>22</v>
      </c>
      <c r="S7788">
        <v>32</v>
      </c>
    </row>
    <row r="7789" spans="1:19" x14ac:dyDescent="0.35">
      <c r="A7789">
        <v>6828</v>
      </c>
      <c r="B7789" t="s">
        <v>34994</v>
      </c>
      <c r="C7789" t="s">
        <v>42</v>
      </c>
      <c r="D7789" t="s">
        <v>35305</v>
      </c>
      <c r="E7789" t="e" cm="1">
        <f t="array" ref="E7789">- DICLOFENAC DIETHYLAMINE</f>
        <v>#NAME?</v>
      </c>
      <c r="F7789" t="s">
        <v>35306</v>
      </c>
      <c r="G7789" t="s">
        <v>34997</v>
      </c>
      <c r="H7789" t="s">
        <v>30527</v>
      </c>
      <c r="I7789" t="s">
        <v>34998</v>
      </c>
      <c r="J7789" t="s">
        <v>3197</v>
      </c>
      <c r="K7789" t="s">
        <v>34999</v>
      </c>
      <c r="L7789" t="s">
        <v>35000</v>
      </c>
      <c r="M7789" t="s">
        <v>87</v>
      </c>
      <c r="N7789" t="s">
        <v>1958</v>
      </c>
      <c r="O7789" t="s">
        <v>35001</v>
      </c>
      <c r="P7789" t="s">
        <v>35002</v>
      </c>
      <c r="Q7789" t="s">
        <v>35003</v>
      </c>
      <c r="R7789">
        <v>22</v>
      </c>
      <c r="S7789">
        <v>32</v>
      </c>
    </row>
    <row r="7790" spans="1:19" x14ac:dyDescent="0.35">
      <c r="A7790">
        <v>7209</v>
      </c>
      <c r="B7790" t="s">
        <v>35492</v>
      </c>
      <c r="C7790" t="s">
        <v>20</v>
      </c>
      <c r="D7790" t="s">
        <v>35493</v>
      </c>
      <c r="E7790" t="s">
        <v>35494</v>
      </c>
      <c r="F7790" t="s">
        <v>35495</v>
      </c>
      <c r="G7790" t="s">
        <v>9629</v>
      </c>
      <c r="H7790" t="s">
        <v>11145</v>
      </c>
      <c r="I7790" t="s">
        <v>35496</v>
      </c>
      <c r="J7790" t="s">
        <v>35497</v>
      </c>
      <c r="M7790" t="s">
        <v>2115</v>
      </c>
      <c r="N7790" t="s">
        <v>35498</v>
      </c>
      <c r="O7790" t="s">
        <v>35499</v>
      </c>
      <c r="P7790" t="s">
        <v>35500</v>
      </c>
      <c r="Q7790" t="s">
        <v>35501</v>
      </c>
      <c r="R7790">
        <v>22</v>
      </c>
      <c r="S7790">
        <v>32</v>
      </c>
    </row>
    <row r="7791" spans="1:19" x14ac:dyDescent="0.35">
      <c r="A7791">
        <v>6861</v>
      </c>
      <c r="B7791" t="s">
        <v>34994</v>
      </c>
      <c r="C7791" t="s">
        <v>42</v>
      </c>
      <c r="D7791" t="s">
        <v>35478</v>
      </c>
      <c r="E7791" t="e" cm="1">
        <f t="array" ref="E7791">- DICLOFENAC DIETHYLAMINE</f>
        <v>#NAME?</v>
      </c>
      <c r="F7791" t="s">
        <v>35479</v>
      </c>
      <c r="G7791" t="s">
        <v>34997</v>
      </c>
      <c r="H7791" t="s">
        <v>30527</v>
      </c>
      <c r="I7791" t="s">
        <v>34998</v>
      </c>
      <c r="J7791" t="s">
        <v>19716</v>
      </c>
      <c r="K7791" t="s">
        <v>34999</v>
      </c>
      <c r="L7791" t="s">
        <v>35000</v>
      </c>
      <c r="M7791" t="s">
        <v>87</v>
      </c>
      <c r="N7791" t="s">
        <v>1958</v>
      </c>
      <c r="O7791" t="s">
        <v>35001</v>
      </c>
      <c r="P7791" t="s">
        <v>35002</v>
      </c>
      <c r="Q7791" t="s">
        <v>35003</v>
      </c>
      <c r="R7791">
        <v>22</v>
      </c>
      <c r="S7791">
        <v>32</v>
      </c>
    </row>
    <row r="7792" spans="1:19" x14ac:dyDescent="0.35">
      <c r="A7792">
        <v>6854</v>
      </c>
      <c r="B7792" t="s">
        <v>34994</v>
      </c>
      <c r="C7792" t="s">
        <v>42</v>
      </c>
      <c r="D7792" t="s">
        <v>35478</v>
      </c>
      <c r="E7792" t="e" cm="1">
        <f t="array" ref="E7792">- DICLOFENAC DIETHYLAMINE</f>
        <v>#NAME?</v>
      </c>
      <c r="F7792" t="s">
        <v>35479</v>
      </c>
      <c r="G7792" t="s">
        <v>34997</v>
      </c>
      <c r="H7792" t="s">
        <v>30527</v>
      </c>
      <c r="I7792" t="s">
        <v>34998</v>
      </c>
      <c r="J7792" t="s">
        <v>19716</v>
      </c>
      <c r="K7792" t="s">
        <v>34999</v>
      </c>
      <c r="L7792" t="s">
        <v>35000</v>
      </c>
      <c r="M7792" t="s">
        <v>87</v>
      </c>
      <c r="N7792" t="s">
        <v>1958</v>
      </c>
      <c r="O7792" t="s">
        <v>35001</v>
      </c>
      <c r="P7792" t="s">
        <v>35002</v>
      </c>
      <c r="Q7792" t="s">
        <v>35003</v>
      </c>
      <c r="R7792">
        <v>22</v>
      </c>
      <c r="S7792">
        <v>32</v>
      </c>
    </row>
    <row r="7793" spans="1:19" x14ac:dyDescent="0.35">
      <c r="A7793">
        <v>7342</v>
      </c>
      <c r="B7793" t="s">
        <v>32123</v>
      </c>
      <c r="C7793" t="s">
        <v>42</v>
      </c>
      <c r="D7793" t="s">
        <v>35309</v>
      </c>
      <c r="E7793" t="e" cm="1">
        <f t="array" ref="E7793">- POVIDONE-IODINE</f>
        <v>#NAME?</v>
      </c>
      <c r="F7793" t="s">
        <v>35310</v>
      </c>
      <c r="G7793" t="s">
        <v>32126</v>
      </c>
      <c r="H7793" t="s">
        <v>35311</v>
      </c>
      <c r="I7793" t="s">
        <v>35312</v>
      </c>
      <c r="J7793" t="s">
        <v>374</v>
      </c>
      <c r="K7793" t="s">
        <v>32130</v>
      </c>
      <c r="L7793" t="s">
        <v>32131</v>
      </c>
      <c r="M7793" t="s">
        <v>554</v>
      </c>
      <c r="N7793" t="s">
        <v>555</v>
      </c>
      <c r="O7793" t="s">
        <v>35313</v>
      </c>
      <c r="P7793" t="s">
        <v>32133</v>
      </c>
      <c r="Q7793" t="s">
        <v>35314</v>
      </c>
      <c r="R7793">
        <v>22</v>
      </c>
      <c r="S7793">
        <v>32</v>
      </c>
    </row>
    <row r="7794" spans="1:19" x14ac:dyDescent="0.35">
      <c r="A7794">
        <v>1070</v>
      </c>
      <c r="B7794" t="s">
        <v>28617</v>
      </c>
      <c r="C7794" t="s">
        <v>42</v>
      </c>
      <c r="D7794" t="s">
        <v>28618</v>
      </c>
      <c r="E7794" t="e" cm="1">
        <f t="array" ref="E7794">- DEXTROMETHORPHAN HYDROBROMIDE. PHENYLPROPANOLAMINE HYDROCHLORIDE. CHLORPHENAMINE MALEATE. PARACETAMOL</f>
        <v>#NAME?</v>
      </c>
      <c r="F7794" t="s">
        <v>28619</v>
      </c>
      <c r="G7794" t="s">
        <v>2241</v>
      </c>
      <c r="H7794" t="s">
        <v>28620</v>
      </c>
      <c r="I7794" t="s">
        <v>28621</v>
      </c>
      <c r="J7794" t="s">
        <v>3797</v>
      </c>
      <c r="K7794" t="s">
        <v>28622</v>
      </c>
      <c r="L7794" t="s">
        <v>28623</v>
      </c>
      <c r="M7794" t="s">
        <v>291</v>
      </c>
      <c r="N7794" t="s">
        <v>35307</v>
      </c>
      <c r="O7794" t="s">
        <v>28624</v>
      </c>
      <c r="P7794" t="s">
        <v>28625</v>
      </c>
      <c r="Q7794" t="s">
        <v>35308</v>
      </c>
      <c r="R7794">
        <v>22</v>
      </c>
      <c r="S7794">
        <v>32</v>
      </c>
    </row>
    <row r="7795" spans="1:19" x14ac:dyDescent="0.35">
      <c r="A7795">
        <v>4809</v>
      </c>
      <c r="B7795" t="s">
        <v>32566</v>
      </c>
      <c r="C7795" t="s">
        <v>42</v>
      </c>
      <c r="D7795" t="s">
        <v>32567</v>
      </c>
      <c r="E7795" t="e" cm="1">
        <f t="array" ref="E7795">- DEXAMETHASONE SODIUM PHOSPHATE. NEOMYCIN SULFATE</f>
        <v>#NAME?</v>
      </c>
      <c r="F7795" t="s">
        <v>32568</v>
      </c>
      <c r="G7795" t="s">
        <v>7569</v>
      </c>
      <c r="H7795" t="s">
        <v>7570</v>
      </c>
      <c r="I7795" t="s">
        <v>32569</v>
      </c>
      <c r="J7795" t="s">
        <v>11321</v>
      </c>
      <c r="L7795" t="s">
        <v>16435</v>
      </c>
      <c r="M7795" t="s">
        <v>824</v>
      </c>
      <c r="N7795" t="s">
        <v>35241</v>
      </c>
      <c r="O7795" t="s">
        <v>32570</v>
      </c>
      <c r="P7795" t="s">
        <v>32571</v>
      </c>
      <c r="Q7795" t="s">
        <v>35242</v>
      </c>
      <c r="R7795">
        <v>22</v>
      </c>
      <c r="S7795">
        <v>32</v>
      </c>
    </row>
    <row r="7796" spans="1:19" x14ac:dyDescent="0.35">
      <c r="A7796">
        <v>6814</v>
      </c>
      <c r="B7796" t="s">
        <v>35502</v>
      </c>
      <c r="C7796" t="s">
        <v>42</v>
      </c>
      <c r="D7796" t="s">
        <v>35503</v>
      </c>
      <c r="E7796" t="e" cm="1">
        <f t="array" ref="E7796">- ALLOPURINOL</f>
        <v>#NAME?</v>
      </c>
      <c r="F7796" t="s">
        <v>35504</v>
      </c>
      <c r="G7796" t="s">
        <v>5033</v>
      </c>
      <c r="H7796" t="s">
        <v>33716</v>
      </c>
      <c r="I7796" t="s">
        <v>33717</v>
      </c>
      <c r="J7796" t="s">
        <v>28177</v>
      </c>
      <c r="K7796" t="s">
        <v>35246</v>
      </c>
      <c r="L7796" t="s">
        <v>35259</v>
      </c>
      <c r="M7796" t="s">
        <v>291</v>
      </c>
      <c r="N7796" t="s">
        <v>424</v>
      </c>
      <c r="O7796" t="s">
        <v>33720</v>
      </c>
      <c r="P7796" t="s">
        <v>35505</v>
      </c>
      <c r="Q7796" t="s">
        <v>35506</v>
      </c>
      <c r="R7796">
        <v>22</v>
      </c>
      <c r="S7796">
        <v>32</v>
      </c>
    </row>
    <row r="7797" spans="1:19" x14ac:dyDescent="0.35">
      <c r="A7797">
        <v>6853</v>
      </c>
      <c r="B7797" t="s">
        <v>34994</v>
      </c>
      <c r="C7797" t="s">
        <v>42</v>
      </c>
      <c r="D7797" t="s">
        <v>35478</v>
      </c>
      <c r="E7797" t="e" cm="1">
        <f t="array" ref="E7797">- DICLOFENAC DIETHYLAMINE</f>
        <v>#NAME?</v>
      </c>
      <c r="F7797" t="s">
        <v>35479</v>
      </c>
      <c r="G7797" t="s">
        <v>34997</v>
      </c>
      <c r="H7797" t="s">
        <v>30527</v>
      </c>
      <c r="I7797" t="s">
        <v>34998</v>
      </c>
      <c r="J7797" t="s">
        <v>19716</v>
      </c>
      <c r="K7797" t="s">
        <v>34999</v>
      </c>
      <c r="L7797" t="s">
        <v>35000</v>
      </c>
      <c r="M7797" t="s">
        <v>87</v>
      </c>
      <c r="N7797" t="s">
        <v>1958</v>
      </c>
      <c r="O7797" t="s">
        <v>35001</v>
      </c>
      <c r="P7797" t="s">
        <v>35002</v>
      </c>
      <c r="Q7797" t="s">
        <v>35003</v>
      </c>
      <c r="R7797">
        <v>22</v>
      </c>
      <c r="S7797">
        <v>32</v>
      </c>
    </row>
    <row r="7798" spans="1:19" x14ac:dyDescent="0.35">
      <c r="A7798">
        <v>5952</v>
      </c>
      <c r="B7798" t="s">
        <v>35507</v>
      </c>
      <c r="C7798" t="s">
        <v>42</v>
      </c>
      <c r="D7798" t="s">
        <v>35508</v>
      </c>
      <c r="E7798" t="e" cm="1">
        <f t="array" ref="E7798">- CLINDAMYCIN HYDROCHLORIDE</f>
        <v>#NAME?</v>
      </c>
      <c r="F7798" t="s">
        <v>35509</v>
      </c>
      <c r="G7798" t="s">
        <v>2248</v>
      </c>
      <c r="H7798" t="s">
        <v>35510</v>
      </c>
      <c r="I7798" t="s">
        <v>35511</v>
      </c>
      <c r="J7798" t="s">
        <v>9961</v>
      </c>
      <c r="L7798" t="s">
        <v>32586</v>
      </c>
      <c r="M7798" t="s">
        <v>38</v>
      </c>
      <c r="N7798" t="s">
        <v>23622</v>
      </c>
      <c r="O7798" t="s">
        <v>35512</v>
      </c>
      <c r="P7798" t="s">
        <v>7191</v>
      </c>
      <c r="Q7798" t="s">
        <v>35513</v>
      </c>
      <c r="R7798">
        <v>22</v>
      </c>
      <c r="S7798">
        <v>32</v>
      </c>
    </row>
    <row r="7799" spans="1:19" x14ac:dyDescent="0.35">
      <c r="A7799">
        <v>6862</v>
      </c>
      <c r="B7799" t="s">
        <v>34994</v>
      </c>
      <c r="C7799" t="s">
        <v>42</v>
      </c>
      <c r="D7799" t="s">
        <v>35478</v>
      </c>
      <c r="E7799" t="e" cm="1">
        <f t="array" ref="E7799">- DICLOFENAC DIETHYLAMINE</f>
        <v>#NAME?</v>
      </c>
      <c r="F7799" t="s">
        <v>35479</v>
      </c>
      <c r="G7799" t="s">
        <v>34997</v>
      </c>
      <c r="H7799" t="s">
        <v>30527</v>
      </c>
      <c r="I7799" t="s">
        <v>34998</v>
      </c>
      <c r="J7799" t="s">
        <v>19716</v>
      </c>
      <c r="K7799" t="s">
        <v>34999</v>
      </c>
      <c r="L7799" t="s">
        <v>35000</v>
      </c>
      <c r="M7799" t="s">
        <v>87</v>
      </c>
      <c r="N7799" t="s">
        <v>1958</v>
      </c>
      <c r="O7799" t="s">
        <v>35001</v>
      </c>
      <c r="P7799" t="s">
        <v>35002</v>
      </c>
      <c r="Q7799" t="s">
        <v>35003</v>
      </c>
      <c r="R7799">
        <v>22</v>
      </c>
      <c r="S7799">
        <v>32</v>
      </c>
    </row>
    <row r="7800" spans="1:19" x14ac:dyDescent="0.35">
      <c r="A7800">
        <v>5345</v>
      </c>
      <c r="B7800" t="s">
        <v>32768</v>
      </c>
      <c r="C7800" t="s">
        <v>42</v>
      </c>
      <c r="D7800" t="s">
        <v>32769</v>
      </c>
      <c r="E7800" t="e" cm="1">
        <f t="array" ref="E7800">- FLUOCINOLONE ACETONIDE. GENTAMICIN SULFATE</f>
        <v>#NAME?</v>
      </c>
      <c r="F7800" t="s">
        <v>32770</v>
      </c>
      <c r="G7800" t="s">
        <v>7210</v>
      </c>
      <c r="H7800" t="s">
        <v>32771</v>
      </c>
      <c r="I7800" t="s">
        <v>32772</v>
      </c>
      <c r="J7800" t="s">
        <v>7123</v>
      </c>
      <c r="K7800" t="s">
        <v>32773</v>
      </c>
      <c r="L7800" t="s">
        <v>32774</v>
      </c>
      <c r="M7800" t="s">
        <v>1289</v>
      </c>
      <c r="N7800" t="s">
        <v>24072</v>
      </c>
      <c r="O7800" t="s">
        <v>32775</v>
      </c>
      <c r="P7800" t="s">
        <v>32776</v>
      </c>
      <c r="Q7800" t="s">
        <v>35514</v>
      </c>
      <c r="R7800">
        <v>22</v>
      </c>
      <c r="S7800">
        <v>32</v>
      </c>
    </row>
    <row r="7801" spans="1:19" x14ac:dyDescent="0.35">
      <c r="A7801">
        <v>6850</v>
      </c>
      <c r="B7801" t="s">
        <v>34994</v>
      </c>
      <c r="C7801" t="s">
        <v>42</v>
      </c>
      <c r="D7801" t="s">
        <v>34995</v>
      </c>
      <c r="E7801" t="e" cm="1">
        <f t="array" ref="E7801">- DICLOFENAC DIETHYLAMINE</f>
        <v>#NAME?</v>
      </c>
      <c r="F7801" t="s">
        <v>34996</v>
      </c>
      <c r="G7801" t="s">
        <v>34997</v>
      </c>
      <c r="H7801" t="s">
        <v>30527</v>
      </c>
      <c r="I7801" t="s">
        <v>34998</v>
      </c>
      <c r="J7801" t="s">
        <v>2040</v>
      </c>
      <c r="K7801" t="s">
        <v>34999</v>
      </c>
      <c r="L7801" t="s">
        <v>35000</v>
      </c>
      <c r="M7801" t="s">
        <v>87</v>
      </c>
      <c r="N7801" t="s">
        <v>1958</v>
      </c>
      <c r="O7801" t="s">
        <v>35001</v>
      </c>
      <c r="P7801" t="s">
        <v>35002</v>
      </c>
      <c r="Q7801" t="s">
        <v>35003</v>
      </c>
      <c r="R7801">
        <v>22</v>
      </c>
      <c r="S7801">
        <v>32</v>
      </c>
    </row>
    <row r="7802" spans="1:19" x14ac:dyDescent="0.35">
      <c r="A7802">
        <v>6851</v>
      </c>
      <c r="B7802" t="s">
        <v>34994</v>
      </c>
      <c r="C7802" t="s">
        <v>42</v>
      </c>
      <c r="D7802" t="s">
        <v>34995</v>
      </c>
      <c r="E7802" t="e" cm="1">
        <f t="array" ref="E7802">- DICLOFENAC DIETHYLAMINE</f>
        <v>#NAME?</v>
      </c>
      <c r="F7802" t="s">
        <v>34996</v>
      </c>
      <c r="G7802" t="s">
        <v>34997</v>
      </c>
      <c r="H7802" t="s">
        <v>30527</v>
      </c>
      <c r="I7802" t="s">
        <v>34998</v>
      </c>
      <c r="J7802" t="s">
        <v>2040</v>
      </c>
      <c r="K7802" t="s">
        <v>34999</v>
      </c>
      <c r="L7802" t="s">
        <v>35000</v>
      </c>
      <c r="M7802" t="s">
        <v>87</v>
      </c>
      <c r="N7802" t="s">
        <v>1958</v>
      </c>
      <c r="O7802" t="s">
        <v>35001</v>
      </c>
      <c r="P7802" t="s">
        <v>35002</v>
      </c>
      <c r="Q7802" t="s">
        <v>35003</v>
      </c>
      <c r="R7802">
        <v>22</v>
      </c>
      <c r="S7802">
        <v>32</v>
      </c>
    </row>
    <row r="7803" spans="1:19" x14ac:dyDescent="0.35">
      <c r="A7803">
        <v>7384</v>
      </c>
      <c r="B7803" t="s">
        <v>35480</v>
      </c>
      <c r="C7803" t="s">
        <v>42</v>
      </c>
      <c r="D7803" t="s">
        <v>35481</v>
      </c>
      <c r="E7803" t="e" cm="1">
        <f t="array" ref="E7803">- CYANOCOBALAMIN</f>
        <v>#NAME?</v>
      </c>
      <c r="F7803" t="s">
        <v>35482</v>
      </c>
      <c r="G7803" t="s">
        <v>35483</v>
      </c>
      <c r="H7803" t="s">
        <v>35484</v>
      </c>
      <c r="I7803" t="s">
        <v>35485</v>
      </c>
      <c r="J7803" t="s">
        <v>35486</v>
      </c>
      <c r="K7803" t="s">
        <v>35487</v>
      </c>
      <c r="L7803" t="s">
        <v>35488</v>
      </c>
      <c r="M7803" t="s">
        <v>46</v>
      </c>
      <c r="N7803" t="s">
        <v>677</v>
      </c>
      <c r="O7803" t="s">
        <v>35489</v>
      </c>
      <c r="P7803" t="s">
        <v>35490</v>
      </c>
      <c r="Q7803" t="s">
        <v>35491</v>
      </c>
      <c r="R7803">
        <v>22</v>
      </c>
      <c r="S7803">
        <v>32</v>
      </c>
    </row>
    <row r="7804" spans="1:19" x14ac:dyDescent="0.35">
      <c r="A7804">
        <v>6848</v>
      </c>
      <c r="B7804" t="s">
        <v>34994</v>
      </c>
      <c r="C7804" t="s">
        <v>42</v>
      </c>
      <c r="D7804" t="s">
        <v>34995</v>
      </c>
      <c r="E7804" t="e" cm="1">
        <f t="array" ref="E7804">- DICLOFENAC DIETHYLAMINE</f>
        <v>#NAME?</v>
      </c>
      <c r="F7804" t="s">
        <v>34996</v>
      </c>
      <c r="G7804" t="s">
        <v>34997</v>
      </c>
      <c r="H7804" t="s">
        <v>30527</v>
      </c>
      <c r="I7804" t="s">
        <v>34998</v>
      </c>
      <c r="J7804" t="s">
        <v>2040</v>
      </c>
      <c r="K7804" t="s">
        <v>34999</v>
      </c>
      <c r="L7804" t="s">
        <v>35000</v>
      </c>
      <c r="M7804" t="s">
        <v>87</v>
      </c>
      <c r="N7804" t="s">
        <v>1958</v>
      </c>
      <c r="O7804" t="s">
        <v>35001</v>
      </c>
      <c r="P7804" t="s">
        <v>35002</v>
      </c>
      <c r="Q7804" t="s">
        <v>35003</v>
      </c>
      <c r="R7804">
        <v>22</v>
      </c>
      <c r="S7804">
        <v>32</v>
      </c>
    </row>
    <row r="7805" spans="1:19" x14ac:dyDescent="0.35">
      <c r="A7805">
        <v>6787</v>
      </c>
      <c r="B7805" t="s">
        <v>35243</v>
      </c>
      <c r="C7805" t="s">
        <v>42</v>
      </c>
      <c r="D7805" t="s">
        <v>35244</v>
      </c>
      <c r="E7805" t="e" cm="1">
        <f t="array" ref="E7805">- ALLOPURINOL</f>
        <v>#NAME?</v>
      </c>
      <c r="F7805" t="s">
        <v>35245</v>
      </c>
      <c r="G7805" t="s">
        <v>5033</v>
      </c>
      <c r="H7805" t="s">
        <v>33716</v>
      </c>
      <c r="I7805" t="s">
        <v>33717</v>
      </c>
      <c r="J7805" t="s">
        <v>532</v>
      </c>
      <c r="K7805" t="s">
        <v>35246</v>
      </c>
      <c r="L7805" t="s">
        <v>35247</v>
      </c>
      <c r="M7805" t="s">
        <v>46</v>
      </c>
      <c r="N7805" t="s">
        <v>424</v>
      </c>
      <c r="O7805" t="s">
        <v>33720</v>
      </c>
      <c r="P7805" t="s">
        <v>35248</v>
      </c>
      <c r="Q7805" t="s">
        <v>35249</v>
      </c>
      <c r="R7805">
        <v>22</v>
      </c>
      <c r="S7805">
        <v>32</v>
      </c>
    </row>
    <row r="7806" spans="1:19" x14ac:dyDescent="0.35">
      <c r="A7806">
        <v>6810</v>
      </c>
      <c r="B7806" t="s">
        <v>35515</v>
      </c>
      <c r="C7806" t="s">
        <v>42</v>
      </c>
      <c r="D7806" t="s">
        <v>35516</v>
      </c>
      <c r="E7806" t="e" cm="1">
        <f t="array" ref="E7806">- ALLOPURINOL</f>
        <v>#NAME?</v>
      </c>
      <c r="F7806" t="s">
        <v>35517</v>
      </c>
      <c r="G7806" t="s">
        <v>5033</v>
      </c>
      <c r="H7806" t="s">
        <v>33716</v>
      </c>
      <c r="I7806" t="s">
        <v>33717</v>
      </c>
      <c r="J7806" t="s">
        <v>532</v>
      </c>
      <c r="K7806" t="s">
        <v>35246</v>
      </c>
      <c r="L7806" t="s">
        <v>35247</v>
      </c>
      <c r="M7806" t="s">
        <v>46</v>
      </c>
      <c r="N7806" t="s">
        <v>424</v>
      </c>
      <c r="O7806" t="s">
        <v>33720</v>
      </c>
      <c r="P7806" t="s">
        <v>35518</v>
      </c>
      <c r="Q7806" t="s">
        <v>35519</v>
      </c>
      <c r="R7806">
        <v>22</v>
      </c>
      <c r="S7806">
        <v>32</v>
      </c>
    </row>
    <row r="7807" spans="1:19" x14ac:dyDescent="0.35">
      <c r="A7807">
        <v>6829</v>
      </c>
      <c r="B7807" t="s">
        <v>34994</v>
      </c>
      <c r="C7807" t="s">
        <v>42</v>
      </c>
      <c r="D7807" t="s">
        <v>35305</v>
      </c>
      <c r="E7807" t="e" cm="1">
        <f t="array" ref="E7807">- DICLOFENAC DIETHYLAMINE</f>
        <v>#NAME?</v>
      </c>
      <c r="F7807" t="s">
        <v>35306</v>
      </c>
      <c r="G7807" t="s">
        <v>34997</v>
      </c>
      <c r="H7807" t="s">
        <v>30527</v>
      </c>
      <c r="I7807" t="s">
        <v>34998</v>
      </c>
      <c r="J7807" t="s">
        <v>3197</v>
      </c>
      <c r="K7807" t="s">
        <v>34999</v>
      </c>
      <c r="L7807" t="s">
        <v>35000</v>
      </c>
      <c r="M7807" t="s">
        <v>87</v>
      </c>
      <c r="N7807" t="s">
        <v>1958</v>
      </c>
      <c r="O7807" t="s">
        <v>35001</v>
      </c>
      <c r="P7807" t="s">
        <v>35002</v>
      </c>
      <c r="Q7807" t="s">
        <v>35003</v>
      </c>
      <c r="R7807">
        <v>22</v>
      </c>
      <c r="S7807">
        <v>32</v>
      </c>
    </row>
    <row r="7808" spans="1:19" x14ac:dyDescent="0.35">
      <c r="A7808">
        <v>6857</v>
      </c>
      <c r="B7808" t="s">
        <v>34994</v>
      </c>
      <c r="C7808" t="s">
        <v>42</v>
      </c>
      <c r="D7808" t="s">
        <v>35478</v>
      </c>
      <c r="E7808" t="e" cm="1">
        <f t="array" ref="E7808">- DICLOFENAC DIETHYLAMINE</f>
        <v>#NAME?</v>
      </c>
      <c r="F7808" t="s">
        <v>35479</v>
      </c>
      <c r="G7808" t="s">
        <v>34997</v>
      </c>
      <c r="H7808" t="s">
        <v>30527</v>
      </c>
      <c r="I7808" t="s">
        <v>34998</v>
      </c>
      <c r="J7808" t="s">
        <v>19716</v>
      </c>
      <c r="K7808" t="s">
        <v>34999</v>
      </c>
      <c r="L7808" t="s">
        <v>35000</v>
      </c>
      <c r="M7808" t="s">
        <v>87</v>
      </c>
      <c r="N7808" t="s">
        <v>1958</v>
      </c>
      <c r="O7808" t="s">
        <v>35001</v>
      </c>
      <c r="P7808" t="s">
        <v>35002</v>
      </c>
      <c r="Q7808" t="s">
        <v>35003</v>
      </c>
      <c r="R7808">
        <v>22</v>
      </c>
      <c r="S7808">
        <v>32</v>
      </c>
    </row>
    <row r="7809" spans="1:19" x14ac:dyDescent="0.35">
      <c r="A7809">
        <v>7340</v>
      </c>
      <c r="B7809" t="s">
        <v>32123</v>
      </c>
      <c r="C7809" t="s">
        <v>42</v>
      </c>
      <c r="D7809" t="s">
        <v>35309</v>
      </c>
      <c r="E7809" t="e" cm="1">
        <f t="array" ref="E7809">- POVIDONE-IODINE</f>
        <v>#NAME?</v>
      </c>
      <c r="F7809" t="s">
        <v>35310</v>
      </c>
      <c r="G7809" t="s">
        <v>32126</v>
      </c>
      <c r="H7809" t="s">
        <v>35311</v>
      </c>
      <c r="I7809" t="s">
        <v>35312</v>
      </c>
      <c r="J7809" t="s">
        <v>374</v>
      </c>
      <c r="K7809" t="s">
        <v>32130</v>
      </c>
      <c r="L7809" t="s">
        <v>32131</v>
      </c>
      <c r="M7809" t="s">
        <v>554</v>
      </c>
      <c r="N7809" t="s">
        <v>555</v>
      </c>
      <c r="O7809" t="s">
        <v>35313</v>
      </c>
      <c r="P7809" t="s">
        <v>32133</v>
      </c>
      <c r="Q7809" t="s">
        <v>35314</v>
      </c>
      <c r="R7809">
        <v>22</v>
      </c>
      <c r="S7809">
        <v>32</v>
      </c>
    </row>
    <row r="7810" spans="1:19" x14ac:dyDescent="0.35">
      <c r="A7810">
        <v>6813</v>
      </c>
      <c r="B7810" t="s">
        <v>35520</v>
      </c>
      <c r="C7810" t="s">
        <v>42</v>
      </c>
      <c r="D7810" t="s">
        <v>35521</v>
      </c>
      <c r="E7810" t="e" cm="1">
        <f t="array" ref="E7810">- ALLOPURINOL</f>
        <v>#NAME?</v>
      </c>
      <c r="F7810" t="s">
        <v>35522</v>
      </c>
      <c r="H7810" t="s">
        <v>269</v>
      </c>
      <c r="I7810" t="s">
        <v>35523</v>
      </c>
      <c r="J7810" t="s">
        <v>28177</v>
      </c>
      <c r="L7810" t="s">
        <v>1616</v>
      </c>
      <c r="M7810" t="s">
        <v>291</v>
      </c>
      <c r="N7810" t="s">
        <v>424</v>
      </c>
      <c r="O7810" t="s">
        <v>33720</v>
      </c>
      <c r="P7810" t="s">
        <v>35505</v>
      </c>
      <c r="Q7810" t="s">
        <v>35506</v>
      </c>
      <c r="R7810">
        <v>22</v>
      </c>
      <c r="S7810">
        <v>32</v>
      </c>
    </row>
    <row r="7811" spans="1:19" x14ac:dyDescent="0.35">
      <c r="A7811">
        <v>6812</v>
      </c>
      <c r="B7811" t="s">
        <v>35524</v>
      </c>
      <c r="C7811" t="s">
        <v>42</v>
      </c>
      <c r="D7811" t="s">
        <v>35525</v>
      </c>
      <c r="E7811" t="e" cm="1">
        <f t="array" ref="E7811">- ALLOPURINOL</f>
        <v>#NAME?</v>
      </c>
      <c r="F7811" t="s">
        <v>35526</v>
      </c>
      <c r="G7811" t="s">
        <v>5033</v>
      </c>
      <c r="H7811" t="s">
        <v>33716</v>
      </c>
      <c r="I7811" t="s">
        <v>33717</v>
      </c>
      <c r="J7811" t="s">
        <v>381</v>
      </c>
      <c r="K7811" t="s">
        <v>35246</v>
      </c>
      <c r="L7811" t="s">
        <v>35247</v>
      </c>
      <c r="M7811" t="s">
        <v>46</v>
      </c>
      <c r="N7811" t="s">
        <v>424</v>
      </c>
      <c r="O7811" t="s">
        <v>33720</v>
      </c>
      <c r="P7811" t="s">
        <v>35403</v>
      </c>
      <c r="Q7811" t="s">
        <v>35404</v>
      </c>
      <c r="R7811">
        <v>22</v>
      </c>
      <c r="S7811">
        <v>32</v>
      </c>
    </row>
    <row r="7812" spans="1:19" x14ac:dyDescent="0.35">
      <c r="A7812">
        <v>6811</v>
      </c>
      <c r="B7812" t="s">
        <v>35527</v>
      </c>
      <c r="C7812" t="s">
        <v>42</v>
      </c>
      <c r="D7812" t="s">
        <v>35528</v>
      </c>
      <c r="E7812" t="e" cm="1">
        <f t="array" ref="E7812">- ALLOPURINOL</f>
        <v>#NAME?</v>
      </c>
      <c r="F7812" t="s">
        <v>35529</v>
      </c>
      <c r="G7812" t="s">
        <v>5033</v>
      </c>
      <c r="H7812" t="s">
        <v>33716</v>
      </c>
      <c r="I7812" t="s">
        <v>33717</v>
      </c>
      <c r="J7812" t="s">
        <v>35530</v>
      </c>
      <c r="K7812" t="s">
        <v>35246</v>
      </c>
      <c r="L7812" t="s">
        <v>35259</v>
      </c>
      <c r="M7812" t="s">
        <v>291</v>
      </c>
      <c r="N7812" t="s">
        <v>424</v>
      </c>
      <c r="O7812" t="s">
        <v>33720</v>
      </c>
      <c r="P7812" t="s">
        <v>35518</v>
      </c>
      <c r="Q7812" t="s">
        <v>35531</v>
      </c>
      <c r="R7812">
        <v>22</v>
      </c>
      <c r="S7812">
        <v>32</v>
      </c>
    </row>
    <row r="7813" spans="1:19" x14ac:dyDescent="0.35">
      <c r="A7813">
        <v>5457</v>
      </c>
      <c r="B7813" t="s">
        <v>35532</v>
      </c>
      <c r="C7813" t="s">
        <v>42</v>
      </c>
      <c r="D7813" t="s">
        <v>35533</v>
      </c>
      <c r="E7813" t="e" cm="1">
        <f t="array" ref="E7813">- TERBINAFINE HYDROCHLORIDE</f>
        <v>#NAME?</v>
      </c>
      <c r="F7813" s="1">
        <v>30600</v>
      </c>
      <c r="G7813" t="s">
        <v>11887</v>
      </c>
      <c r="H7813" t="s">
        <v>35534</v>
      </c>
      <c r="I7813" t="s">
        <v>35535</v>
      </c>
      <c r="J7813" t="s">
        <v>2040</v>
      </c>
      <c r="L7813" t="s">
        <v>35536</v>
      </c>
      <c r="M7813" t="s">
        <v>1289</v>
      </c>
      <c r="N7813" t="s">
        <v>7083</v>
      </c>
      <c r="O7813" t="s">
        <v>35537</v>
      </c>
      <c r="P7813" t="s">
        <v>35538</v>
      </c>
      <c r="Q7813" t="s">
        <v>35539</v>
      </c>
      <c r="R7813">
        <v>23</v>
      </c>
      <c r="S7813">
        <v>32</v>
      </c>
    </row>
    <row r="7814" spans="1:19" x14ac:dyDescent="0.35">
      <c r="A7814">
        <v>2641</v>
      </c>
      <c r="B7814" t="s">
        <v>35540</v>
      </c>
      <c r="C7814" t="s">
        <v>42</v>
      </c>
      <c r="D7814" t="s">
        <v>35541</v>
      </c>
      <c r="E7814" t="e" cm="1">
        <f t="array" ref="E7814">- PIROXICAM</f>
        <v>#NAME?</v>
      </c>
      <c r="F7814" t="s">
        <v>35542</v>
      </c>
      <c r="G7814" t="s">
        <v>20876</v>
      </c>
      <c r="H7814" t="s">
        <v>35543</v>
      </c>
      <c r="I7814" t="s">
        <v>35544</v>
      </c>
      <c r="J7814" t="s">
        <v>810</v>
      </c>
      <c r="K7814" t="s">
        <v>21551</v>
      </c>
      <c r="L7814" t="s">
        <v>35545</v>
      </c>
      <c r="M7814" t="s">
        <v>38</v>
      </c>
      <c r="N7814" t="s">
        <v>605</v>
      </c>
      <c r="O7814" t="s">
        <v>35546</v>
      </c>
      <c r="P7814" t="s">
        <v>35547</v>
      </c>
      <c r="Q7814" t="s">
        <v>35548</v>
      </c>
      <c r="R7814">
        <v>23</v>
      </c>
      <c r="S7814">
        <v>32</v>
      </c>
    </row>
    <row r="7815" spans="1:19" x14ac:dyDescent="0.35">
      <c r="A7815">
        <v>2640</v>
      </c>
      <c r="B7815" t="s">
        <v>35540</v>
      </c>
      <c r="C7815" t="s">
        <v>42</v>
      </c>
      <c r="D7815" t="s">
        <v>35541</v>
      </c>
      <c r="E7815" t="e" cm="1">
        <f t="array" ref="E7815">- PIROXICAM</f>
        <v>#NAME?</v>
      </c>
      <c r="F7815" t="s">
        <v>35542</v>
      </c>
      <c r="G7815" t="s">
        <v>20876</v>
      </c>
      <c r="H7815" t="s">
        <v>35543</v>
      </c>
      <c r="I7815" t="s">
        <v>35544</v>
      </c>
      <c r="J7815" t="s">
        <v>810</v>
      </c>
      <c r="K7815" t="s">
        <v>21551</v>
      </c>
      <c r="L7815" t="s">
        <v>35545</v>
      </c>
      <c r="M7815" t="s">
        <v>38</v>
      </c>
      <c r="N7815" t="s">
        <v>605</v>
      </c>
      <c r="O7815" t="s">
        <v>35546</v>
      </c>
      <c r="P7815" t="s">
        <v>35547</v>
      </c>
      <c r="Q7815" t="s">
        <v>35548</v>
      </c>
      <c r="R7815">
        <v>23</v>
      </c>
      <c r="S7815">
        <v>32</v>
      </c>
    </row>
    <row r="7816" spans="1:19" x14ac:dyDescent="0.35">
      <c r="A7816">
        <v>9318</v>
      </c>
      <c r="B7816" t="s">
        <v>35549</v>
      </c>
      <c r="C7816" t="s">
        <v>42</v>
      </c>
      <c r="D7816" t="s">
        <v>35550</v>
      </c>
      <c r="E7816" t="e" cm="1">
        <f t="array" ref="E7816">- SACUBITRIL</f>
        <v>#NAME?</v>
      </c>
      <c r="F7816" t="s">
        <v>35551</v>
      </c>
      <c r="G7816" t="s">
        <v>5301</v>
      </c>
      <c r="H7816" t="s">
        <v>35552</v>
      </c>
      <c r="I7816" t="s">
        <v>35553</v>
      </c>
      <c r="J7816" t="s">
        <v>35554</v>
      </c>
      <c r="K7816" t="s">
        <v>35555</v>
      </c>
      <c r="L7816" t="s">
        <v>321</v>
      </c>
      <c r="M7816" t="s">
        <v>46</v>
      </c>
      <c r="N7816" t="s">
        <v>35556</v>
      </c>
      <c r="O7816" t="s">
        <v>35557</v>
      </c>
      <c r="P7816" t="s">
        <v>35558</v>
      </c>
      <c r="Q7816" t="s">
        <v>35559</v>
      </c>
      <c r="R7816">
        <v>23</v>
      </c>
      <c r="S7816">
        <v>32</v>
      </c>
    </row>
    <row r="7817" spans="1:19" x14ac:dyDescent="0.35">
      <c r="A7817">
        <v>2638</v>
      </c>
      <c r="B7817" t="s">
        <v>35560</v>
      </c>
      <c r="C7817" t="s">
        <v>42</v>
      </c>
      <c r="D7817" t="s">
        <v>35561</v>
      </c>
      <c r="E7817" t="e" cm="1">
        <f t="array" ref="E7817">- PIROXICAM</f>
        <v>#NAME?</v>
      </c>
      <c r="F7817" t="s">
        <v>35562</v>
      </c>
      <c r="G7817" t="s">
        <v>20876</v>
      </c>
      <c r="H7817" t="s">
        <v>35563</v>
      </c>
      <c r="I7817" t="s">
        <v>35564</v>
      </c>
      <c r="J7817" t="s">
        <v>810</v>
      </c>
      <c r="K7817" t="s">
        <v>35565</v>
      </c>
      <c r="L7817" t="s">
        <v>35566</v>
      </c>
      <c r="M7817" t="s">
        <v>38</v>
      </c>
      <c r="N7817" t="s">
        <v>605</v>
      </c>
      <c r="O7817" t="s">
        <v>35546</v>
      </c>
      <c r="P7817" t="s">
        <v>35547</v>
      </c>
      <c r="Q7817" t="s">
        <v>35548</v>
      </c>
      <c r="R7817">
        <v>23</v>
      </c>
      <c r="S7817">
        <v>32</v>
      </c>
    </row>
    <row r="7818" spans="1:19" x14ac:dyDescent="0.35">
      <c r="A7818">
        <v>861</v>
      </c>
      <c r="B7818" t="s">
        <v>27846</v>
      </c>
      <c r="C7818" t="s">
        <v>42</v>
      </c>
      <c r="D7818" t="s">
        <v>27847</v>
      </c>
      <c r="E7818" t="e" cm="1">
        <f t="array" ref="E7818">- PARACETAMOL. PSEUDOEPHEDRINE HYDROCHLORIDE. CHLORPHENAMINE MALEATE. DEXTROMETHORPHAN HYDROBROMIDE. GUAIFENESIN</f>
        <v>#NAME?</v>
      </c>
      <c r="F7818" t="s">
        <v>27848</v>
      </c>
      <c r="G7818" t="s">
        <v>5839</v>
      </c>
      <c r="H7818" t="s">
        <v>27849</v>
      </c>
      <c r="I7818" t="s">
        <v>27850</v>
      </c>
      <c r="J7818" t="s">
        <v>27851</v>
      </c>
      <c r="K7818" t="s">
        <v>27852</v>
      </c>
    </row>
    <row r="7819" spans="1:19" x14ac:dyDescent="0.35">
      <c r="A7819">
        <v>8680</v>
      </c>
      <c r="B7819" t="s">
        <v>35567</v>
      </c>
      <c r="C7819" t="s">
        <v>42</v>
      </c>
      <c r="D7819" t="s">
        <v>35568</v>
      </c>
      <c r="E7819" t="e" cm="1">
        <f t="array" ref="E7819">- GLIMEPIRIDE</f>
        <v>#NAME?</v>
      </c>
      <c r="F7819" t="s">
        <v>35569</v>
      </c>
      <c r="G7819" t="s">
        <v>35570</v>
      </c>
      <c r="H7819" t="s">
        <v>34923</v>
      </c>
      <c r="I7819" t="s">
        <v>34924</v>
      </c>
      <c r="J7819" t="s">
        <v>2478</v>
      </c>
      <c r="K7819" t="s">
        <v>34925</v>
      </c>
      <c r="M7819" t="s">
        <v>46</v>
      </c>
      <c r="N7819" t="s">
        <v>34927</v>
      </c>
      <c r="O7819" t="s">
        <v>34928</v>
      </c>
      <c r="P7819" t="s">
        <v>35571</v>
      </c>
      <c r="Q7819" t="s">
        <v>35572</v>
      </c>
      <c r="R7819">
        <v>23</v>
      </c>
      <c r="S7819">
        <v>32</v>
      </c>
    </row>
    <row r="7820" spans="1:19" x14ac:dyDescent="0.35">
      <c r="A7820">
        <v>8681</v>
      </c>
      <c r="B7820" t="s">
        <v>35567</v>
      </c>
      <c r="C7820" t="s">
        <v>42</v>
      </c>
      <c r="D7820" t="s">
        <v>35568</v>
      </c>
      <c r="E7820" t="e" cm="1">
        <f t="array" ref="E7820">- GLIMEPIRIDE</f>
        <v>#NAME?</v>
      </c>
      <c r="F7820" t="s">
        <v>35569</v>
      </c>
      <c r="G7820" t="s">
        <v>35570</v>
      </c>
      <c r="H7820" t="s">
        <v>34923</v>
      </c>
      <c r="I7820" t="s">
        <v>34924</v>
      </c>
      <c r="J7820" t="s">
        <v>2478</v>
      </c>
      <c r="K7820" t="s">
        <v>34925</v>
      </c>
      <c r="M7820" t="s">
        <v>46</v>
      </c>
      <c r="N7820" t="s">
        <v>34927</v>
      </c>
      <c r="O7820" t="s">
        <v>34928</v>
      </c>
      <c r="P7820" t="s">
        <v>35571</v>
      </c>
      <c r="Q7820" t="s">
        <v>35572</v>
      </c>
      <c r="R7820">
        <v>23</v>
      </c>
      <c r="S7820">
        <v>32</v>
      </c>
    </row>
    <row r="7821" spans="1:19" x14ac:dyDescent="0.35">
      <c r="A7821">
        <v>9322</v>
      </c>
      <c r="B7821" t="s">
        <v>35549</v>
      </c>
      <c r="C7821" t="s">
        <v>42</v>
      </c>
      <c r="D7821" t="s">
        <v>35573</v>
      </c>
      <c r="E7821" t="e" cm="1">
        <f t="array" ref="E7821">- SACUBITRIL</f>
        <v>#NAME?</v>
      </c>
      <c r="F7821" t="s">
        <v>35574</v>
      </c>
      <c r="G7821" t="s">
        <v>5301</v>
      </c>
      <c r="H7821" t="s">
        <v>35552</v>
      </c>
      <c r="I7821" t="s">
        <v>35575</v>
      </c>
      <c r="J7821" t="s">
        <v>35576</v>
      </c>
      <c r="L7821" t="s">
        <v>270</v>
      </c>
      <c r="M7821" t="s">
        <v>46</v>
      </c>
      <c r="N7821" t="s">
        <v>35556</v>
      </c>
      <c r="O7821" t="s">
        <v>35557</v>
      </c>
      <c r="P7821" t="s">
        <v>35558</v>
      </c>
      <c r="Q7821" t="s">
        <v>35559</v>
      </c>
      <c r="R7821">
        <v>23</v>
      </c>
      <c r="S7821">
        <v>32</v>
      </c>
    </row>
    <row r="7822" spans="1:19" x14ac:dyDescent="0.35">
      <c r="A7822">
        <v>8682</v>
      </c>
      <c r="B7822" t="s">
        <v>35577</v>
      </c>
      <c r="C7822" t="s">
        <v>42</v>
      </c>
      <c r="D7822" t="s">
        <v>35578</v>
      </c>
      <c r="E7822" t="e" cm="1">
        <f t="array" ref="E7822">- GLIMEPIRIDE</f>
        <v>#NAME?</v>
      </c>
      <c r="F7822" t="s">
        <v>35579</v>
      </c>
      <c r="G7822" t="s">
        <v>35580</v>
      </c>
      <c r="H7822" t="s">
        <v>34923</v>
      </c>
      <c r="I7822" t="s">
        <v>34924</v>
      </c>
      <c r="J7822" t="s">
        <v>532</v>
      </c>
      <c r="K7822" t="s">
        <v>34925</v>
      </c>
      <c r="L7822" t="s">
        <v>34926</v>
      </c>
      <c r="M7822" t="s">
        <v>46</v>
      </c>
      <c r="N7822" t="s">
        <v>34927</v>
      </c>
      <c r="O7822" t="s">
        <v>34928</v>
      </c>
      <c r="P7822" t="s">
        <v>35581</v>
      </c>
      <c r="Q7822" t="s">
        <v>35582</v>
      </c>
      <c r="R7822">
        <v>23</v>
      </c>
      <c r="S7822">
        <v>32</v>
      </c>
    </row>
    <row r="7823" spans="1:19" x14ac:dyDescent="0.35">
      <c r="A7823">
        <v>6020</v>
      </c>
      <c r="B7823" t="s">
        <v>35583</v>
      </c>
      <c r="C7823" t="s">
        <v>42</v>
      </c>
      <c r="D7823" t="s">
        <v>35584</v>
      </c>
      <c r="E7823" t="e" cm="1">
        <f t="array" ref="E7823">- ERYTHROMYCIN ETHYL SUCCINATE</f>
        <v>#NAME?</v>
      </c>
      <c r="F7823" t="s">
        <v>35585</v>
      </c>
      <c r="G7823" t="s">
        <v>5568</v>
      </c>
      <c r="H7823" t="s">
        <v>319</v>
      </c>
      <c r="I7823" t="s">
        <v>35586</v>
      </c>
      <c r="J7823" t="s">
        <v>334</v>
      </c>
      <c r="K7823" t="s">
        <v>2726</v>
      </c>
      <c r="L7823" t="s">
        <v>35587</v>
      </c>
      <c r="M7823" t="s">
        <v>271</v>
      </c>
      <c r="N7823" t="s">
        <v>28853</v>
      </c>
      <c r="O7823" t="s">
        <v>35588</v>
      </c>
      <c r="P7823" t="s">
        <v>35589</v>
      </c>
      <c r="Q7823" t="s">
        <v>35590</v>
      </c>
      <c r="R7823">
        <v>23</v>
      </c>
      <c r="S7823">
        <v>32</v>
      </c>
    </row>
    <row r="7824" spans="1:19" x14ac:dyDescent="0.35">
      <c r="A7824">
        <v>1539</v>
      </c>
      <c r="B7824" t="s">
        <v>31810</v>
      </c>
      <c r="C7824" t="s">
        <v>42</v>
      </c>
      <c r="D7824" t="s">
        <v>31811</v>
      </c>
      <c r="E7824" t="e" cm="1">
        <f t="array" ref="E7824">- CHLORPHENAMINE MALEATE. GUAIFENESIN. PARACETAMOL. DEXTROMETHORPHAN HYDROBROMIDE</f>
        <v>#NAME?</v>
      </c>
      <c r="F7824" t="s">
        <v>31812</v>
      </c>
      <c r="G7824" t="s">
        <v>2241</v>
      </c>
      <c r="H7824" t="s">
        <v>31813</v>
      </c>
      <c r="I7824" t="s">
        <v>31814</v>
      </c>
      <c r="J7824" t="s">
        <v>31815</v>
      </c>
      <c r="K7824" t="s">
        <v>31816</v>
      </c>
      <c r="L7824" t="s">
        <v>31817</v>
      </c>
      <c r="M7824" t="s">
        <v>271</v>
      </c>
      <c r="N7824" t="s">
        <v>35591</v>
      </c>
      <c r="O7824" t="s">
        <v>31818</v>
      </c>
      <c r="P7824" t="s">
        <v>31819</v>
      </c>
      <c r="Q7824" t="s">
        <v>35592</v>
      </c>
      <c r="R7824">
        <v>23</v>
      </c>
      <c r="S7824">
        <v>32</v>
      </c>
    </row>
    <row r="7825" spans="1:19" x14ac:dyDescent="0.35">
      <c r="A7825">
        <v>581</v>
      </c>
      <c r="B7825" t="s">
        <v>33817</v>
      </c>
      <c r="C7825" t="s">
        <v>42</v>
      </c>
      <c r="D7825" t="s">
        <v>35593</v>
      </c>
      <c r="E7825" t="e" cm="1">
        <f t="array" ref="E7825">- BUDESONIDE</f>
        <v>#NAME?</v>
      </c>
      <c r="F7825" t="s">
        <v>35594</v>
      </c>
      <c r="G7825" t="s">
        <v>19260</v>
      </c>
      <c r="H7825" t="s">
        <v>35595</v>
      </c>
      <c r="I7825" t="s">
        <v>35596</v>
      </c>
      <c r="J7825" t="s">
        <v>35597</v>
      </c>
      <c r="K7825" t="s">
        <v>3952</v>
      </c>
      <c r="L7825" t="s">
        <v>35598</v>
      </c>
      <c r="M7825" t="s">
        <v>1280</v>
      </c>
      <c r="N7825" t="s">
        <v>1281</v>
      </c>
      <c r="O7825" t="s">
        <v>35599</v>
      </c>
      <c r="P7825" t="s">
        <v>33825</v>
      </c>
      <c r="Q7825" t="s">
        <v>35600</v>
      </c>
      <c r="R7825">
        <v>23</v>
      </c>
      <c r="S7825">
        <v>32</v>
      </c>
    </row>
    <row r="7826" spans="1:19" x14ac:dyDescent="0.35">
      <c r="A7826">
        <v>9326</v>
      </c>
      <c r="B7826" t="s">
        <v>35549</v>
      </c>
      <c r="C7826" t="s">
        <v>42</v>
      </c>
      <c r="D7826" t="s">
        <v>35550</v>
      </c>
      <c r="E7826" t="e" cm="1">
        <f t="array" ref="E7826">- SACUBITRIL</f>
        <v>#NAME?</v>
      </c>
      <c r="F7826" t="s">
        <v>35551</v>
      </c>
      <c r="G7826" t="s">
        <v>5301</v>
      </c>
      <c r="H7826" t="s">
        <v>35552</v>
      </c>
      <c r="I7826" t="s">
        <v>35553</v>
      </c>
      <c r="J7826" t="s">
        <v>35554</v>
      </c>
      <c r="K7826" t="s">
        <v>35555</v>
      </c>
      <c r="L7826" t="s">
        <v>321</v>
      </c>
      <c r="M7826" t="s">
        <v>46</v>
      </c>
      <c r="N7826" t="s">
        <v>35556</v>
      </c>
      <c r="O7826" t="s">
        <v>35557</v>
      </c>
      <c r="P7826" t="s">
        <v>35558</v>
      </c>
      <c r="Q7826" t="s">
        <v>35559</v>
      </c>
      <c r="R7826">
        <v>23</v>
      </c>
      <c r="S7826">
        <v>32</v>
      </c>
    </row>
    <row r="7827" spans="1:19" x14ac:dyDescent="0.35">
      <c r="A7827">
        <v>1156</v>
      </c>
      <c r="B7827" t="s">
        <v>31747</v>
      </c>
      <c r="C7827" t="s">
        <v>42</v>
      </c>
      <c r="D7827" t="s">
        <v>31748</v>
      </c>
      <c r="E7827" t="e" cm="1">
        <f t="array" ref="E7827">- PARACETAMOL. GUAIFENESIN. EPHEDRINE HYDROCHLORIDE. CHLORPHENAMINE MALEATE</f>
        <v>#NAME?</v>
      </c>
      <c r="F7827" t="s">
        <v>31749</v>
      </c>
      <c r="G7827" t="s">
        <v>2241</v>
      </c>
      <c r="H7827" t="s">
        <v>31750</v>
      </c>
      <c r="I7827" t="s">
        <v>31741</v>
      </c>
      <c r="J7827" t="s">
        <v>334</v>
      </c>
      <c r="K7827" t="s">
        <v>31751</v>
      </c>
      <c r="L7827" t="s">
        <v>31752</v>
      </c>
      <c r="M7827" t="s">
        <v>271</v>
      </c>
      <c r="N7827" t="s">
        <v>35601</v>
      </c>
      <c r="O7827" t="s">
        <v>31744</v>
      </c>
      <c r="P7827" t="s">
        <v>31753</v>
      </c>
      <c r="Q7827" t="s">
        <v>35602</v>
      </c>
      <c r="R7827">
        <v>23</v>
      </c>
      <c r="S7827">
        <v>32</v>
      </c>
    </row>
    <row r="7828" spans="1:19" x14ac:dyDescent="0.35">
      <c r="A7828">
        <v>5459</v>
      </c>
      <c r="B7828" t="s">
        <v>35603</v>
      </c>
      <c r="C7828" t="s">
        <v>42</v>
      </c>
      <c r="D7828" t="s">
        <v>35604</v>
      </c>
      <c r="E7828" t="e" cm="1">
        <f t="array" ref="E7828">- MUPIROCIN CALCIUM</f>
        <v>#NAME?</v>
      </c>
      <c r="F7828" t="s">
        <v>35605</v>
      </c>
      <c r="G7828" t="s">
        <v>35606</v>
      </c>
      <c r="H7828" t="s">
        <v>35607</v>
      </c>
      <c r="I7828" t="s">
        <v>35608</v>
      </c>
      <c r="J7828" t="s">
        <v>7213</v>
      </c>
      <c r="K7828" t="s">
        <v>35609</v>
      </c>
      <c r="L7828" t="s">
        <v>35610</v>
      </c>
      <c r="M7828" t="s">
        <v>1289</v>
      </c>
      <c r="N7828" t="s">
        <v>32924</v>
      </c>
      <c r="O7828" t="s">
        <v>35611</v>
      </c>
      <c r="P7828" t="s">
        <v>35612</v>
      </c>
      <c r="Q7828" t="s">
        <v>35613</v>
      </c>
      <c r="R7828">
        <v>23</v>
      </c>
      <c r="S7828">
        <v>32</v>
      </c>
    </row>
    <row r="7829" spans="1:19" x14ac:dyDescent="0.35">
      <c r="A7829">
        <v>7668</v>
      </c>
      <c r="B7829" t="s">
        <v>35614</v>
      </c>
      <c r="C7829" t="s">
        <v>20</v>
      </c>
      <c r="D7829" t="s">
        <v>35615</v>
      </c>
      <c r="E7829" t="s">
        <v>35616</v>
      </c>
      <c r="F7829" s="1">
        <v>4600</v>
      </c>
      <c r="G7829" t="s">
        <v>32574</v>
      </c>
      <c r="H7829" t="s">
        <v>35617</v>
      </c>
      <c r="I7829" t="s">
        <v>32576</v>
      </c>
      <c r="J7829" t="s">
        <v>12071</v>
      </c>
      <c r="M7829" t="s">
        <v>554</v>
      </c>
      <c r="N7829" t="s">
        <v>35618</v>
      </c>
      <c r="O7829" t="s">
        <v>32578</v>
      </c>
      <c r="P7829" t="s">
        <v>35619</v>
      </c>
      <c r="Q7829" t="s">
        <v>35620</v>
      </c>
      <c r="R7829">
        <v>23</v>
      </c>
      <c r="S7829">
        <v>32</v>
      </c>
    </row>
    <row r="7830" spans="1:19" x14ac:dyDescent="0.35">
      <c r="A7830">
        <v>5460</v>
      </c>
      <c r="B7830" t="s">
        <v>35603</v>
      </c>
      <c r="C7830" t="s">
        <v>42</v>
      </c>
      <c r="D7830" t="s">
        <v>35604</v>
      </c>
      <c r="E7830" t="e" cm="1">
        <f t="array" ref="E7830">- MUPIROCIN CALCIUM</f>
        <v>#NAME?</v>
      </c>
      <c r="F7830" t="s">
        <v>35605</v>
      </c>
      <c r="G7830" t="s">
        <v>35606</v>
      </c>
      <c r="H7830" t="s">
        <v>35607</v>
      </c>
      <c r="I7830" t="s">
        <v>35608</v>
      </c>
      <c r="J7830" t="s">
        <v>7213</v>
      </c>
      <c r="K7830" t="s">
        <v>35609</v>
      </c>
      <c r="L7830" t="s">
        <v>35610</v>
      </c>
      <c r="M7830" t="s">
        <v>1289</v>
      </c>
      <c r="N7830" t="s">
        <v>32924</v>
      </c>
      <c r="O7830" t="s">
        <v>35611</v>
      </c>
      <c r="P7830" t="s">
        <v>35612</v>
      </c>
      <c r="Q7830" t="s">
        <v>35613</v>
      </c>
      <c r="R7830">
        <v>23</v>
      </c>
      <c r="S7830">
        <v>32</v>
      </c>
    </row>
    <row r="7831" spans="1:19" x14ac:dyDescent="0.35">
      <c r="A7831">
        <v>7516</v>
      </c>
      <c r="B7831" t="s">
        <v>17926</v>
      </c>
      <c r="C7831" t="s">
        <v>42</v>
      </c>
      <c r="D7831" t="s">
        <v>17938</v>
      </c>
      <c r="E7831" t="e" cm="1">
        <f t="array" ref="E7831">- FERROUS GLUCONATE. ASCORBIC ACID. FOLIC ACID. CYANOCOBALAMIN. COPPER (II) SULFATE PENTAHYDRATE. MANGANESE SULFATE</f>
        <v>#NAME?</v>
      </c>
      <c r="F7831" t="s">
        <v>17939</v>
      </c>
      <c r="G7831" t="s">
        <v>17929</v>
      </c>
      <c r="H7831" t="s">
        <v>17930</v>
      </c>
      <c r="I7831" t="s">
        <v>17931</v>
      </c>
      <c r="J7831" t="s">
        <v>17940</v>
      </c>
      <c r="K7831" t="s">
        <v>17933</v>
      </c>
      <c r="L7831" t="s">
        <v>17934</v>
      </c>
      <c r="M7831" t="s">
        <v>38</v>
      </c>
      <c r="N7831" t="s">
        <v>35621</v>
      </c>
      <c r="O7831" t="s">
        <v>17935</v>
      </c>
      <c r="P7831" t="s">
        <v>17936</v>
      </c>
      <c r="Q7831" t="s">
        <v>35622</v>
      </c>
      <c r="R7831">
        <v>23</v>
      </c>
      <c r="S7831">
        <v>32</v>
      </c>
    </row>
    <row r="7832" spans="1:19" x14ac:dyDescent="0.35">
      <c r="A7832">
        <v>7515</v>
      </c>
      <c r="B7832" t="s">
        <v>17926</v>
      </c>
      <c r="C7832" t="s">
        <v>42</v>
      </c>
      <c r="D7832" t="s">
        <v>17938</v>
      </c>
      <c r="E7832" t="e" cm="1">
        <f t="array" ref="E7832">- ASCORBIC ACID. FOLIC ACID. CYANOCOBALAMIN. FERROUS GLUCONATE. COPPER (II) SULFATE PENTAHYDRATE. MANGANESE SULFATE</f>
        <v>#NAME?</v>
      </c>
      <c r="F7832" t="s">
        <v>17939</v>
      </c>
      <c r="G7832" t="s">
        <v>17929</v>
      </c>
      <c r="H7832" t="s">
        <v>17930</v>
      </c>
      <c r="I7832" t="s">
        <v>17931</v>
      </c>
      <c r="J7832" t="s">
        <v>17940</v>
      </c>
      <c r="K7832" t="s">
        <v>17933</v>
      </c>
      <c r="L7832" t="s">
        <v>17934</v>
      </c>
      <c r="M7832" t="s">
        <v>38</v>
      </c>
      <c r="N7832" t="s">
        <v>35623</v>
      </c>
      <c r="O7832" t="s">
        <v>17935</v>
      </c>
      <c r="P7832" t="s">
        <v>17936</v>
      </c>
      <c r="Q7832" t="s">
        <v>35624</v>
      </c>
      <c r="R7832">
        <v>23</v>
      </c>
      <c r="S7832">
        <v>32</v>
      </c>
    </row>
    <row r="7833" spans="1:19" x14ac:dyDescent="0.35">
      <c r="A7833">
        <v>5885</v>
      </c>
      <c r="B7833" t="s">
        <v>35625</v>
      </c>
      <c r="C7833" t="s">
        <v>42</v>
      </c>
      <c r="D7833" t="s">
        <v>35626</v>
      </c>
      <c r="E7833" t="e" cm="1">
        <f t="array" ref="E7833">- AMOXICILLIN TRIHYDRATE</f>
        <v>#NAME?</v>
      </c>
      <c r="F7833" t="s">
        <v>35627</v>
      </c>
      <c r="G7833" t="s">
        <v>6135</v>
      </c>
      <c r="H7833" t="s">
        <v>27917</v>
      </c>
      <c r="I7833" t="s">
        <v>35628</v>
      </c>
      <c r="J7833" t="s">
        <v>334</v>
      </c>
      <c r="K7833" t="s">
        <v>27919</v>
      </c>
      <c r="L7833" t="s">
        <v>35629</v>
      </c>
      <c r="M7833" t="s">
        <v>271</v>
      </c>
      <c r="N7833" t="s">
        <v>1523</v>
      </c>
      <c r="O7833" t="s">
        <v>35630</v>
      </c>
      <c r="P7833" t="s">
        <v>33977</v>
      </c>
      <c r="Q7833" t="s">
        <v>35631</v>
      </c>
      <c r="R7833">
        <v>23</v>
      </c>
      <c r="S7833">
        <v>32</v>
      </c>
    </row>
    <row r="7834" spans="1:19" x14ac:dyDescent="0.35">
      <c r="A7834">
        <v>692</v>
      </c>
      <c r="B7834" t="s">
        <v>9826</v>
      </c>
      <c r="C7834" t="s">
        <v>20</v>
      </c>
      <c r="D7834" t="s">
        <v>35632</v>
      </c>
      <c r="E7834" t="s">
        <v>9828</v>
      </c>
      <c r="F7834" t="s">
        <v>35633</v>
      </c>
      <c r="H7834" t="s">
        <v>1322</v>
      </c>
      <c r="I7834" t="s">
        <v>35634</v>
      </c>
      <c r="J7834" t="s">
        <v>614</v>
      </c>
      <c r="M7834" t="s">
        <v>2115</v>
      </c>
      <c r="N7834" t="s">
        <v>9830</v>
      </c>
      <c r="O7834" t="s">
        <v>35635</v>
      </c>
      <c r="P7834" t="s">
        <v>35636</v>
      </c>
      <c r="Q7834" t="s">
        <v>35637</v>
      </c>
      <c r="R7834">
        <v>23</v>
      </c>
      <c r="S7834">
        <v>32</v>
      </c>
    </row>
    <row r="7835" spans="1:19" x14ac:dyDescent="0.35">
      <c r="A7835">
        <v>5099</v>
      </c>
      <c r="B7835" t="s">
        <v>35638</v>
      </c>
      <c r="C7835" t="s">
        <v>42</v>
      </c>
      <c r="D7835" t="s">
        <v>35639</v>
      </c>
      <c r="E7835" t="e" cm="1">
        <f t="array" ref="E7835">- CLOBETASOL PROPIONATE</f>
        <v>#NAME?</v>
      </c>
      <c r="F7835" t="s">
        <v>35640</v>
      </c>
      <c r="G7835" t="s">
        <v>35641</v>
      </c>
      <c r="H7835" t="s">
        <v>35642</v>
      </c>
      <c r="I7835" t="s">
        <v>35643</v>
      </c>
      <c r="J7835" t="s">
        <v>7114</v>
      </c>
      <c r="K7835" t="s">
        <v>35644</v>
      </c>
      <c r="L7835" t="s">
        <v>35645</v>
      </c>
      <c r="M7835" t="s">
        <v>1029</v>
      </c>
      <c r="N7835" t="s">
        <v>3588</v>
      </c>
      <c r="O7835" t="s">
        <v>35646</v>
      </c>
      <c r="P7835" t="s">
        <v>35647</v>
      </c>
      <c r="Q7835" t="s">
        <v>35648</v>
      </c>
      <c r="R7835">
        <v>23</v>
      </c>
      <c r="S7835">
        <v>32</v>
      </c>
    </row>
    <row r="7836" spans="1:19" x14ac:dyDescent="0.35">
      <c r="A7836">
        <v>5098</v>
      </c>
      <c r="B7836" t="s">
        <v>35638</v>
      </c>
      <c r="C7836" t="s">
        <v>42</v>
      </c>
      <c r="D7836" t="s">
        <v>35639</v>
      </c>
      <c r="E7836" t="e" cm="1">
        <f t="array" ref="E7836">- CLOBETASOL PROPIONATE</f>
        <v>#NAME?</v>
      </c>
      <c r="F7836" t="s">
        <v>35640</v>
      </c>
      <c r="G7836" t="s">
        <v>35641</v>
      </c>
      <c r="H7836" t="s">
        <v>35642</v>
      </c>
      <c r="I7836" t="s">
        <v>35643</v>
      </c>
      <c r="J7836" t="s">
        <v>7114</v>
      </c>
      <c r="K7836" t="s">
        <v>35644</v>
      </c>
      <c r="L7836" t="s">
        <v>35645</v>
      </c>
      <c r="M7836" t="s">
        <v>1029</v>
      </c>
      <c r="N7836" t="s">
        <v>3588</v>
      </c>
      <c r="O7836" t="s">
        <v>35646</v>
      </c>
      <c r="P7836" t="s">
        <v>35647</v>
      </c>
      <c r="Q7836" t="s">
        <v>35648</v>
      </c>
      <c r="R7836">
        <v>23</v>
      </c>
      <c r="S7836">
        <v>32</v>
      </c>
    </row>
    <row r="7837" spans="1:19" x14ac:dyDescent="0.35">
      <c r="A7837">
        <v>2683</v>
      </c>
      <c r="B7837" t="s">
        <v>35649</v>
      </c>
      <c r="C7837" t="s">
        <v>42</v>
      </c>
      <c r="D7837" t="s">
        <v>35650</v>
      </c>
      <c r="E7837" t="e" cm="1">
        <f t="array" ref="E7837">- CELECOXIB</f>
        <v>#NAME?</v>
      </c>
      <c r="F7837" t="s">
        <v>35651</v>
      </c>
      <c r="G7837" t="s">
        <v>17569</v>
      </c>
      <c r="H7837" t="s">
        <v>35652</v>
      </c>
      <c r="I7837" t="s">
        <v>35653</v>
      </c>
      <c r="J7837" t="s">
        <v>347</v>
      </c>
      <c r="L7837" t="s">
        <v>35654</v>
      </c>
      <c r="M7837" t="s">
        <v>38</v>
      </c>
      <c r="N7837" t="s">
        <v>14778</v>
      </c>
      <c r="O7837" t="s">
        <v>35655</v>
      </c>
      <c r="P7837" t="s">
        <v>35656</v>
      </c>
      <c r="Q7837" t="s">
        <v>35657</v>
      </c>
      <c r="R7837">
        <v>23</v>
      </c>
      <c r="S7837">
        <v>32</v>
      </c>
    </row>
    <row r="7838" spans="1:19" x14ac:dyDescent="0.35">
      <c r="A7838">
        <v>7514</v>
      </c>
      <c r="B7838" t="s">
        <v>17926</v>
      </c>
      <c r="C7838" t="s">
        <v>42</v>
      </c>
      <c r="D7838" t="s">
        <v>17938</v>
      </c>
      <c r="E7838" t="e" cm="1">
        <f t="array" ref="E7838">- FOLIC ACID. CYANOCOBALAMIN. FERROUS GLUCONATE. ASCORBIC ACID. COPPER (II) SULFATE PENTAHYDRATE. MANGANESE SULFATE</f>
        <v>#NAME?</v>
      </c>
      <c r="F7838" t="s">
        <v>17939</v>
      </c>
      <c r="G7838" t="s">
        <v>17929</v>
      </c>
      <c r="H7838" t="s">
        <v>17930</v>
      </c>
      <c r="I7838" t="s">
        <v>17931</v>
      </c>
      <c r="J7838" t="s">
        <v>17940</v>
      </c>
      <c r="K7838" t="s">
        <v>17933</v>
      </c>
      <c r="L7838" t="s">
        <v>17934</v>
      </c>
      <c r="M7838" t="s">
        <v>38</v>
      </c>
      <c r="N7838" t="s">
        <v>35658</v>
      </c>
      <c r="O7838" t="s">
        <v>17935</v>
      </c>
      <c r="P7838" t="s">
        <v>17936</v>
      </c>
      <c r="Q7838" t="s">
        <v>35659</v>
      </c>
      <c r="R7838">
        <v>23</v>
      </c>
      <c r="S7838">
        <v>32</v>
      </c>
    </row>
    <row r="7839" spans="1:19" x14ac:dyDescent="0.35">
      <c r="A7839">
        <v>1138</v>
      </c>
      <c r="B7839" t="s">
        <v>35096</v>
      </c>
      <c r="C7839" t="s">
        <v>42</v>
      </c>
      <c r="D7839" t="s">
        <v>35660</v>
      </c>
      <c r="E7839" t="e" cm="1">
        <f t="array" ref="E7839">- AMMONIUM CHLORIDE</f>
        <v>#NAME?</v>
      </c>
      <c r="F7839" t="s">
        <v>35661</v>
      </c>
      <c r="G7839" t="s">
        <v>4649</v>
      </c>
      <c r="H7839" t="s">
        <v>35662</v>
      </c>
      <c r="I7839" t="s">
        <v>30300</v>
      </c>
      <c r="J7839" t="s">
        <v>21307</v>
      </c>
      <c r="K7839" t="s">
        <v>35663</v>
      </c>
      <c r="L7839" t="s">
        <v>35664</v>
      </c>
      <c r="M7839" t="s">
        <v>271</v>
      </c>
      <c r="N7839" t="s">
        <v>1672</v>
      </c>
      <c r="O7839" t="s">
        <v>35665</v>
      </c>
      <c r="P7839" t="s">
        <v>35103</v>
      </c>
      <c r="Q7839" t="s">
        <v>35666</v>
      </c>
      <c r="R7839">
        <v>23</v>
      </c>
      <c r="S7839">
        <v>32</v>
      </c>
    </row>
    <row r="7840" spans="1:19" x14ac:dyDescent="0.35">
      <c r="A7840">
        <v>5884</v>
      </c>
      <c r="B7840" t="s">
        <v>35625</v>
      </c>
      <c r="C7840" t="s">
        <v>42</v>
      </c>
      <c r="D7840" t="s">
        <v>35626</v>
      </c>
      <c r="E7840" t="e" cm="1">
        <f t="array" ref="E7840">- AMOXICILLIN TRIHYDRATE</f>
        <v>#NAME?</v>
      </c>
      <c r="F7840" t="s">
        <v>35627</v>
      </c>
      <c r="G7840" t="s">
        <v>6135</v>
      </c>
      <c r="H7840" t="s">
        <v>27917</v>
      </c>
      <c r="I7840" t="s">
        <v>35628</v>
      </c>
      <c r="J7840" t="s">
        <v>334</v>
      </c>
      <c r="K7840" t="s">
        <v>27919</v>
      </c>
      <c r="L7840" t="s">
        <v>35629</v>
      </c>
      <c r="M7840" t="s">
        <v>271</v>
      </c>
      <c r="N7840" t="s">
        <v>1523</v>
      </c>
      <c r="O7840" t="s">
        <v>35630</v>
      </c>
      <c r="P7840" t="s">
        <v>33977</v>
      </c>
      <c r="Q7840" t="s">
        <v>35631</v>
      </c>
      <c r="R7840">
        <v>23</v>
      </c>
      <c r="S7840">
        <v>32</v>
      </c>
    </row>
    <row r="7841" spans="1:19" x14ac:dyDescent="0.35">
      <c r="A7841">
        <v>5458</v>
      </c>
      <c r="B7841" t="s">
        <v>35532</v>
      </c>
      <c r="C7841" t="s">
        <v>42</v>
      </c>
      <c r="D7841" t="s">
        <v>35533</v>
      </c>
      <c r="E7841" t="e" cm="1">
        <f t="array" ref="E7841">- TERBINAFINE HYDROCHLORIDE</f>
        <v>#NAME?</v>
      </c>
      <c r="F7841" s="1">
        <v>30600</v>
      </c>
      <c r="G7841" t="s">
        <v>11887</v>
      </c>
      <c r="H7841" t="s">
        <v>35534</v>
      </c>
      <c r="I7841" t="s">
        <v>35535</v>
      </c>
      <c r="J7841" t="s">
        <v>2040</v>
      </c>
      <c r="L7841" t="s">
        <v>35536</v>
      </c>
      <c r="M7841" t="s">
        <v>1289</v>
      </c>
      <c r="N7841" t="s">
        <v>7083</v>
      </c>
      <c r="O7841" t="s">
        <v>35537</v>
      </c>
      <c r="P7841" t="s">
        <v>35538</v>
      </c>
      <c r="Q7841" t="s">
        <v>35539</v>
      </c>
      <c r="R7841">
        <v>23</v>
      </c>
      <c r="S7841">
        <v>32</v>
      </c>
    </row>
    <row r="7842" spans="1:19" x14ac:dyDescent="0.35">
      <c r="A7842">
        <v>5148</v>
      </c>
      <c r="B7842" t="s">
        <v>35667</v>
      </c>
      <c r="C7842" t="s">
        <v>42</v>
      </c>
      <c r="D7842" t="s">
        <v>35668</v>
      </c>
      <c r="E7842" t="e" cm="1">
        <f t="array" ref="E7842">- FLUOCINOLONE ACETONIDE</f>
        <v>#NAME?</v>
      </c>
      <c r="F7842" t="s">
        <v>35669</v>
      </c>
      <c r="H7842" t="s">
        <v>35670</v>
      </c>
      <c r="I7842" t="s">
        <v>35671</v>
      </c>
      <c r="J7842" t="s">
        <v>35672</v>
      </c>
      <c r="K7842" t="s">
        <v>35673</v>
      </c>
    </row>
    <row r="7843" spans="1:19" x14ac:dyDescent="0.35">
      <c r="A7843">
        <v>1157</v>
      </c>
      <c r="B7843" t="s">
        <v>31747</v>
      </c>
      <c r="C7843" t="s">
        <v>42</v>
      </c>
      <c r="D7843" t="s">
        <v>31748</v>
      </c>
      <c r="E7843" t="e" cm="1">
        <f t="array" ref="E7843">- PARACETAMOL. GUAIFENESIN. EPHEDRINE HYDROCHLORIDE. CHLORPHENAMINE MALEATE</f>
        <v>#NAME?</v>
      </c>
      <c r="F7843" t="s">
        <v>31749</v>
      </c>
      <c r="G7843" t="s">
        <v>2241</v>
      </c>
      <c r="H7843" t="s">
        <v>31750</v>
      </c>
      <c r="I7843" t="s">
        <v>31741</v>
      </c>
      <c r="J7843" t="s">
        <v>334</v>
      </c>
      <c r="K7843" t="s">
        <v>31751</v>
      </c>
      <c r="L7843" t="s">
        <v>31752</v>
      </c>
      <c r="M7843" t="s">
        <v>271</v>
      </c>
      <c r="N7843" t="s">
        <v>35601</v>
      </c>
      <c r="O7843" t="s">
        <v>31744</v>
      </c>
      <c r="P7843" t="s">
        <v>31753</v>
      </c>
      <c r="Q7843" t="s">
        <v>35602</v>
      </c>
      <c r="R7843">
        <v>23</v>
      </c>
      <c r="S7843">
        <v>32</v>
      </c>
    </row>
    <row r="7844" spans="1:19" x14ac:dyDescent="0.35">
      <c r="A7844">
        <v>3719</v>
      </c>
      <c r="B7844" t="s">
        <v>35674</v>
      </c>
      <c r="C7844" t="s">
        <v>42</v>
      </c>
      <c r="D7844" t="s">
        <v>35675</v>
      </c>
      <c r="E7844" t="e" cm="1">
        <f t="array" ref="E7844">- ZINC SULFATE MONOHYDRATE</f>
        <v>#NAME?</v>
      </c>
      <c r="F7844" t="s">
        <v>35676</v>
      </c>
      <c r="G7844" t="s">
        <v>29656</v>
      </c>
      <c r="H7844" t="s">
        <v>35677</v>
      </c>
      <c r="I7844" t="s">
        <v>35678</v>
      </c>
      <c r="J7844" t="s">
        <v>743</v>
      </c>
      <c r="K7844" t="s">
        <v>2726</v>
      </c>
      <c r="L7844" t="s">
        <v>29659</v>
      </c>
      <c r="M7844" t="s">
        <v>824</v>
      </c>
      <c r="N7844" t="s">
        <v>2750</v>
      </c>
      <c r="O7844" t="s">
        <v>35679</v>
      </c>
      <c r="P7844" t="s">
        <v>29661</v>
      </c>
      <c r="Q7844" t="s">
        <v>35680</v>
      </c>
      <c r="R7844">
        <v>23</v>
      </c>
      <c r="S7844">
        <v>32</v>
      </c>
    </row>
    <row r="7845" spans="1:19" x14ac:dyDescent="0.35">
      <c r="A7845">
        <v>906</v>
      </c>
      <c r="B7845" t="s">
        <v>31076</v>
      </c>
      <c r="C7845" t="s">
        <v>42</v>
      </c>
      <c r="D7845" t="s">
        <v>31077</v>
      </c>
      <c r="E7845" t="e" cm="1">
        <f t="array" ref="E7845">- GUAIFENESIN. PHENYLPROPANOLAMINE HYDROCHLORIDE. CHLORPHENAMINE MALEATE. PARACETAMOL</f>
        <v>#NAME?</v>
      </c>
      <c r="F7845" t="s">
        <v>27904</v>
      </c>
      <c r="G7845" t="s">
        <v>2241</v>
      </c>
      <c r="H7845" t="s">
        <v>31078</v>
      </c>
      <c r="I7845" t="s">
        <v>31079</v>
      </c>
      <c r="J7845" t="s">
        <v>2327</v>
      </c>
      <c r="K7845" t="s">
        <v>31080</v>
      </c>
      <c r="L7845" t="s">
        <v>31081</v>
      </c>
      <c r="M7845" t="s">
        <v>291</v>
      </c>
      <c r="N7845" t="s">
        <v>35681</v>
      </c>
      <c r="O7845" t="s">
        <v>31082</v>
      </c>
      <c r="P7845" t="s">
        <v>31083</v>
      </c>
      <c r="Q7845" t="s">
        <v>35682</v>
      </c>
      <c r="R7845">
        <v>23</v>
      </c>
      <c r="S7845">
        <v>32</v>
      </c>
    </row>
    <row r="7846" spans="1:19" x14ac:dyDescent="0.35">
      <c r="A7846">
        <v>7357</v>
      </c>
      <c r="B7846" t="s">
        <v>35683</v>
      </c>
      <c r="C7846" t="s">
        <v>42</v>
      </c>
      <c r="D7846" t="s">
        <v>35684</v>
      </c>
      <c r="E7846" t="e" cm="1">
        <f t="array" ref="E7846">- HEXETIDINE</f>
        <v>#NAME?</v>
      </c>
      <c r="F7846" t="s">
        <v>35685</v>
      </c>
      <c r="G7846" t="s">
        <v>35686</v>
      </c>
      <c r="H7846" t="s">
        <v>35687</v>
      </c>
      <c r="I7846" t="s">
        <v>35688</v>
      </c>
      <c r="J7846" t="s">
        <v>1144</v>
      </c>
      <c r="K7846" t="s">
        <v>35689</v>
      </c>
      <c r="L7846" t="s">
        <v>35690</v>
      </c>
      <c r="M7846" t="s">
        <v>554</v>
      </c>
      <c r="N7846" t="s">
        <v>35691</v>
      </c>
      <c r="O7846" t="s">
        <v>35692</v>
      </c>
      <c r="P7846" t="s">
        <v>35693</v>
      </c>
      <c r="Q7846" t="s">
        <v>35694</v>
      </c>
      <c r="R7846">
        <v>23</v>
      </c>
      <c r="S7846">
        <v>32</v>
      </c>
    </row>
    <row r="7847" spans="1:19" x14ac:dyDescent="0.35">
      <c r="A7847">
        <v>2620</v>
      </c>
      <c r="B7847" t="s">
        <v>35695</v>
      </c>
      <c r="C7847" t="s">
        <v>42</v>
      </c>
      <c r="D7847" t="s">
        <v>35696</v>
      </c>
      <c r="E7847" t="e" cm="1">
        <f t="array" ref="E7847">- MELOXICAM</f>
        <v>#NAME?</v>
      </c>
      <c r="F7847" t="s">
        <v>35697</v>
      </c>
      <c r="G7847" t="s">
        <v>1258</v>
      </c>
      <c r="H7847" t="s">
        <v>35698</v>
      </c>
      <c r="I7847" t="s">
        <v>35699</v>
      </c>
      <c r="J7847" t="s">
        <v>9486</v>
      </c>
      <c r="L7847" t="s">
        <v>35700</v>
      </c>
      <c r="M7847" t="s">
        <v>46</v>
      </c>
      <c r="N7847" t="s">
        <v>412</v>
      </c>
      <c r="O7847" t="s">
        <v>35701</v>
      </c>
      <c r="P7847" t="s">
        <v>35702</v>
      </c>
      <c r="Q7847" t="s">
        <v>35703</v>
      </c>
      <c r="R7847">
        <v>23</v>
      </c>
      <c r="S7847">
        <v>32</v>
      </c>
    </row>
    <row r="7848" spans="1:19" x14ac:dyDescent="0.35">
      <c r="A7848">
        <v>2619</v>
      </c>
      <c r="B7848" t="s">
        <v>35704</v>
      </c>
      <c r="C7848" t="s">
        <v>42</v>
      </c>
      <c r="D7848" t="s">
        <v>35705</v>
      </c>
      <c r="E7848" t="e" cm="1">
        <f t="array" ref="E7848">- MELOXICAM</f>
        <v>#NAME?</v>
      </c>
      <c r="F7848" t="s">
        <v>35706</v>
      </c>
      <c r="G7848" t="s">
        <v>35707</v>
      </c>
      <c r="H7848" t="s">
        <v>35698</v>
      </c>
      <c r="I7848" t="s">
        <v>35699</v>
      </c>
      <c r="J7848" t="s">
        <v>9486</v>
      </c>
      <c r="L7848" t="s">
        <v>35708</v>
      </c>
      <c r="M7848" t="s">
        <v>46</v>
      </c>
      <c r="N7848" t="s">
        <v>412</v>
      </c>
      <c r="O7848" t="s">
        <v>35701</v>
      </c>
      <c r="P7848" t="s">
        <v>35702</v>
      </c>
      <c r="Q7848" t="s">
        <v>35703</v>
      </c>
      <c r="R7848">
        <v>23</v>
      </c>
      <c r="S7848">
        <v>32</v>
      </c>
    </row>
    <row r="7849" spans="1:19" x14ac:dyDescent="0.35">
      <c r="A7849">
        <v>7358</v>
      </c>
      <c r="B7849" t="s">
        <v>35683</v>
      </c>
      <c r="C7849" t="s">
        <v>42</v>
      </c>
      <c r="D7849" t="s">
        <v>35684</v>
      </c>
      <c r="E7849" t="e" cm="1">
        <f t="array" ref="E7849">- HEXETIDINE</f>
        <v>#NAME?</v>
      </c>
      <c r="F7849" t="s">
        <v>35685</v>
      </c>
      <c r="G7849" t="s">
        <v>35686</v>
      </c>
      <c r="H7849" t="s">
        <v>35687</v>
      </c>
      <c r="I7849" t="s">
        <v>35688</v>
      </c>
      <c r="J7849" t="s">
        <v>1144</v>
      </c>
      <c r="K7849" t="s">
        <v>35689</v>
      </c>
      <c r="L7849" t="s">
        <v>35690</v>
      </c>
      <c r="M7849" t="s">
        <v>554</v>
      </c>
      <c r="N7849" t="s">
        <v>35691</v>
      </c>
      <c r="O7849" t="s">
        <v>35692</v>
      </c>
      <c r="P7849" t="s">
        <v>35693</v>
      </c>
      <c r="Q7849" t="s">
        <v>35694</v>
      </c>
      <c r="R7849">
        <v>23</v>
      </c>
      <c r="S7849">
        <v>32</v>
      </c>
    </row>
    <row r="7850" spans="1:19" x14ac:dyDescent="0.35">
      <c r="A7850">
        <v>1532</v>
      </c>
      <c r="B7850" t="s">
        <v>26605</v>
      </c>
      <c r="C7850" t="s">
        <v>42</v>
      </c>
      <c r="D7850" t="s">
        <v>26606</v>
      </c>
      <c r="E7850" t="e" cm="1">
        <f t="array" ref="E7850">- SUCCUS LIQUIRITIAE. AMMONIUM CHLORIDE. PARACETAMOL. EPHEDRINE HYDROCHLORIDE. CHLORPHENAMINE MALEATE</f>
        <v>#NAME?</v>
      </c>
      <c r="F7850" t="s">
        <v>26607</v>
      </c>
      <c r="G7850" t="s">
        <v>5033</v>
      </c>
      <c r="H7850" t="s">
        <v>26608</v>
      </c>
      <c r="I7850" t="s">
        <v>26609</v>
      </c>
      <c r="J7850" t="s">
        <v>26610</v>
      </c>
      <c r="L7850" t="s">
        <v>26611</v>
      </c>
      <c r="M7850" t="s">
        <v>271</v>
      </c>
      <c r="N7850" t="s">
        <v>35709</v>
      </c>
      <c r="O7850" t="s">
        <v>26612</v>
      </c>
      <c r="P7850" t="s">
        <v>26613</v>
      </c>
      <c r="Q7850" t="s">
        <v>35710</v>
      </c>
      <c r="R7850">
        <v>23</v>
      </c>
      <c r="S7850">
        <v>32</v>
      </c>
    </row>
    <row r="7851" spans="1:19" x14ac:dyDescent="0.35">
      <c r="A7851">
        <v>3132</v>
      </c>
      <c r="B7851" t="s">
        <v>32086</v>
      </c>
      <c r="C7851" t="s">
        <v>42</v>
      </c>
      <c r="D7851" t="s">
        <v>32098</v>
      </c>
      <c r="E7851" t="e" cm="1">
        <f t="array" ref="E7851">- MAGNESIUM HYDROXIDE. SIMETHICONE. DRIED ALUMINIUM HYDROXIDE GEL</f>
        <v>#NAME?</v>
      </c>
      <c r="F7851" s="1">
        <v>19000</v>
      </c>
      <c r="G7851" t="s">
        <v>32089</v>
      </c>
      <c r="H7851" t="s">
        <v>32090</v>
      </c>
      <c r="I7851" t="s">
        <v>32099</v>
      </c>
      <c r="J7851" t="s">
        <v>8495</v>
      </c>
      <c r="K7851" t="s">
        <v>32100</v>
      </c>
      <c r="M7851" t="s">
        <v>46</v>
      </c>
      <c r="N7851" t="s">
        <v>10430</v>
      </c>
      <c r="O7851" t="s">
        <v>32095</v>
      </c>
      <c r="P7851" t="s">
        <v>32096</v>
      </c>
      <c r="Q7851" t="s">
        <v>35711</v>
      </c>
      <c r="R7851">
        <v>23</v>
      </c>
      <c r="S7851">
        <v>32</v>
      </c>
    </row>
    <row r="7852" spans="1:19" x14ac:dyDescent="0.35">
      <c r="A7852">
        <v>1533</v>
      </c>
      <c r="B7852" t="s">
        <v>26605</v>
      </c>
      <c r="C7852" t="s">
        <v>42</v>
      </c>
      <c r="D7852" t="s">
        <v>26606</v>
      </c>
      <c r="E7852" t="e" cm="1">
        <f t="array" ref="E7852">- SUCCUS LIQUIRITIAE. AMMONIUM CHLORIDE. EPHEDRINE HYDROCHLORIDE. CHLORPHENAMINE MALEATE. PARACETAMOL</f>
        <v>#NAME?</v>
      </c>
      <c r="F7852" t="s">
        <v>26607</v>
      </c>
      <c r="G7852" t="s">
        <v>5033</v>
      </c>
      <c r="H7852" t="s">
        <v>26608</v>
      </c>
      <c r="I7852" t="s">
        <v>26609</v>
      </c>
      <c r="J7852" t="s">
        <v>26610</v>
      </c>
      <c r="L7852" t="s">
        <v>26611</v>
      </c>
      <c r="M7852" t="s">
        <v>271</v>
      </c>
      <c r="N7852" t="s">
        <v>35712</v>
      </c>
      <c r="O7852" t="s">
        <v>26612</v>
      </c>
      <c r="P7852" t="s">
        <v>26613</v>
      </c>
      <c r="Q7852" t="s">
        <v>35713</v>
      </c>
      <c r="R7852">
        <v>23</v>
      </c>
      <c r="S7852">
        <v>32</v>
      </c>
    </row>
    <row r="7853" spans="1:19" x14ac:dyDescent="0.35">
      <c r="A7853">
        <v>8700</v>
      </c>
      <c r="B7853" t="s">
        <v>35714</v>
      </c>
      <c r="C7853" t="s">
        <v>42</v>
      </c>
      <c r="D7853" t="s">
        <v>35715</v>
      </c>
      <c r="E7853" t="e" cm="1">
        <f t="array" ref="E7853">- GLIMEPIRIDE</f>
        <v>#NAME?</v>
      </c>
      <c r="F7853" t="s">
        <v>35716</v>
      </c>
      <c r="G7853" t="s">
        <v>35580</v>
      </c>
      <c r="H7853" t="s">
        <v>34923</v>
      </c>
      <c r="I7853" t="s">
        <v>34924</v>
      </c>
      <c r="J7853" t="s">
        <v>2478</v>
      </c>
      <c r="K7853" t="s">
        <v>34925</v>
      </c>
      <c r="L7853" t="s">
        <v>34926</v>
      </c>
      <c r="M7853" t="s">
        <v>46</v>
      </c>
      <c r="N7853" t="s">
        <v>34927</v>
      </c>
      <c r="O7853" t="s">
        <v>34928</v>
      </c>
      <c r="P7853" t="s">
        <v>35717</v>
      </c>
      <c r="Q7853" t="s">
        <v>35718</v>
      </c>
      <c r="R7853">
        <v>23</v>
      </c>
      <c r="S7853">
        <v>32</v>
      </c>
    </row>
    <row r="7854" spans="1:19" x14ac:dyDescent="0.35">
      <c r="A7854">
        <v>8699</v>
      </c>
      <c r="B7854" t="s">
        <v>35719</v>
      </c>
      <c r="C7854" t="s">
        <v>42</v>
      </c>
      <c r="D7854" t="s">
        <v>35720</v>
      </c>
      <c r="E7854" t="e" cm="1">
        <f t="array" ref="E7854">- GLIMEPIRIDE</f>
        <v>#NAME?</v>
      </c>
      <c r="F7854" t="s">
        <v>35721</v>
      </c>
      <c r="G7854" t="s">
        <v>35580</v>
      </c>
      <c r="H7854" t="s">
        <v>34923</v>
      </c>
      <c r="I7854" t="s">
        <v>34924</v>
      </c>
      <c r="J7854" t="s">
        <v>2478</v>
      </c>
      <c r="K7854" t="s">
        <v>34925</v>
      </c>
      <c r="L7854" t="s">
        <v>34926</v>
      </c>
      <c r="M7854" t="s">
        <v>46</v>
      </c>
      <c r="N7854" t="s">
        <v>34927</v>
      </c>
      <c r="O7854" t="s">
        <v>34928</v>
      </c>
      <c r="P7854" t="s">
        <v>35717</v>
      </c>
      <c r="Q7854" t="s">
        <v>35718</v>
      </c>
      <c r="R7854">
        <v>23</v>
      </c>
      <c r="S7854">
        <v>32</v>
      </c>
    </row>
    <row r="7855" spans="1:19" x14ac:dyDescent="0.35">
      <c r="A7855">
        <v>8698</v>
      </c>
      <c r="B7855" t="s">
        <v>35722</v>
      </c>
      <c r="C7855" t="s">
        <v>42</v>
      </c>
      <c r="D7855" t="s">
        <v>35723</v>
      </c>
      <c r="E7855" t="e" cm="1">
        <f t="array" ref="E7855">- GLIMEPIRIDE</f>
        <v>#NAME?</v>
      </c>
      <c r="F7855" t="s">
        <v>35724</v>
      </c>
      <c r="G7855" t="s">
        <v>35580</v>
      </c>
      <c r="H7855" t="s">
        <v>34923</v>
      </c>
      <c r="I7855" t="s">
        <v>34924</v>
      </c>
      <c r="J7855" t="s">
        <v>2478</v>
      </c>
      <c r="K7855" t="s">
        <v>34925</v>
      </c>
      <c r="L7855" t="s">
        <v>34926</v>
      </c>
      <c r="M7855" t="s">
        <v>46</v>
      </c>
      <c r="N7855" t="s">
        <v>34927</v>
      </c>
      <c r="O7855" t="s">
        <v>34928</v>
      </c>
      <c r="P7855" t="s">
        <v>35717</v>
      </c>
      <c r="Q7855" t="s">
        <v>35718</v>
      </c>
      <c r="R7855">
        <v>23</v>
      </c>
      <c r="S7855">
        <v>32</v>
      </c>
    </row>
    <row r="7856" spans="1:19" x14ac:dyDescent="0.35">
      <c r="A7856">
        <v>3718</v>
      </c>
      <c r="B7856" t="s">
        <v>35674</v>
      </c>
      <c r="C7856" t="s">
        <v>42</v>
      </c>
      <c r="D7856" t="s">
        <v>35675</v>
      </c>
      <c r="E7856" t="e" cm="1">
        <f t="array" ref="E7856">- ZINC SULFATE MONOHYDRATE</f>
        <v>#NAME?</v>
      </c>
      <c r="F7856" t="s">
        <v>35676</v>
      </c>
      <c r="G7856" t="s">
        <v>29656</v>
      </c>
      <c r="H7856" t="s">
        <v>35677</v>
      </c>
      <c r="I7856" t="s">
        <v>35678</v>
      </c>
      <c r="J7856" t="s">
        <v>743</v>
      </c>
      <c r="K7856" t="s">
        <v>2726</v>
      </c>
      <c r="L7856" t="s">
        <v>29659</v>
      </c>
      <c r="M7856" t="s">
        <v>824</v>
      </c>
      <c r="N7856" t="s">
        <v>2750</v>
      </c>
      <c r="O7856" t="s">
        <v>35679</v>
      </c>
      <c r="P7856" t="s">
        <v>29661</v>
      </c>
      <c r="Q7856" t="s">
        <v>35680</v>
      </c>
      <c r="R7856">
        <v>23</v>
      </c>
      <c r="S7856">
        <v>32</v>
      </c>
    </row>
    <row r="7857" spans="1:19" x14ac:dyDescent="0.35">
      <c r="A7857">
        <v>8697</v>
      </c>
      <c r="B7857" t="s">
        <v>35725</v>
      </c>
      <c r="C7857" t="s">
        <v>42</v>
      </c>
      <c r="D7857" t="s">
        <v>35726</v>
      </c>
      <c r="E7857" t="e" cm="1">
        <f t="array" ref="E7857">- GLIMEPIRIDE</f>
        <v>#NAME?</v>
      </c>
      <c r="F7857" t="s">
        <v>35727</v>
      </c>
      <c r="G7857" t="s">
        <v>35580</v>
      </c>
      <c r="H7857" t="s">
        <v>34923</v>
      </c>
      <c r="I7857" t="s">
        <v>34924</v>
      </c>
      <c r="J7857" t="s">
        <v>2478</v>
      </c>
      <c r="K7857" t="s">
        <v>34925</v>
      </c>
      <c r="L7857" t="s">
        <v>34926</v>
      </c>
      <c r="M7857" t="s">
        <v>46</v>
      </c>
      <c r="N7857" t="s">
        <v>34927</v>
      </c>
      <c r="O7857" t="s">
        <v>34928</v>
      </c>
      <c r="P7857" t="s">
        <v>35717</v>
      </c>
      <c r="Q7857" t="s">
        <v>35718</v>
      </c>
      <c r="R7857">
        <v>23</v>
      </c>
      <c r="S7857">
        <v>32</v>
      </c>
    </row>
    <row r="7858" spans="1:19" x14ac:dyDescent="0.35">
      <c r="A7858">
        <v>2588</v>
      </c>
      <c r="B7858" t="s">
        <v>35728</v>
      </c>
      <c r="C7858" t="s">
        <v>42</v>
      </c>
      <c r="D7858" t="s">
        <v>35729</v>
      </c>
      <c r="E7858" t="e" cm="1">
        <f t="array" ref="E7858">- CINNARIZINE</f>
        <v>#NAME?</v>
      </c>
      <c r="F7858" t="s">
        <v>35730</v>
      </c>
      <c r="G7858" t="s">
        <v>5970</v>
      </c>
      <c r="H7858" t="s">
        <v>35731</v>
      </c>
      <c r="I7858" t="s">
        <v>35732</v>
      </c>
      <c r="J7858" t="s">
        <v>35733</v>
      </c>
      <c r="K7858" t="s">
        <v>35734</v>
      </c>
      <c r="L7858" t="s">
        <v>35735</v>
      </c>
      <c r="M7858" t="s">
        <v>46</v>
      </c>
      <c r="N7858" t="s">
        <v>16982</v>
      </c>
      <c r="O7858" t="s">
        <v>35736</v>
      </c>
      <c r="P7858" t="s">
        <v>35737</v>
      </c>
      <c r="Q7858" t="s">
        <v>35738</v>
      </c>
      <c r="R7858">
        <v>23</v>
      </c>
      <c r="S7858">
        <v>32</v>
      </c>
    </row>
    <row r="7859" spans="1:19" x14ac:dyDescent="0.35">
      <c r="A7859">
        <v>5147</v>
      </c>
      <c r="B7859" t="s">
        <v>35667</v>
      </c>
      <c r="C7859" t="s">
        <v>42</v>
      </c>
      <c r="D7859" t="s">
        <v>35668</v>
      </c>
      <c r="E7859" t="e" cm="1">
        <f t="array" ref="E7859">- FLUOCINOLONE ACETONIDE</f>
        <v>#NAME?</v>
      </c>
      <c r="F7859" t="s">
        <v>35669</v>
      </c>
      <c r="H7859" t="s">
        <v>35670</v>
      </c>
      <c r="I7859" t="s">
        <v>35671</v>
      </c>
      <c r="J7859" t="s">
        <v>35672</v>
      </c>
      <c r="K7859" t="s">
        <v>35673</v>
      </c>
    </row>
    <row r="7860" spans="1:19" x14ac:dyDescent="0.35">
      <c r="A7860">
        <v>8710</v>
      </c>
      <c r="B7860" t="s">
        <v>35739</v>
      </c>
      <c r="C7860" t="s">
        <v>42</v>
      </c>
      <c r="D7860" t="s">
        <v>35740</v>
      </c>
      <c r="E7860" t="e" cm="1">
        <f t="array" ref="E7860">- GLIBENCLAMIDE</f>
        <v>#NAME?</v>
      </c>
      <c r="F7860" t="s">
        <v>35741</v>
      </c>
      <c r="G7860" t="s">
        <v>1258</v>
      </c>
      <c r="H7860" t="s">
        <v>35742</v>
      </c>
      <c r="I7860" t="s">
        <v>35743</v>
      </c>
      <c r="J7860" t="s">
        <v>35744</v>
      </c>
      <c r="K7860" t="s">
        <v>35745</v>
      </c>
      <c r="L7860" t="s">
        <v>35746</v>
      </c>
      <c r="M7860" t="s">
        <v>46</v>
      </c>
      <c r="N7860" t="s">
        <v>1260</v>
      </c>
      <c r="O7860" t="s">
        <v>35747</v>
      </c>
      <c r="P7860" t="s">
        <v>1261</v>
      </c>
      <c r="Q7860" t="s">
        <v>35748</v>
      </c>
      <c r="R7860">
        <v>23</v>
      </c>
      <c r="S7860">
        <v>32</v>
      </c>
    </row>
    <row r="7861" spans="1:19" x14ac:dyDescent="0.35">
      <c r="A7861">
        <v>3134</v>
      </c>
      <c r="B7861" t="s">
        <v>32086</v>
      </c>
      <c r="C7861" t="s">
        <v>42</v>
      </c>
      <c r="D7861" t="s">
        <v>32098</v>
      </c>
      <c r="E7861" t="e" cm="1">
        <f t="array" ref="E7861">- SIMETHICONE. DRIED ALUMINIUM HYDROXIDE GEL. MAGNESIUM HYDROXIDE</f>
        <v>#NAME?</v>
      </c>
      <c r="F7861" s="1">
        <v>19000</v>
      </c>
      <c r="G7861" t="s">
        <v>32089</v>
      </c>
      <c r="H7861" t="s">
        <v>32090</v>
      </c>
      <c r="I7861" t="s">
        <v>32099</v>
      </c>
      <c r="J7861" t="s">
        <v>8495</v>
      </c>
      <c r="K7861" t="s">
        <v>32100</v>
      </c>
      <c r="M7861" t="s">
        <v>46</v>
      </c>
      <c r="N7861" t="s">
        <v>31821</v>
      </c>
      <c r="O7861" t="s">
        <v>32095</v>
      </c>
      <c r="P7861" t="s">
        <v>32096</v>
      </c>
      <c r="Q7861" t="s">
        <v>35749</v>
      </c>
      <c r="R7861">
        <v>23</v>
      </c>
      <c r="S7861">
        <v>32</v>
      </c>
    </row>
    <row r="7862" spans="1:19" x14ac:dyDescent="0.35">
      <c r="A7862">
        <v>7264</v>
      </c>
      <c r="B7862" t="s">
        <v>35750</v>
      </c>
      <c r="C7862" t="s">
        <v>20</v>
      </c>
      <c r="D7862" t="s">
        <v>35751</v>
      </c>
      <c r="E7862" t="s">
        <v>35752</v>
      </c>
      <c r="F7862" t="s">
        <v>35753</v>
      </c>
      <c r="H7862" t="s">
        <v>1322</v>
      </c>
      <c r="I7862" t="s">
        <v>35754</v>
      </c>
      <c r="J7862" t="s">
        <v>614</v>
      </c>
      <c r="M7862" t="s">
        <v>2115</v>
      </c>
      <c r="N7862" t="s">
        <v>35755</v>
      </c>
      <c r="O7862" t="s">
        <v>35756</v>
      </c>
      <c r="P7862" t="s">
        <v>35757</v>
      </c>
      <c r="Q7862" t="s">
        <v>35758</v>
      </c>
      <c r="R7862">
        <v>23</v>
      </c>
      <c r="S7862">
        <v>32</v>
      </c>
    </row>
    <row r="7863" spans="1:19" x14ac:dyDescent="0.35">
      <c r="A7863">
        <v>3720</v>
      </c>
      <c r="B7863" t="s">
        <v>35674</v>
      </c>
      <c r="C7863" t="s">
        <v>42</v>
      </c>
      <c r="D7863" t="s">
        <v>35675</v>
      </c>
      <c r="E7863" t="e" cm="1">
        <f t="array" ref="E7863">- ZINC SULFATE MONOHYDRATE</f>
        <v>#NAME?</v>
      </c>
      <c r="F7863" t="s">
        <v>35676</v>
      </c>
      <c r="G7863" t="s">
        <v>29656</v>
      </c>
      <c r="H7863" t="s">
        <v>35677</v>
      </c>
      <c r="I7863" t="s">
        <v>35678</v>
      </c>
      <c r="J7863" t="s">
        <v>743</v>
      </c>
      <c r="K7863" t="s">
        <v>2726</v>
      </c>
      <c r="L7863" t="s">
        <v>29659</v>
      </c>
      <c r="M7863" t="s">
        <v>824</v>
      </c>
      <c r="N7863" t="s">
        <v>2750</v>
      </c>
      <c r="O7863" t="s">
        <v>35679</v>
      </c>
      <c r="P7863" t="s">
        <v>29661</v>
      </c>
      <c r="Q7863" t="s">
        <v>35680</v>
      </c>
      <c r="R7863">
        <v>23</v>
      </c>
      <c r="S7863">
        <v>32</v>
      </c>
    </row>
    <row r="7864" spans="1:19" x14ac:dyDescent="0.35">
      <c r="A7864">
        <v>3717</v>
      </c>
      <c r="B7864" t="s">
        <v>35674</v>
      </c>
      <c r="C7864" t="s">
        <v>42</v>
      </c>
      <c r="D7864" t="s">
        <v>35675</v>
      </c>
      <c r="E7864" t="e" cm="1">
        <f t="array" ref="E7864">- ZINC SULFATE MONOHYDRATE</f>
        <v>#NAME?</v>
      </c>
      <c r="F7864" t="s">
        <v>35676</v>
      </c>
      <c r="G7864" t="s">
        <v>29656</v>
      </c>
      <c r="H7864" t="s">
        <v>35677</v>
      </c>
      <c r="I7864" t="s">
        <v>35678</v>
      </c>
      <c r="J7864" t="s">
        <v>743</v>
      </c>
      <c r="K7864" t="s">
        <v>2726</v>
      </c>
      <c r="L7864" t="s">
        <v>29659</v>
      </c>
      <c r="M7864" t="s">
        <v>824</v>
      </c>
      <c r="N7864" t="s">
        <v>2750</v>
      </c>
      <c r="O7864" t="s">
        <v>35679</v>
      </c>
      <c r="P7864" t="s">
        <v>29661</v>
      </c>
      <c r="Q7864" t="s">
        <v>35680</v>
      </c>
      <c r="R7864">
        <v>23</v>
      </c>
      <c r="S7864">
        <v>32</v>
      </c>
    </row>
    <row r="7865" spans="1:19" x14ac:dyDescent="0.35">
      <c r="A7865">
        <v>3136</v>
      </c>
      <c r="B7865" t="s">
        <v>32086</v>
      </c>
      <c r="C7865" t="s">
        <v>42</v>
      </c>
      <c r="D7865" t="s">
        <v>32087</v>
      </c>
      <c r="E7865" t="e" cm="1">
        <f t="array" ref="E7865">- MAGNESIUM HYDROXIDE. SIMETHICONE. DRIED ALUMINIUM HYDROXIDE GEL</f>
        <v>#NAME?</v>
      </c>
      <c r="F7865" t="s">
        <v>32088</v>
      </c>
      <c r="G7865" t="s">
        <v>32089</v>
      </c>
      <c r="H7865" t="s">
        <v>32090</v>
      </c>
      <c r="I7865" t="s">
        <v>32091</v>
      </c>
      <c r="J7865" t="s">
        <v>32092</v>
      </c>
      <c r="K7865" t="s">
        <v>32093</v>
      </c>
      <c r="L7865" t="s">
        <v>32094</v>
      </c>
      <c r="M7865" t="s">
        <v>46</v>
      </c>
      <c r="N7865" t="s">
        <v>10430</v>
      </c>
      <c r="O7865" t="s">
        <v>32095</v>
      </c>
      <c r="P7865" t="s">
        <v>32096</v>
      </c>
      <c r="Q7865" t="s">
        <v>35711</v>
      </c>
      <c r="R7865">
        <v>23</v>
      </c>
      <c r="S7865">
        <v>32</v>
      </c>
    </row>
    <row r="7866" spans="1:19" x14ac:dyDescent="0.35">
      <c r="A7866">
        <v>2639</v>
      </c>
      <c r="B7866" t="s">
        <v>35560</v>
      </c>
      <c r="C7866" t="s">
        <v>42</v>
      </c>
      <c r="D7866" t="s">
        <v>35561</v>
      </c>
      <c r="E7866" t="e" cm="1">
        <f t="array" ref="E7866">- PIROXICAM</f>
        <v>#NAME?</v>
      </c>
      <c r="F7866" t="s">
        <v>35562</v>
      </c>
      <c r="G7866" t="s">
        <v>20876</v>
      </c>
      <c r="H7866" t="s">
        <v>35563</v>
      </c>
      <c r="I7866" t="s">
        <v>35564</v>
      </c>
      <c r="J7866" t="s">
        <v>810</v>
      </c>
      <c r="K7866" t="s">
        <v>35565</v>
      </c>
      <c r="L7866" t="s">
        <v>35566</v>
      </c>
      <c r="M7866" t="s">
        <v>38</v>
      </c>
      <c r="N7866" t="s">
        <v>605</v>
      </c>
      <c r="O7866" t="s">
        <v>35546</v>
      </c>
      <c r="P7866" t="s">
        <v>35547</v>
      </c>
      <c r="Q7866" t="s">
        <v>35548</v>
      </c>
      <c r="R7866">
        <v>23</v>
      </c>
      <c r="S7866">
        <v>32</v>
      </c>
    </row>
    <row r="7867" spans="1:19" x14ac:dyDescent="0.35">
      <c r="A7867">
        <v>3137</v>
      </c>
      <c r="B7867" t="s">
        <v>32086</v>
      </c>
      <c r="C7867" t="s">
        <v>42</v>
      </c>
      <c r="D7867" t="s">
        <v>32087</v>
      </c>
      <c r="E7867" t="e" cm="1">
        <f t="array" ref="E7867">- MAGNESIUM HYDROXIDE. DRIED ALUMINIUM HYDROXIDE GEL. SIMETHICONE</f>
        <v>#NAME?</v>
      </c>
      <c r="F7867" t="s">
        <v>32088</v>
      </c>
      <c r="G7867" t="s">
        <v>32089</v>
      </c>
      <c r="H7867" t="s">
        <v>32090</v>
      </c>
      <c r="I7867" t="s">
        <v>32091</v>
      </c>
      <c r="J7867" t="s">
        <v>32092</v>
      </c>
      <c r="K7867" t="s">
        <v>32093</v>
      </c>
      <c r="L7867" t="s">
        <v>32094</v>
      </c>
      <c r="M7867" t="s">
        <v>46</v>
      </c>
      <c r="N7867" t="s">
        <v>10805</v>
      </c>
      <c r="O7867" t="s">
        <v>32095</v>
      </c>
      <c r="P7867" t="s">
        <v>32096</v>
      </c>
      <c r="Q7867" t="s">
        <v>35759</v>
      </c>
      <c r="R7867">
        <v>23</v>
      </c>
      <c r="S7867">
        <v>32</v>
      </c>
    </row>
    <row r="7868" spans="1:19" x14ac:dyDescent="0.35">
      <c r="A7868">
        <v>7356</v>
      </c>
      <c r="B7868" t="s">
        <v>35683</v>
      </c>
      <c r="C7868" t="s">
        <v>42</v>
      </c>
      <c r="D7868" t="s">
        <v>35684</v>
      </c>
      <c r="E7868" t="e" cm="1">
        <f t="array" ref="E7868">- HEXETIDINE</f>
        <v>#NAME?</v>
      </c>
      <c r="F7868" t="s">
        <v>35685</v>
      </c>
      <c r="G7868" t="s">
        <v>35686</v>
      </c>
      <c r="H7868" t="s">
        <v>35687</v>
      </c>
      <c r="I7868" t="s">
        <v>35688</v>
      </c>
      <c r="J7868" t="s">
        <v>1144</v>
      </c>
      <c r="K7868" t="s">
        <v>35689</v>
      </c>
      <c r="L7868" t="s">
        <v>35690</v>
      </c>
      <c r="M7868" t="s">
        <v>554</v>
      </c>
      <c r="N7868" t="s">
        <v>35691</v>
      </c>
      <c r="O7868" t="s">
        <v>35692</v>
      </c>
      <c r="P7868" t="s">
        <v>35693</v>
      </c>
      <c r="Q7868" t="s">
        <v>35694</v>
      </c>
      <c r="R7868">
        <v>23</v>
      </c>
      <c r="S7868">
        <v>32</v>
      </c>
    </row>
    <row r="7869" spans="1:19" x14ac:dyDescent="0.35">
      <c r="A7869">
        <v>3138</v>
      </c>
      <c r="B7869" t="s">
        <v>32086</v>
      </c>
      <c r="C7869" t="s">
        <v>42</v>
      </c>
      <c r="D7869" t="s">
        <v>32087</v>
      </c>
      <c r="E7869" t="e" cm="1">
        <f t="array" ref="E7869">- SIMETHICONE. DRIED ALUMINIUM HYDROXIDE GEL. MAGNESIUM HYDROXIDE</f>
        <v>#NAME?</v>
      </c>
      <c r="F7869" t="s">
        <v>32088</v>
      </c>
      <c r="G7869" t="s">
        <v>32089</v>
      </c>
      <c r="H7869" t="s">
        <v>32090</v>
      </c>
      <c r="I7869" t="s">
        <v>32091</v>
      </c>
      <c r="J7869" t="s">
        <v>32092</v>
      </c>
      <c r="K7869" t="s">
        <v>32093</v>
      </c>
      <c r="L7869" t="s">
        <v>32094</v>
      </c>
      <c r="M7869" t="s">
        <v>46</v>
      </c>
      <c r="N7869" t="s">
        <v>31821</v>
      </c>
      <c r="O7869" t="s">
        <v>32095</v>
      </c>
      <c r="P7869" t="s">
        <v>32096</v>
      </c>
      <c r="Q7869" t="s">
        <v>35749</v>
      </c>
      <c r="R7869">
        <v>23</v>
      </c>
      <c r="S7869">
        <v>32</v>
      </c>
    </row>
    <row r="7870" spans="1:19" x14ac:dyDescent="0.35">
      <c r="A7870">
        <v>8684</v>
      </c>
      <c r="B7870" t="s">
        <v>35577</v>
      </c>
      <c r="C7870" t="s">
        <v>42</v>
      </c>
      <c r="D7870" t="s">
        <v>35578</v>
      </c>
      <c r="E7870" t="e" cm="1">
        <f t="array" ref="E7870">- GLIMEPIRIDE</f>
        <v>#NAME?</v>
      </c>
      <c r="F7870" t="s">
        <v>35579</v>
      </c>
      <c r="G7870" t="s">
        <v>35580</v>
      </c>
      <c r="H7870" t="s">
        <v>34923</v>
      </c>
      <c r="I7870" t="s">
        <v>34924</v>
      </c>
      <c r="J7870" t="s">
        <v>532</v>
      </c>
      <c r="K7870" t="s">
        <v>34925</v>
      </c>
      <c r="L7870" t="s">
        <v>34926</v>
      </c>
      <c r="M7870" t="s">
        <v>46</v>
      </c>
      <c r="N7870" t="s">
        <v>34927</v>
      </c>
      <c r="O7870" t="s">
        <v>34928</v>
      </c>
      <c r="P7870" t="s">
        <v>35581</v>
      </c>
      <c r="Q7870" t="s">
        <v>35582</v>
      </c>
      <c r="R7870">
        <v>23</v>
      </c>
      <c r="S7870">
        <v>32</v>
      </c>
    </row>
    <row r="7871" spans="1:19" x14ac:dyDescent="0.35">
      <c r="A7871">
        <v>8683</v>
      </c>
      <c r="B7871" t="s">
        <v>35577</v>
      </c>
      <c r="C7871" t="s">
        <v>42</v>
      </c>
      <c r="D7871" t="s">
        <v>35578</v>
      </c>
      <c r="E7871" t="e" cm="1">
        <f t="array" ref="E7871">- GLIMEPIRIDE</f>
        <v>#NAME?</v>
      </c>
      <c r="F7871" t="s">
        <v>35579</v>
      </c>
      <c r="G7871" t="s">
        <v>35580</v>
      </c>
      <c r="H7871" t="s">
        <v>34923</v>
      </c>
      <c r="I7871" t="s">
        <v>34924</v>
      </c>
      <c r="J7871" t="s">
        <v>532</v>
      </c>
      <c r="K7871" t="s">
        <v>34925</v>
      </c>
      <c r="L7871" t="s">
        <v>34926</v>
      </c>
      <c r="M7871" t="s">
        <v>46</v>
      </c>
      <c r="N7871" t="s">
        <v>34927</v>
      </c>
      <c r="O7871" t="s">
        <v>34928</v>
      </c>
      <c r="P7871" t="s">
        <v>35581</v>
      </c>
      <c r="Q7871" t="s">
        <v>35582</v>
      </c>
      <c r="R7871">
        <v>23</v>
      </c>
      <c r="S7871">
        <v>32</v>
      </c>
    </row>
    <row r="7872" spans="1:19" x14ac:dyDescent="0.35">
      <c r="A7872">
        <v>1160</v>
      </c>
      <c r="B7872" t="s">
        <v>31737</v>
      </c>
      <c r="C7872" t="s">
        <v>42</v>
      </c>
      <c r="D7872" t="s">
        <v>31738</v>
      </c>
      <c r="E7872" t="e" cm="1">
        <f t="array" ref="E7872">- PARACETAMOL. GUAIFENESIN. EPHEDRINE HYDROCHLORIDE. CHLORPHENAMINE MALEATE</f>
        <v>#NAME?</v>
      </c>
      <c r="F7872" t="s">
        <v>31739</v>
      </c>
      <c r="G7872" t="s">
        <v>2241</v>
      </c>
      <c r="H7872" t="s">
        <v>31740</v>
      </c>
      <c r="I7872" t="s">
        <v>31741</v>
      </c>
      <c r="J7872" t="s">
        <v>334</v>
      </c>
      <c r="K7872" t="s">
        <v>31742</v>
      </c>
      <c r="L7872" t="s">
        <v>31743</v>
      </c>
      <c r="M7872" t="s">
        <v>271</v>
      </c>
      <c r="N7872" t="s">
        <v>35601</v>
      </c>
      <c r="O7872" t="s">
        <v>31744</v>
      </c>
      <c r="P7872" t="s">
        <v>31745</v>
      </c>
      <c r="Q7872" t="s">
        <v>35760</v>
      </c>
      <c r="R7872">
        <v>23</v>
      </c>
      <c r="S7872">
        <v>32</v>
      </c>
    </row>
    <row r="7873" spans="1:19" x14ac:dyDescent="0.35">
      <c r="A7873">
        <v>1159</v>
      </c>
      <c r="B7873" t="s">
        <v>31737</v>
      </c>
      <c r="C7873" t="s">
        <v>42</v>
      </c>
      <c r="D7873" t="s">
        <v>31738</v>
      </c>
      <c r="E7873" t="e" cm="1">
        <f t="array" ref="E7873">- PARACETAMOL. GUAIFENESIN. EPHEDRINE HYDROCHLORIDE. CHLORPHENAMINE MALEATE</f>
        <v>#NAME?</v>
      </c>
      <c r="F7873" t="s">
        <v>31739</v>
      </c>
      <c r="G7873" t="s">
        <v>2241</v>
      </c>
      <c r="H7873" t="s">
        <v>31740</v>
      </c>
      <c r="I7873" t="s">
        <v>31741</v>
      </c>
      <c r="J7873" t="s">
        <v>334</v>
      </c>
      <c r="K7873" t="s">
        <v>31742</v>
      </c>
      <c r="L7873" t="s">
        <v>31743</v>
      </c>
      <c r="M7873" t="s">
        <v>271</v>
      </c>
      <c r="N7873" t="s">
        <v>35601</v>
      </c>
      <c r="O7873" t="s">
        <v>31744</v>
      </c>
      <c r="P7873" t="s">
        <v>31745</v>
      </c>
      <c r="Q7873" t="s">
        <v>35760</v>
      </c>
      <c r="R7873">
        <v>23</v>
      </c>
      <c r="S7873">
        <v>32</v>
      </c>
    </row>
    <row r="7874" spans="1:19" x14ac:dyDescent="0.35">
      <c r="A7874">
        <v>9886</v>
      </c>
      <c r="B7874" t="s">
        <v>32991</v>
      </c>
      <c r="C7874" t="s">
        <v>42</v>
      </c>
      <c r="D7874" t="s">
        <v>32992</v>
      </c>
      <c r="E7874" t="s">
        <v>35761</v>
      </c>
      <c r="F7874" t="s">
        <v>32993</v>
      </c>
      <c r="G7874" t="s">
        <v>2241</v>
      </c>
      <c r="H7874" t="s">
        <v>32994</v>
      </c>
      <c r="I7874" t="s">
        <v>32995</v>
      </c>
      <c r="J7874" t="s">
        <v>32996</v>
      </c>
      <c r="K7874" t="s">
        <v>32997</v>
      </c>
      <c r="L7874" t="s">
        <v>32998</v>
      </c>
      <c r="M7874" t="s">
        <v>46</v>
      </c>
      <c r="N7874" t="s">
        <v>35762</v>
      </c>
      <c r="O7874" t="s">
        <v>32999</v>
      </c>
      <c r="P7874" t="s">
        <v>20894</v>
      </c>
      <c r="Q7874" t="s">
        <v>35763</v>
      </c>
      <c r="R7874">
        <v>23</v>
      </c>
      <c r="S7874">
        <v>32</v>
      </c>
    </row>
    <row r="7875" spans="1:19" x14ac:dyDescent="0.35">
      <c r="A7875">
        <v>3133</v>
      </c>
      <c r="B7875" t="s">
        <v>32086</v>
      </c>
      <c r="C7875" t="s">
        <v>42</v>
      </c>
      <c r="D7875" t="s">
        <v>32098</v>
      </c>
      <c r="E7875" t="e" cm="1">
        <f t="array" ref="E7875">- MAGNESIUM HYDROXIDE. DRIED ALUMINIUM HYDROXIDE GEL. SIMETHICONE</f>
        <v>#NAME?</v>
      </c>
      <c r="F7875" s="1">
        <v>19000</v>
      </c>
      <c r="G7875" t="s">
        <v>32089</v>
      </c>
      <c r="H7875" t="s">
        <v>32090</v>
      </c>
      <c r="I7875" t="s">
        <v>32099</v>
      </c>
      <c r="J7875" t="s">
        <v>8495</v>
      </c>
      <c r="K7875" t="s">
        <v>32100</v>
      </c>
      <c r="M7875" t="s">
        <v>46</v>
      </c>
      <c r="N7875" t="s">
        <v>10805</v>
      </c>
      <c r="O7875" t="s">
        <v>32095</v>
      </c>
      <c r="P7875" t="s">
        <v>32096</v>
      </c>
      <c r="Q7875" t="s">
        <v>35759</v>
      </c>
      <c r="R7875">
        <v>23</v>
      </c>
      <c r="S7875">
        <v>32</v>
      </c>
    </row>
    <row r="7876" spans="1:19" x14ac:dyDescent="0.35">
      <c r="A7876">
        <v>6865</v>
      </c>
      <c r="B7876" t="s">
        <v>35764</v>
      </c>
      <c r="C7876" t="s">
        <v>850</v>
      </c>
      <c r="D7876" t="s">
        <v>35765</v>
      </c>
      <c r="E7876" t="e" cm="1">
        <f t="array" ref="E7876">- DL-Camphor</f>
        <v>#NAME?</v>
      </c>
      <c r="F7876" t="s">
        <v>35766</v>
      </c>
      <c r="G7876" t="s">
        <v>35767</v>
      </c>
      <c r="H7876" t="s">
        <v>35768</v>
      </c>
      <c r="I7876" t="s">
        <v>35769</v>
      </c>
      <c r="J7876" t="s">
        <v>35770</v>
      </c>
      <c r="K7876" t="s">
        <v>2858</v>
      </c>
      <c r="L7876" t="s">
        <v>35771</v>
      </c>
      <c r="N7876" t="s">
        <v>33298</v>
      </c>
      <c r="O7876" t="s">
        <v>35772</v>
      </c>
      <c r="P7876" t="s">
        <v>35773</v>
      </c>
      <c r="Q7876" t="s">
        <v>35774</v>
      </c>
      <c r="R7876">
        <v>23</v>
      </c>
      <c r="S7876">
        <v>32</v>
      </c>
    </row>
    <row r="7877" spans="1:19" x14ac:dyDescent="0.35">
      <c r="A7877">
        <v>8652</v>
      </c>
      <c r="B7877" t="s">
        <v>35775</v>
      </c>
      <c r="C7877" t="s">
        <v>42</v>
      </c>
      <c r="D7877" t="s">
        <v>35776</v>
      </c>
      <c r="E7877" t="e" cm="1">
        <f t="array" ref="E7877">- GLIMEPIRIDE</f>
        <v>#NAME?</v>
      </c>
      <c r="F7877" t="s">
        <v>35777</v>
      </c>
      <c r="G7877" t="s">
        <v>35778</v>
      </c>
      <c r="H7877" t="s">
        <v>34923</v>
      </c>
      <c r="I7877" t="s">
        <v>34924</v>
      </c>
      <c r="J7877" t="s">
        <v>599</v>
      </c>
      <c r="K7877" t="s">
        <v>34925</v>
      </c>
      <c r="L7877" t="s">
        <v>34926</v>
      </c>
      <c r="M7877" t="s">
        <v>46</v>
      </c>
      <c r="N7877" t="s">
        <v>34927</v>
      </c>
      <c r="O7877" t="s">
        <v>34928</v>
      </c>
      <c r="P7877" t="s">
        <v>35779</v>
      </c>
      <c r="Q7877" t="s">
        <v>35780</v>
      </c>
      <c r="R7877">
        <v>23</v>
      </c>
      <c r="S7877">
        <v>32</v>
      </c>
    </row>
    <row r="7878" spans="1:19" x14ac:dyDescent="0.35">
      <c r="A7878">
        <v>8665</v>
      </c>
      <c r="B7878" t="s">
        <v>35781</v>
      </c>
      <c r="C7878" t="s">
        <v>42</v>
      </c>
      <c r="D7878" t="s">
        <v>35782</v>
      </c>
      <c r="E7878" t="e" cm="1">
        <f t="array" ref="E7878">- GLIMEPIRIDE</f>
        <v>#NAME?</v>
      </c>
      <c r="F7878" t="s">
        <v>35783</v>
      </c>
      <c r="G7878" t="s">
        <v>35778</v>
      </c>
      <c r="H7878" t="s">
        <v>34923</v>
      </c>
      <c r="I7878" t="s">
        <v>34924</v>
      </c>
      <c r="J7878" t="s">
        <v>532</v>
      </c>
      <c r="K7878" t="s">
        <v>34925</v>
      </c>
      <c r="L7878" t="s">
        <v>34926</v>
      </c>
      <c r="M7878" t="s">
        <v>46</v>
      </c>
      <c r="N7878" t="s">
        <v>34927</v>
      </c>
      <c r="O7878" t="s">
        <v>34928</v>
      </c>
      <c r="P7878" t="s">
        <v>35784</v>
      </c>
      <c r="Q7878" t="s">
        <v>35785</v>
      </c>
      <c r="R7878">
        <v>23</v>
      </c>
      <c r="S7878">
        <v>32</v>
      </c>
    </row>
    <row r="7879" spans="1:19" x14ac:dyDescent="0.35">
      <c r="A7879">
        <v>5864</v>
      </c>
      <c r="B7879" t="s">
        <v>35786</v>
      </c>
      <c r="C7879" t="s">
        <v>42</v>
      </c>
      <c r="D7879" t="s">
        <v>35787</v>
      </c>
      <c r="E7879" t="e" cm="1">
        <f t="array" ref="E7879">- AMOXICILLIN</f>
        <v>#NAME?</v>
      </c>
      <c r="F7879" s="1">
        <v>32800</v>
      </c>
      <c r="G7879" t="s">
        <v>1691</v>
      </c>
      <c r="H7879" t="s">
        <v>35788</v>
      </c>
      <c r="I7879" t="s">
        <v>35789</v>
      </c>
      <c r="J7879" t="s">
        <v>334</v>
      </c>
      <c r="K7879" t="s">
        <v>14288</v>
      </c>
      <c r="L7879" t="s">
        <v>35790</v>
      </c>
      <c r="M7879" t="s">
        <v>271</v>
      </c>
      <c r="N7879" t="s">
        <v>505</v>
      </c>
      <c r="O7879" t="s">
        <v>35791</v>
      </c>
      <c r="P7879" t="s">
        <v>35792</v>
      </c>
      <c r="Q7879" t="s">
        <v>35793</v>
      </c>
      <c r="R7879">
        <v>23</v>
      </c>
      <c r="S7879">
        <v>32</v>
      </c>
    </row>
    <row r="7880" spans="1:19" x14ac:dyDescent="0.35">
      <c r="A7880">
        <v>8599</v>
      </c>
      <c r="B7880" t="s">
        <v>35794</v>
      </c>
      <c r="C7880" t="s">
        <v>42</v>
      </c>
      <c r="D7880" t="s">
        <v>35795</v>
      </c>
      <c r="E7880" t="e" cm="1">
        <f t="array" ref="E7880">- GLIMEPIRIDE</f>
        <v>#NAME?</v>
      </c>
      <c r="F7880" t="s">
        <v>35796</v>
      </c>
      <c r="G7880" t="s">
        <v>35580</v>
      </c>
      <c r="H7880" t="s">
        <v>34923</v>
      </c>
      <c r="I7880" t="s">
        <v>34924</v>
      </c>
      <c r="J7880" t="s">
        <v>1730</v>
      </c>
      <c r="K7880" t="s">
        <v>34925</v>
      </c>
      <c r="L7880" t="s">
        <v>34926</v>
      </c>
      <c r="M7880" t="s">
        <v>291</v>
      </c>
      <c r="N7880" t="s">
        <v>34927</v>
      </c>
      <c r="O7880" t="s">
        <v>34928</v>
      </c>
      <c r="P7880" t="s">
        <v>35797</v>
      </c>
      <c r="Q7880" t="s">
        <v>35798</v>
      </c>
      <c r="R7880">
        <v>23</v>
      </c>
      <c r="S7880">
        <v>32</v>
      </c>
    </row>
    <row r="7881" spans="1:19" x14ac:dyDescent="0.35">
      <c r="A7881">
        <v>8600</v>
      </c>
      <c r="B7881" t="s">
        <v>35794</v>
      </c>
      <c r="C7881" t="s">
        <v>42</v>
      </c>
      <c r="D7881" t="s">
        <v>35795</v>
      </c>
      <c r="E7881" t="e" cm="1">
        <f t="array" ref="E7881">- GLIMEPIRIDE</f>
        <v>#NAME?</v>
      </c>
      <c r="F7881" t="s">
        <v>35796</v>
      </c>
      <c r="G7881" t="s">
        <v>35580</v>
      </c>
      <c r="H7881" t="s">
        <v>34923</v>
      </c>
      <c r="I7881" t="s">
        <v>34924</v>
      </c>
      <c r="J7881" t="s">
        <v>1730</v>
      </c>
      <c r="K7881" t="s">
        <v>34925</v>
      </c>
      <c r="L7881" t="s">
        <v>34926</v>
      </c>
      <c r="M7881" t="s">
        <v>291</v>
      </c>
      <c r="N7881" t="s">
        <v>34927</v>
      </c>
      <c r="O7881" t="s">
        <v>34928</v>
      </c>
      <c r="P7881" t="s">
        <v>35797</v>
      </c>
      <c r="Q7881" t="s">
        <v>35798</v>
      </c>
      <c r="R7881">
        <v>23</v>
      </c>
      <c r="S7881">
        <v>32</v>
      </c>
    </row>
    <row r="7882" spans="1:19" x14ac:dyDescent="0.35">
      <c r="A7882">
        <v>8107</v>
      </c>
      <c r="B7882" t="s">
        <v>551</v>
      </c>
      <c r="C7882" t="s">
        <v>42</v>
      </c>
      <c r="D7882" t="s">
        <v>35799</v>
      </c>
      <c r="E7882" t="e" cm="1">
        <f t="array" ref="E7882">- POVIDONE-IODINE</f>
        <v>#NAME?</v>
      </c>
      <c r="F7882" t="s">
        <v>35800</v>
      </c>
      <c r="G7882" t="s">
        <v>35801</v>
      </c>
      <c r="I7882" t="s">
        <v>35802</v>
      </c>
      <c r="J7882" t="s">
        <v>35803</v>
      </c>
      <c r="M7882" t="s">
        <v>554</v>
      </c>
      <c r="N7882" t="s">
        <v>555</v>
      </c>
      <c r="O7882" t="s">
        <v>35804</v>
      </c>
      <c r="P7882" t="s">
        <v>9609</v>
      </c>
      <c r="Q7882" t="s">
        <v>35805</v>
      </c>
      <c r="R7882">
        <v>23</v>
      </c>
      <c r="S7882">
        <v>32</v>
      </c>
    </row>
    <row r="7883" spans="1:19" x14ac:dyDescent="0.35">
      <c r="A7883">
        <v>8106</v>
      </c>
      <c r="B7883" t="s">
        <v>551</v>
      </c>
      <c r="C7883" t="s">
        <v>42</v>
      </c>
      <c r="D7883" t="s">
        <v>35799</v>
      </c>
      <c r="E7883" t="e" cm="1">
        <f t="array" ref="E7883">- POVIDONE-IODINE</f>
        <v>#NAME?</v>
      </c>
      <c r="F7883" t="s">
        <v>35800</v>
      </c>
      <c r="G7883" t="s">
        <v>35801</v>
      </c>
      <c r="I7883" t="s">
        <v>35802</v>
      </c>
      <c r="J7883" t="s">
        <v>35803</v>
      </c>
      <c r="M7883" t="s">
        <v>554</v>
      </c>
      <c r="N7883" t="s">
        <v>555</v>
      </c>
      <c r="O7883" t="s">
        <v>35804</v>
      </c>
      <c r="P7883" t="s">
        <v>9609</v>
      </c>
      <c r="Q7883" t="s">
        <v>35805</v>
      </c>
      <c r="R7883">
        <v>23</v>
      </c>
      <c r="S7883">
        <v>32</v>
      </c>
    </row>
    <row r="7884" spans="1:19" x14ac:dyDescent="0.35">
      <c r="A7884">
        <v>8601</v>
      </c>
      <c r="B7884" t="s">
        <v>35806</v>
      </c>
      <c r="C7884" t="s">
        <v>42</v>
      </c>
      <c r="D7884" t="s">
        <v>35807</v>
      </c>
      <c r="E7884" t="e" cm="1">
        <f t="array" ref="E7884">- GLIMEPIRIDE</f>
        <v>#NAME?</v>
      </c>
      <c r="F7884" t="s">
        <v>35808</v>
      </c>
      <c r="G7884" t="s">
        <v>35580</v>
      </c>
      <c r="H7884" t="s">
        <v>34923</v>
      </c>
      <c r="I7884" t="s">
        <v>34924</v>
      </c>
      <c r="J7884" t="s">
        <v>1730</v>
      </c>
      <c r="K7884" t="s">
        <v>34925</v>
      </c>
      <c r="L7884" t="s">
        <v>34926</v>
      </c>
      <c r="M7884" t="s">
        <v>291</v>
      </c>
      <c r="N7884" t="s">
        <v>34927</v>
      </c>
      <c r="O7884" t="s">
        <v>34928</v>
      </c>
      <c r="P7884" t="s">
        <v>35797</v>
      </c>
      <c r="Q7884" t="s">
        <v>35798</v>
      </c>
      <c r="R7884">
        <v>23</v>
      </c>
      <c r="S7884">
        <v>32</v>
      </c>
    </row>
    <row r="7885" spans="1:19" x14ac:dyDescent="0.35">
      <c r="A7885">
        <v>8602</v>
      </c>
      <c r="B7885" t="s">
        <v>35806</v>
      </c>
      <c r="C7885" t="s">
        <v>42</v>
      </c>
      <c r="D7885" t="s">
        <v>35807</v>
      </c>
      <c r="E7885" t="e" cm="1">
        <f t="array" ref="E7885">- GLIMEPIRIDE</f>
        <v>#NAME?</v>
      </c>
      <c r="F7885" t="s">
        <v>35808</v>
      </c>
      <c r="G7885" t="s">
        <v>35580</v>
      </c>
      <c r="H7885" t="s">
        <v>34923</v>
      </c>
      <c r="I7885" t="s">
        <v>34924</v>
      </c>
      <c r="J7885" t="s">
        <v>1730</v>
      </c>
      <c r="K7885" t="s">
        <v>34925</v>
      </c>
      <c r="L7885" t="s">
        <v>34926</v>
      </c>
      <c r="M7885" t="s">
        <v>291</v>
      </c>
      <c r="N7885" t="s">
        <v>34927</v>
      </c>
      <c r="O7885" t="s">
        <v>34928</v>
      </c>
      <c r="P7885" t="s">
        <v>35797</v>
      </c>
      <c r="Q7885" t="s">
        <v>35798</v>
      </c>
      <c r="R7885">
        <v>23</v>
      </c>
      <c r="S7885">
        <v>32</v>
      </c>
    </row>
    <row r="7886" spans="1:19" x14ac:dyDescent="0.35">
      <c r="A7886">
        <v>8603</v>
      </c>
      <c r="B7886" t="s">
        <v>35809</v>
      </c>
      <c r="C7886" t="s">
        <v>42</v>
      </c>
      <c r="D7886" t="s">
        <v>35810</v>
      </c>
      <c r="E7886" t="e" cm="1">
        <f t="array" ref="E7886">- GLIMEPIRIDE</f>
        <v>#NAME?</v>
      </c>
      <c r="F7886" t="s">
        <v>35811</v>
      </c>
      <c r="G7886" t="s">
        <v>35812</v>
      </c>
      <c r="H7886" t="s">
        <v>35813</v>
      </c>
      <c r="I7886" t="s">
        <v>35814</v>
      </c>
      <c r="J7886" t="s">
        <v>969</v>
      </c>
      <c r="K7886" t="s">
        <v>35815</v>
      </c>
      <c r="L7886" t="s">
        <v>35816</v>
      </c>
      <c r="M7886" t="s">
        <v>46</v>
      </c>
      <c r="N7886" t="s">
        <v>34927</v>
      </c>
      <c r="O7886" t="s">
        <v>35817</v>
      </c>
      <c r="P7886" t="s">
        <v>35818</v>
      </c>
      <c r="Q7886" t="s">
        <v>35819</v>
      </c>
      <c r="R7886">
        <v>23</v>
      </c>
      <c r="S7886">
        <v>32</v>
      </c>
    </row>
    <row r="7887" spans="1:19" x14ac:dyDescent="0.35">
      <c r="A7887">
        <v>8604</v>
      </c>
      <c r="B7887" t="s">
        <v>35809</v>
      </c>
      <c r="C7887" t="s">
        <v>42</v>
      </c>
      <c r="D7887" t="s">
        <v>35810</v>
      </c>
      <c r="E7887" t="e" cm="1">
        <f t="array" ref="E7887">- GLIMEPIRIDE</f>
        <v>#NAME?</v>
      </c>
      <c r="F7887" t="s">
        <v>35811</v>
      </c>
      <c r="G7887" t="s">
        <v>35812</v>
      </c>
      <c r="H7887" t="s">
        <v>35813</v>
      </c>
      <c r="I7887" t="s">
        <v>35814</v>
      </c>
      <c r="J7887" t="s">
        <v>969</v>
      </c>
      <c r="K7887" t="s">
        <v>35815</v>
      </c>
      <c r="L7887" t="s">
        <v>35816</v>
      </c>
      <c r="M7887" t="s">
        <v>46</v>
      </c>
      <c r="N7887" t="s">
        <v>34927</v>
      </c>
      <c r="O7887" t="s">
        <v>35817</v>
      </c>
      <c r="P7887" t="s">
        <v>35818</v>
      </c>
      <c r="Q7887" t="s">
        <v>35819</v>
      </c>
      <c r="R7887">
        <v>23</v>
      </c>
      <c r="S7887">
        <v>32</v>
      </c>
    </row>
    <row r="7888" spans="1:19" x14ac:dyDescent="0.35">
      <c r="A7888">
        <v>8605</v>
      </c>
      <c r="B7888" t="s">
        <v>35820</v>
      </c>
      <c r="C7888" t="s">
        <v>42</v>
      </c>
      <c r="D7888" t="s">
        <v>35821</v>
      </c>
      <c r="E7888" t="e" cm="1">
        <f t="array" ref="E7888">- GLIMEPIRIDE</f>
        <v>#NAME?</v>
      </c>
      <c r="F7888" t="s">
        <v>35822</v>
      </c>
      <c r="G7888" t="s">
        <v>35812</v>
      </c>
      <c r="H7888" t="s">
        <v>35813</v>
      </c>
      <c r="I7888" t="s">
        <v>35814</v>
      </c>
      <c r="J7888" t="s">
        <v>969</v>
      </c>
      <c r="K7888" t="s">
        <v>35815</v>
      </c>
      <c r="L7888" t="s">
        <v>35816</v>
      </c>
      <c r="M7888" t="s">
        <v>46</v>
      </c>
      <c r="N7888" t="s">
        <v>34927</v>
      </c>
      <c r="O7888" t="s">
        <v>35817</v>
      </c>
      <c r="P7888" t="s">
        <v>35818</v>
      </c>
      <c r="Q7888" t="s">
        <v>35819</v>
      </c>
      <c r="R7888">
        <v>23</v>
      </c>
      <c r="S7888">
        <v>32</v>
      </c>
    </row>
    <row r="7889" spans="1:19" x14ac:dyDescent="0.35">
      <c r="A7889">
        <v>8606</v>
      </c>
      <c r="B7889" t="s">
        <v>35820</v>
      </c>
      <c r="C7889" t="s">
        <v>42</v>
      </c>
      <c r="D7889" t="s">
        <v>35821</v>
      </c>
      <c r="E7889" t="e" cm="1">
        <f t="array" ref="E7889">- GLIMEPIRIDE</f>
        <v>#NAME?</v>
      </c>
      <c r="F7889" t="s">
        <v>35822</v>
      </c>
      <c r="G7889" t="s">
        <v>35812</v>
      </c>
      <c r="H7889" t="s">
        <v>35813</v>
      </c>
      <c r="I7889" t="s">
        <v>35814</v>
      </c>
      <c r="J7889" t="s">
        <v>969</v>
      </c>
      <c r="K7889" t="s">
        <v>35815</v>
      </c>
      <c r="L7889" t="s">
        <v>35816</v>
      </c>
      <c r="M7889" t="s">
        <v>46</v>
      </c>
      <c r="N7889" t="s">
        <v>34927</v>
      </c>
      <c r="O7889" t="s">
        <v>35817</v>
      </c>
      <c r="P7889" t="s">
        <v>35818</v>
      </c>
      <c r="Q7889" t="s">
        <v>35819</v>
      </c>
      <c r="R7889">
        <v>23</v>
      </c>
      <c r="S7889">
        <v>32</v>
      </c>
    </row>
    <row r="7890" spans="1:19" x14ac:dyDescent="0.35">
      <c r="A7890">
        <v>5954</v>
      </c>
      <c r="B7890" t="s">
        <v>35823</v>
      </c>
      <c r="C7890" t="s">
        <v>42</v>
      </c>
      <c r="D7890" t="s">
        <v>35824</v>
      </c>
      <c r="E7890" t="e" cm="1">
        <f t="array" ref="E7890">- CLINDAMYCIN HYDROCHLORIDE</f>
        <v>#NAME?</v>
      </c>
      <c r="F7890" t="s">
        <v>35825</v>
      </c>
      <c r="G7890" t="s">
        <v>2248</v>
      </c>
      <c r="H7890" t="s">
        <v>35510</v>
      </c>
      <c r="I7890" t="s">
        <v>35826</v>
      </c>
      <c r="J7890" t="s">
        <v>35827</v>
      </c>
      <c r="L7890" t="s">
        <v>32586</v>
      </c>
      <c r="M7890" t="s">
        <v>38</v>
      </c>
      <c r="N7890" t="s">
        <v>23622</v>
      </c>
      <c r="O7890" t="s">
        <v>35828</v>
      </c>
      <c r="P7890" t="s">
        <v>35829</v>
      </c>
      <c r="Q7890" t="s">
        <v>35830</v>
      </c>
      <c r="R7890">
        <v>23</v>
      </c>
      <c r="S7890">
        <v>32</v>
      </c>
    </row>
    <row r="7891" spans="1:19" x14ac:dyDescent="0.35">
      <c r="A7891">
        <v>5955</v>
      </c>
      <c r="B7891" t="s">
        <v>35831</v>
      </c>
      <c r="C7891" t="s">
        <v>42</v>
      </c>
      <c r="D7891" t="s">
        <v>35832</v>
      </c>
      <c r="E7891" t="e" cm="1">
        <f t="array" ref="E7891">- CLINDAMYCIN HYDROCHLORIDE</f>
        <v>#NAME?</v>
      </c>
      <c r="F7891" t="s">
        <v>35833</v>
      </c>
      <c r="G7891" t="s">
        <v>2248</v>
      </c>
      <c r="H7891" t="s">
        <v>23569</v>
      </c>
    </row>
    <row r="7892" spans="1:19" x14ac:dyDescent="0.35">
      <c r="A7892">
        <v>8607</v>
      </c>
      <c r="B7892" t="s">
        <v>35834</v>
      </c>
      <c r="C7892" t="s">
        <v>42</v>
      </c>
      <c r="D7892" t="s">
        <v>35835</v>
      </c>
      <c r="E7892" t="e" cm="1">
        <f t="array" ref="E7892">- GLIMEPIRIDE</f>
        <v>#NAME?</v>
      </c>
      <c r="F7892" t="s">
        <v>35836</v>
      </c>
      <c r="G7892" t="s">
        <v>35812</v>
      </c>
      <c r="H7892" t="s">
        <v>35813</v>
      </c>
      <c r="I7892" t="s">
        <v>35814</v>
      </c>
      <c r="J7892" t="s">
        <v>2478</v>
      </c>
      <c r="K7892" t="s">
        <v>35815</v>
      </c>
      <c r="L7892" t="s">
        <v>35816</v>
      </c>
      <c r="M7892" t="s">
        <v>46</v>
      </c>
      <c r="N7892" t="s">
        <v>34927</v>
      </c>
      <c r="O7892" t="s">
        <v>35817</v>
      </c>
      <c r="P7892" t="s">
        <v>35818</v>
      </c>
      <c r="Q7892" t="s">
        <v>35819</v>
      </c>
      <c r="R7892">
        <v>23</v>
      </c>
      <c r="S7892">
        <v>32</v>
      </c>
    </row>
    <row r="7893" spans="1:19" x14ac:dyDescent="0.35">
      <c r="A7893">
        <v>8608</v>
      </c>
      <c r="B7893" t="s">
        <v>35834</v>
      </c>
      <c r="C7893" t="s">
        <v>42</v>
      </c>
      <c r="D7893" t="s">
        <v>35835</v>
      </c>
      <c r="E7893" t="e" cm="1">
        <f t="array" ref="E7893">- GLIMEPIRIDE</f>
        <v>#NAME?</v>
      </c>
      <c r="F7893" t="s">
        <v>35836</v>
      </c>
      <c r="G7893" t="s">
        <v>35812</v>
      </c>
      <c r="H7893" t="s">
        <v>35813</v>
      </c>
      <c r="I7893" t="s">
        <v>35814</v>
      </c>
      <c r="J7893" t="s">
        <v>2478</v>
      </c>
      <c r="K7893" t="s">
        <v>35815</v>
      </c>
      <c r="L7893" t="s">
        <v>35816</v>
      </c>
      <c r="M7893" t="s">
        <v>46</v>
      </c>
      <c r="N7893" t="s">
        <v>34927</v>
      </c>
      <c r="O7893" t="s">
        <v>35817</v>
      </c>
      <c r="P7893" t="s">
        <v>35818</v>
      </c>
      <c r="Q7893" t="s">
        <v>35819</v>
      </c>
      <c r="R7893">
        <v>23</v>
      </c>
      <c r="S7893">
        <v>32</v>
      </c>
    </row>
    <row r="7894" spans="1:19" x14ac:dyDescent="0.35">
      <c r="A7894">
        <v>8610</v>
      </c>
      <c r="B7894" t="s">
        <v>35837</v>
      </c>
      <c r="C7894" t="s">
        <v>42</v>
      </c>
      <c r="D7894" t="s">
        <v>35838</v>
      </c>
      <c r="E7894" t="e" cm="1">
        <f t="array" ref="E7894">- GLIMEPIRIDE</f>
        <v>#NAME?</v>
      </c>
      <c r="F7894" t="s">
        <v>35839</v>
      </c>
      <c r="G7894" t="s">
        <v>35778</v>
      </c>
      <c r="H7894" t="s">
        <v>34923</v>
      </c>
      <c r="I7894" t="s">
        <v>34924</v>
      </c>
      <c r="J7894" t="s">
        <v>532</v>
      </c>
      <c r="K7894" t="s">
        <v>34925</v>
      </c>
      <c r="L7894" t="s">
        <v>34926</v>
      </c>
      <c r="M7894" t="s">
        <v>46</v>
      </c>
      <c r="N7894" t="s">
        <v>34927</v>
      </c>
      <c r="O7894" t="s">
        <v>34928</v>
      </c>
      <c r="P7894" t="s">
        <v>35840</v>
      </c>
      <c r="Q7894" t="s">
        <v>35841</v>
      </c>
      <c r="R7894">
        <v>23</v>
      </c>
      <c r="S7894">
        <v>32</v>
      </c>
    </row>
    <row r="7895" spans="1:19" x14ac:dyDescent="0.35">
      <c r="A7895">
        <v>8611</v>
      </c>
      <c r="B7895" t="s">
        <v>35837</v>
      </c>
      <c r="C7895" t="s">
        <v>42</v>
      </c>
      <c r="D7895" t="s">
        <v>35838</v>
      </c>
      <c r="E7895" t="e" cm="1">
        <f t="array" ref="E7895">- GLIMEPIRIDE</f>
        <v>#NAME?</v>
      </c>
      <c r="F7895" t="s">
        <v>35839</v>
      </c>
      <c r="G7895" t="s">
        <v>35778</v>
      </c>
      <c r="H7895" t="s">
        <v>34923</v>
      </c>
      <c r="I7895" t="s">
        <v>34924</v>
      </c>
      <c r="J7895" t="s">
        <v>532</v>
      </c>
      <c r="K7895" t="s">
        <v>34925</v>
      </c>
      <c r="L7895" t="s">
        <v>34926</v>
      </c>
      <c r="M7895" t="s">
        <v>46</v>
      </c>
      <c r="N7895" t="s">
        <v>34927</v>
      </c>
      <c r="O7895" t="s">
        <v>34928</v>
      </c>
      <c r="P7895" t="s">
        <v>35840</v>
      </c>
      <c r="Q7895" t="s">
        <v>35841</v>
      </c>
      <c r="R7895">
        <v>23</v>
      </c>
      <c r="S7895">
        <v>32</v>
      </c>
    </row>
    <row r="7896" spans="1:19" x14ac:dyDescent="0.35">
      <c r="A7896">
        <v>8598</v>
      </c>
      <c r="B7896" t="s">
        <v>35842</v>
      </c>
      <c r="C7896" t="s">
        <v>42</v>
      </c>
      <c r="D7896" t="s">
        <v>35843</v>
      </c>
      <c r="E7896" t="e" cm="1">
        <f t="array" ref="E7896">- GLIMEPIRIDE</f>
        <v>#NAME?</v>
      </c>
      <c r="F7896" t="s">
        <v>35844</v>
      </c>
      <c r="G7896" t="s">
        <v>35580</v>
      </c>
      <c r="H7896" t="s">
        <v>34923</v>
      </c>
      <c r="I7896" t="s">
        <v>34924</v>
      </c>
      <c r="J7896" t="s">
        <v>1730</v>
      </c>
      <c r="K7896" t="s">
        <v>34925</v>
      </c>
      <c r="L7896" t="s">
        <v>34926</v>
      </c>
      <c r="M7896" t="s">
        <v>291</v>
      </c>
      <c r="N7896" t="s">
        <v>34927</v>
      </c>
      <c r="O7896" t="s">
        <v>34928</v>
      </c>
      <c r="P7896" t="s">
        <v>35797</v>
      </c>
      <c r="Q7896" t="s">
        <v>35798</v>
      </c>
      <c r="R7896">
        <v>23</v>
      </c>
      <c r="S7896">
        <v>32</v>
      </c>
    </row>
    <row r="7897" spans="1:19" x14ac:dyDescent="0.35">
      <c r="A7897">
        <v>8597</v>
      </c>
      <c r="B7897" t="s">
        <v>35845</v>
      </c>
      <c r="C7897" t="s">
        <v>42</v>
      </c>
      <c r="D7897" t="s">
        <v>35846</v>
      </c>
      <c r="E7897" t="e" cm="1">
        <f t="array" ref="E7897">- GLIMEPIRIDE</f>
        <v>#NAME?</v>
      </c>
      <c r="F7897" t="s">
        <v>35847</v>
      </c>
      <c r="G7897" t="s">
        <v>35580</v>
      </c>
      <c r="H7897" t="s">
        <v>34923</v>
      </c>
      <c r="I7897" t="s">
        <v>34924</v>
      </c>
      <c r="J7897" t="s">
        <v>1730</v>
      </c>
      <c r="K7897" t="s">
        <v>34925</v>
      </c>
      <c r="L7897" t="s">
        <v>34926</v>
      </c>
      <c r="M7897" t="s">
        <v>291</v>
      </c>
      <c r="N7897" t="s">
        <v>34927</v>
      </c>
      <c r="O7897" t="s">
        <v>34928</v>
      </c>
      <c r="P7897" t="s">
        <v>35797</v>
      </c>
      <c r="Q7897" t="s">
        <v>35798</v>
      </c>
      <c r="R7897">
        <v>23</v>
      </c>
      <c r="S7897">
        <v>32</v>
      </c>
    </row>
    <row r="7898" spans="1:19" x14ac:dyDescent="0.35">
      <c r="A7898">
        <v>810</v>
      </c>
      <c r="B7898" t="s">
        <v>27865</v>
      </c>
      <c r="C7898" t="s">
        <v>42</v>
      </c>
      <c r="D7898" t="s">
        <v>27866</v>
      </c>
      <c r="E7898" t="e" cm="1">
        <f t="array" ref="E7898">- PARACETAMOL. PHENYLPROPANOLAMINE HYDROCHLORIDE. DEXCHLORPHENIRAMINE MALEATE. GUAIFENESIN. DEXTROMETHORPHAN HYDROBROMIDE</f>
        <v>#NAME?</v>
      </c>
      <c r="F7898" t="s">
        <v>23473</v>
      </c>
      <c r="G7898" t="s">
        <v>5746</v>
      </c>
      <c r="H7898" t="s">
        <v>27867</v>
      </c>
      <c r="I7898" t="s">
        <v>27868</v>
      </c>
      <c r="J7898" t="s">
        <v>17253</v>
      </c>
      <c r="K7898" t="s">
        <v>27869</v>
      </c>
      <c r="L7898" t="s">
        <v>27870</v>
      </c>
      <c r="M7898" t="s">
        <v>46</v>
      </c>
      <c r="N7898" t="s">
        <v>35034</v>
      </c>
      <c r="O7898" t="s">
        <v>27871</v>
      </c>
      <c r="P7898" t="s">
        <v>27872</v>
      </c>
      <c r="Q7898" t="s">
        <v>35848</v>
      </c>
      <c r="R7898">
        <v>23</v>
      </c>
      <c r="S7898">
        <v>32</v>
      </c>
    </row>
    <row r="7899" spans="1:19" x14ac:dyDescent="0.35">
      <c r="A7899">
        <v>2863</v>
      </c>
      <c r="B7899" t="s">
        <v>35849</v>
      </c>
      <c r="C7899" t="s">
        <v>42</v>
      </c>
      <c r="D7899" t="s">
        <v>35850</v>
      </c>
      <c r="E7899" t="e" cm="1">
        <f t="array" ref="E7899">- PARACETAMOL</f>
        <v>#NAME?</v>
      </c>
      <c r="F7899" t="s">
        <v>35851</v>
      </c>
      <c r="G7899" t="s">
        <v>6869</v>
      </c>
      <c r="H7899" t="s">
        <v>35852</v>
      </c>
      <c r="I7899" t="s">
        <v>32224</v>
      </c>
      <c r="J7899" t="s">
        <v>334</v>
      </c>
      <c r="K7899" t="s">
        <v>27987</v>
      </c>
      <c r="L7899" t="s">
        <v>34731</v>
      </c>
      <c r="M7899" t="s">
        <v>271</v>
      </c>
      <c r="N7899" t="s">
        <v>584</v>
      </c>
      <c r="O7899" t="s">
        <v>32225</v>
      </c>
      <c r="P7899" t="s">
        <v>35853</v>
      </c>
      <c r="Q7899" t="s">
        <v>35854</v>
      </c>
      <c r="R7899">
        <v>23</v>
      </c>
      <c r="S7899">
        <v>32</v>
      </c>
    </row>
    <row r="7900" spans="1:19" x14ac:dyDescent="0.35">
      <c r="A7900">
        <v>588</v>
      </c>
      <c r="B7900" t="s">
        <v>35855</v>
      </c>
      <c r="C7900" t="s">
        <v>42</v>
      </c>
      <c r="D7900" t="s">
        <v>35856</v>
      </c>
      <c r="E7900" t="e" cm="1">
        <f t="array" ref="E7900">- SALBUTAMOL SULFATE</f>
        <v>#NAME?</v>
      </c>
      <c r="F7900" t="s">
        <v>35857</v>
      </c>
      <c r="G7900" t="s">
        <v>35858</v>
      </c>
      <c r="H7900" t="s">
        <v>35859</v>
      </c>
      <c r="I7900" t="s">
        <v>35860</v>
      </c>
    </row>
    <row r="7901" spans="1:19" x14ac:dyDescent="0.35">
      <c r="A7901">
        <v>7677</v>
      </c>
      <c r="B7901" t="s">
        <v>35861</v>
      </c>
      <c r="C7901" t="s">
        <v>20</v>
      </c>
      <c r="D7901" t="s">
        <v>35862</v>
      </c>
      <c r="E7901" t="s">
        <v>35863</v>
      </c>
      <c r="F7901" t="s">
        <v>35864</v>
      </c>
      <c r="G7901" t="s">
        <v>4469</v>
      </c>
      <c r="H7901" t="s">
        <v>35865</v>
      </c>
      <c r="I7901" t="s">
        <v>32576</v>
      </c>
      <c r="J7901" t="s">
        <v>35866</v>
      </c>
      <c r="M7901" t="s">
        <v>554</v>
      </c>
      <c r="N7901" t="s">
        <v>35867</v>
      </c>
      <c r="O7901" t="s">
        <v>32578</v>
      </c>
      <c r="P7901" t="s">
        <v>35868</v>
      </c>
      <c r="Q7901" t="s">
        <v>35869</v>
      </c>
      <c r="R7901">
        <v>23</v>
      </c>
      <c r="S7901">
        <v>32</v>
      </c>
    </row>
    <row r="7902" spans="1:19" x14ac:dyDescent="0.35">
      <c r="A7902">
        <v>7678</v>
      </c>
      <c r="B7902" t="s">
        <v>35861</v>
      </c>
      <c r="C7902" t="s">
        <v>20</v>
      </c>
      <c r="D7902" t="s">
        <v>35862</v>
      </c>
      <c r="E7902" t="s">
        <v>35863</v>
      </c>
      <c r="F7902" t="s">
        <v>35864</v>
      </c>
      <c r="G7902" t="s">
        <v>4469</v>
      </c>
      <c r="H7902" t="s">
        <v>35865</v>
      </c>
      <c r="I7902" t="s">
        <v>32576</v>
      </c>
      <c r="J7902" t="s">
        <v>35866</v>
      </c>
      <c r="M7902" t="s">
        <v>554</v>
      </c>
      <c r="N7902" t="s">
        <v>35867</v>
      </c>
      <c r="O7902" t="s">
        <v>32578</v>
      </c>
      <c r="P7902" t="s">
        <v>35868</v>
      </c>
      <c r="Q7902" t="s">
        <v>35869</v>
      </c>
      <c r="R7902">
        <v>23</v>
      </c>
      <c r="S7902">
        <v>32</v>
      </c>
    </row>
    <row r="7903" spans="1:19" x14ac:dyDescent="0.35">
      <c r="A7903">
        <v>7680</v>
      </c>
      <c r="B7903" t="s">
        <v>35870</v>
      </c>
      <c r="C7903" t="s">
        <v>20</v>
      </c>
      <c r="D7903" t="s">
        <v>35871</v>
      </c>
      <c r="E7903" t="s">
        <v>35872</v>
      </c>
      <c r="F7903" t="s">
        <v>35873</v>
      </c>
      <c r="G7903" t="s">
        <v>4469</v>
      </c>
      <c r="H7903" t="s">
        <v>35865</v>
      </c>
      <c r="I7903" t="s">
        <v>32576</v>
      </c>
      <c r="J7903" t="s">
        <v>35866</v>
      </c>
      <c r="M7903" t="s">
        <v>554</v>
      </c>
      <c r="N7903" t="s">
        <v>35874</v>
      </c>
      <c r="O7903" t="s">
        <v>32578</v>
      </c>
      <c r="P7903" t="s">
        <v>35875</v>
      </c>
      <c r="Q7903" t="s">
        <v>35876</v>
      </c>
      <c r="R7903">
        <v>23</v>
      </c>
      <c r="S7903">
        <v>32</v>
      </c>
    </row>
    <row r="7904" spans="1:19" x14ac:dyDescent="0.35">
      <c r="A7904">
        <v>1361</v>
      </c>
      <c r="B7904" t="s">
        <v>2074</v>
      </c>
      <c r="C7904" t="s">
        <v>42</v>
      </c>
      <c r="D7904" t="s">
        <v>35877</v>
      </c>
      <c r="E7904" t="e" cm="1">
        <f t="array" ref="E7904">- GUAIFENESIN</f>
        <v>#NAME?</v>
      </c>
      <c r="F7904" t="s">
        <v>35878</v>
      </c>
      <c r="G7904" t="s">
        <v>35879</v>
      </c>
      <c r="H7904" t="s">
        <v>35880</v>
      </c>
      <c r="I7904" t="s">
        <v>35881</v>
      </c>
      <c r="J7904" t="s">
        <v>3856</v>
      </c>
      <c r="M7904" t="s">
        <v>46</v>
      </c>
      <c r="N7904" t="s">
        <v>361</v>
      </c>
      <c r="O7904" t="s">
        <v>35882</v>
      </c>
      <c r="P7904" t="s">
        <v>35883</v>
      </c>
      <c r="Q7904" t="s">
        <v>35884</v>
      </c>
      <c r="R7904">
        <v>23</v>
      </c>
      <c r="S7904">
        <v>32</v>
      </c>
    </row>
    <row r="7905" spans="1:19" x14ac:dyDescent="0.35">
      <c r="A7905">
        <v>8944</v>
      </c>
      <c r="B7905" t="s">
        <v>35885</v>
      </c>
      <c r="C7905" t="s">
        <v>42</v>
      </c>
      <c r="D7905" t="s">
        <v>35886</v>
      </c>
      <c r="E7905" t="e" cm="1">
        <f t="array" ref="E7905">- SACUBITRIL</f>
        <v>#NAME?</v>
      </c>
      <c r="F7905" t="s">
        <v>35887</v>
      </c>
      <c r="G7905" t="s">
        <v>5301</v>
      </c>
      <c r="H7905" t="s">
        <v>35552</v>
      </c>
      <c r="I7905" t="s">
        <v>35575</v>
      </c>
      <c r="J7905" t="s">
        <v>2644</v>
      </c>
      <c r="K7905" t="s">
        <v>35888</v>
      </c>
      <c r="L7905" t="s">
        <v>270</v>
      </c>
      <c r="M7905" t="s">
        <v>46</v>
      </c>
      <c r="N7905" t="s">
        <v>35556</v>
      </c>
      <c r="O7905" t="s">
        <v>35557</v>
      </c>
      <c r="P7905" t="s">
        <v>35558</v>
      </c>
      <c r="Q7905" t="s">
        <v>35559</v>
      </c>
      <c r="R7905">
        <v>23</v>
      </c>
      <c r="S7905">
        <v>32</v>
      </c>
    </row>
    <row r="7906" spans="1:19" x14ac:dyDescent="0.35">
      <c r="A7906">
        <v>7683</v>
      </c>
      <c r="B7906" t="s">
        <v>35889</v>
      </c>
      <c r="C7906" t="s">
        <v>20</v>
      </c>
      <c r="D7906" t="s">
        <v>35890</v>
      </c>
      <c r="E7906" t="s">
        <v>35891</v>
      </c>
      <c r="F7906" t="s">
        <v>35892</v>
      </c>
      <c r="G7906" t="s">
        <v>4469</v>
      </c>
      <c r="H7906" t="s">
        <v>35865</v>
      </c>
      <c r="I7906" t="s">
        <v>32576</v>
      </c>
      <c r="J7906" t="s">
        <v>35893</v>
      </c>
      <c r="M7906" t="s">
        <v>554</v>
      </c>
      <c r="N7906" t="s">
        <v>35894</v>
      </c>
      <c r="O7906" t="s">
        <v>32578</v>
      </c>
      <c r="P7906" t="s">
        <v>35895</v>
      </c>
      <c r="Q7906" t="s">
        <v>35896</v>
      </c>
      <c r="R7906">
        <v>23</v>
      </c>
      <c r="S7906">
        <v>32</v>
      </c>
    </row>
    <row r="7907" spans="1:19" x14ac:dyDescent="0.35">
      <c r="A7907">
        <v>7684</v>
      </c>
      <c r="B7907" t="s">
        <v>35889</v>
      </c>
      <c r="C7907" t="s">
        <v>20</v>
      </c>
      <c r="D7907" t="s">
        <v>35890</v>
      </c>
      <c r="E7907" t="s">
        <v>35891</v>
      </c>
      <c r="F7907" t="s">
        <v>35892</v>
      </c>
      <c r="G7907" t="s">
        <v>4469</v>
      </c>
      <c r="H7907" t="s">
        <v>35865</v>
      </c>
      <c r="I7907" t="s">
        <v>32576</v>
      </c>
      <c r="J7907" t="s">
        <v>35893</v>
      </c>
      <c r="M7907" t="s">
        <v>554</v>
      </c>
      <c r="N7907" t="s">
        <v>35894</v>
      </c>
      <c r="O7907" t="s">
        <v>32578</v>
      </c>
      <c r="P7907" t="s">
        <v>35895</v>
      </c>
      <c r="Q7907" t="s">
        <v>35896</v>
      </c>
      <c r="R7907">
        <v>23</v>
      </c>
      <c r="S7907">
        <v>32</v>
      </c>
    </row>
    <row r="7908" spans="1:19" x14ac:dyDescent="0.35">
      <c r="A7908">
        <v>8612</v>
      </c>
      <c r="B7908" t="s">
        <v>35837</v>
      </c>
      <c r="C7908" t="s">
        <v>42</v>
      </c>
      <c r="D7908" t="s">
        <v>35838</v>
      </c>
      <c r="E7908" t="e" cm="1">
        <f t="array" ref="E7908">- GLIMEPIRIDE</f>
        <v>#NAME?</v>
      </c>
      <c r="F7908" t="s">
        <v>35839</v>
      </c>
      <c r="G7908" t="s">
        <v>35778</v>
      </c>
      <c r="H7908" t="s">
        <v>34923</v>
      </c>
      <c r="I7908" t="s">
        <v>34924</v>
      </c>
      <c r="J7908" t="s">
        <v>532</v>
      </c>
      <c r="K7908" t="s">
        <v>34925</v>
      </c>
      <c r="L7908" t="s">
        <v>34926</v>
      </c>
      <c r="M7908" t="s">
        <v>46</v>
      </c>
      <c r="N7908" t="s">
        <v>34927</v>
      </c>
      <c r="O7908" t="s">
        <v>34928</v>
      </c>
      <c r="P7908" t="s">
        <v>35840</v>
      </c>
      <c r="Q7908" t="s">
        <v>35841</v>
      </c>
      <c r="R7908">
        <v>23</v>
      </c>
      <c r="S7908">
        <v>32</v>
      </c>
    </row>
    <row r="7909" spans="1:19" x14ac:dyDescent="0.35">
      <c r="A7909">
        <v>7685</v>
      </c>
      <c r="B7909" t="s">
        <v>35897</v>
      </c>
      <c r="C7909" t="s">
        <v>20</v>
      </c>
      <c r="D7909" t="s">
        <v>35898</v>
      </c>
      <c r="E7909" t="s">
        <v>35899</v>
      </c>
      <c r="F7909" t="s">
        <v>35900</v>
      </c>
      <c r="G7909" t="s">
        <v>4469</v>
      </c>
      <c r="H7909" t="s">
        <v>35865</v>
      </c>
      <c r="I7909" t="s">
        <v>32576</v>
      </c>
      <c r="J7909" t="s">
        <v>35866</v>
      </c>
      <c r="M7909" t="s">
        <v>554</v>
      </c>
      <c r="N7909" t="s">
        <v>35901</v>
      </c>
      <c r="O7909" t="s">
        <v>32578</v>
      </c>
      <c r="P7909" t="s">
        <v>35902</v>
      </c>
      <c r="Q7909" t="s">
        <v>35903</v>
      </c>
      <c r="R7909">
        <v>23</v>
      </c>
      <c r="S7909">
        <v>32</v>
      </c>
    </row>
    <row r="7910" spans="1:19" x14ac:dyDescent="0.35">
      <c r="A7910">
        <v>8551</v>
      </c>
      <c r="B7910" t="s">
        <v>35904</v>
      </c>
      <c r="C7910" t="s">
        <v>42</v>
      </c>
      <c r="D7910" t="s">
        <v>35905</v>
      </c>
      <c r="E7910" t="e" cm="1">
        <f t="array" ref="E7910">- GLIMEPIRIDE</f>
        <v>#NAME?</v>
      </c>
      <c r="F7910" t="s">
        <v>35906</v>
      </c>
      <c r="G7910" t="s">
        <v>35812</v>
      </c>
      <c r="H7910" t="s">
        <v>35813</v>
      </c>
      <c r="I7910" t="s">
        <v>35814</v>
      </c>
      <c r="J7910" t="s">
        <v>969</v>
      </c>
      <c r="K7910" t="s">
        <v>35815</v>
      </c>
      <c r="L7910" t="s">
        <v>35816</v>
      </c>
      <c r="M7910" t="s">
        <v>46</v>
      </c>
      <c r="N7910" t="s">
        <v>34927</v>
      </c>
      <c r="O7910" t="s">
        <v>35817</v>
      </c>
      <c r="P7910" t="s">
        <v>35818</v>
      </c>
      <c r="Q7910" t="s">
        <v>35819</v>
      </c>
      <c r="R7910">
        <v>23</v>
      </c>
      <c r="S7910">
        <v>32</v>
      </c>
    </row>
    <row r="7911" spans="1:19" x14ac:dyDescent="0.35">
      <c r="A7911">
        <v>1463</v>
      </c>
      <c r="B7911" t="s">
        <v>35907</v>
      </c>
      <c r="C7911" t="s">
        <v>42</v>
      </c>
      <c r="D7911" t="s">
        <v>35908</v>
      </c>
      <c r="E7911" t="e" cm="1">
        <f t="array" ref="E7911">- ACETYL CYSTEINE</f>
        <v>#NAME?</v>
      </c>
      <c r="F7911" t="s">
        <v>35909</v>
      </c>
      <c r="G7911" t="s">
        <v>2241</v>
      </c>
      <c r="H7911" t="s">
        <v>35910</v>
      </c>
      <c r="I7911" t="s">
        <v>35911</v>
      </c>
      <c r="J7911" t="s">
        <v>14600</v>
      </c>
      <c r="K7911" t="s">
        <v>4677</v>
      </c>
      <c r="L7911" t="s">
        <v>35912</v>
      </c>
      <c r="M7911" t="s">
        <v>38</v>
      </c>
      <c r="N7911" t="s">
        <v>1309</v>
      </c>
      <c r="O7911" t="s">
        <v>35913</v>
      </c>
      <c r="P7911" t="s">
        <v>35914</v>
      </c>
      <c r="Q7911" t="s">
        <v>35915</v>
      </c>
      <c r="R7911">
        <v>23</v>
      </c>
      <c r="S7911">
        <v>32</v>
      </c>
    </row>
    <row r="7912" spans="1:19" x14ac:dyDescent="0.35">
      <c r="A7912">
        <v>5690</v>
      </c>
      <c r="B7912" t="s">
        <v>35916</v>
      </c>
      <c r="C7912" t="s">
        <v>42</v>
      </c>
      <c r="D7912" t="s">
        <v>35917</v>
      </c>
      <c r="E7912" t="e" cm="1">
        <f t="array" ref="E7912">- AMOXICILLIN</f>
        <v>#NAME?</v>
      </c>
      <c r="F7912" t="s">
        <v>35918</v>
      </c>
      <c r="G7912" t="s">
        <v>2241</v>
      </c>
      <c r="H7912" t="s">
        <v>35919</v>
      </c>
      <c r="I7912" t="s">
        <v>35920</v>
      </c>
      <c r="J7912" t="s">
        <v>810</v>
      </c>
      <c r="K7912" t="s">
        <v>35921</v>
      </c>
      <c r="L7912" t="s">
        <v>35922</v>
      </c>
      <c r="M7912" t="s">
        <v>38</v>
      </c>
      <c r="N7912" t="s">
        <v>505</v>
      </c>
      <c r="O7912" t="s">
        <v>35923</v>
      </c>
      <c r="P7912" t="s">
        <v>35924</v>
      </c>
      <c r="Q7912" t="s">
        <v>35925</v>
      </c>
      <c r="R7912">
        <v>23</v>
      </c>
      <c r="S7912">
        <v>32</v>
      </c>
    </row>
    <row r="7913" spans="1:19" x14ac:dyDescent="0.35">
      <c r="A7913">
        <v>8940</v>
      </c>
      <c r="B7913" t="s">
        <v>35885</v>
      </c>
      <c r="C7913" t="s">
        <v>42</v>
      </c>
      <c r="D7913" t="s">
        <v>35886</v>
      </c>
      <c r="E7913" t="e" cm="1">
        <f t="array" ref="E7913">- SACUBITRIL</f>
        <v>#NAME?</v>
      </c>
      <c r="F7913" t="s">
        <v>35887</v>
      </c>
      <c r="G7913" t="s">
        <v>5301</v>
      </c>
      <c r="H7913" t="s">
        <v>35552</v>
      </c>
      <c r="I7913" t="s">
        <v>35575</v>
      </c>
      <c r="J7913" t="s">
        <v>2644</v>
      </c>
      <c r="K7913" t="s">
        <v>35888</v>
      </c>
      <c r="L7913" t="s">
        <v>270</v>
      </c>
      <c r="M7913" t="s">
        <v>46</v>
      </c>
      <c r="N7913" t="s">
        <v>35556</v>
      </c>
      <c r="O7913" t="s">
        <v>35557</v>
      </c>
      <c r="P7913" t="s">
        <v>35558</v>
      </c>
      <c r="Q7913" t="s">
        <v>35559</v>
      </c>
      <c r="R7913">
        <v>23</v>
      </c>
      <c r="S7913">
        <v>32</v>
      </c>
    </row>
    <row r="7914" spans="1:19" x14ac:dyDescent="0.35">
      <c r="A7914">
        <v>2867</v>
      </c>
      <c r="B7914" t="s">
        <v>35926</v>
      </c>
      <c r="C7914" t="s">
        <v>42</v>
      </c>
      <c r="D7914" t="s">
        <v>35927</v>
      </c>
      <c r="E7914" t="e" cm="1">
        <f t="array" ref="E7914">- IBUPROFEN</f>
        <v>#NAME?</v>
      </c>
      <c r="F7914" t="s">
        <v>35928</v>
      </c>
      <c r="G7914" t="s">
        <v>2241</v>
      </c>
      <c r="H7914" t="s">
        <v>35929</v>
      </c>
    </row>
    <row r="7915" spans="1:19" x14ac:dyDescent="0.35">
      <c r="A7915">
        <v>6422</v>
      </c>
      <c r="B7915" t="s">
        <v>35930</v>
      </c>
      <c r="C7915" t="s">
        <v>42</v>
      </c>
      <c r="D7915" t="s">
        <v>35931</v>
      </c>
      <c r="E7915" t="e" cm="1">
        <f t="array" ref="E7915">- TETRACYCLINE HYDROCHLORIDE</f>
        <v>#NAME?</v>
      </c>
      <c r="F7915" t="s">
        <v>1762</v>
      </c>
      <c r="G7915" t="s">
        <v>35932</v>
      </c>
      <c r="H7915" t="s">
        <v>35933</v>
      </c>
      <c r="I7915" t="s">
        <v>35934</v>
      </c>
      <c r="J7915" t="s">
        <v>35935</v>
      </c>
      <c r="K7915" t="s">
        <v>35936</v>
      </c>
      <c r="L7915" t="s">
        <v>35937</v>
      </c>
      <c r="M7915" t="s">
        <v>38</v>
      </c>
      <c r="N7915" t="s">
        <v>3156</v>
      </c>
      <c r="O7915" t="s">
        <v>35938</v>
      </c>
      <c r="P7915" t="s">
        <v>35939</v>
      </c>
      <c r="Q7915" t="s">
        <v>35940</v>
      </c>
      <c r="R7915">
        <v>23</v>
      </c>
      <c r="S7915">
        <v>32</v>
      </c>
    </row>
    <row r="7916" spans="1:19" x14ac:dyDescent="0.35">
      <c r="A7916">
        <v>2865</v>
      </c>
      <c r="B7916" t="s">
        <v>35849</v>
      </c>
      <c r="C7916" t="s">
        <v>42</v>
      </c>
      <c r="D7916" t="s">
        <v>35941</v>
      </c>
      <c r="E7916" t="e" cm="1">
        <f t="array" ref="E7916">- PARACETAMOL</f>
        <v>#NAME?</v>
      </c>
      <c r="F7916" t="s">
        <v>35942</v>
      </c>
      <c r="G7916" t="s">
        <v>6869</v>
      </c>
      <c r="H7916" t="s">
        <v>35852</v>
      </c>
      <c r="I7916" t="s">
        <v>32224</v>
      </c>
      <c r="J7916" t="s">
        <v>829</v>
      </c>
      <c r="K7916" t="s">
        <v>27987</v>
      </c>
      <c r="L7916" t="s">
        <v>35943</v>
      </c>
      <c r="M7916" t="s">
        <v>271</v>
      </c>
      <c r="N7916" t="s">
        <v>584</v>
      </c>
      <c r="O7916" t="s">
        <v>32225</v>
      </c>
      <c r="P7916" t="s">
        <v>35853</v>
      </c>
      <c r="Q7916" t="s">
        <v>35854</v>
      </c>
      <c r="R7916">
        <v>23</v>
      </c>
      <c r="S7916">
        <v>32</v>
      </c>
    </row>
    <row r="7917" spans="1:19" x14ac:dyDescent="0.35">
      <c r="A7917">
        <v>2864</v>
      </c>
      <c r="B7917" t="s">
        <v>35849</v>
      </c>
      <c r="C7917" t="s">
        <v>42</v>
      </c>
      <c r="D7917" t="s">
        <v>35941</v>
      </c>
      <c r="E7917" t="e" cm="1">
        <f t="array" ref="E7917">- PARACETAMOL</f>
        <v>#NAME?</v>
      </c>
      <c r="F7917" t="s">
        <v>35942</v>
      </c>
      <c r="G7917" t="s">
        <v>6869</v>
      </c>
      <c r="H7917" t="s">
        <v>35852</v>
      </c>
      <c r="I7917" t="s">
        <v>32224</v>
      </c>
      <c r="J7917" t="s">
        <v>829</v>
      </c>
      <c r="K7917" t="s">
        <v>27987</v>
      </c>
      <c r="L7917" t="s">
        <v>35943</v>
      </c>
      <c r="M7917" t="s">
        <v>271</v>
      </c>
      <c r="N7917" t="s">
        <v>584</v>
      </c>
      <c r="O7917" t="s">
        <v>32225</v>
      </c>
      <c r="P7917" t="s">
        <v>35853</v>
      </c>
      <c r="Q7917" t="s">
        <v>35854</v>
      </c>
      <c r="R7917">
        <v>23</v>
      </c>
      <c r="S7917">
        <v>32</v>
      </c>
    </row>
    <row r="7918" spans="1:19" x14ac:dyDescent="0.35">
      <c r="A7918">
        <v>8552</v>
      </c>
      <c r="B7918" t="s">
        <v>35904</v>
      </c>
      <c r="C7918" t="s">
        <v>42</v>
      </c>
      <c r="D7918" t="s">
        <v>35905</v>
      </c>
      <c r="E7918" t="e" cm="1">
        <f t="array" ref="E7918">- GLIMEPIRIDE</f>
        <v>#NAME?</v>
      </c>
      <c r="F7918" t="s">
        <v>35906</v>
      </c>
      <c r="G7918" t="s">
        <v>35812</v>
      </c>
      <c r="H7918" t="s">
        <v>35813</v>
      </c>
      <c r="I7918" t="s">
        <v>35814</v>
      </c>
      <c r="J7918" t="s">
        <v>969</v>
      </c>
      <c r="K7918" t="s">
        <v>35815</v>
      </c>
      <c r="L7918" t="s">
        <v>35816</v>
      </c>
      <c r="M7918" t="s">
        <v>46</v>
      </c>
      <c r="N7918" t="s">
        <v>34927</v>
      </c>
      <c r="O7918" t="s">
        <v>35817</v>
      </c>
      <c r="P7918" t="s">
        <v>35818</v>
      </c>
      <c r="Q7918" t="s">
        <v>35819</v>
      </c>
      <c r="R7918">
        <v>23</v>
      </c>
      <c r="S7918">
        <v>32</v>
      </c>
    </row>
    <row r="7919" spans="1:19" x14ac:dyDescent="0.35">
      <c r="A7919">
        <v>5461</v>
      </c>
      <c r="B7919" t="s">
        <v>35944</v>
      </c>
      <c r="C7919" t="s">
        <v>42</v>
      </c>
      <c r="D7919" t="s">
        <v>35945</v>
      </c>
      <c r="E7919" t="e" cm="1">
        <f t="array" ref="E7919">- MICONAZOLE NITRATE</f>
        <v>#NAME?</v>
      </c>
      <c r="F7919" t="s">
        <v>18493</v>
      </c>
      <c r="G7919" t="s">
        <v>35946</v>
      </c>
      <c r="H7919" t="s">
        <v>35947</v>
      </c>
      <c r="I7919" t="s">
        <v>35948</v>
      </c>
      <c r="J7919" t="s">
        <v>32513</v>
      </c>
      <c r="K7919" t="s">
        <v>3952</v>
      </c>
      <c r="L7919" t="s">
        <v>35949</v>
      </c>
      <c r="M7919" t="s">
        <v>1289</v>
      </c>
      <c r="N7919" t="s">
        <v>9389</v>
      </c>
      <c r="O7919" t="s">
        <v>35950</v>
      </c>
      <c r="P7919" t="s">
        <v>35951</v>
      </c>
      <c r="Q7919" t="s">
        <v>35952</v>
      </c>
      <c r="R7919">
        <v>23</v>
      </c>
      <c r="S7919">
        <v>32</v>
      </c>
    </row>
    <row r="7920" spans="1:19" x14ac:dyDescent="0.35">
      <c r="A7920">
        <v>8613</v>
      </c>
      <c r="B7920" t="s">
        <v>35953</v>
      </c>
      <c r="C7920" t="s">
        <v>42</v>
      </c>
      <c r="D7920" t="s">
        <v>35954</v>
      </c>
      <c r="E7920" t="e" cm="1">
        <f t="array" ref="E7920">- GLIMEPIRIDE</f>
        <v>#NAME?</v>
      </c>
      <c r="F7920" t="s">
        <v>35955</v>
      </c>
      <c r="G7920" t="s">
        <v>35778</v>
      </c>
      <c r="H7920" t="s">
        <v>34923</v>
      </c>
      <c r="I7920" t="s">
        <v>34924</v>
      </c>
      <c r="J7920" t="s">
        <v>532</v>
      </c>
      <c r="K7920" t="s">
        <v>34925</v>
      </c>
      <c r="L7920" t="s">
        <v>34926</v>
      </c>
      <c r="M7920" t="s">
        <v>46</v>
      </c>
      <c r="N7920" t="s">
        <v>34927</v>
      </c>
      <c r="O7920" t="s">
        <v>34928</v>
      </c>
      <c r="P7920" t="s">
        <v>35840</v>
      </c>
      <c r="Q7920" t="s">
        <v>35841</v>
      </c>
      <c r="R7920">
        <v>23</v>
      </c>
      <c r="S7920">
        <v>32</v>
      </c>
    </row>
    <row r="7921" spans="1:19" x14ac:dyDescent="0.35">
      <c r="A7921">
        <v>8615</v>
      </c>
      <c r="B7921" t="s">
        <v>35956</v>
      </c>
      <c r="C7921" t="s">
        <v>42</v>
      </c>
      <c r="D7921" t="s">
        <v>35957</v>
      </c>
      <c r="E7921" t="e" cm="1">
        <f t="array" ref="E7921">- GLIMEPIRIDE</f>
        <v>#NAME?</v>
      </c>
      <c r="F7921" t="s">
        <v>35958</v>
      </c>
      <c r="G7921" t="s">
        <v>35778</v>
      </c>
      <c r="H7921" t="s">
        <v>34923</v>
      </c>
      <c r="I7921" t="s">
        <v>34924</v>
      </c>
      <c r="J7921" t="s">
        <v>532</v>
      </c>
      <c r="K7921" t="s">
        <v>34925</v>
      </c>
      <c r="L7921" t="s">
        <v>34926</v>
      </c>
      <c r="M7921" t="s">
        <v>46</v>
      </c>
      <c r="N7921" t="s">
        <v>34927</v>
      </c>
      <c r="O7921" t="s">
        <v>34928</v>
      </c>
      <c r="P7921" t="s">
        <v>35840</v>
      </c>
      <c r="Q7921" t="s">
        <v>35841</v>
      </c>
      <c r="R7921">
        <v>23</v>
      </c>
      <c r="S7921">
        <v>32</v>
      </c>
    </row>
    <row r="7922" spans="1:19" x14ac:dyDescent="0.35">
      <c r="A7922">
        <v>4775</v>
      </c>
      <c r="B7922" t="s">
        <v>35959</v>
      </c>
      <c r="C7922" t="s">
        <v>42</v>
      </c>
      <c r="D7922" t="s">
        <v>35960</v>
      </c>
      <c r="E7922" t="e" cm="1">
        <f t="array" ref="E7922">- SODIUM HYALURONATE</f>
        <v>#NAME?</v>
      </c>
      <c r="F7922" t="s">
        <v>35961</v>
      </c>
      <c r="G7922" t="s">
        <v>34031</v>
      </c>
      <c r="H7922" t="s">
        <v>34032</v>
      </c>
      <c r="I7922" t="s">
        <v>35962</v>
      </c>
      <c r="J7922" t="s">
        <v>21615</v>
      </c>
      <c r="K7922" t="s">
        <v>2858</v>
      </c>
      <c r="L7922" t="s">
        <v>35963</v>
      </c>
      <c r="M7922" t="s">
        <v>824</v>
      </c>
      <c r="N7922" t="s">
        <v>27378</v>
      </c>
      <c r="O7922" t="s">
        <v>35964</v>
      </c>
      <c r="P7922" t="s">
        <v>35965</v>
      </c>
      <c r="Q7922" t="s">
        <v>35966</v>
      </c>
      <c r="R7922">
        <v>23</v>
      </c>
      <c r="S7922">
        <v>32</v>
      </c>
    </row>
    <row r="7923" spans="1:19" x14ac:dyDescent="0.35">
      <c r="A7923">
        <v>5792</v>
      </c>
      <c r="B7923" t="s">
        <v>35967</v>
      </c>
      <c r="C7923" t="s">
        <v>42</v>
      </c>
      <c r="D7923" t="s">
        <v>35968</v>
      </c>
      <c r="E7923" t="e" cm="1">
        <f t="array" ref="E7923">- MINOCYCLINE HYDROCHLORIDE</f>
        <v>#NAME?</v>
      </c>
      <c r="F7923" t="s">
        <v>35969</v>
      </c>
      <c r="G7923" t="s">
        <v>2178</v>
      </c>
      <c r="H7923" t="s">
        <v>35970</v>
      </c>
      <c r="I7923" t="s">
        <v>35971</v>
      </c>
    </row>
    <row r="7924" spans="1:19" x14ac:dyDescent="0.35">
      <c r="A7924">
        <v>7359</v>
      </c>
      <c r="B7924" t="s">
        <v>35683</v>
      </c>
      <c r="C7924" t="s">
        <v>42</v>
      </c>
      <c r="D7924" t="s">
        <v>35684</v>
      </c>
      <c r="E7924" t="e" cm="1">
        <f t="array" ref="E7924">- HEXETIDINE</f>
        <v>#NAME?</v>
      </c>
      <c r="F7924" t="s">
        <v>35685</v>
      </c>
      <c r="G7924" t="s">
        <v>35686</v>
      </c>
      <c r="H7924" t="s">
        <v>35687</v>
      </c>
      <c r="I7924" t="s">
        <v>35688</v>
      </c>
      <c r="J7924" t="s">
        <v>1144</v>
      </c>
      <c r="K7924" t="s">
        <v>35689</v>
      </c>
      <c r="L7924" t="s">
        <v>35690</v>
      </c>
      <c r="M7924" t="s">
        <v>554</v>
      </c>
      <c r="N7924" t="s">
        <v>35691</v>
      </c>
      <c r="O7924" t="s">
        <v>35692</v>
      </c>
      <c r="P7924" t="s">
        <v>35693</v>
      </c>
      <c r="Q7924" t="s">
        <v>35694</v>
      </c>
      <c r="R7924">
        <v>23</v>
      </c>
      <c r="S7924">
        <v>32</v>
      </c>
    </row>
    <row r="7925" spans="1:19" x14ac:dyDescent="0.35">
      <c r="A7925">
        <v>5956</v>
      </c>
      <c r="B7925" t="s">
        <v>35831</v>
      </c>
      <c r="C7925" t="s">
        <v>42</v>
      </c>
      <c r="D7925" t="s">
        <v>35832</v>
      </c>
      <c r="E7925" t="e" cm="1">
        <f t="array" ref="E7925">- CLINDAMYCIN HYDROCHLORIDE</f>
        <v>#NAME?</v>
      </c>
      <c r="F7925" t="s">
        <v>35833</v>
      </c>
      <c r="G7925" t="s">
        <v>2248</v>
      </c>
      <c r="H7925" t="s">
        <v>23569</v>
      </c>
    </row>
    <row r="7926" spans="1:19" x14ac:dyDescent="0.35">
      <c r="A7926">
        <v>5648</v>
      </c>
      <c r="B7926" t="s">
        <v>35972</v>
      </c>
      <c r="C7926" t="s">
        <v>42</v>
      </c>
      <c r="D7926" t="s">
        <v>35973</v>
      </c>
      <c r="E7926" t="e" cm="1">
        <f t="array" ref="E7926">- AMOXICILLIN</f>
        <v>#NAME?</v>
      </c>
      <c r="F7926" t="s">
        <v>35974</v>
      </c>
      <c r="G7926" t="s">
        <v>35975</v>
      </c>
      <c r="H7926" t="s">
        <v>35976</v>
      </c>
      <c r="I7926" t="s">
        <v>35977</v>
      </c>
      <c r="J7926" t="s">
        <v>743</v>
      </c>
      <c r="K7926" t="s">
        <v>35921</v>
      </c>
      <c r="L7926" t="s">
        <v>35922</v>
      </c>
      <c r="M7926" t="s">
        <v>824</v>
      </c>
      <c r="N7926" t="s">
        <v>505</v>
      </c>
      <c r="O7926" t="s">
        <v>35923</v>
      </c>
      <c r="P7926" t="s">
        <v>35924</v>
      </c>
      <c r="Q7926" t="s">
        <v>35978</v>
      </c>
      <c r="R7926">
        <v>23</v>
      </c>
      <c r="S7926">
        <v>32</v>
      </c>
    </row>
    <row r="7927" spans="1:19" x14ac:dyDescent="0.35">
      <c r="A7927">
        <v>7508</v>
      </c>
      <c r="B7927" t="s">
        <v>17926</v>
      </c>
      <c r="C7927" t="s">
        <v>42</v>
      </c>
      <c r="D7927" t="s">
        <v>17927</v>
      </c>
      <c r="E7927" t="e" cm="1">
        <f t="array" ref="E7927">- FOLIC ACID. CYANOCOBALAMIN. FERROUS GLUCONATE. ASCORBIC ACID. COPPER (II) SULFATE PENTAHYDRATE. MANGANESE SULFATE</f>
        <v>#NAME?</v>
      </c>
      <c r="F7927" t="s">
        <v>17928</v>
      </c>
      <c r="G7927" t="s">
        <v>17929</v>
      </c>
      <c r="H7927" t="s">
        <v>17930</v>
      </c>
      <c r="I7927" t="s">
        <v>17931</v>
      </c>
      <c r="J7927" t="s">
        <v>17932</v>
      </c>
      <c r="K7927" t="s">
        <v>17933</v>
      </c>
      <c r="L7927" t="s">
        <v>17934</v>
      </c>
      <c r="M7927" t="s">
        <v>38</v>
      </c>
      <c r="N7927" t="s">
        <v>35658</v>
      </c>
      <c r="O7927" t="s">
        <v>17935</v>
      </c>
      <c r="P7927" t="s">
        <v>17936</v>
      </c>
      <c r="Q7927" t="s">
        <v>35659</v>
      </c>
      <c r="R7927">
        <v>23</v>
      </c>
      <c r="S7927">
        <v>32</v>
      </c>
    </row>
    <row r="7928" spans="1:19" x14ac:dyDescent="0.35">
      <c r="A7928">
        <v>7509</v>
      </c>
      <c r="B7928" t="s">
        <v>17926</v>
      </c>
      <c r="C7928" t="s">
        <v>42</v>
      </c>
      <c r="D7928" t="s">
        <v>17927</v>
      </c>
      <c r="E7928" t="e" cm="1">
        <f t="array" ref="E7928">- ASCORBIC ACID. FOLIC ACID. CYANOCOBALAMIN. FERROUS GLUCONATE. COPPER (II) SULFATE PENTAHYDRATE. MANGANESE SULFATE</f>
        <v>#NAME?</v>
      </c>
      <c r="F7928" t="s">
        <v>17928</v>
      </c>
      <c r="G7928" t="s">
        <v>17929</v>
      </c>
      <c r="H7928" t="s">
        <v>17930</v>
      </c>
      <c r="I7928" t="s">
        <v>17931</v>
      </c>
      <c r="J7928" t="s">
        <v>17932</v>
      </c>
      <c r="K7928" t="s">
        <v>17933</v>
      </c>
      <c r="L7928" t="s">
        <v>17934</v>
      </c>
      <c r="M7928" t="s">
        <v>38</v>
      </c>
      <c r="N7928" t="s">
        <v>35623</v>
      </c>
      <c r="O7928" t="s">
        <v>17935</v>
      </c>
      <c r="P7928" t="s">
        <v>17936</v>
      </c>
      <c r="Q7928" t="s">
        <v>35624</v>
      </c>
      <c r="R7928">
        <v>23</v>
      </c>
      <c r="S7928">
        <v>32</v>
      </c>
    </row>
    <row r="7929" spans="1:19" x14ac:dyDescent="0.35">
      <c r="A7929">
        <v>7510</v>
      </c>
      <c r="B7929" t="s">
        <v>17926</v>
      </c>
      <c r="C7929" t="s">
        <v>42</v>
      </c>
      <c r="D7929" t="s">
        <v>17927</v>
      </c>
      <c r="E7929" t="e" cm="1">
        <f t="array" ref="E7929">- FERROUS GLUCONATE. ASCORBIC ACID. FOLIC ACID. CYANOCOBALAMIN. COPPER (II) SULFATE PENTAHYDRATE. MANGANESE SULFATE</f>
        <v>#NAME?</v>
      </c>
      <c r="F7929" t="s">
        <v>17928</v>
      </c>
      <c r="G7929" t="s">
        <v>17929</v>
      </c>
      <c r="H7929" t="s">
        <v>17930</v>
      </c>
      <c r="I7929" t="s">
        <v>17931</v>
      </c>
      <c r="J7929" t="s">
        <v>17932</v>
      </c>
      <c r="K7929" t="s">
        <v>17933</v>
      </c>
      <c r="L7929" t="s">
        <v>17934</v>
      </c>
      <c r="M7929" t="s">
        <v>38</v>
      </c>
      <c r="N7929" t="s">
        <v>35621</v>
      </c>
      <c r="O7929" t="s">
        <v>17935</v>
      </c>
      <c r="P7929" t="s">
        <v>17936</v>
      </c>
      <c r="Q7929" t="s">
        <v>35622</v>
      </c>
      <c r="R7929">
        <v>23</v>
      </c>
      <c r="S7929">
        <v>32</v>
      </c>
    </row>
    <row r="7930" spans="1:19" x14ac:dyDescent="0.35">
      <c r="A7930">
        <v>6726</v>
      </c>
      <c r="B7930" t="s">
        <v>35979</v>
      </c>
      <c r="C7930" t="s">
        <v>42</v>
      </c>
      <c r="D7930" t="s">
        <v>35980</v>
      </c>
      <c r="E7930" t="e" cm="1">
        <f t="array" ref="E7930">- CALCITRIOL</f>
        <v>#NAME?</v>
      </c>
      <c r="F7930" t="s">
        <v>35981</v>
      </c>
      <c r="G7930" t="s">
        <v>18386</v>
      </c>
      <c r="H7930" t="s">
        <v>35982</v>
      </c>
      <c r="I7930" t="s">
        <v>34690</v>
      </c>
      <c r="J7930" t="s">
        <v>35983</v>
      </c>
      <c r="K7930" t="s">
        <v>34692</v>
      </c>
      <c r="L7930" t="s">
        <v>35984</v>
      </c>
      <c r="M7930" t="s">
        <v>38</v>
      </c>
      <c r="N7930" t="s">
        <v>442</v>
      </c>
      <c r="O7930" t="s">
        <v>34694</v>
      </c>
      <c r="P7930" t="s">
        <v>35985</v>
      </c>
      <c r="Q7930" t="s">
        <v>35986</v>
      </c>
      <c r="R7930">
        <v>23</v>
      </c>
      <c r="S7930">
        <v>32</v>
      </c>
    </row>
    <row r="7931" spans="1:19" x14ac:dyDescent="0.35">
      <c r="A7931">
        <v>1003</v>
      </c>
      <c r="B7931" t="s">
        <v>31152</v>
      </c>
      <c r="C7931" t="s">
        <v>42</v>
      </c>
      <c r="D7931" t="s">
        <v>31153</v>
      </c>
      <c r="E7931" t="e" cm="1">
        <f t="array" ref="E7931">- DEXTROMETHORPHAN HYDROBROMIDE. PSEUDOEPHEDRINE HYDROCHLORIDE. TRIPROLIDINE HYDROCHLORIDE</f>
        <v>#NAME?</v>
      </c>
      <c r="F7931" t="s">
        <v>31154</v>
      </c>
      <c r="G7931" t="s">
        <v>2241</v>
      </c>
      <c r="H7931" t="s">
        <v>31155</v>
      </c>
      <c r="I7931" t="s">
        <v>31156</v>
      </c>
      <c r="J7931" t="s">
        <v>31157</v>
      </c>
      <c r="K7931" t="s">
        <v>31158</v>
      </c>
      <c r="L7931" t="s">
        <v>31159</v>
      </c>
      <c r="M7931" t="s">
        <v>271</v>
      </c>
      <c r="N7931" t="s">
        <v>35987</v>
      </c>
      <c r="O7931" t="s">
        <v>31160</v>
      </c>
      <c r="P7931" t="s">
        <v>31161</v>
      </c>
      <c r="Q7931" t="s">
        <v>35988</v>
      </c>
      <c r="R7931">
        <v>23</v>
      </c>
      <c r="S7931">
        <v>32</v>
      </c>
    </row>
    <row r="7932" spans="1:19" x14ac:dyDescent="0.35">
      <c r="A7932">
        <v>815</v>
      </c>
      <c r="B7932" t="s">
        <v>27865</v>
      </c>
      <c r="C7932" t="s">
        <v>42</v>
      </c>
      <c r="D7932" t="s">
        <v>27978</v>
      </c>
      <c r="E7932" t="e" cm="1">
        <f t="array" ref="E7932">- PARACETAMOL. PHENYLPROPANOLAMINE HYDROCHLORIDE. DEXCHLORPHENIRAMINE MALEATE. GUAIFENESIN. DEXTROMETHORPHAN HYDROBROMIDE</f>
        <v>#NAME?</v>
      </c>
      <c r="F7932" t="s">
        <v>27979</v>
      </c>
      <c r="G7932" t="s">
        <v>27980</v>
      </c>
      <c r="H7932" t="s">
        <v>27981</v>
      </c>
    </row>
    <row r="7933" spans="1:19" x14ac:dyDescent="0.35">
      <c r="A7933">
        <v>8650</v>
      </c>
      <c r="B7933" t="s">
        <v>35989</v>
      </c>
      <c r="C7933" t="s">
        <v>42</v>
      </c>
      <c r="D7933" t="s">
        <v>35990</v>
      </c>
      <c r="E7933" t="e" cm="1">
        <f t="array" ref="E7933">- GLIMEPIRIDE</f>
        <v>#NAME?</v>
      </c>
      <c r="F7933" t="s">
        <v>35991</v>
      </c>
      <c r="G7933" t="s">
        <v>35992</v>
      </c>
      <c r="H7933" t="s">
        <v>34923</v>
      </c>
      <c r="I7933" t="s">
        <v>34924</v>
      </c>
      <c r="J7933" t="s">
        <v>599</v>
      </c>
      <c r="K7933" t="s">
        <v>34925</v>
      </c>
      <c r="L7933" t="s">
        <v>34926</v>
      </c>
      <c r="M7933" t="s">
        <v>46</v>
      </c>
      <c r="N7933" t="s">
        <v>34927</v>
      </c>
      <c r="O7933" t="s">
        <v>34928</v>
      </c>
      <c r="P7933" t="s">
        <v>35779</v>
      </c>
      <c r="Q7933" t="s">
        <v>35780</v>
      </c>
      <c r="R7933">
        <v>23</v>
      </c>
      <c r="S7933">
        <v>32</v>
      </c>
    </row>
    <row r="7934" spans="1:19" x14ac:dyDescent="0.35">
      <c r="A7934">
        <v>8651</v>
      </c>
      <c r="B7934" t="s">
        <v>35989</v>
      </c>
      <c r="C7934" t="s">
        <v>42</v>
      </c>
      <c r="D7934" t="s">
        <v>35990</v>
      </c>
      <c r="E7934" t="e" cm="1">
        <f t="array" ref="E7934">- GLIMEPIRIDE</f>
        <v>#NAME?</v>
      </c>
      <c r="F7934" t="s">
        <v>35991</v>
      </c>
      <c r="G7934" t="s">
        <v>35992</v>
      </c>
      <c r="H7934" t="s">
        <v>34923</v>
      </c>
      <c r="I7934" t="s">
        <v>34924</v>
      </c>
      <c r="J7934" t="s">
        <v>599</v>
      </c>
      <c r="K7934" t="s">
        <v>34925</v>
      </c>
      <c r="L7934" t="s">
        <v>34926</v>
      </c>
      <c r="M7934" t="s">
        <v>46</v>
      </c>
      <c r="N7934" t="s">
        <v>34927</v>
      </c>
      <c r="O7934" t="s">
        <v>34928</v>
      </c>
      <c r="P7934" t="s">
        <v>35779</v>
      </c>
      <c r="Q7934" t="s">
        <v>35780</v>
      </c>
      <c r="R7934">
        <v>23</v>
      </c>
      <c r="S7934">
        <v>32</v>
      </c>
    </row>
    <row r="7935" spans="1:19" x14ac:dyDescent="0.35">
      <c r="A7935">
        <v>8653</v>
      </c>
      <c r="B7935" t="s">
        <v>35775</v>
      </c>
      <c r="C7935" t="s">
        <v>42</v>
      </c>
      <c r="D7935" t="s">
        <v>35776</v>
      </c>
      <c r="E7935" t="e" cm="1">
        <f t="array" ref="E7935">- GLIMEPIRIDE</f>
        <v>#NAME?</v>
      </c>
      <c r="F7935" t="s">
        <v>35777</v>
      </c>
      <c r="G7935" t="s">
        <v>35778</v>
      </c>
      <c r="H7935" t="s">
        <v>34923</v>
      </c>
      <c r="I7935" t="s">
        <v>34924</v>
      </c>
      <c r="J7935" t="s">
        <v>599</v>
      </c>
      <c r="K7935" t="s">
        <v>34925</v>
      </c>
      <c r="L7935" t="s">
        <v>34926</v>
      </c>
      <c r="M7935" t="s">
        <v>46</v>
      </c>
      <c r="N7935" t="s">
        <v>34927</v>
      </c>
      <c r="O7935" t="s">
        <v>34928</v>
      </c>
      <c r="P7935" t="s">
        <v>35779</v>
      </c>
      <c r="Q7935" t="s">
        <v>35780</v>
      </c>
      <c r="R7935">
        <v>23</v>
      </c>
      <c r="S7935">
        <v>32</v>
      </c>
    </row>
    <row r="7936" spans="1:19" x14ac:dyDescent="0.35">
      <c r="A7936">
        <v>8661</v>
      </c>
      <c r="B7936" t="s">
        <v>35993</v>
      </c>
      <c r="C7936" t="s">
        <v>42</v>
      </c>
      <c r="D7936" t="s">
        <v>35994</v>
      </c>
      <c r="E7936" t="e" cm="1">
        <f t="array" ref="E7936">- GLIMEPIRIDE</f>
        <v>#NAME?</v>
      </c>
      <c r="F7936" t="s">
        <v>35995</v>
      </c>
      <c r="G7936" t="s">
        <v>35580</v>
      </c>
      <c r="H7936" t="s">
        <v>34923</v>
      </c>
      <c r="I7936" t="s">
        <v>34924</v>
      </c>
      <c r="J7936" t="s">
        <v>532</v>
      </c>
      <c r="K7936" t="s">
        <v>34925</v>
      </c>
      <c r="L7936" t="s">
        <v>34926</v>
      </c>
      <c r="M7936" t="s">
        <v>46</v>
      </c>
      <c r="N7936" t="s">
        <v>34927</v>
      </c>
      <c r="O7936" t="s">
        <v>34928</v>
      </c>
      <c r="P7936" t="s">
        <v>35996</v>
      </c>
      <c r="Q7936" t="s">
        <v>35997</v>
      </c>
      <c r="R7936">
        <v>23</v>
      </c>
      <c r="S7936">
        <v>32</v>
      </c>
    </row>
    <row r="7937" spans="1:19" x14ac:dyDescent="0.35">
      <c r="A7937">
        <v>8662</v>
      </c>
      <c r="B7937" t="s">
        <v>35998</v>
      </c>
      <c r="C7937" t="s">
        <v>42</v>
      </c>
      <c r="D7937" t="s">
        <v>35999</v>
      </c>
      <c r="E7937" t="e" cm="1">
        <f t="array" ref="E7937">- GLIMEPIRIDE</f>
        <v>#NAME?</v>
      </c>
      <c r="F7937" t="s">
        <v>36000</v>
      </c>
      <c r="G7937" t="s">
        <v>35778</v>
      </c>
      <c r="H7937" t="s">
        <v>34923</v>
      </c>
      <c r="I7937" t="s">
        <v>34924</v>
      </c>
      <c r="J7937" t="s">
        <v>599</v>
      </c>
      <c r="K7937" t="s">
        <v>34925</v>
      </c>
      <c r="L7937" t="s">
        <v>34926</v>
      </c>
      <c r="M7937" t="s">
        <v>46</v>
      </c>
      <c r="N7937" t="s">
        <v>34927</v>
      </c>
      <c r="O7937" t="s">
        <v>34928</v>
      </c>
      <c r="P7937" t="s">
        <v>35996</v>
      </c>
      <c r="Q7937" t="s">
        <v>35997</v>
      </c>
      <c r="R7937">
        <v>23</v>
      </c>
      <c r="S7937">
        <v>32</v>
      </c>
    </row>
    <row r="7938" spans="1:19" x14ac:dyDescent="0.35">
      <c r="A7938">
        <v>6126</v>
      </c>
      <c r="B7938" t="s">
        <v>36001</v>
      </c>
      <c r="C7938" t="s">
        <v>42</v>
      </c>
      <c r="D7938" t="s">
        <v>36002</v>
      </c>
      <c r="E7938" t="e" cm="1">
        <f t="array" ref="E7938">- LEVOFLOXACIN HEMIHYDRATE</f>
        <v>#NAME?</v>
      </c>
      <c r="F7938" t="s">
        <v>36003</v>
      </c>
      <c r="G7938" t="s">
        <v>1691</v>
      </c>
      <c r="H7938" t="s">
        <v>36004</v>
      </c>
      <c r="I7938" t="s">
        <v>36005</v>
      </c>
      <c r="J7938" t="s">
        <v>31845</v>
      </c>
      <c r="K7938" t="s">
        <v>36006</v>
      </c>
      <c r="L7938" t="s">
        <v>36007</v>
      </c>
      <c r="M7938" t="s">
        <v>291</v>
      </c>
      <c r="N7938" t="s">
        <v>1784</v>
      </c>
      <c r="O7938" t="s">
        <v>36008</v>
      </c>
      <c r="P7938" t="s">
        <v>36009</v>
      </c>
      <c r="Q7938" t="s">
        <v>36010</v>
      </c>
      <c r="R7938">
        <v>23</v>
      </c>
      <c r="S7938">
        <v>32</v>
      </c>
    </row>
    <row r="7939" spans="1:19" x14ac:dyDescent="0.35">
      <c r="A7939">
        <v>691</v>
      </c>
      <c r="B7939" t="s">
        <v>9826</v>
      </c>
      <c r="C7939" t="s">
        <v>20</v>
      </c>
      <c r="D7939" t="s">
        <v>35632</v>
      </c>
      <c r="E7939" t="s">
        <v>9828</v>
      </c>
      <c r="F7939" t="s">
        <v>35633</v>
      </c>
      <c r="H7939" t="s">
        <v>1322</v>
      </c>
      <c r="I7939" t="s">
        <v>35634</v>
      </c>
      <c r="J7939" t="s">
        <v>614</v>
      </c>
      <c r="M7939" t="s">
        <v>2115</v>
      </c>
      <c r="N7939" t="s">
        <v>9830</v>
      </c>
      <c r="O7939" t="s">
        <v>35635</v>
      </c>
      <c r="P7939" t="s">
        <v>35636</v>
      </c>
      <c r="Q7939" t="s">
        <v>35637</v>
      </c>
      <c r="R7939">
        <v>23</v>
      </c>
      <c r="S7939">
        <v>32</v>
      </c>
    </row>
    <row r="7940" spans="1:19" x14ac:dyDescent="0.35">
      <c r="A7940">
        <v>6606</v>
      </c>
      <c r="B7940" t="s">
        <v>36011</v>
      </c>
      <c r="C7940" t="s">
        <v>42</v>
      </c>
      <c r="D7940" t="s">
        <v>36012</v>
      </c>
      <c r="E7940" t="s">
        <v>36013</v>
      </c>
      <c r="F7940" t="s">
        <v>36014</v>
      </c>
      <c r="G7940" t="s">
        <v>5506</v>
      </c>
      <c r="H7940" t="s">
        <v>36015</v>
      </c>
      <c r="I7940" t="s">
        <v>36016</v>
      </c>
      <c r="J7940" t="s">
        <v>36017</v>
      </c>
      <c r="K7940" t="s">
        <v>9842</v>
      </c>
      <c r="L7940" t="s">
        <v>36018</v>
      </c>
      <c r="M7940" t="s">
        <v>38</v>
      </c>
      <c r="N7940" t="s">
        <v>36019</v>
      </c>
      <c r="O7940" t="s">
        <v>36020</v>
      </c>
      <c r="P7940" t="s">
        <v>36021</v>
      </c>
      <c r="Q7940" t="s">
        <v>36022</v>
      </c>
      <c r="R7940">
        <v>23</v>
      </c>
      <c r="S7940">
        <v>32</v>
      </c>
    </row>
    <row r="7941" spans="1:19" x14ac:dyDescent="0.35">
      <c r="A7941">
        <v>6607</v>
      </c>
      <c r="B7941" t="s">
        <v>36011</v>
      </c>
      <c r="C7941" t="s">
        <v>42</v>
      </c>
      <c r="D7941" t="s">
        <v>36012</v>
      </c>
      <c r="E7941" t="s">
        <v>36023</v>
      </c>
      <c r="F7941" t="s">
        <v>36014</v>
      </c>
      <c r="G7941" t="s">
        <v>5506</v>
      </c>
      <c r="H7941" t="s">
        <v>36015</v>
      </c>
      <c r="I7941" t="s">
        <v>36016</v>
      </c>
      <c r="J7941" t="s">
        <v>36017</v>
      </c>
      <c r="K7941" t="s">
        <v>9842</v>
      </c>
      <c r="L7941" t="s">
        <v>36018</v>
      </c>
      <c r="M7941" t="s">
        <v>38</v>
      </c>
      <c r="N7941" t="s">
        <v>36024</v>
      </c>
      <c r="O7941" t="s">
        <v>36020</v>
      </c>
      <c r="P7941" t="s">
        <v>36021</v>
      </c>
      <c r="Q7941" t="s">
        <v>36022</v>
      </c>
      <c r="R7941">
        <v>23</v>
      </c>
      <c r="S7941">
        <v>32</v>
      </c>
    </row>
    <row r="7942" spans="1:19" x14ac:dyDescent="0.35">
      <c r="A7942">
        <v>5730</v>
      </c>
      <c r="B7942" t="s">
        <v>36025</v>
      </c>
      <c r="C7942" t="s">
        <v>42</v>
      </c>
      <c r="D7942" t="s">
        <v>36026</v>
      </c>
      <c r="E7942" t="e" cm="1">
        <f t="array" ref="E7942">- AMOXICILLIN</f>
        <v>#NAME?</v>
      </c>
      <c r="F7942" t="s">
        <v>36027</v>
      </c>
      <c r="G7942" t="s">
        <v>2241</v>
      </c>
      <c r="H7942" t="s">
        <v>35919</v>
      </c>
      <c r="I7942" t="s">
        <v>35920</v>
      </c>
      <c r="J7942" t="s">
        <v>381</v>
      </c>
      <c r="K7942" t="s">
        <v>35921</v>
      </c>
      <c r="L7942" t="s">
        <v>35922</v>
      </c>
      <c r="M7942" t="s">
        <v>291</v>
      </c>
      <c r="N7942" t="s">
        <v>505</v>
      </c>
      <c r="O7942" t="s">
        <v>35923</v>
      </c>
      <c r="P7942" t="s">
        <v>36028</v>
      </c>
      <c r="Q7942" t="s">
        <v>36029</v>
      </c>
      <c r="R7942">
        <v>23</v>
      </c>
      <c r="S7942">
        <v>32</v>
      </c>
    </row>
    <row r="7943" spans="1:19" x14ac:dyDescent="0.35">
      <c r="A7943">
        <v>814</v>
      </c>
      <c r="B7943" t="s">
        <v>27865</v>
      </c>
      <c r="C7943" t="s">
        <v>42</v>
      </c>
      <c r="D7943" t="s">
        <v>27978</v>
      </c>
      <c r="E7943" t="e" cm="1">
        <f t="array" ref="E7943">- PARACETAMOL. PHENYLPROPANOLAMINE HYDROCHLORIDE. DEXCHLORPHENIRAMINE MALEATE. GUAIFENESIN. DEXTROMETHORPHAN HYDROBROMIDE</f>
        <v>#NAME?</v>
      </c>
      <c r="F7943" t="s">
        <v>27979</v>
      </c>
      <c r="G7943" t="s">
        <v>27980</v>
      </c>
      <c r="H7943" t="s">
        <v>27981</v>
      </c>
    </row>
    <row r="7944" spans="1:19" x14ac:dyDescent="0.35">
      <c r="A7944">
        <v>8616</v>
      </c>
      <c r="B7944" t="s">
        <v>35956</v>
      </c>
      <c r="C7944" t="s">
        <v>42</v>
      </c>
      <c r="D7944" t="s">
        <v>35957</v>
      </c>
      <c r="E7944" t="e" cm="1">
        <f t="array" ref="E7944">- GLIMEPIRIDE</f>
        <v>#NAME?</v>
      </c>
      <c r="F7944" t="s">
        <v>35958</v>
      </c>
      <c r="G7944" t="s">
        <v>35778</v>
      </c>
      <c r="H7944" t="s">
        <v>34923</v>
      </c>
      <c r="I7944" t="s">
        <v>34924</v>
      </c>
      <c r="J7944" t="s">
        <v>532</v>
      </c>
      <c r="K7944" t="s">
        <v>34925</v>
      </c>
      <c r="L7944" t="s">
        <v>34926</v>
      </c>
      <c r="M7944" t="s">
        <v>46</v>
      </c>
      <c r="N7944" t="s">
        <v>34927</v>
      </c>
      <c r="O7944" t="s">
        <v>34928</v>
      </c>
      <c r="P7944" t="s">
        <v>35840</v>
      </c>
      <c r="Q7944" t="s">
        <v>35841</v>
      </c>
      <c r="R7944">
        <v>23</v>
      </c>
      <c r="S7944">
        <v>32</v>
      </c>
    </row>
    <row r="7945" spans="1:19" x14ac:dyDescent="0.35">
      <c r="A7945">
        <v>2862</v>
      </c>
      <c r="B7945" t="s">
        <v>35849</v>
      </c>
      <c r="C7945" t="s">
        <v>42</v>
      </c>
      <c r="D7945" t="s">
        <v>35850</v>
      </c>
      <c r="E7945" t="e" cm="1">
        <f t="array" ref="E7945">- PARACETAMOL</f>
        <v>#NAME?</v>
      </c>
      <c r="F7945" t="s">
        <v>35851</v>
      </c>
      <c r="G7945" t="s">
        <v>6869</v>
      </c>
      <c r="H7945" t="s">
        <v>35852</v>
      </c>
      <c r="I7945" t="s">
        <v>32224</v>
      </c>
      <c r="J7945" t="s">
        <v>334</v>
      </c>
      <c r="K7945" t="s">
        <v>27987</v>
      </c>
      <c r="L7945" t="s">
        <v>34731</v>
      </c>
      <c r="M7945" t="s">
        <v>271</v>
      </c>
      <c r="N7945" t="s">
        <v>584</v>
      </c>
      <c r="O7945" t="s">
        <v>32225</v>
      </c>
      <c r="P7945" t="s">
        <v>35853</v>
      </c>
      <c r="Q7945" t="s">
        <v>35854</v>
      </c>
      <c r="R7945">
        <v>23</v>
      </c>
      <c r="S7945">
        <v>32</v>
      </c>
    </row>
    <row r="7946" spans="1:19" x14ac:dyDescent="0.35">
      <c r="A7946">
        <v>7496</v>
      </c>
      <c r="B7946" t="s">
        <v>17926</v>
      </c>
      <c r="C7946" t="s">
        <v>42</v>
      </c>
      <c r="D7946" t="s">
        <v>17927</v>
      </c>
      <c r="E7946" t="e" cm="1">
        <f t="array" ref="E7946">- FOLIC ACID. CYANOCOBALAMIN. FERROUS GLUCONATE. ASCORBIC ACID. COPPER (II) SULFATE PENTAHYDRATE. MANGANESE SULFATE</f>
        <v>#NAME?</v>
      </c>
      <c r="F7946" t="s">
        <v>17928</v>
      </c>
      <c r="G7946" t="s">
        <v>17929</v>
      </c>
      <c r="H7946" t="s">
        <v>17930</v>
      </c>
      <c r="I7946" t="s">
        <v>17931</v>
      </c>
      <c r="J7946" t="s">
        <v>17932</v>
      </c>
      <c r="K7946" t="s">
        <v>17933</v>
      </c>
      <c r="L7946" t="s">
        <v>17934</v>
      </c>
      <c r="M7946" t="s">
        <v>38</v>
      </c>
      <c r="N7946" t="s">
        <v>35658</v>
      </c>
      <c r="O7946" t="s">
        <v>17935</v>
      </c>
      <c r="P7946" t="s">
        <v>17936</v>
      </c>
      <c r="Q7946" t="s">
        <v>35659</v>
      </c>
      <c r="R7946">
        <v>23</v>
      </c>
      <c r="S7946">
        <v>32</v>
      </c>
    </row>
    <row r="7947" spans="1:19" x14ac:dyDescent="0.35">
      <c r="A7947">
        <v>8617</v>
      </c>
      <c r="B7947" t="s">
        <v>35956</v>
      </c>
      <c r="C7947" t="s">
        <v>42</v>
      </c>
      <c r="D7947" t="s">
        <v>35957</v>
      </c>
      <c r="E7947" t="e" cm="1">
        <f t="array" ref="E7947">- GLIMEPIRIDE</f>
        <v>#NAME?</v>
      </c>
      <c r="F7947" t="s">
        <v>35958</v>
      </c>
      <c r="G7947" t="s">
        <v>35778</v>
      </c>
      <c r="H7947" t="s">
        <v>34923</v>
      </c>
      <c r="I7947" t="s">
        <v>34924</v>
      </c>
      <c r="J7947" t="s">
        <v>532</v>
      </c>
      <c r="K7947" t="s">
        <v>34925</v>
      </c>
      <c r="L7947" t="s">
        <v>34926</v>
      </c>
      <c r="M7947" t="s">
        <v>46</v>
      </c>
      <c r="N7947" t="s">
        <v>34927</v>
      </c>
      <c r="O7947" t="s">
        <v>34928</v>
      </c>
      <c r="P7947" t="s">
        <v>35840</v>
      </c>
      <c r="Q7947" t="s">
        <v>35841</v>
      </c>
      <c r="R7947">
        <v>23</v>
      </c>
      <c r="S7947">
        <v>32</v>
      </c>
    </row>
    <row r="7948" spans="1:19" x14ac:dyDescent="0.35">
      <c r="A7948">
        <v>7497</v>
      </c>
      <c r="B7948" t="s">
        <v>17926</v>
      </c>
      <c r="C7948" t="s">
        <v>42</v>
      </c>
      <c r="D7948" t="s">
        <v>17927</v>
      </c>
      <c r="E7948" t="e" cm="1">
        <f t="array" ref="E7948">- ASCORBIC ACID. FOLIC ACID. CYANOCOBALAMIN. FERROUS GLUCONATE. COPPER (II) SULFATE PENTAHYDRATE. MANGANESE SULFATE</f>
        <v>#NAME?</v>
      </c>
      <c r="F7948" t="s">
        <v>17928</v>
      </c>
      <c r="G7948" t="s">
        <v>17929</v>
      </c>
      <c r="H7948" t="s">
        <v>17930</v>
      </c>
      <c r="I7948" t="s">
        <v>17931</v>
      </c>
      <c r="J7948" t="s">
        <v>17932</v>
      </c>
      <c r="K7948" t="s">
        <v>17933</v>
      </c>
      <c r="L7948" t="s">
        <v>17934</v>
      </c>
      <c r="M7948" t="s">
        <v>38</v>
      </c>
      <c r="N7948" t="s">
        <v>35623</v>
      </c>
      <c r="O7948" t="s">
        <v>17935</v>
      </c>
      <c r="P7948" t="s">
        <v>17936</v>
      </c>
      <c r="Q7948" t="s">
        <v>35624</v>
      </c>
      <c r="R7948">
        <v>23</v>
      </c>
      <c r="S7948">
        <v>32</v>
      </c>
    </row>
    <row r="7949" spans="1:19" x14ac:dyDescent="0.35">
      <c r="A7949">
        <v>8618</v>
      </c>
      <c r="B7949" t="s">
        <v>36030</v>
      </c>
      <c r="C7949" t="s">
        <v>42</v>
      </c>
      <c r="D7949" t="s">
        <v>36031</v>
      </c>
      <c r="E7949" t="e" cm="1">
        <f t="array" ref="E7949">- GLIMEPIRIDE</f>
        <v>#NAME?</v>
      </c>
      <c r="F7949" t="s">
        <v>36032</v>
      </c>
      <c r="G7949" t="s">
        <v>35778</v>
      </c>
      <c r="H7949" t="s">
        <v>34923</v>
      </c>
      <c r="I7949" t="s">
        <v>34924</v>
      </c>
      <c r="J7949" t="s">
        <v>532</v>
      </c>
      <c r="K7949" t="s">
        <v>34925</v>
      </c>
      <c r="L7949" t="s">
        <v>34926</v>
      </c>
      <c r="M7949" t="s">
        <v>46</v>
      </c>
      <c r="N7949" t="s">
        <v>34927</v>
      </c>
      <c r="O7949" t="s">
        <v>34928</v>
      </c>
      <c r="P7949" t="s">
        <v>35840</v>
      </c>
      <c r="Q7949" t="s">
        <v>35841</v>
      </c>
      <c r="R7949">
        <v>23</v>
      </c>
      <c r="S7949">
        <v>32</v>
      </c>
    </row>
    <row r="7950" spans="1:19" x14ac:dyDescent="0.35">
      <c r="A7950">
        <v>8619</v>
      </c>
      <c r="B7950" t="s">
        <v>36030</v>
      </c>
      <c r="C7950" t="s">
        <v>42</v>
      </c>
      <c r="D7950" t="s">
        <v>36031</v>
      </c>
      <c r="E7950" t="e" cm="1">
        <f t="array" ref="E7950">- GLIMEPIRIDE</f>
        <v>#NAME?</v>
      </c>
      <c r="F7950" t="s">
        <v>36032</v>
      </c>
      <c r="G7950" t="s">
        <v>35778</v>
      </c>
      <c r="H7950" t="s">
        <v>34923</v>
      </c>
      <c r="I7950" t="s">
        <v>34924</v>
      </c>
      <c r="J7950" t="s">
        <v>532</v>
      </c>
      <c r="K7950" t="s">
        <v>34925</v>
      </c>
      <c r="L7950" t="s">
        <v>34926</v>
      </c>
      <c r="M7950" t="s">
        <v>46</v>
      </c>
      <c r="N7950" t="s">
        <v>34927</v>
      </c>
      <c r="O7950" t="s">
        <v>34928</v>
      </c>
      <c r="P7950" t="s">
        <v>35840</v>
      </c>
      <c r="Q7950" t="s">
        <v>35841</v>
      </c>
      <c r="R7950">
        <v>23</v>
      </c>
      <c r="S7950">
        <v>32</v>
      </c>
    </row>
    <row r="7951" spans="1:19" x14ac:dyDescent="0.35">
      <c r="A7951">
        <v>8614</v>
      </c>
      <c r="B7951" t="s">
        <v>35953</v>
      </c>
      <c r="C7951" t="s">
        <v>42</v>
      </c>
      <c r="D7951" t="s">
        <v>35954</v>
      </c>
      <c r="E7951" t="e" cm="1">
        <f t="array" ref="E7951">- GLIMEPIRIDE</f>
        <v>#NAME?</v>
      </c>
      <c r="F7951" t="s">
        <v>35955</v>
      </c>
      <c r="G7951" t="s">
        <v>35778</v>
      </c>
      <c r="H7951" t="s">
        <v>34923</v>
      </c>
      <c r="I7951" t="s">
        <v>34924</v>
      </c>
      <c r="J7951" t="s">
        <v>532</v>
      </c>
      <c r="K7951" t="s">
        <v>34925</v>
      </c>
      <c r="L7951" t="s">
        <v>34926</v>
      </c>
      <c r="M7951" t="s">
        <v>46</v>
      </c>
      <c r="N7951" t="s">
        <v>34927</v>
      </c>
      <c r="O7951" t="s">
        <v>34928</v>
      </c>
      <c r="P7951" t="s">
        <v>35840</v>
      </c>
      <c r="Q7951" t="s">
        <v>35841</v>
      </c>
      <c r="R7951">
        <v>23</v>
      </c>
      <c r="S7951">
        <v>32</v>
      </c>
    </row>
    <row r="7952" spans="1:19" x14ac:dyDescent="0.35">
      <c r="A7952">
        <v>811</v>
      </c>
      <c r="B7952" t="s">
        <v>27865</v>
      </c>
      <c r="C7952" t="s">
        <v>42</v>
      </c>
      <c r="D7952" t="s">
        <v>27866</v>
      </c>
      <c r="E7952" t="e" cm="1">
        <f t="array" ref="E7952">- PARACETAMOL. PHENYLPROPANOLAMINE HYDROCHLORIDE. DEXCHLORPHENIRAMINE MALEATE. GUAIFENESIN. DEXTROMETHORPHAN HYDROBROMIDE</f>
        <v>#NAME?</v>
      </c>
      <c r="F7952" t="s">
        <v>23473</v>
      </c>
      <c r="G7952" t="s">
        <v>5746</v>
      </c>
      <c r="H7952" t="s">
        <v>27867</v>
      </c>
      <c r="I7952" t="s">
        <v>27868</v>
      </c>
      <c r="J7952" t="s">
        <v>17253</v>
      </c>
      <c r="K7952" t="s">
        <v>27869</v>
      </c>
      <c r="L7952" t="s">
        <v>27870</v>
      </c>
      <c r="M7952" t="s">
        <v>46</v>
      </c>
      <c r="N7952" t="s">
        <v>35034</v>
      </c>
      <c r="O7952" t="s">
        <v>27871</v>
      </c>
      <c r="P7952" t="s">
        <v>27872</v>
      </c>
      <c r="Q7952" t="s">
        <v>35848</v>
      </c>
      <c r="R7952">
        <v>23</v>
      </c>
      <c r="S7952">
        <v>32</v>
      </c>
    </row>
    <row r="7953" spans="1:19" x14ac:dyDescent="0.35">
      <c r="A7953">
        <v>7498</v>
      </c>
      <c r="B7953" t="s">
        <v>17926</v>
      </c>
      <c r="C7953" t="s">
        <v>42</v>
      </c>
      <c r="D7953" t="s">
        <v>17927</v>
      </c>
      <c r="E7953" t="e" cm="1">
        <f t="array" ref="E7953">- FERROUS GLUCONATE. ASCORBIC ACID. FOLIC ACID. CYANOCOBALAMIN. COPPER (II) SULFATE PENTAHYDRATE. MANGANESE SULFATE</f>
        <v>#NAME?</v>
      </c>
      <c r="F7953" t="s">
        <v>17928</v>
      </c>
      <c r="G7953" t="s">
        <v>17929</v>
      </c>
      <c r="H7953" t="s">
        <v>17930</v>
      </c>
      <c r="I7953" t="s">
        <v>17931</v>
      </c>
      <c r="J7953" t="s">
        <v>17932</v>
      </c>
      <c r="K7953" t="s">
        <v>17933</v>
      </c>
      <c r="L7953" t="s">
        <v>17934</v>
      </c>
      <c r="M7953" t="s">
        <v>38</v>
      </c>
      <c r="N7953" t="s">
        <v>35621</v>
      </c>
      <c r="O7953" t="s">
        <v>17935</v>
      </c>
      <c r="P7953" t="s">
        <v>17936</v>
      </c>
      <c r="Q7953" t="s">
        <v>35622</v>
      </c>
      <c r="R7953">
        <v>23</v>
      </c>
      <c r="S7953">
        <v>32</v>
      </c>
    </row>
    <row r="7954" spans="1:19" x14ac:dyDescent="0.35">
      <c r="A7954">
        <v>8629</v>
      </c>
      <c r="B7954" t="s">
        <v>36033</v>
      </c>
      <c r="C7954" t="s">
        <v>42</v>
      </c>
      <c r="D7954" t="s">
        <v>36034</v>
      </c>
      <c r="E7954" t="e" cm="1">
        <f t="array" ref="E7954">- GLIMEPIRIDE</f>
        <v>#NAME?</v>
      </c>
      <c r="F7954" t="s">
        <v>36035</v>
      </c>
      <c r="G7954" t="s">
        <v>35778</v>
      </c>
      <c r="H7954" t="s">
        <v>34923</v>
      </c>
      <c r="I7954" t="s">
        <v>34924</v>
      </c>
      <c r="J7954" t="s">
        <v>532</v>
      </c>
      <c r="K7954" t="s">
        <v>34925</v>
      </c>
      <c r="L7954" t="s">
        <v>34926</v>
      </c>
      <c r="M7954" t="s">
        <v>46</v>
      </c>
      <c r="N7954" t="s">
        <v>34927</v>
      </c>
      <c r="O7954" t="s">
        <v>34928</v>
      </c>
      <c r="P7954" t="s">
        <v>36036</v>
      </c>
      <c r="Q7954" t="s">
        <v>36037</v>
      </c>
      <c r="R7954">
        <v>23</v>
      </c>
      <c r="S7954">
        <v>32</v>
      </c>
    </row>
    <row r="7955" spans="1:19" x14ac:dyDescent="0.35">
      <c r="A7955">
        <v>5165</v>
      </c>
      <c r="B7955" t="s">
        <v>36038</v>
      </c>
      <c r="C7955" t="s">
        <v>42</v>
      </c>
      <c r="D7955" t="s">
        <v>36039</v>
      </c>
      <c r="E7955" t="e" cm="1">
        <f t="array" ref="E7955">- FLUOCINOLONE ACETONIDE</f>
        <v>#NAME?</v>
      </c>
      <c r="F7955" t="s">
        <v>36040</v>
      </c>
      <c r="G7955" t="s">
        <v>15206</v>
      </c>
      <c r="H7955" t="s">
        <v>9718</v>
      </c>
      <c r="I7955" t="s">
        <v>36041</v>
      </c>
      <c r="J7955" t="s">
        <v>15910</v>
      </c>
      <c r="K7955" t="s">
        <v>36042</v>
      </c>
      <c r="L7955" t="s">
        <v>36043</v>
      </c>
      <c r="M7955" t="s">
        <v>1289</v>
      </c>
      <c r="N7955" t="s">
        <v>2766</v>
      </c>
      <c r="O7955" t="s">
        <v>36044</v>
      </c>
      <c r="P7955" t="s">
        <v>36045</v>
      </c>
      <c r="Q7955" t="s">
        <v>36046</v>
      </c>
      <c r="R7955">
        <v>23</v>
      </c>
      <c r="S7955">
        <v>32</v>
      </c>
    </row>
    <row r="7956" spans="1:19" x14ac:dyDescent="0.35">
      <c r="A7956">
        <v>7502</v>
      </c>
      <c r="B7956" t="s">
        <v>17926</v>
      </c>
      <c r="C7956" t="s">
        <v>42</v>
      </c>
      <c r="D7956" t="s">
        <v>17938</v>
      </c>
      <c r="E7956" t="e" cm="1">
        <f t="array" ref="E7956">- FOLIC ACID. CYANOCOBALAMIN. FERROUS GLUCONATE. ASCORBIC ACID. COPPER (II) SULFATE PENTAHYDRATE. MANGANESE SULFATE</f>
        <v>#NAME?</v>
      </c>
      <c r="F7956" t="s">
        <v>17939</v>
      </c>
      <c r="G7956" t="s">
        <v>17929</v>
      </c>
      <c r="H7956" t="s">
        <v>17930</v>
      </c>
      <c r="I7956" t="s">
        <v>17931</v>
      </c>
      <c r="J7956" t="s">
        <v>17940</v>
      </c>
      <c r="K7956" t="s">
        <v>17933</v>
      </c>
      <c r="L7956" t="s">
        <v>17934</v>
      </c>
      <c r="M7956" t="s">
        <v>38</v>
      </c>
      <c r="N7956" t="s">
        <v>35658</v>
      </c>
      <c r="O7956" t="s">
        <v>17935</v>
      </c>
      <c r="P7956" t="s">
        <v>17936</v>
      </c>
      <c r="Q7956" t="s">
        <v>35659</v>
      </c>
      <c r="R7956">
        <v>23</v>
      </c>
      <c r="S7956">
        <v>32</v>
      </c>
    </row>
    <row r="7957" spans="1:19" x14ac:dyDescent="0.35">
      <c r="A7957">
        <v>7503</v>
      </c>
      <c r="B7957" t="s">
        <v>17926</v>
      </c>
      <c r="C7957" t="s">
        <v>42</v>
      </c>
      <c r="D7957" t="s">
        <v>17938</v>
      </c>
      <c r="E7957" t="e" cm="1">
        <f t="array" ref="E7957">- ASCORBIC ACID. FOLIC ACID. CYANOCOBALAMIN. FERROUS GLUCONATE. COPPER (II) SULFATE PENTAHYDRATE. MANGANESE SULFATE</f>
        <v>#NAME?</v>
      </c>
      <c r="F7957" t="s">
        <v>17939</v>
      </c>
      <c r="G7957" t="s">
        <v>17929</v>
      </c>
      <c r="H7957" t="s">
        <v>17930</v>
      </c>
      <c r="I7957" t="s">
        <v>17931</v>
      </c>
      <c r="J7957" t="s">
        <v>17940</v>
      </c>
      <c r="K7957" t="s">
        <v>17933</v>
      </c>
      <c r="L7957" t="s">
        <v>17934</v>
      </c>
      <c r="M7957" t="s">
        <v>38</v>
      </c>
      <c r="N7957" t="s">
        <v>35623</v>
      </c>
      <c r="O7957" t="s">
        <v>17935</v>
      </c>
      <c r="P7957" t="s">
        <v>17936</v>
      </c>
      <c r="Q7957" t="s">
        <v>35624</v>
      </c>
      <c r="R7957">
        <v>23</v>
      </c>
      <c r="S7957">
        <v>32</v>
      </c>
    </row>
    <row r="7958" spans="1:19" x14ac:dyDescent="0.35">
      <c r="A7958">
        <v>3439</v>
      </c>
      <c r="B7958" t="s">
        <v>28581</v>
      </c>
      <c r="C7958" t="s">
        <v>42</v>
      </c>
      <c r="D7958" t="s">
        <v>28582</v>
      </c>
      <c r="E7958" t="s">
        <v>36047</v>
      </c>
      <c r="F7958" t="s">
        <v>28583</v>
      </c>
      <c r="G7958" t="s">
        <v>28584</v>
      </c>
      <c r="H7958" t="s">
        <v>28585</v>
      </c>
      <c r="I7958" t="s">
        <v>28586</v>
      </c>
      <c r="J7958" t="s">
        <v>13867</v>
      </c>
      <c r="K7958" t="s">
        <v>28587</v>
      </c>
      <c r="M7958" t="s">
        <v>340</v>
      </c>
      <c r="N7958" t="s">
        <v>36048</v>
      </c>
      <c r="O7958" t="s">
        <v>28588</v>
      </c>
      <c r="P7958" t="s">
        <v>28589</v>
      </c>
      <c r="Q7958" t="s">
        <v>36049</v>
      </c>
      <c r="R7958">
        <v>23</v>
      </c>
      <c r="S7958">
        <v>32</v>
      </c>
    </row>
    <row r="7959" spans="1:19" x14ac:dyDescent="0.35">
      <c r="A7959">
        <v>7504</v>
      </c>
      <c r="B7959" t="s">
        <v>17926</v>
      </c>
      <c r="C7959" t="s">
        <v>42</v>
      </c>
      <c r="D7959" t="s">
        <v>17938</v>
      </c>
      <c r="E7959" t="e" cm="1">
        <f t="array" ref="E7959">- FERROUS GLUCONATE. ASCORBIC ACID. FOLIC ACID. CYANOCOBALAMIN. COPPER (II) SULFATE PENTAHYDRATE. MANGANESE SULFATE</f>
        <v>#NAME?</v>
      </c>
      <c r="F7959" t="s">
        <v>17939</v>
      </c>
      <c r="G7959" t="s">
        <v>17929</v>
      </c>
      <c r="H7959" t="s">
        <v>17930</v>
      </c>
      <c r="I7959" t="s">
        <v>17931</v>
      </c>
      <c r="J7959" t="s">
        <v>17940</v>
      </c>
      <c r="K7959" t="s">
        <v>17933</v>
      </c>
      <c r="L7959" t="s">
        <v>17934</v>
      </c>
      <c r="M7959" t="s">
        <v>38</v>
      </c>
      <c r="N7959" t="s">
        <v>35621</v>
      </c>
      <c r="O7959" t="s">
        <v>17935</v>
      </c>
      <c r="P7959" t="s">
        <v>17936</v>
      </c>
      <c r="Q7959" t="s">
        <v>35622</v>
      </c>
      <c r="R7959">
        <v>23</v>
      </c>
      <c r="S7959">
        <v>32</v>
      </c>
    </row>
    <row r="7960" spans="1:19" x14ac:dyDescent="0.35">
      <c r="A7960">
        <v>4776</v>
      </c>
      <c r="B7960" t="s">
        <v>35959</v>
      </c>
      <c r="C7960" t="s">
        <v>42</v>
      </c>
      <c r="D7960" t="s">
        <v>35960</v>
      </c>
      <c r="E7960" t="e" cm="1">
        <f t="array" ref="E7960">- SODIUM HYALURONATE</f>
        <v>#NAME?</v>
      </c>
      <c r="F7960" t="s">
        <v>35961</v>
      </c>
      <c r="G7960" t="s">
        <v>34031</v>
      </c>
      <c r="H7960" t="s">
        <v>34032</v>
      </c>
      <c r="I7960" t="s">
        <v>35962</v>
      </c>
      <c r="J7960" t="s">
        <v>21615</v>
      </c>
      <c r="K7960" t="s">
        <v>2858</v>
      </c>
      <c r="L7960" t="s">
        <v>35963</v>
      </c>
      <c r="M7960" t="s">
        <v>824</v>
      </c>
      <c r="N7960" t="s">
        <v>27378</v>
      </c>
      <c r="O7960" t="s">
        <v>35964</v>
      </c>
      <c r="P7960" t="s">
        <v>35965</v>
      </c>
      <c r="Q7960" t="s">
        <v>35966</v>
      </c>
      <c r="R7960">
        <v>23</v>
      </c>
      <c r="S7960">
        <v>32</v>
      </c>
    </row>
    <row r="7961" spans="1:19" x14ac:dyDescent="0.35">
      <c r="A7961">
        <v>8628</v>
      </c>
      <c r="B7961" t="s">
        <v>36050</v>
      </c>
      <c r="C7961" t="s">
        <v>42</v>
      </c>
      <c r="D7961" t="s">
        <v>36051</v>
      </c>
      <c r="E7961" t="e" cm="1">
        <f t="array" ref="E7961">- GLIMEPIRIDE</f>
        <v>#NAME?</v>
      </c>
      <c r="F7961" t="s">
        <v>36052</v>
      </c>
      <c r="G7961" t="s">
        <v>35778</v>
      </c>
      <c r="H7961" t="s">
        <v>34923</v>
      </c>
      <c r="I7961" t="s">
        <v>34924</v>
      </c>
      <c r="J7961" t="s">
        <v>532</v>
      </c>
      <c r="K7961" t="s">
        <v>34925</v>
      </c>
      <c r="L7961" t="s">
        <v>34926</v>
      </c>
      <c r="M7961" t="s">
        <v>46</v>
      </c>
      <c r="N7961" t="s">
        <v>34927</v>
      </c>
      <c r="O7961" t="s">
        <v>34928</v>
      </c>
      <c r="P7961" t="s">
        <v>36036</v>
      </c>
      <c r="Q7961" t="s">
        <v>36037</v>
      </c>
      <c r="R7961">
        <v>23</v>
      </c>
      <c r="S7961">
        <v>32</v>
      </c>
    </row>
    <row r="7962" spans="1:19" x14ac:dyDescent="0.35">
      <c r="A7962">
        <v>1137</v>
      </c>
      <c r="B7962" t="s">
        <v>35096</v>
      </c>
      <c r="C7962" t="s">
        <v>42</v>
      </c>
      <c r="D7962" t="s">
        <v>35660</v>
      </c>
      <c r="E7962" t="e" cm="1">
        <f t="array" ref="E7962">- AMMONIUM CHLORIDE</f>
        <v>#NAME?</v>
      </c>
      <c r="F7962" t="s">
        <v>35661</v>
      </c>
      <c r="G7962" t="s">
        <v>4649</v>
      </c>
      <c r="H7962" t="s">
        <v>35662</v>
      </c>
      <c r="I7962" t="s">
        <v>30300</v>
      </c>
      <c r="J7962" t="s">
        <v>21307</v>
      </c>
      <c r="K7962" t="s">
        <v>35663</v>
      </c>
      <c r="L7962" t="s">
        <v>35664</v>
      </c>
      <c r="M7962" t="s">
        <v>271</v>
      </c>
      <c r="N7962" t="s">
        <v>1672</v>
      </c>
      <c r="O7962" t="s">
        <v>35665</v>
      </c>
      <c r="P7962" t="s">
        <v>35103</v>
      </c>
      <c r="Q7962" t="s">
        <v>35666</v>
      </c>
      <c r="R7962">
        <v>23</v>
      </c>
      <c r="S7962">
        <v>32</v>
      </c>
    </row>
    <row r="7963" spans="1:19" x14ac:dyDescent="0.35">
      <c r="A7963">
        <v>5911</v>
      </c>
      <c r="B7963" t="s">
        <v>36053</v>
      </c>
      <c r="C7963" t="s">
        <v>42</v>
      </c>
      <c r="D7963" t="s">
        <v>36054</v>
      </c>
      <c r="E7963" t="e" cm="1">
        <f t="array" ref="E7963">- CEFIXIME TRIHYDRATE</f>
        <v>#NAME?</v>
      </c>
      <c r="F7963" t="s">
        <v>36055</v>
      </c>
      <c r="H7963" t="s">
        <v>36056</v>
      </c>
    </row>
    <row r="7964" spans="1:19" x14ac:dyDescent="0.35">
      <c r="A7964">
        <v>2684</v>
      </c>
      <c r="B7964" t="s">
        <v>36057</v>
      </c>
      <c r="C7964" t="s">
        <v>42</v>
      </c>
      <c r="D7964" t="s">
        <v>36058</v>
      </c>
      <c r="E7964" t="e" cm="1">
        <f t="array" ref="E7964">- CELECOXIB</f>
        <v>#NAME?</v>
      </c>
      <c r="F7964" s="1">
        <v>117200</v>
      </c>
      <c r="G7964" t="s">
        <v>17569</v>
      </c>
      <c r="H7964" t="s">
        <v>35652</v>
      </c>
      <c r="I7964" t="s">
        <v>35653</v>
      </c>
      <c r="J7964" t="s">
        <v>347</v>
      </c>
      <c r="K7964" t="s">
        <v>36059</v>
      </c>
      <c r="L7964" t="s">
        <v>35654</v>
      </c>
      <c r="M7964" t="s">
        <v>38</v>
      </c>
      <c r="N7964" t="s">
        <v>14778</v>
      </c>
      <c r="O7964" t="s">
        <v>35655</v>
      </c>
      <c r="P7964" t="s">
        <v>35656</v>
      </c>
      <c r="Q7964" t="s">
        <v>35657</v>
      </c>
      <c r="R7964">
        <v>23</v>
      </c>
      <c r="S7964">
        <v>32</v>
      </c>
    </row>
    <row r="7965" spans="1:19" x14ac:dyDescent="0.35">
      <c r="A7965">
        <v>8825</v>
      </c>
      <c r="B7965" t="s">
        <v>36060</v>
      </c>
      <c r="C7965" t="s">
        <v>42</v>
      </c>
      <c r="D7965" t="s">
        <v>36061</v>
      </c>
      <c r="E7965" t="e" cm="1">
        <f t="array" ref="E7965">- GLIMEPIRIDE</f>
        <v>#NAME?</v>
      </c>
      <c r="F7965" t="s">
        <v>36062</v>
      </c>
      <c r="G7965" t="s">
        <v>35580</v>
      </c>
      <c r="H7965" t="s">
        <v>34923</v>
      </c>
      <c r="I7965" t="s">
        <v>34924</v>
      </c>
      <c r="J7965" t="s">
        <v>1730</v>
      </c>
      <c r="K7965" t="s">
        <v>34925</v>
      </c>
      <c r="L7965" t="s">
        <v>34926</v>
      </c>
      <c r="M7965" t="s">
        <v>291</v>
      </c>
      <c r="N7965" t="s">
        <v>34927</v>
      </c>
      <c r="O7965" t="s">
        <v>34928</v>
      </c>
      <c r="P7965" t="s">
        <v>36063</v>
      </c>
      <c r="Q7965" t="s">
        <v>36064</v>
      </c>
      <c r="R7965">
        <v>23</v>
      </c>
      <c r="S7965">
        <v>32</v>
      </c>
    </row>
    <row r="7966" spans="1:19" x14ac:dyDescent="0.35">
      <c r="A7966">
        <v>4946</v>
      </c>
      <c r="B7966" t="s">
        <v>36065</v>
      </c>
      <c r="C7966" t="s">
        <v>42</v>
      </c>
      <c r="D7966" t="s">
        <v>36066</v>
      </c>
      <c r="E7966" t="e" cm="1">
        <f t="array" ref="E7966">- FLUOCINOLONE ACETONIDE</f>
        <v>#NAME?</v>
      </c>
      <c r="F7966" t="s">
        <v>36067</v>
      </c>
      <c r="G7966" t="s">
        <v>17097</v>
      </c>
      <c r="H7966" t="s">
        <v>31619</v>
      </c>
      <c r="I7966" t="s">
        <v>36068</v>
      </c>
      <c r="J7966" t="s">
        <v>13944</v>
      </c>
      <c r="K7966" t="s">
        <v>36069</v>
      </c>
      <c r="L7966" t="s">
        <v>36070</v>
      </c>
      <c r="M7966" t="s">
        <v>1289</v>
      </c>
      <c r="N7966" t="s">
        <v>2766</v>
      </c>
      <c r="O7966" t="s">
        <v>36071</v>
      </c>
      <c r="P7966" t="s">
        <v>36072</v>
      </c>
      <c r="Q7966" t="s">
        <v>36073</v>
      </c>
      <c r="R7966">
        <v>23</v>
      </c>
      <c r="S7966">
        <v>32</v>
      </c>
    </row>
    <row r="7967" spans="1:19" x14ac:dyDescent="0.35">
      <c r="A7967">
        <v>9602</v>
      </c>
      <c r="B7967" t="s">
        <v>6301</v>
      </c>
      <c r="C7967" t="s">
        <v>42</v>
      </c>
      <c r="D7967" t="s">
        <v>36074</v>
      </c>
      <c r="E7967" t="s">
        <v>6303</v>
      </c>
      <c r="F7967" t="s">
        <v>36075</v>
      </c>
      <c r="G7967" t="s">
        <v>31602</v>
      </c>
      <c r="H7967" t="s">
        <v>1322</v>
      </c>
      <c r="I7967" t="s">
        <v>36076</v>
      </c>
      <c r="J7967" t="s">
        <v>334</v>
      </c>
      <c r="K7967" t="s">
        <v>31604</v>
      </c>
      <c r="L7967" t="s">
        <v>36077</v>
      </c>
      <c r="M7967" t="s">
        <v>46</v>
      </c>
      <c r="N7967" t="s">
        <v>6304</v>
      </c>
      <c r="O7967" t="s">
        <v>36078</v>
      </c>
      <c r="P7967" t="s">
        <v>36079</v>
      </c>
      <c r="Q7967" t="s">
        <v>36080</v>
      </c>
      <c r="R7967">
        <v>23</v>
      </c>
      <c r="S7967">
        <v>32</v>
      </c>
    </row>
    <row r="7968" spans="1:19" x14ac:dyDescent="0.35">
      <c r="A7968">
        <v>7223</v>
      </c>
      <c r="B7968" t="s">
        <v>36081</v>
      </c>
      <c r="C7968" t="s">
        <v>850</v>
      </c>
      <c r="D7968" t="s">
        <v>36082</v>
      </c>
      <c r="E7968" t="e" cm="1">
        <f t="array" ref="E7968">- Camphor</f>
        <v>#NAME?</v>
      </c>
      <c r="F7968" t="s">
        <v>36083</v>
      </c>
      <c r="G7968" t="s">
        <v>35458</v>
      </c>
      <c r="H7968" t="s">
        <v>1322</v>
      </c>
      <c r="I7968" t="s">
        <v>36084</v>
      </c>
      <c r="J7968" t="s">
        <v>36085</v>
      </c>
      <c r="L7968" t="s">
        <v>21453</v>
      </c>
      <c r="M7968" t="s">
        <v>3632</v>
      </c>
      <c r="N7968" t="s">
        <v>853</v>
      </c>
      <c r="O7968" t="s">
        <v>36086</v>
      </c>
      <c r="P7968" t="s">
        <v>36087</v>
      </c>
      <c r="Q7968" t="s">
        <v>36088</v>
      </c>
      <c r="R7968">
        <v>23</v>
      </c>
      <c r="S7968">
        <v>32</v>
      </c>
    </row>
    <row r="7969" spans="1:19" x14ac:dyDescent="0.35">
      <c r="A7969">
        <v>4479</v>
      </c>
      <c r="B7969" t="s">
        <v>31559</v>
      </c>
      <c r="C7969" t="s">
        <v>42</v>
      </c>
      <c r="D7969" t="s">
        <v>32537</v>
      </c>
      <c r="E7969" t="e" cm="1">
        <f t="array" ref="E7969">- DEXAMETHASONE. NEOMYCIN SULFATE. POLYMYXIN B SULFATE</f>
        <v>#NAME?</v>
      </c>
      <c r="F7969" t="s">
        <v>19418</v>
      </c>
      <c r="G7969" t="s">
        <v>31562</v>
      </c>
      <c r="H7969" t="s">
        <v>31563</v>
      </c>
      <c r="I7969" t="s">
        <v>31564</v>
      </c>
      <c r="J7969" t="s">
        <v>11321</v>
      </c>
      <c r="K7969" t="s">
        <v>31566</v>
      </c>
      <c r="L7969" t="s">
        <v>31567</v>
      </c>
      <c r="M7969" t="s">
        <v>824</v>
      </c>
      <c r="N7969" t="s">
        <v>34711</v>
      </c>
      <c r="O7969" t="s">
        <v>31568</v>
      </c>
      <c r="P7969" t="s">
        <v>32538</v>
      </c>
      <c r="Q7969" t="s">
        <v>36089</v>
      </c>
      <c r="R7969">
        <v>23</v>
      </c>
      <c r="S7969">
        <v>32</v>
      </c>
    </row>
    <row r="7970" spans="1:19" x14ac:dyDescent="0.35">
      <c r="A7970">
        <v>4478</v>
      </c>
      <c r="B7970" t="s">
        <v>31559</v>
      </c>
      <c r="C7970" t="s">
        <v>42</v>
      </c>
      <c r="D7970" t="s">
        <v>32537</v>
      </c>
      <c r="E7970" t="e" cm="1">
        <f t="array" ref="E7970">- DEXAMETHASONE. NEOMYCIN SULFATE. POLYMYXIN B SULFATE</f>
        <v>#NAME?</v>
      </c>
      <c r="F7970" t="s">
        <v>19418</v>
      </c>
      <c r="G7970" t="s">
        <v>31562</v>
      </c>
      <c r="H7970" t="s">
        <v>31563</v>
      </c>
      <c r="I7970" t="s">
        <v>31564</v>
      </c>
      <c r="J7970" t="s">
        <v>11321</v>
      </c>
      <c r="K7970" t="s">
        <v>31566</v>
      </c>
      <c r="L7970" t="s">
        <v>31567</v>
      </c>
      <c r="M7970" t="s">
        <v>824</v>
      </c>
      <c r="N7970" t="s">
        <v>34711</v>
      </c>
      <c r="O7970" t="s">
        <v>31568</v>
      </c>
      <c r="P7970" t="s">
        <v>32538</v>
      </c>
      <c r="Q7970" t="s">
        <v>36089</v>
      </c>
      <c r="R7970">
        <v>23</v>
      </c>
      <c r="S7970">
        <v>32</v>
      </c>
    </row>
    <row r="7971" spans="1:19" x14ac:dyDescent="0.35">
      <c r="A7971">
        <v>624</v>
      </c>
      <c r="B7971" t="s">
        <v>23289</v>
      </c>
      <c r="C7971" t="s">
        <v>42</v>
      </c>
      <c r="D7971" t="s">
        <v>36090</v>
      </c>
      <c r="E7971" t="e" cm="1">
        <f t="array" ref="E7971">- OXYGEN</f>
        <v>#NAME?</v>
      </c>
      <c r="F7971" s="1">
        <v>154400</v>
      </c>
      <c r="H7971" t="s">
        <v>9172</v>
      </c>
      <c r="I7971" t="s">
        <v>36091</v>
      </c>
      <c r="J7971" t="s">
        <v>36092</v>
      </c>
      <c r="M7971" t="s">
        <v>23298</v>
      </c>
      <c r="N7971" t="s">
        <v>23299</v>
      </c>
      <c r="O7971" t="s">
        <v>36093</v>
      </c>
      <c r="P7971" t="s">
        <v>36094</v>
      </c>
      <c r="Q7971" t="s">
        <v>36095</v>
      </c>
      <c r="R7971">
        <v>23</v>
      </c>
      <c r="S7971">
        <v>32</v>
      </c>
    </row>
    <row r="7972" spans="1:19" x14ac:dyDescent="0.35">
      <c r="A7972">
        <v>1897</v>
      </c>
      <c r="B7972" t="s">
        <v>36096</v>
      </c>
      <c r="C7972" t="s">
        <v>42</v>
      </c>
      <c r="D7972" t="s">
        <v>36097</v>
      </c>
      <c r="E7972" t="e" cm="1">
        <f t="array" ref="E7972">- PARACETAMOL. PSEUDOEPHEDRINE HYDROCHLORIDE. DEXTROMETHORPHAN HYDROBROMIDE. CHLORPHENAMINE MALEATE</f>
        <v>#NAME?</v>
      </c>
      <c r="F7972" t="s">
        <v>36098</v>
      </c>
      <c r="G7972" t="s">
        <v>4545</v>
      </c>
      <c r="H7972" t="s">
        <v>36099</v>
      </c>
      <c r="I7972" t="s">
        <v>36100</v>
      </c>
      <c r="J7972" t="s">
        <v>334</v>
      </c>
      <c r="M7972" t="s">
        <v>340</v>
      </c>
      <c r="N7972" t="s">
        <v>36101</v>
      </c>
      <c r="O7972" t="s">
        <v>29632</v>
      </c>
      <c r="P7972" t="s">
        <v>36102</v>
      </c>
      <c r="Q7972" t="s">
        <v>36103</v>
      </c>
      <c r="R7972">
        <v>23</v>
      </c>
      <c r="S7972">
        <v>32</v>
      </c>
    </row>
    <row r="7973" spans="1:19" x14ac:dyDescent="0.35">
      <c r="A7973">
        <v>623</v>
      </c>
      <c r="B7973" t="s">
        <v>23289</v>
      </c>
      <c r="C7973" t="s">
        <v>42</v>
      </c>
      <c r="D7973" t="s">
        <v>36090</v>
      </c>
      <c r="E7973" t="e" cm="1">
        <f t="array" ref="E7973">- OXYGEN</f>
        <v>#NAME?</v>
      </c>
      <c r="F7973" s="1">
        <v>154400</v>
      </c>
      <c r="H7973" t="s">
        <v>9172</v>
      </c>
      <c r="I7973" t="s">
        <v>36091</v>
      </c>
      <c r="J7973" t="s">
        <v>36092</v>
      </c>
      <c r="M7973" t="s">
        <v>23298</v>
      </c>
      <c r="N7973" t="s">
        <v>23299</v>
      </c>
      <c r="O7973" t="s">
        <v>36093</v>
      </c>
      <c r="P7973" t="s">
        <v>36094</v>
      </c>
      <c r="Q7973" t="s">
        <v>36095</v>
      </c>
      <c r="R7973">
        <v>23</v>
      </c>
      <c r="S7973">
        <v>32</v>
      </c>
    </row>
    <row r="7974" spans="1:19" x14ac:dyDescent="0.35">
      <c r="A7974">
        <v>1783</v>
      </c>
      <c r="B7974" t="s">
        <v>36104</v>
      </c>
      <c r="C7974" t="s">
        <v>20</v>
      </c>
      <c r="D7974" t="s">
        <v>36105</v>
      </c>
      <c r="E7974" t="s">
        <v>36106</v>
      </c>
      <c r="F7974" t="s">
        <v>36107</v>
      </c>
      <c r="G7974" t="s">
        <v>23559</v>
      </c>
      <c r="H7974" t="s">
        <v>16824</v>
      </c>
      <c r="I7974" t="s">
        <v>36108</v>
      </c>
      <c r="J7974" t="s">
        <v>846</v>
      </c>
      <c r="M7974" t="s">
        <v>2115</v>
      </c>
      <c r="N7974" t="s">
        <v>36109</v>
      </c>
      <c r="O7974" t="s">
        <v>36110</v>
      </c>
      <c r="P7974" t="s">
        <v>36111</v>
      </c>
      <c r="Q7974" t="s">
        <v>36112</v>
      </c>
      <c r="R7974">
        <v>23</v>
      </c>
      <c r="S7974">
        <v>32</v>
      </c>
    </row>
    <row r="7975" spans="1:19" x14ac:dyDescent="0.35">
      <c r="A7975">
        <v>549</v>
      </c>
      <c r="B7975" t="s">
        <v>36113</v>
      </c>
      <c r="C7975" t="s">
        <v>42</v>
      </c>
      <c r="D7975" t="s">
        <v>36114</v>
      </c>
      <c r="E7975" t="e" cm="1">
        <f t="array" ref="E7975">- PROCATEROL HYDROCHLORIDE HEMIHYDRATE</f>
        <v>#NAME?</v>
      </c>
      <c r="F7975" s="1">
        <v>63400</v>
      </c>
      <c r="G7975" t="s">
        <v>2241</v>
      </c>
      <c r="H7975" t="s">
        <v>36115</v>
      </c>
      <c r="I7975" t="s">
        <v>36116</v>
      </c>
      <c r="J7975" t="s">
        <v>334</v>
      </c>
      <c r="K7975" t="s">
        <v>36117</v>
      </c>
      <c r="L7975" t="s">
        <v>36118</v>
      </c>
      <c r="M7975" t="s">
        <v>271</v>
      </c>
      <c r="N7975" t="s">
        <v>3478</v>
      </c>
      <c r="O7975" t="s">
        <v>36119</v>
      </c>
      <c r="P7975" t="s">
        <v>36120</v>
      </c>
      <c r="Q7975" t="s">
        <v>36121</v>
      </c>
      <c r="R7975">
        <v>23</v>
      </c>
      <c r="S7975">
        <v>32</v>
      </c>
    </row>
    <row r="7976" spans="1:19" x14ac:dyDescent="0.35">
      <c r="A7976">
        <v>7174</v>
      </c>
      <c r="B7976" t="s">
        <v>36122</v>
      </c>
      <c r="C7976" t="s">
        <v>20</v>
      </c>
      <c r="D7976" t="s">
        <v>36123</v>
      </c>
      <c r="E7976" t="s">
        <v>36124</v>
      </c>
      <c r="F7976" t="s">
        <v>36125</v>
      </c>
      <c r="G7976" t="s">
        <v>36126</v>
      </c>
      <c r="H7976" t="s">
        <v>36127</v>
      </c>
      <c r="I7976" t="s">
        <v>36128</v>
      </c>
      <c r="J7976" t="s">
        <v>374</v>
      </c>
      <c r="L7976" t="s">
        <v>31318</v>
      </c>
      <c r="M7976" t="s">
        <v>2115</v>
      </c>
      <c r="N7976" t="s">
        <v>36129</v>
      </c>
      <c r="O7976" t="s">
        <v>36130</v>
      </c>
      <c r="P7976" t="s">
        <v>36131</v>
      </c>
      <c r="Q7976" t="s">
        <v>36132</v>
      </c>
      <c r="R7976">
        <v>23</v>
      </c>
      <c r="S7976">
        <v>32</v>
      </c>
    </row>
    <row r="7977" spans="1:19" x14ac:dyDescent="0.35">
      <c r="A7977">
        <v>4466</v>
      </c>
      <c r="B7977" t="s">
        <v>3486</v>
      </c>
      <c r="C7977" t="s">
        <v>42</v>
      </c>
      <c r="D7977" t="s">
        <v>34597</v>
      </c>
      <c r="E7977" t="e" cm="1">
        <f t="array" ref="E7977">- CARMELLOSE SODIUM</f>
        <v>#NAME?</v>
      </c>
      <c r="F7977" t="s">
        <v>34598</v>
      </c>
      <c r="G7977" t="s">
        <v>23079</v>
      </c>
      <c r="H7977" t="s">
        <v>26294</v>
      </c>
      <c r="I7977" t="s">
        <v>34599</v>
      </c>
      <c r="J7977" t="s">
        <v>11321</v>
      </c>
      <c r="K7977" t="s">
        <v>34600</v>
      </c>
      <c r="L7977" t="s">
        <v>34601</v>
      </c>
      <c r="M7977" t="s">
        <v>824</v>
      </c>
      <c r="N7977" t="s">
        <v>4053</v>
      </c>
      <c r="O7977" t="s">
        <v>34602</v>
      </c>
      <c r="P7977" t="s">
        <v>3489</v>
      </c>
      <c r="Q7977" t="s">
        <v>36133</v>
      </c>
      <c r="R7977">
        <v>23</v>
      </c>
      <c r="S7977">
        <v>32</v>
      </c>
    </row>
    <row r="7978" spans="1:19" x14ac:dyDescent="0.35">
      <c r="A7978">
        <v>8826</v>
      </c>
      <c r="B7978" t="s">
        <v>36060</v>
      </c>
      <c r="C7978" t="s">
        <v>42</v>
      </c>
      <c r="D7978" t="s">
        <v>36061</v>
      </c>
      <c r="E7978" t="e" cm="1">
        <f t="array" ref="E7978">- GLIMEPIRIDE</f>
        <v>#NAME?</v>
      </c>
      <c r="F7978" t="s">
        <v>36062</v>
      </c>
      <c r="G7978" t="s">
        <v>35580</v>
      </c>
      <c r="H7978" t="s">
        <v>34923</v>
      </c>
      <c r="I7978" t="s">
        <v>34924</v>
      </c>
      <c r="J7978" t="s">
        <v>1730</v>
      </c>
      <c r="K7978" t="s">
        <v>34925</v>
      </c>
      <c r="L7978" t="s">
        <v>34926</v>
      </c>
      <c r="M7978" t="s">
        <v>291</v>
      </c>
      <c r="N7978" t="s">
        <v>34927</v>
      </c>
      <c r="O7978" t="s">
        <v>34928</v>
      </c>
      <c r="P7978" t="s">
        <v>36063</v>
      </c>
      <c r="Q7978" t="s">
        <v>36064</v>
      </c>
      <c r="R7978">
        <v>23</v>
      </c>
      <c r="S7978">
        <v>32</v>
      </c>
    </row>
    <row r="7979" spans="1:19" x14ac:dyDescent="0.35">
      <c r="A7979">
        <v>622</v>
      </c>
      <c r="B7979" t="s">
        <v>23289</v>
      </c>
      <c r="C7979" t="s">
        <v>42</v>
      </c>
      <c r="D7979" t="s">
        <v>36090</v>
      </c>
      <c r="E7979" t="e" cm="1">
        <f t="array" ref="E7979">- OXYGEN</f>
        <v>#NAME?</v>
      </c>
      <c r="F7979" s="1">
        <v>154400</v>
      </c>
      <c r="H7979" t="s">
        <v>9172</v>
      </c>
      <c r="I7979" t="s">
        <v>36091</v>
      </c>
      <c r="J7979" t="s">
        <v>36092</v>
      </c>
      <c r="M7979" t="s">
        <v>23298</v>
      </c>
      <c r="N7979" t="s">
        <v>23299</v>
      </c>
      <c r="O7979" t="s">
        <v>36093</v>
      </c>
      <c r="P7979" t="s">
        <v>36094</v>
      </c>
      <c r="Q7979" t="s">
        <v>36095</v>
      </c>
      <c r="R7979">
        <v>23</v>
      </c>
      <c r="S7979">
        <v>32</v>
      </c>
    </row>
    <row r="7980" spans="1:19" x14ac:dyDescent="0.35">
      <c r="A7980">
        <v>7586</v>
      </c>
      <c r="B7980" t="s">
        <v>36134</v>
      </c>
      <c r="C7980" t="s">
        <v>20</v>
      </c>
      <c r="D7980" t="s">
        <v>36135</v>
      </c>
      <c r="E7980" t="s">
        <v>36136</v>
      </c>
      <c r="F7980" t="s">
        <v>36137</v>
      </c>
      <c r="G7980" t="s">
        <v>2241</v>
      </c>
      <c r="H7980" t="s">
        <v>36138</v>
      </c>
      <c r="I7980" t="s">
        <v>35420</v>
      </c>
      <c r="J7980" t="s">
        <v>374</v>
      </c>
      <c r="K7980" t="s">
        <v>36139</v>
      </c>
      <c r="L7980" t="s">
        <v>36140</v>
      </c>
      <c r="M7980" t="s">
        <v>271</v>
      </c>
      <c r="N7980" t="s">
        <v>36141</v>
      </c>
      <c r="O7980" t="s">
        <v>35423</v>
      </c>
      <c r="P7980" t="s">
        <v>36141</v>
      </c>
      <c r="Q7980" t="s">
        <v>36142</v>
      </c>
      <c r="R7980">
        <v>23</v>
      </c>
      <c r="S7980">
        <v>32</v>
      </c>
    </row>
    <row r="7981" spans="1:19" x14ac:dyDescent="0.35">
      <c r="A7981">
        <v>4462</v>
      </c>
      <c r="B7981" t="s">
        <v>3486</v>
      </c>
      <c r="C7981" t="s">
        <v>42</v>
      </c>
      <c r="D7981" t="s">
        <v>34614</v>
      </c>
      <c r="E7981" t="e" cm="1">
        <f t="array" ref="E7981">- CARMELLOSE SODIUM</f>
        <v>#NAME?</v>
      </c>
      <c r="F7981" t="s">
        <v>34615</v>
      </c>
      <c r="G7981" t="s">
        <v>22792</v>
      </c>
      <c r="H7981" t="s">
        <v>34616</v>
      </c>
      <c r="I7981" t="s">
        <v>34617</v>
      </c>
      <c r="J7981" t="s">
        <v>16097</v>
      </c>
      <c r="K7981" t="s">
        <v>3473</v>
      </c>
      <c r="L7981" t="s">
        <v>34618</v>
      </c>
      <c r="M7981" t="s">
        <v>824</v>
      </c>
      <c r="N7981" t="s">
        <v>4053</v>
      </c>
      <c r="O7981" t="s">
        <v>34619</v>
      </c>
      <c r="P7981" t="s">
        <v>34620</v>
      </c>
      <c r="Q7981" t="s">
        <v>36143</v>
      </c>
      <c r="R7981">
        <v>23</v>
      </c>
      <c r="S7981">
        <v>32</v>
      </c>
    </row>
    <row r="7982" spans="1:19" x14ac:dyDescent="0.35">
      <c r="A7982">
        <v>7752</v>
      </c>
      <c r="B7982" t="s">
        <v>36144</v>
      </c>
      <c r="C7982" t="s">
        <v>20</v>
      </c>
      <c r="D7982" t="s">
        <v>36145</v>
      </c>
      <c r="E7982" t="s">
        <v>36146</v>
      </c>
      <c r="F7982" t="s">
        <v>36147</v>
      </c>
      <c r="I7982" t="s">
        <v>36148</v>
      </c>
      <c r="J7982" t="s">
        <v>70</v>
      </c>
      <c r="M7982" t="s">
        <v>38</v>
      </c>
      <c r="N7982" t="s">
        <v>36149</v>
      </c>
      <c r="O7982" t="s">
        <v>36150</v>
      </c>
      <c r="P7982" t="s">
        <v>36149</v>
      </c>
      <c r="Q7982" t="s">
        <v>36151</v>
      </c>
      <c r="R7982">
        <v>23</v>
      </c>
      <c r="S7982">
        <v>32</v>
      </c>
    </row>
    <row r="7983" spans="1:19" x14ac:dyDescent="0.35">
      <c r="A7983">
        <v>4993</v>
      </c>
      <c r="B7983" t="s">
        <v>36152</v>
      </c>
      <c r="C7983" t="s">
        <v>42</v>
      </c>
      <c r="D7983" t="s">
        <v>36153</v>
      </c>
      <c r="E7983" t="e" cm="1">
        <f t="array" ref="E7983">- CLOBETASOL PROPIONATE</f>
        <v>#NAME?</v>
      </c>
      <c r="F7983" t="s">
        <v>36154</v>
      </c>
      <c r="G7983" t="s">
        <v>11083</v>
      </c>
      <c r="H7983" t="s">
        <v>36155</v>
      </c>
      <c r="I7983" t="s">
        <v>36156</v>
      </c>
      <c r="J7983" t="s">
        <v>2049</v>
      </c>
      <c r="K7983" t="s">
        <v>30677</v>
      </c>
      <c r="L7983" t="s">
        <v>30678</v>
      </c>
      <c r="M7983" t="s">
        <v>1289</v>
      </c>
      <c r="N7983" t="s">
        <v>3588</v>
      </c>
      <c r="O7983" t="s">
        <v>36157</v>
      </c>
      <c r="P7983" t="s">
        <v>36158</v>
      </c>
      <c r="Q7983" t="s">
        <v>36159</v>
      </c>
      <c r="R7983">
        <v>23</v>
      </c>
      <c r="S7983">
        <v>32</v>
      </c>
    </row>
    <row r="7984" spans="1:19" x14ac:dyDescent="0.35">
      <c r="A7984">
        <v>6203</v>
      </c>
      <c r="B7984" t="s">
        <v>36160</v>
      </c>
      <c r="C7984" t="s">
        <v>42</v>
      </c>
      <c r="D7984" t="s">
        <v>36161</v>
      </c>
      <c r="E7984" t="e" cm="1">
        <f t="array" ref="E7984">- LEVOFLOXACIN HEMIHYDRATE</f>
        <v>#NAME?</v>
      </c>
      <c r="F7984" t="s">
        <v>36162</v>
      </c>
      <c r="G7984" t="s">
        <v>60</v>
      </c>
      <c r="H7984" t="s">
        <v>2643</v>
      </c>
      <c r="I7984" t="s">
        <v>36163</v>
      </c>
      <c r="J7984" t="s">
        <v>31845</v>
      </c>
      <c r="K7984" t="s">
        <v>36164</v>
      </c>
    </row>
    <row r="7985" spans="1:19" x14ac:dyDescent="0.35">
      <c r="A7985">
        <v>674</v>
      </c>
      <c r="B7985" t="s">
        <v>36165</v>
      </c>
      <c r="C7985" t="s">
        <v>20</v>
      </c>
      <c r="D7985" t="s">
        <v>36166</v>
      </c>
      <c r="E7985" t="s">
        <v>36167</v>
      </c>
      <c r="F7985" t="s">
        <v>36168</v>
      </c>
      <c r="G7985" t="s">
        <v>23559</v>
      </c>
      <c r="H7985" t="s">
        <v>22321</v>
      </c>
      <c r="I7985" t="s">
        <v>36169</v>
      </c>
      <c r="J7985" t="s">
        <v>36170</v>
      </c>
      <c r="M7985" t="s">
        <v>2115</v>
      </c>
      <c r="N7985" t="s">
        <v>36171</v>
      </c>
      <c r="O7985" t="s">
        <v>36172</v>
      </c>
      <c r="P7985" t="s">
        <v>36173</v>
      </c>
      <c r="Q7985" t="s">
        <v>36174</v>
      </c>
      <c r="R7985">
        <v>23</v>
      </c>
      <c r="S7985">
        <v>32</v>
      </c>
    </row>
    <row r="7986" spans="1:19" x14ac:dyDescent="0.35">
      <c r="A7986">
        <v>6736</v>
      </c>
      <c r="B7986" t="s">
        <v>36175</v>
      </c>
      <c r="C7986" t="s">
        <v>42</v>
      </c>
      <c r="D7986" t="s">
        <v>36176</v>
      </c>
      <c r="E7986" t="e" cm="1">
        <f t="array" ref="E7986">- CALCITRIOL</f>
        <v>#NAME?</v>
      </c>
      <c r="F7986" t="s">
        <v>36177</v>
      </c>
      <c r="G7986" t="s">
        <v>16590</v>
      </c>
      <c r="H7986" t="s">
        <v>36178</v>
      </c>
      <c r="I7986" t="s">
        <v>36179</v>
      </c>
      <c r="J7986" t="s">
        <v>107</v>
      </c>
      <c r="K7986" t="s">
        <v>36180</v>
      </c>
      <c r="L7986" t="s">
        <v>36181</v>
      </c>
    </row>
    <row r="7987" spans="1:19" x14ac:dyDescent="0.35">
      <c r="A7987">
        <v>10015</v>
      </c>
      <c r="B7987" t="s">
        <v>36182</v>
      </c>
      <c r="C7987" t="s">
        <v>42</v>
      </c>
      <c r="D7987" t="s">
        <v>36183</v>
      </c>
      <c r="E7987" t="e" cm="1">
        <f t="array" ref="E7987">- DABIGATRAN ETEXILATE MESILATE</f>
        <v>#NAME?</v>
      </c>
      <c r="F7987" s="1">
        <v>398700</v>
      </c>
      <c r="G7987" t="s">
        <v>36184</v>
      </c>
      <c r="H7987" t="s">
        <v>36185</v>
      </c>
    </row>
    <row r="7988" spans="1:19" x14ac:dyDescent="0.35">
      <c r="A7988">
        <v>2817</v>
      </c>
      <c r="B7988" t="s">
        <v>30371</v>
      </c>
      <c r="C7988" t="s">
        <v>42</v>
      </c>
      <c r="D7988" t="s">
        <v>36186</v>
      </c>
      <c r="E7988" t="e" cm="1">
        <f t="array" ref="E7988">- PARACETAMOL</f>
        <v>#NAME?</v>
      </c>
      <c r="F7988" t="s">
        <v>36187</v>
      </c>
      <c r="G7988" t="s">
        <v>6869</v>
      </c>
      <c r="H7988" t="s">
        <v>35852</v>
      </c>
      <c r="I7988" t="s">
        <v>32224</v>
      </c>
      <c r="J7988" t="s">
        <v>829</v>
      </c>
      <c r="K7988" t="s">
        <v>27987</v>
      </c>
      <c r="L7988" t="s">
        <v>30565</v>
      </c>
      <c r="M7988" t="s">
        <v>271</v>
      </c>
      <c r="N7988" t="s">
        <v>584</v>
      </c>
      <c r="O7988" t="s">
        <v>32225</v>
      </c>
      <c r="P7988" t="s">
        <v>30376</v>
      </c>
      <c r="Q7988" t="s">
        <v>36188</v>
      </c>
      <c r="R7988">
        <v>23</v>
      </c>
      <c r="S7988">
        <v>32</v>
      </c>
    </row>
    <row r="7989" spans="1:19" x14ac:dyDescent="0.35">
      <c r="A7989">
        <v>850</v>
      </c>
      <c r="B7989" t="s">
        <v>36189</v>
      </c>
      <c r="C7989" t="s">
        <v>42</v>
      </c>
      <c r="D7989" t="s">
        <v>36190</v>
      </c>
      <c r="E7989" t="e" cm="1">
        <f t="array" ref="E7989">- ACETYLCYSTEINE</f>
        <v>#NAME?</v>
      </c>
      <c r="F7989" t="s">
        <v>36191</v>
      </c>
      <c r="G7989" t="s">
        <v>36192</v>
      </c>
      <c r="H7989" t="s">
        <v>36193</v>
      </c>
      <c r="I7989" t="s">
        <v>36194</v>
      </c>
      <c r="J7989" t="s">
        <v>36195</v>
      </c>
      <c r="K7989" t="s">
        <v>17458</v>
      </c>
      <c r="L7989" t="s">
        <v>36196</v>
      </c>
      <c r="M7989" t="s">
        <v>46</v>
      </c>
      <c r="N7989" t="s">
        <v>9045</v>
      </c>
      <c r="O7989" t="s">
        <v>36197</v>
      </c>
      <c r="P7989" t="s">
        <v>36198</v>
      </c>
      <c r="Q7989" t="s">
        <v>36199</v>
      </c>
      <c r="R7989">
        <v>23</v>
      </c>
      <c r="S7989">
        <v>32</v>
      </c>
    </row>
    <row r="7990" spans="1:19" x14ac:dyDescent="0.35">
      <c r="A7990">
        <v>3329</v>
      </c>
      <c r="B7990" t="s">
        <v>29819</v>
      </c>
      <c r="C7990" t="s">
        <v>42</v>
      </c>
      <c r="D7990" t="s">
        <v>29820</v>
      </c>
      <c r="E7990" t="e" cm="1">
        <f t="array" ref="E7990">- MAGNESIUM HYDROXIDE. SIMETHICONE. DRIED ALUMINIUM HYDROXIDE GEL</f>
        <v>#NAME?</v>
      </c>
      <c r="F7990" t="s">
        <v>3042</v>
      </c>
      <c r="G7990" t="s">
        <v>29821</v>
      </c>
      <c r="H7990" t="s">
        <v>29822</v>
      </c>
      <c r="I7990" t="s">
        <v>29823</v>
      </c>
      <c r="J7990" t="s">
        <v>29824</v>
      </c>
      <c r="K7990" t="s">
        <v>11904</v>
      </c>
      <c r="L7990" t="s">
        <v>29825</v>
      </c>
      <c r="M7990" t="s">
        <v>46</v>
      </c>
      <c r="N7990" t="s">
        <v>10430</v>
      </c>
      <c r="O7990" t="s">
        <v>29826</v>
      </c>
      <c r="P7990" t="s">
        <v>29827</v>
      </c>
      <c r="Q7990" t="s">
        <v>36200</v>
      </c>
      <c r="R7990">
        <v>23</v>
      </c>
      <c r="S7990">
        <v>32</v>
      </c>
    </row>
    <row r="7991" spans="1:19" x14ac:dyDescent="0.35">
      <c r="A7991">
        <v>3556</v>
      </c>
      <c r="B7991" t="s">
        <v>36201</v>
      </c>
      <c r="C7991" t="s">
        <v>42</v>
      </c>
      <c r="D7991" t="s">
        <v>36202</v>
      </c>
      <c r="E7991" t="e" cm="1">
        <f t="array" ref="E7991">- DOMPERIDONE</f>
        <v>#NAME?</v>
      </c>
      <c r="F7991" t="s">
        <v>36203</v>
      </c>
      <c r="G7991" t="s">
        <v>8205</v>
      </c>
      <c r="H7991" t="s">
        <v>1589</v>
      </c>
      <c r="I7991" t="s">
        <v>36204</v>
      </c>
      <c r="J7991" t="s">
        <v>599</v>
      </c>
      <c r="K7991" t="s">
        <v>36205</v>
      </c>
      <c r="L7991" t="s">
        <v>36206</v>
      </c>
      <c r="M7991" t="s">
        <v>46</v>
      </c>
      <c r="N7991" t="s">
        <v>341</v>
      </c>
      <c r="O7991" t="s">
        <v>36207</v>
      </c>
      <c r="P7991" t="s">
        <v>36208</v>
      </c>
      <c r="Q7991" t="s">
        <v>36209</v>
      </c>
      <c r="R7991">
        <v>23</v>
      </c>
      <c r="S7991">
        <v>32</v>
      </c>
    </row>
    <row r="7992" spans="1:19" x14ac:dyDescent="0.35">
      <c r="A7992">
        <v>3555</v>
      </c>
      <c r="B7992" t="s">
        <v>36201</v>
      </c>
      <c r="C7992" t="s">
        <v>42</v>
      </c>
      <c r="D7992" t="s">
        <v>36202</v>
      </c>
      <c r="E7992" t="e" cm="1">
        <f t="array" ref="E7992">- DOMPERIDONE</f>
        <v>#NAME?</v>
      </c>
      <c r="F7992" t="s">
        <v>36203</v>
      </c>
      <c r="G7992" t="s">
        <v>8205</v>
      </c>
      <c r="H7992" t="s">
        <v>1589</v>
      </c>
      <c r="I7992" t="s">
        <v>36204</v>
      </c>
      <c r="J7992" t="s">
        <v>599</v>
      </c>
      <c r="K7992" t="s">
        <v>36205</v>
      </c>
      <c r="L7992" t="s">
        <v>36206</v>
      </c>
      <c r="M7992" t="s">
        <v>46</v>
      </c>
      <c r="N7992" t="s">
        <v>341</v>
      </c>
      <c r="O7992" t="s">
        <v>36207</v>
      </c>
      <c r="P7992" t="s">
        <v>36208</v>
      </c>
      <c r="Q7992" t="s">
        <v>36209</v>
      </c>
      <c r="R7992">
        <v>23</v>
      </c>
      <c r="S7992">
        <v>32</v>
      </c>
    </row>
    <row r="7993" spans="1:19" x14ac:dyDescent="0.35">
      <c r="A7993">
        <v>7587</v>
      </c>
      <c r="B7993" t="s">
        <v>36134</v>
      </c>
      <c r="C7993" t="s">
        <v>20</v>
      </c>
      <c r="D7993" t="s">
        <v>36210</v>
      </c>
      <c r="E7993" t="s">
        <v>36136</v>
      </c>
      <c r="F7993" t="s">
        <v>36211</v>
      </c>
      <c r="G7993" t="s">
        <v>2241</v>
      </c>
      <c r="H7993" t="s">
        <v>36138</v>
      </c>
      <c r="I7993" t="s">
        <v>35420</v>
      </c>
      <c r="J7993" t="s">
        <v>334</v>
      </c>
      <c r="K7993" t="s">
        <v>36139</v>
      </c>
      <c r="L7993" t="s">
        <v>36140</v>
      </c>
      <c r="M7993" t="s">
        <v>271</v>
      </c>
      <c r="N7993" t="s">
        <v>36141</v>
      </c>
      <c r="O7993" t="s">
        <v>35423</v>
      </c>
      <c r="P7993" t="s">
        <v>36141</v>
      </c>
      <c r="Q7993" t="s">
        <v>36142</v>
      </c>
      <c r="R7993">
        <v>23</v>
      </c>
      <c r="S7993">
        <v>32</v>
      </c>
    </row>
    <row r="7994" spans="1:19" x14ac:dyDescent="0.35">
      <c r="A7994">
        <v>5437</v>
      </c>
      <c r="B7994" t="s">
        <v>34484</v>
      </c>
      <c r="C7994" t="s">
        <v>42</v>
      </c>
      <c r="D7994" t="s">
        <v>34485</v>
      </c>
      <c r="E7994" t="e" cm="1">
        <f t="array" ref="E7994">- GENTAMICIN SULFATE. FLUOCINOLONE ACETONIDE</f>
        <v>#NAME?</v>
      </c>
      <c r="F7994" t="s">
        <v>34486</v>
      </c>
      <c r="G7994" t="s">
        <v>18098</v>
      </c>
      <c r="H7994" t="s">
        <v>11913</v>
      </c>
      <c r="I7994" t="s">
        <v>34487</v>
      </c>
      <c r="J7994" t="s">
        <v>27879</v>
      </c>
      <c r="K7994" t="s">
        <v>34488</v>
      </c>
      <c r="L7994" t="s">
        <v>34489</v>
      </c>
      <c r="M7994" t="s">
        <v>1289</v>
      </c>
      <c r="N7994" t="s">
        <v>36212</v>
      </c>
      <c r="O7994" t="s">
        <v>34490</v>
      </c>
      <c r="P7994" t="s">
        <v>34491</v>
      </c>
      <c r="Q7994" t="s">
        <v>36213</v>
      </c>
      <c r="R7994">
        <v>23</v>
      </c>
      <c r="S7994">
        <v>32</v>
      </c>
    </row>
    <row r="7995" spans="1:19" x14ac:dyDescent="0.35">
      <c r="A7995">
        <v>566</v>
      </c>
      <c r="B7995" t="s">
        <v>36214</v>
      </c>
      <c r="C7995" t="s">
        <v>42</v>
      </c>
      <c r="D7995" t="s">
        <v>36215</v>
      </c>
      <c r="E7995" t="e" cm="1">
        <f t="array" ref="E7995">- SALBUTAMOL SULFATE</f>
        <v>#NAME?</v>
      </c>
      <c r="F7995" t="s">
        <v>36216</v>
      </c>
      <c r="G7995" t="s">
        <v>36217</v>
      </c>
      <c r="H7995" t="s">
        <v>36218</v>
      </c>
      <c r="I7995" t="s">
        <v>36219</v>
      </c>
    </row>
    <row r="7996" spans="1:19" x14ac:dyDescent="0.35">
      <c r="A7996">
        <v>673</v>
      </c>
      <c r="B7996" t="s">
        <v>36165</v>
      </c>
      <c r="C7996" t="s">
        <v>20</v>
      </c>
      <c r="D7996" t="s">
        <v>36220</v>
      </c>
      <c r="E7996" t="s">
        <v>36167</v>
      </c>
      <c r="F7996" s="1">
        <v>41700</v>
      </c>
      <c r="G7996" t="s">
        <v>23559</v>
      </c>
      <c r="H7996" t="s">
        <v>22321</v>
      </c>
      <c r="I7996" t="s">
        <v>36169</v>
      </c>
      <c r="J7996" t="s">
        <v>36221</v>
      </c>
      <c r="M7996" t="s">
        <v>2115</v>
      </c>
      <c r="N7996" t="s">
        <v>36171</v>
      </c>
      <c r="O7996" t="s">
        <v>36172</v>
      </c>
      <c r="P7996" t="s">
        <v>36173</v>
      </c>
      <c r="Q7996" t="s">
        <v>36174</v>
      </c>
      <c r="R7996">
        <v>23</v>
      </c>
      <c r="S7996">
        <v>32</v>
      </c>
    </row>
    <row r="7997" spans="1:19" x14ac:dyDescent="0.35">
      <c r="A7997">
        <v>6870</v>
      </c>
      <c r="B7997" t="s">
        <v>35764</v>
      </c>
      <c r="C7997" t="s">
        <v>850</v>
      </c>
      <c r="D7997" t="s">
        <v>36222</v>
      </c>
      <c r="E7997" t="e" cm="1">
        <f t="array" ref="E7997">- DL-Camphor</f>
        <v>#NAME?</v>
      </c>
      <c r="F7997" s="1">
        <v>14200</v>
      </c>
      <c r="G7997" t="s">
        <v>35767</v>
      </c>
      <c r="H7997" t="s">
        <v>36223</v>
      </c>
      <c r="I7997" t="s">
        <v>35769</v>
      </c>
      <c r="J7997" t="s">
        <v>36224</v>
      </c>
      <c r="L7997" t="s">
        <v>36225</v>
      </c>
      <c r="N7997" t="s">
        <v>33298</v>
      </c>
      <c r="O7997" t="s">
        <v>35772</v>
      </c>
      <c r="P7997" t="s">
        <v>35773</v>
      </c>
      <c r="Q7997" t="s">
        <v>35774</v>
      </c>
      <c r="R7997">
        <v>23</v>
      </c>
      <c r="S7997">
        <v>32</v>
      </c>
    </row>
    <row r="7998" spans="1:19" x14ac:dyDescent="0.35">
      <c r="A7998">
        <v>2809</v>
      </c>
      <c r="B7998" t="s">
        <v>36226</v>
      </c>
      <c r="C7998" t="s">
        <v>42</v>
      </c>
      <c r="D7998" t="s">
        <v>36227</v>
      </c>
      <c r="E7998" t="e" cm="1">
        <f t="array" ref="E7998">- PARACETAMOL</f>
        <v>#NAME?</v>
      </c>
      <c r="F7998" t="s">
        <v>36228</v>
      </c>
      <c r="G7998" t="s">
        <v>6869</v>
      </c>
      <c r="H7998" t="s">
        <v>35852</v>
      </c>
      <c r="I7998" t="s">
        <v>32224</v>
      </c>
      <c r="J7998" t="s">
        <v>334</v>
      </c>
      <c r="K7998" t="s">
        <v>27987</v>
      </c>
      <c r="L7998" t="s">
        <v>34731</v>
      </c>
      <c r="M7998" t="s">
        <v>271</v>
      </c>
      <c r="N7998" t="s">
        <v>584</v>
      </c>
      <c r="O7998" t="s">
        <v>32225</v>
      </c>
      <c r="P7998" t="s">
        <v>36229</v>
      </c>
      <c r="Q7998" t="s">
        <v>36230</v>
      </c>
      <c r="R7998">
        <v>23</v>
      </c>
      <c r="S7998">
        <v>32</v>
      </c>
    </row>
    <row r="7999" spans="1:19" x14ac:dyDescent="0.35">
      <c r="A7999">
        <v>2810</v>
      </c>
      <c r="B7999" t="s">
        <v>36226</v>
      </c>
      <c r="C7999" t="s">
        <v>42</v>
      </c>
      <c r="D7999" t="s">
        <v>36227</v>
      </c>
      <c r="E7999" t="e" cm="1">
        <f t="array" ref="E7999">- PARACETAMOL</f>
        <v>#NAME?</v>
      </c>
      <c r="F7999" t="s">
        <v>36228</v>
      </c>
      <c r="G7999" t="s">
        <v>6869</v>
      </c>
      <c r="H7999" t="s">
        <v>35852</v>
      </c>
      <c r="I7999" t="s">
        <v>32224</v>
      </c>
      <c r="J7999" t="s">
        <v>334</v>
      </c>
      <c r="K7999" t="s">
        <v>27987</v>
      </c>
      <c r="L7999" t="s">
        <v>34731</v>
      </c>
      <c r="M7999" t="s">
        <v>271</v>
      </c>
      <c r="N7999" t="s">
        <v>584</v>
      </c>
      <c r="O7999" t="s">
        <v>32225</v>
      </c>
      <c r="P7999" t="s">
        <v>36229</v>
      </c>
      <c r="Q7999" t="s">
        <v>36230</v>
      </c>
      <c r="R7999">
        <v>23</v>
      </c>
      <c r="S7999">
        <v>32</v>
      </c>
    </row>
    <row r="8000" spans="1:19" x14ac:dyDescent="0.35">
      <c r="A8000">
        <v>6869</v>
      </c>
      <c r="B8000" t="s">
        <v>35764</v>
      </c>
      <c r="C8000" t="s">
        <v>850</v>
      </c>
      <c r="D8000" t="s">
        <v>36222</v>
      </c>
      <c r="E8000" t="e" cm="1">
        <f t="array" ref="E8000">- DL-Camphor</f>
        <v>#NAME?</v>
      </c>
      <c r="F8000" s="1">
        <v>14200</v>
      </c>
      <c r="G8000" t="s">
        <v>35767</v>
      </c>
      <c r="H8000" t="s">
        <v>36223</v>
      </c>
      <c r="I8000" t="s">
        <v>35769</v>
      </c>
      <c r="J8000" t="s">
        <v>36224</v>
      </c>
      <c r="L8000" t="s">
        <v>36225</v>
      </c>
      <c r="N8000" t="s">
        <v>33298</v>
      </c>
      <c r="O8000" t="s">
        <v>35772</v>
      </c>
      <c r="P8000" t="s">
        <v>35773</v>
      </c>
      <c r="Q8000" t="s">
        <v>35774</v>
      </c>
      <c r="R8000">
        <v>23</v>
      </c>
      <c r="S8000">
        <v>32</v>
      </c>
    </row>
    <row r="8001" spans="1:19" x14ac:dyDescent="0.35">
      <c r="A8001">
        <v>10017</v>
      </c>
      <c r="B8001" t="s">
        <v>36231</v>
      </c>
      <c r="C8001" t="s">
        <v>42</v>
      </c>
      <c r="D8001" t="s">
        <v>36232</v>
      </c>
      <c r="E8001" t="e" cm="1">
        <f t="array" ref="E8001">- DABIGATRAN ETEXILATE MESILATE</f>
        <v>#NAME?</v>
      </c>
      <c r="F8001" t="s">
        <v>36233</v>
      </c>
      <c r="G8001" t="s">
        <v>36184</v>
      </c>
      <c r="H8001" t="s">
        <v>36185</v>
      </c>
    </row>
    <row r="8002" spans="1:19" x14ac:dyDescent="0.35">
      <c r="A8002">
        <v>2811</v>
      </c>
      <c r="B8002" t="s">
        <v>36226</v>
      </c>
      <c r="C8002" t="s">
        <v>42</v>
      </c>
      <c r="D8002" t="s">
        <v>36227</v>
      </c>
      <c r="E8002" t="e" cm="1">
        <f t="array" ref="E8002">- PARACETAMOL</f>
        <v>#NAME?</v>
      </c>
      <c r="F8002" t="s">
        <v>36228</v>
      </c>
      <c r="G8002" t="s">
        <v>6869</v>
      </c>
      <c r="H8002" t="s">
        <v>35852</v>
      </c>
      <c r="I8002" t="s">
        <v>32224</v>
      </c>
      <c r="J8002" t="s">
        <v>334</v>
      </c>
      <c r="K8002" t="s">
        <v>27987</v>
      </c>
      <c r="L8002" t="s">
        <v>34731</v>
      </c>
      <c r="M8002" t="s">
        <v>271</v>
      </c>
      <c r="N8002" t="s">
        <v>584</v>
      </c>
      <c r="O8002" t="s">
        <v>32225</v>
      </c>
      <c r="P8002" t="s">
        <v>36229</v>
      </c>
      <c r="Q8002" t="s">
        <v>36230</v>
      </c>
      <c r="R8002">
        <v>23</v>
      </c>
      <c r="S8002">
        <v>32</v>
      </c>
    </row>
    <row r="8003" spans="1:19" x14ac:dyDescent="0.35">
      <c r="A8003">
        <v>9606</v>
      </c>
      <c r="B8003" t="s">
        <v>6301</v>
      </c>
      <c r="C8003" t="s">
        <v>42</v>
      </c>
      <c r="D8003" t="s">
        <v>36234</v>
      </c>
      <c r="E8003" t="s">
        <v>6303</v>
      </c>
      <c r="F8003" t="s">
        <v>36235</v>
      </c>
      <c r="G8003" t="s">
        <v>31602</v>
      </c>
      <c r="H8003" t="s">
        <v>1322</v>
      </c>
      <c r="I8003" t="s">
        <v>36076</v>
      </c>
      <c r="J8003" t="s">
        <v>36236</v>
      </c>
      <c r="K8003" t="s">
        <v>31604</v>
      </c>
      <c r="L8003" t="s">
        <v>36077</v>
      </c>
      <c r="M8003" t="s">
        <v>46</v>
      </c>
      <c r="N8003" t="s">
        <v>6304</v>
      </c>
      <c r="O8003" t="s">
        <v>36078</v>
      </c>
      <c r="P8003" t="s">
        <v>36079</v>
      </c>
      <c r="Q8003" t="s">
        <v>36080</v>
      </c>
      <c r="R8003">
        <v>23</v>
      </c>
      <c r="S8003">
        <v>32</v>
      </c>
    </row>
    <row r="8004" spans="1:19" x14ac:dyDescent="0.35">
      <c r="A8004">
        <v>3332</v>
      </c>
      <c r="B8004" t="s">
        <v>29810</v>
      </c>
      <c r="C8004" t="s">
        <v>42</v>
      </c>
      <c r="D8004" t="s">
        <v>29811</v>
      </c>
      <c r="E8004" t="e" cm="1">
        <f t="array" ref="E8004">- DRIED ALUMINIUM HYDROXIDE GEL. MAGNESIUM HYDROXIDE. SIMETHICONE</f>
        <v>#NAME?</v>
      </c>
      <c r="F8004" t="s">
        <v>29812</v>
      </c>
      <c r="G8004" t="s">
        <v>29813</v>
      </c>
      <c r="H8004" t="s">
        <v>29814</v>
      </c>
      <c r="I8004" t="s">
        <v>29796</v>
      </c>
      <c r="J8004" t="s">
        <v>29815</v>
      </c>
      <c r="K8004" t="s">
        <v>29797</v>
      </c>
      <c r="L8004" t="s">
        <v>29816</v>
      </c>
      <c r="M8004" t="s">
        <v>340</v>
      </c>
      <c r="N8004" t="s">
        <v>14839</v>
      </c>
      <c r="O8004" t="s">
        <v>29798</v>
      </c>
      <c r="P8004" t="s">
        <v>29817</v>
      </c>
      <c r="Q8004" t="s">
        <v>36237</v>
      </c>
      <c r="R8004">
        <v>23</v>
      </c>
      <c r="S8004">
        <v>32</v>
      </c>
    </row>
    <row r="8005" spans="1:19" x14ac:dyDescent="0.35">
      <c r="A8005">
        <v>7173</v>
      </c>
      <c r="B8005" t="s">
        <v>36122</v>
      </c>
      <c r="C8005" t="s">
        <v>20</v>
      </c>
      <c r="D8005" t="s">
        <v>36123</v>
      </c>
      <c r="E8005" t="s">
        <v>36124</v>
      </c>
      <c r="F8005" t="s">
        <v>36125</v>
      </c>
      <c r="G8005" t="s">
        <v>36126</v>
      </c>
      <c r="H8005" t="s">
        <v>36127</v>
      </c>
      <c r="I8005" t="s">
        <v>36128</v>
      </c>
      <c r="J8005" t="s">
        <v>374</v>
      </c>
      <c r="L8005" t="s">
        <v>31318</v>
      </c>
      <c r="M8005" t="s">
        <v>2115</v>
      </c>
      <c r="N8005" t="s">
        <v>36129</v>
      </c>
      <c r="O8005" t="s">
        <v>36130</v>
      </c>
      <c r="P8005" t="s">
        <v>36131</v>
      </c>
      <c r="Q8005" t="s">
        <v>36132</v>
      </c>
      <c r="R8005">
        <v>23</v>
      </c>
      <c r="S8005">
        <v>32</v>
      </c>
    </row>
    <row r="8006" spans="1:19" x14ac:dyDescent="0.35">
      <c r="A8006">
        <v>520</v>
      </c>
      <c r="B8006" t="s">
        <v>36238</v>
      </c>
      <c r="C8006" t="s">
        <v>42</v>
      </c>
      <c r="D8006" t="s">
        <v>36239</v>
      </c>
      <c r="E8006" t="e" cm="1">
        <f t="array" ref="E8006">- KOMBINASI-BACTERIAL LYSATES</f>
        <v>#NAME?</v>
      </c>
      <c r="F8006" t="s">
        <v>36240</v>
      </c>
      <c r="H8006" t="s">
        <v>36241</v>
      </c>
      <c r="I8006" t="s">
        <v>36242</v>
      </c>
      <c r="J8006" t="s">
        <v>36243</v>
      </c>
      <c r="K8006" t="s">
        <v>3952</v>
      </c>
      <c r="L8006" t="s">
        <v>36244</v>
      </c>
      <c r="M8006" t="s">
        <v>38</v>
      </c>
      <c r="N8006" t="s">
        <v>36245</v>
      </c>
      <c r="O8006" t="s">
        <v>36246</v>
      </c>
      <c r="P8006" t="s">
        <v>36247</v>
      </c>
      <c r="Q8006" t="s">
        <v>36248</v>
      </c>
      <c r="R8006">
        <v>23</v>
      </c>
      <c r="S8006">
        <v>32</v>
      </c>
    </row>
    <row r="8007" spans="1:19" x14ac:dyDescent="0.35">
      <c r="A8007">
        <v>5770</v>
      </c>
      <c r="B8007" t="s">
        <v>36249</v>
      </c>
      <c r="C8007" t="s">
        <v>42</v>
      </c>
      <c r="D8007" t="s">
        <v>36250</v>
      </c>
      <c r="E8007" t="e" cm="1">
        <f t="array" ref="E8007">- THIAMPHENICOL</f>
        <v>#NAME?</v>
      </c>
      <c r="F8007" t="s">
        <v>36251</v>
      </c>
      <c r="G8007" t="s">
        <v>539</v>
      </c>
      <c r="H8007" t="s">
        <v>36252</v>
      </c>
      <c r="I8007" t="s">
        <v>36253</v>
      </c>
      <c r="J8007" t="s">
        <v>727</v>
      </c>
      <c r="K8007" t="s">
        <v>36254</v>
      </c>
      <c r="L8007" t="s">
        <v>36255</v>
      </c>
      <c r="M8007" t="s">
        <v>291</v>
      </c>
      <c r="N8007" t="s">
        <v>272</v>
      </c>
      <c r="O8007" t="s">
        <v>36256</v>
      </c>
      <c r="P8007" t="s">
        <v>36257</v>
      </c>
      <c r="Q8007" t="s">
        <v>36258</v>
      </c>
      <c r="R8007">
        <v>23</v>
      </c>
      <c r="S8007">
        <v>32</v>
      </c>
    </row>
    <row r="8008" spans="1:19" x14ac:dyDescent="0.35">
      <c r="A8008">
        <v>705</v>
      </c>
      <c r="B8008" t="s">
        <v>33583</v>
      </c>
      <c r="C8008" t="s">
        <v>20</v>
      </c>
      <c r="D8008" t="s">
        <v>36259</v>
      </c>
      <c r="E8008" t="s">
        <v>33585</v>
      </c>
      <c r="F8008" t="s">
        <v>36260</v>
      </c>
      <c r="G8008" t="s">
        <v>16967</v>
      </c>
      <c r="H8008" t="s">
        <v>16968</v>
      </c>
      <c r="I8008" t="s">
        <v>36261</v>
      </c>
      <c r="J8008" t="s">
        <v>36262</v>
      </c>
      <c r="L8008" t="s">
        <v>36263</v>
      </c>
      <c r="M8008" t="s">
        <v>2115</v>
      </c>
      <c r="N8008" t="s">
        <v>33588</v>
      </c>
      <c r="O8008" t="s">
        <v>36264</v>
      </c>
      <c r="P8008" t="s">
        <v>33590</v>
      </c>
      <c r="Q8008" t="s">
        <v>36265</v>
      </c>
      <c r="R8008">
        <v>23</v>
      </c>
      <c r="S8008">
        <v>32</v>
      </c>
    </row>
    <row r="8009" spans="1:19" x14ac:dyDescent="0.35">
      <c r="A8009">
        <v>8839</v>
      </c>
      <c r="B8009" t="s">
        <v>36266</v>
      </c>
      <c r="C8009" t="s">
        <v>42</v>
      </c>
      <c r="D8009" t="s">
        <v>36267</v>
      </c>
      <c r="E8009" t="e" cm="1">
        <f t="array" ref="E8009">- GLIMEPIRIDE</f>
        <v>#NAME?</v>
      </c>
      <c r="F8009" t="s">
        <v>36268</v>
      </c>
      <c r="G8009" t="s">
        <v>35580</v>
      </c>
      <c r="H8009" t="s">
        <v>34923</v>
      </c>
      <c r="I8009" t="s">
        <v>34924</v>
      </c>
      <c r="J8009" t="s">
        <v>6487</v>
      </c>
      <c r="K8009" t="s">
        <v>34925</v>
      </c>
      <c r="L8009" t="s">
        <v>34926</v>
      </c>
      <c r="M8009" t="s">
        <v>46</v>
      </c>
      <c r="N8009" t="s">
        <v>34927</v>
      </c>
      <c r="O8009" t="s">
        <v>34928</v>
      </c>
      <c r="P8009" t="s">
        <v>36269</v>
      </c>
      <c r="Q8009" t="s">
        <v>36270</v>
      </c>
      <c r="R8009">
        <v>23</v>
      </c>
      <c r="S8009">
        <v>32</v>
      </c>
    </row>
    <row r="8010" spans="1:19" x14ac:dyDescent="0.35">
      <c r="A8010">
        <v>631</v>
      </c>
      <c r="B8010" t="s">
        <v>23289</v>
      </c>
      <c r="C8010" t="s">
        <v>42</v>
      </c>
      <c r="D8010" t="s">
        <v>36090</v>
      </c>
      <c r="E8010" t="e" cm="1">
        <f t="array" ref="E8010">- OXYGEN</f>
        <v>#NAME?</v>
      </c>
      <c r="F8010" t="s">
        <v>36271</v>
      </c>
      <c r="H8010" t="s">
        <v>9172</v>
      </c>
      <c r="I8010" t="s">
        <v>36091</v>
      </c>
      <c r="J8010" t="s">
        <v>36092</v>
      </c>
      <c r="M8010" t="s">
        <v>23298</v>
      </c>
      <c r="N8010" t="s">
        <v>23299</v>
      </c>
      <c r="O8010" t="s">
        <v>36093</v>
      </c>
      <c r="P8010" t="s">
        <v>36094</v>
      </c>
      <c r="Q8010" t="s">
        <v>36095</v>
      </c>
      <c r="R8010">
        <v>23</v>
      </c>
      <c r="S8010">
        <v>32</v>
      </c>
    </row>
    <row r="8011" spans="1:19" x14ac:dyDescent="0.35">
      <c r="A8011">
        <v>8838</v>
      </c>
      <c r="B8011" t="s">
        <v>36266</v>
      </c>
      <c r="C8011" t="s">
        <v>42</v>
      </c>
      <c r="D8011" t="s">
        <v>36267</v>
      </c>
      <c r="E8011" t="e" cm="1">
        <f t="array" ref="E8011">- GLIMEPIRIDE</f>
        <v>#NAME?</v>
      </c>
      <c r="F8011" t="s">
        <v>36268</v>
      </c>
      <c r="G8011" t="s">
        <v>35580</v>
      </c>
      <c r="H8011" t="s">
        <v>34923</v>
      </c>
      <c r="I8011" t="s">
        <v>34924</v>
      </c>
      <c r="J8011" t="s">
        <v>6487</v>
      </c>
      <c r="K8011" t="s">
        <v>34925</v>
      </c>
      <c r="L8011" t="s">
        <v>34926</v>
      </c>
      <c r="M8011" t="s">
        <v>291</v>
      </c>
      <c r="N8011" t="s">
        <v>34927</v>
      </c>
      <c r="O8011" t="s">
        <v>34928</v>
      </c>
      <c r="P8011" t="s">
        <v>36269</v>
      </c>
      <c r="Q8011" t="s">
        <v>36272</v>
      </c>
      <c r="R8011">
        <v>23</v>
      </c>
      <c r="S8011">
        <v>32</v>
      </c>
    </row>
    <row r="8012" spans="1:19" x14ac:dyDescent="0.35">
      <c r="A8012">
        <v>10016</v>
      </c>
      <c r="B8012" t="s">
        <v>36231</v>
      </c>
      <c r="C8012" t="s">
        <v>42</v>
      </c>
      <c r="D8012" t="s">
        <v>36232</v>
      </c>
      <c r="E8012" t="e" cm="1">
        <f t="array" ref="E8012">- DABIGATRAN ETEXILATE MESILATE</f>
        <v>#NAME?</v>
      </c>
      <c r="F8012" t="s">
        <v>36233</v>
      </c>
      <c r="G8012" t="s">
        <v>36184</v>
      </c>
      <c r="H8012" t="s">
        <v>36185</v>
      </c>
    </row>
    <row r="8013" spans="1:19" x14ac:dyDescent="0.35">
      <c r="A8013">
        <v>8836</v>
      </c>
      <c r="B8013" t="s">
        <v>36273</v>
      </c>
      <c r="C8013" t="s">
        <v>42</v>
      </c>
      <c r="D8013" t="s">
        <v>36274</v>
      </c>
      <c r="E8013" t="e" cm="1">
        <f t="array" ref="E8013">- GLIMEPIRIDE</f>
        <v>#NAME?</v>
      </c>
      <c r="F8013" t="s">
        <v>36275</v>
      </c>
      <c r="G8013" t="s">
        <v>35580</v>
      </c>
      <c r="H8013" t="s">
        <v>34923</v>
      </c>
      <c r="I8013" t="s">
        <v>34924</v>
      </c>
      <c r="J8013" t="s">
        <v>599</v>
      </c>
      <c r="K8013" t="s">
        <v>34925</v>
      </c>
      <c r="L8013" t="s">
        <v>34926</v>
      </c>
      <c r="M8013" t="s">
        <v>46</v>
      </c>
      <c r="N8013" t="s">
        <v>34927</v>
      </c>
      <c r="O8013" t="s">
        <v>34928</v>
      </c>
      <c r="P8013" t="s">
        <v>36269</v>
      </c>
      <c r="Q8013" t="s">
        <v>36270</v>
      </c>
      <c r="R8013">
        <v>23</v>
      </c>
      <c r="S8013">
        <v>32</v>
      </c>
    </row>
    <row r="8014" spans="1:19" x14ac:dyDescent="0.35">
      <c r="A8014">
        <v>1424</v>
      </c>
      <c r="B8014" t="s">
        <v>36276</v>
      </c>
      <c r="C8014" t="s">
        <v>42</v>
      </c>
      <c r="D8014" t="s">
        <v>36277</v>
      </c>
      <c r="E8014" t="e" cm="1">
        <f t="array" ref="E8014">- ACETYL CYSTEINE</f>
        <v>#NAME?</v>
      </c>
      <c r="F8014" t="s">
        <v>36278</v>
      </c>
      <c r="G8014" t="s">
        <v>2241</v>
      </c>
      <c r="H8014" t="s">
        <v>35910</v>
      </c>
      <c r="I8014" t="s">
        <v>35911</v>
      </c>
      <c r="J8014" t="s">
        <v>8311</v>
      </c>
      <c r="K8014" t="s">
        <v>4677</v>
      </c>
      <c r="L8014" t="s">
        <v>35912</v>
      </c>
      <c r="M8014" t="s">
        <v>38</v>
      </c>
      <c r="N8014" t="s">
        <v>1309</v>
      </c>
      <c r="O8014" t="s">
        <v>35913</v>
      </c>
      <c r="P8014" t="s">
        <v>36279</v>
      </c>
      <c r="Q8014" t="s">
        <v>36280</v>
      </c>
      <c r="R8014">
        <v>23</v>
      </c>
      <c r="S8014">
        <v>32</v>
      </c>
    </row>
    <row r="8015" spans="1:19" x14ac:dyDescent="0.35">
      <c r="A8015">
        <v>8835</v>
      </c>
      <c r="B8015" t="s">
        <v>36273</v>
      </c>
      <c r="C8015" t="s">
        <v>42</v>
      </c>
      <c r="D8015" t="s">
        <v>36274</v>
      </c>
      <c r="E8015" t="e" cm="1">
        <f t="array" ref="E8015">- GLIMEPIRIDE</f>
        <v>#NAME?</v>
      </c>
      <c r="F8015" t="s">
        <v>36275</v>
      </c>
      <c r="G8015" t="s">
        <v>35580</v>
      </c>
      <c r="H8015" t="s">
        <v>34923</v>
      </c>
      <c r="I8015" t="s">
        <v>34924</v>
      </c>
      <c r="J8015" t="s">
        <v>599</v>
      </c>
      <c r="K8015" t="s">
        <v>34925</v>
      </c>
      <c r="L8015" t="s">
        <v>34926</v>
      </c>
      <c r="M8015" t="s">
        <v>291</v>
      </c>
      <c r="N8015" t="s">
        <v>34927</v>
      </c>
      <c r="O8015" t="s">
        <v>34928</v>
      </c>
      <c r="P8015" t="s">
        <v>36269</v>
      </c>
      <c r="Q8015" t="s">
        <v>36272</v>
      </c>
      <c r="R8015">
        <v>23</v>
      </c>
      <c r="S8015">
        <v>32</v>
      </c>
    </row>
    <row r="8016" spans="1:19" x14ac:dyDescent="0.35">
      <c r="A8016">
        <v>630</v>
      </c>
      <c r="B8016" t="s">
        <v>23289</v>
      </c>
      <c r="C8016" t="s">
        <v>42</v>
      </c>
      <c r="D8016" t="s">
        <v>36090</v>
      </c>
      <c r="E8016" t="e" cm="1">
        <f t="array" ref="E8016">- OXYGEN</f>
        <v>#NAME?</v>
      </c>
      <c r="F8016" t="s">
        <v>36271</v>
      </c>
      <c r="H8016" t="s">
        <v>9172</v>
      </c>
      <c r="I8016" t="s">
        <v>36091</v>
      </c>
      <c r="J8016" t="s">
        <v>36092</v>
      </c>
      <c r="M8016" t="s">
        <v>23298</v>
      </c>
      <c r="N8016" t="s">
        <v>23299</v>
      </c>
      <c r="O8016" t="s">
        <v>36093</v>
      </c>
      <c r="P8016" t="s">
        <v>36094</v>
      </c>
      <c r="Q8016" t="s">
        <v>36095</v>
      </c>
      <c r="R8016">
        <v>23</v>
      </c>
      <c r="S8016">
        <v>32</v>
      </c>
    </row>
    <row r="8017" spans="1:19" x14ac:dyDescent="0.35">
      <c r="A8017">
        <v>3347</v>
      </c>
      <c r="B8017" t="s">
        <v>36281</v>
      </c>
      <c r="C8017" t="s">
        <v>42</v>
      </c>
      <c r="D8017" t="s">
        <v>36282</v>
      </c>
      <c r="E8017" t="e" cm="1">
        <f t="array" ref="E8017">- DRIED ALUMINIUM HYDROXIDE GEL. MAGNESIUM HYDROXIDE. SIMETHICONE</f>
        <v>#NAME?</v>
      </c>
      <c r="F8017" t="s">
        <v>36283</v>
      </c>
      <c r="G8017" t="s">
        <v>29794</v>
      </c>
      <c r="H8017" t="s">
        <v>11901</v>
      </c>
      <c r="I8017" t="s">
        <v>29796</v>
      </c>
      <c r="J8017" t="s">
        <v>3926</v>
      </c>
      <c r="L8017" t="s">
        <v>11905</v>
      </c>
      <c r="M8017" t="s">
        <v>340</v>
      </c>
      <c r="N8017" t="s">
        <v>14839</v>
      </c>
      <c r="O8017" t="s">
        <v>29798</v>
      </c>
      <c r="P8017" t="s">
        <v>29799</v>
      </c>
      <c r="Q8017" t="s">
        <v>36284</v>
      </c>
      <c r="R8017">
        <v>23</v>
      </c>
      <c r="S8017">
        <v>32</v>
      </c>
    </row>
    <row r="8018" spans="1:19" x14ac:dyDescent="0.35">
      <c r="A8018">
        <v>4504</v>
      </c>
      <c r="B8018" t="s">
        <v>16309</v>
      </c>
      <c r="C8018" t="s">
        <v>42</v>
      </c>
      <c r="D8018" t="s">
        <v>34713</v>
      </c>
      <c r="E8018" t="s">
        <v>19288</v>
      </c>
      <c r="F8018" t="s">
        <v>34714</v>
      </c>
      <c r="G8018" t="s">
        <v>7569</v>
      </c>
      <c r="H8018" t="s">
        <v>34715</v>
      </c>
      <c r="I8018" t="s">
        <v>34716</v>
      </c>
      <c r="J8018" t="s">
        <v>34717</v>
      </c>
      <c r="K8018" t="s">
        <v>34718</v>
      </c>
      <c r="L8018" t="s">
        <v>34719</v>
      </c>
      <c r="M8018" t="s">
        <v>824</v>
      </c>
      <c r="N8018" t="s">
        <v>19289</v>
      </c>
      <c r="O8018" t="s">
        <v>34720</v>
      </c>
      <c r="P8018" t="s">
        <v>34721</v>
      </c>
      <c r="Q8018" t="s">
        <v>36285</v>
      </c>
      <c r="R8018">
        <v>23</v>
      </c>
      <c r="S8018">
        <v>32</v>
      </c>
    </row>
    <row r="8019" spans="1:19" x14ac:dyDescent="0.35">
      <c r="A8019">
        <v>625</v>
      </c>
      <c r="B8019" t="s">
        <v>23289</v>
      </c>
      <c r="C8019" t="s">
        <v>42</v>
      </c>
      <c r="D8019" t="s">
        <v>36090</v>
      </c>
      <c r="E8019" t="e" cm="1">
        <f t="array" ref="E8019">- OXYGEN</f>
        <v>#NAME?</v>
      </c>
      <c r="F8019" s="1">
        <v>154400</v>
      </c>
      <c r="H8019" t="s">
        <v>9172</v>
      </c>
      <c r="I8019" t="s">
        <v>36091</v>
      </c>
      <c r="J8019" t="s">
        <v>36092</v>
      </c>
      <c r="M8019" t="s">
        <v>23298</v>
      </c>
      <c r="N8019" t="s">
        <v>23299</v>
      </c>
      <c r="O8019" t="s">
        <v>36093</v>
      </c>
      <c r="P8019" t="s">
        <v>36094</v>
      </c>
      <c r="Q8019" t="s">
        <v>36095</v>
      </c>
      <c r="R8019">
        <v>23</v>
      </c>
      <c r="S8019">
        <v>32</v>
      </c>
    </row>
    <row r="8020" spans="1:19" x14ac:dyDescent="0.35">
      <c r="A8020">
        <v>4503</v>
      </c>
      <c r="B8020" t="s">
        <v>16309</v>
      </c>
      <c r="C8020" t="s">
        <v>42</v>
      </c>
      <c r="D8020" t="s">
        <v>34713</v>
      </c>
      <c r="E8020" t="s">
        <v>19288</v>
      </c>
      <c r="F8020" t="s">
        <v>34714</v>
      </c>
      <c r="G8020" t="s">
        <v>7569</v>
      </c>
      <c r="H8020" t="s">
        <v>34715</v>
      </c>
      <c r="I8020" t="s">
        <v>34716</v>
      </c>
      <c r="J8020" t="s">
        <v>34717</v>
      </c>
      <c r="K8020" t="s">
        <v>34718</v>
      </c>
      <c r="L8020" t="s">
        <v>34719</v>
      </c>
      <c r="M8020" t="s">
        <v>824</v>
      </c>
      <c r="N8020" t="s">
        <v>19289</v>
      </c>
      <c r="O8020" t="s">
        <v>34720</v>
      </c>
      <c r="P8020" t="s">
        <v>34721</v>
      </c>
      <c r="Q8020" t="s">
        <v>36285</v>
      </c>
      <c r="R8020">
        <v>23</v>
      </c>
      <c r="S8020">
        <v>32</v>
      </c>
    </row>
    <row r="8021" spans="1:19" x14ac:dyDescent="0.35">
      <c r="A8021">
        <v>4502</v>
      </c>
      <c r="B8021" t="s">
        <v>16309</v>
      </c>
      <c r="C8021" t="s">
        <v>42</v>
      </c>
      <c r="D8021" t="s">
        <v>34713</v>
      </c>
      <c r="E8021" t="s">
        <v>19288</v>
      </c>
      <c r="F8021" t="s">
        <v>34714</v>
      </c>
      <c r="G8021" t="s">
        <v>7569</v>
      </c>
      <c r="H8021" t="s">
        <v>34715</v>
      </c>
      <c r="I8021" t="s">
        <v>34716</v>
      </c>
      <c r="J8021" t="s">
        <v>34717</v>
      </c>
      <c r="K8021" t="s">
        <v>34718</v>
      </c>
      <c r="L8021" t="s">
        <v>34719</v>
      </c>
      <c r="M8021" t="s">
        <v>824</v>
      </c>
      <c r="N8021" t="s">
        <v>19289</v>
      </c>
      <c r="O8021" t="s">
        <v>34720</v>
      </c>
      <c r="P8021" t="s">
        <v>34721</v>
      </c>
      <c r="Q8021" t="s">
        <v>36285</v>
      </c>
      <c r="R8021">
        <v>23</v>
      </c>
      <c r="S8021">
        <v>32</v>
      </c>
    </row>
    <row r="8022" spans="1:19" x14ac:dyDescent="0.35">
      <c r="A8022">
        <v>4501</v>
      </c>
      <c r="B8022" t="s">
        <v>16309</v>
      </c>
      <c r="C8022" t="s">
        <v>42</v>
      </c>
      <c r="D8022" t="s">
        <v>34713</v>
      </c>
      <c r="E8022" t="s">
        <v>19288</v>
      </c>
      <c r="F8022" t="s">
        <v>34714</v>
      </c>
      <c r="G8022" t="s">
        <v>7569</v>
      </c>
      <c r="H8022" t="s">
        <v>34715</v>
      </c>
      <c r="I8022" t="s">
        <v>34716</v>
      </c>
      <c r="J8022" t="s">
        <v>34717</v>
      </c>
      <c r="K8022" t="s">
        <v>34718</v>
      </c>
      <c r="L8022" t="s">
        <v>34719</v>
      </c>
      <c r="M8022" t="s">
        <v>824</v>
      </c>
      <c r="N8022" t="s">
        <v>19289</v>
      </c>
      <c r="O8022" t="s">
        <v>34720</v>
      </c>
      <c r="P8022" t="s">
        <v>34721</v>
      </c>
      <c r="Q8022" t="s">
        <v>36285</v>
      </c>
      <c r="R8022">
        <v>23</v>
      </c>
      <c r="S8022">
        <v>32</v>
      </c>
    </row>
    <row r="8023" spans="1:19" x14ac:dyDescent="0.35">
      <c r="A8023">
        <v>4877</v>
      </c>
      <c r="B8023" t="s">
        <v>36286</v>
      </c>
      <c r="C8023" t="s">
        <v>42</v>
      </c>
      <c r="D8023" t="s">
        <v>36287</v>
      </c>
      <c r="E8023" t="e" cm="1">
        <f t="array" ref="E8023">- DEXAMETHASONE</f>
        <v>#NAME?</v>
      </c>
      <c r="F8023" t="s">
        <v>36288</v>
      </c>
      <c r="H8023" t="s">
        <v>36289</v>
      </c>
      <c r="I8023" t="s">
        <v>36290</v>
      </c>
      <c r="J8023" t="s">
        <v>36291</v>
      </c>
      <c r="L8023" t="s">
        <v>36292</v>
      </c>
      <c r="M8023" t="s">
        <v>824</v>
      </c>
      <c r="N8023" t="s">
        <v>3779</v>
      </c>
      <c r="O8023" t="s">
        <v>36293</v>
      </c>
      <c r="P8023" t="s">
        <v>36294</v>
      </c>
      <c r="Q8023" t="s">
        <v>36295</v>
      </c>
      <c r="R8023">
        <v>23</v>
      </c>
      <c r="S8023">
        <v>32</v>
      </c>
    </row>
    <row r="8024" spans="1:19" x14ac:dyDescent="0.35">
      <c r="A8024">
        <v>8834</v>
      </c>
      <c r="B8024" t="s">
        <v>36273</v>
      </c>
      <c r="C8024" t="s">
        <v>42</v>
      </c>
      <c r="D8024" t="s">
        <v>36274</v>
      </c>
      <c r="E8024" t="e" cm="1">
        <f t="array" ref="E8024">- GLIMEPIRIDE</f>
        <v>#NAME?</v>
      </c>
      <c r="F8024" t="s">
        <v>36275</v>
      </c>
      <c r="G8024" t="s">
        <v>35580</v>
      </c>
      <c r="H8024" t="s">
        <v>34923</v>
      </c>
      <c r="I8024" t="s">
        <v>34924</v>
      </c>
      <c r="J8024" t="s">
        <v>599</v>
      </c>
      <c r="K8024" t="s">
        <v>34925</v>
      </c>
      <c r="L8024" t="s">
        <v>34926</v>
      </c>
      <c r="M8024" t="s">
        <v>291</v>
      </c>
      <c r="N8024" t="s">
        <v>34927</v>
      </c>
      <c r="O8024" t="s">
        <v>34928</v>
      </c>
      <c r="P8024" t="s">
        <v>36269</v>
      </c>
      <c r="Q8024" t="s">
        <v>36272</v>
      </c>
      <c r="R8024">
        <v>23</v>
      </c>
      <c r="S8024">
        <v>32</v>
      </c>
    </row>
    <row r="8025" spans="1:19" x14ac:dyDescent="0.35">
      <c r="A8025">
        <v>8837</v>
      </c>
      <c r="B8025" t="s">
        <v>36266</v>
      </c>
      <c r="C8025" t="s">
        <v>42</v>
      </c>
      <c r="D8025" t="s">
        <v>36267</v>
      </c>
      <c r="E8025" t="e" cm="1">
        <f t="array" ref="E8025">- GLIMEPIRIDE</f>
        <v>#NAME?</v>
      </c>
      <c r="F8025" t="s">
        <v>36268</v>
      </c>
      <c r="G8025" t="s">
        <v>35580</v>
      </c>
      <c r="H8025" t="s">
        <v>34923</v>
      </c>
      <c r="I8025" t="s">
        <v>34924</v>
      </c>
      <c r="J8025" t="s">
        <v>6487</v>
      </c>
      <c r="K8025" t="s">
        <v>34925</v>
      </c>
      <c r="L8025" t="s">
        <v>34926</v>
      </c>
      <c r="M8025" t="s">
        <v>291</v>
      </c>
      <c r="N8025" t="s">
        <v>34927</v>
      </c>
      <c r="O8025" t="s">
        <v>34928</v>
      </c>
      <c r="P8025" t="s">
        <v>36269</v>
      </c>
      <c r="Q8025" t="s">
        <v>36272</v>
      </c>
      <c r="R8025">
        <v>23</v>
      </c>
      <c r="S8025">
        <v>32</v>
      </c>
    </row>
    <row r="8026" spans="1:19" x14ac:dyDescent="0.35">
      <c r="A8026">
        <v>2816</v>
      </c>
      <c r="B8026" t="s">
        <v>30371</v>
      </c>
      <c r="C8026" t="s">
        <v>42</v>
      </c>
      <c r="D8026" t="s">
        <v>36186</v>
      </c>
      <c r="E8026" t="e" cm="1">
        <f t="array" ref="E8026">- PARACETAMOL</f>
        <v>#NAME?</v>
      </c>
      <c r="F8026" t="s">
        <v>36187</v>
      </c>
      <c r="G8026" t="s">
        <v>6869</v>
      </c>
      <c r="H8026" t="s">
        <v>35852</v>
      </c>
      <c r="I8026" t="s">
        <v>32224</v>
      </c>
      <c r="J8026" t="s">
        <v>829</v>
      </c>
      <c r="K8026" t="s">
        <v>27987</v>
      </c>
      <c r="L8026" t="s">
        <v>30565</v>
      </c>
      <c r="M8026" t="s">
        <v>271</v>
      </c>
      <c r="N8026" t="s">
        <v>584</v>
      </c>
      <c r="O8026" t="s">
        <v>32225</v>
      </c>
      <c r="P8026" t="s">
        <v>30376</v>
      </c>
      <c r="Q8026" t="s">
        <v>36188</v>
      </c>
      <c r="R8026">
        <v>23</v>
      </c>
      <c r="S8026">
        <v>32</v>
      </c>
    </row>
    <row r="8027" spans="1:19" x14ac:dyDescent="0.35">
      <c r="A8027">
        <v>10014</v>
      </c>
      <c r="B8027" t="s">
        <v>36296</v>
      </c>
      <c r="C8027" t="s">
        <v>42</v>
      </c>
      <c r="D8027" t="s">
        <v>36297</v>
      </c>
      <c r="E8027" t="e" cm="1">
        <f t="array" ref="E8027">- DABIGATRAN ETEXILATE MESILATE</f>
        <v>#NAME?</v>
      </c>
      <c r="F8027" t="s">
        <v>36298</v>
      </c>
      <c r="G8027" t="s">
        <v>8512</v>
      </c>
      <c r="H8027" t="s">
        <v>36185</v>
      </c>
    </row>
    <row r="8028" spans="1:19" x14ac:dyDescent="0.35">
      <c r="A8028">
        <v>5376</v>
      </c>
      <c r="B8028" t="s">
        <v>36299</v>
      </c>
      <c r="C8028" t="s">
        <v>42</v>
      </c>
      <c r="D8028" t="s">
        <v>36300</v>
      </c>
      <c r="E8028" t="e" cm="1">
        <f t="array" ref="E8028">- NEOMYCIN SULFATE</f>
        <v>#NAME?</v>
      </c>
      <c r="F8028" t="s">
        <v>36301</v>
      </c>
      <c r="G8028" t="s">
        <v>15873</v>
      </c>
      <c r="H8028" t="s">
        <v>36302</v>
      </c>
      <c r="I8028" t="s">
        <v>36303</v>
      </c>
      <c r="J8028" t="s">
        <v>5386</v>
      </c>
      <c r="K8028" t="s">
        <v>2858</v>
      </c>
      <c r="L8028" t="s">
        <v>36304</v>
      </c>
      <c r="M8028" t="s">
        <v>87</v>
      </c>
      <c r="N8028" t="s">
        <v>13908</v>
      </c>
      <c r="O8028" t="s">
        <v>36305</v>
      </c>
      <c r="P8028" t="s">
        <v>36306</v>
      </c>
      <c r="Q8028" t="s">
        <v>36307</v>
      </c>
      <c r="R8028">
        <v>23</v>
      </c>
      <c r="S8028">
        <v>32</v>
      </c>
    </row>
    <row r="8029" spans="1:19" x14ac:dyDescent="0.35">
      <c r="A8029">
        <v>8759</v>
      </c>
      <c r="B8029" t="s">
        <v>36308</v>
      </c>
      <c r="C8029" t="s">
        <v>42</v>
      </c>
      <c r="D8029" t="s">
        <v>36309</v>
      </c>
      <c r="E8029" t="e" cm="1">
        <f t="array" ref="E8029">- GLIMEPIRIDE</f>
        <v>#NAME?</v>
      </c>
      <c r="F8029" t="s">
        <v>36310</v>
      </c>
      <c r="G8029" t="s">
        <v>35580</v>
      </c>
      <c r="H8029" t="s">
        <v>34923</v>
      </c>
      <c r="I8029" t="s">
        <v>34924</v>
      </c>
      <c r="J8029" t="s">
        <v>2478</v>
      </c>
      <c r="K8029" t="s">
        <v>34925</v>
      </c>
      <c r="L8029" t="s">
        <v>34926</v>
      </c>
      <c r="M8029" t="s">
        <v>46</v>
      </c>
      <c r="N8029" t="s">
        <v>34927</v>
      </c>
      <c r="O8029" t="s">
        <v>34928</v>
      </c>
      <c r="P8029" t="s">
        <v>36311</v>
      </c>
      <c r="Q8029" t="s">
        <v>36312</v>
      </c>
      <c r="R8029">
        <v>23</v>
      </c>
      <c r="S8029">
        <v>32</v>
      </c>
    </row>
    <row r="8030" spans="1:19" x14ac:dyDescent="0.35">
      <c r="A8030">
        <v>8758</v>
      </c>
      <c r="B8030" t="s">
        <v>36313</v>
      </c>
      <c r="C8030" t="s">
        <v>42</v>
      </c>
      <c r="D8030" t="s">
        <v>36314</v>
      </c>
      <c r="E8030" t="e" cm="1">
        <f t="array" ref="E8030">- GLIMEPIRIDE</f>
        <v>#NAME?</v>
      </c>
      <c r="F8030" t="s">
        <v>36315</v>
      </c>
      <c r="G8030" t="s">
        <v>35580</v>
      </c>
      <c r="H8030" t="s">
        <v>34923</v>
      </c>
      <c r="I8030" t="s">
        <v>34924</v>
      </c>
      <c r="J8030" t="s">
        <v>2478</v>
      </c>
      <c r="K8030" t="s">
        <v>34925</v>
      </c>
      <c r="L8030" t="s">
        <v>34926</v>
      </c>
      <c r="M8030" t="s">
        <v>46</v>
      </c>
      <c r="N8030" t="s">
        <v>34927</v>
      </c>
      <c r="O8030" t="s">
        <v>34928</v>
      </c>
      <c r="P8030" t="s">
        <v>36311</v>
      </c>
      <c r="Q8030" t="s">
        <v>36312</v>
      </c>
      <c r="R8030">
        <v>23</v>
      </c>
      <c r="S8030">
        <v>32</v>
      </c>
    </row>
    <row r="8031" spans="1:19" x14ac:dyDescent="0.35">
      <c r="A8031">
        <v>758</v>
      </c>
      <c r="B8031" t="s">
        <v>29002</v>
      </c>
      <c r="C8031" t="s">
        <v>42</v>
      </c>
      <c r="D8031" t="s">
        <v>29003</v>
      </c>
      <c r="E8031" t="e" cm="1">
        <f t="array" ref="E8031">- PARACETAMOL. PHENYLPROPANOLAMINE HYDROCHLORIDE. NOSCAPINE. CHLORPHENAMINE MALEATE. GUAIFENESIN</f>
        <v>#NAME?</v>
      </c>
      <c r="F8031" t="s">
        <v>29004</v>
      </c>
      <c r="G8031" t="s">
        <v>3774</v>
      </c>
      <c r="H8031" t="s">
        <v>29005</v>
      </c>
      <c r="I8031" t="s">
        <v>29006</v>
      </c>
      <c r="J8031" t="s">
        <v>29007</v>
      </c>
      <c r="K8031" t="s">
        <v>29008</v>
      </c>
      <c r="L8031" t="s">
        <v>29009</v>
      </c>
      <c r="M8031" t="s">
        <v>46</v>
      </c>
      <c r="N8031" t="s">
        <v>36316</v>
      </c>
      <c r="O8031" t="s">
        <v>29010</v>
      </c>
      <c r="P8031" t="s">
        <v>29011</v>
      </c>
      <c r="Q8031" t="s">
        <v>36317</v>
      </c>
      <c r="R8031">
        <v>23</v>
      </c>
      <c r="S8031">
        <v>32</v>
      </c>
    </row>
    <row r="8032" spans="1:19" x14ac:dyDescent="0.35">
      <c r="A8032">
        <v>676</v>
      </c>
      <c r="B8032" t="s">
        <v>36165</v>
      </c>
      <c r="C8032" t="s">
        <v>20</v>
      </c>
      <c r="D8032" t="s">
        <v>36318</v>
      </c>
      <c r="E8032" t="s">
        <v>36167</v>
      </c>
      <c r="F8032" t="s">
        <v>36319</v>
      </c>
      <c r="G8032" t="s">
        <v>23559</v>
      </c>
      <c r="H8032" t="s">
        <v>22321</v>
      </c>
      <c r="I8032" t="s">
        <v>36169</v>
      </c>
      <c r="J8032" t="s">
        <v>21307</v>
      </c>
      <c r="M8032" t="s">
        <v>2115</v>
      </c>
      <c r="N8032" t="s">
        <v>36171</v>
      </c>
      <c r="O8032" t="s">
        <v>36172</v>
      </c>
      <c r="P8032" t="s">
        <v>36173</v>
      </c>
      <c r="Q8032" t="s">
        <v>36174</v>
      </c>
      <c r="R8032">
        <v>23</v>
      </c>
      <c r="S8032">
        <v>32</v>
      </c>
    </row>
    <row r="8033" spans="1:19" x14ac:dyDescent="0.35">
      <c r="A8033">
        <v>5096</v>
      </c>
      <c r="B8033" t="s">
        <v>36320</v>
      </c>
      <c r="C8033" t="s">
        <v>42</v>
      </c>
      <c r="D8033" t="s">
        <v>36321</v>
      </c>
      <c r="E8033" t="e" cm="1">
        <f t="array" ref="E8033">- CLOBETASOL PROPIONATE</f>
        <v>#NAME?</v>
      </c>
      <c r="F8033" t="s">
        <v>36322</v>
      </c>
      <c r="G8033" t="s">
        <v>27005</v>
      </c>
      <c r="H8033" t="s">
        <v>15768</v>
      </c>
      <c r="I8033" t="s">
        <v>36156</v>
      </c>
      <c r="J8033" t="s">
        <v>2049</v>
      </c>
      <c r="K8033" t="s">
        <v>35644</v>
      </c>
      <c r="L8033" t="s">
        <v>36323</v>
      </c>
      <c r="M8033" t="s">
        <v>1289</v>
      </c>
      <c r="N8033" t="s">
        <v>3588</v>
      </c>
      <c r="O8033" t="s">
        <v>36157</v>
      </c>
      <c r="P8033" t="s">
        <v>36324</v>
      </c>
      <c r="Q8033" t="s">
        <v>36325</v>
      </c>
      <c r="R8033">
        <v>23</v>
      </c>
      <c r="S8033">
        <v>32</v>
      </c>
    </row>
    <row r="8034" spans="1:19" x14ac:dyDescent="0.35">
      <c r="A8034">
        <v>6002</v>
      </c>
      <c r="B8034" t="s">
        <v>36326</v>
      </c>
      <c r="C8034" t="s">
        <v>42</v>
      </c>
      <c r="D8034" t="s">
        <v>36327</v>
      </c>
      <c r="E8034" t="e" cm="1">
        <f t="array" ref="E8034">- THIAMPHENICOL</f>
        <v>#NAME?</v>
      </c>
      <c r="F8034" t="s">
        <v>36328</v>
      </c>
      <c r="G8034" t="s">
        <v>539</v>
      </c>
      <c r="H8034" t="s">
        <v>36329</v>
      </c>
      <c r="I8034" t="s">
        <v>36253</v>
      </c>
      <c r="J8034" t="s">
        <v>334</v>
      </c>
      <c r="K8034" t="s">
        <v>36330</v>
      </c>
      <c r="L8034" t="s">
        <v>36331</v>
      </c>
      <c r="M8034" t="s">
        <v>271</v>
      </c>
      <c r="N8034" t="s">
        <v>272</v>
      </c>
      <c r="O8034" t="s">
        <v>36256</v>
      </c>
      <c r="P8034" t="s">
        <v>36257</v>
      </c>
      <c r="Q8034" t="s">
        <v>36332</v>
      </c>
      <c r="R8034">
        <v>23</v>
      </c>
      <c r="S8034">
        <v>32</v>
      </c>
    </row>
    <row r="8035" spans="1:19" x14ac:dyDescent="0.35">
      <c r="A8035">
        <v>7667</v>
      </c>
      <c r="B8035" t="s">
        <v>35614</v>
      </c>
      <c r="C8035" t="s">
        <v>20</v>
      </c>
      <c r="D8035" t="s">
        <v>35615</v>
      </c>
      <c r="E8035" t="s">
        <v>36333</v>
      </c>
      <c r="F8035" s="1">
        <v>4600</v>
      </c>
      <c r="G8035" t="s">
        <v>32574</v>
      </c>
      <c r="H8035" t="s">
        <v>35617</v>
      </c>
      <c r="I8035" t="s">
        <v>32576</v>
      </c>
      <c r="J8035" t="s">
        <v>12071</v>
      </c>
      <c r="M8035" t="s">
        <v>554</v>
      </c>
      <c r="N8035" t="s">
        <v>35618</v>
      </c>
      <c r="O8035" t="s">
        <v>32578</v>
      </c>
      <c r="P8035" t="s">
        <v>35619</v>
      </c>
      <c r="Q8035" t="s">
        <v>35620</v>
      </c>
      <c r="R8035">
        <v>23</v>
      </c>
      <c r="S8035">
        <v>32</v>
      </c>
    </row>
    <row r="8036" spans="1:19" x14ac:dyDescent="0.35">
      <c r="A8036">
        <v>8755</v>
      </c>
      <c r="B8036" t="s">
        <v>36334</v>
      </c>
      <c r="C8036" t="s">
        <v>42</v>
      </c>
      <c r="D8036" t="s">
        <v>36335</v>
      </c>
      <c r="E8036" t="e" cm="1">
        <f t="array" ref="E8036">- GLIMEPIRIDE</f>
        <v>#NAME?</v>
      </c>
      <c r="F8036" t="s">
        <v>36336</v>
      </c>
      <c r="G8036" t="s">
        <v>35580</v>
      </c>
      <c r="H8036" t="s">
        <v>34923</v>
      </c>
      <c r="I8036" t="s">
        <v>34924</v>
      </c>
      <c r="J8036" t="s">
        <v>31516</v>
      </c>
      <c r="K8036" t="s">
        <v>34925</v>
      </c>
      <c r="L8036" t="s">
        <v>34926</v>
      </c>
      <c r="M8036" t="s">
        <v>46</v>
      </c>
      <c r="N8036" t="s">
        <v>34927</v>
      </c>
      <c r="O8036" t="s">
        <v>34928</v>
      </c>
      <c r="P8036" t="s">
        <v>36337</v>
      </c>
      <c r="Q8036" t="s">
        <v>36338</v>
      </c>
      <c r="R8036">
        <v>23</v>
      </c>
      <c r="S8036">
        <v>32</v>
      </c>
    </row>
    <row r="8037" spans="1:19" x14ac:dyDescent="0.35">
      <c r="A8037">
        <v>6867</v>
      </c>
      <c r="B8037" t="s">
        <v>35764</v>
      </c>
      <c r="C8037" t="s">
        <v>850</v>
      </c>
      <c r="D8037" t="s">
        <v>36339</v>
      </c>
      <c r="E8037" t="e" cm="1">
        <f t="array" ref="E8037">- DL-Camphor</f>
        <v>#NAME?</v>
      </c>
      <c r="F8037" t="s">
        <v>36340</v>
      </c>
      <c r="G8037" t="s">
        <v>35767</v>
      </c>
      <c r="H8037" t="s">
        <v>36341</v>
      </c>
      <c r="I8037" t="s">
        <v>36342</v>
      </c>
      <c r="J8037" t="s">
        <v>33295</v>
      </c>
      <c r="K8037" t="s">
        <v>2726</v>
      </c>
      <c r="L8037" t="s">
        <v>36225</v>
      </c>
      <c r="N8037" t="s">
        <v>33298</v>
      </c>
      <c r="O8037" t="s">
        <v>35772</v>
      </c>
      <c r="P8037" t="s">
        <v>36343</v>
      </c>
      <c r="Q8037" t="s">
        <v>36344</v>
      </c>
      <c r="R8037">
        <v>23</v>
      </c>
      <c r="S8037">
        <v>32</v>
      </c>
    </row>
    <row r="8038" spans="1:19" x14ac:dyDescent="0.35">
      <c r="A8038">
        <v>8754</v>
      </c>
      <c r="B8038" t="s">
        <v>36334</v>
      </c>
      <c r="C8038" t="s">
        <v>42</v>
      </c>
      <c r="D8038" t="s">
        <v>36335</v>
      </c>
      <c r="E8038" t="e" cm="1">
        <f t="array" ref="E8038">- GLIMEPIRIDE</f>
        <v>#NAME?</v>
      </c>
      <c r="F8038" t="s">
        <v>36336</v>
      </c>
      <c r="G8038" t="s">
        <v>35580</v>
      </c>
      <c r="H8038" t="s">
        <v>34923</v>
      </c>
      <c r="I8038" t="s">
        <v>34924</v>
      </c>
      <c r="J8038" t="s">
        <v>31516</v>
      </c>
      <c r="K8038" t="s">
        <v>34925</v>
      </c>
      <c r="L8038" t="s">
        <v>34926</v>
      </c>
      <c r="M8038" t="s">
        <v>46</v>
      </c>
      <c r="N8038" t="s">
        <v>34927</v>
      </c>
      <c r="O8038" t="s">
        <v>34928</v>
      </c>
      <c r="P8038" t="s">
        <v>36337</v>
      </c>
      <c r="Q8038" t="s">
        <v>36338</v>
      </c>
      <c r="R8038">
        <v>23</v>
      </c>
      <c r="S8038">
        <v>32</v>
      </c>
    </row>
    <row r="8039" spans="1:19" x14ac:dyDescent="0.35">
      <c r="A8039">
        <v>6725</v>
      </c>
      <c r="B8039" t="s">
        <v>35979</v>
      </c>
      <c r="C8039" t="s">
        <v>42</v>
      </c>
      <c r="D8039" t="s">
        <v>35980</v>
      </c>
      <c r="E8039" t="e" cm="1">
        <f t="array" ref="E8039">- CALCITRIOL</f>
        <v>#NAME?</v>
      </c>
      <c r="F8039" t="s">
        <v>35981</v>
      </c>
      <c r="G8039" t="s">
        <v>18386</v>
      </c>
      <c r="H8039" t="s">
        <v>35982</v>
      </c>
      <c r="I8039" t="s">
        <v>34690</v>
      </c>
      <c r="J8039" t="s">
        <v>35983</v>
      </c>
      <c r="K8039" t="s">
        <v>34692</v>
      </c>
      <c r="L8039" t="s">
        <v>35984</v>
      </c>
      <c r="M8039" t="s">
        <v>38</v>
      </c>
      <c r="N8039" t="s">
        <v>442</v>
      </c>
      <c r="O8039" t="s">
        <v>34694</v>
      </c>
      <c r="P8039" t="s">
        <v>35985</v>
      </c>
      <c r="Q8039" t="s">
        <v>35986</v>
      </c>
      <c r="R8039">
        <v>23</v>
      </c>
      <c r="S8039">
        <v>32</v>
      </c>
    </row>
    <row r="8040" spans="1:19" x14ac:dyDescent="0.35">
      <c r="A8040">
        <v>8753</v>
      </c>
      <c r="B8040" t="s">
        <v>36345</v>
      </c>
      <c r="C8040" t="s">
        <v>42</v>
      </c>
      <c r="D8040" t="s">
        <v>36346</v>
      </c>
      <c r="E8040" t="e" cm="1">
        <f t="array" ref="E8040">- GLIMEPIRIDE</f>
        <v>#NAME?</v>
      </c>
      <c r="F8040" t="s">
        <v>36347</v>
      </c>
      <c r="G8040" t="s">
        <v>35580</v>
      </c>
      <c r="H8040" t="s">
        <v>34923</v>
      </c>
      <c r="I8040" t="s">
        <v>34924</v>
      </c>
      <c r="J8040" t="s">
        <v>31516</v>
      </c>
      <c r="K8040" t="s">
        <v>34925</v>
      </c>
      <c r="L8040" t="s">
        <v>34926</v>
      </c>
      <c r="M8040" t="s">
        <v>46</v>
      </c>
      <c r="N8040" t="s">
        <v>34927</v>
      </c>
      <c r="O8040" t="s">
        <v>34928</v>
      </c>
      <c r="P8040" t="s">
        <v>36337</v>
      </c>
      <c r="Q8040" t="s">
        <v>36338</v>
      </c>
      <c r="R8040">
        <v>23</v>
      </c>
      <c r="S8040">
        <v>32</v>
      </c>
    </row>
    <row r="8041" spans="1:19" x14ac:dyDescent="0.35">
      <c r="A8041">
        <v>5097</v>
      </c>
      <c r="B8041" t="s">
        <v>36320</v>
      </c>
      <c r="C8041" t="s">
        <v>42</v>
      </c>
      <c r="D8041" t="s">
        <v>36321</v>
      </c>
      <c r="E8041" t="e" cm="1">
        <f t="array" ref="E8041">- CLOBETASOL PROPIONATE</f>
        <v>#NAME?</v>
      </c>
      <c r="F8041" t="s">
        <v>36322</v>
      </c>
      <c r="G8041" t="s">
        <v>27005</v>
      </c>
      <c r="H8041" t="s">
        <v>15768</v>
      </c>
      <c r="I8041" t="s">
        <v>36156</v>
      </c>
      <c r="J8041" t="s">
        <v>2049</v>
      </c>
      <c r="K8041" t="s">
        <v>35644</v>
      </c>
      <c r="L8041" t="s">
        <v>36323</v>
      </c>
      <c r="M8041" t="s">
        <v>1289</v>
      </c>
      <c r="N8041" t="s">
        <v>3588</v>
      </c>
      <c r="O8041" t="s">
        <v>36157</v>
      </c>
      <c r="P8041" t="s">
        <v>36324</v>
      </c>
      <c r="Q8041" t="s">
        <v>36325</v>
      </c>
      <c r="R8041">
        <v>23</v>
      </c>
      <c r="S8041">
        <v>32</v>
      </c>
    </row>
    <row r="8042" spans="1:19" x14ac:dyDescent="0.35">
      <c r="A8042">
        <v>8752</v>
      </c>
      <c r="B8042" t="s">
        <v>36345</v>
      </c>
      <c r="C8042" t="s">
        <v>42</v>
      </c>
      <c r="D8042" t="s">
        <v>36346</v>
      </c>
      <c r="E8042" t="e" cm="1">
        <f t="array" ref="E8042">- GLIMEPIRIDE</f>
        <v>#NAME?</v>
      </c>
      <c r="F8042" t="s">
        <v>36347</v>
      </c>
      <c r="G8042" t="s">
        <v>35580</v>
      </c>
      <c r="H8042" t="s">
        <v>34923</v>
      </c>
      <c r="I8042" t="s">
        <v>34924</v>
      </c>
      <c r="J8042" t="s">
        <v>31516</v>
      </c>
      <c r="K8042" t="s">
        <v>34925</v>
      </c>
      <c r="L8042" t="s">
        <v>34926</v>
      </c>
      <c r="M8042" t="s">
        <v>46</v>
      </c>
      <c r="N8042" t="s">
        <v>34927</v>
      </c>
      <c r="O8042" t="s">
        <v>34928</v>
      </c>
      <c r="P8042" t="s">
        <v>36337</v>
      </c>
      <c r="Q8042" t="s">
        <v>36338</v>
      </c>
      <c r="R8042">
        <v>23</v>
      </c>
      <c r="S8042">
        <v>32</v>
      </c>
    </row>
    <row r="8043" spans="1:19" x14ac:dyDescent="0.35">
      <c r="A8043">
        <v>9919</v>
      </c>
      <c r="B8043" t="s">
        <v>36348</v>
      </c>
      <c r="C8043" t="s">
        <v>42</v>
      </c>
      <c r="D8043" t="s">
        <v>36349</v>
      </c>
      <c r="E8043" t="e" cm="1">
        <f t="array" ref="E8043">- CILOSTAZOL</f>
        <v>#NAME?</v>
      </c>
      <c r="F8043" t="s">
        <v>36350</v>
      </c>
      <c r="G8043" t="s">
        <v>36351</v>
      </c>
      <c r="H8043" t="s">
        <v>20900</v>
      </c>
      <c r="I8043" t="s">
        <v>36352</v>
      </c>
      <c r="J8043" t="s">
        <v>599</v>
      </c>
      <c r="K8043" t="s">
        <v>36353</v>
      </c>
      <c r="L8043" t="s">
        <v>36354</v>
      </c>
      <c r="M8043" t="s">
        <v>46</v>
      </c>
      <c r="N8043" t="s">
        <v>20904</v>
      </c>
      <c r="O8043" t="s">
        <v>36355</v>
      </c>
      <c r="P8043" t="s">
        <v>36356</v>
      </c>
      <c r="Q8043" t="s">
        <v>36357</v>
      </c>
      <c r="R8043">
        <v>23</v>
      </c>
      <c r="S8043">
        <v>32</v>
      </c>
    </row>
    <row r="8044" spans="1:19" x14ac:dyDescent="0.35">
      <c r="A8044">
        <v>8751</v>
      </c>
      <c r="B8044" t="s">
        <v>36358</v>
      </c>
      <c r="C8044" t="s">
        <v>42</v>
      </c>
      <c r="D8044" t="s">
        <v>36359</v>
      </c>
      <c r="E8044" t="e" cm="1">
        <f t="array" ref="E8044">- GLIMEPIRIDE</f>
        <v>#NAME?</v>
      </c>
      <c r="F8044" t="s">
        <v>36360</v>
      </c>
      <c r="G8044" t="s">
        <v>35580</v>
      </c>
      <c r="H8044" t="s">
        <v>34923</v>
      </c>
      <c r="I8044" t="s">
        <v>34924</v>
      </c>
      <c r="J8044" t="s">
        <v>31516</v>
      </c>
      <c r="K8044" t="s">
        <v>34925</v>
      </c>
      <c r="L8044" t="s">
        <v>34926</v>
      </c>
      <c r="M8044" t="s">
        <v>46</v>
      </c>
      <c r="N8044" t="s">
        <v>34927</v>
      </c>
      <c r="O8044" t="s">
        <v>34928</v>
      </c>
      <c r="P8044" t="s">
        <v>36337</v>
      </c>
      <c r="Q8044" t="s">
        <v>36338</v>
      </c>
      <c r="R8044">
        <v>23</v>
      </c>
      <c r="S8044">
        <v>32</v>
      </c>
    </row>
    <row r="8045" spans="1:19" x14ac:dyDescent="0.35">
      <c r="A8045">
        <v>9918</v>
      </c>
      <c r="B8045" t="s">
        <v>36348</v>
      </c>
      <c r="C8045" t="s">
        <v>42</v>
      </c>
      <c r="D8045" t="s">
        <v>36349</v>
      </c>
      <c r="E8045" t="e" cm="1">
        <f t="array" ref="E8045">- CILOSTAZOL</f>
        <v>#NAME?</v>
      </c>
      <c r="F8045" t="s">
        <v>36350</v>
      </c>
      <c r="G8045" t="s">
        <v>36351</v>
      </c>
      <c r="H8045" t="s">
        <v>20900</v>
      </c>
      <c r="I8045" t="s">
        <v>36352</v>
      </c>
      <c r="J8045" t="s">
        <v>599</v>
      </c>
      <c r="K8045" t="s">
        <v>36353</v>
      </c>
      <c r="L8045" t="s">
        <v>36354</v>
      </c>
      <c r="M8045" t="s">
        <v>46</v>
      </c>
      <c r="N8045" t="s">
        <v>20904</v>
      </c>
      <c r="O8045" t="s">
        <v>36355</v>
      </c>
      <c r="P8045" t="s">
        <v>36356</v>
      </c>
      <c r="Q8045" t="s">
        <v>36357</v>
      </c>
      <c r="R8045">
        <v>23</v>
      </c>
      <c r="S8045">
        <v>32</v>
      </c>
    </row>
    <row r="8046" spans="1:19" x14ac:dyDescent="0.35">
      <c r="A8046">
        <v>8728</v>
      </c>
      <c r="B8046" t="s">
        <v>36361</v>
      </c>
      <c r="C8046" t="s">
        <v>42</v>
      </c>
      <c r="D8046" t="s">
        <v>36362</v>
      </c>
      <c r="E8046" t="e" cm="1">
        <f t="array" ref="E8046">- GLIMEPIRIDE</f>
        <v>#NAME?</v>
      </c>
      <c r="F8046" t="s">
        <v>36363</v>
      </c>
      <c r="G8046" t="s">
        <v>35580</v>
      </c>
      <c r="H8046" t="s">
        <v>34923</v>
      </c>
      <c r="I8046" t="s">
        <v>34924</v>
      </c>
      <c r="J8046" t="s">
        <v>532</v>
      </c>
      <c r="K8046" t="s">
        <v>34925</v>
      </c>
      <c r="L8046" t="s">
        <v>34926</v>
      </c>
      <c r="M8046" t="s">
        <v>46</v>
      </c>
      <c r="N8046" t="s">
        <v>34927</v>
      </c>
      <c r="O8046" t="s">
        <v>34928</v>
      </c>
      <c r="P8046" t="s">
        <v>36364</v>
      </c>
      <c r="Q8046" t="s">
        <v>36365</v>
      </c>
      <c r="R8046">
        <v>23</v>
      </c>
      <c r="S8046">
        <v>32</v>
      </c>
    </row>
    <row r="8047" spans="1:19" x14ac:dyDescent="0.35">
      <c r="A8047">
        <v>8729</v>
      </c>
      <c r="B8047" t="s">
        <v>36366</v>
      </c>
      <c r="C8047" t="s">
        <v>42</v>
      </c>
      <c r="D8047" t="s">
        <v>36367</v>
      </c>
      <c r="E8047" t="e" cm="1">
        <f t="array" ref="E8047">- GLIMEPIRIDE</f>
        <v>#NAME?</v>
      </c>
      <c r="F8047" t="s">
        <v>36368</v>
      </c>
      <c r="G8047" t="s">
        <v>35580</v>
      </c>
      <c r="H8047" t="s">
        <v>34923</v>
      </c>
      <c r="I8047" t="s">
        <v>34924</v>
      </c>
      <c r="J8047" t="s">
        <v>532</v>
      </c>
      <c r="K8047" t="s">
        <v>34925</v>
      </c>
      <c r="L8047" t="s">
        <v>34926</v>
      </c>
      <c r="M8047" t="s">
        <v>46</v>
      </c>
      <c r="N8047" t="s">
        <v>34927</v>
      </c>
      <c r="O8047" t="s">
        <v>34928</v>
      </c>
      <c r="P8047" t="s">
        <v>36364</v>
      </c>
      <c r="Q8047" t="s">
        <v>36365</v>
      </c>
      <c r="R8047">
        <v>23</v>
      </c>
      <c r="S8047">
        <v>32</v>
      </c>
    </row>
    <row r="8048" spans="1:19" x14ac:dyDescent="0.35">
      <c r="A8048">
        <v>5582</v>
      </c>
      <c r="B8048" t="s">
        <v>36369</v>
      </c>
      <c r="C8048" t="s">
        <v>850</v>
      </c>
      <c r="D8048" t="s">
        <v>36370</v>
      </c>
      <c r="E8048" t="s">
        <v>2069</v>
      </c>
      <c r="F8048" t="s">
        <v>36371</v>
      </c>
      <c r="I8048" t="s">
        <v>36372</v>
      </c>
      <c r="J8048" t="s">
        <v>614</v>
      </c>
      <c r="N8048" t="s">
        <v>2071</v>
      </c>
      <c r="O8048" t="s">
        <v>36373</v>
      </c>
      <c r="P8048" t="s">
        <v>36374</v>
      </c>
      <c r="Q8048" t="s">
        <v>36375</v>
      </c>
      <c r="R8048">
        <v>23</v>
      </c>
      <c r="S8048">
        <v>32</v>
      </c>
    </row>
    <row r="8049" spans="1:19" x14ac:dyDescent="0.35">
      <c r="A8049">
        <v>580</v>
      </c>
      <c r="B8049" t="s">
        <v>33817</v>
      </c>
      <c r="C8049" t="s">
        <v>42</v>
      </c>
      <c r="D8049" t="s">
        <v>35593</v>
      </c>
      <c r="E8049" t="e" cm="1">
        <f t="array" ref="E8049">- BUDESONIDE</f>
        <v>#NAME?</v>
      </c>
      <c r="F8049" t="s">
        <v>35594</v>
      </c>
      <c r="G8049" t="s">
        <v>19260</v>
      </c>
      <c r="H8049" t="s">
        <v>35595</v>
      </c>
      <c r="I8049" t="s">
        <v>35596</v>
      </c>
      <c r="J8049" t="s">
        <v>35597</v>
      </c>
      <c r="K8049" t="s">
        <v>3952</v>
      </c>
      <c r="L8049" t="s">
        <v>35598</v>
      </c>
      <c r="M8049" t="s">
        <v>1280</v>
      </c>
      <c r="N8049" t="s">
        <v>1281</v>
      </c>
      <c r="O8049" t="s">
        <v>35599</v>
      </c>
      <c r="P8049" t="s">
        <v>33825</v>
      </c>
      <c r="Q8049" t="s">
        <v>35600</v>
      </c>
      <c r="R8049">
        <v>23</v>
      </c>
      <c r="S8049">
        <v>32</v>
      </c>
    </row>
    <row r="8050" spans="1:19" x14ac:dyDescent="0.35">
      <c r="A8050">
        <v>8730</v>
      </c>
      <c r="B8050" t="s">
        <v>36376</v>
      </c>
      <c r="C8050" t="s">
        <v>42</v>
      </c>
      <c r="D8050" t="s">
        <v>36377</v>
      </c>
      <c r="E8050" t="e" cm="1">
        <f t="array" ref="E8050">- GLIMEPIRIDE</f>
        <v>#NAME?</v>
      </c>
      <c r="F8050" t="s">
        <v>21916</v>
      </c>
      <c r="G8050" t="s">
        <v>35580</v>
      </c>
      <c r="H8050" t="s">
        <v>34923</v>
      </c>
      <c r="I8050" t="s">
        <v>34924</v>
      </c>
      <c r="J8050" t="s">
        <v>532</v>
      </c>
      <c r="K8050" t="s">
        <v>34925</v>
      </c>
      <c r="L8050" t="s">
        <v>34926</v>
      </c>
      <c r="M8050" t="s">
        <v>46</v>
      </c>
      <c r="N8050" t="s">
        <v>34927</v>
      </c>
      <c r="O8050" t="s">
        <v>34928</v>
      </c>
      <c r="P8050" t="s">
        <v>36364</v>
      </c>
      <c r="Q8050" t="s">
        <v>36365</v>
      </c>
      <c r="R8050">
        <v>23</v>
      </c>
      <c r="S8050">
        <v>32</v>
      </c>
    </row>
    <row r="8051" spans="1:19" x14ac:dyDescent="0.35">
      <c r="A8051">
        <v>1486</v>
      </c>
      <c r="B8051" t="s">
        <v>36378</v>
      </c>
      <c r="C8051" t="s">
        <v>42</v>
      </c>
      <c r="D8051" t="s">
        <v>36379</v>
      </c>
      <c r="E8051" t="e" cm="1">
        <f t="array" ref="E8051">- PSEUDOEPHEDRINE HYDROCHLORIDE</f>
        <v>#NAME?</v>
      </c>
      <c r="G8051" t="s">
        <v>4913</v>
      </c>
      <c r="H8051" t="s">
        <v>36380</v>
      </c>
      <c r="I8051" t="s">
        <v>36381</v>
      </c>
      <c r="J8051" t="s">
        <v>5221</v>
      </c>
      <c r="K8051" t="s">
        <v>36382</v>
      </c>
      <c r="L8051" t="s">
        <v>36383</v>
      </c>
      <c r="M8051" t="s">
        <v>46</v>
      </c>
      <c r="N8051" t="s">
        <v>8326</v>
      </c>
      <c r="O8051" t="s">
        <v>36384</v>
      </c>
      <c r="P8051" t="s">
        <v>36385</v>
      </c>
      <c r="Q8051" t="s">
        <v>36386</v>
      </c>
      <c r="R8051">
        <v>23</v>
      </c>
      <c r="S8051">
        <v>32</v>
      </c>
    </row>
    <row r="8052" spans="1:19" x14ac:dyDescent="0.35">
      <c r="A8052">
        <v>9330</v>
      </c>
      <c r="B8052" t="s">
        <v>35549</v>
      </c>
      <c r="C8052" t="s">
        <v>42</v>
      </c>
      <c r="D8052" t="s">
        <v>35573</v>
      </c>
      <c r="E8052" t="e" cm="1">
        <f t="array" ref="E8052">- SACUBITRIL</f>
        <v>#NAME?</v>
      </c>
      <c r="F8052" t="s">
        <v>35574</v>
      </c>
      <c r="G8052" t="s">
        <v>5301</v>
      </c>
      <c r="H8052" t="s">
        <v>35552</v>
      </c>
      <c r="I8052" t="s">
        <v>35575</v>
      </c>
      <c r="J8052" t="s">
        <v>35576</v>
      </c>
      <c r="L8052" t="s">
        <v>270</v>
      </c>
      <c r="M8052" t="s">
        <v>46</v>
      </c>
      <c r="N8052" t="s">
        <v>35556</v>
      </c>
      <c r="O8052" t="s">
        <v>35557</v>
      </c>
      <c r="P8052" t="s">
        <v>35558</v>
      </c>
      <c r="Q8052" t="s">
        <v>35559</v>
      </c>
      <c r="R8052">
        <v>23</v>
      </c>
      <c r="S8052">
        <v>32</v>
      </c>
    </row>
    <row r="8053" spans="1:19" x14ac:dyDescent="0.35">
      <c r="A8053">
        <v>1884</v>
      </c>
      <c r="B8053" t="s">
        <v>31189</v>
      </c>
      <c r="C8053" t="s">
        <v>42</v>
      </c>
      <c r="D8053" t="s">
        <v>31190</v>
      </c>
      <c r="E8053" t="e" cm="1">
        <f t="array" ref="E8053">- GUAIFENESIN. EPHEDRINE HYDROCHLORIDE. CHLORPHENAMINE MALEATE. PARACETAMOL</f>
        <v>#NAME?</v>
      </c>
      <c r="F8053" t="s">
        <v>31191</v>
      </c>
      <c r="I8053" t="s">
        <v>31192</v>
      </c>
      <c r="M8053" t="s">
        <v>271</v>
      </c>
      <c r="N8053" t="s">
        <v>36387</v>
      </c>
      <c r="O8053" t="s">
        <v>31193</v>
      </c>
      <c r="P8053" t="s">
        <v>31194</v>
      </c>
      <c r="Q8053" t="s">
        <v>36388</v>
      </c>
      <c r="R8053">
        <v>23</v>
      </c>
      <c r="S8053">
        <v>32</v>
      </c>
    </row>
    <row r="8054" spans="1:19" x14ac:dyDescent="0.35">
      <c r="A8054">
        <v>1881</v>
      </c>
      <c r="B8054" t="s">
        <v>36389</v>
      </c>
      <c r="C8054" t="s">
        <v>42</v>
      </c>
      <c r="D8054" t="s">
        <v>36390</v>
      </c>
      <c r="E8054" t="e" cm="1">
        <f t="array" ref="E8054">- PARACETAMOL. PHENYLEPHRINE HYDROCHLORIDE. CHLORPHENAMINE MALEATE</f>
        <v>#NAME?</v>
      </c>
      <c r="F8054" s="1">
        <v>14200</v>
      </c>
      <c r="G8054" t="s">
        <v>2241</v>
      </c>
      <c r="H8054" t="s">
        <v>36391</v>
      </c>
      <c r="I8054" t="s">
        <v>36392</v>
      </c>
      <c r="J8054" t="s">
        <v>36393</v>
      </c>
      <c r="M8054" t="s">
        <v>271</v>
      </c>
      <c r="N8054" t="s">
        <v>29731</v>
      </c>
      <c r="O8054" t="s">
        <v>36394</v>
      </c>
      <c r="P8054" t="s">
        <v>36395</v>
      </c>
      <c r="Q8054" t="s">
        <v>36396</v>
      </c>
      <c r="R8054">
        <v>23</v>
      </c>
      <c r="S8054">
        <v>32</v>
      </c>
    </row>
    <row r="8055" spans="1:19" x14ac:dyDescent="0.35">
      <c r="A8055">
        <v>6866</v>
      </c>
      <c r="B8055" t="s">
        <v>35764</v>
      </c>
      <c r="C8055" t="s">
        <v>850</v>
      </c>
      <c r="D8055" t="s">
        <v>35765</v>
      </c>
      <c r="E8055" t="e" cm="1">
        <f t="array" ref="E8055">- DL-Camphor</f>
        <v>#NAME?</v>
      </c>
      <c r="F8055" t="s">
        <v>35766</v>
      </c>
      <c r="G8055" t="s">
        <v>35767</v>
      </c>
      <c r="H8055" t="s">
        <v>35768</v>
      </c>
      <c r="I8055" t="s">
        <v>35769</v>
      </c>
      <c r="J8055" t="s">
        <v>35770</v>
      </c>
      <c r="K8055" t="s">
        <v>2858</v>
      </c>
      <c r="L8055" t="s">
        <v>35771</v>
      </c>
      <c r="N8055" t="s">
        <v>33298</v>
      </c>
      <c r="O8055" t="s">
        <v>35772</v>
      </c>
      <c r="P8055" t="s">
        <v>35773</v>
      </c>
      <c r="Q8055" t="s">
        <v>35774</v>
      </c>
      <c r="R8055">
        <v>23</v>
      </c>
      <c r="S8055">
        <v>32</v>
      </c>
    </row>
    <row r="8056" spans="1:19" x14ac:dyDescent="0.35">
      <c r="A8056">
        <v>1880</v>
      </c>
      <c r="B8056" t="s">
        <v>36389</v>
      </c>
      <c r="C8056" t="s">
        <v>42</v>
      </c>
      <c r="D8056" t="s">
        <v>36390</v>
      </c>
      <c r="E8056" t="e" cm="1">
        <f t="array" ref="E8056">- PHENYLEPHRINE HYDROCHLORIDE. CHLORPHENAMINE MALEATE. PARACETAMOL</f>
        <v>#NAME?</v>
      </c>
      <c r="F8056" s="1">
        <v>14200</v>
      </c>
      <c r="G8056" t="s">
        <v>2241</v>
      </c>
      <c r="H8056" t="s">
        <v>36391</v>
      </c>
      <c r="I8056" t="s">
        <v>36392</v>
      </c>
      <c r="J8056" t="s">
        <v>36393</v>
      </c>
      <c r="M8056" t="s">
        <v>271</v>
      </c>
      <c r="N8056" t="s">
        <v>36397</v>
      </c>
      <c r="O8056" t="s">
        <v>36394</v>
      </c>
      <c r="P8056" t="s">
        <v>36395</v>
      </c>
      <c r="Q8056" t="s">
        <v>36398</v>
      </c>
      <c r="R8056">
        <v>23</v>
      </c>
      <c r="S8056">
        <v>32</v>
      </c>
    </row>
    <row r="8057" spans="1:19" x14ac:dyDescent="0.35">
      <c r="A8057">
        <v>8748</v>
      </c>
      <c r="B8057" t="s">
        <v>36399</v>
      </c>
      <c r="C8057" t="s">
        <v>42</v>
      </c>
      <c r="D8057" t="s">
        <v>36400</v>
      </c>
      <c r="E8057" t="e" cm="1">
        <f t="array" ref="E8057">- GLIMEPIRIDE</f>
        <v>#NAME?</v>
      </c>
      <c r="F8057" t="s">
        <v>36401</v>
      </c>
      <c r="G8057" t="s">
        <v>35580</v>
      </c>
      <c r="H8057" t="s">
        <v>34923</v>
      </c>
      <c r="I8057" t="s">
        <v>34924</v>
      </c>
      <c r="J8057" t="s">
        <v>31516</v>
      </c>
      <c r="K8057" t="s">
        <v>34925</v>
      </c>
      <c r="L8057" t="s">
        <v>34926</v>
      </c>
      <c r="M8057" t="s">
        <v>46</v>
      </c>
      <c r="N8057" t="s">
        <v>34927</v>
      </c>
      <c r="O8057" t="s">
        <v>34928</v>
      </c>
      <c r="P8057" t="s">
        <v>36337</v>
      </c>
      <c r="Q8057" t="s">
        <v>36338</v>
      </c>
      <c r="R8057">
        <v>23</v>
      </c>
      <c r="S8057">
        <v>32</v>
      </c>
    </row>
    <row r="8058" spans="1:19" x14ac:dyDescent="0.35">
      <c r="A8058">
        <v>8749</v>
      </c>
      <c r="B8058" t="s">
        <v>36399</v>
      </c>
      <c r="C8058" t="s">
        <v>42</v>
      </c>
      <c r="D8058" t="s">
        <v>36400</v>
      </c>
      <c r="E8058" t="e" cm="1">
        <f t="array" ref="E8058">- GLIMEPIRIDE</f>
        <v>#NAME?</v>
      </c>
      <c r="F8058" t="s">
        <v>36401</v>
      </c>
      <c r="G8058" t="s">
        <v>35580</v>
      </c>
      <c r="H8058" t="s">
        <v>34923</v>
      </c>
      <c r="I8058" t="s">
        <v>34924</v>
      </c>
      <c r="J8058" t="s">
        <v>31516</v>
      </c>
      <c r="K8058" t="s">
        <v>34925</v>
      </c>
      <c r="L8058" t="s">
        <v>34926</v>
      </c>
      <c r="M8058" t="s">
        <v>46</v>
      </c>
      <c r="N8058" t="s">
        <v>34927</v>
      </c>
      <c r="O8058" t="s">
        <v>34928</v>
      </c>
      <c r="P8058" t="s">
        <v>36337</v>
      </c>
      <c r="Q8058" t="s">
        <v>36338</v>
      </c>
      <c r="R8058">
        <v>23</v>
      </c>
      <c r="S8058">
        <v>32</v>
      </c>
    </row>
    <row r="8059" spans="1:19" x14ac:dyDescent="0.35">
      <c r="A8059">
        <v>8750</v>
      </c>
      <c r="B8059" t="s">
        <v>36358</v>
      </c>
      <c r="C8059" t="s">
        <v>42</v>
      </c>
      <c r="D8059" t="s">
        <v>36359</v>
      </c>
      <c r="E8059" t="e" cm="1">
        <f t="array" ref="E8059">- GLIMEPIRIDE</f>
        <v>#NAME?</v>
      </c>
      <c r="F8059" t="s">
        <v>36360</v>
      </c>
      <c r="G8059" t="s">
        <v>35580</v>
      </c>
      <c r="H8059" t="s">
        <v>34923</v>
      </c>
      <c r="I8059" t="s">
        <v>34924</v>
      </c>
      <c r="J8059" t="s">
        <v>31516</v>
      </c>
      <c r="K8059" t="s">
        <v>34925</v>
      </c>
      <c r="L8059" t="s">
        <v>34926</v>
      </c>
      <c r="M8059" t="s">
        <v>46</v>
      </c>
      <c r="N8059" t="s">
        <v>34927</v>
      </c>
      <c r="O8059" t="s">
        <v>34928</v>
      </c>
      <c r="P8059" t="s">
        <v>36337</v>
      </c>
      <c r="Q8059" t="s">
        <v>36338</v>
      </c>
      <c r="R8059">
        <v>23</v>
      </c>
      <c r="S8059">
        <v>32</v>
      </c>
    </row>
    <row r="8060" spans="1:19" x14ac:dyDescent="0.35">
      <c r="A8060">
        <v>1883</v>
      </c>
      <c r="B8060" t="s">
        <v>31189</v>
      </c>
      <c r="C8060" t="s">
        <v>42</v>
      </c>
      <c r="D8060" t="s">
        <v>31190</v>
      </c>
      <c r="E8060" t="e" cm="1">
        <f t="array" ref="E8060">- PARACETAMOL. GUAIFENESIN. CHLORPHENAMINE MALEATE. PSEUDOEPHEDRINE HYDROCHLORIDE</f>
        <v>#NAME?</v>
      </c>
      <c r="F8060" t="s">
        <v>31191</v>
      </c>
      <c r="I8060" t="s">
        <v>31192</v>
      </c>
      <c r="M8060" t="s">
        <v>271</v>
      </c>
      <c r="N8060" t="s">
        <v>36402</v>
      </c>
      <c r="O8060" t="s">
        <v>31193</v>
      </c>
      <c r="P8060" t="s">
        <v>31194</v>
      </c>
      <c r="Q8060" t="s">
        <v>36403</v>
      </c>
      <c r="R8060">
        <v>23</v>
      </c>
      <c r="S8060">
        <v>32</v>
      </c>
    </row>
    <row r="8061" spans="1:19" x14ac:dyDescent="0.35">
      <c r="A8061">
        <v>6724</v>
      </c>
      <c r="B8061" t="s">
        <v>35979</v>
      </c>
      <c r="C8061" t="s">
        <v>42</v>
      </c>
      <c r="D8061" t="s">
        <v>35980</v>
      </c>
      <c r="E8061" t="e" cm="1">
        <f t="array" ref="E8061">- CALCITRIOL</f>
        <v>#NAME?</v>
      </c>
      <c r="F8061" t="s">
        <v>35981</v>
      </c>
      <c r="G8061" t="s">
        <v>18386</v>
      </c>
      <c r="H8061" t="s">
        <v>35982</v>
      </c>
      <c r="I8061" t="s">
        <v>34690</v>
      </c>
      <c r="J8061" t="s">
        <v>35983</v>
      </c>
      <c r="K8061" t="s">
        <v>34692</v>
      </c>
      <c r="L8061" t="s">
        <v>35984</v>
      </c>
      <c r="M8061" t="s">
        <v>38</v>
      </c>
      <c r="N8061" t="s">
        <v>442</v>
      </c>
      <c r="O8061" t="s">
        <v>34694</v>
      </c>
      <c r="P8061" t="s">
        <v>35985</v>
      </c>
      <c r="Q8061" t="s">
        <v>35986</v>
      </c>
      <c r="R8061">
        <v>23</v>
      </c>
      <c r="S8061">
        <v>32</v>
      </c>
    </row>
    <row r="8062" spans="1:19" x14ac:dyDescent="0.35">
      <c r="A8062">
        <v>3220</v>
      </c>
      <c r="B8062" t="s">
        <v>32118</v>
      </c>
      <c r="C8062" t="s">
        <v>42</v>
      </c>
      <c r="D8062" t="s">
        <v>32119</v>
      </c>
      <c r="E8062" t="e" cm="1">
        <f t="array" ref="E8062">- DRIED ALUMINIUM HYDROXIDE GEL. MAGNESIUM HYDROXIDE. SIMETHICONE</f>
        <v>#NAME?</v>
      </c>
      <c r="F8062" t="s">
        <v>32120</v>
      </c>
      <c r="G8062" t="s">
        <v>32121</v>
      </c>
      <c r="H8062" t="s">
        <v>32122</v>
      </c>
    </row>
    <row r="8063" spans="1:19" x14ac:dyDescent="0.35">
      <c r="A8063">
        <v>3120</v>
      </c>
      <c r="B8063" t="s">
        <v>28071</v>
      </c>
      <c r="C8063" t="s">
        <v>42</v>
      </c>
      <c r="D8063" t="s">
        <v>28092</v>
      </c>
      <c r="E8063" t="s">
        <v>36404</v>
      </c>
      <c r="F8063" t="s">
        <v>28093</v>
      </c>
      <c r="G8063" t="s">
        <v>26573</v>
      </c>
      <c r="H8063" t="s">
        <v>28094</v>
      </c>
      <c r="I8063" t="s">
        <v>26575</v>
      </c>
      <c r="J8063" t="s">
        <v>2083</v>
      </c>
      <c r="K8063" t="s">
        <v>26577</v>
      </c>
      <c r="L8063" t="s">
        <v>26578</v>
      </c>
      <c r="M8063" t="s">
        <v>340</v>
      </c>
      <c r="N8063" t="s">
        <v>36405</v>
      </c>
      <c r="O8063" t="s">
        <v>26579</v>
      </c>
      <c r="P8063" t="s">
        <v>26580</v>
      </c>
      <c r="Q8063" t="s">
        <v>36406</v>
      </c>
      <c r="R8063">
        <v>23</v>
      </c>
      <c r="S8063">
        <v>32</v>
      </c>
    </row>
    <row r="8064" spans="1:19" x14ac:dyDescent="0.35">
      <c r="A8064">
        <v>1778</v>
      </c>
      <c r="B8064" t="s">
        <v>36407</v>
      </c>
      <c r="C8064" t="s">
        <v>20</v>
      </c>
      <c r="D8064" t="s">
        <v>36408</v>
      </c>
      <c r="E8064" t="s">
        <v>36409</v>
      </c>
      <c r="F8064" t="s">
        <v>36410</v>
      </c>
      <c r="G8064" t="s">
        <v>27012</v>
      </c>
      <c r="H8064" t="s">
        <v>13586</v>
      </c>
      <c r="I8064" t="s">
        <v>36411</v>
      </c>
      <c r="J8064" t="s">
        <v>743</v>
      </c>
      <c r="K8064" t="s">
        <v>2858</v>
      </c>
      <c r="L8064" t="s">
        <v>27014</v>
      </c>
      <c r="M8064" t="s">
        <v>2115</v>
      </c>
      <c r="N8064" t="s">
        <v>36412</v>
      </c>
      <c r="O8064" t="s">
        <v>36413</v>
      </c>
      <c r="P8064" t="s">
        <v>36414</v>
      </c>
      <c r="Q8064" t="s">
        <v>36415</v>
      </c>
      <c r="R8064">
        <v>23</v>
      </c>
      <c r="S8064">
        <v>32</v>
      </c>
    </row>
    <row r="8065" spans="1:19" x14ac:dyDescent="0.35">
      <c r="A8065">
        <v>632</v>
      </c>
      <c r="B8065" t="s">
        <v>23289</v>
      </c>
      <c r="C8065" t="s">
        <v>42</v>
      </c>
      <c r="D8065" t="s">
        <v>36090</v>
      </c>
      <c r="E8065" t="e" cm="1">
        <f t="array" ref="E8065">- OXYGEN</f>
        <v>#NAME?</v>
      </c>
      <c r="F8065" t="s">
        <v>36271</v>
      </c>
      <c r="H8065" t="s">
        <v>9172</v>
      </c>
      <c r="I8065" t="s">
        <v>36091</v>
      </c>
      <c r="J8065" t="s">
        <v>36092</v>
      </c>
      <c r="M8065" t="s">
        <v>23298</v>
      </c>
      <c r="N8065" t="s">
        <v>23299</v>
      </c>
      <c r="O8065" t="s">
        <v>36093</v>
      </c>
      <c r="P8065" t="s">
        <v>36094</v>
      </c>
      <c r="Q8065" t="s">
        <v>36095</v>
      </c>
      <c r="R8065">
        <v>23</v>
      </c>
      <c r="S8065">
        <v>32</v>
      </c>
    </row>
    <row r="8066" spans="1:19" x14ac:dyDescent="0.35">
      <c r="A8066">
        <v>5744</v>
      </c>
      <c r="B8066" t="s">
        <v>35250</v>
      </c>
      <c r="C8066" t="s">
        <v>42</v>
      </c>
      <c r="D8066" t="s">
        <v>35251</v>
      </c>
      <c r="E8066" t="e" cm="1">
        <f t="array" ref="E8066">- KOMBINASI-AZITHROMYCIN DIHYDRATE COATED</f>
        <v>#NAME?</v>
      </c>
      <c r="F8066" t="s">
        <v>35252</v>
      </c>
      <c r="G8066" t="s">
        <v>1691</v>
      </c>
      <c r="H8066" t="s">
        <v>35253</v>
      </c>
      <c r="I8066" t="s">
        <v>35254</v>
      </c>
    </row>
    <row r="8067" spans="1:19" x14ac:dyDescent="0.35">
      <c r="A8067">
        <v>8470</v>
      </c>
      <c r="B8067" t="s">
        <v>551</v>
      </c>
      <c r="C8067" t="s">
        <v>42</v>
      </c>
      <c r="D8067" t="s">
        <v>36416</v>
      </c>
      <c r="E8067" t="e" cm="1">
        <f t="array" ref="E8067">- POVIDONE-IODINE</f>
        <v>#NAME?</v>
      </c>
      <c r="F8067" t="s">
        <v>36417</v>
      </c>
      <c r="I8067" t="s">
        <v>36418</v>
      </c>
      <c r="J8067" t="s">
        <v>4132</v>
      </c>
      <c r="M8067" t="s">
        <v>554</v>
      </c>
      <c r="N8067" t="s">
        <v>555</v>
      </c>
      <c r="O8067" t="s">
        <v>36419</v>
      </c>
      <c r="P8067" t="s">
        <v>36420</v>
      </c>
      <c r="Q8067" t="s">
        <v>36421</v>
      </c>
      <c r="R8067">
        <v>23</v>
      </c>
      <c r="S8067">
        <v>32</v>
      </c>
    </row>
    <row r="8068" spans="1:19" x14ac:dyDescent="0.35">
      <c r="A8068">
        <v>8471</v>
      </c>
      <c r="B8068" t="s">
        <v>551</v>
      </c>
      <c r="C8068" t="s">
        <v>42</v>
      </c>
      <c r="D8068" t="s">
        <v>36416</v>
      </c>
      <c r="E8068" t="e" cm="1">
        <f t="array" ref="E8068">- POVIDONE-IODINE</f>
        <v>#NAME?</v>
      </c>
      <c r="F8068" t="s">
        <v>36417</v>
      </c>
      <c r="I8068" t="s">
        <v>36418</v>
      </c>
      <c r="J8068" t="s">
        <v>4132</v>
      </c>
      <c r="M8068" t="s">
        <v>554</v>
      </c>
      <c r="N8068" t="s">
        <v>555</v>
      </c>
      <c r="O8068" t="s">
        <v>36419</v>
      </c>
      <c r="P8068" t="s">
        <v>36420</v>
      </c>
      <c r="Q8068" t="s">
        <v>36421</v>
      </c>
      <c r="R8068">
        <v>23</v>
      </c>
      <c r="S8068">
        <v>32</v>
      </c>
    </row>
    <row r="8069" spans="1:19" x14ac:dyDescent="0.35">
      <c r="A8069">
        <v>5743</v>
      </c>
      <c r="B8069" t="s">
        <v>35250</v>
      </c>
      <c r="C8069" t="s">
        <v>42</v>
      </c>
      <c r="D8069" t="s">
        <v>35251</v>
      </c>
      <c r="E8069" t="e" cm="1">
        <f t="array" ref="E8069">- KOMBINASI-AZITHROMYCIN DIHYDRATE COATED</f>
        <v>#NAME?</v>
      </c>
      <c r="F8069" t="s">
        <v>35252</v>
      </c>
      <c r="G8069" t="s">
        <v>1691</v>
      </c>
      <c r="H8069" t="s">
        <v>35253</v>
      </c>
      <c r="I8069" t="s">
        <v>35254</v>
      </c>
    </row>
    <row r="8070" spans="1:19" x14ac:dyDescent="0.35">
      <c r="A8070">
        <v>3095</v>
      </c>
      <c r="B8070" t="s">
        <v>34059</v>
      </c>
      <c r="C8070" t="s">
        <v>42</v>
      </c>
      <c r="D8070" t="s">
        <v>34060</v>
      </c>
      <c r="E8070" t="s">
        <v>4857</v>
      </c>
      <c r="F8070" t="s">
        <v>34061</v>
      </c>
      <c r="G8070" t="s">
        <v>34062</v>
      </c>
      <c r="H8070" t="s">
        <v>34063</v>
      </c>
      <c r="I8070" t="s">
        <v>34064</v>
      </c>
      <c r="J8070" t="s">
        <v>25427</v>
      </c>
      <c r="K8070" t="s">
        <v>34065</v>
      </c>
      <c r="L8070" t="s">
        <v>34066</v>
      </c>
      <c r="M8070" t="s">
        <v>46</v>
      </c>
      <c r="N8070" t="s">
        <v>4858</v>
      </c>
      <c r="O8070" t="s">
        <v>34067</v>
      </c>
      <c r="P8070" t="s">
        <v>15705</v>
      </c>
      <c r="Q8070" t="s">
        <v>36422</v>
      </c>
      <c r="R8070">
        <v>23</v>
      </c>
      <c r="S8070">
        <v>32</v>
      </c>
    </row>
    <row r="8071" spans="1:19" x14ac:dyDescent="0.35">
      <c r="A8071">
        <v>7222</v>
      </c>
      <c r="B8071" t="s">
        <v>36081</v>
      </c>
      <c r="C8071" t="s">
        <v>850</v>
      </c>
      <c r="D8071" t="s">
        <v>36423</v>
      </c>
      <c r="E8071" t="e" cm="1">
        <f t="array" ref="E8071">- Camphor</f>
        <v>#NAME?</v>
      </c>
      <c r="F8071" t="s">
        <v>36424</v>
      </c>
      <c r="G8071" t="s">
        <v>22769</v>
      </c>
      <c r="H8071" t="s">
        <v>36425</v>
      </c>
      <c r="I8071" t="s">
        <v>36426</v>
      </c>
      <c r="J8071" t="s">
        <v>35440</v>
      </c>
      <c r="L8071" t="s">
        <v>36427</v>
      </c>
      <c r="M8071" t="s">
        <v>3632</v>
      </c>
      <c r="N8071" t="s">
        <v>853</v>
      </c>
      <c r="O8071" t="s">
        <v>36428</v>
      </c>
      <c r="P8071" t="s">
        <v>36087</v>
      </c>
      <c r="Q8071" t="s">
        <v>36429</v>
      </c>
      <c r="R8071">
        <v>23</v>
      </c>
      <c r="S8071">
        <v>32</v>
      </c>
    </row>
    <row r="8072" spans="1:19" x14ac:dyDescent="0.35">
      <c r="A8072">
        <v>848</v>
      </c>
      <c r="B8072" t="s">
        <v>36189</v>
      </c>
      <c r="C8072" t="s">
        <v>42</v>
      </c>
      <c r="D8072" t="s">
        <v>36190</v>
      </c>
      <c r="E8072" t="e" cm="1">
        <f t="array" ref="E8072">- ACETYLCYSTEINE</f>
        <v>#NAME?</v>
      </c>
      <c r="F8072" t="s">
        <v>36191</v>
      </c>
      <c r="G8072" t="s">
        <v>36192</v>
      </c>
      <c r="H8072" t="s">
        <v>36193</v>
      </c>
      <c r="I8072" t="s">
        <v>36194</v>
      </c>
      <c r="J8072" t="s">
        <v>36195</v>
      </c>
      <c r="K8072" t="s">
        <v>17458</v>
      </c>
      <c r="L8072" t="s">
        <v>36196</v>
      </c>
      <c r="M8072" t="s">
        <v>46</v>
      </c>
      <c r="N8072" t="s">
        <v>9045</v>
      </c>
      <c r="O8072" t="s">
        <v>36197</v>
      </c>
      <c r="P8072" t="s">
        <v>36198</v>
      </c>
      <c r="Q8072" t="s">
        <v>36199</v>
      </c>
      <c r="R8072">
        <v>23</v>
      </c>
      <c r="S8072">
        <v>32</v>
      </c>
    </row>
    <row r="8073" spans="1:19" x14ac:dyDescent="0.35">
      <c r="A8073">
        <v>2151</v>
      </c>
      <c r="B8073" t="s">
        <v>36430</v>
      </c>
      <c r="C8073" t="s">
        <v>42</v>
      </c>
      <c r="D8073" t="s">
        <v>36431</v>
      </c>
      <c r="E8073" t="e" cm="1">
        <f t="array" ref="E8073">- CYANOCOBALAMIN</f>
        <v>#NAME?</v>
      </c>
      <c r="F8073" t="s">
        <v>36432</v>
      </c>
      <c r="G8073" t="s">
        <v>5923</v>
      </c>
      <c r="H8073" t="s">
        <v>36433</v>
      </c>
      <c r="I8073" t="s">
        <v>36434</v>
      </c>
      <c r="J8073" t="s">
        <v>36435</v>
      </c>
      <c r="K8073" t="s">
        <v>36436</v>
      </c>
      <c r="L8073" t="s">
        <v>36437</v>
      </c>
      <c r="M8073" t="s">
        <v>291</v>
      </c>
      <c r="N8073" t="s">
        <v>677</v>
      </c>
      <c r="O8073" t="s">
        <v>36438</v>
      </c>
      <c r="P8073" t="s">
        <v>36439</v>
      </c>
      <c r="Q8073" t="s">
        <v>36440</v>
      </c>
      <c r="R8073">
        <v>23</v>
      </c>
      <c r="S8073">
        <v>32</v>
      </c>
    </row>
    <row r="8074" spans="1:19" x14ac:dyDescent="0.35">
      <c r="A8074">
        <v>1780</v>
      </c>
      <c r="B8074" t="s">
        <v>36441</v>
      </c>
      <c r="C8074" t="s">
        <v>20</v>
      </c>
      <c r="D8074" t="s">
        <v>36442</v>
      </c>
      <c r="E8074" t="s">
        <v>36443</v>
      </c>
      <c r="F8074" t="s">
        <v>36444</v>
      </c>
      <c r="G8074" t="s">
        <v>23559</v>
      </c>
      <c r="H8074" t="s">
        <v>16824</v>
      </c>
      <c r="I8074" t="s">
        <v>36108</v>
      </c>
      <c r="J8074" t="s">
        <v>846</v>
      </c>
      <c r="M8074" t="s">
        <v>2115</v>
      </c>
      <c r="N8074" t="s">
        <v>36445</v>
      </c>
      <c r="O8074" t="s">
        <v>36110</v>
      </c>
      <c r="P8074" t="s">
        <v>36414</v>
      </c>
      <c r="Q8074" t="s">
        <v>36446</v>
      </c>
      <c r="R8074">
        <v>23</v>
      </c>
      <c r="S8074">
        <v>32</v>
      </c>
    </row>
    <row r="8075" spans="1:19" x14ac:dyDescent="0.35">
      <c r="A8075">
        <v>7263</v>
      </c>
      <c r="B8075" t="s">
        <v>35750</v>
      </c>
      <c r="C8075" t="s">
        <v>20</v>
      </c>
      <c r="D8075" t="s">
        <v>35751</v>
      </c>
      <c r="E8075" t="s">
        <v>35752</v>
      </c>
      <c r="F8075" t="s">
        <v>35753</v>
      </c>
      <c r="H8075" t="s">
        <v>1322</v>
      </c>
      <c r="I8075" t="s">
        <v>35754</v>
      </c>
      <c r="J8075" t="s">
        <v>614</v>
      </c>
      <c r="M8075" t="s">
        <v>2115</v>
      </c>
      <c r="N8075" t="s">
        <v>35755</v>
      </c>
      <c r="O8075" t="s">
        <v>35756</v>
      </c>
      <c r="P8075" t="s">
        <v>35757</v>
      </c>
      <c r="Q8075" t="s">
        <v>35758</v>
      </c>
      <c r="R8075">
        <v>23</v>
      </c>
      <c r="S8075">
        <v>32</v>
      </c>
    </row>
    <row r="8076" spans="1:19" x14ac:dyDescent="0.35">
      <c r="A8076">
        <v>1868</v>
      </c>
      <c r="B8076" t="s">
        <v>36447</v>
      </c>
      <c r="C8076" t="s">
        <v>42</v>
      </c>
      <c r="D8076" t="s">
        <v>36448</v>
      </c>
      <c r="E8076" t="e" cm="1">
        <f t="array" ref="E8076">- AMMONIUM CHLORIDE</f>
        <v>#NAME?</v>
      </c>
      <c r="F8076" t="s">
        <v>36449</v>
      </c>
      <c r="G8076" t="s">
        <v>2241</v>
      </c>
      <c r="H8076" t="s">
        <v>36450</v>
      </c>
      <c r="I8076" t="s">
        <v>29641</v>
      </c>
      <c r="J8076" t="s">
        <v>17181</v>
      </c>
      <c r="K8076" t="s">
        <v>36451</v>
      </c>
      <c r="L8076" t="s">
        <v>36452</v>
      </c>
      <c r="M8076" t="s">
        <v>271</v>
      </c>
      <c r="N8076" t="s">
        <v>1672</v>
      </c>
      <c r="O8076" t="s">
        <v>29642</v>
      </c>
      <c r="P8076" t="s">
        <v>36453</v>
      </c>
      <c r="Q8076" t="s">
        <v>36454</v>
      </c>
      <c r="R8076">
        <v>23</v>
      </c>
      <c r="S8076">
        <v>32</v>
      </c>
    </row>
    <row r="8077" spans="1:19" x14ac:dyDescent="0.35">
      <c r="A8077">
        <v>2180</v>
      </c>
      <c r="B8077" t="s">
        <v>36455</v>
      </c>
      <c r="C8077" t="s">
        <v>42</v>
      </c>
      <c r="D8077" t="s">
        <v>36456</v>
      </c>
      <c r="E8077" t="e" cm="1">
        <f t="array" ref="E8077">- ETORICOXIB</f>
        <v>#NAME?</v>
      </c>
      <c r="F8077" t="s">
        <v>36457</v>
      </c>
      <c r="G8077" t="s">
        <v>6740</v>
      </c>
      <c r="H8077" t="s">
        <v>36458</v>
      </c>
      <c r="I8077" t="s">
        <v>36459</v>
      </c>
      <c r="J8077" t="s">
        <v>571</v>
      </c>
      <c r="K8077" t="s">
        <v>36460</v>
      </c>
      <c r="L8077" t="s">
        <v>36461</v>
      </c>
    </row>
    <row r="8078" spans="1:19" x14ac:dyDescent="0.35">
      <c r="A8078">
        <v>1867</v>
      </c>
      <c r="B8078" t="s">
        <v>36447</v>
      </c>
      <c r="C8078" t="s">
        <v>42</v>
      </c>
      <c r="D8078" t="s">
        <v>36448</v>
      </c>
      <c r="E8078" t="e" cm="1">
        <f t="array" ref="E8078">- AMMONIUM CHLORIDE</f>
        <v>#NAME?</v>
      </c>
      <c r="F8078" t="s">
        <v>36449</v>
      </c>
      <c r="G8078" t="s">
        <v>2241</v>
      </c>
      <c r="H8078" t="s">
        <v>36450</v>
      </c>
      <c r="I8078" t="s">
        <v>29641</v>
      </c>
      <c r="J8078" t="s">
        <v>17181</v>
      </c>
      <c r="K8078" t="s">
        <v>36451</v>
      </c>
      <c r="L8078" t="s">
        <v>36452</v>
      </c>
      <c r="M8078" t="s">
        <v>271</v>
      </c>
      <c r="N8078" t="s">
        <v>1672</v>
      </c>
      <c r="O8078" t="s">
        <v>29642</v>
      </c>
      <c r="P8078" t="s">
        <v>36453</v>
      </c>
      <c r="Q8078" t="s">
        <v>36454</v>
      </c>
      <c r="R8078">
        <v>23</v>
      </c>
      <c r="S8078">
        <v>32</v>
      </c>
    </row>
    <row r="8079" spans="1:19" x14ac:dyDescent="0.35">
      <c r="A8079">
        <v>5966</v>
      </c>
      <c r="B8079" t="s">
        <v>36462</v>
      </c>
      <c r="C8079" t="s">
        <v>42</v>
      </c>
      <c r="D8079" t="s">
        <v>36463</v>
      </c>
      <c r="E8079" t="e" cm="1">
        <f t="array" ref="E8079">- CHLORAMPHENICOL</f>
        <v>#NAME?</v>
      </c>
      <c r="F8079" s="1">
        <v>16100</v>
      </c>
      <c r="G8079" t="s">
        <v>32716</v>
      </c>
      <c r="H8079" t="s">
        <v>36464</v>
      </c>
      <c r="I8079" t="s">
        <v>36465</v>
      </c>
      <c r="J8079" t="s">
        <v>334</v>
      </c>
      <c r="L8079" t="s">
        <v>36466</v>
      </c>
      <c r="M8079" t="s">
        <v>340</v>
      </c>
      <c r="N8079" t="s">
        <v>1188</v>
      </c>
      <c r="O8079" t="s">
        <v>36467</v>
      </c>
      <c r="P8079" t="s">
        <v>36468</v>
      </c>
      <c r="Q8079" t="s">
        <v>36469</v>
      </c>
      <c r="R8079">
        <v>23</v>
      </c>
      <c r="S8079">
        <v>32</v>
      </c>
    </row>
    <row r="8080" spans="1:19" x14ac:dyDescent="0.35">
      <c r="A8080">
        <v>633</v>
      </c>
      <c r="B8080" t="s">
        <v>23289</v>
      </c>
      <c r="C8080" t="s">
        <v>42</v>
      </c>
      <c r="D8080" t="s">
        <v>36090</v>
      </c>
      <c r="E8080" t="e" cm="1">
        <f t="array" ref="E8080">- OXYGEN</f>
        <v>#NAME?</v>
      </c>
      <c r="F8080" t="s">
        <v>36271</v>
      </c>
      <c r="H8080" t="s">
        <v>9172</v>
      </c>
      <c r="I8080" t="s">
        <v>36091</v>
      </c>
      <c r="J8080" t="s">
        <v>36092</v>
      </c>
      <c r="M8080" t="s">
        <v>23298</v>
      </c>
      <c r="N8080" t="s">
        <v>23299</v>
      </c>
      <c r="O8080" t="s">
        <v>36093</v>
      </c>
      <c r="P8080" t="s">
        <v>36094</v>
      </c>
      <c r="Q8080" t="s">
        <v>36095</v>
      </c>
      <c r="R8080">
        <v>23</v>
      </c>
      <c r="S8080">
        <v>32</v>
      </c>
    </row>
    <row r="8081" spans="1:19" x14ac:dyDescent="0.35">
      <c r="A8081">
        <v>4359</v>
      </c>
      <c r="B8081" t="s">
        <v>1637</v>
      </c>
      <c r="C8081" t="s">
        <v>42</v>
      </c>
      <c r="D8081" t="s">
        <v>35877</v>
      </c>
      <c r="E8081" t="e" cm="1">
        <f t="array" ref="E8081">- OFLOXACIN</f>
        <v>#NAME?</v>
      </c>
      <c r="F8081" t="s">
        <v>35878</v>
      </c>
      <c r="G8081" t="s">
        <v>35879</v>
      </c>
      <c r="H8081" t="s">
        <v>35880</v>
      </c>
      <c r="I8081" t="s">
        <v>35881</v>
      </c>
      <c r="J8081" t="s">
        <v>3856</v>
      </c>
      <c r="M8081" t="s">
        <v>824</v>
      </c>
      <c r="N8081" t="s">
        <v>1640</v>
      </c>
      <c r="O8081" t="s">
        <v>35882</v>
      </c>
      <c r="P8081" t="s">
        <v>35883</v>
      </c>
      <c r="Q8081" t="s">
        <v>36470</v>
      </c>
      <c r="R8081">
        <v>23</v>
      </c>
      <c r="S8081">
        <v>32</v>
      </c>
    </row>
    <row r="8082" spans="1:19" x14ac:dyDescent="0.35">
      <c r="A8082">
        <v>3119</v>
      </c>
      <c r="B8082" t="s">
        <v>28071</v>
      </c>
      <c r="C8082" t="s">
        <v>42</v>
      </c>
      <c r="D8082" t="s">
        <v>28092</v>
      </c>
      <c r="E8082" t="s">
        <v>36471</v>
      </c>
      <c r="F8082" t="s">
        <v>28093</v>
      </c>
      <c r="G8082" t="s">
        <v>26573</v>
      </c>
      <c r="H8082" t="s">
        <v>28094</v>
      </c>
      <c r="I8082" t="s">
        <v>26575</v>
      </c>
      <c r="J8082" t="s">
        <v>2083</v>
      </c>
      <c r="K8082" t="s">
        <v>26577</v>
      </c>
      <c r="L8082" t="s">
        <v>26578</v>
      </c>
      <c r="M8082" t="s">
        <v>340</v>
      </c>
      <c r="N8082" t="s">
        <v>36472</v>
      </c>
      <c r="O8082" t="s">
        <v>26579</v>
      </c>
      <c r="P8082" t="s">
        <v>26580</v>
      </c>
      <c r="Q8082" t="s">
        <v>36473</v>
      </c>
      <c r="R8082">
        <v>23</v>
      </c>
      <c r="S8082">
        <v>32</v>
      </c>
    </row>
    <row r="8083" spans="1:19" x14ac:dyDescent="0.35">
      <c r="A8083">
        <v>1112</v>
      </c>
      <c r="B8083" t="s">
        <v>36474</v>
      </c>
      <c r="C8083" t="s">
        <v>42</v>
      </c>
      <c r="D8083" t="s">
        <v>36475</v>
      </c>
      <c r="E8083" t="e" cm="1">
        <f t="array" ref="E8083">- ACETYLCYSTEINE</f>
        <v>#NAME?</v>
      </c>
      <c r="F8083" s="1">
        <v>31300</v>
      </c>
      <c r="G8083" t="s">
        <v>33740</v>
      </c>
      <c r="H8083" t="s">
        <v>33741</v>
      </c>
      <c r="I8083" t="s">
        <v>35911</v>
      </c>
      <c r="J8083" t="s">
        <v>36476</v>
      </c>
      <c r="L8083" t="s">
        <v>36477</v>
      </c>
      <c r="M8083" t="s">
        <v>46</v>
      </c>
      <c r="N8083" t="s">
        <v>9045</v>
      </c>
      <c r="O8083" t="s">
        <v>35913</v>
      </c>
      <c r="P8083" t="s">
        <v>36478</v>
      </c>
      <c r="Q8083" t="s">
        <v>36479</v>
      </c>
      <c r="R8083">
        <v>23</v>
      </c>
      <c r="S8083">
        <v>32</v>
      </c>
    </row>
    <row r="8084" spans="1:19" x14ac:dyDescent="0.35">
      <c r="A8084">
        <v>3116</v>
      </c>
      <c r="B8084" t="s">
        <v>28071</v>
      </c>
      <c r="C8084" t="s">
        <v>42</v>
      </c>
      <c r="D8084" t="s">
        <v>28072</v>
      </c>
      <c r="E8084" t="s">
        <v>36404</v>
      </c>
      <c r="F8084" t="s">
        <v>28073</v>
      </c>
      <c r="G8084" t="s">
        <v>26573</v>
      </c>
      <c r="H8084" t="s">
        <v>28074</v>
      </c>
      <c r="I8084" t="s">
        <v>26575</v>
      </c>
      <c r="J8084" t="s">
        <v>374</v>
      </c>
      <c r="K8084" t="s">
        <v>26577</v>
      </c>
      <c r="L8084" t="s">
        <v>26578</v>
      </c>
      <c r="M8084" t="s">
        <v>340</v>
      </c>
      <c r="N8084" t="s">
        <v>36405</v>
      </c>
      <c r="O8084" t="s">
        <v>26579</v>
      </c>
      <c r="P8084" t="s">
        <v>26580</v>
      </c>
      <c r="Q8084" t="s">
        <v>36406</v>
      </c>
      <c r="R8084">
        <v>23</v>
      </c>
      <c r="S8084">
        <v>32</v>
      </c>
    </row>
    <row r="8085" spans="1:19" x14ac:dyDescent="0.35">
      <c r="A8085">
        <v>6723</v>
      </c>
      <c r="B8085" t="s">
        <v>35979</v>
      </c>
      <c r="C8085" t="s">
        <v>42</v>
      </c>
      <c r="D8085" t="s">
        <v>35980</v>
      </c>
      <c r="E8085" t="e" cm="1">
        <f t="array" ref="E8085">- CALCITRIOL</f>
        <v>#NAME?</v>
      </c>
      <c r="F8085" t="s">
        <v>35981</v>
      </c>
      <c r="G8085" t="s">
        <v>18386</v>
      </c>
      <c r="H8085" t="s">
        <v>35982</v>
      </c>
      <c r="I8085" t="s">
        <v>34690</v>
      </c>
      <c r="J8085" t="s">
        <v>35983</v>
      </c>
      <c r="K8085" t="s">
        <v>34692</v>
      </c>
      <c r="L8085" t="s">
        <v>35984</v>
      </c>
      <c r="M8085" t="s">
        <v>38</v>
      </c>
      <c r="N8085" t="s">
        <v>442</v>
      </c>
      <c r="O8085" t="s">
        <v>34694</v>
      </c>
      <c r="P8085" t="s">
        <v>35985</v>
      </c>
      <c r="Q8085" t="s">
        <v>35986</v>
      </c>
      <c r="R8085">
        <v>23</v>
      </c>
      <c r="S8085">
        <v>32</v>
      </c>
    </row>
    <row r="8086" spans="1:19" x14ac:dyDescent="0.35">
      <c r="A8086">
        <v>7307</v>
      </c>
      <c r="B8086" t="s">
        <v>35291</v>
      </c>
      <c r="C8086" t="s">
        <v>42</v>
      </c>
      <c r="D8086" t="s">
        <v>35292</v>
      </c>
      <c r="E8086" t="e" cm="1">
        <f t="array" ref="E8086">- TOLTERODINE L-TARTRATE</f>
        <v>#NAME?</v>
      </c>
      <c r="F8086" t="s">
        <v>35293</v>
      </c>
      <c r="G8086" t="s">
        <v>60</v>
      </c>
      <c r="H8086" t="s">
        <v>21015</v>
      </c>
      <c r="I8086" t="s">
        <v>35294</v>
      </c>
      <c r="J8086" t="s">
        <v>35295</v>
      </c>
      <c r="K8086" t="s">
        <v>35296</v>
      </c>
      <c r="L8086" t="s">
        <v>35297</v>
      </c>
      <c r="M8086" t="s">
        <v>46</v>
      </c>
      <c r="N8086" t="s">
        <v>36480</v>
      </c>
      <c r="O8086" t="s">
        <v>35299</v>
      </c>
      <c r="P8086" t="s">
        <v>35300</v>
      </c>
      <c r="Q8086" t="s">
        <v>36481</v>
      </c>
      <c r="R8086">
        <v>23</v>
      </c>
      <c r="S8086">
        <v>32</v>
      </c>
    </row>
    <row r="8087" spans="1:19" x14ac:dyDescent="0.35">
      <c r="A8087">
        <v>6868</v>
      </c>
      <c r="B8087" t="s">
        <v>35764</v>
      </c>
      <c r="C8087" t="s">
        <v>850</v>
      </c>
      <c r="D8087" t="s">
        <v>36339</v>
      </c>
      <c r="E8087" t="e" cm="1">
        <f t="array" ref="E8087">- DL-Camphor</f>
        <v>#NAME?</v>
      </c>
      <c r="F8087" t="s">
        <v>36340</v>
      </c>
      <c r="G8087" t="s">
        <v>35767</v>
      </c>
      <c r="H8087" t="s">
        <v>36341</v>
      </c>
      <c r="I8087" t="s">
        <v>36342</v>
      </c>
      <c r="J8087" t="s">
        <v>33295</v>
      </c>
      <c r="K8087" t="s">
        <v>2726</v>
      </c>
      <c r="L8087" t="s">
        <v>36225</v>
      </c>
      <c r="N8087" t="s">
        <v>33298</v>
      </c>
      <c r="O8087" t="s">
        <v>35772</v>
      </c>
      <c r="P8087" t="s">
        <v>36343</v>
      </c>
      <c r="Q8087" t="s">
        <v>36344</v>
      </c>
      <c r="R8087">
        <v>23</v>
      </c>
      <c r="S8087">
        <v>32</v>
      </c>
    </row>
    <row r="8088" spans="1:19" x14ac:dyDescent="0.35">
      <c r="A8088">
        <v>3115</v>
      </c>
      <c r="B8088" t="s">
        <v>28071</v>
      </c>
      <c r="C8088" t="s">
        <v>42</v>
      </c>
      <c r="D8088" t="s">
        <v>28072</v>
      </c>
      <c r="E8088" t="s">
        <v>36471</v>
      </c>
      <c r="F8088" t="s">
        <v>28073</v>
      </c>
      <c r="G8088" t="s">
        <v>26573</v>
      </c>
      <c r="H8088" t="s">
        <v>28074</v>
      </c>
      <c r="I8088" t="s">
        <v>26575</v>
      </c>
      <c r="J8088" t="s">
        <v>374</v>
      </c>
      <c r="K8088" t="s">
        <v>26577</v>
      </c>
      <c r="L8088" t="s">
        <v>26578</v>
      </c>
      <c r="M8088" t="s">
        <v>340</v>
      </c>
      <c r="N8088" t="s">
        <v>36472</v>
      </c>
      <c r="O8088" t="s">
        <v>26579</v>
      </c>
      <c r="P8088" t="s">
        <v>26580</v>
      </c>
      <c r="Q8088" t="s">
        <v>36473</v>
      </c>
      <c r="R8088">
        <v>23</v>
      </c>
      <c r="S8088">
        <v>32</v>
      </c>
    </row>
    <row r="8089" spans="1:19" x14ac:dyDescent="0.35">
      <c r="A8089">
        <v>5799</v>
      </c>
      <c r="B8089" t="s">
        <v>36482</v>
      </c>
      <c r="C8089" t="s">
        <v>42</v>
      </c>
      <c r="D8089" t="s">
        <v>36483</v>
      </c>
      <c r="E8089" t="e" cm="1">
        <f t="array" ref="E8089">- CLINDAMYCIN HYDROCHLORIDE</f>
        <v>#NAME?</v>
      </c>
      <c r="F8089" t="s">
        <v>36484</v>
      </c>
      <c r="G8089" t="s">
        <v>2241</v>
      </c>
      <c r="H8089" t="s">
        <v>27129</v>
      </c>
      <c r="I8089" t="s">
        <v>36485</v>
      </c>
      <c r="J8089" t="s">
        <v>36486</v>
      </c>
      <c r="K8089" t="s">
        <v>27282</v>
      </c>
      <c r="L8089" t="s">
        <v>27131</v>
      </c>
      <c r="M8089" t="s">
        <v>38</v>
      </c>
      <c r="N8089" t="s">
        <v>23622</v>
      </c>
      <c r="O8089" t="s">
        <v>36487</v>
      </c>
      <c r="P8089" t="s">
        <v>27285</v>
      </c>
      <c r="Q8089" t="s">
        <v>36488</v>
      </c>
      <c r="R8089">
        <v>24</v>
      </c>
      <c r="S8089">
        <v>32</v>
      </c>
    </row>
    <row r="8090" spans="1:19" x14ac:dyDescent="0.35">
      <c r="A8090">
        <v>1363</v>
      </c>
      <c r="B8090" t="s">
        <v>2074</v>
      </c>
      <c r="C8090" t="s">
        <v>42</v>
      </c>
      <c r="D8090" t="s">
        <v>36489</v>
      </c>
      <c r="E8090" t="e" cm="1">
        <f t="array" ref="E8090">- GUAIFENESIN</f>
        <v>#NAME?</v>
      </c>
      <c r="F8090" t="s">
        <v>36490</v>
      </c>
      <c r="G8090" t="s">
        <v>36491</v>
      </c>
      <c r="H8090" t="s">
        <v>36492</v>
      </c>
      <c r="I8090" t="s">
        <v>36493</v>
      </c>
      <c r="J8090" t="s">
        <v>6679</v>
      </c>
      <c r="K8090" t="s">
        <v>36494</v>
      </c>
      <c r="L8090" t="s">
        <v>36495</v>
      </c>
      <c r="M8090" t="s">
        <v>46</v>
      </c>
      <c r="N8090" t="s">
        <v>361</v>
      </c>
      <c r="O8090" t="s">
        <v>36496</v>
      </c>
      <c r="P8090" t="s">
        <v>36497</v>
      </c>
      <c r="Q8090" t="s">
        <v>36498</v>
      </c>
      <c r="R8090">
        <v>24</v>
      </c>
      <c r="S8090">
        <v>32</v>
      </c>
    </row>
    <row r="8091" spans="1:19" x14ac:dyDescent="0.35">
      <c r="A8091">
        <v>851</v>
      </c>
      <c r="B8091" t="s">
        <v>36189</v>
      </c>
      <c r="C8091" t="s">
        <v>42</v>
      </c>
      <c r="D8091" t="s">
        <v>36190</v>
      </c>
      <c r="E8091" t="e" cm="1">
        <f t="array" ref="E8091">- ACETYL CYSTEINE</f>
        <v>#NAME?</v>
      </c>
      <c r="F8091" t="s">
        <v>36191</v>
      </c>
      <c r="G8091" t="s">
        <v>36192</v>
      </c>
      <c r="H8091" t="s">
        <v>36193</v>
      </c>
      <c r="I8091" t="s">
        <v>36194</v>
      </c>
      <c r="J8091" t="s">
        <v>36195</v>
      </c>
      <c r="K8091" t="s">
        <v>17458</v>
      </c>
      <c r="L8091" t="s">
        <v>36196</v>
      </c>
      <c r="M8091" t="s">
        <v>46</v>
      </c>
      <c r="N8091" t="s">
        <v>1309</v>
      </c>
      <c r="O8091" t="s">
        <v>36197</v>
      </c>
      <c r="P8091" t="s">
        <v>36198</v>
      </c>
      <c r="Q8091" t="s">
        <v>36499</v>
      </c>
      <c r="R8091">
        <v>24</v>
      </c>
      <c r="S8091">
        <v>32</v>
      </c>
    </row>
    <row r="8092" spans="1:19" x14ac:dyDescent="0.35">
      <c r="A8092">
        <v>8158</v>
      </c>
      <c r="B8092" t="s">
        <v>551</v>
      </c>
      <c r="C8092" t="s">
        <v>42</v>
      </c>
      <c r="D8092" t="s">
        <v>36500</v>
      </c>
      <c r="E8092" t="e" cm="1">
        <f t="array" ref="E8092">- POVIDONE-IODINE</f>
        <v>#NAME?</v>
      </c>
      <c r="F8092" t="s">
        <v>36501</v>
      </c>
      <c r="G8092" t="s">
        <v>20050</v>
      </c>
      <c r="H8092" t="s">
        <v>13198</v>
      </c>
      <c r="I8092" t="s">
        <v>36502</v>
      </c>
      <c r="J8092" t="s">
        <v>36503</v>
      </c>
      <c r="L8092" t="s">
        <v>20053</v>
      </c>
      <c r="M8092" t="s">
        <v>554</v>
      </c>
      <c r="N8092" t="s">
        <v>555</v>
      </c>
      <c r="O8092" t="s">
        <v>36504</v>
      </c>
      <c r="P8092" t="s">
        <v>27539</v>
      </c>
      <c r="Q8092" t="s">
        <v>36505</v>
      </c>
      <c r="R8092">
        <v>24</v>
      </c>
      <c r="S8092">
        <v>32</v>
      </c>
    </row>
    <row r="8093" spans="1:19" x14ac:dyDescent="0.35">
      <c r="A8093">
        <v>5800</v>
      </c>
      <c r="B8093" t="s">
        <v>36482</v>
      </c>
      <c r="C8093" t="s">
        <v>42</v>
      </c>
      <c r="D8093" t="s">
        <v>36483</v>
      </c>
      <c r="E8093" t="e" cm="1">
        <f t="array" ref="E8093">- CLINDAMYCIN HYDROCHLORIDE</f>
        <v>#NAME?</v>
      </c>
      <c r="F8093" t="s">
        <v>36484</v>
      </c>
      <c r="G8093" t="s">
        <v>2241</v>
      </c>
      <c r="H8093" t="s">
        <v>27129</v>
      </c>
      <c r="I8093" t="s">
        <v>36485</v>
      </c>
      <c r="J8093" t="s">
        <v>36486</v>
      </c>
      <c r="K8093" t="s">
        <v>27282</v>
      </c>
      <c r="L8093" t="s">
        <v>27131</v>
      </c>
      <c r="M8093" t="s">
        <v>38</v>
      </c>
      <c r="N8093" t="s">
        <v>23622</v>
      </c>
      <c r="O8093" t="s">
        <v>36487</v>
      </c>
      <c r="P8093" t="s">
        <v>27285</v>
      </c>
      <c r="Q8093" t="s">
        <v>36488</v>
      </c>
      <c r="R8093">
        <v>24</v>
      </c>
      <c r="S8093">
        <v>32</v>
      </c>
    </row>
    <row r="8094" spans="1:19" x14ac:dyDescent="0.35">
      <c r="A8094">
        <v>2135</v>
      </c>
      <c r="B8094" t="s">
        <v>36506</v>
      </c>
      <c r="C8094" t="s">
        <v>42</v>
      </c>
      <c r="D8094" t="s">
        <v>36507</v>
      </c>
      <c r="E8094" t="e" cm="1">
        <f t="array" ref="E8094">- MELOXICAM</f>
        <v>#NAME?</v>
      </c>
      <c r="F8094" t="s">
        <v>36508</v>
      </c>
      <c r="G8094" t="s">
        <v>17569</v>
      </c>
      <c r="H8094" t="s">
        <v>36509</v>
      </c>
      <c r="I8094" t="s">
        <v>36510</v>
      </c>
      <c r="J8094" t="s">
        <v>381</v>
      </c>
      <c r="K8094" t="s">
        <v>36511</v>
      </c>
      <c r="L8094" t="s">
        <v>36512</v>
      </c>
      <c r="M8094" t="s">
        <v>46</v>
      </c>
      <c r="N8094" t="s">
        <v>412</v>
      </c>
      <c r="O8094" t="s">
        <v>36513</v>
      </c>
      <c r="P8094" t="s">
        <v>412</v>
      </c>
      <c r="Q8094" t="s">
        <v>36514</v>
      </c>
      <c r="R8094">
        <v>24</v>
      </c>
      <c r="S8094">
        <v>32</v>
      </c>
    </row>
    <row r="8095" spans="1:19" x14ac:dyDescent="0.35">
      <c r="A8095">
        <v>8159</v>
      </c>
      <c r="B8095" t="s">
        <v>551</v>
      </c>
      <c r="C8095" t="s">
        <v>42</v>
      </c>
      <c r="D8095" t="s">
        <v>36500</v>
      </c>
      <c r="E8095" t="e" cm="1">
        <f t="array" ref="E8095">- POVIDONE-IODINE</f>
        <v>#NAME?</v>
      </c>
      <c r="F8095" t="s">
        <v>36501</v>
      </c>
      <c r="G8095" t="s">
        <v>20050</v>
      </c>
      <c r="H8095" t="s">
        <v>13198</v>
      </c>
      <c r="I8095" t="s">
        <v>36502</v>
      </c>
      <c r="J8095" t="s">
        <v>36503</v>
      </c>
      <c r="L8095" t="s">
        <v>20053</v>
      </c>
      <c r="M8095" t="s">
        <v>554</v>
      </c>
      <c r="N8095" t="s">
        <v>555</v>
      </c>
      <c r="O8095" t="s">
        <v>36504</v>
      </c>
      <c r="P8095" t="s">
        <v>27539</v>
      </c>
      <c r="Q8095" t="s">
        <v>36505</v>
      </c>
      <c r="R8095">
        <v>24</v>
      </c>
      <c r="S8095">
        <v>32</v>
      </c>
    </row>
    <row r="8096" spans="1:19" x14ac:dyDescent="0.35">
      <c r="A8096">
        <v>982</v>
      </c>
      <c r="B8096" t="s">
        <v>31180</v>
      </c>
      <c r="C8096" t="s">
        <v>42</v>
      </c>
      <c r="D8096" t="s">
        <v>31181</v>
      </c>
      <c r="E8096" t="e" cm="1">
        <f t="array" ref="E8096">- DEXTROMETHORPHAN HYDROBROMIDE. GUAIFENESIN. SODIUM CITRATE. PROMETHAZINE HYDROCHLORIDE</f>
        <v>#NAME?</v>
      </c>
      <c r="F8096" t="s">
        <v>31182</v>
      </c>
      <c r="G8096" t="s">
        <v>1691</v>
      </c>
      <c r="H8096" t="s">
        <v>31183</v>
      </c>
      <c r="I8096" t="s">
        <v>31184</v>
      </c>
      <c r="J8096" t="s">
        <v>334</v>
      </c>
      <c r="K8096" t="s">
        <v>31185</v>
      </c>
      <c r="L8096" t="s">
        <v>31186</v>
      </c>
      <c r="M8096" t="s">
        <v>271</v>
      </c>
      <c r="N8096" t="s">
        <v>36515</v>
      </c>
      <c r="O8096" t="s">
        <v>31187</v>
      </c>
      <c r="P8096" t="s">
        <v>8499</v>
      </c>
      <c r="Q8096" t="s">
        <v>36516</v>
      </c>
      <c r="R8096">
        <v>24</v>
      </c>
      <c r="S8096">
        <v>32</v>
      </c>
    </row>
    <row r="8097" spans="1:19" x14ac:dyDescent="0.35">
      <c r="A8097">
        <v>1360</v>
      </c>
      <c r="B8097" t="s">
        <v>2074</v>
      </c>
      <c r="C8097" t="s">
        <v>42</v>
      </c>
      <c r="D8097" t="s">
        <v>36517</v>
      </c>
      <c r="E8097" t="e" cm="1">
        <f t="array" ref="E8097">- GUAIFENESIN</f>
        <v>#NAME?</v>
      </c>
      <c r="F8097" t="s">
        <v>36518</v>
      </c>
      <c r="G8097" t="s">
        <v>29802</v>
      </c>
      <c r="H8097" t="s">
        <v>29898</v>
      </c>
      <c r="I8097" t="s">
        <v>36519</v>
      </c>
      <c r="J8097" t="s">
        <v>6679</v>
      </c>
      <c r="M8097" t="s">
        <v>46</v>
      </c>
      <c r="N8097" t="s">
        <v>361</v>
      </c>
      <c r="O8097" t="s">
        <v>36520</v>
      </c>
      <c r="P8097" t="s">
        <v>36521</v>
      </c>
      <c r="Q8097" t="s">
        <v>36522</v>
      </c>
      <c r="R8097">
        <v>24</v>
      </c>
      <c r="S8097">
        <v>32</v>
      </c>
    </row>
    <row r="8098" spans="1:19" x14ac:dyDescent="0.35">
      <c r="A8098">
        <v>2136</v>
      </c>
      <c r="B8098" t="s">
        <v>36506</v>
      </c>
      <c r="C8098" t="s">
        <v>42</v>
      </c>
      <c r="D8098" t="s">
        <v>36507</v>
      </c>
      <c r="E8098" t="e" cm="1">
        <f t="array" ref="E8098">- MELOXICAM</f>
        <v>#NAME?</v>
      </c>
      <c r="F8098" t="s">
        <v>36508</v>
      </c>
      <c r="G8098" t="s">
        <v>17569</v>
      </c>
      <c r="H8098" t="s">
        <v>36509</v>
      </c>
      <c r="I8098" t="s">
        <v>36510</v>
      </c>
      <c r="J8098" t="s">
        <v>381</v>
      </c>
      <c r="K8098" t="s">
        <v>36511</v>
      </c>
      <c r="L8098" t="s">
        <v>36512</v>
      </c>
      <c r="M8098" t="s">
        <v>46</v>
      </c>
      <c r="N8098" t="s">
        <v>412</v>
      </c>
      <c r="O8098" t="s">
        <v>36513</v>
      </c>
      <c r="P8098" t="s">
        <v>412</v>
      </c>
      <c r="Q8098" t="s">
        <v>36514</v>
      </c>
      <c r="R8098">
        <v>24</v>
      </c>
      <c r="S8098">
        <v>32</v>
      </c>
    </row>
    <row r="8099" spans="1:19" x14ac:dyDescent="0.35">
      <c r="A8099">
        <v>3341</v>
      </c>
      <c r="B8099" t="s">
        <v>36523</v>
      </c>
      <c r="C8099" t="s">
        <v>42</v>
      </c>
      <c r="D8099" t="s">
        <v>36524</v>
      </c>
      <c r="E8099" t="e" cm="1">
        <f t="array" ref="E8099">- CALCIUM CARBONATE. MAGNESIUM HYDROXIDE. FAMOTIDINE</f>
        <v>#NAME?</v>
      </c>
      <c r="F8099" t="s">
        <v>23418</v>
      </c>
      <c r="G8099" t="s">
        <v>60</v>
      </c>
      <c r="H8099" t="s">
        <v>36525</v>
      </c>
      <c r="I8099" t="s">
        <v>36526</v>
      </c>
      <c r="J8099" t="s">
        <v>21186</v>
      </c>
      <c r="K8099" t="s">
        <v>28264</v>
      </c>
      <c r="L8099" t="s">
        <v>28265</v>
      </c>
      <c r="M8099" t="s">
        <v>46</v>
      </c>
      <c r="N8099" t="s">
        <v>36527</v>
      </c>
      <c r="O8099" t="s">
        <v>36528</v>
      </c>
      <c r="P8099" t="s">
        <v>36529</v>
      </c>
      <c r="Q8099" t="s">
        <v>36530</v>
      </c>
      <c r="R8099">
        <v>24</v>
      </c>
      <c r="S8099">
        <v>32</v>
      </c>
    </row>
    <row r="8100" spans="1:19" x14ac:dyDescent="0.35">
      <c r="A8100">
        <v>3493</v>
      </c>
      <c r="B8100" t="s">
        <v>36531</v>
      </c>
      <c r="C8100" t="s">
        <v>42</v>
      </c>
      <c r="D8100" t="s">
        <v>36532</v>
      </c>
      <c r="E8100" t="e" cm="1">
        <f t="array" ref="E8100">- DIMENHYDRINATE</f>
        <v>#NAME?</v>
      </c>
      <c r="F8100" t="s">
        <v>36533</v>
      </c>
      <c r="G8100" t="s">
        <v>60</v>
      </c>
      <c r="H8100" t="s">
        <v>36534</v>
      </c>
      <c r="I8100" t="s">
        <v>36535</v>
      </c>
      <c r="J8100" t="s">
        <v>36536</v>
      </c>
      <c r="K8100" t="s">
        <v>36537</v>
      </c>
      <c r="L8100" t="s">
        <v>36538</v>
      </c>
      <c r="M8100" t="s">
        <v>46</v>
      </c>
      <c r="N8100" t="s">
        <v>329</v>
      </c>
      <c r="O8100" t="s">
        <v>36539</v>
      </c>
      <c r="P8100" t="s">
        <v>36540</v>
      </c>
      <c r="Q8100" t="s">
        <v>36541</v>
      </c>
      <c r="R8100">
        <v>24</v>
      </c>
      <c r="S8100">
        <v>32</v>
      </c>
    </row>
    <row r="8101" spans="1:19" x14ac:dyDescent="0.35">
      <c r="A8101">
        <v>593</v>
      </c>
      <c r="B8101" t="s">
        <v>36542</v>
      </c>
      <c r="C8101" t="s">
        <v>42</v>
      </c>
      <c r="D8101" t="s">
        <v>36543</v>
      </c>
      <c r="E8101" t="e" cm="1">
        <f t="array" ref="E8101">- FENOTEROL HYDROBROMIDE</f>
        <v>#NAME?</v>
      </c>
      <c r="F8101" t="s">
        <v>36544</v>
      </c>
      <c r="G8101" t="s">
        <v>36545</v>
      </c>
      <c r="H8101" t="s">
        <v>36546</v>
      </c>
      <c r="I8101" t="s">
        <v>36547</v>
      </c>
      <c r="J8101" t="s">
        <v>36548</v>
      </c>
      <c r="K8101" t="s">
        <v>36549</v>
      </c>
      <c r="L8101" t="s">
        <v>36550</v>
      </c>
      <c r="M8101" t="s">
        <v>3453</v>
      </c>
      <c r="N8101" t="s">
        <v>36551</v>
      </c>
      <c r="O8101" t="s">
        <v>36552</v>
      </c>
      <c r="P8101" t="s">
        <v>36553</v>
      </c>
      <c r="Q8101" t="s">
        <v>36554</v>
      </c>
      <c r="R8101">
        <v>24</v>
      </c>
      <c r="S8101">
        <v>32</v>
      </c>
    </row>
    <row r="8102" spans="1:19" x14ac:dyDescent="0.35">
      <c r="A8102">
        <v>2118</v>
      </c>
      <c r="B8102" t="s">
        <v>36555</v>
      </c>
      <c r="C8102" t="s">
        <v>42</v>
      </c>
      <c r="D8102" t="s">
        <v>36556</v>
      </c>
      <c r="E8102" t="e" cm="1">
        <f t="array" ref="E8102">- MELOXICAM</f>
        <v>#NAME?</v>
      </c>
      <c r="F8102" t="s">
        <v>36557</v>
      </c>
      <c r="G8102" t="s">
        <v>17569</v>
      </c>
      <c r="H8102" t="s">
        <v>36509</v>
      </c>
      <c r="I8102" t="s">
        <v>36510</v>
      </c>
      <c r="J8102" t="s">
        <v>381</v>
      </c>
      <c r="K8102" t="s">
        <v>36511</v>
      </c>
      <c r="L8102" t="s">
        <v>36512</v>
      </c>
      <c r="M8102" t="s">
        <v>46</v>
      </c>
      <c r="N8102" t="s">
        <v>412</v>
      </c>
      <c r="O8102" t="s">
        <v>36513</v>
      </c>
      <c r="P8102" t="s">
        <v>412</v>
      </c>
      <c r="Q8102" t="s">
        <v>36514</v>
      </c>
      <c r="R8102">
        <v>24</v>
      </c>
      <c r="S8102">
        <v>32</v>
      </c>
    </row>
    <row r="8103" spans="1:19" x14ac:dyDescent="0.35">
      <c r="A8103">
        <v>727</v>
      </c>
      <c r="B8103" t="s">
        <v>36558</v>
      </c>
      <c r="C8103" t="s">
        <v>20</v>
      </c>
      <c r="D8103" t="s">
        <v>36559</v>
      </c>
      <c r="E8103" t="s">
        <v>36560</v>
      </c>
      <c r="F8103" t="s">
        <v>36561</v>
      </c>
      <c r="G8103" t="s">
        <v>36562</v>
      </c>
      <c r="H8103" t="s">
        <v>36563</v>
      </c>
      <c r="I8103" t="s">
        <v>36564</v>
      </c>
      <c r="J8103" t="s">
        <v>334</v>
      </c>
      <c r="L8103" t="s">
        <v>13303</v>
      </c>
      <c r="M8103" t="s">
        <v>2115</v>
      </c>
      <c r="N8103" t="s">
        <v>36565</v>
      </c>
      <c r="O8103" t="s">
        <v>36566</v>
      </c>
      <c r="P8103" t="s">
        <v>36567</v>
      </c>
      <c r="Q8103" t="s">
        <v>36568</v>
      </c>
      <c r="R8103">
        <v>24</v>
      </c>
      <c r="S8103">
        <v>32</v>
      </c>
    </row>
    <row r="8104" spans="1:19" x14ac:dyDescent="0.35">
      <c r="A8104">
        <v>5834</v>
      </c>
      <c r="B8104" t="s">
        <v>36569</v>
      </c>
      <c r="C8104" t="s">
        <v>42</v>
      </c>
      <c r="D8104" t="s">
        <v>36570</v>
      </c>
      <c r="E8104" t="e" cm="1">
        <f t="array" ref="E8104">- CLINDAMYCIN HYDROCHLORIDE</f>
        <v>#NAME?</v>
      </c>
      <c r="F8104" t="s">
        <v>36571</v>
      </c>
      <c r="G8104" t="s">
        <v>2241</v>
      </c>
      <c r="H8104" t="s">
        <v>27129</v>
      </c>
      <c r="I8104" t="s">
        <v>36485</v>
      </c>
      <c r="J8104" t="s">
        <v>36572</v>
      </c>
      <c r="K8104" t="s">
        <v>3952</v>
      </c>
      <c r="L8104" t="s">
        <v>27131</v>
      </c>
      <c r="M8104" t="s">
        <v>38</v>
      </c>
      <c r="N8104" t="s">
        <v>23622</v>
      </c>
      <c r="O8104" t="s">
        <v>36487</v>
      </c>
      <c r="P8104" t="s">
        <v>36573</v>
      </c>
      <c r="Q8104" t="s">
        <v>36574</v>
      </c>
      <c r="R8104">
        <v>24</v>
      </c>
      <c r="S8104">
        <v>32</v>
      </c>
    </row>
    <row r="8105" spans="1:19" x14ac:dyDescent="0.35">
      <c r="A8105">
        <v>323</v>
      </c>
      <c r="B8105" t="s">
        <v>36575</v>
      </c>
      <c r="C8105" t="s">
        <v>42</v>
      </c>
      <c r="D8105" t="s">
        <v>36576</v>
      </c>
      <c r="E8105" t="e" cm="1">
        <f t="array" ref="E8105">- PROGESTERONE</f>
        <v>#NAME?</v>
      </c>
      <c r="F8105" t="s">
        <v>36577</v>
      </c>
      <c r="G8105" t="s">
        <v>36578</v>
      </c>
      <c r="H8105" t="s">
        <v>36579</v>
      </c>
      <c r="I8105" t="s">
        <v>36580</v>
      </c>
      <c r="J8105" t="s">
        <v>36581</v>
      </c>
      <c r="K8105" t="s">
        <v>36582</v>
      </c>
      <c r="L8105" t="s">
        <v>36583</v>
      </c>
      <c r="M8105" t="s">
        <v>33534</v>
      </c>
      <c r="N8105" t="s">
        <v>8537</v>
      </c>
      <c r="O8105" t="s">
        <v>36584</v>
      </c>
      <c r="P8105" t="s">
        <v>33536</v>
      </c>
      <c r="Q8105" t="s">
        <v>36585</v>
      </c>
      <c r="R8105">
        <v>24</v>
      </c>
      <c r="S8105">
        <v>32</v>
      </c>
    </row>
    <row r="8106" spans="1:19" x14ac:dyDescent="0.35">
      <c r="A8106">
        <v>324</v>
      </c>
      <c r="B8106" t="s">
        <v>36575</v>
      </c>
      <c r="C8106" t="s">
        <v>42</v>
      </c>
      <c r="D8106" t="s">
        <v>36576</v>
      </c>
      <c r="E8106" t="e" cm="1">
        <f t="array" ref="E8106">- PROGESTERONE</f>
        <v>#NAME?</v>
      </c>
      <c r="F8106" t="s">
        <v>36577</v>
      </c>
      <c r="G8106" t="s">
        <v>36578</v>
      </c>
      <c r="H8106" t="s">
        <v>36579</v>
      </c>
      <c r="I8106" t="s">
        <v>36580</v>
      </c>
      <c r="J8106" t="s">
        <v>36581</v>
      </c>
      <c r="K8106" t="s">
        <v>36582</v>
      </c>
      <c r="L8106" t="s">
        <v>36583</v>
      </c>
      <c r="M8106" t="s">
        <v>33534</v>
      </c>
      <c r="N8106" t="s">
        <v>8537</v>
      </c>
      <c r="O8106" t="s">
        <v>36584</v>
      </c>
      <c r="P8106" t="s">
        <v>33536</v>
      </c>
      <c r="Q8106" t="s">
        <v>36585</v>
      </c>
      <c r="R8106">
        <v>24</v>
      </c>
      <c r="S8106">
        <v>32</v>
      </c>
    </row>
    <row r="8107" spans="1:19" x14ac:dyDescent="0.35">
      <c r="A8107">
        <v>6602</v>
      </c>
      <c r="B8107" t="s">
        <v>36586</v>
      </c>
      <c r="C8107" t="s">
        <v>42</v>
      </c>
      <c r="D8107" t="s">
        <v>36587</v>
      </c>
      <c r="E8107" t="e" cm="1">
        <f t="array" ref="E8107">- GRISEOFULVIN</f>
        <v>#NAME?</v>
      </c>
      <c r="F8107" t="s">
        <v>36588</v>
      </c>
      <c r="G8107" t="s">
        <v>36589</v>
      </c>
      <c r="H8107" t="s">
        <v>36590</v>
      </c>
      <c r="I8107" t="s">
        <v>36591</v>
      </c>
      <c r="J8107" t="s">
        <v>1578</v>
      </c>
      <c r="K8107" t="s">
        <v>36592</v>
      </c>
      <c r="L8107" t="s">
        <v>36593</v>
      </c>
      <c r="M8107" t="s">
        <v>291</v>
      </c>
      <c r="N8107" t="s">
        <v>453</v>
      </c>
      <c r="O8107" t="s">
        <v>36594</v>
      </c>
      <c r="P8107" t="s">
        <v>527</v>
      </c>
      <c r="Q8107" t="s">
        <v>36595</v>
      </c>
      <c r="R8107">
        <v>24</v>
      </c>
      <c r="S8107">
        <v>32</v>
      </c>
    </row>
    <row r="8108" spans="1:19" x14ac:dyDescent="0.35">
      <c r="A8108">
        <v>3628</v>
      </c>
      <c r="B8108" t="s">
        <v>36596</v>
      </c>
      <c r="C8108" t="s">
        <v>42</v>
      </c>
      <c r="D8108" t="s">
        <v>36597</v>
      </c>
      <c r="E8108" t="e" cm="1">
        <f t="array" ref="E8108">- DIMENHYDRINATE</f>
        <v>#NAME?</v>
      </c>
      <c r="F8108" s="1">
        <v>8700</v>
      </c>
      <c r="I8108" t="s">
        <v>36535</v>
      </c>
      <c r="J8108" t="s">
        <v>2556</v>
      </c>
      <c r="M8108" t="s">
        <v>46</v>
      </c>
      <c r="N8108" t="s">
        <v>329</v>
      </c>
      <c r="O8108" t="s">
        <v>36539</v>
      </c>
      <c r="P8108" t="s">
        <v>36598</v>
      </c>
      <c r="Q8108" t="s">
        <v>36599</v>
      </c>
      <c r="R8108">
        <v>24</v>
      </c>
      <c r="S8108">
        <v>32</v>
      </c>
    </row>
    <row r="8109" spans="1:19" x14ac:dyDescent="0.35">
      <c r="A8109">
        <v>3629</v>
      </c>
      <c r="B8109" t="s">
        <v>36596</v>
      </c>
      <c r="C8109" t="s">
        <v>42</v>
      </c>
      <c r="D8109" t="s">
        <v>36597</v>
      </c>
      <c r="E8109" t="e" cm="1">
        <f t="array" ref="E8109">- DIMENHYDRINATE</f>
        <v>#NAME?</v>
      </c>
      <c r="F8109" s="1">
        <v>8700</v>
      </c>
      <c r="I8109" t="s">
        <v>36535</v>
      </c>
      <c r="J8109" t="s">
        <v>2556</v>
      </c>
      <c r="M8109" t="s">
        <v>46</v>
      </c>
      <c r="N8109" t="s">
        <v>329</v>
      </c>
      <c r="O8109" t="s">
        <v>36539</v>
      </c>
      <c r="P8109" t="s">
        <v>36598</v>
      </c>
      <c r="Q8109" t="s">
        <v>36599</v>
      </c>
      <c r="R8109">
        <v>24</v>
      </c>
      <c r="S8109">
        <v>32</v>
      </c>
    </row>
    <row r="8110" spans="1:19" x14ac:dyDescent="0.35">
      <c r="A8110">
        <v>325</v>
      </c>
      <c r="B8110" t="s">
        <v>36575</v>
      </c>
      <c r="C8110" t="s">
        <v>42</v>
      </c>
      <c r="D8110" t="s">
        <v>36576</v>
      </c>
      <c r="E8110" t="e" cm="1">
        <f t="array" ref="E8110">- PROGESTERONE</f>
        <v>#NAME?</v>
      </c>
      <c r="F8110" t="s">
        <v>36577</v>
      </c>
      <c r="G8110" t="s">
        <v>36578</v>
      </c>
      <c r="H8110" t="s">
        <v>36579</v>
      </c>
      <c r="I8110" t="s">
        <v>36580</v>
      </c>
      <c r="J8110" t="s">
        <v>36581</v>
      </c>
      <c r="K8110" t="s">
        <v>36582</v>
      </c>
      <c r="L8110" t="s">
        <v>36583</v>
      </c>
      <c r="M8110" t="s">
        <v>33534</v>
      </c>
      <c r="N8110" t="s">
        <v>8537</v>
      </c>
      <c r="O8110" t="s">
        <v>36584</v>
      </c>
      <c r="P8110" t="s">
        <v>33536</v>
      </c>
      <c r="Q8110" t="s">
        <v>36585</v>
      </c>
      <c r="R8110">
        <v>24</v>
      </c>
      <c r="S8110">
        <v>32</v>
      </c>
    </row>
    <row r="8111" spans="1:19" x14ac:dyDescent="0.35">
      <c r="A8111">
        <v>326</v>
      </c>
      <c r="B8111" t="s">
        <v>36575</v>
      </c>
      <c r="C8111" t="s">
        <v>42</v>
      </c>
      <c r="D8111" t="s">
        <v>36576</v>
      </c>
      <c r="E8111" t="e" cm="1">
        <f t="array" ref="E8111">- PROGESTERONE</f>
        <v>#NAME?</v>
      </c>
      <c r="F8111" t="s">
        <v>36577</v>
      </c>
      <c r="G8111" t="s">
        <v>36578</v>
      </c>
      <c r="H8111" t="s">
        <v>36579</v>
      </c>
      <c r="I8111" t="s">
        <v>36580</v>
      </c>
      <c r="J8111" t="s">
        <v>36581</v>
      </c>
      <c r="K8111" t="s">
        <v>36582</v>
      </c>
      <c r="L8111" t="s">
        <v>36583</v>
      </c>
      <c r="M8111" t="s">
        <v>33534</v>
      </c>
      <c r="N8111" t="s">
        <v>8537</v>
      </c>
      <c r="O8111" t="s">
        <v>36584</v>
      </c>
      <c r="P8111" t="s">
        <v>33536</v>
      </c>
      <c r="Q8111" t="s">
        <v>36585</v>
      </c>
      <c r="R8111">
        <v>24</v>
      </c>
      <c r="S8111">
        <v>32</v>
      </c>
    </row>
    <row r="8112" spans="1:19" x14ac:dyDescent="0.35">
      <c r="A8112">
        <v>5833</v>
      </c>
      <c r="B8112" t="s">
        <v>36569</v>
      </c>
      <c r="C8112" t="s">
        <v>42</v>
      </c>
      <c r="D8112" t="s">
        <v>36570</v>
      </c>
      <c r="E8112" t="e" cm="1">
        <f t="array" ref="E8112">- CLINDAMYCIN HYDROCHLORIDE</f>
        <v>#NAME?</v>
      </c>
      <c r="F8112" t="s">
        <v>36571</v>
      </c>
      <c r="G8112" t="s">
        <v>2241</v>
      </c>
      <c r="H8112" t="s">
        <v>27129</v>
      </c>
      <c r="I8112" t="s">
        <v>36485</v>
      </c>
      <c r="J8112" t="s">
        <v>36572</v>
      </c>
      <c r="K8112" t="s">
        <v>3952</v>
      </c>
      <c r="L8112" t="s">
        <v>27131</v>
      </c>
      <c r="M8112" t="s">
        <v>38</v>
      </c>
      <c r="N8112" t="s">
        <v>23622</v>
      </c>
      <c r="O8112" t="s">
        <v>36487</v>
      </c>
      <c r="P8112" t="s">
        <v>36573</v>
      </c>
      <c r="Q8112" t="s">
        <v>36574</v>
      </c>
      <c r="R8112">
        <v>24</v>
      </c>
      <c r="S8112">
        <v>32</v>
      </c>
    </row>
    <row r="8113" spans="1:19" x14ac:dyDescent="0.35">
      <c r="A8113">
        <v>6601</v>
      </c>
      <c r="B8113" t="s">
        <v>36586</v>
      </c>
      <c r="C8113" t="s">
        <v>42</v>
      </c>
      <c r="D8113" t="s">
        <v>36587</v>
      </c>
      <c r="E8113" t="e" cm="1">
        <f t="array" ref="E8113">- GRISEOFULVIN</f>
        <v>#NAME?</v>
      </c>
      <c r="F8113" t="s">
        <v>36588</v>
      </c>
      <c r="G8113" t="s">
        <v>36589</v>
      </c>
      <c r="H8113" t="s">
        <v>36590</v>
      </c>
      <c r="I8113" t="s">
        <v>36591</v>
      </c>
      <c r="J8113" t="s">
        <v>1578</v>
      </c>
      <c r="K8113" t="s">
        <v>36592</v>
      </c>
      <c r="L8113" t="s">
        <v>36593</v>
      </c>
      <c r="M8113" t="s">
        <v>291</v>
      </c>
      <c r="N8113" t="s">
        <v>453</v>
      </c>
      <c r="O8113" t="s">
        <v>36594</v>
      </c>
      <c r="P8113" t="s">
        <v>527</v>
      </c>
      <c r="Q8113" t="s">
        <v>36595</v>
      </c>
      <c r="R8113">
        <v>24</v>
      </c>
      <c r="S8113">
        <v>32</v>
      </c>
    </row>
    <row r="8114" spans="1:19" x14ac:dyDescent="0.35">
      <c r="A8114">
        <v>328</v>
      </c>
      <c r="B8114" t="s">
        <v>36575</v>
      </c>
      <c r="C8114" t="s">
        <v>42</v>
      </c>
      <c r="D8114" t="s">
        <v>36576</v>
      </c>
      <c r="E8114" t="e" cm="1">
        <f t="array" ref="E8114">- PROGESTERONE</f>
        <v>#NAME?</v>
      </c>
      <c r="F8114" t="s">
        <v>36577</v>
      </c>
      <c r="G8114" t="s">
        <v>36578</v>
      </c>
      <c r="H8114" t="s">
        <v>36579</v>
      </c>
      <c r="I8114" t="s">
        <v>36580</v>
      </c>
      <c r="J8114" t="s">
        <v>36581</v>
      </c>
      <c r="K8114" t="s">
        <v>36582</v>
      </c>
      <c r="L8114" t="s">
        <v>36583</v>
      </c>
      <c r="M8114" t="s">
        <v>33534</v>
      </c>
      <c r="N8114" t="s">
        <v>8537</v>
      </c>
      <c r="O8114" t="s">
        <v>36584</v>
      </c>
      <c r="P8114" t="s">
        <v>33536</v>
      </c>
      <c r="Q8114" t="s">
        <v>36585</v>
      </c>
      <c r="R8114">
        <v>24</v>
      </c>
      <c r="S8114">
        <v>32</v>
      </c>
    </row>
    <row r="8115" spans="1:19" x14ac:dyDescent="0.35">
      <c r="A8115">
        <v>329</v>
      </c>
      <c r="B8115" t="s">
        <v>36575</v>
      </c>
      <c r="C8115" t="s">
        <v>42</v>
      </c>
      <c r="D8115" t="s">
        <v>36576</v>
      </c>
      <c r="E8115" t="e" cm="1">
        <f t="array" ref="E8115">- PROGESTERONE</f>
        <v>#NAME?</v>
      </c>
      <c r="F8115" t="s">
        <v>36577</v>
      </c>
      <c r="G8115" t="s">
        <v>36578</v>
      </c>
      <c r="H8115" t="s">
        <v>36579</v>
      </c>
      <c r="I8115" t="s">
        <v>36580</v>
      </c>
      <c r="J8115" t="s">
        <v>36581</v>
      </c>
      <c r="K8115" t="s">
        <v>36582</v>
      </c>
      <c r="L8115" t="s">
        <v>36583</v>
      </c>
      <c r="M8115" t="s">
        <v>33534</v>
      </c>
      <c r="N8115" t="s">
        <v>8537</v>
      </c>
      <c r="O8115" t="s">
        <v>36584</v>
      </c>
      <c r="P8115" t="s">
        <v>33536</v>
      </c>
      <c r="Q8115" t="s">
        <v>36585</v>
      </c>
      <c r="R8115">
        <v>24</v>
      </c>
      <c r="S8115">
        <v>32</v>
      </c>
    </row>
    <row r="8116" spans="1:19" x14ac:dyDescent="0.35">
      <c r="A8116">
        <v>330</v>
      </c>
      <c r="B8116" t="s">
        <v>36575</v>
      </c>
      <c r="C8116" t="s">
        <v>42</v>
      </c>
      <c r="D8116" t="s">
        <v>36576</v>
      </c>
      <c r="E8116" t="e" cm="1">
        <f t="array" ref="E8116">- PROGESTERONE</f>
        <v>#NAME?</v>
      </c>
      <c r="F8116" t="s">
        <v>36577</v>
      </c>
      <c r="G8116" t="s">
        <v>36578</v>
      </c>
      <c r="H8116" t="s">
        <v>36579</v>
      </c>
      <c r="I8116" t="s">
        <v>36580</v>
      </c>
      <c r="J8116" t="s">
        <v>36581</v>
      </c>
      <c r="K8116" t="s">
        <v>36582</v>
      </c>
      <c r="L8116" t="s">
        <v>36583</v>
      </c>
      <c r="M8116" t="s">
        <v>33534</v>
      </c>
      <c r="N8116" t="s">
        <v>8537</v>
      </c>
      <c r="O8116" t="s">
        <v>36584</v>
      </c>
      <c r="P8116" t="s">
        <v>33536</v>
      </c>
      <c r="Q8116" t="s">
        <v>36585</v>
      </c>
      <c r="R8116">
        <v>24</v>
      </c>
      <c r="S8116">
        <v>32</v>
      </c>
    </row>
    <row r="8117" spans="1:19" x14ac:dyDescent="0.35">
      <c r="A8117">
        <v>331</v>
      </c>
      <c r="B8117" t="s">
        <v>36575</v>
      </c>
      <c r="C8117" t="s">
        <v>42</v>
      </c>
      <c r="D8117" t="s">
        <v>36576</v>
      </c>
      <c r="E8117" t="e" cm="1">
        <f t="array" ref="E8117">- PROGESTERONE</f>
        <v>#NAME?</v>
      </c>
      <c r="F8117" t="s">
        <v>36577</v>
      </c>
      <c r="G8117" t="s">
        <v>36578</v>
      </c>
      <c r="H8117" t="s">
        <v>36579</v>
      </c>
      <c r="I8117" t="s">
        <v>36580</v>
      </c>
      <c r="J8117" t="s">
        <v>36581</v>
      </c>
      <c r="K8117" t="s">
        <v>36582</v>
      </c>
      <c r="L8117" t="s">
        <v>36583</v>
      </c>
      <c r="M8117" t="s">
        <v>33534</v>
      </c>
      <c r="N8117" t="s">
        <v>8537</v>
      </c>
      <c r="O8117" t="s">
        <v>36584</v>
      </c>
      <c r="P8117" t="s">
        <v>33536</v>
      </c>
      <c r="Q8117" t="s">
        <v>36585</v>
      </c>
      <c r="R8117">
        <v>24</v>
      </c>
      <c r="S8117">
        <v>32</v>
      </c>
    </row>
    <row r="8118" spans="1:19" x14ac:dyDescent="0.35">
      <c r="A8118">
        <v>332</v>
      </c>
      <c r="B8118" t="s">
        <v>36575</v>
      </c>
      <c r="C8118" t="s">
        <v>42</v>
      </c>
      <c r="D8118" t="s">
        <v>36576</v>
      </c>
      <c r="E8118" t="e" cm="1">
        <f t="array" ref="E8118">- PROGESTERONE</f>
        <v>#NAME?</v>
      </c>
      <c r="F8118" t="s">
        <v>36577</v>
      </c>
      <c r="G8118" t="s">
        <v>36578</v>
      </c>
      <c r="H8118" t="s">
        <v>36579</v>
      </c>
      <c r="I8118" t="s">
        <v>36580</v>
      </c>
      <c r="J8118" t="s">
        <v>36581</v>
      </c>
      <c r="K8118" t="s">
        <v>36582</v>
      </c>
      <c r="L8118" t="s">
        <v>36583</v>
      </c>
      <c r="M8118" t="s">
        <v>33534</v>
      </c>
      <c r="N8118" t="s">
        <v>8537</v>
      </c>
      <c r="O8118" t="s">
        <v>36584</v>
      </c>
      <c r="P8118" t="s">
        <v>33536</v>
      </c>
      <c r="Q8118" t="s">
        <v>36585</v>
      </c>
      <c r="R8118">
        <v>24</v>
      </c>
      <c r="S8118">
        <v>32</v>
      </c>
    </row>
    <row r="8119" spans="1:19" x14ac:dyDescent="0.35">
      <c r="A8119">
        <v>5798</v>
      </c>
      <c r="B8119" t="s">
        <v>36482</v>
      </c>
      <c r="C8119" t="s">
        <v>42</v>
      </c>
      <c r="D8119" t="s">
        <v>36483</v>
      </c>
      <c r="E8119" t="e" cm="1">
        <f t="array" ref="E8119">- CLINDAMYCIN HYDROCHLORIDE</f>
        <v>#NAME?</v>
      </c>
      <c r="F8119" t="s">
        <v>36484</v>
      </c>
      <c r="G8119" t="s">
        <v>2241</v>
      </c>
      <c r="H8119" t="s">
        <v>27129</v>
      </c>
      <c r="I8119" t="s">
        <v>36485</v>
      </c>
      <c r="J8119" t="s">
        <v>36486</v>
      </c>
      <c r="K8119" t="s">
        <v>27282</v>
      </c>
      <c r="L8119" t="s">
        <v>27131</v>
      </c>
      <c r="M8119" t="s">
        <v>38</v>
      </c>
      <c r="N8119" t="s">
        <v>23622</v>
      </c>
      <c r="O8119" t="s">
        <v>36487</v>
      </c>
      <c r="P8119" t="s">
        <v>27285</v>
      </c>
      <c r="Q8119" t="s">
        <v>36488</v>
      </c>
      <c r="R8119">
        <v>24</v>
      </c>
      <c r="S8119">
        <v>32</v>
      </c>
    </row>
    <row r="8120" spans="1:19" x14ac:dyDescent="0.35">
      <c r="A8120">
        <v>6062</v>
      </c>
      <c r="B8120" t="s">
        <v>34876</v>
      </c>
      <c r="C8120" t="s">
        <v>42</v>
      </c>
      <c r="D8120" t="s">
        <v>34877</v>
      </c>
      <c r="E8120" t="e" cm="1">
        <f t="array" ref="E8120">- CIPROFLOXACIN HYDROCHLORIDE MONOHYDRATE</f>
        <v>#NAME?</v>
      </c>
      <c r="F8120" t="s">
        <v>34878</v>
      </c>
      <c r="G8120" t="s">
        <v>1691</v>
      </c>
      <c r="H8120" t="s">
        <v>34879</v>
      </c>
      <c r="I8120" t="s">
        <v>34880</v>
      </c>
      <c r="J8120" t="s">
        <v>8045</v>
      </c>
      <c r="K8120" t="s">
        <v>34881</v>
      </c>
      <c r="L8120" t="s">
        <v>34882</v>
      </c>
      <c r="M8120" t="s">
        <v>291</v>
      </c>
      <c r="N8120" t="s">
        <v>10679</v>
      </c>
      <c r="O8120" t="s">
        <v>34883</v>
      </c>
      <c r="P8120" t="s">
        <v>34884</v>
      </c>
      <c r="Q8120" t="s">
        <v>36600</v>
      </c>
      <c r="R8120">
        <v>24</v>
      </c>
      <c r="S8120">
        <v>32</v>
      </c>
    </row>
    <row r="8121" spans="1:19" x14ac:dyDescent="0.35">
      <c r="A8121">
        <v>2165</v>
      </c>
      <c r="B8121" t="s">
        <v>36601</v>
      </c>
      <c r="C8121" t="s">
        <v>42</v>
      </c>
      <c r="D8121" t="s">
        <v>36602</v>
      </c>
      <c r="E8121" t="e" cm="1">
        <f t="array" ref="E8121">- DICLOFENAC POTASSIUM</f>
        <v>#NAME?</v>
      </c>
      <c r="F8121" t="s">
        <v>36603</v>
      </c>
      <c r="G8121" t="s">
        <v>36604</v>
      </c>
      <c r="H8121" t="s">
        <v>36605</v>
      </c>
      <c r="I8121" t="s">
        <v>36606</v>
      </c>
      <c r="J8121" t="s">
        <v>532</v>
      </c>
      <c r="K8121" t="s">
        <v>36607</v>
      </c>
      <c r="L8121" t="s">
        <v>36608</v>
      </c>
      <c r="M8121" t="s">
        <v>46</v>
      </c>
      <c r="N8121" t="s">
        <v>2637</v>
      </c>
      <c r="O8121" t="s">
        <v>36609</v>
      </c>
      <c r="P8121" t="s">
        <v>36610</v>
      </c>
      <c r="Q8121" t="s">
        <v>36611</v>
      </c>
      <c r="R8121">
        <v>24</v>
      </c>
      <c r="S8121">
        <v>32</v>
      </c>
    </row>
    <row r="8122" spans="1:19" x14ac:dyDescent="0.35">
      <c r="A8122">
        <v>327</v>
      </c>
      <c r="B8122" t="s">
        <v>36575</v>
      </c>
      <c r="C8122" t="s">
        <v>42</v>
      </c>
      <c r="D8122" t="s">
        <v>36576</v>
      </c>
      <c r="E8122" t="e" cm="1">
        <f t="array" ref="E8122">- PROGESTERONE</f>
        <v>#NAME?</v>
      </c>
      <c r="F8122" t="s">
        <v>36577</v>
      </c>
      <c r="G8122" t="s">
        <v>36578</v>
      </c>
      <c r="H8122" t="s">
        <v>36579</v>
      </c>
      <c r="I8122" t="s">
        <v>36580</v>
      </c>
      <c r="J8122" t="s">
        <v>36581</v>
      </c>
      <c r="K8122" t="s">
        <v>36582</v>
      </c>
      <c r="L8122" t="s">
        <v>36583</v>
      </c>
      <c r="M8122" t="s">
        <v>33534</v>
      </c>
      <c r="N8122" t="s">
        <v>8537</v>
      </c>
      <c r="O8122" t="s">
        <v>36584</v>
      </c>
      <c r="P8122" t="s">
        <v>33536</v>
      </c>
      <c r="Q8122" t="s">
        <v>36585</v>
      </c>
      <c r="R8122">
        <v>24</v>
      </c>
      <c r="S8122">
        <v>32</v>
      </c>
    </row>
    <row r="8123" spans="1:19" x14ac:dyDescent="0.35">
      <c r="A8123">
        <v>322</v>
      </c>
      <c r="B8123" t="s">
        <v>36575</v>
      </c>
      <c r="C8123" t="s">
        <v>42</v>
      </c>
      <c r="D8123" t="s">
        <v>36576</v>
      </c>
      <c r="E8123" t="e" cm="1">
        <f t="array" ref="E8123">- PROGESTERONE</f>
        <v>#NAME?</v>
      </c>
      <c r="F8123" t="s">
        <v>36577</v>
      </c>
      <c r="G8123" t="s">
        <v>36578</v>
      </c>
      <c r="H8123" t="s">
        <v>36579</v>
      </c>
      <c r="I8123" t="s">
        <v>36580</v>
      </c>
      <c r="J8123" t="s">
        <v>36581</v>
      </c>
      <c r="K8123" t="s">
        <v>36582</v>
      </c>
      <c r="L8123" t="s">
        <v>36583</v>
      </c>
      <c r="M8123" t="s">
        <v>33534</v>
      </c>
      <c r="N8123" t="s">
        <v>8537</v>
      </c>
      <c r="O8123" t="s">
        <v>36584</v>
      </c>
      <c r="P8123" t="s">
        <v>33536</v>
      </c>
      <c r="Q8123" t="s">
        <v>36585</v>
      </c>
      <c r="R8123">
        <v>24</v>
      </c>
      <c r="S8123">
        <v>32</v>
      </c>
    </row>
    <row r="8124" spans="1:19" x14ac:dyDescent="0.35">
      <c r="A8124">
        <v>2260</v>
      </c>
      <c r="B8124" t="s">
        <v>36612</v>
      </c>
      <c r="C8124" t="s">
        <v>42</v>
      </c>
      <c r="D8124" t="s">
        <v>36613</v>
      </c>
      <c r="E8124" t="e" cm="1">
        <f t="array" ref="E8124">- DICLOFENAC SODIUM</f>
        <v>#NAME?</v>
      </c>
      <c r="F8124" t="s">
        <v>36614</v>
      </c>
      <c r="G8124" t="s">
        <v>2241</v>
      </c>
      <c r="H8124" t="s">
        <v>2596</v>
      </c>
      <c r="I8124" t="s">
        <v>36615</v>
      </c>
      <c r="J8124" t="s">
        <v>21256</v>
      </c>
      <c r="K8124" t="s">
        <v>21257</v>
      </c>
      <c r="L8124" t="s">
        <v>28388</v>
      </c>
      <c r="M8124" t="s">
        <v>46</v>
      </c>
      <c r="N8124" t="s">
        <v>2597</v>
      </c>
      <c r="O8124" t="s">
        <v>36616</v>
      </c>
      <c r="P8124" t="s">
        <v>36617</v>
      </c>
      <c r="Q8124" t="s">
        <v>36618</v>
      </c>
      <c r="R8124">
        <v>24</v>
      </c>
      <c r="S8124">
        <v>32</v>
      </c>
    </row>
    <row r="8125" spans="1:19" x14ac:dyDescent="0.35">
      <c r="A8125">
        <v>8244</v>
      </c>
      <c r="B8125" t="s">
        <v>551</v>
      </c>
      <c r="C8125" t="s">
        <v>42</v>
      </c>
      <c r="D8125" t="s">
        <v>36619</v>
      </c>
      <c r="E8125" t="e" cm="1">
        <f t="array" ref="E8125">- POVIDONE-IODINE</f>
        <v>#NAME?</v>
      </c>
      <c r="F8125" s="1">
        <v>254100</v>
      </c>
      <c r="G8125" t="s">
        <v>20050</v>
      </c>
      <c r="H8125" t="s">
        <v>13198</v>
      </c>
      <c r="I8125" t="s">
        <v>36502</v>
      </c>
      <c r="J8125" t="s">
        <v>4143</v>
      </c>
      <c r="L8125" t="s">
        <v>20053</v>
      </c>
      <c r="M8125" t="s">
        <v>554</v>
      </c>
      <c r="N8125" t="s">
        <v>555</v>
      </c>
      <c r="O8125" t="s">
        <v>36504</v>
      </c>
      <c r="P8125" t="s">
        <v>27539</v>
      </c>
      <c r="Q8125" t="s">
        <v>36505</v>
      </c>
      <c r="R8125">
        <v>24</v>
      </c>
      <c r="S8125">
        <v>32</v>
      </c>
    </row>
    <row r="8126" spans="1:19" x14ac:dyDescent="0.35">
      <c r="A8126">
        <v>8430</v>
      </c>
      <c r="B8126" t="s">
        <v>551</v>
      </c>
      <c r="C8126" t="s">
        <v>42</v>
      </c>
      <c r="D8126" t="s">
        <v>36620</v>
      </c>
      <c r="E8126" t="e" cm="1">
        <f t="array" ref="E8126">- POVIDONE-IODINE</f>
        <v>#NAME?</v>
      </c>
      <c r="F8126" t="s">
        <v>36621</v>
      </c>
      <c r="H8126" t="s">
        <v>1322</v>
      </c>
      <c r="I8126" t="s">
        <v>36622</v>
      </c>
      <c r="J8126" t="s">
        <v>10591</v>
      </c>
      <c r="M8126" t="s">
        <v>554</v>
      </c>
      <c r="N8126" t="s">
        <v>555</v>
      </c>
      <c r="O8126" t="s">
        <v>36623</v>
      </c>
      <c r="P8126" t="s">
        <v>36624</v>
      </c>
      <c r="Q8126" t="s">
        <v>36625</v>
      </c>
      <c r="R8126">
        <v>24</v>
      </c>
      <c r="S8126">
        <v>32</v>
      </c>
    </row>
    <row r="8127" spans="1:19" x14ac:dyDescent="0.35">
      <c r="A8127">
        <v>8431</v>
      </c>
      <c r="B8127" t="s">
        <v>551</v>
      </c>
      <c r="C8127" t="s">
        <v>42</v>
      </c>
      <c r="D8127" t="s">
        <v>36620</v>
      </c>
      <c r="E8127" t="e" cm="1">
        <f t="array" ref="E8127">- POVIDONE-IODINE</f>
        <v>#NAME?</v>
      </c>
      <c r="F8127" t="s">
        <v>36621</v>
      </c>
      <c r="H8127" t="s">
        <v>1322</v>
      </c>
      <c r="I8127" t="s">
        <v>36622</v>
      </c>
      <c r="J8127" t="s">
        <v>10591</v>
      </c>
      <c r="M8127" t="s">
        <v>554</v>
      </c>
      <c r="N8127" t="s">
        <v>555</v>
      </c>
      <c r="O8127" t="s">
        <v>36623</v>
      </c>
      <c r="P8127" t="s">
        <v>36624</v>
      </c>
      <c r="Q8127" t="s">
        <v>36625</v>
      </c>
      <c r="R8127">
        <v>24</v>
      </c>
      <c r="S8127">
        <v>32</v>
      </c>
    </row>
    <row r="8128" spans="1:19" x14ac:dyDescent="0.35">
      <c r="A8128">
        <v>8432</v>
      </c>
      <c r="B8128" t="s">
        <v>551</v>
      </c>
      <c r="C8128" t="s">
        <v>42</v>
      </c>
      <c r="D8128" t="s">
        <v>36626</v>
      </c>
      <c r="E8128" t="e" cm="1">
        <f t="array" ref="E8128">- POVIDONE-IODINE</f>
        <v>#NAME?</v>
      </c>
      <c r="F8128" s="1">
        <v>7388800</v>
      </c>
      <c r="H8128" t="s">
        <v>1322</v>
      </c>
      <c r="I8128" t="s">
        <v>36627</v>
      </c>
      <c r="J8128" t="s">
        <v>10591</v>
      </c>
      <c r="M8128" t="s">
        <v>554</v>
      </c>
      <c r="N8128" t="s">
        <v>555</v>
      </c>
      <c r="O8128" t="s">
        <v>36628</v>
      </c>
      <c r="P8128" t="s">
        <v>36629</v>
      </c>
      <c r="Q8128" t="s">
        <v>36630</v>
      </c>
      <c r="R8128">
        <v>24</v>
      </c>
      <c r="S8128">
        <v>32</v>
      </c>
    </row>
    <row r="8129" spans="1:19" x14ac:dyDescent="0.35">
      <c r="A8129">
        <v>8433</v>
      </c>
      <c r="B8129" t="s">
        <v>551</v>
      </c>
      <c r="C8129" t="s">
        <v>42</v>
      </c>
      <c r="D8129" t="s">
        <v>36626</v>
      </c>
      <c r="E8129" t="e" cm="1">
        <f t="array" ref="E8129">- POVIDONE-IODINE</f>
        <v>#NAME?</v>
      </c>
      <c r="F8129" s="1">
        <v>7388800</v>
      </c>
      <c r="H8129" t="s">
        <v>1322</v>
      </c>
      <c r="I8129" t="s">
        <v>36627</v>
      </c>
      <c r="J8129" t="s">
        <v>10591</v>
      </c>
      <c r="M8129" t="s">
        <v>554</v>
      </c>
      <c r="N8129" t="s">
        <v>555</v>
      </c>
      <c r="O8129" t="s">
        <v>36628</v>
      </c>
      <c r="P8129" t="s">
        <v>36629</v>
      </c>
      <c r="Q8129" t="s">
        <v>36630</v>
      </c>
      <c r="R8129">
        <v>24</v>
      </c>
      <c r="S8129">
        <v>32</v>
      </c>
    </row>
    <row r="8130" spans="1:19" x14ac:dyDescent="0.35">
      <c r="A8130">
        <v>9605</v>
      </c>
      <c r="B8130" t="s">
        <v>6301</v>
      </c>
      <c r="C8130" t="s">
        <v>42</v>
      </c>
      <c r="D8130" t="s">
        <v>36631</v>
      </c>
      <c r="E8130" t="s">
        <v>6303</v>
      </c>
      <c r="F8130" t="s">
        <v>36632</v>
      </c>
      <c r="G8130" t="s">
        <v>29409</v>
      </c>
      <c r="H8130" t="s">
        <v>36633</v>
      </c>
      <c r="I8130" t="s">
        <v>36634</v>
      </c>
      <c r="J8130" t="s">
        <v>743</v>
      </c>
      <c r="K8130" t="s">
        <v>31604</v>
      </c>
      <c r="L8130" t="s">
        <v>36635</v>
      </c>
      <c r="M8130" t="s">
        <v>46</v>
      </c>
      <c r="N8130" t="s">
        <v>6304</v>
      </c>
      <c r="O8130" t="s">
        <v>36636</v>
      </c>
      <c r="P8130" t="s">
        <v>36637</v>
      </c>
      <c r="Q8130" t="s">
        <v>36638</v>
      </c>
      <c r="R8130">
        <v>24</v>
      </c>
      <c r="S8130">
        <v>32</v>
      </c>
    </row>
    <row r="8131" spans="1:19" x14ac:dyDescent="0.35">
      <c r="A8131">
        <v>7326</v>
      </c>
      <c r="B8131" t="s">
        <v>36639</v>
      </c>
      <c r="C8131" t="s">
        <v>42</v>
      </c>
      <c r="D8131" t="s">
        <v>36640</v>
      </c>
      <c r="E8131" t="e" cm="1">
        <f t="array" ref="E8131">- ESTRADIOL VALERATE</f>
        <v>#NAME?</v>
      </c>
      <c r="F8131" t="s">
        <v>36641</v>
      </c>
      <c r="G8131" t="s">
        <v>60</v>
      </c>
      <c r="H8131" t="s">
        <v>36642</v>
      </c>
      <c r="I8131" t="s">
        <v>36643</v>
      </c>
      <c r="J8131" t="s">
        <v>36644</v>
      </c>
      <c r="K8131" t="s">
        <v>36645</v>
      </c>
      <c r="L8131" t="s">
        <v>36646</v>
      </c>
      <c r="M8131" t="s">
        <v>46</v>
      </c>
      <c r="N8131" t="s">
        <v>36647</v>
      </c>
      <c r="O8131" t="s">
        <v>36648</v>
      </c>
      <c r="P8131" t="s">
        <v>36649</v>
      </c>
      <c r="Q8131" t="s">
        <v>36650</v>
      </c>
      <c r="R8131">
        <v>24</v>
      </c>
      <c r="S8131">
        <v>32</v>
      </c>
    </row>
    <row r="8132" spans="1:19" x14ac:dyDescent="0.35">
      <c r="A8132">
        <v>849</v>
      </c>
      <c r="B8132" t="s">
        <v>36189</v>
      </c>
      <c r="C8132" t="s">
        <v>42</v>
      </c>
      <c r="D8132" t="s">
        <v>36190</v>
      </c>
      <c r="E8132" t="e" cm="1">
        <f t="array" ref="E8132">- ACETYL CYSTEINE</f>
        <v>#NAME?</v>
      </c>
      <c r="F8132" t="s">
        <v>36191</v>
      </c>
      <c r="G8132" t="s">
        <v>36192</v>
      </c>
      <c r="H8132" t="s">
        <v>36193</v>
      </c>
      <c r="I8132" t="s">
        <v>36194</v>
      </c>
      <c r="J8132" t="s">
        <v>36195</v>
      </c>
      <c r="K8132" t="s">
        <v>17458</v>
      </c>
      <c r="L8132" t="s">
        <v>36196</v>
      </c>
      <c r="M8132" t="s">
        <v>46</v>
      </c>
      <c r="N8132" t="s">
        <v>1309</v>
      </c>
      <c r="O8132" t="s">
        <v>36197</v>
      </c>
      <c r="P8132" t="s">
        <v>36198</v>
      </c>
      <c r="Q8132" t="s">
        <v>36499</v>
      </c>
      <c r="R8132">
        <v>24</v>
      </c>
      <c r="S8132">
        <v>32</v>
      </c>
    </row>
    <row r="8133" spans="1:19" x14ac:dyDescent="0.35">
      <c r="A8133">
        <v>3311</v>
      </c>
      <c r="B8133" t="s">
        <v>36651</v>
      </c>
      <c r="C8133" t="s">
        <v>42</v>
      </c>
      <c r="D8133" t="s">
        <v>36652</v>
      </c>
      <c r="E8133" t="s">
        <v>20682</v>
      </c>
      <c r="F8133" t="s">
        <v>36653</v>
      </c>
      <c r="G8133" t="s">
        <v>36654</v>
      </c>
      <c r="H8133" t="s">
        <v>4222</v>
      </c>
      <c r="I8133" t="s">
        <v>36655</v>
      </c>
      <c r="J8133" t="s">
        <v>8845</v>
      </c>
      <c r="K8133" t="s">
        <v>2726</v>
      </c>
      <c r="L8133" t="s">
        <v>36656</v>
      </c>
      <c r="M8133" t="s">
        <v>38</v>
      </c>
      <c r="N8133" t="s">
        <v>20683</v>
      </c>
      <c r="O8133" t="s">
        <v>36657</v>
      </c>
      <c r="P8133" t="s">
        <v>36658</v>
      </c>
      <c r="Q8133" t="s">
        <v>36659</v>
      </c>
      <c r="R8133">
        <v>24</v>
      </c>
      <c r="S8133">
        <v>32</v>
      </c>
    </row>
    <row r="8134" spans="1:19" x14ac:dyDescent="0.35">
      <c r="A8134">
        <v>3308</v>
      </c>
      <c r="B8134" t="s">
        <v>11897</v>
      </c>
      <c r="C8134" t="s">
        <v>42</v>
      </c>
      <c r="D8134" t="s">
        <v>36660</v>
      </c>
      <c r="E8134" t="e" cm="1">
        <f t="array" ref="E8134">- DRIED ALUMINIUM HYDROXIDE GEL</f>
        <v>#NAME?</v>
      </c>
      <c r="F8134" t="s">
        <v>36661</v>
      </c>
      <c r="G8134" t="s">
        <v>36662</v>
      </c>
      <c r="H8134" t="s">
        <v>36663</v>
      </c>
      <c r="I8134" t="s">
        <v>36664</v>
      </c>
    </row>
    <row r="8135" spans="1:19" x14ac:dyDescent="0.35">
      <c r="A8135">
        <v>7362</v>
      </c>
      <c r="B8135" t="s">
        <v>36665</v>
      </c>
      <c r="C8135" t="s">
        <v>42</v>
      </c>
      <c r="D8135" t="s">
        <v>36666</v>
      </c>
      <c r="E8135" t="e" cm="1">
        <f t="array" ref="E8135">- SODIUM HYALURONATE</f>
        <v>#NAME?</v>
      </c>
      <c r="F8135" t="s">
        <v>36667</v>
      </c>
      <c r="G8135" t="s">
        <v>36668</v>
      </c>
      <c r="H8135" t="s">
        <v>36669</v>
      </c>
      <c r="I8135" t="s">
        <v>36670</v>
      </c>
      <c r="J8135" t="s">
        <v>6045</v>
      </c>
      <c r="M8135" t="s">
        <v>554</v>
      </c>
      <c r="N8135" t="s">
        <v>27378</v>
      </c>
      <c r="O8135" t="s">
        <v>36671</v>
      </c>
      <c r="P8135" t="s">
        <v>36672</v>
      </c>
      <c r="Q8135" t="s">
        <v>36673</v>
      </c>
      <c r="R8135">
        <v>24</v>
      </c>
      <c r="S8135">
        <v>32</v>
      </c>
    </row>
    <row r="8136" spans="1:19" x14ac:dyDescent="0.35">
      <c r="A8136">
        <v>3307</v>
      </c>
      <c r="B8136" t="s">
        <v>11897</v>
      </c>
      <c r="C8136" t="s">
        <v>42</v>
      </c>
      <c r="D8136" t="s">
        <v>36660</v>
      </c>
      <c r="E8136" t="e" cm="1">
        <f t="array" ref="E8136">- DRIED ALUMINIUM HYDROXIDE GEL</f>
        <v>#NAME?</v>
      </c>
      <c r="F8136" t="s">
        <v>36661</v>
      </c>
      <c r="G8136" t="s">
        <v>36662</v>
      </c>
      <c r="H8136" t="s">
        <v>36663</v>
      </c>
      <c r="I8136" t="s">
        <v>36664</v>
      </c>
    </row>
    <row r="8137" spans="1:19" x14ac:dyDescent="0.35">
      <c r="A8137">
        <v>5729</v>
      </c>
      <c r="B8137" t="s">
        <v>36025</v>
      </c>
      <c r="C8137" t="s">
        <v>42</v>
      </c>
      <c r="D8137" t="s">
        <v>36026</v>
      </c>
      <c r="E8137" t="e" cm="1">
        <f t="array" ref="E8137">- AMOXICILLIN TRIHYDRATE</f>
        <v>#NAME?</v>
      </c>
      <c r="F8137" t="s">
        <v>36027</v>
      </c>
      <c r="G8137" t="s">
        <v>2241</v>
      </c>
      <c r="H8137" t="s">
        <v>35919</v>
      </c>
      <c r="I8137" t="s">
        <v>35920</v>
      </c>
      <c r="J8137" t="s">
        <v>381</v>
      </c>
      <c r="K8137" t="s">
        <v>35921</v>
      </c>
      <c r="L8137" t="s">
        <v>35922</v>
      </c>
      <c r="M8137" t="s">
        <v>291</v>
      </c>
      <c r="N8137" t="s">
        <v>1523</v>
      </c>
      <c r="O8137" t="s">
        <v>35923</v>
      </c>
      <c r="P8137" t="s">
        <v>36028</v>
      </c>
      <c r="Q8137" t="s">
        <v>36674</v>
      </c>
      <c r="R8137">
        <v>24</v>
      </c>
      <c r="S8137">
        <v>32</v>
      </c>
    </row>
    <row r="8138" spans="1:19" x14ac:dyDescent="0.35">
      <c r="A8138">
        <v>3782</v>
      </c>
      <c r="B8138" t="s">
        <v>29598</v>
      </c>
      <c r="C8138" t="s">
        <v>42</v>
      </c>
      <c r="D8138" t="s">
        <v>29599</v>
      </c>
      <c r="E8138" t="e" cm="1">
        <f t="array" ref="E8138">- DEXTROSE ANHYDRATE. SODIUM CHLORIDE. POTASSIUM CHLORIDE. SODIUM CITRATE</f>
        <v>#NAME?</v>
      </c>
      <c r="F8138" s="1">
        <v>1100</v>
      </c>
      <c r="I8138" t="s">
        <v>29600</v>
      </c>
      <c r="M8138" t="s">
        <v>1280</v>
      </c>
      <c r="N8138" t="s">
        <v>36675</v>
      </c>
      <c r="O8138" t="s">
        <v>29602</v>
      </c>
      <c r="P8138" t="s">
        <v>29603</v>
      </c>
      <c r="Q8138" t="s">
        <v>36676</v>
      </c>
      <c r="R8138">
        <v>24</v>
      </c>
      <c r="S8138">
        <v>32</v>
      </c>
    </row>
    <row r="8139" spans="1:19" x14ac:dyDescent="0.35">
      <c r="A8139">
        <v>3781</v>
      </c>
      <c r="B8139" t="s">
        <v>29598</v>
      </c>
      <c r="C8139" t="s">
        <v>42</v>
      </c>
      <c r="D8139" t="s">
        <v>29599</v>
      </c>
      <c r="E8139" t="e" cm="1">
        <f t="array" ref="E8139">- DEXTROSE ANHYDRATE. SODIUM CHLORIDE. POTASSIUM CHLORIDE. SODIUM CITRATE</f>
        <v>#NAME?</v>
      </c>
      <c r="F8139" s="1">
        <v>1100</v>
      </c>
      <c r="I8139" t="s">
        <v>29600</v>
      </c>
      <c r="M8139" t="s">
        <v>1280</v>
      </c>
      <c r="N8139" t="s">
        <v>36675</v>
      </c>
      <c r="O8139" t="s">
        <v>29602</v>
      </c>
      <c r="P8139" t="s">
        <v>29603</v>
      </c>
      <c r="Q8139" t="s">
        <v>36676</v>
      </c>
      <c r="R8139">
        <v>24</v>
      </c>
      <c r="S8139">
        <v>32</v>
      </c>
    </row>
    <row r="8140" spans="1:19" x14ac:dyDescent="0.35">
      <c r="A8140">
        <v>2166</v>
      </c>
      <c r="B8140" t="s">
        <v>36677</v>
      </c>
      <c r="C8140" t="s">
        <v>42</v>
      </c>
      <c r="D8140" t="s">
        <v>36678</v>
      </c>
      <c r="E8140" t="e" cm="1">
        <f t="array" ref="E8140">- DICLOFENAC SODIUM</f>
        <v>#NAME?</v>
      </c>
      <c r="F8140" t="s">
        <v>36679</v>
      </c>
      <c r="G8140" t="s">
        <v>2241</v>
      </c>
      <c r="H8140" t="s">
        <v>2596</v>
      </c>
      <c r="I8140" t="s">
        <v>36680</v>
      </c>
      <c r="J8140" t="s">
        <v>532</v>
      </c>
      <c r="K8140" t="s">
        <v>36681</v>
      </c>
      <c r="L8140" t="s">
        <v>36682</v>
      </c>
      <c r="M8140" t="s">
        <v>46</v>
      </c>
      <c r="N8140" t="s">
        <v>2597</v>
      </c>
      <c r="O8140" t="s">
        <v>36683</v>
      </c>
      <c r="P8140" t="s">
        <v>36684</v>
      </c>
      <c r="Q8140" t="s">
        <v>36685</v>
      </c>
      <c r="R8140">
        <v>24</v>
      </c>
      <c r="S8140">
        <v>32</v>
      </c>
    </row>
    <row r="8141" spans="1:19" x14ac:dyDescent="0.35">
      <c r="A8141">
        <v>1641</v>
      </c>
      <c r="B8141" t="s">
        <v>36686</v>
      </c>
      <c r="C8141" t="s">
        <v>42</v>
      </c>
      <c r="D8141" t="s">
        <v>36687</v>
      </c>
      <c r="E8141" t="e" cm="1">
        <f t="array" ref="E8141">- AMBROXOL HYDROCHLORIDE</f>
        <v>#NAME?</v>
      </c>
      <c r="F8141" t="s">
        <v>36688</v>
      </c>
      <c r="G8141" t="s">
        <v>4649</v>
      </c>
      <c r="H8141" t="s">
        <v>36689</v>
      </c>
      <c r="I8141" t="s">
        <v>36690</v>
      </c>
      <c r="J8141" t="s">
        <v>36691</v>
      </c>
      <c r="L8141" t="s">
        <v>36692</v>
      </c>
      <c r="M8141" t="s">
        <v>554</v>
      </c>
      <c r="N8141" t="s">
        <v>1800</v>
      </c>
      <c r="O8141" t="s">
        <v>36693</v>
      </c>
      <c r="P8141" t="s">
        <v>36694</v>
      </c>
      <c r="Q8141" t="s">
        <v>36695</v>
      </c>
      <c r="R8141">
        <v>24</v>
      </c>
      <c r="S8141">
        <v>32</v>
      </c>
    </row>
    <row r="8142" spans="1:19" x14ac:dyDescent="0.35">
      <c r="A8142">
        <v>2119</v>
      </c>
      <c r="B8142" t="s">
        <v>36555</v>
      </c>
      <c r="C8142" t="s">
        <v>42</v>
      </c>
      <c r="D8142" t="s">
        <v>36556</v>
      </c>
      <c r="E8142" t="e" cm="1">
        <f t="array" ref="E8142">- MELOXICAM</f>
        <v>#NAME?</v>
      </c>
      <c r="F8142" t="s">
        <v>36557</v>
      </c>
      <c r="G8142" t="s">
        <v>17569</v>
      </c>
      <c r="H8142" t="s">
        <v>36509</v>
      </c>
      <c r="I8142" t="s">
        <v>36510</v>
      </c>
      <c r="J8142" t="s">
        <v>381</v>
      </c>
      <c r="K8142" t="s">
        <v>36511</v>
      </c>
      <c r="L8142" t="s">
        <v>36512</v>
      </c>
      <c r="M8142" t="s">
        <v>46</v>
      </c>
      <c r="N8142" t="s">
        <v>412</v>
      </c>
      <c r="O8142" t="s">
        <v>36513</v>
      </c>
      <c r="P8142" t="s">
        <v>412</v>
      </c>
      <c r="Q8142" t="s">
        <v>36514</v>
      </c>
      <c r="R8142">
        <v>24</v>
      </c>
      <c r="S8142">
        <v>32</v>
      </c>
    </row>
    <row r="8143" spans="1:19" x14ac:dyDescent="0.35">
      <c r="A8143">
        <v>1640</v>
      </c>
      <c r="B8143" t="s">
        <v>36686</v>
      </c>
      <c r="C8143" t="s">
        <v>42</v>
      </c>
      <c r="D8143" t="s">
        <v>36687</v>
      </c>
      <c r="E8143" t="e" cm="1">
        <f t="array" ref="E8143">- AMBROXOL HYDROCHLORIDE</f>
        <v>#NAME?</v>
      </c>
      <c r="F8143" t="s">
        <v>36688</v>
      </c>
      <c r="G8143" t="s">
        <v>4649</v>
      </c>
      <c r="H8143" t="s">
        <v>36689</v>
      </c>
      <c r="I8143" t="s">
        <v>36690</v>
      </c>
      <c r="J8143" t="s">
        <v>36691</v>
      </c>
      <c r="L8143" t="s">
        <v>36692</v>
      </c>
      <c r="M8143" t="s">
        <v>554</v>
      </c>
      <c r="N8143" t="s">
        <v>1800</v>
      </c>
      <c r="O8143" t="s">
        <v>36693</v>
      </c>
      <c r="P8143" t="s">
        <v>36694</v>
      </c>
      <c r="Q8143" t="s">
        <v>36695</v>
      </c>
      <c r="R8143">
        <v>24</v>
      </c>
      <c r="S8143">
        <v>32</v>
      </c>
    </row>
    <row r="8144" spans="1:19" x14ac:dyDescent="0.35">
      <c r="A8144">
        <v>8245</v>
      </c>
      <c r="B8144" t="s">
        <v>551</v>
      </c>
      <c r="C8144" t="s">
        <v>42</v>
      </c>
      <c r="D8144" t="s">
        <v>36619</v>
      </c>
      <c r="E8144" t="e" cm="1">
        <f t="array" ref="E8144">- POVIDONE-IODINE</f>
        <v>#NAME?</v>
      </c>
      <c r="F8144" s="1">
        <v>254100</v>
      </c>
      <c r="G8144" t="s">
        <v>20050</v>
      </c>
      <c r="H8144" t="s">
        <v>13198</v>
      </c>
      <c r="I8144" t="s">
        <v>36502</v>
      </c>
      <c r="J8144" t="s">
        <v>4143</v>
      </c>
      <c r="L8144" t="s">
        <v>20053</v>
      </c>
      <c r="M8144" t="s">
        <v>554</v>
      </c>
      <c r="N8144" t="s">
        <v>555</v>
      </c>
      <c r="O8144" t="s">
        <v>36504</v>
      </c>
      <c r="P8144" t="s">
        <v>27539</v>
      </c>
      <c r="Q8144" t="s">
        <v>36505</v>
      </c>
      <c r="R8144">
        <v>24</v>
      </c>
      <c r="S8144">
        <v>32</v>
      </c>
    </row>
    <row r="8145" spans="1:19" x14ac:dyDescent="0.35">
      <c r="A8145">
        <v>726</v>
      </c>
      <c r="B8145" t="s">
        <v>36558</v>
      </c>
      <c r="C8145" t="s">
        <v>20</v>
      </c>
      <c r="D8145" t="s">
        <v>36559</v>
      </c>
      <c r="E8145" t="s">
        <v>36560</v>
      </c>
      <c r="F8145" t="s">
        <v>36561</v>
      </c>
      <c r="G8145" t="s">
        <v>36562</v>
      </c>
      <c r="H8145" t="s">
        <v>36563</v>
      </c>
      <c r="I8145" t="s">
        <v>36564</v>
      </c>
      <c r="J8145" t="s">
        <v>334</v>
      </c>
      <c r="L8145" t="s">
        <v>13303</v>
      </c>
      <c r="M8145" t="s">
        <v>2115</v>
      </c>
      <c r="N8145" t="s">
        <v>36565</v>
      </c>
      <c r="O8145" t="s">
        <v>36566</v>
      </c>
      <c r="P8145" t="s">
        <v>36567</v>
      </c>
      <c r="Q8145" t="s">
        <v>36568</v>
      </c>
      <c r="R8145">
        <v>24</v>
      </c>
      <c r="S8145">
        <v>32</v>
      </c>
    </row>
    <row r="8146" spans="1:19" x14ac:dyDescent="0.35">
      <c r="A8146">
        <v>333</v>
      </c>
      <c r="B8146" t="s">
        <v>36575</v>
      </c>
      <c r="C8146" t="s">
        <v>42</v>
      </c>
      <c r="D8146" t="s">
        <v>36576</v>
      </c>
      <c r="E8146" t="e" cm="1">
        <f t="array" ref="E8146">- PROGESTERONE</f>
        <v>#NAME?</v>
      </c>
      <c r="F8146" t="s">
        <v>36577</v>
      </c>
      <c r="G8146" t="s">
        <v>36578</v>
      </c>
      <c r="H8146" t="s">
        <v>36579</v>
      </c>
      <c r="I8146" t="s">
        <v>36580</v>
      </c>
      <c r="J8146" t="s">
        <v>36581</v>
      </c>
      <c r="K8146" t="s">
        <v>36582</v>
      </c>
      <c r="L8146" t="s">
        <v>36583</v>
      </c>
      <c r="M8146" t="s">
        <v>33534</v>
      </c>
      <c r="N8146" t="s">
        <v>8537</v>
      </c>
      <c r="O8146" t="s">
        <v>36584</v>
      </c>
      <c r="P8146" t="s">
        <v>33536</v>
      </c>
      <c r="Q8146" t="s">
        <v>36585</v>
      </c>
      <c r="R8146">
        <v>24</v>
      </c>
      <c r="S8146">
        <v>32</v>
      </c>
    </row>
    <row r="8147" spans="1:19" x14ac:dyDescent="0.35">
      <c r="A8147">
        <v>8005</v>
      </c>
      <c r="B8147" t="s">
        <v>36696</v>
      </c>
      <c r="C8147" t="s">
        <v>20</v>
      </c>
      <c r="D8147" t="s">
        <v>36697</v>
      </c>
      <c r="E8147" t="s">
        <v>36698</v>
      </c>
      <c r="F8147" t="s">
        <v>36699</v>
      </c>
      <c r="G8147" t="s">
        <v>36700</v>
      </c>
      <c r="H8147" t="s">
        <v>36701</v>
      </c>
      <c r="I8147" t="s">
        <v>36702</v>
      </c>
      <c r="J8147" t="s">
        <v>36703</v>
      </c>
      <c r="M8147" t="s">
        <v>2374</v>
      </c>
      <c r="N8147" t="s">
        <v>36704</v>
      </c>
      <c r="O8147" t="s">
        <v>36705</v>
      </c>
      <c r="P8147" t="s">
        <v>36706</v>
      </c>
      <c r="Q8147" t="s">
        <v>36707</v>
      </c>
      <c r="R8147">
        <v>24</v>
      </c>
      <c r="S8147">
        <v>32</v>
      </c>
    </row>
    <row r="8148" spans="1:19" x14ac:dyDescent="0.35">
      <c r="A8148">
        <v>5859</v>
      </c>
      <c r="B8148" t="s">
        <v>25810</v>
      </c>
      <c r="C8148" t="s">
        <v>42</v>
      </c>
      <c r="D8148" t="s">
        <v>36708</v>
      </c>
      <c r="E8148" t="e" cm="1">
        <f t="array" ref="E8148">- CLINDAMYCIN HYDROCHLORIDE</f>
        <v>#NAME?</v>
      </c>
      <c r="F8148" t="s">
        <v>36709</v>
      </c>
      <c r="G8148" t="s">
        <v>2241</v>
      </c>
      <c r="H8148" t="s">
        <v>27129</v>
      </c>
      <c r="I8148" t="s">
        <v>36485</v>
      </c>
      <c r="J8148" t="s">
        <v>4547</v>
      </c>
      <c r="K8148" t="s">
        <v>27130</v>
      </c>
      <c r="L8148" t="s">
        <v>27131</v>
      </c>
      <c r="M8148" t="s">
        <v>38</v>
      </c>
      <c r="N8148" t="s">
        <v>23622</v>
      </c>
      <c r="O8148" t="s">
        <v>36487</v>
      </c>
      <c r="P8148" t="s">
        <v>25818</v>
      </c>
      <c r="Q8148" t="s">
        <v>36710</v>
      </c>
      <c r="R8148">
        <v>24</v>
      </c>
      <c r="S8148">
        <v>32</v>
      </c>
    </row>
    <row r="8149" spans="1:19" x14ac:dyDescent="0.35">
      <c r="A8149">
        <v>654</v>
      </c>
      <c r="B8149" t="s">
        <v>36711</v>
      </c>
      <c r="C8149" t="s">
        <v>20</v>
      </c>
      <c r="D8149" t="s">
        <v>36712</v>
      </c>
      <c r="E8149" t="s">
        <v>36713</v>
      </c>
      <c r="F8149" t="s">
        <v>36714</v>
      </c>
      <c r="G8149" t="s">
        <v>22320</v>
      </c>
      <c r="H8149" t="s">
        <v>16824</v>
      </c>
      <c r="I8149" t="s">
        <v>36715</v>
      </c>
      <c r="J8149" t="s">
        <v>846</v>
      </c>
      <c r="M8149" t="s">
        <v>2115</v>
      </c>
      <c r="N8149" t="s">
        <v>36716</v>
      </c>
      <c r="O8149" t="s">
        <v>35461</v>
      </c>
      <c r="P8149" t="s">
        <v>36717</v>
      </c>
      <c r="Q8149" t="s">
        <v>36718</v>
      </c>
      <c r="R8149">
        <v>24</v>
      </c>
      <c r="S8149">
        <v>32</v>
      </c>
    </row>
    <row r="8150" spans="1:19" x14ac:dyDescent="0.35">
      <c r="A8150">
        <v>1053</v>
      </c>
      <c r="B8150" t="s">
        <v>36719</v>
      </c>
      <c r="C8150" t="s">
        <v>42</v>
      </c>
      <c r="D8150" t="s">
        <v>36720</v>
      </c>
      <c r="E8150" t="e" cm="1">
        <f t="array" ref="E8150">- TIPEPIDINE HIBENZATE</f>
        <v>#NAME?</v>
      </c>
      <c r="F8150" t="s">
        <v>36721</v>
      </c>
      <c r="G8150" t="s">
        <v>4649</v>
      </c>
      <c r="H8150" t="s">
        <v>36722</v>
      </c>
      <c r="I8150" t="s">
        <v>36723</v>
      </c>
      <c r="J8150" t="s">
        <v>754</v>
      </c>
      <c r="K8150" t="s">
        <v>36724</v>
      </c>
      <c r="L8150" t="s">
        <v>270</v>
      </c>
      <c r="M8150" t="s">
        <v>46</v>
      </c>
      <c r="N8150" t="s">
        <v>36725</v>
      </c>
      <c r="O8150" t="s">
        <v>36726</v>
      </c>
      <c r="P8150" t="s">
        <v>36727</v>
      </c>
      <c r="Q8150" t="s">
        <v>36728</v>
      </c>
      <c r="R8150">
        <v>24</v>
      </c>
      <c r="S8150">
        <v>32</v>
      </c>
    </row>
    <row r="8151" spans="1:19" x14ac:dyDescent="0.35">
      <c r="A8151">
        <v>1054</v>
      </c>
      <c r="B8151" t="s">
        <v>36719</v>
      </c>
      <c r="C8151" t="s">
        <v>42</v>
      </c>
      <c r="D8151" t="s">
        <v>36720</v>
      </c>
      <c r="E8151" t="e" cm="1">
        <f t="array" ref="E8151">- TIPEPIDINE HIBENZATE</f>
        <v>#NAME?</v>
      </c>
      <c r="F8151" t="s">
        <v>36721</v>
      </c>
      <c r="G8151" t="s">
        <v>4649</v>
      </c>
      <c r="H8151" t="s">
        <v>36722</v>
      </c>
      <c r="I8151" t="s">
        <v>36723</v>
      </c>
      <c r="J8151" t="s">
        <v>754</v>
      </c>
      <c r="K8151" t="s">
        <v>36724</v>
      </c>
      <c r="L8151" t="s">
        <v>270</v>
      </c>
      <c r="M8151" t="s">
        <v>46</v>
      </c>
      <c r="N8151" t="s">
        <v>36725</v>
      </c>
      <c r="O8151" t="s">
        <v>36726</v>
      </c>
      <c r="P8151" t="s">
        <v>36727</v>
      </c>
      <c r="Q8151" t="s">
        <v>36728</v>
      </c>
      <c r="R8151">
        <v>24</v>
      </c>
      <c r="S8151">
        <v>32</v>
      </c>
    </row>
    <row r="8152" spans="1:19" x14ac:dyDescent="0.35">
      <c r="A8152">
        <v>1055</v>
      </c>
      <c r="B8152" t="s">
        <v>36719</v>
      </c>
      <c r="C8152" t="s">
        <v>42</v>
      </c>
      <c r="D8152" t="s">
        <v>36720</v>
      </c>
      <c r="E8152" t="e" cm="1">
        <f t="array" ref="E8152">- TIPEPIDINE HIBENZATE</f>
        <v>#NAME?</v>
      </c>
      <c r="F8152" t="s">
        <v>36721</v>
      </c>
      <c r="G8152" t="s">
        <v>4649</v>
      </c>
      <c r="H8152" t="s">
        <v>36722</v>
      </c>
      <c r="I8152" t="s">
        <v>36723</v>
      </c>
      <c r="J8152" t="s">
        <v>754</v>
      </c>
      <c r="K8152" t="s">
        <v>36724</v>
      </c>
      <c r="L8152" t="s">
        <v>270</v>
      </c>
      <c r="M8152" t="s">
        <v>46</v>
      </c>
      <c r="N8152" t="s">
        <v>36725</v>
      </c>
      <c r="O8152" t="s">
        <v>36726</v>
      </c>
      <c r="P8152" t="s">
        <v>36727</v>
      </c>
      <c r="Q8152" t="s">
        <v>36728</v>
      </c>
      <c r="R8152">
        <v>24</v>
      </c>
      <c r="S8152">
        <v>32</v>
      </c>
    </row>
    <row r="8153" spans="1:19" x14ac:dyDescent="0.35">
      <c r="A8153">
        <v>1098</v>
      </c>
      <c r="B8153" t="s">
        <v>36729</v>
      </c>
      <c r="C8153" t="s">
        <v>42</v>
      </c>
      <c r="D8153" t="s">
        <v>36730</v>
      </c>
      <c r="E8153" t="e" cm="1">
        <f t="array" ref="E8153">- PARACETAMOL. GUAIFENESIN. DEXTROMETHORPHAN HYDROBROMIDE. DEXCHLORPHENIRAMINE MALEATE. PHENYLPROPANOLAMINE HYDROCHLORIDE</f>
        <v>#NAME?</v>
      </c>
      <c r="F8153" t="s">
        <v>36731</v>
      </c>
      <c r="G8153" t="s">
        <v>2241</v>
      </c>
      <c r="H8153" t="s">
        <v>36732</v>
      </c>
      <c r="I8153" t="s">
        <v>29641</v>
      </c>
      <c r="J8153" t="s">
        <v>334</v>
      </c>
      <c r="K8153" t="s">
        <v>34748</v>
      </c>
      <c r="L8153" t="s">
        <v>34749</v>
      </c>
      <c r="M8153" t="s">
        <v>271</v>
      </c>
      <c r="N8153" t="s">
        <v>36733</v>
      </c>
      <c r="O8153" t="s">
        <v>29642</v>
      </c>
      <c r="P8153" t="s">
        <v>34751</v>
      </c>
      <c r="Q8153" t="s">
        <v>36734</v>
      </c>
      <c r="R8153">
        <v>24</v>
      </c>
      <c r="S8153">
        <v>32</v>
      </c>
    </row>
    <row r="8154" spans="1:19" x14ac:dyDescent="0.35">
      <c r="A8154">
        <v>6706</v>
      </c>
      <c r="B8154" t="s">
        <v>36735</v>
      </c>
      <c r="C8154" t="s">
        <v>42</v>
      </c>
      <c r="D8154" t="s">
        <v>36736</v>
      </c>
      <c r="E8154" t="e" cm="1">
        <f t="array" ref="E8154">- CALCITRIOL</f>
        <v>#NAME?</v>
      </c>
      <c r="F8154" t="s">
        <v>36737</v>
      </c>
      <c r="G8154" t="s">
        <v>16590</v>
      </c>
      <c r="H8154" t="s">
        <v>36738</v>
      </c>
      <c r="I8154" t="s">
        <v>36739</v>
      </c>
      <c r="J8154" t="s">
        <v>441</v>
      </c>
      <c r="K8154" t="s">
        <v>36740</v>
      </c>
      <c r="L8154" t="s">
        <v>14737</v>
      </c>
      <c r="M8154" t="s">
        <v>38</v>
      </c>
      <c r="N8154" t="s">
        <v>442</v>
      </c>
      <c r="O8154" t="s">
        <v>36741</v>
      </c>
      <c r="P8154" t="s">
        <v>36742</v>
      </c>
      <c r="Q8154" t="s">
        <v>36743</v>
      </c>
      <c r="R8154">
        <v>24</v>
      </c>
      <c r="S8154">
        <v>32</v>
      </c>
    </row>
    <row r="8155" spans="1:19" x14ac:dyDescent="0.35">
      <c r="A8155">
        <v>819</v>
      </c>
      <c r="B8155" t="s">
        <v>36744</v>
      </c>
      <c r="C8155" t="s">
        <v>42</v>
      </c>
      <c r="D8155" t="s">
        <v>36745</v>
      </c>
      <c r="E8155" t="e" cm="1">
        <f t="array" ref="E8155">- PHENYLPROPANOLAMINE HYDROCHLORIDE. CHLORPHENAMINE MALEATE. PARACETAMOL. DEXTROMETHORPHAN HYDROBROMIDE</f>
        <v>#NAME?</v>
      </c>
      <c r="F8155" t="s">
        <v>16715</v>
      </c>
      <c r="G8155" t="s">
        <v>2266</v>
      </c>
      <c r="H8155" t="s">
        <v>36746</v>
      </c>
      <c r="I8155" t="s">
        <v>36747</v>
      </c>
      <c r="J8155" t="s">
        <v>36748</v>
      </c>
      <c r="K8155" t="s">
        <v>36749</v>
      </c>
      <c r="L8155" t="s">
        <v>29554</v>
      </c>
      <c r="M8155" t="s">
        <v>291</v>
      </c>
      <c r="N8155" t="s">
        <v>36750</v>
      </c>
      <c r="O8155" t="s">
        <v>36751</v>
      </c>
      <c r="P8155" t="s">
        <v>36752</v>
      </c>
      <c r="Q8155" t="s">
        <v>36753</v>
      </c>
      <c r="R8155">
        <v>24</v>
      </c>
      <c r="S8155">
        <v>32</v>
      </c>
    </row>
    <row r="8156" spans="1:19" x14ac:dyDescent="0.35">
      <c r="A8156">
        <v>6707</v>
      </c>
      <c r="B8156" t="s">
        <v>36735</v>
      </c>
      <c r="C8156" t="s">
        <v>42</v>
      </c>
      <c r="D8156" t="s">
        <v>36736</v>
      </c>
      <c r="E8156" t="e" cm="1">
        <f t="array" ref="E8156">- CALCITRIOL</f>
        <v>#NAME?</v>
      </c>
      <c r="F8156" t="s">
        <v>36737</v>
      </c>
      <c r="G8156" t="s">
        <v>16590</v>
      </c>
      <c r="H8156" t="s">
        <v>36738</v>
      </c>
      <c r="I8156" t="s">
        <v>36739</v>
      </c>
      <c r="J8156" t="s">
        <v>441</v>
      </c>
      <c r="K8156" t="s">
        <v>36740</v>
      </c>
      <c r="L8156" t="s">
        <v>14737</v>
      </c>
      <c r="M8156" t="s">
        <v>38</v>
      </c>
      <c r="N8156" t="s">
        <v>442</v>
      </c>
      <c r="O8156" t="s">
        <v>36741</v>
      </c>
      <c r="P8156" t="s">
        <v>36742</v>
      </c>
      <c r="Q8156" t="s">
        <v>36743</v>
      </c>
      <c r="R8156">
        <v>24</v>
      </c>
      <c r="S8156">
        <v>32</v>
      </c>
    </row>
    <row r="8157" spans="1:19" x14ac:dyDescent="0.35">
      <c r="A8157">
        <v>5615</v>
      </c>
      <c r="B8157" t="s">
        <v>36754</v>
      </c>
      <c r="C8157" t="s">
        <v>42</v>
      </c>
      <c r="D8157" t="s">
        <v>36755</v>
      </c>
      <c r="E8157" t="e" cm="1">
        <f t="array" ref="E8157">- AMOXICILLIN TRIHYDRATE</f>
        <v>#NAME?</v>
      </c>
      <c r="F8157" t="s">
        <v>36756</v>
      </c>
      <c r="G8157" t="s">
        <v>2241</v>
      </c>
      <c r="H8157" t="s">
        <v>35919</v>
      </c>
      <c r="I8157" t="s">
        <v>35920</v>
      </c>
      <c r="J8157" t="s">
        <v>810</v>
      </c>
      <c r="K8157" t="s">
        <v>35921</v>
      </c>
      <c r="L8157" t="s">
        <v>35922</v>
      </c>
      <c r="M8157" t="s">
        <v>38</v>
      </c>
      <c r="N8157" t="s">
        <v>1523</v>
      </c>
      <c r="O8157" t="s">
        <v>35923</v>
      </c>
      <c r="P8157" t="s">
        <v>35924</v>
      </c>
      <c r="Q8157" t="s">
        <v>36757</v>
      </c>
      <c r="R8157">
        <v>24</v>
      </c>
      <c r="S8157">
        <v>32</v>
      </c>
    </row>
    <row r="8158" spans="1:19" x14ac:dyDescent="0.35">
      <c r="A8158">
        <v>3043</v>
      </c>
      <c r="B8158" t="s">
        <v>36758</v>
      </c>
      <c r="C8158" t="s">
        <v>42</v>
      </c>
      <c r="D8158" t="s">
        <v>36759</v>
      </c>
      <c r="E8158" t="e" cm="1">
        <f t="array" ref="E8158">- ALUMINIUM HYDROXIDE</f>
        <v>#NAME?</v>
      </c>
      <c r="F8158" t="s">
        <v>36760</v>
      </c>
      <c r="G8158" t="s">
        <v>36761</v>
      </c>
      <c r="H8158" t="s">
        <v>36762</v>
      </c>
      <c r="I8158" t="s">
        <v>36763</v>
      </c>
      <c r="J8158" t="s">
        <v>36170</v>
      </c>
      <c r="K8158" t="s">
        <v>21928</v>
      </c>
      <c r="L8158" t="s">
        <v>36764</v>
      </c>
      <c r="M8158" t="s">
        <v>340</v>
      </c>
      <c r="N8158" t="s">
        <v>1771</v>
      </c>
      <c r="O8158" t="s">
        <v>36765</v>
      </c>
      <c r="P8158" t="s">
        <v>23220</v>
      </c>
      <c r="Q8158" t="s">
        <v>36766</v>
      </c>
      <c r="R8158">
        <v>24</v>
      </c>
      <c r="S8158">
        <v>32</v>
      </c>
    </row>
    <row r="8159" spans="1:19" x14ac:dyDescent="0.35">
      <c r="A8159">
        <v>3042</v>
      </c>
      <c r="B8159" t="s">
        <v>36758</v>
      </c>
      <c r="C8159" t="s">
        <v>42</v>
      </c>
      <c r="D8159" t="s">
        <v>36759</v>
      </c>
      <c r="E8159" t="e" cm="1">
        <f t="array" ref="E8159">- ALUMINIUM HYDROXIDE</f>
        <v>#NAME?</v>
      </c>
      <c r="F8159" t="s">
        <v>36760</v>
      </c>
      <c r="G8159" t="s">
        <v>36761</v>
      </c>
      <c r="H8159" t="s">
        <v>36762</v>
      </c>
      <c r="I8159" t="s">
        <v>36763</v>
      </c>
      <c r="J8159" t="s">
        <v>36170</v>
      </c>
      <c r="K8159" t="s">
        <v>21928</v>
      </c>
      <c r="L8159" t="s">
        <v>36764</v>
      </c>
      <c r="M8159" t="s">
        <v>340</v>
      </c>
      <c r="N8159" t="s">
        <v>1771</v>
      </c>
      <c r="O8159" t="s">
        <v>36765</v>
      </c>
      <c r="P8159" t="s">
        <v>23220</v>
      </c>
      <c r="Q8159" t="s">
        <v>36766</v>
      </c>
      <c r="R8159">
        <v>24</v>
      </c>
      <c r="S8159">
        <v>32</v>
      </c>
    </row>
    <row r="8160" spans="1:19" x14ac:dyDescent="0.35">
      <c r="A8160">
        <v>4556</v>
      </c>
      <c r="B8160" t="s">
        <v>36767</v>
      </c>
      <c r="C8160" t="s">
        <v>42</v>
      </c>
      <c r="D8160" t="s">
        <v>36768</v>
      </c>
      <c r="E8160" t="e" cm="1">
        <f t="array" ref="E8160">- WITCH HAZEL</f>
        <v>#NAME?</v>
      </c>
      <c r="F8160" t="s">
        <v>32291</v>
      </c>
      <c r="G8160" t="s">
        <v>36769</v>
      </c>
      <c r="H8160" t="s">
        <v>14993</v>
      </c>
      <c r="I8160" t="s">
        <v>36770</v>
      </c>
      <c r="J8160" t="s">
        <v>36771</v>
      </c>
      <c r="K8160" t="s">
        <v>3952</v>
      </c>
      <c r="L8160" t="s">
        <v>36772</v>
      </c>
      <c r="M8160" t="s">
        <v>554</v>
      </c>
      <c r="N8160" t="s">
        <v>33662</v>
      </c>
      <c r="O8160" t="s">
        <v>36773</v>
      </c>
      <c r="P8160" t="s">
        <v>33664</v>
      </c>
      <c r="Q8160" t="s">
        <v>36774</v>
      </c>
      <c r="R8160">
        <v>24</v>
      </c>
      <c r="S8160">
        <v>32</v>
      </c>
    </row>
    <row r="8161" spans="1:19" x14ac:dyDescent="0.35">
      <c r="A8161">
        <v>3039</v>
      </c>
      <c r="B8161" t="s">
        <v>36758</v>
      </c>
      <c r="C8161" t="s">
        <v>42</v>
      </c>
      <c r="D8161" t="s">
        <v>36759</v>
      </c>
      <c r="E8161" t="e" cm="1">
        <f t="array" ref="E8161">- ALUMINIUM HYDROXIDE</f>
        <v>#NAME?</v>
      </c>
      <c r="F8161" t="s">
        <v>36760</v>
      </c>
      <c r="G8161" t="s">
        <v>36761</v>
      </c>
      <c r="H8161" t="s">
        <v>36762</v>
      </c>
      <c r="I8161" t="s">
        <v>36763</v>
      </c>
      <c r="J8161" t="s">
        <v>36170</v>
      </c>
      <c r="K8161" t="s">
        <v>21928</v>
      </c>
      <c r="L8161" t="s">
        <v>36764</v>
      </c>
      <c r="M8161" t="s">
        <v>340</v>
      </c>
      <c r="N8161" t="s">
        <v>1771</v>
      </c>
      <c r="O8161" t="s">
        <v>36765</v>
      </c>
      <c r="P8161" t="s">
        <v>23220</v>
      </c>
      <c r="Q8161" t="s">
        <v>36766</v>
      </c>
      <c r="R8161">
        <v>24</v>
      </c>
      <c r="S8161">
        <v>32</v>
      </c>
    </row>
    <row r="8162" spans="1:19" x14ac:dyDescent="0.35">
      <c r="A8162">
        <v>3038</v>
      </c>
      <c r="B8162" t="s">
        <v>36758</v>
      </c>
      <c r="C8162" t="s">
        <v>42</v>
      </c>
      <c r="D8162" t="s">
        <v>36759</v>
      </c>
      <c r="E8162" t="e" cm="1">
        <f t="array" ref="E8162">- ALUMINIUM HYDROXIDE</f>
        <v>#NAME?</v>
      </c>
      <c r="F8162" t="s">
        <v>36760</v>
      </c>
      <c r="G8162" t="s">
        <v>36761</v>
      </c>
      <c r="H8162" t="s">
        <v>36762</v>
      </c>
      <c r="I8162" t="s">
        <v>36763</v>
      </c>
      <c r="J8162" t="s">
        <v>36170</v>
      </c>
      <c r="K8162" t="s">
        <v>21928</v>
      </c>
      <c r="L8162" t="s">
        <v>36764</v>
      </c>
      <c r="M8162" t="s">
        <v>340</v>
      </c>
      <c r="N8162" t="s">
        <v>1771</v>
      </c>
      <c r="O8162" t="s">
        <v>36765</v>
      </c>
      <c r="P8162" t="s">
        <v>23220</v>
      </c>
      <c r="Q8162" t="s">
        <v>36766</v>
      </c>
      <c r="R8162">
        <v>24</v>
      </c>
      <c r="S8162">
        <v>32</v>
      </c>
    </row>
    <row r="8163" spans="1:19" x14ac:dyDescent="0.35">
      <c r="A8163">
        <v>5616</v>
      </c>
      <c r="B8163" t="s">
        <v>36754</v>
      </c>
      <c r="C8163" t="s">
        <v>42</v>
      </c>
      <c r="D8163" t="s">
        <v>36755</v>
      </c>
      <c r="E8163" t="e" cm="1">
        <f t="array" ref="E8163">- AMOXICILLIN TRIHYDRATE</f>
        <v>#NAME?</v>
      </c>
      <c r="F8163" t="s">
        <v>36756</v>
      </c>
      <c r="G8163" t="s">
        <v>2241</v>
      </c>
      <c r="H8163" t="s">
        <v>35919</v>
      </c>
      <c r="I8163" t="s">
        <v>35920</v>
      </c>
      <c r="J8163" t="s">
        <v>810</v>
      </c>
      <c r="K8163" t="s">
        <v>35921</v>
      </c>
      <c r="L8163" t="s">
        <v>35922</v>
      </c>
      <c r="M8163" t="s">
        <v>38</v>
      </c>
      <c r="N8163" t="s">
        <v>1523</v>
      </c>
      <c r="O8163" t="s">
        <v>35923</v>
      </c>
      <c r="P8163" t="s">
        <v>35924</v>
      </c>
      <c r="Q8163" t="s">
        <v>36757</v>
      </c>
      <c r="R8163">
        <v>24</v>
      </c>
      <c r="S8163">
        <v>32</v>
      </c>
    </row>
    <row r="8164" spans="1:19" x14ac:dyDescent="0.35">
      <c r="A8164">
        <v>4979</v>
      </c>
      <c r="B8164" t="s">
        <v>36775</v>
      </c>
      <c r="C8164" t="s">
        <v>42</v>
      </c>
      <c r="D8164" t="s">
        <v>36776</v>
      </c>
      <c r="E8164" t="e" cm="1">
        <f t="array" ref="E8164">- CLOBETASOL PROPIONATE</f>
        <v>#NAME?</v>
      </c>
      <c r="F8164" t="s">
        <v>36777</v>
      </c>
      <c r="G8164" t="s">
        <v>21834</v>
      </c>
      <c r="H8164" t="s">
        <v>28332</v>
      </c>
      <c r="I8164" t="s">
        <v>36778</v>
      </c>
      <c r="J8164" t="s">
        <v>2040</v>
      </c>
      <c r="K8164" t="s">
        <v>27387</v>
      </c>
    </row>
    <row r="8165" spans="1:19" x14ac:dyDescent="0.35">
      <c r="A8165">
        <v>7597</v>
      </c>
      <c r="B8165" t="s">
        <v>29087</v>
      </c>
      <c r="C8165" t="s">
        <v>20</v>
      </c>
      <c r="D8165" t="s">
        <v>36779</v>
      </c>
      <c r="E8165" t="s">
        <v>29089</v>
      </c>
      <c r="F8165" t="s">
        <v>36780</v>
      </c>
      <c r="G8165" t="s">
        <v>2241</v>
      </c>
      <c r="H8165" t="s">
        <v>36781</v>
      </c>
      <c r="I8165" t="s">
        <v>35420</v>
      </c>
      <c r="J8165" t="s">
        <v>374</v>
      </c>
      <c r="K8165" t="s">
        <v>36139</v>
      </c>
      <c r="L8165" t="s">
        <v>36140</v>
      </c>
      <c r="M8165" t="s">
        <v>271</v>
      </c>
      <c r="N8165" t="s">
        <v>29095</v>
      </c>
      <c r="O8165" t="s">
        <v>35423</v>
      </c>
      <c r="P8165" t="s">
        <v>29097</v>
      </c>
      <c r="Q8165" t="s">
        <v>36782</v>
      </c>
      <c r="R8165">
        <v>24</v>
      </c>
      <c r="S8165">
        <v>32</v>
      </c>
    </row>
    <row r="8166" spans="1:19" x14ac:dyDescent="0.35">
      <c r="A8166">
        <v>7596</v>
      </c>
      <c r="B8166" t="s">
        <v>29087</v>
      </c>
      <c r="C8166" t="s">
        <v>20</v>
      </c>
      <c r="D8166" t="s">
        <v>36779</v>
      </c>
      <c r="E8166" t="s">
        <v>29089</v>
      </c>
      <c r="F8166" t="s">
        <v>36780</v>
      </c>
      <c r="G8166" t="s">
        <v>2241</v>
      </c>
      <c r="H8166" t="s">
        <v>36781</v>
      </c>
      <c r="I8166" t="s">
        <v>35420</v>
      </c>
      <c r="J8166" t="s">
        <v>374</v>
      </c>
      <c r="K8166" t="s">
        <v>36139</v>
      </c>
      <c r="L8166" t="s">
        <v>36140</v>
      </c>
      <c r="M8166" t="s">
        <v>271</v>
      </c>
      <c r="N8166" t="s">
        <v>29095</v>
      </c>
      <c r="O8166" t="s">
        <v>35423</v>
      </c>
      <c r="P8166" t="s">
        <v>29097</v>
      </c>
      <c r="Q8166" t="s">
        <v>36782</v>
      </c>
      <c r="R8166">
        <v>24</v>
      </c>
      <c r="S8166">
        <v>32</v>
      </c>
    </row>
    <row r="8167" spans="1:19" x14ac:dyDescent="0.35">
      <c r="A8167">
        <v>1852</v>
      </c>
      <c r="B8167" t="s">
        <v>6668</v>
      </c>
      <c r="C8167" t="s">
        <v>42</v>
      </c>
      <c r="D8167" t="s">
        <v>27774</v>
      </c>
      <c r="E8167" t="e" cm="1">
        <f t="array" ref="E8167">- PARACETAMOL. AMMONIUM CHLORIDE. CHLORPHENAMINE MALEATE. PSEUDOEPHEDRINE HYDROCHLORIDE. SUCCUS LIQUIRITIAE</f>
        <v>#NAME?</v>
      </c>
      <c r="F8167" t="s">
        <v>27775</v>
      </c>
      <c r="G8167" t="s">
        <v>2241</v>
      </c>
      <c r="H8167" t="s">
        <v>27776</v>
      </c>
      <c r="I8167" t="s">
        <v>27777</v>
      </c>
      <c r="J8167" t="s">
        <v>334</v>
      </c>
      <c r="K8167" t="s">
        <v>4975</v>
      </c>
      <c r="L8167" t="s">
        <v>27778</v>
      </c>
      <c r="M8167" t="s">
        <v>271</v>
      </c>
      <c r="N8167" t="s">
        <v>23667</v>
      </c>
      <c r="O8167" t="s">
        <v>27779</v>
      </c>
      <c r="P8167" t="s">
        <v>6673</v>
      </c>
      <c r="Q8167" t="s">
        <v>36783</v>
      </c>
      <c r="R8167">
        <v>24</v>
      </c>
      <c r="S8167">
        <v>32</v>
      </c>
    </row>
    <row r="8168" spans="1:19" x14ac:dyDescent="0.35">
      <c r="A8168">
        <v>5636</v>
      </c>
      <c r="B8168" t="s">
        <v>36784</v>
      </c>
      <c r="C8168" t="s">
        <v>42</v>
      </c>
      <c r="D8168" t="s">
        <v>36785</v>
      </c>
      <c r="E8168" t="e" cm="1">
        <f t="array" ref="E8168">- AMOXICILLIN TRIHYDRATE</f>
        <v>#NAME?</v>
      </c>
      <c r="F8168" t="s">
        <v>15188</v>
      </c>
      <c r="G8168" t="s">
        <v>35975</v>
      </c>
      <c r="H8168" t="s">
        <v>35919</v>
      </c>
      <c r="I8168" t="s">
        <v>35977</v>
      </c>
      <c r="J8168" t="s">
        <v>334</v>
      </c>
      <c r="K8168" t="s">
        <v>35921</v>
      </c>
      <c r="L8168" t="s">
        <v>35922</v>
      </c>
      <c r="M8168" t="s">
        <v>271</v>
      </c>
      <c r="N8168" t="s">
        <v>1523</v>
      </c>
      <c r="O8168" t="s">
        <v>35923</v>
      </c>
      <c r="P8168" t="s">
        <v>35924</v>
      </c>
      <c r="Q8168" t="s">
        <v>36786</v>
      </c>
      <c r="R8168">
        <v>24</v>
      </c>
      <c r="S8168">
        <v>32</v>
      </c>
    </row>
    <row r="8169" spans="1:19" x14ac:dyDescent="0.35">
      <c r="A8169">
        <v>6512</v>
      </c>
      <c r="B8169" t="s">
        <v>36787</v>
      </c>
      <c r="C8169" t="s">
        <v>42</v>
      </c>
      <c r="D8169" t="s">
        <v>36788</v>
      </c>
      <c r="E8169" t="e" cm="1">
        <f t="array" ref="E8169">- LEVOFLOXACIN HEMIHYDRATE</f>
        <v>#NAME?</v>
      </c>
      <c r="F8169" s="1">
        <v>34500</v>
      </c>
      <c r="G8169" t="s">
        <v>33235</v>
      </c>
      <c r="H8169" t="s">
        <v>36789</v>
      </c>
    </row>
    <row r="8170" spans="1:19" x14ac:dyDescent="0.35">
      <c r="A8170">
        <v>6511</v>
      </c>
      <c r="B8170" t="s">
        <v>36787</v>
      </c>
      <c r="C8170" t="s">
        <v>42</v>
      </c>
      <c r="D8170" t="s">
        <v>36788</v>
      </c>
      <c r="E8170" t="e" cm="1">
        <f t="array" ref="E8170">- LEVOFLOXACIN HEMIHYDRATE</f>
        <v>#NAME?</v>
      </c>
      <c r="F8170" s="1">
        <v>34500</v>
      </c>
      <c r="G8170" t="s">
        <v>33235</v>
      </c>
      <c r="H8170" t="s">
        <v>36789</v>
      </c>
    </row>
    <row r="8171" spans="1:19" x14ac:dyDescent="0.35">
      <c r="A8171">
        <v>5635</v>
      </c>
      <c r="B8171" t="s">
        <v>36784</v>
      </c>
      <c r="C8171" t="s">
        <v>42</v>
      </c>
      <c r="D8171" t="s">
        <v>36785</v>
      </c>
      <c r="E8171" t="e" cm="1">
        <f t="array" ref="E8171">- AMOXICILLIN TRIHYDRATE</f>
        <v>#NAME?</v>
      </c>
      <c r="F8171" t="s">
        <v>15188</v>
      </c>
      <c r="G8171" t="s">
        <v>35975</v>
      </c>
      <c r="H8171" t="s">
        <v>35919</v>
      </c>
      <c r="I8171" t="s">
        <v>35977</v>
      </c>
      <c r="J8171" t="s">
        <v>334</v>
      </c>
      <c r="K8171" t="s">
        <v>35921</v>
      </c>
      <c r="L8171" t="s">
        <v>35922</v>
      </c>
      <c r="M8171" t="s">
        <v>271</v>
      </c>
      <c r="N8171" t="s">
        <v>1523</v>
      </c>
      <c r="O8171" t="s">
        <v>35923</v>
      </c>
      <c r="P8171" t="s">
        <v>35924</v>
      </c>
      <c r="Q8171" t="s">
        <v>36786</v>
      </c>
      <c r="R8171">
        <v>24</v>
      </c>
      <c r="S8171">
        <v>32</v>
      </c>
    </row>
    <row r="8172" spans="1:19" x14ac:dyDescent="0.35">
      <c r="A8172">
        <v>6873</v>
      </c>
      <c r="B8172" t="s">
        <v>36790</v>
      </c>
      <c r="C8172" t="s">
        <v>42</v>
      </c>
      <c r="D8172" t="s">
        <v>36791</v>
      </c>
      <c r="E8172" t="e" cm="1">
        <f t="array" ref="E8172">- TIZANIDINE HYDROCHLORIDE</f>
        <v>#NAME?</v>
      </c>
      <c r="F8172" t="s">
        <v>36792</v>
      </c>
      <c r="G8172" t="s">
        <v>18116</v>
      </c>
      <c r="H8172" t="s">
        <v>36793</v>
      </c>
      <c r="I8172" t="s">
        <v>36794</v>
      </c>
    </row>
    <row r="8173" spans="1:19" x14ac:dyDescent="0.35">
      <c r="A8173">
        <v>675</v>
      </c>
      <c r="B8173" t="s">
        <v>36165</v>
      </c>
      <c r="C8173" t="s">
        <v>20</v>
      </c>
      <c r="D8173" t="s">
        <v>36795</v>
      </c>
      <c r="E8173" t="s">
        <v>36167</v>
      </c>
      <c r="F8173" s="1">
        <v>12000</v>
      </c>
      <c r="G8173" t="s">
        <v>22321</v>
      </c>
      <c r="H8173" t="s">
        <v>1322</v>
      </c>
      <c r="I8173" t="s">
        <v>36796</v>
      </c>
      <c r="J8173" t="s">
        <v>3275</v>
      </c>
      <c r="M8173" t="s">
        <v>2115</v>
      </c>
      <c r="N8173" t="s">
        <v>36171</v>
      </c>
      <c r="O8173" t="s">
        <v>36797</v>
      </c>
      <c r="P8173" t="s">
        <v>36173</v>
      </c>
      <c r="Q8173" t="s">
        <v>36798</v>
      </c>
      <c r="R8173">
        <v>24</v>
      </c>
      <c r="S8173">
        <v>32</v>
      </c>
    </row>
    <row r="8174" spans="1:19" x14ac:dyDescent="0.35">
      <c r="A8174">
        <v>818</v>
      </c>
      <c r="B8174" t="s">
        <v>36744</v>
      </c>
      <c r="C8174" t="s">
        <v>42</v>
      </c>
      <c r="D8174" t="s">
        <v>36745</v>
      </c>
      <c r="E8174" t="e" cm="1">
        <f t="array" ref="E8174">- PHENYLPROPANOLAMINE HYDROCHLORIDE. CHLORPHENAMINE MALEATE. DEXTROMETHORPHAN HYDROBROMIDE. PARACETAMOL</f>
        <v>#NAME?</v>
      </c>
      <c r="F8174" t="s">
        <v>16715</v>
      </c>
      <c r="G8174" t="s">
        <v>2266</v>
      </c>
      <c r="H8174" t="s">
        <v>36746</v>
      </c>
      <c r="I8174" t="s">
        <v>36747</v>
      </c>
      <c r="J8174" t="s">
        <v>36748</v>
      </c>
      <c r="K8174" t="s">
        <v>36749</v>
      </c>
      <c r="L8174" t="s">
        <v>29554</v>
      </c>
      <c r="M8174" t="s">
        <v>291</v>
      </c>
      <c r="N8174" t="s">
        <v>36799</v>
      </c>
      <c r="O8174" t="s">
        <v>36751</v>
      </c>
      <c r="P8174" t="s">
        <v>36752</v>
      </c>
      <c r="Q8174" t="s">
        <v>36800</v>
      </c>
      <c r="R8174">
        <v>24</v>
      </c>
      <c r="S8174">
        <v>32</v>
      </c>
    </row>
    <row r="8175" spans="1:19" x14ac:dyDescent="0.35">
      <c r="A8175">
        <v>469</v>
      </c>
      <c r="B8175" t="s">
        <v>36801</v>
      </c>
      <c r="C8175" t="s">
        <v>42</v>
      </c>
      <c r="D8175" t="s">
        <v>36802</v>
      </c>
      <c r="E8175" t="e" cm="1">
        <f t="array" ref="E8175">- KETOTIFEN FUMARATE</f>
        <v>#NAME?</v>
      </c>
      <c r="F8175" t="s">
        <v>36803</v>
      </c>
      <c r="G8175" t="s">
        <v>2241</v>
      </c>
      <c r="H8175" t="s">
        <v>36804</v>
      </c>
      <c r="I8175" t="s">
        <v>36805</v>
      </c>
      <c r="J8175" t="s">
        <v>630</v>
      </c>
      <c r="K8175" t="s">
        <v>36806</v>
      </c>
      <c r="L8175" t="s">
        <v>36807</v>
      </c>
      <c r="M8175" t="s">
        <v>271</v>
      </c>
      <c r="N8175" t="s">
        <v>8559</v>
      </c>
      <c r="O8175" t="s">
        <v>36808</v>
      </c>
      <c r="P8175" t="s">
        <v>18028</v>
      </c>
      <c r="Q8175" t="s">
        <v>36809</v>
      </c>
      <c r="R8175">
        <v>24</v>
      </c>
      <c r="S8175">
        <v>32</v>
      </c>
    </row>
    <row r="8176" spans="1:19" x14ac:dyDescent="0.35">
      <c r="A8176">
        <v>4981</v>
      </c>
      <c r="B8176" t="s">
        <v>36775</v>
      </c>
      <c r="C8176" t="s">
        <v>42</v>
      </c>
      <c r="D8176" t="s">
        <v>36776</v>
      </c>
      <c r="E8176" t="e" cm="1">
        <f t="array" ref="E8176">- CLOBETASOL PROPIONATE</f>
        <v>#NAME?</v>
      </c>
      <c r="F8176" t="s">
        <v>36777</v>
      </c>
      <c r="G8176" t="s">
        <v>21834</v>
      </c>
      <c r="H8176" t="s">
        <v>28332</v>
      </c>
      <c r="I8176" t="s">
        <v>36778</v>
      </c>
      <c r="J8176" t="s">
        <v>2040</v>
      </c>
      <c r="K8176" t="s">
        <v>27387</v>
      </c>
    </row>
    <row r="8177" spans="1:19" x14ac:dyDescent="0.35">
      <c r="A8177">
        <v>4980</v>
      </c>
      <c r="B8177" t="s">
        <v>36775</v>
      </c>
      <c r="C8177" t="s">
        <v>42</v>
      </c>
      <c r="D8177" t="s">
        <v>36776</v>
      </c>
      <c r="E8177" t="e" cm="1">
        <f t="array" ref="E8177">- CLOBETASOL PROPIONATE</f>
        <v>#NAME?</v>
      </c>
      <c r="F8177" t="s">
        <v>36777</v>
      </c>
      <c r="G8177" t="s">
        <v>21834</v>
      </c>
      <c r="H8177" t="s">
        <v>28332</v>
      </c>
      <c r="I8177" t="s">
        <v>36778</v>
      </c>
      <c r="J8177" t="s">
        <v>2040</v>
      </c>
      <c r="K8177" t="s">
        <v>27387</v>
      </c>
    </row>
    <row r="8178" spans="1:19" x14ac:dyDescent="0.35">
      <c r="A8178">
        <v>7592</v>
      </c>
      <c r="B8178" t="s">
        <v>36810</v>
      </c>
      <c r="C8178" t="s">
        <v>20</v>
      </c>
      <c r="D8178" t="s">
        <v>36811</v>
      </c>
      <c r="E8178" t="s">
        <v>36812</v>
      </c>
      <c r="F8178" t="s">
        <v>36813</v>
      </c>
      <c r="G8178" t="s">
        <v>2241</v>
      </c>
      <c r="H8178" t="s">
        <v>36781</v>
      </c>
      <c r="I8178" t="s">
        <v>35420</v>
      </c>
      <c r="J8178" t="s">
        <v>374</v>
      </c>
      <c r="K8178" t="s">
        <v>36139</v>
      </c>
      <c r="L8178" t="s">
        <v>36140</v>
      </c>
      <c r="M8178" t="s">
        <v>271</v>
      </c>
      <c r="N8178" t="s">
        <v>36814</v>
      </c>
      <c r="O8178" t="s">
        <v>35423</v>
      </c>
      <c r="P8178" t="s">
        <v>36814</v>
      </c>
      <c r="Q8178" t="s">
        <v>36815</v>
      </c>
      <c r="R8178">
        <v>24</v>
      </c>
      <c r="S8178">
        <v>32</v>
      </c>
    </row>
    <row r="8179" spans="1:19" x14ac:dyDescent="0.35">
      <c r="A8179">
        <v>7593</v>
      </c>
      <c r="B8179" t="s">
        <v>36810</v>
      </c>
      <c r="C8179" t="s">
        <v>20</v>
      </c>
      <c r="D8179" t="s">
        <v>36811</v>
      </c>
      <c r="E8179" t="s">
        <v>36812</v>
      </c>
      <c r="F8179" t="s">
        <v>36813</v>
      </c>
      <c r="G8179" t="s">
        <v>2241</v>
      </c>
      <c r="H8179" t="s">
        <v>36781</v>
      </c>
      <c r="I8179" t="s">
        <v>35420</v>
      </c>
      <c r="J8179" t="s">
        <v>374</v>
      </c>
      <c r="K8179" t="s">
        <v>36139</v>
      </c>
      <c r="L8179" t="s">
        <v>36140</v>
      </c>
      <c r="M8179" t="s">
        <v>271</v>
      </c>
      <c r="N8179" t="s">
        <v>36814</v>
      </c>
      <c r="O8179" t="s">
        <v>35423</v>
      </c>
      <c r="P8179" t="s">
        <v>36814</v>
      </c>
      <c r="Q8179" t="s">
        <v>36815</v>
      </c>
      <c r="R8179">
        <v>24</v>
      </c>
      <c r="S8179">
        <v>32</v>
      </c>
    </row>
    <row r="8180" spans="1:19" x14ac:dyDescent="0.35">
      <c r="A8180">
        <v>7594</v>
      </c>
      <c r="B8180" t="s">
        <v>36810</v>
      </c>
      <c r="C8180" t="s">
        <v>20</v>
      </c>
      <c r="D8180" t="s">
        <v>36816</v>
      </c>
      <c r="E8180" t="s">
        <v>36812</v>
      </c>
      <c r="F8180" t="s">
        <v>36817</v>
      </c>
      <c r="G8180" t="s">
        <v>2241</v>
      </c>
      <c r="H8180" t="s">
        <v>36781</v>
      </c>
      <c r="I8180" t="s">
        <v>35420</v>
      </c>
      <c r="J8180" t="s">
        <v>334</v>
      </c>
      <c r="K8180" t="s">
        <v>36139</v>
      </c>
      <c r="L8180" t="s">
        <v>36140</v>
      </c>
      <c r="M8180" t="s">
        <v>271</v>
      </c>
      <c r="N8180" t="s">
        <v>36814</v>
      </c>
      <c r="O8180" t="s">
        <v>35423</v>
      </c>
      <c r="P8180" t="s">
        <v>36814</v>
      </c>
      <c r="Q8180" t="s">
        <v>36815</v>
      </c>
      <c r="R8180">
        <v>24</v>
      </c>
      <c r="S8180">
        <v>32</v>
      </c>
    </row>
    <row r="8181" spans="1:19" x14ac:dyDescent="0.35">
      <c r="A8181">
        <v>7595</v>
      </c>
      <c r="B8181" t="s">
        <v>36810</v>
      </c>
      <c r="C8181" t="s">
        <v>20</v>
      </c>
      <c r="D8181" t="s">
        <v>36816</v>
      </c>
      <c r="E8181" t="s">
        <v>36812</v>
      </c>
      <c r="F8181" t="s">
        <v>36817</v>
      </c>
      <c r="G8181" t="s">
        <v>2241</v>
      </c>
      <c r="H8181" t="s">
        <v>36781</v>
      </c>
      <c r="I8181" t="s">
        <v>35420</v>
      </c>
      <c r="J8181" t="s">
        <v>334</v>
      </c>
      <c r="K8181" t="s">
        <v>36139</v>
      </c>
      <c r="L8181" t="s">
        <v>36140</v>
      </c>
      <c r="M8181" t="s">
        <v>271</v>
      </c>
      <c r="N8181" t="s">
        <v>36814</v>
      </c>
      <c r="O8181" t="s">
        <v>35423</v>
      </c>
      <c r="P8181" t="s">
        <v>36814</v>
      </c>
      <c r="Q8181" t="s">
        <v>36815</v>
      </c>
      <c r="R8181">
        <v>24</v>
      </c>
      <c r="S8181">
        <v>32</v>
      </c>
    </row>
    <row r="8182" spans="1:19" x14ac:dyDescent="0.35">
      <c r="A8182">
        <v>6212</v>
      </c>
      <c r="B8182" t="s">
        <v>36818</v>
      </c>
      <c r="C8182" t="s">
        <v>42</v>
      </c>
      <c r="D8182" t="s">
        <v>36819</v>
      </c>
      <c r="E8182" t="e" cm="1">
        <f t="array" ref="E8182">- CHLORAMPHENICOL PALMITATE</f>
        <v>#NAME?</v>
      </c>
      <c r="F8182" s="1">
        <v>10000</v>
      </c>
      <c r="G8182" t="s">
        <v>32716</v>
      </c>
      <c r="H8182" t="s">
        <v>36464</v>
      </c>
      <c r="I8182" t="s">
        <v>36465</v>
      </c>
      <c r="J8182" t="s">
        <v>334</v>
      </c>
      <c r="L8182" t="s">
        <v>36466</v>
      </c>
      <c r="M8182" t="s">
        <v>340</v>
      </c>
      <c r="N8182" t="s">
        <v>1714</v>
      </c>
      <c r="O8182" t="s">
        <v>36467</v>
      </c>
      <c r="P8182" t="s">
        <v>36820</v>
      </c>
      <c r="Q8182" t="s">
        <v>36821</v>
      </c>
      <c r="R8182">
        <v>24</v>
      </c>
      <c r="S8182">
        <v>32</v>
      </c>
    </row>
    <row r="8183" spans="1:19" x14ac:dyDescent="0.35">
      <c r="A8183">
        <v>1065</v>
      </c>
      <c r="B8183" t="s">
        <v>36822</v>
      </c>
      <c r="C8183" t="s">
        <v>42</v>
      </c>
      <c r="D8183" t="s">
        <v>36823</v>
      </c>
      <c r="E8183" t="e" cm="1">
        <f t="array" ref="E8183">- PARACETAMOL. GUAIFENESIN. CHLORPHENAMINE MALEATE. DEXTROMETHORPHAN HYDROBROMIDE. PHENYLPROPANOLAMINE HYDROCHLORIDE</f>
        <v>#NAME?</v>
      </c>
      <c r="F8183" t="s">
        <v>36824</v>
      </c>
      <c r="G8183" t="s">
        <v>36825</v>
      </c>
      <c r="H8183" t="s">
        <v>36826</v>
      </c>
      <c r="I8183" t="s">
        <v>36827</v>
      </c>
      <c r="J8183" t="s">
        <v>36828</v>
      </c>
      <c r="K8183" t="s">
        <v>36829</v>
      </c>
      <c r="L8183" t="s">
        <v>36830</v>
      </c>
      <c r="M8183" t="s">
        <v>291</v>
      </c>
      <c r="N8183" t="s">
        <v>36831</v>
      </c>
      <c r="O8183" t="s">
        <v>36832</v>
      </c>
      <c r="P8183" t="s">
        <v>36833</v>
      </c>
      <c r="Q8183" t="s">
        <v>36834</v>
      </c>
      <c r="R8183">
        <v>24</v>
      </c>
      <c r="S8183">
        <v>32</v>
      </c>
    </row>
    <row r="8184" spans="1:19" x14ac:dyDescent="0.35">
      <c r="A8184">
        <v>1789</v>
      </c>
      <c r="B8184" t="s">
        <v>13250</v>
      </c>
      <c r="C8184" t="s">
        <v>850</v>
      </c>
      <c r="D8184" t="s">
        <v>36489</v>
      </c>
      <c r="E8184" t="e" cm="1">
        <f t="array" ref="E8184">- Lemon Oil</f>
        <v>#NAME?</v>
      </c>
      <c r="F8184" t="s">
        <v>36490</v>
      </c>
      <c r="G8184" t="s">
        <v>36491</v>
      </c>
      <c r="H8184" t="s">
        <v>36492</v>
      </c>
      <c r="I8184" t="s">
        <v>36493</v>
      </c>
      <c r="J8184" t="s">
        <v>6679</v>
      </c>
      <c r="K8184" t="s">
        <v>36494</v>
      </c>
      <c r="L8184" t="s">
        <v>36495</v>
      </c>
      <c r="N8184" t="s">
        <v>13251</v>
      </c>
      <c r="O8184" t="s">
        <v>36496</v>
      </c>
      <c r="P8184" t="s">
        <v>36497</v>
      </c>
      <c r="Q8184" t="s">
        <v>36835</v>
      </c>
      <c r="R8184">
        <v>24</v>
      </c>
      <c r="S8184">
        <v>32</v>
      </c>
    </row>
    <row r="8185" spans="1:19" x14ac:dyDescent="0.35">
      <c r="A8185">
        <v>1787</v>
      </c>
      <c r="B8185" t="s">
        <v>13250</v>
      </c>
      <c r="C8185" t="s">
        <v>850</v>
      </c>
      <c r="D8185" t="s">
        <v>36517</v>
      </c>
      <c r="E8185" t="e" cm="1">
        <f t="array" ref="E8185">- Lemon Oil</f>
        <v>#NAME?</v>
      </c>
      <c r="F8185" t="s">
        <v>36518</v>
      </c>
      <c r="G8185" t="s">
        <v>29802</v>
      </c>
      <c r="H8185" t="s">
        <v>29898</v>
      </c>
      <c r="I8185" t="s">
        <v>36519</v>
      </c>
      <c r="J8185" t="s">
        <v>6679</v>
      </c>
      <c r="N8185" t="s">
        <v>13251</v>
      </c>
      <c r="O8185" t="s">
        <v>36520</v>
      </c>
      <c r="P8185" t="s">
        <v>36521</v>
      </c>
      <c r="Q8185" t="s">
        <v>36836</v>
      </c>
      <c r="R8185">
        <v>24</v>
      </c>
      <c r="S8185">
        <v>32</v>
      </c>
    </row>
    <row r="8186" spans="1:19" x14ac:dyDescent="0.35">
      <c r="A8186">
        <v>5606</v>
      </c>
      <c r="B8186" t="s">
        <v>36837</v>
      </c>
      <c r="C8186" t="s">
        <v>42</v>
      </c>
      <c r="D8186" t="s">
        <v>36838</v>
      </c>
      <c r="E8186" t="e" cm="1">
        <f t="array" ref="E8186">- AMOXICILLIN TRIHYDRATE</f>
        <v>#NAME?</v>
      </c>
      <c r="F8186" t="s">
        <v>36839</v>
      </c>
      <c r="G8186" t="s">
        <v>2241</v>
      </c>
      <c r="H8186" t="s">
        <v>35919</v>
      </c>
      <c r="I8186" t="s">
        <v>35920</v>
      </c>
      <c r="J8186" t="s">
        <v>17071</v>
      </c>
      <c r="K8186" t="s">
        <v>35921</v>
      </c>
      <c r="L8186" t="s">
        <v>35922</v>
      </c>
      <c r="M8186" t="s">
        <v>38</v>
      </c>
      <c r="N8186" t="s">
        <v>1523</v>
      </c>
      <c r="O8186" t="s">
        <v>35923</v>
      </c>
      <c r="P8186" t="s">
        <v>505</v>
      </c>
      <c r="Q8186" t="s">
        <v>36840</v>
      </c>
      <c r="R8186">
        <v>24</v>
      </c>
      <c r="S8186">
        <v>32</v>
      </c>
    </row>
    <row r="8187" spans="1:19" x14ac:dyDescent="0.35">
      <c r="A8187">
        <v>10025</v>
      </c>
      <c r="B8187" t="s">
        <v>36841</v>
      </c>
      <c r="C8187" t="s">
        <v>42</v>
      </c>
      <c r="D8187" t="s">
        <v>36842</v>
      </c>
      <c r="E8187" t="e" cm="1">
        <f t="array" ref="E8187">- NICERGOLINE</f>
        <v>#NAME?</v>
      </c>
      <c r="F8187" s="1">
        <v>394800</v>
      </c>
      <c r="G8187" t="s">
        <v>737</v>
      </c>
      <c r="H8187" t="s">
        <v>36843</v>
      </c>
      <c r="I8187" t="s">
        <v>36844</v>
      </c>
    </row>
    <row r="8188" spans="1:19" x14ac:dyDescent="0.35">
      <c r="A8188">
        <v>5953</v>
      </c>
      <c r="B8188" t="s">
        <v>36845</v>
      </c>
      <c r="C8188" t="s">
        <v>42</v>
      </c>
      <c r="D8188" t="s">
        <v>36846</v>
      </c>
      <c r="E8188" t="e" cm="1">
        <f t="array" ref="E8188">- CLINDAMYCIN HYDROCHLORIDE</f>
        <v>#NAME?</v>
      </c>
      <c r="F8188" t="s">
        <v>36847</v>
      </c>
      <c r="G8188" t="s">
        <v>2241</v>
      </c>
      <c r="H8188" t="s">
        <v>27129</v>
      </c>
      <c r="I8188" t="s">
        <v>36485</v>
      </c>
      <c r="J8188" t="s">
        <v>9961</v>
      </c>
      <c r="K8188" t="s">
        <v>2858</v>
      </c>
      <c r="L8188" t="s">
        <v>27131</v>
      </c>
      <c r="M8188" t="s">
        <v>38</v>
      </c>
      <c r="N8188" t="s">
        <v>23622</v>
      </c>
      <c r="O8188" t="s">
        <v>36487</v>
      </c>
      <c r="P8188" t="s">
        <v>7191</v>
      </c>
      <c r="Q8188" t="s">
        <v>36848</v>
      </c>
      <c r="R8188">
        <v>24</v>
      </c>
      <c r="S8188">
        <v>32</v>
      </c>
    </row>
    <row r="8189" spans="1:19" x14ac:dyDescent="0.35">
      <c r="A8189">
        <v>1085</v>
      </c>
      <c r="B8189" t="s">
        <v>36849</v>
      </c>
      <c r="C8189" t="s">
        <v>42</v>
      </c>
      <c r="D8189" t="s">
        <v>36850</v>
      </c>
      <c r="E8189" t="e" cm="1">
        <f t="array" ref="E8189">- ACETYLCYSTEINE</f>
        <v>#NAME?</v>
      </c>
      <c r="F8189" t="s">
        <v>36851</v>
      </c>
      <c r="G8189" t="s">
        <v>2241</v>
      </c>
      <c r="H8189" t="s">
        <v>36852</v>
      </c>
      <c r="I8189" t="s">
        <v>36853</v>
      </c>
      <c r="J8189" t="s">
        <v>36854</v>
      </c>
      <c r="L8189" t="s">
        <v>36855</v>
      </c>
      <c r="M8189" t="s">
        <v>17667</v>
      </c>
      <c r="N8189" t="s">
        <v>9045</v>
      </c>
      <c r="O8189" t="s">
        <v>36856</v>
      </c>
      <c r="P8189" t="s">
        <v>17668</v>
      </c>
      <c r="Q8189" t="s">
        <v>36857</v>
      </c>
      <c r="R8189">
        <v>24</v>
      </c>
      <c r="S8189">
        <v>32</v>
      </c>
    </row>
    <row r="8190" spans="1:19" x14ac:dyDescent="0.35">
      <c r="A8190">
        <v>7669</v>
      </c>
      <c r="B8190" t="s">
        <v>36858</v>
      </c>
      <c r="C8190" t="s">
        <v>20</v>
      </c>
      <c r="D8190" t="s">
        <v>36859</v>
      </c>
      <c r="E8190" t="s">
        <v>36860</v>
      </c>
      <c r="F8190" t="s">
        <v>36861</v>
      </c>
      <c r="G8190" t="s">
        <v>4469</v>
      </c>
      <c r="H8190" t="s">
        <v>32575</v>
      </c>
      <c r="I8190" t="s">
        <v>32576</v>
      </c>
      <c r="J8190" t="s">
        <v>35893</v>
      </c>
      <c r="M8190" t="s">
        <v>554</v>
      </c>
      <c r="N8190" t="s">
        <v>36862</v>
      </c>
      <c r="O8190" t="s">
        <v>32578</v>
      </c>
      <c r="P8190" t="s">
        <v>36863</v>
      </c>
      <c r="Q8190" t="s">
        <v>36864</v>
      </c>
      <c r="R8190">
        <v>24</v>
      </c>
      <c r="S8190">
        <v>32</v>
      </c>
    </row>
    <row r="8191" spans="1:19" x14ac:dyDescent="0.35">
      <c r="A8191">
        <v>4751</v>
      </c>
      <c r="B8191" t="s">
        <v>34637</v>
      </c>
      <c r="C8191" t="s">
        <v>42</v>
      </c>
      <c r="D8191" t="s">
        <v>34638</v>
      </c>
      <c r="E8191" t="e" cm="1">
        <f t="array" ref="E8191">- POTASSIUM IODIDE. SODIUM IODIDE</f>
        <v>#NAME?</v>
      </c>
      <c r="F8191" t="s">
        <v>34639</v>
      </c>
      <c r="G8191" t="s">
        <v>34640</v>
      </c>
      <c r="H8191" t="s">
        <v>34641</v>
      </c>
      <c r="I8191" t="s">
        <v>34642</v>
      </c>
      <c r="J8191" t="s">
        <v>11321</v>
      </c>
      <c r="K8191" t="s">
        <v>34643</v>
      </c>
      <c r="L8191" t="s">
        <v>10249</v>
      </c>
      <c r="M8191" t="s">
        <v>824</v>
      </c>
      <c r="N8191" t="s">
        <v>36865</v>
      </c>
      <c r="O8191" t="s">
        <v>34644</v>
      </c>
      <c r="P8191" t="s">
        <v>34645</v>
      </c>
      <c r="Q8191" t="s">
        <v>36866</v>
      </c>
      <c r="R8191">
        <v>24</v>
      </c>
      <c r="S8191">
        <v>32</v>
      </c>
    </row>
    <row r="8192" spans="1:19" x14ac:dyDescent="0.35">
      <c r="A8192">
        <v>4752</v>
      </c>
      <c r="B8192" t="s">
        <v>34637</v>
      </c>
      <c r="C8192" t="s">
        <v>42</v>
      </c>
      <c r="D8192" t="s">
        <v>34638</v>
      </c>
      <c r="E8192" t="e" cm="1">
        <f t="array" ref="E8192">- POTASSIUM IODIDE. SODIUM IODIDE</f>
        <v>#NAME?</v>
      </c>
      <c r="F8192" t="s">
        <v>34639</v>
      </c>
      <c r="G8192" t="s">
        <v>34640</v>
      </c>
      <c r="H8192" t="s">
        <v>34641</v>
      </c>
      <c r="I8192" t="s">
        <v>34642</v>
      </c>
      <c r="J8192" t="s">
        <v>11321</v>
      </c>
      <c r="K8192" t="s">
        <v>34643</v>
      </c>
      <c r="L8192" t="s">
        <v>10249</v>
      </c>
      <c r="M8192" t="s">
        <v>824</v>
      </c>
      <c r="N8192" t="s">
        <v>36865</v>
      </c>
      <c r="O8192" t="s">
        <v>34644</v>
      </c>
      <c r="P8192" t="s">
        <v>34645</v>
      </c>
      <c r="Q8192" t="s">
        <v>36866</v>
      </c>
      <c r="R8192">
        <v>24</v>
      </c>
      <c r="S8192">
        <v>32</v>
      </c>
    </row>
    <row r="8193" spans="1:19" x14ac:dyDescent="0.35">
      <c r="A8193">
        <v>7672</v>
      </c>
      <c r="B8193" t="s">
        <v>36867</v>
      </c>
      <c r="C8193" t="s">
        <v>20</v>
      </c>
      <c r="D8193" t="s">
        <v>36868</v>
      </c>
      <c r="E8193" t="s">
        <v>36869</v>
      </c>
      <c r="F8193" t="s">
        <v>36870</v>
      </c>
      <c r="G8193" t="s">
        <v>4469</v>
      </c>
      <c r="H8193" t="s">
        <v>32575</v>
      </c>
      <c r="I8193" t="s">
        <v>32576</v>
      </c>
      <c r="J8193" t="s">
        <v>36871</v>
      </c>
      <c r="M8193" t="s">
        <v>554</v>
      </c>
      <c r="N8193" t="s">
        <v>36872</v>
      </c>
      <c r="O8193" t="s">
        <v>32578</v>
      </c>
      <c r="P8193" t="s">
        <v>36873</v>
      </c>
      <c r="Q8193" t="s">
        <v>36874</v>
      </c>
      <c r="R8193">
        <v>24</v>
      </c>
      <c r="S8193">
        <v>32</v>
      </c>
    </row>
    <row r="8194" spans="1:19" x14ac:dyDescent="0.35">
      <c r="A8194">
        <v>1077</v>
      </c>
      <c r="B8194" t="s">
        <v>30296</v>
      </c>
      <c r="C8194" t="s">
        <v>42</v>
      </c>
      <c r="D8194" t="s">
        <v>30297</v>
      </c>
      <c r="E8194" t="e" cm="1">
        <f t="array" ref="E8194">- PARACETAMOL. PSEUDOEPHEDRINE HYDROCHLORIDE. CHLORPHENAMINE MALEATE. DEXTROMETHORPHAN HYDROBROMIDE. GUAIFENESIN</f>
        <v>#NAME?</v>
      </c>
      <c r="F8194" t="s">
        <v>30298</v>
      </c>
      <c r="G8194" t="s">
        <v>60</v>
      </c>
      <c r="H8194" t="s">
        <v>30299</v>
      </c>
      <c r="I8194" t="s">
        <v>30300</v>
      </c>
      <c r="J8194" t="s">
        <v>334</v>
      </c>
      <c r="K8194" t="s">
        <v>24548</v>
      </c>
    </row>
    <row r="8195" spans="1:19" x14ac:dyDescent="0.35">
      <c r="A8195">
        <v>7673</v>
      </c>
      <c r="B8195" t="s">
        <v>36875</v>
      </c>
      <c r="C8195" t="s">
        <v>20</v>
      </c>
      <c r="D8195" t="s">
        <v>36876</v>
      </c>
      <c r="E8195" t="s">
        <v>36877</v>
      </c>
      <c r="F8195" t="s">
        <v>36878</v>
      </c>
      <c r="G8195" t="s">
        <v>4469</v>
      </c>
      <c r="H8195" t="s">
        <v>32575</v>
      </c>
      <c r="I8195" t="s">
        <v>32576</v>
      </c>
      <c r="J8195" t="s">
        <v>36879</v>
      </c>
      <c r="M8195" t="s">
        <v>554</v>
      </c>
      <c r="N8195" t="s">
        <v>36880</v>
      </c>
      <c r="O8195" t="s">
        <v>32578</v>
      </c>
      <c r="P8195" t="s">
        <v>36881</v>
      </c>
      <c r="Q8195" t="s">
        <v>36882</v>
      </c>
      <c r="R8195">
        <v>24</v>
      </c>
      <c r="S8195">
        <v>32</v>
      </c>
    </row>
    <row r="8196" spans="1:19" x14ac:dyDescent="0.35">
      <c r="A8196">
        <v>7187</v>
      </c>
      <c r="B8196" t="s">
        <v>32281</v>
      </c>
      <c r="C8196" t="s">
        <v>850</v>
      </c>
      <c r="D8196" t="s">
        <v>36883</v>
      </c>
      <c r="E8196" t="e" cm="1">
        <f t="array" ref="E8196">- Camphor</f>
        <v>#NAME?</v>
      </c>
      <c r="F8196" t="s">
        <v>36884</v>
      </c>
      <c r="G8196" t="s">
        <v>16824</v>
      </c>
      <c r="H8196" t="s">
        <v>22320</v>
      </c>
      <c r="I8196" t="s">
        <v>36885</v>
      </c>
      <c r="J8196" t="s">
        <v>3275</v>
      </c>
      <c r="M8196" t="s">
        <v>2115</v>
      </c>
      <c r="N8196" t="s">
        <v>853</v>
      </c>
      <c r="O8196" t="s">
        <v>36886</v>
      </c>
      <c r="P8196" t="s">
        <v>32288</v>
      </c>
      <c r="Q8196" t="s">
        <v>36887</v>
      </c>
      <c r="R8196">
        <v>24</v>
      </c>
      <c r="S8196">
        <v>32</v>
      </c>
    </row>
    <row r="8197" spans="1:19" x14ac:dyDescent="0.35">
      <c r="A8197">
        <v>1741</v>
      </c>
      <c r="B8197" t="s">
        <v>36888</v>
      </c>
      <c r="C8197" t="s">
        <v>850</v>
      </c>
      <c r="D8197" t="s">
        <v>36889</v>
      </c>
      <c r="E8197" t="e" cm="1">
        <f t="array" ref="E8197">- Camphora</f>
        <v>#NAME?</v>
      </c>
      <c r="F8197" t="s">
        <v>27484</v>
      </c>
      <c r="G8197" t="s">
        <v>36890</v>
      </c>
      <c r="H8197" t="s">
        <v>9172</v>
      </c>
      <c r="I8197" t="s">
        <v>36891</v>
      </c>
      <c r="J8197" t="s">
        <v>1647</v>
      </c>
      <c r="L8197" t="s">
        <v>31059</v>
      </c>
      <c r="M8197" t="s">
        <v>3338</v>
      </c>
      <c r="N8197" t="s">
        <v>3633</v>
      </c>
      <c r="O8197" t="s">
        <v>36892</v>
      </c>
      <c r="P8197" t="s">
        <v>36893</v>
      </c>
      <c r="Q8197" t="s">
        <v>36894</v>
      </c>
      <c r="R8197">
        <v>24</v>
      </c>
      <c r="S8197">
        <v>32</v>
      </c>
    </row>
    <row r="8198" spans="1:19" x14ac:dyDescent="0.35">
      <c r="A8198">
        <v>1740</v>
      </c>
      <c r="B8198" t="s">
        <v>36888</v>
      </c>
      <c r="C8198" t="s">
        <v>850</v>
      </c>
      <c r="D8198" t="s">
        <v>36889</v>
      </c>
      <c r="E8198" t="s">
        <v>2069</v>
      </c>
      <c r="F8198" t="s">
        <v>27484</v>
      </c>
      <c r="G8198" t="s">
        <v>36890</v>
      </c>
      <c r="H8198" t="s">
        <v>9172</v>
      </c>
      <c r="I8198" t="s">
        <v>36891</v>
      </c>
      <c r="J8198" t="s">
        <v>1647</v>
      </c>
      <c r="L8198" t="s">
        <v>31059</v>
      </c>
      <c r="M8198" t="s">
        <v>3338</v>
      </c>
      <c r="N8198" t="s">
        <v>2071</v>
      </c>
      <c r="O8198" t="s">
        <v>36892</v>
      </c>
      <c r="P8198" t="s">
        <v>36893</v>
      </c>
      <c r="Q8198" t="s">
        <v>36895</v>
      </c>
      <c r="R8198">
        <v>24</v>
      </c>
      <c r="S8198">
        <v>32</v>
      </c>
    </row>
    <row r="8199" spans="1:19" x14ac:dyDescent="0.35">
      <c r="A8199">
        <v>7689</v>
      </c>
      <c r="B8199" t="s">
        <v>36896</v>
      </c>
      <c r="C8199" t="s">
        <v>20</v>
      </c>
      <c r="D8199" t="s">
        <v>36897</v>
      </c>
      <c r="E8199" t="s">
        <v>36898</v>
      </c>
      <c r="F8199" t="s">
        <v>36899</v>
      </c>
      <c r="G8199" t="s">
        <v>4469</v>
      </c>
      <c r="H8199" t="s">
        <v>32575</v>
      </c>
      <c r="I8199" t="s">
        <v>32576</v>
      </c>
      <c r="J8199" t="s">
        <v>35893</v>
      </c>
      <c r="M8199" t="s">
        <v>554</v>
      </c>
      <c r="N8199" t="s">
        <v>36900</v>
      </c>
      <c r="O8199" t="s">
        <v>32578</v>
      </c>
      <c r="P8199" t="s">
        <v>36901</v>
      </c>
      <c r="Q8199" t="s">
        <v>36902</v>
      </c>
      <c r="R8199">
        <v>24</v>
      </c>
      <c r="S8199">
        <v>32</v>
      </c>
    </row>
    <row r="8200" spans="1:19" x14ac:dyDescent="0.35">
      <c r="A8200">
        <v>7679</v>
      </c>
      <c r="B8200" t="s">
        <v>36903</v>
      </c>
      <c r="C8200" t="s">
        <v>20</v>
      </c>
      <c r="D8200" t="s">
        <v>36904</v>
      </c>
      <c r="E8200" t="s">
        <v>36905</v>
      </c>
      <c r="F8200" t="s">
        <v>36906</v>
      </c>
      <c r="G8200" t="s">
        <v>4469</v>
      </c>
      <c r="H8200" t="s">
        <v>35865</v>
      </c>
      <c r="I8200" t="s">
        <v>32576</v>
      </c>
      <c r="J8200" t="s">
        <v>35893</v>
      </c>
      <c r="M8200" t="s">
        <v>554</v>
      </c>
      <c r="N8200" t="s">
        <v>36907</v>
      </c>
      <c r="O8200" t="s">
        <v>32578</v>
      </c>
      <c r="P8200" t="s">
        <v>36908</v>
      </c>
      <c r="Q8200" t="s">
        <v>36909</v>
      </c>
      <c r="R8200">
        <v>24</v>
      </c>
      <c r="S8200">
        <v>32</v>
      </c>
    </row>
    <row r="8201" spans="1:19" x14ac:dyDescent="0.35">
      <c r="A8201">
        <v>5951</v>
      </c>
      <c r="B8201" t="s">
        <v>36910</v>
      </c>
      <c r="C8201" t="s">
        <v>42</v>
      </c>
      <c r="D8201" t="s">
        <v>36911</v>
      </c>
      <c r="E8201" t="e" cm="1">
        <f t="array" ref="E8201">- CLINDAMYCIN HYDROCHLORIDE</f>
        <v>#NAME?</v>
      </c>
      <c r="F8201" t="s">
        <v>36912</v>
      </c>
      <c r="G8201" t="s">
        <v>2241</v>
      </c>
      <c r="H8201" t="s">
        <v>27129</v>
      </c>
      <c r="I8201" t="s">
        <v>36485</v>
      </c>
      <c r="J8201" t="s">
        <v>4095</v>
      </c>
      <c r="L8201" t="s">
        <v>27131</v>
      </c>
      <c r="M8201" t="s">
        <v>38</v>
      </c>
      <c r="N8201" t="s">
        <v>23622</v>
      </c>
      <c r="O8201" t="s">
        <v>36487</v>
      </c>
      <c r="P8201" t="s">
        <v>32588</v>
      </c>
      <c r="Q8201" t="s">
        <v>36913</v>
      </c>
      <c r="R8201">
        <v>24</v>
      </c>
      <c r="S8201">
        <v>32</v>
      </c>
    </row>
    <row r="8202" spans="1:19" x14ac:dyDescent="0.35">
      <c r="A8202">
        <v>719</v>
      </c>
      <c r="B8202" t="s">
        <v>36914</v>
      </c>
      <c r="C8202" t="s">
        <v>850</v>
      </c>
      <c r="D8202" t="s">
        <v>36915</v>
      </c>
      <c r="E8202" t="e" cm="1">
        <f t="array" ref="E8202">- Camphor</f>
        <v>#NAME?</v>
      </c>
      <c r="F8202" t="s">
        <v>36916</v>
      </c>
      <c r="G8202" t="s">
        <v>36890</v>
      </c>
      <c r="I8202" t="s">
        <v>36917</v>
      </c>
      <c r="J8202" t="s">
        <v>1647</v>
      </c>
      <c r="L8202" t="s">
        <v>31059</v>
      </c>
      <c r="M8202" t="s">
        <v>2115</v>
      </c>
      <c r="N8202" t="s">
        <v>853</v>
      </c>
      <c r="O8202" t="s">
        <v>36918</v>
      </c>
      <c r="P8202" t="s">
        <v>36919</v>
      </c>
      <c r="Q8202" t="s">
        <v>36920</v>
      </c>
      <c r="R8202">
        <v>24</v>
      </c>
      <c r="S8202">
        <v>32</v>
      </c>
    </row>
    <row r="8203" spans="1:19" x14ac:dyDescent="0.35">
      <c r="A8203">
        <v>1776</v>
      </c>
      <c r="B8203" t="s">
        <v>36921</v>
      </c>
      <c r="C8203" t="s">
        <v>20</v>
      </c>
      <c r="D8203" t="s">
        <v>36922</v>
      </c>
      <c r="E8203" t="s">
        <v>36923</v>
      </c>
      <c r="F8203" t="s">
        <v>36924</v>
      </c>
      <c r="G8203" t="s">
        <v>11887</v>
      </c>
      <c r="H8203" t="s">
        <v>36925</v>
      </c>
      <c r="I8203" t="s">
        <v>36926</v>
      </c>
      <c r="J8203" t="s">
        <v>846</v>
      </c>
      <c r="M8203" t="s">
        <v>2115</v>
      </c>
      <c r="N8203" t="s">
        <v>36927</v>
      </c>
      <c r="O8203" t="s">
        <v>36928</v>
      </c>
      <c r="P8203" t="s">
        <v>36929</v>
      </c>
      <c r="Q8203" t="s">
        <v>36930</v>
      </c>
      <c r="R8203">
        <v>24</v>
      </c>
      <c r="S8203">
        <v>32</v>
      </c>
    </row>
    <row r="8204" spans="1:19" x14ac:dyDescent="0.35">
      <c r="A8204">
        <v>521</v>
      </c>
      <c r="B8204" t="s">
        <v>36238</v>
      </c>
      <c r="C8204" t="s">
        <v>42</v>
      </c>
      <c r="D8204" t="s">
        <v>36239</v>
      </c>
      <c r="E8204" t="s">
        <v>36931</v>
      </c>
      <c r="F8204" t="s">
        <v>36240</v>
      </c>
      <c r="H8204" t="s">
        <v>36241</v>
      </c>
      <c r="I8204" t="s">
        <v>36242</v>
      </c>
      <c r="J8204" t="s">
        <v>36243</v>
      </c>
      <c r="K8204" t="s">
        <v>3952</v>
      </c>
      <c r="L8204" t="s">
        <v>36244</v>
      </c>
      <c r="M8204" t="s">
        <v>38</v>
      </c>
      <c r="N8204" t="s">
        <v>36932</v>
      </c>
      <c r="O8204" t="s">
        <v>36246</v>
      </c>
      <c r="P8204" t="s">
        <v>36247</v>
      </c>
      <c r="Q8204" t="s">
        <v>36933</v>
      </c>
      <c r="R8204">
        <v>24</v>
      </c>
      <c r="S8204">
        <v>32</v>
      </c>
    </row>
    <row r="8205" spans="1:19" x14ac:dyDescent="0.35">
      <c r="A8205">
        <v>1785</v>
      </c>
      <c r="B8205" t="s">
        <v>36934</v>
      </c>
      <c r="C8205" t="s">
        <v>850</v>
      </c>
      <c r="D8205" t="s">
        <v>36935</v>
      </c>
      <c r="E8205" t="e" cm="1">
        <f t="array" ref="E8205">- Camphor</f>
        <v>#NAME?</v>
      </c>
      <c r="F8205" t="s">
        <v>36936</v>
      </c>
      <c r="G8205" t="s">
        <v>36937</v>
      </c>
      <c r="H8205" t="s">
        <v>36938</v>
      </c>
      <c r="I8205" t="s">
        <v>36939</v>
      </c>
      <c r="J8205" t="s">
        <v>36940</v>
      </c>
      <c r="L8205" t="s">
        <v>36941</v>
      </c>
      <c r="M8205" t="s">
        <v>3338</v>
      </c>
      <c r="N8205" t="s">
        <v>853</v>
      </c>
      <c r="O8205" t="s">
        <v>36942</v>
      </c>
      <c r="P8205" t="s">
        <v>36943</v>
      </c>
      <c r="Q8205" t="s">
        <v>36944</v>
      </c>
      <c r="R8205">
        <v>24</v>
      </c>
      <c r="S8205">
        <v>32</v>
      </c>
    </row>
    <row r="8206" spans="1:19" x14ac:dyDescent="0.35">
      <c r="A8206">
        <v>1784</v>
      </c>
      <c r="B8206" t="s">
        <v>36945</v>
      </c>
      <c r="C8206" t="s">
        <v>850</v>
      </c>
      <c r="D8206" t="s">
        <v>36946</v>
      </c>
      <c r="E8206" t="s">
        <v>2069</v>
      </c>
      <c r="F8206" t="s">
        <v>36947</v>
      </c>
      <c r="G8206" t="s">
        <v>36937</v>
      </c>
      <c r="H8206" t="s">
        <v>36938</v>
      </c>
      <c r="I8206" t="s">
        <v>36939</v>
      </c>
      <c r="J8206" t="s">
        <v>36948</v>
      </c>
      <c r="L8206" t="s">
        <v>36941</v>
      </c>
      <c r="M8206" t="s">
        <v>3338</v>
      </c>
      <c r="N8206" t="s">
        <v>2071</v>
      </c>
      <c r="O8206" t="s">
        <v>36942</v>
      </c>
      <c r="P8206" t="s">
        <v>36949</v>
      </c>
      <c r="Q8206" t="s">
        <v>36950</v>
      </c>
      <c r="R8206">
        <v>24</v>
      </c>
      <c r="S8206">
        <v>32</v>
      </c>
    </row>
    <row r="8207" spans="1:19" x14ac:dyDescent="0.35">
      <c r="A8207">
        <v>4873</v>
      </c>
      <c r="B8207" t="s">
        <v>36951</v>
      </c>
      <c r="C8207" t="s">
        <v>42</v>
      </c>
      <c r="D8207" t="s">
        <v>36952</v>
      </c>
      <c r="E8207" t="e" cm="1">
        <f t="array" ref="E8207">- FLUOROMETHOLONE</f>
        <v>#NAME?</v>
      </c>
      <c r="F8207" t="s">
        <v>36953</v>
      </c>
      <c r="G8207" t="s">
        <v>11067</v>
      </c>
      <c r="H8207" t="s">
        <v>36954</v>
      </c>
      <c r="I8207" t="s">
        <v>36955</v>
      </c>
    </row>
    <row r="8208" spans="1:19" x14ac:dyDescent="0.35">
      <c r="A8208">
        <v>6211</v>
      </c>
      <c r="B8208" t="s">
        <v>36818</v>
      </c>
      <c r="C8208" t="s">
        <v>42</v>
      </c>
      <c r="D8208" t="s">
        <v>36819</v>
      </c>
      <c r="E8208" t="e" cm="1">
        <f t="array" ref="E8208">- CHLORAMPHENICOL PALMITATE</f>
        <v>#NAME?</v>
      </c>
      <c r="F8208" s="1">
        <v>10000</v>
      </c>
      <c r="G8208" t="s">
        <v>32716</v>
      </c>
      <c r="H8208" t="s">
        <v>36464</v>
      </c>
      <c r="I8208" t="s">
        <v>36465</v>
      </c>
      <c r="J8208" t="s">
        <v>334</v>
      </c>
      <c r="L8208" t="s">
        <v>36466</v>
      </c>
      <c r="M8208" t="s">
        <v>340</v>
      </c>
      <c r="N8208" t="s">
        <v>1714</v>
      </c>
      <c r="O8208" t="s">
        <v>36467</v>
      </c>
      <c r="P8208" t="s">
        <v>36820</v>
      </c>
      <c r="Q8208" t="s">
        <v>36821</v>
      </c>
      <c r="R8208">
        <v>24</v>
      </c>
      <c r="S8208">
        <v>32</v>
      </c>
    </row>
    <row r="8209" spans="1:19" x14ac:dyDescent="0.35">
      <c r="A8209">
        <v>657</v>
      </c>
      <c r="B8209" t="s">
        <v>36711</v>
      </c>
      <c r="C8209" t="s">
        <v>20</v>
      </c>
      <c r="D8209" t="s">
        <v>36956</v>
      </c>
      <c r="E8209" t="s">
        <v>36713</v>
      </c>
      <c r="F8209" t="s">
        <v>36957</v>
      </c>
      <c r="G8209" t="s">
        <v>36958</v>
      </c>
      <c r="I8209" t="s">
        <v>36959</v>
      </c>
      <c r="J8209" t="s">
        <v>29815</v>
      </c>
      <c r="M8209" t="s">
        <v>2115</v>
      </c>
      <c r="N8209" t="s">
        <v>36716</v>
      </c>
      <c r="O8209" t="s">
        <v>36960</v>
      </c>
      <c r="P8209" t="s">
        <v>36717</v>
      </c>
      <c r="Q8209" t="s">
        <v>36961</v>
      </c>
      <c r="R8209">
        <v>24</v>
      </c>
      <c r="S8209">
        <v>32</v>
      </c>
    </row>
    <row r="8210" spans="1:19" x14ac:dyDescent="0.35">
      <c r="A8210">
        <v>4618</v>
      </c>
      <c r="B8210" t="s">
        <v>19493</v>
      </c>
      <c r="C8210" t="s">
        <v>42</v>
      </c>
      <c r="D8210" t="s">
        <v>36962</v>
      </c>
      <c r="E8210" t="e" cm="1">
        <f t="array" ref="E8210">- PHENYLEPHRINE HYDROCHLORIDE</f>
        <v>#NAME?</v>
      </c>
      <c r="F8210" t="s">
        <v>36963</v>
      </c>
      <c r="G8210" t="s">
        <v>8658</v>
      </c>
      <c r="H8210" t="s">
        <v>36964</v>
      </c>
      <c r="I8210" t="s">
        <v>36965</v>
      </c>
      <c r="J8210" t="s">
        <v>30861</v>
      </c>
      <c r="K8210" t="s">
        <v>16776</v>
      </c>
      <c r="L8210" t="s">
        <v>36966</v>
      </c>
      <c r="M8210" t="s">
        <v>824</v>
      </c>
      <c r="N8210" t="s">
        <v>19498</v>
      </c>
      <c r="O8210" t="s">
        <v>36967</v>
      </c>
      <c r="P8210" t="s">
        <v>36968</v>
      </c>
      <c r="Q8210" t="s">
        <v>36969</v>
      </c>
      <c r="R8210">
        <v>24</v>
      </c>
      <c r="S8210">
        <v>32</v>
      </c>
    </row>
    <row r="8211" spans="1:19" x14ac:dyDescent="0.35">
      <c r="A8211">
        <v>4619</v>
      </c>
      <c r="B8211" t="s">
        <v>19493</v>
      </c>
      <c r="C8211" t="s">
        <v>42</v>
      </c>
      <c r="D8211" t="s">
        <v>36962</v>
      </c>
      <c r="E8211" t="e" cm="1">
        <f t="array" ref="E8211">- PHENYLEPHRINE HYDROCHLORIDE</f>
        <v>#NAME?</v>
      </c>
      <c r="F8211" t="s">
        <v>36963</v>
      </c>
      <c r="G8211" t="s">
        <v>8658</v>
      </c>
      <c r="H8211" t="s">
        <v>36964</v>
      </c>
      <c r="I8211" t="s">
        <v>36965</v>
      </c>
      <c r="J8211" t="s">
        <v>30861</v>
      </c>
      <c r="K8211" t="s">
        <v>16776</v>
      </c>
      <c r="L8211" t="s">
        <v>36966</v>
      </c>
      <c r="M8211" t="s">
        <v>824</v>
      </c>
      <c r="N8211" t="s">
        <v>19498</v>
      </c>
      <c r="O8211" t="s">
        <v>36967</v>
      </c>
      <c r="P8211" t="s">
        <v>36968</v>
      </c>
      <c r="Q8211" t="s">
        <v>36969</v>
      </c>
      <c r="R8211">
        <v>24</v>
      </c>
      <c r="S8211">
        <v>32</v>
      </c>
    </row>
    <row r="8212" spans="1:19" x14ac:dyDescent="0.35">
      <c r="A8212">
        <v>4620</v>
      </c>
      <c r="B8212" t="s">
        <v>19493</v>
      </c>
      <c r="C8212" t="s">
        <v>42</v>
      </c>
      <c r="D8212" t="s">
        <v>36962</v>
      </c>
      <c r="E8212" t="e" cm="1">
        <f t="array" ref="E8212">- PHENYLEPHRINE HYDROCHLORIDE</f>
        <v>#NAME?</v>
      </c>
      <c r="F8212" t="s">
        <v>36963</v>
      </c>
      <c r="G8212" t="s">
        <v>8658</v>
      </c>
      <c r="H8212" t="s">
        <v>36964</v>
      </c>
      <c r="I8212" t="s">
        <v>36965</v>
      </c>
      <c r="J8212" t="s">
        <v>30861</v>
      </c>
      <c r="K8212" t="s">
        <v>16776</v>
      </c>
      <c r="L8212" t="s">
        <v>36966</v>
      </c>
      <c r="M8212" t="s">
        <v>824</v>
      </c>
      <c r="N8212" t="s">
        <v>19498</v>
      </c>
      <c r="O8212" t="s">
        <v>36967</v>
      </c>
      <c r="P8212" t="s">
        <v>36968</v>
      </c>
      <c r="Q8212" t="s">
        <v>36969</v>
      </c>
      <c r="R8212">
        <v>24</v>
      </c>
      <c r="S8212">
        <v>32</v>
      </c>
    </row>
    <row r="8213" spans="1:19" x14ac:dyDescent="0.35">
      <c r="A8213">
        <v>7231</v>
      </c>
      <c r="B8213" t="s">
        <v>36970</v>
      </c>
      <c r="C8213" t="s">
        <v>850</v>
      </c>
      <c r="D8213" t="s">
        <v>36971</v>
      </c>
      <c r="E8213" t="e" cm="1">
        <f t="array" ref="E8213">- Camphor</f>
        <v>#NAME?</v>
      </c>
      <c r="F8213" t="s">
        <v>36972</v>
      </c>
      <c r="G8213" t="s">
        <v>16824</v>
      </c>
      <c r="H8213" t="s">
        <v>22320</v>
      </c>
      <c r="I8213" t="s">
        <v>36885</v>
      </c>
      <c r="J8213" t="s">
        <v>21307</v>
      </c>
      <c r="M8213" t="s">
        <v>2115</v>
      </c>
      <c r="N8213" t="s">
        <v>853</v>
      </c>
      <c r="O8213" t="s">
        <v>36886</v>
      </c>
      <c r="P8213" t="s">
        <v>32356</v>
      </c>
      <c r="Q8213" t="s">
        <v>36973</v>
      </c>
      <c r="R8213">
        <v>24</v>
      </c>
      <c r="S8213">
        <v>32</v>
      </c>
    </row>
    <row r="8214" spans="1:19" x14ac:dyDescent="0.35">
      <c r="A8214">
        <v>7229</v>
      </c>
      <c r="B8214" t="s">
        <v>36974</v>
      </c>
      <c r="C8214" t="s">
        <v>850</v>
      </c>
      <c r="D8214" t="s">
        <v>36975</v>
      </c>
      <c r="E8214" t="s">
        <v>2069</v>
      </c>
      <c r="F8214" t="s">
        <v>36976</v>
      </c>
      <c r="G8214" t="s">
        <v>16824</v>
      </c>
      <c r="H8214" t="s">
        <v>22320</v>
      </c>
      <c r="I8214" t="s">
        <v>36885</v>
      </c>
      <c r="J8214" t="s">
        <v>36977</v>
      </c>
      <c r="M8214" t="s">
        <v>2115</v>
      </c>
      <c r="N8214" t="s">
        <v>2071</v>
      </c>
      <c r="O8214" t="s">
        <v>36886</v>
      </c>
      <c r="P8214" t="s">
        <v>36978</v>
      </c>
      <c r="Q8214" t="s">
        <v>36979</v>
      </c>
      <c r="R8214">
        <v>24</v>
      </c>
      <c r="S8214">
        <v>32</v>
      </c>
    </row>
    <row r="8215" spans="1:19" x14ac:dyDescent="0.35">
      <c r="A8215">
        <v>7228</v>
      </c>
      <c r="B8215" t="s">
        <v>36974</v>
      </c>
      <c r="C8215" t="s">
        <v>850</v>
      </c>
      <c r="D8215" t="s">
        <v>36975</v>
      </c>
      <c r="E8215" t="e" cm="1">
        <f t="array" ref="E8215">- Camphor</f>
        <v>#NAME?</v>
      </c>
      <c r="F8215" t="s">
        <v>36976</v>
      </c>
      <c r="G8215" t="s">
        <v>16824</v>
      </c>
      <c r="H8215" t="s">
        <v>22320</v>
      </c>
      <c r="I8215" t="s">
        <v>36885</v>
      </c>
      <c r="J8215" t="s">
        <v>36977</v>
      </c>
      <c r="M8215" t="s">
        <v>2115</v>
      </c>
      <c r="N8215" t="s">
        <v>853</v>
      </c>
      <c r="O8215" t="s">
        <v>36886</v>
      </c>
      <c r="P8215" t="s">
        <v>36978</v>
      </c>
      <c r="Q8215" t="s">
        <v>36980</v>
      </c>
      <c r="R8215">
        <v>24</v>
      </c>
      <c r="S8215">
        <v>32</v>
      </c>
    </row>
    <row r="8216" spans="1:19" x14ac:dyDescent="0.35">
      <c r="A8216">
        <v>5965</v>
      </c>
      <c r="B8216" t="s">
        <v>36462</v>
      </c>
      <c r="C8216" t="s">
        <v>42</v>
      </c>
      <c r="D8216" t="s">
        <v>36463</v>
      </c>
      <c r="E8216" t="e" cm="1">
        <f t="array" ref="E8216">- CHLORAMPHENICOL PALMITATE</f>
        <v>#NAME?</v>
      </c>
      <c r="F8216" s="1">
        <v>16100</v>
      </c>
      <c r="G8216" t="s">
        <v>32716</v>
      </c>
      <c r="H8216" t="s">
        <v>36464</v>
      </c>
      <c r="I8216" t="s">
        <v>36465</v>
      </c>
      <c r="J8216" t="s">
        <v>334</v>
      </c>
      <c r="L8216" t="s">
        <v>36466</v>
      </c>
      <c r="M8216" t="s">
        <v>340</v>
      </c>
      <c r="N8216" t="s">
        <v>1714</v>
      </c>
      <c r="O8216" t="s">
        <v>36467</v>
      </c>
      <c r="P8216" t="s">
        <v>36468</v>
      </c>
      <c r="Q8216" t="s">
        <v>36981</v>
      </c>
      <c r="R8216">
        <v>24</v>
      </c>
      <c r="S8216">
        <v>32</v>
      </c>
    </row>
    <row r="8217" spans="1:19" x14ac:dyDescent="0.35">
      <c r="A8217">
        <v>5960</v>
      </c>
      <c r="B8217" t="s">
        <v>36982</v>
      </c>
      <c r="C8217" t="s">
        <v>42</v>
      </c>
      <c r="D8217" t="s">
        <v>36983</v>
      </c>
      <c r="E8217" t="e" cm="1">
        <f t="array" ref="E8217">- CLINDAMYCIN HYDROCHLORIDE</f>
        <v>#NAME?</v>
      </c>
      <c r="F8217" t="s">
        <v>36984</v>
      </c>
      <c r="G8217" t="s">
        <v>2241</v>
      </c>
      <c r="H8217" t="s">
        <v>27129</v>
      </c>
      <c r="I8217" t="s">
        <v>36485</v>
      </c>
      <c r="J8217" t="s">
        <v>4095</v>
      </c>
      <c r="L8217" t="s">
        <v>27131</v>
      </c>
      <c r="M8217" t="s">
        <v>38</v>
      </c>
      <c r="N8217" t="s">
        <v>23622</v>
      </c>
      <c r="O8217" t="s">
        <v>36487</v>
      </c>
      <c r="P8217" t="s">
        <v>36985</v>
      </c>
      <c r="Q8217" t="s">
        <v>36986</v>
      </c>
      <c r="R8217">
        <v>24</v>
      </c>
      <c r="S8217">
        <v>32</v>
      </c>
    </row>
    <row r="8218" spans="1:19" x14ac:dyDescent="0.35">
      <c r="A8218">
        <v>7225</v>
      </c>
      <c r="B8218" t="s">
        <v>32353</v>
      </c>
      <c r="C8218" t="s">
        <v>850</v>
      </c>
      <c r="D8218" t="s">
        <v>36987</v>
      </c>
      <c r="E8218" t="e" cm="1">
        <f t="array" ref="E8218">- Camphor</f>
        <v>#NAME?</v>
      </c>
      <c r="F8218" t="s">
        <v>36988</v>
      </c>
      <c r="G8218" t="s">
        <v>16824</v>
      </c>
      <c r="H8218" t="s">
        <v>22320</v>
      </c>
      <c r="I8218" t="s">
        <v>36885</v>
      </c>
      <c r="J8218" t="s">
        <v>36989</v>
      </c>
      <c r="M8218" t="s">
        <v>2115</v>
      </c>
      <c r="N8218" t="s">
        <v>853</v>
      </c>
      <c r="O8218" t="s">
        <v>36886</v>
      </c>
      <c r="P8218" t="s">
        <v>36990</v>
      </c>
      <c r="Q8218" t="s">
        <v>36991</v>
      </c>
      <c r="R8218">
        <v>24</v>
      </c>
      <c r="S8218">
        <v>32</v>
      </c>
    </row>
    <row r="8219" spans="1:19" x14ac:dyDescent="0.35">
      <c r="A8219">
        <v>7224</v>
      </c>
      <c r="B8219" t="s">
        <v>32353</v>
      </c>
      <c r="C8219" t="s">
        <v>850</v>
      </c>
      <c r="D8219" t="s">
        <v>36987</v>
      </c>
      <c r="E8219" t="s">
        <v>2069</v>
      </c>
      <c r="F8219" t="s">
        <v>36988</v>
      </c>
      <c r="G8219" t="s">
        <v>16824</v>
      </c>
      <c r="H8219" t="s">
        <v>22320</v>
      </c>
      <c r="I8219" t="s">
        <v>36885</v>
      </c>
      <c r="J8219" t="s">
        <v>36989</v>
      </c>
      <c r="M8219" t="s">
        <v>2115</v>
      </c>
      <c r="N8219" t="s">
        <v>2071</v>
      </c>
      <c r="O8219" t="s">
        <v>36886</v>
      </c>
      <c r="P8219" t="s">
        <v>36990</v>
      </c>
      <c r="Q8219" t="s">
        <v>36992</v>
      </c>
      <c r="R8219">
        <v>24</v>
      </c>
      <c r="S8219">
        <v>32</v>
      </c>
    </row>
    <row r="8220" spans="1:19" x14ac:dyDescent="0.35">
      <c r="A8220">
        <v>5959</v>
      </c>
      <c r="B8220" t="s">
        <v>36982</v>
      </c>
      <c r="C8220" t="s">
        <v>42</v>
      </c>
      <c r="D8220" t="s">
        <v>36983</v>
      </c>
      <c r="E8220" t="e" cm="1">
        <f t="array" ref="E8220">- CLINDAMYCIN HYDROCHLORIDE</f>
        <v>#NAME?</v>
      </c>
      <c r="F8220" t="s">
        <v>36984</v>
      </c>
      <c r="G8220" t="s">
        <v>2241</v>
      </c>
      <c r="H8220" t="s">
        <v>27129</v>
      </c>
      <c r="I8220" t="s">
        <v>36485</v>
      </c>
      <c r="J8220" t="s">
        <v>4095</v>
      </c>
      <c r="L8220" t="s">
        <v>27131</v>
      </c>
      <c r="M8220" t="s">
        <v>38</v>
      </c>
      <c r="N8220" t="s">
        <v>23622</v>
      </c>
      <c r="O8220" t="s">
        <v>36487</v>
      </c>
      <c r="P8220" t="s">
        <v>36985</v>
      </c>
      <c r="Q8220" t="s">
        <v>36986</v>
      </c>
      <c r="R8220">
        <v>24</v>
      </c>
      <c r="S8220">
        <v>32</v>
      </c>
    </row>
    <row r="8221" spans="1:19" x14ac:dyDescent="0.35">
      <c r="A8221">
        <v>6874</v>
      </c>
      <c r="B8221" t="s">
        <v>36790</v>
      </c>
      <c r="C8221" t="s">
        <v>42</v>
      </c>
      <c r="D8221" t="s">
        <v>36791</v>
      </c>
      <c r="E8221" t="e" cm="1">
        <f t="array" ref="E8221">- TIZANIDINE HYDROCHLORIDE</f>
        <v>#NAME?</v>
      </c>
      <c r="F8221" t="s">
        <v>36792</v>
      </c>
      <c r="G8221" t="s">
        <v>18116</v>
      </c>
      <c r="H8221" t="s">
        <v>36793</v>
      </c>
      <c r="I8221" t="s">
        <v>36794</v>
      </c>
    </row>
    <row r="8222" spans="1:19" x14ac:dyDescent="0.35">
      <c r="A8222">
        <v>470</v>
      </c>
      <c r="B8222" t="s">
        <v>36801</v>
      </c>
      <c r="C8222" t="s">
        <v>42</v>
      </c>
      <c r="D8222" t="s">
        <v>36802</v>
      </c>
      <c r="E8222" t="e" cm="1">
        <f t="array" ref="E8222">- KETOTIFEN FUMARATE</f>
        <v>#NAME?</v>
      </c>
      <c r="F8222" t="s">
        <v>36803</v>
      </c>
      <c r="G8222" t="s">
        <v>2241</v>
      </c>
      <c r="H8222" t="s">
        <v>36804</v>
      </c>
      <c r="I8222" t="s">
        <v>36805</v>
      </c>
      <c r="J8222" t="s">
        <v>630</v>
      </c>
      <c r="K8222" t="s">
        <v>36806</v>
      </c>
      <c r="L8222" t="s">
        <v>36807</v>
      </c>
      <c r="M8222" t="s">
        <v>271</v>
      </c>
      <c r="N8222" t="s">
        <v>8559</v>
      </c>
      <c r="O8222" t="s">
        <v>36808</v>
      </c>
      <c r="P8222" t="s">
        <v>18028</v>
      </c>
      <c r="Q8222" t="s">
        <v>36809</v>
      </c>
      <c r="R8222">
        <v>24</v>
      </c>
      <c r="S8222">
        <v>32</v>
      </c>
    </row>
    <row r="8223" spans="1:19" x14ac:dyDescent="0.35">
      <c r="A8223">
        <v>1864</v>
      </c>
      <c r="B8223" t="s">
        <v>36993</v>
      </c>
      <c r="C8223" t="s">
        <v>42</v>
      </c>
      <c r="D8223" t="s">
        <v>36994</v>
      </c>
      <c r="E8223" t="e" cm="1">
        <f t="array" ref="E8223">- AMMONIUM CHLORIDE</f>
        <v>#NAME?</v>
      </c>
      <c r="F8223" t="s">
        <v>36995</v>
      </c>
      <c r="G8223" t="s">
        <v>4649</v>
      </c>
      <c r="H8223" t="s">
        <v>36996</v>
      </c>
      <c r="I8223" t="s">
        <v>36997</v>
      </c>
      <c r="J8223" t="s">
        <v>334</v>
      </c>
      <c r="K8223" t="s">
        <v>36998</v>
      </c>
      <c r="L8223" t="s">
        <v>36999</v>
      </c>
      <c r="M8223" t="s">
        <v>271</v>
      </c>
      <c r="N8223" t="s">
        <v>1672</v>
      </c>
      <c r="O8223" t="s">
        <v>37000</v>
      </c>
      <c r="P8223" t="s">
        <v>37001</v>
      </c>
      <c r="Q8223" t="s">
        <v>37002</v>
      </c>
      <c r="R8223">
        <v>24</v>
      </c>
      <c r="S8223">
        <v>32</v>
      </c>
    </row>
    <row r="8224" spans="1:19" x14ac:dyDescent="0.35">
      <c r="A8224">
        <v>969</v>
      </c>
      <c r="B8224" t="s">
        <v>34185</v>
      </c>
      <c r="C8224" t="s">
        <v>42</v>
      </c>
      <c r="D8224" t="s">
        <v>34186</v>
      </c>
      <c r="E8224" t="e" cm="1">
        <f t="array" ref="E8224">- PARACETAMOL. PHENYLEPHRINE HYDROCHLORIDE. DEXTROMETHORPHAN HYDROBROMIDE</f>
        <v>#NAME?</v>
      </c>
      <c r="F8224" t="s">
        <v>34187</v>
      </c>
      <c r="G8224" t="s">
        <v>2453</v>
      </c>
      <c r="H8224" t="s">
        <v>34188</v>
      </c>
      <c r="I8224" t="s">
        <v>34189</v>
      </c>
      <c r="J8224" t="s">
        <v>34190</v>
      </c>
      <c r="K8224" t="s">
        <v>22973</v>
      </c>
      <c r="L8224" t="s">
        <v>34191</v>
      </c>
      <c r="M8224" t="s">
        <v>291</v>
      </c>
      <c r="N8224" t="s">
        <v>37003</v>
      </c>
      <c r="O8224" t="s">
        <v>34192</v>
      </c>
      <c r="P8224" t="s">
        <v>34193</v>
      </c>
      <c r="Q8224" t="s">
        <v>37004</v>
      </c>
      <c r="R8224">
        <v>24</v>
      </c>
      <c r="S8224">
        <v>32</v>
      </c>
    </row>
    <row r="8225" spans="1:19" x14ac:dyDescent="0.35">
      <c r="A8225">
        <v>5886</v>
      </c>
      <c r="B8225" t="s">
        <v>37005</v>
      </c>
      <c r="C8225" t="s">
        <v>42</v>
      </c>
      <c r="D8225" t="s">
        <v>37006</v>
      </c>
      <c r="E8225" t="e" cm="1">
        <f t="array" ref="E8225">- CLINDAMYCIN HYDROCHLORIDE</f>
        <v>#NAME?</v>
      </c>
      <c r="F8225" t="s">
        <v>37007</v>
      </c>
      <c r="G8225" t="s">
        <v>2241</v>
      </c>
      <c r="H8225" t="s">
        <v>27129</v>
      </c>
      <c r="I8225" t="s">
        <v>36485</v>
      </c>
      <c r="J8225" t="s">
        <v>12241</v>
      </c>
      <c r="L8225" t="s">
        <v>27131</v>
      </c>
      <c r="M8225" t="s">
        <v>38</v>
      </c>
      <c r="N8225" t="s">
        <v>23622</v>
      </c>
      <c r="O8225" t="s">
        <v>36487</v>
      </c>
      <c r="P8225" t="s">
        <v>37008</v>
      </c>
      <c r="Q8225" t="s">
        <v>37009</v>
      </c>
      <c r="R8225">
        <v>24</v>
      </c>
      <c r="S8225">
        <v>32</v>
      </c>
    </row>
    <row r="8226" spans="1:19" x14ac:dyDescent="0.35">
      <c r="A8226">
        <v>5640</v>
      </c>
      <c r="B8226" t="s">
        <v>37010</v>
      </c>
      <c r="C8226" t="s">
        <v>42</v>
      </c>
      <c r="D8226" t="s">
        <v>37011</v>
      </c>
      <c r="E8226" t="e" cm="1">
        <f t="array" ref="E8226">- AMOXICILLIN</f>
        <v>#NAME?</v>
      </c>
      <c r="F8226" t="s">
        <v>37012</v>
      </c>
      <c r="G8226" t="s">
        <v>35975</v>
      </c>
      <c r="H8226" t="s">
        <v>35919</v>
      </c>
      <c r="I8226" t="s">
        <v>35920</v>
      </c>
      <c r="J8226" t="s">
        <v>334</v>
      </c>
      <c r="K8226" t="s">
        <v>35921</v>
      </c>
      <c r="L8226" t="s">
        <v>35922</v>
      </c>
      <c r="M8226" t="s">
        <v>271</v>
      </c>
      <c r="N8226" t="s">
        <v>505</v>
      </c>
      <c r="O8226" t="s">
        <v>35923</v>
      </c>
      <c r="P8226" t="s">
        <v>37013</v>
      </c>
      <c r="Q8226" t="s">
        <v>37014</v>
      </c>
      <c r="R8226">
        <v>24</v>
      </c>
      <c r="S8226">
        <v>32</v>
      </c>
    </row>
    <row r="8227" spans="1:19" x14ac:dyDescent="0.35">
      <c r="A8227">
        <v>5647</v>
      </c>
      <c r="B8227" t="s">
        <v>35972</v>
      </c>
      <c r="C8227" t="s">
        <v>42</v>
      </c>
      <c r="D8227" t="s">
        <v>35973</v>
      </c>
      <c r="E8227" t="e" cm="1">
        <f t="array" ref="E8227">- AMOXICILLIN TRIHYDRATE</f>
        <v>#NAME?</v>
      </c>
      <c r="F8227" t="s">
        <v>35974</v>
      </c>
      <c r="G8227" t="s">
        <v>35975</v>
      </c>
      <c r="H8227" t="s">
        <v>35976</v>
      </c>
      <c r="I8227" t="s">
        <v>35977</v>
      </c>
      <c r="J8227" t="s">
        <v>743</v>
      </c>
      <c r="K8227" t="s">
        <v>35921</v>
      </c>
      <c r="L8227" t="s">
        <v>35922</v>
      </c>
      <c r="M8227" t="s">
        <v>824</v>
      </c>
      <c r="N8227" t="s">
        <v>1523</v>
      </c>
      <c r="O8227" t="s">
        <v>35923</v>
      </c>
      <c r="P8227" t="s">
        <v>35924</v>
      </c>
      <c r="Q8227" t="s">
        <v>37015</v>
      </c>
      <c r="R8227">
        <v>24</v>
      </c>
      <c r="S8227">
        <v>32</v>
      </c>
    </row>
    <row r="8228" spans="1:19" x14ac:dyDescent="0.35">
      <c r="A8228">
        <v>4050</v>
      </c>
      <c r="B8228" t="s">
        <v>37016</v>
      </c>
      <c r="C8228" t="s">
        <v>42</v>
      </c>
      <c r="D8228" t="s">
        <v>37017</v>
      </c>
      <c r="E8228" t="e" cm="1">
        <f t="array" ref="E8228">- DEXAMETHASONE</f>
        <v>#NAME?</v>
      </c>
      <c r="F8228" t="s">
        <v>37018</v>
      </c>
      <c r="G8228" t="s">
        <v>2241</v>
      </c>
      <c r="H8228" t="s">
        <v>37019</v>
      </c>
      <c r="I8228" t="s">
        <v>37020</v>
      </c>
      <c r="J8228" t="s">
        <v>37021</v>
      </c>
      <c r="K8228" t="s">
        <v>2858</v>
      </c>
      <c r="L8228" t="s">
        <v>37022</v>
      </c>
      <c r="M8228" t="s">
        <v>291</v>
      </c>
      <c r="N8228" t="s">
        <v>3779</v>
      </c>
      <c r="O8228" t="s">
        <v>37023</v>
      </c>
      <c r="P8228" t="s">
        <v>37024</v>
      </c>
      <c r="Q8228" t="s">
        <v>37025</v>
      </c>
      <c r="R8228">
        <v>24</v>
      </c>
      <c r="S8228">
        <v>32</v>
      </c>
    </row>
    <row r="8229" spans="1:19" x14ac:dyDescent="0.35">
      <c r="A8229">
        <v>5928</v>
      </c>
      <c r="B8229" t="s">
        <v>37026</v>
      </c>
      <c r="C8229" t="s">
        <v>42</v>
      </c>
      <c r="D8229" t="s">
        <v>37027</v>
      </c>
      <c r="E8229" t="e" cm="1">
        <f t="array" ref="E8229">- CIPROFLOXACIN HYDROCHLORIDE</f>
        <v>#NAME?</v>
      </c>
      <c r="F8229" t="s">
        <v>37028</v>
      </c>
      <c r="G8229" t="s">
        <v>7400</v>
      </c>
      <c r="H8229" t="s">
        <v>1055</v>
      </c>
      <c r="I8229" t="s">
        <v>37029</v>
      </c>
      <c r="J8229" t="s">
        <v>9486</v>
      </c>
      <c r="L8229" t="s">
        <v>37030</v>
      </c>
      <c r="M8229" t="s">
        <v>291</v>
      </c>
      <c r="N8229" t="s">
        <v>1624</v>
      </c>
      <c r="O8229" t="s">
        <v>37031</v>
      </c>
      <c r="P8229" t="s">
        <v>37032</v>
      </c>
      <c r="Q8229" t="s">
        <v>37033</v>
      </c>
      <c r="R8229">
        <v>24</v>
      </c>
      <c r="S8229">
        <v>32</v>
      </c>
    </row>
    <row r="8230" spans="1:19" x14ac:dyDescent="0.35">
      <c r="A8230">
        <v>5662</v>
      </c>
      <c r="B8230" t="s">
        <v>37034</v>
      </c>
      <c r="C8230" t="s">
        <v>42</v>
      </c>
      <c r="D8230" t="s">
        <v>37035</v>
      </c>
      <c r="E8230" t="e" cm="1">
        <f t="array" ref="E8230">- AMOXICILLIN TRIHYDRATE</f>
        <v>#NAME?</v>
      </c>
      <c r="F8230" t="s">
        <v>37036</v>
      </c>
      <c r="G8230" t="s">
        <v>6135</v>
      </c>
      <c r="H8230" t="s">
        <v>35919</v>
      </c>
      <c r="I8230" t="s">
        <v>37037</v>
      </c>
      <c r="J8230" t="s">
        <v>334</v>
      </c>
      <c r="K8230" t="s">
        <v>35921</v>
      </c>
      <c r="L8230" t="s">
        <v>35922</v>
      </c>
      <c r="M8230" t="s">
        <v>271</v>
      </c>
      <c r="N8230" t="s">
        <v>1523</v>
      </c>
      <c r="O8230" t="s">
        <v>35923</v>
      </c>
      <c r="P8230" t="s">
        <v>36028</v>
      </c>
      <c r="Q8230" t="s">
        <v>37038</v>
      </c>
      <c r="R8230">
        <v>24</v>
      </c>
      <c r="S8230">
        <v>32</v>
      </c>
    </row>
    <row r="8231" spans="1:19" x14ac:dyDescent="0.35">
      <c r="A8231">
        <v>8062</v>
      </c>
      <c r="B8231" t="s">
        <v>551</v>
      </c>
      <c r="C8231" t="s">
        <v>42</v>
      </c>
      <c r="D8231" t="s">
        <v>37039</v>
      </c>
      <c r="E8231" t="e" cm="1">
        <f t="array" ref="E8231">- POVIDONE-IODINE</f>
        <v>#NAME?</v>
      </c>
      <c r="F8231" t="s">
        <v>37040</v>
      </c>
      <c r="G8231" t="s">
        <v>20050</v>
      </c>
      <c r="H8231" t="s">
        <v>13198</v>
      </c>
      <c r="I8231" t="s">
        <v>36502</v>
      </c>
      <c r="J8231" t="s">
        <v>36503</v>
      </c>
      <c r="L8231" t="s">
        <v>20053</v>
      </c>
      <c r="M8231" t="s">
        <v>554</v>
      </c>
      <c r="N8231" t="s">
        <v>555</v>
      </c>
      <c r="O8231" t="s">
        <v>36504</v>
      </c>
      <c r="P8231" t="s">
        <v>27539</v>
      </c>
      <c r="Q8231" t="s">
        <v>36505</v>
      </c>
      <c r="R8231">
        <v>24</v>
      </c>
      <c r="S8231">
        <v>32</v>
      </c>
    </row>
    <row r="8232" spans="1:19" x14ac:dyDescent="0.35">
      <c r="A8232">
        <v>8063</v>
      </c>
      <c r="B8232" t="s">
        <v>551</v>
      </c>
      <c r="C8232" t="s">
        <v>42</v>
      </c>
      <c r="D8232" t="s">
        <v>37039</v>
      </c>
      <c r="E8232" t="e" cm="1">
        <f t="array" ref="E8232">- POVIDONE-IODINE</f>
        <v>#NAME?</v>
      </c>
      <c r="F8232" t="s">
        <v>37040</v>
      </c>
      <c r="G8232" t="s">
        <v>20050</v>
      </c>
      <c r="H8232" t="s">
        <v>13198</v>
      </c>
      <c r="I8232" t="s">
        <v>36502</v>
      </c>
      <c r="J8232" t="s">
        <v>36503</v>
      </c>
      <c r="L8232" t="s">
        <v>20053</v>
      </c>
      <c r="M8232" t="s">
        <v>554</v>
      </c>
      <c r="N8232" t="s">
        <v>555</v>
      </c>
      <c r="O8232" t="s">
        <v>36504</v>
      </c>
      <c r="P8232" t="s">
        <v>27539</v>
      </c>
      <c r="Q8232" t="s">
        <v>36505</v>
      </c>
      <c r="R8232">
        <v>24</v>
      </c>
      <c r="S8232">
        <v>32</v>
      </c>
    </row>
    <row r="8233" spans="1:19" x14ac:dyDescent="0.35">
      <c r="A8233">
        <v>970</v>
      </c>
      <c r="B8233" t="s">
        <v>34185</v>
      </c>
      <c r="C8233" t="s">
        <v>42</v>
      </c>
      <c r="D8233" t="s">
        <v>34186</v>
      </c>
      <c r="E8233" t="e" cm="1">
        <f t="array" ref="E8233">- PHENYLEPHRINE HYDROCHLORIDE. DEXTROMETHORPHAN HYDROBROMIDE. PARACETAMOL</f>
        <v>#NAME?</v>
      </c>
      <c r="F8233" t="s">
        <v>34187</v>
      </c>
      <c r="G8233" t="s">
        <v>2453</v>
      </c>
      <c r="H8233" t="s">
        <v>34188</v>
      </c>
      <c r="I8233" t="s">
        <v>34189</v>
      </c>
      <c r="J8233" t="s">
        <v>34190</v>
      </c>
      <c r="K8233" t="s">
        <v>22973</v>
      </c>
      <c r="L8233" t="s">
        <v>34191</v>
      </c>
      <c r="M8233" t="s">
        <v>291</v>
      </c>
      <c r="N8233" t="s">
        <v>37041</v>
      </c>
      <c r="O8233" t="s">
        <v>34192</v>
      </c>
      <c r="P8233" t="s">
        <v>34193</v>
      </c>
      <c r="Q8233" t="s">
        <v>37042</v>
      </c>
      <c r="R8233">
        <v>24</v>
      </c>
      <c r="S8233">
        <v>32</v>
      </c>
    </row>
    <row r="8234" spans="1:19" x14ac:dyDescent="0.35">
      <c r="A8234">
        <v>1196</v>
      </c>
      <c r="B8234" t="s">
        <v>27765</v>
      </c>
      <c r="C8234" t="s">
        <v>42</v>
      </c>
      <c r="D8234" t="s">
        <v>27766</v>
      </c>
      <c r="E8234" t="e" cm="1">
        <f t="array" ref="E8234">- PSEUDOEPHEDRINE SULFATE. LORATADINE. KOMBINASI-PSEUDOEPHEDRINE SULFATE SUSTAINED RELEASE PELLETS</f>
        <v>#NAME?</v>
      </c>
      <c r="G8234" t="s">
        <v>4420</v>
      </c>
      <c r="H8234" t="s">
        <v>27767</v>
      </c>
      <c r="I8234" t="s">
        <v>27768</v>
      </c>
      <c r="J8234" t="s">
        <v>6069</v>
      </c>
      <c r="K8234" t="s">
        <v>27769</v>
      </c>
      <c r="L8234" t="s">
        <v>27770</v>
      </c>
      <c r="M8234" t="s">
        <v>38</v>
      </c>
      <c r="N8234" t="s">
        <v>37043</v>
      </c>
      <c r="O8234" t="s">
        <v>27771</v>
      </c>
      <c r="P8234" t="s">
        <v>27772</v>
      </c>
      <c r="Q8234" t="s">
        <v>37044</v>
      </c>
      <c r="R8234">
        <v>24</v>
      </c>
      <c r="S8234">
        <v>32</v>
      </c>
    </row>
    <row r="8235" spans="1:19" x14ac:dyDescent="0.35">
      <c r="A8235">
        <v>1197</v>
      </c>
      <c r="B8235" t="s">
        <v>27765</v>
      </c>
      <c r="C8235" t="s">
        <v>42</v>
      </c>
      <c r="D8235" t="s">
        <v>27766</v>
      </c>
      <c r="E8235" t="e" cm="1">
        <f t="array" ref="E8235">- PSEUDOEPHEDRINE SULFATE. LORATADINE. KOMBINASI-PSEUDOEPHEDRINE SULFATE SUSTAINED RELEASE PELLETS</f>
        <v>#NAME?</v>
      </c>
      <c r="G8235" t="s">
        <v>4420</v>
      </c>
      <c r="H8235" t="s">
        <v>27767</v>
      </c>
      <c r="I8235" t="s">
        <v>27768</v>
      </c>
      <c r="J8235" t="s">
        <v>6069</v>
      </c>
      <c r="K8235" t="s">
        <v>27769</v>
      </c>
      <c r="L8235" t="s">
        <v>27770</v>
      </c>
      <c r="M8235" t="s">
        <v>38</v>
      </c>
      <c r="N8235" t="s">
        <v>37043</v>
      </c>
      <c r="O8235" t="s">
        <v>27771</v>
      </c>
      <c r="P8235" t="s">
        <v>27772</v>
      </c>
      <c r="Q8235" t="s">
        <v>37044</v>
      </c>
      <c r="R8235">
        <v>24</v>
      </c>
      <c r="S8235">
        <v>32</v>
      </c>
    </row>
    <row r="8236" spans="1:19" x14ac:dyDescent="0.35">
      <c r="A8236">
        <v>1198</v>
      </c>
      <c r="B8236" t="s">
        <v>27765</v>
      </c>
      <c r="C8236" t="s">
        <v>42</v>
      </c>
      <c r="D8236" t="s">
        <v>27766</v>
      </c>
      <c r="E8236" t="e" cm="1">
        <f t="array" ref="E8236">- PSEUDOEPHEDRINE SULFATE. LORATADINE. KOMBINASI-PSEUDOEPHEDRINE SULFATE SUSTAINED RELEASE PELLETS</f>
        <v>#NAME?</v>
      </c>
      <c r="G8236" t="s">
        <v>4420</v>
      </c>
      <c r="H8236" t="s">
        <v>27767</v>
      </c>
      <c r="I8236" t="s">
        <v>27768</v>
      </c>
      <c r="J8236" t="s">
        <v>6069</v>
      </c>
      <c r="K8236" t="s">
        <v>27769</v>
      </c>
      <c r="L8236" t="s">
        <v>27770</v>
      </c>
      <c r="M8236" t="s">
        <v>38</v>
      </c>
      <c r="N8236" t="s">
        <v>37043</v>
      </c>
      <c r="O8236" t="s">
        <v>27771</v>
      </c>
      <c r="P8236" t="s">
        <v>27772</v>
      </c>
      <c r="Q8236" t="s">
        <v>37044</v>
      </c>
      <c r="R8236">
        <v>24</v>
      </c>
      <c r="S8236">
        <v>32</v>
      </c>
    </row>
    <row r="8237" spans="1:19" x14ac:dyDescent="0.35">
      <c r="A8237">
        <v>5863</v>
      </c>
      <c r="B8237" t="s">
        <v>37045</v>
      </c>
      <c r="C8237" t="s">
        <v>42</v>
      </c>
      <c r="D8237" t="s">
        <v>37046</v>
      </c>
      <c r="E8237" t="e" cm="1">
        <f t="array" ref="E8237">- AMOXICILLIN TRIHYDRATE</f>
        <v>#NAME?</v>
      </c>
      <c r="F8237" t="s">
        <v>37047</v>
      </c>
      <c r="G8237" t="s">
        <v>1691</v>
      </c>
      <c r="H8237" t="s">
        <v>37048</v>
      </c>
      <c r="I8237" t="s">
        <v>37049</v>
      </c>
      <c r="J8237" t="s">
        <v>37050</v>
      </c>
      <c r="K8237" t="s">
        <v>14288</v>
      </c>
      <c r="L8237" t="s">
        <v>35790</v>
      </c>
      <c r="M8237" t="s">
        <v>291</v>
      </c>
      <c r="N8237" t="s">
        <v>1523</v>
      </c>
      <c r="O8237" t="s">
        <v>37051</v>
      </c>
      <c r="P8237" t="s">
        <v>35792</v>
      </c>
      <c r="Q8237" t="s">
        <v>37052</v>
      </c>
      <c r="R8237">
        <v>24</v>
      </c>
      <c r="S8237">
        <v>32</v>
      </c>
    </row>
    <row r="8238" spans="1:19" x14ac:dyDescent="0.35">
      <c r="A8238">
        <v>5862</v>
      </c>
      <c r="B8238" t="s">
        <v>37053</v>
      </c>
      <c r="C8238" t="s">
        <v>42</v>
      </c>
      <c r="D8238" t="s">
        <v>37054</v>
      </c>
      <c r="E8238" t="e" cm="1">
        <f t="array" ref="E8238">- AMOXICILLIN TRIHYDRATE</f>
        <v>#NAME?</v>
      </c>
      <c r="F8238" t="s">
        <v>37055</v>
      </c>
      <c r="G8238" t="s">
        <v>1691</v>
      </c>
      <c r="H8238" t="s">
        <v>37048</v>
      </c>
      <c r="I8238" t="s">
        <v>37049</v>
      </c>
      <c r="J8238" t="s">
        <v>37056</v>
      </c>
      <c r="K8238" t="s">
        <v>14288</v>
      </c>
      <c r="L8238" t="s">
        <v>35790</v>
      </c>
      <c r="M8238" t="s">
        <v>38</v>
      </c>
      <c r="N8238" t="s">
        <v>1523</v>
      </c>
      <c r="O8238" t="s">
        <v>37051</v>
      </c>
      <c r="P8238" t="s">
        <v>35792</v>
      </c>
      <c r="Q8238" t="s">
        <v>37057</v>
      </c>
      <c r="R8238">
        <v>24</v>
      </c>
      <c r="S8238">
        <v>32</v>
      </c>
    </row>
    <row r="8239" spans="1:19" x14ac:dyDescent="0.35">
      <c r="A8239">
        <v>2440</v>
      </c>
      <c r="B8239" t="s">
        <v>37058</v>
      </c>
      <c r="C8239" t="s">
        <v>42</v>
      </c>
      <c r="D8239" t="s">
        <v>37059</v>
      </c>
      <c r="E8239" t="e" cm="1">
        <f t="array" ref="E8239">- MEFENAMIC ACID</f>
        <v>#NAME?</v>
      </c>
      <c r="F8239" t="s">
        <v>37060</v>
      </c>
      <c r="G8239" t="s">
        <v>539</v>
      </c>
      <c r="H8239" t="s">
        <v>37061</v>
      </c>
      <c r="I8239" t="s">
        <v>37062</v>
      </c>
      <c r="J8239" t="s">
        <v>5085</v>
      </c>
      <c r="K8239" t="s">
        <v>37063</v>
      </c>
      <c r="L8239" t="s">
        <v>37064</v>
      </c>
      <c r="M8239" t="s">
        <v>291</v>
      </c>
      <c r="N8239" t="s">
        <v>2235</v>
      </c>
      <c r="O8239" t="s">
        <v>37065</v>
      </c>
      <c r="P8239" t="s">
        <v>37066</v>
      </c>
      <c r="Q8239" t="s">
        <v>37067</v>
      </c>
      <c r="R8239">
        <v>24</v>
      </c>
      <c r="S8239">
        <v>32</v>
      </c>
    </row>
    <row r="8240" spans="1:19" x14ac:dyDescent="0.35">
      <c r="A8240">
        <v>971</v>
      </c>
      <c r="B8240" t="s">
        <v>34185</v>
      </c>
      <c r="C8240" t="s">
        <v>42</v>
      </c>
      <c r="D8240" t="s">
        <v>34186</v>
      </c>
      <c r="E8240" t="e" cm="1">
        <f t="array" ref="E8240">- PARACETAMOL. PHENYLEPHRINE HYDROCHLORIDE. DEXTROMETHORPHAN HYDROBROMIDE</f>
        <v>#NAME?</v>
      </c>
      <c r="F8240" t="s">
        <v>34187</v>
      </c>
      <c r="G8240" t="s">
        <v>2453</v>
      </c>
      <c r="H8240" t="s">
        <v>34188</v>
      </c>
      <c r="I8240" t="s">
        <v>34189</v>
      </c>
      <c r="J8240" t="s">
        <v>34190</v>
      </c>
      <c r="K8240" t="s">
        <v>22973</v>
      </c>
      <c r="L8240" t="s">
        <v>34191</v>
      </c>
      <c r="M8240" t="s">
        <v>291</v>
      </c>
      <c r="N8240" t="s">
        <v>37003</v>
      </c>
      <c r="O8240" t="s">
        <v>34192</v>
      </c>
      <c r="P8240" t="s">
        <v>34193</v>
      </c>
      <c r="Q8240" t="s">
        <v>37004</v>
      </c>
      <c r="R8240">
        <v>24</v>
      </c>
      <c r="S8240">
        <v>32</v>
      </c>
    </row>
    <row r="8241" spans="1:19" x14ac:dyDescent="0.35">
      <c r="A8241">
        <v>5689</v>
      </c>
      <c r="B8241" t="s">
        <v>35916</v>
      </c>
      <c r="C8241" t="s">
        <v>42</v>
      </c>
      <c r="D8241" t="s">
        <v>35917</v>
      </c>
      <c r="E8241" t="e" cm="1">
        <f t="array" ref="E8241">- AMOXICILLIN TRIHYDRATE</f>
        <v>#NAME?</v>
      </c>
      <c r="F8241" t="s">
        <v>35918</v>
      </c>
      <c r="G8241" t="s">
        <v>2241</v>
      </c>
      <c r="H8241" t="s">
        <v>35919</v>
      </c>
      <c r="I8241" t="s">
        <v>35920</v>
      </c>
      <c r="J8241" t="s">
        <v>810</v>
      </c>
      <c r="K8241" t="s">
        <v>35921</v>
      </c>
      <c r="L8241" t="s">
        <v>35922</v>
      </c>
      <c r="M8241" t="s">
        <v>38</v>
      </c>
      <c r="N8241" t="s">
        <v>1523</v>
      </c>
      <c r="O8241" t="s">
        <v>35923</v>
      </c>
      <c r="P8241" t="s">
        <v>35924</v>
      </c>
      <c r="Q8241" t="s">
        <v>36757</v>
      </c>
      <c r="R8241">
        <v>24</v>
      </c>
      <c r="S8241">
        <v>32</v>
      </c>
    </row>
    <row r="8242" spans="1:19" x14ac:dyDescent="0.35">
      <c r="A8242">
        <v>8577</v>
      </c>
      <c r="B8242" t="s">
        <v>37068</v>
      </c>
      <c r="C8242" t="s">
        <v>42</v>
      </c>
      <c r="D8242" t="s">
        <v>37069</v>
      </c>
      <c r="E8242" t="e" cm="1">
        <f t="array" ref="E8242">- METFORMIN HYDROCHLORIDE. SITAGLIPTIN PHOSPHATE</f>
        <v>#NAME?</v>
      </c>
      <c r="F8242" t="s">
        <v>37070</v>
      </c>
      <c r="G8242" t="s">
        <v>2241</v>
      </c>
      <c r="H8242" t="s">
        <v>37071</v>
      </c>
      <c r="I8242" t="s">
        <v>37072</v>
      </c>
      <c r="J8242" t="s">
        <v>37073</v>
      </c>
      <c r="K8242" t="s">
        <v>3473</v>
      </c>
      <c r="L8242" t="s">
        <v>37074</v>
      </c>
      <c r="M8242" t="s">
        <v>46</v>
      </c>
      <c r="N8242" t="s">
        <v>37075</v>
      </c>
      <c r="O8242" t="s">
        <v>37076</v>
      </c>
      <c r="P8242" t="s">
        <v>37077</v>
      </c>
      <c r="Q8242" t="s">
        <v>37078</v>
      </c>
      <c r="R8242">
        <v>24</v>
      </c>
      <c r="S8242">
        <v>32</v>
      </c>
    </row>
    <row r="8243" spans="1:19" x14ac:dyDescent="0.35">
      <c r="A8243">
        <v>8576</v>
      </c>
      <c r="B8243" t="s">
        <v>37068</v>
      </c>
      <c r="C8243" t="s">
        <v>42</v>
      </c>
      <c r="D8243" t="s">
        <v>37069</v>
      </c>
      <c r="E8243" t="e" cm="1">
        <f t="array" ref="E8243">- SITAGLIPTIN PHOSPHATE. METFORMIN HYDROCHLORIDE</f>
        <v>#NAME?</v>
      </c>
      <c r="F8243" t="s">
        <v>37070</v>
      </c>
      <c r="G8243" t="s">
        <v>2241</v>
      </c>
      <c r="H8243" t="s">
        <v>37071</v>
      </c>
      <c r="I8243" t="s">
        <v>37072</v>
      </c>
      <c r="J8243" t="s">
        <v>37073</v>
      </c>
      <c r="K8243" t="s">
        <v>3473</v>
      </c>
      <c r="L8243" t="s">
        <v>37074</v>
      </c>
      <c r="M8243" t="s">
        <v>46</v>
      </c>
      <c r="N8243" t="s">
        <v>37079</v>
      </c>
      <c r="O8243" t="s">
        <v>37076</v>
      </c>
      <c r="P8243" t="s">
        <v>37077</v>
      </c>
      <c r="Q8243" t="s">
        <v>37080</v>
      </c>
      <c r="R8243">
        <v>24</v>
      </c>
      <c r="S8243">
        <v>32</v>
      </c>
    </row>
    <row r="8244" spans="1:19" x14ac:dyDescent="0.35">
      <c r="A8244">
        <v>8575</v>
      </c>
      <c r="B8244" t="s">
        <v>37068</v>
      </c>
      <c r="C8244" t="s">
        <v>42</v>
      </c>
      <c r="D8244" t="s">
        <v>37069</v>
      </c>
      <c r="E8244" t="e" cm="1">
        <f t="array" ref="E8244">- SITAGLIPTIN PHOSPHATE. METFORMIN HYDROCHLORIDE</f>
        <v>#NAME?</v>
      </c>
      <c r="F8244" t="s">
        <v>37070</v>
      </c>
      <c r="G8244" t="s">
        <v>2241</v>
      </c>
      <c r="H8244" t="s">
        <v>37071</v>
      </c>
      <c r="I8244" t="s">
        <v>37072</v>
      </c>
      <c r="J8244" t="s">
        <v>37073</v>
      </c>
      <c r="K8244" t="s">
        <v>3473</v>
      </c>
      <c r="L8244" t="s">
        <v>37074</v>
      </c>
      <c r="M8244" t="s">
        <v>46</v>
      </c>
      <c r="N8244" t="s">
        <v>37079</v>
      </c>
      <c r="O8244" t="s">
        <v>37076</v>
      </c>
      <c r="P8244" t="s">
        <v>37077</v>
      </c>
      <c r="Q8244" t="s">
        <v>37080</v>
      </c>
      <c r="R8244">
        <v>24</v>
      </c>
      <c r="S8244">
        <v>32</v>
      </c>
    </row>
    <row r="8245" spans="1:19" x14ac:dyDescent="0.35">
      <c r="A8245">
        <v>1592</v>
      </c>
      <c r="B8245" t="s">
        <v>37081</v>
      </c>
      <c r="C8245" t="s">
        <v>42</v>
      </c>
      <c r="D8245" t="s">
        <v>37082</v>
      </c>
      <c r="E8245" t="e" cm="1">
        <f t="array" ref="E8245">- PARACETAMOL. GUAIFENESIN. EPHEDRINE HYDROCHLORIDE. CHLORPHENAMINE MALEATE</f>
        <v>#NAME?</v>
      </c>
      <c r="F8245" t="s">
        <v>37083</v>
      </c>
      <c r="I8245" t="s">
        <v>29951</v>
      </c>
      <c r="J8245" t="s">
        <v>334</v>
      </c>
      <c r="M8245" t="s">
        <v>271</v>
      </c>
      <c r="N8245" t="s">
        <v>35601</v>
      </c>
      <c r="O8245" t="s">
        <v>29955</v>
      </c>
      <c r="P8245" t="s">
        <v>37084</v>
      </c>
      <c r="Q8245" t="s">
        <v>37085</v>
      </c>
      <c r="R8245">
        <v>24</v>
      </c>
      <c r="S8245">
        <v>32</v>
      </c>
    </row>
    <row r="8246" spans="1:19" x14ac:dyDescent="0.35">
      <c r="A8246">
        <v>8571</v>
      </c>
      <c r="B8246" t="s">
        <v>37086</v>
      </c>
      <c r="C8246" t="s">
        <v>42</v>
      </c>
      <c r="D8246" t="s">
        <v>37087</v>
      </c>
      <c r="E8246" t="e" cm="1">
        <f t="array" ref="E8246">- GLIBENCLAMIDE</f>
        <v>#NAME?</v>
      </c>
      <c r="F8246" t="s">
        <v>37088</v>
      </c>
      <c r="G8246" t="s">
        <v>1258</v>
      </c>
      <c r="H8246" t="s">
        <v>35742</v>
      </c>
      <c r="I8246" t="s">
        <v>37089</v>
      </c>
      <c r="J8246" t="s">
        <v>6476</v>
      </c>
      <c r="K8246" t="s">
        <v>37090</v>
      </c>
      <c r="L8246" t="s">
        <v>35746</v>
      </c>
      <c r="M8246" t="s">
        <v>46</v>
      </c>
      <c r="N8246" t="s">
        <v>1260</v>
      </c>
      <c r="O8246" t="s">
        <v>37091</v>
      </c>
      <c r="P8246" t="s">
        <v>1261</v>
      </c>
      <c r="Q8246" t="s">
        <v>37092</v>
      </c>
      <c r="R8246">
        <v>24</v>
      </c>
      <c r="S8246">
        <v>32</v>
      </c>
    </row>
    <row r="8247" spans="1:19" x14ac:dyDescent="0.35">
      <c r="A8247">
        <v>8570</v>
      </c>
      <c r="B8247" t="s">
        <v>37093</v>
      </c>
      <c r="C8247" t="s">
        <v>42</v>
      </c>
      <c r="D8247" t="s">
        <v>37094</v>
      </c>
      <c r="E8247" t="e" cm="1">
        <f t="array" ref="E8247">- GLIBENCLAMIDE</f>
        <v>#NAME?</v>
      </c>
      <c r="F8247" t="s">
        <v>37095</v>
      </c>
      <c r="G8247" t="s">
        <v>1258</v>
      </c>
      <c r="H8247" t="s">
        <v>35742</v>
      </c>
      <c r="I8247" t="s">
        <v>37089</v>
      </c>
      <c r="J8247" t="s">
        <v>6476</v>
      </c>
      <c r="K8247" t="s">
        <v>37090</v>
      </c>
      <c r="L8247" t="s">
        <v>35746</v>
      </c>
      <c r="M8247" t="s">
        <v>46</v>
      </c>
      <c r="N8247" t="s">
        <v>1260</v>
      </c>
      <c r="O8247" t="s">
        <v>37091</v>
      </c>
      <c r="P8247" t="s">
        <v>1261</v>
      </c>
      <c r="Q8247" t="s">
        <v>37092</v>
      </c>
      <c r="R8247">
        <v>24</v>
      </c>
      <c r="S8247">
        <v>32</v>
      </c>
    </row>
    <row r="8248" spans="1:19" x14ac:dyDescent="0.35">
      <c r="A8248">
        <v>5860</v>
      </c>
      <c r="B8248" t="s">
        <v>25810</v>
      </c>
      <c r="C8248" t="s">
        <v>42</v>
      </c>
      <c r="D8248" t="s">
        <v>36708</v>
      </c>
      <c r="E8248" t="e" cm="1">
        <f t="array" ref="E8248">- CLINDAMYCIN HYDROCHLORIDE</f>
        <v>#NAME?</v>
      </c>
      <c r="F8248" t="s">
        <v>36709</v>
      </c>
      <c r="G8248" t="s">
        <v>2241</v>
      </c>
      <c r="H8248" t="s">
        <v>27129</v>
      </c>
      <c r="I8248" t="s">
        <v>36485</v>
      </c>
      <c r="J8248" t="s">
        <v>4547</v>
      </c>
      <c r="K8248" t="s">
        <v>27130</v>
      </c>
      <c r="L8248" t="s">
        <v>27131</v>
      </c>
      <c r="M8248" t="s">
        <v>38</v>
      </c>
      <c r="N8248" t="s">
        <v>23622</v>
      </c>
      <c r="O8248" t="s">
        <v>36487</v>
      </c>
      <c r="P8248" t="s">
        <v>25818</v>
      </c>
      <c r="Q8248" t="s">
        <v>36710</v>
      </c>
      <c r="R8248">
        <v>24</v>
      </c>
      <c r="S8248">
        <v>32</v>
      </c>
    </row>
    <row r="8249" spans="1:19" x14ac:dyDescent="0.35">
      <c r="A8249">
        <v>4118</v>
      </c>
      <c r="B8249" t="s">
        <v>37096</v>
      </c>
      <c r="C8249" t="s">
        <v>42</v>
      </c>
      <c r="D8249" t="s">
        <v>37097</v>
      </c>
      <c r="E8249" t="e" cm="1">
        <f t="array" ref="E8249">- DEXAMETHASONE</f>
        <v>#NAME?</v>
      </c>
      <c r="F8249" t="s">
        <v>37098</v>
      </c>
      <c r="G8249" t="s">
        <v>4420</v>
      </c>
      <c r="H8249" t="s">
        <v>37099</v>
      </c>
      <c r="I8249" t="s">
        <v>37020</v>
      </c>
      <c r="J8249" t="s">
        <v>727</v>
      </c>
      <c r="K8249" t="s">
        <v>37100</v>
      </c>
      <c r="L8249" t="s">
        <v>37101</v>
      </c>
      <c r="M8249" t="s">
        <v>291</v>
      </c>
      <c r="N8249" t="s">
        <v>3779</v>
      </c>
      <c r="O8249" t="s">
        <v>37023</v>
      </c>
      <c r="P8249" t="s">
        <v>37102</v>
      </c>
      <c r="Q8249" t="s">
        <v>37103</v>
      </c>
      <c r="R8249">
        <v>24</v>
      </c>
      <c r="S8249">
        <v>32</v>
      </c>
    </row>
    <row r="8250" spans="1:19" x14ac:dyDescent="0.35">
      <c r="A8250">
        <v>5152</v>
      </c>
      <c r="B8250" t="s">
        <v>37104</v>
      </c>
      <c r="C8250" t="s">
        <v>42</v>
      </c>
      <c r="D8250" t="s">
        <v>37105</v>
      </c>
      <c r="E8250" t="e" cm="1">
        <f t="array" ref="E8250">- Camphor</f>
        <v>#NAME?</v>
      </c>
      <c r="F8250" t="s">
        <v>37106</v>
      </c>
      <c r="G8250" t="s">
        <v>37107</v>
      </c>
      <c r="H8250" t="s">
        <v>18376</v>
      </c>
      <c r="I8250" t="s">
        <v>37108</v>
      </c>
      <c r="J8250" t="s">
        <v>2049</v>
      </c>
      <c r="K8250" t="s">
        <v>37109</v>
      </c>
      <c r="L8250" t="s">
        <v>37110</v>
      </c>
      <c r="M8250" t="s">
        <v>1289</v>
      </c>
      <c r="N8250" t="s">
        <v>853</v>
      </c>
      <c r="O8250" t="s">
        <v>37111</v>
      </c>
      <c r="P8250" t="s">
        <v>37112</v>
      </c>
      <c r="Q8250" t="s">
        <v>37113</v>
      </c>
      <c r="R8250">
        <v>24</v>
      </c>
      <c r="S8250">
        <v>32</v>
      </c>
    </row>
    <row r="8251" spans="1:19" x14ac:dyDescent="0.35">
      <c r="A8251">
        <v>4049</v>
      </c>
      <c r="B8251" t="s">
        <v>37016</v>
      </c>
      <c r="C8251" t="s">
        <v>42</v>
      </c>
      <c r="D8251" t="s">
        <v>37017</v>
      </c>
      <c r="E8251" t="e" cm="1">
        <f t="array" ref="E8251">- DEXAMETHASONE</f>
        <v>#NAME?</v>
      </c>
      <c r="F8251" t="s">
        <v>37018</v>
      </c>
      <c r="G8251" t="s">
        <v>2241</v>
      </c>
      <c r="H8251" t="s">
        <v>37019</v>
      </c>
      <c r="I8251" t="s">
        <v>37020</v>
      </c>
      <c r="J8251" t="s">
        <v>37021</v>
      </c>
      <c r="K8251" t="s">
        <v>2858</v>
      </c>
      <c r="L8251" t="s">
        <v>37022</v>
      </c>
      <c r="M8251" t="s">
        <v>291</v>
      </c>
      <c r="N8251" t="s">
        <v>3779</v>
      </c>
      <c r="O8251" t="s">
        <v>37023</v>
      </c>
      <c r="P8251" t="s">
        <v>37024</v>
      </c>
      <c r="Q8251" t="s">
        <v>37025</v>
      </c>
      <c r="R8251">
        <v>24</v>
      </c>
      <c r="S8251">
        <v>32</v>
      </c>
    </row>
    <row r="8252" spans="1:19" x14ac:dyDescent="0.35">
      <c r="A8252">
        <v>9927</v>
      </c>
      <c r="B8252" t="s">
        <v>33827</v>
      </c>
      <c r="C8252" t="s">
        <v>42</v>
      </c>
      <c r="D8252" t="s">
        <v>33828</v>
      </c>
      <c r="E8252" t="s">
        <v>25969</v>
      </c>
      <c r="F8252" t="s">
        <v>33829</v>
      </c>
      <c r="G8252" t="s">
        <v>20888</v>
      </c>
      <c r="H8252" t="s">
        <v>20889</v>
      </c>
      <c r="I8252" t="s">
        <v>33830</v>
      </c>
      <c r="J8252" t="s">
        <v>6205</v>
      </c>
      <c r="K8252" t="s">
        <v>20891</v>
      </c>
      <c r="L8252" t="s">
        <v>20892</v>
      </c>
      <c r="M8252" t="s">
        <v>46</v>
      </c>
      <c r="N8252" t="s">
        <v>25970</v>
      </c>
      <c r="O8252" t="s">
        <v>33831</v>
      </c>
      <c r="P8252" t="s">
        <v>20894</v>
      </c>
      <c r="Q8252" t="s">
        <v>37114</v>
      </c>
      <c r="R8252">
        <v>24</v>
      </c>
      <c r="S8252">
        <v>32</v>
      </c>
    </row>
    <row r="8253" spans="1:19" x14ac:dyDescent="0.35">
      <c r="A8253">
        <v>9926</v>
      </c>
      <c r="B8253" t="s">
        <v>37115</v>
      </c>
      <c r="C8253" t="s">
        <v>42</v>
      </c>
      <c r="D8253" t="s">
        <v>37116</v>
      </c>
      <c r="E8253" t="e" cm="1">
        <f t="array" ref="E8253">- ISOSORBIDE MONONITRATE</f>
        <v>#NAME?</v>
      </c>
      <c r="F8253" t="s">
        <v>37117</v>
      </c>
      <c r="G8253" t="s">
        <v>60</v>
      </c>
      <c r="H8253" t="s">
        <v>37118</v>
      </c>
      <c r="I8253" t="s">
        <v>37119</v>
      </c>
      <c r="J8253" t="s">
        <v>381</v>
      </c>
      <c r="K8253" t="s">
        <v>37120</v>
      </c>
      <c r="L8253" t="s">
        <v>37121</v>
      </c>
      <c r="M8253" t="s">
        <v>46</v>
      </c>
      <c r="N8253" t="s">
        <v>3543</v>
      </c>
      <c r="O8253" t="s">
        <v>37122</v>
      </c>
      <c r="P8253" t="s">
        <v>37123</v>
      </c>
      <c r="Q8253" t="s">
        <v>37124</v>
      </c>
      <c r="R8253">
        <v>24</v>
      </c>
      <c r="S8253">
        <v>32</v>
      </c>
    </row>
    <row r="8254" spans="1:19" x14ac:dyDescent="0.35">
      <c r="A8254">
        <v>7935</v>
      </c>
      <c r="B8254" t="s">
        <v>21748</v>
      </c>
      <c r="C8254" t="s">
        <v>20</v>
      </c>
      <c r="D8254" t="s">
        <v>37125</v>
      </c>
      <c r="E8254" t="s">
        <v>21750</v>
      </c>
      <c r="F8254" t="s">
        <v>37126</v>
      </c>
      <c r="G8254" t="s">
        <v>2241</v>
      </c>
      <c r="H8254" t="s">
        <v>37127</v>
      </c>
      <c r="I8254" t="s">
        <v>37128</v>
      </c>
      <c r="J8254" t="s">
        <v>5284</v>
      </c>
      <c r="L8254" t="s">
        <v>37129</v>
      </c>
      <c r="N8254" t="s">
        <v>21754</v>
      </c>
      <c r="O8254" t="s">
        <v>37130</v>
      </c>
      <c r="P8254" t="s">
        <v>37131</v>
      </c>
      <c r="Q8254" t="s">
        <v>37132</v>
      </c>
      <c r="R8254">
        <v>24</v>
      </c>
      <c r="S8254">
        <v>32</v>
      </c>
    </row>
    <row r="8255" spans="1:19" x14ac:dyDescent="0.35">
      <c r="A8255">
        <v>576</v>
      </c>
      <c r="B8255" t="s">
        <v>33817</v>
      </c>
      <c r="C8255" t="s">
        <v>42</v>
      </c>
      <c r="D8255" t="s">
        <v>33818</v>
      </c>
      <c r="E8255" t="e" cm="1">
        <f t="array" ref="E8255">- BUDESONIDE. FORMOTEROL FUMARATE DIHYDRATE</f>
        <v>#NAME?</v>
      </c>
      <c r="F8255" t="s">
        <v>33819</v>
      </c>
      <c r="G8255" t="s">
        <v>33820</v>
      </c>
      <c r="H8255" t="s">
        <v>33821</v>
      </c>
      <c r="I8255" t="s">
        <v>33822</v>
      </c>
      <c r="J8255" t="s">
        <v>27169</v>
      </c>
      <c r="K8255" t="s">
        <v>3952</v>
      </c>
      <c r="L8255" t="s">
        <v>33823</v>
      </c>
      <c r="M8255" t="s">
        <v>1280</v>
      </c>
      <c r="N8255" t="s">
        <v>37133</v>
      </c>
      <c r="O8255" t="s">
        <v>33824</v>
      </c>
      <c r="P8255" t="s">
        <v>33825</v>
      </c>
      <c r="Q8255" t="s">
        <v>37134</v>
      </c>
      <c r="R8255">
        <v>24</v>
      </c>
      <c r="S8255">
        <v>32</v>
      </c>
    </row>
    <row r="8256" spans="1:19" x14ac:dyDescent="0.35">
      <c r="A8256">
        <v>4358</v>
      </c>
      <c r="B8256" t="s">
        <v>1637</v>
      </c>
      <c r="C8256" t="s">
        <v>42</v>
      </c>
      <c r="D8256" t="s">
        <v>36517</v>
      </c>
      <c r="E8256" t="e" cm="1">
        <f t="array" ref="E8256">- OFLOXACIN</f>
        <v>#NAME?</v>
      </c>
      <c r="F8256" t="s">
        <v>36518</v>
      </c>
      <c r="G8256" t="s">
        <v>29802</v>
      </c>
      <c r="H8256" t="s">
        <v>29898</v>
      </c>
      <c r="I8256" t="s">
        <v>36519</v>
      </c>
      <c r="J8256" t="s">
        <v>6679</v>
      </c>
      <c r="M8256" t="s">
        <v>824</v>
      </c>
      <c r="N8256" t="s">
        <v>1640</v>
      </c>
      <c r="O8256" t="s">
        <v>36520</v>
      </c>
      <c r="P8256" t="s">
        <v>36521</v>
      </c>
      <c r="Q8256" t="s">
        <v>37135</v>
      </c>
      <c r="R8256">
        <v>24</v>
      </c>
      <c r="S8256">
        <v>32</v>
      </c>
    </row>
    <row r="8257" spans="1:19" x14ac:dyDescent="0.35">
      <c r="A8257">
        <v>8760</v>
      </c>
      <c r="B8257" t="s">
        <v>37136</v>
      </c>
      <c r="C8257" t="s">
        <v>42</v>
      </c>
      <c r="D8257" t="s">
        <v>37137</v>
      </c>
      <c r="E8257" t="e" cm="1">
        <f t="array" ref="E8257">- SAXAGLIPTIN</f>
        <v>#NAME?</v>
      </c>
      <c r="F8257" t="s">
        <v>37138</v>
      </c>
      <c r="G8257" t="s">
        <v>2734</v>
      </c>
      <c r="H8257" t="s">
        <v>2643</v>
      </c>
      <c r="I8257" t="s">
        <v>37139</v>
      </c>
      <c r="J8257" t="s">
        <v>3063</v>
      </c>
      <c r="K8257" t="s">
        <v>37140</v>
      </c>
      <c r="L8257" t="s">
        <v>13087</v>
      </c>
      <c r="M8257" t="s">
        <v>46</v>
      </c>
      <c r="N8257" t="s">
        <v>37141</v>
      </c>
      <c r="O8257" t="s">
        <v>37142</v>
      </c>
      <c r="P8257" t="s">
        <v>37143</v>
      </c>
      <c r="Q8257" t="s">
        <v>37144</v>
      </c>
      <c r="R8257">
        <v>24</v>
      </c>
      <c r="S8257">
        <v>32</v>
      </c>
    </row>
    <row r="8258" spans="1:19" x14ac:dyDescent="0.35">
      <c r="A8258">
        <v>4361</v>
      </c>
      <c r="B8258" t="s">
        <v>1637</v>
      </c>
      <c r="C8258" t="s">
        <v>42</v>
      </c>
      <c r="D8258" t="s">
        <v>36489</v>
      </c>
      <c r="E8258" t="e" cm="1">
        <f t="array" ref="E8258">- OFLOXACIN</f>
        <v>#NAME?</v>
      </c>
      <c r="F8258" t="s">
        <v>36490</v>
      </c>
      <c r="G8258" t="s">
        <v>36491</v>
      </c>
      <c r="H8258" t="s">
        <v>36492</v>
      </c>
      <c r="I8258" t="s">
        <v>36493</v>
      </c>
      <c r="J8258" t="s">
        <v>6679</v>
      </c>
      <c r="K8258" t="s">
        <v>36494</v>
      </c>
      <c r="L8258" t="s">
        <v>36495</v>
      </c>
      <c r="M8258" t="s">
        <v>824</v>
      </c>
      <c r="N8258" t="s">
        <v>1640</v>
      </c>
      <c r="O8258" t="s">
        <v>36496</v>
      </c>
      <c r="P8258" t="s">
        <v>36497</v>
      </c>
      <c r="Q8258" t="s">
        <v>37145</v>
      </c>
      <c r="R8258">
        <v>24</v>
      </c>
      <c r="S8258">
        <v>32</v>
      </c>
    </row>
    <row r="8259" spans="1:19" x14ac:dyDescent="0.35">
      <c r="A8259">
        <v>5946</v>
      </c>
      <c r="B8259" t="s">
        <v>37146</v>
      </c>
      <c r="C8259" t="s">
        <v>42</v>
      </c>
      <c r="D8259" t="s">
        <v>37147</v>
      </c>
      <c r="E8259" t="e" cm="1">
        <f t="array" ref="E8259">- CLINDAMYCIN HYDROCHLORIDE</f>
        <v>#NAME?</v>
      </c>
      <c r="F8259" t="s">
        <v>37148</v>
      </c>
      <c r="H8259" t="s">
        <v>27129</v>
      </c>
      <c r="I8259" t="s">
        <v>37149</v>
      </c>
      <c r="J8259" t="s">
        <v>14600</v>
      </c>
      <c r="M8259" t="s">
        <v>38</v>
      </c>
      <c r="N8259" t="s">
        <v>23622</v>
      </c>
      <c r="O8259" t="s">
        <v>36487</v>
      </c>
      <c r="P8259" t="s">
        <v>37150</v>
      </c>
      <c r="Q8259" t="s">
        <v>37151</v>
      </c>
      <c r="R8259">
        <v>24</v>
      </c>
      <c r="S8259">
        <v>32</v>
      </c>
    </row>
    <row r="8260" spans="1:19" x14ac:dyDescent="0.35">
      <c r="A8260">
        <v>5945</v>
      </c>
      <c r="B8260" t="s">
        <v>37146</v>
      </c>
      <c r="C8260" t="s">
        <v>42</v>
      </c>
      <c r="D8260" t="s">
        <v>37147</v>
      </c>
      <c r="E8260" t="e" cm="1">
        <f t="array" ref="E8260">- CLINDAMYCIN HYDROCHLORIDE</f>
        <v>#NAME?</v>
      </c>
      <c r="F8260" t="s">
        <v>37148</v>
      </c>
      <c r="H8260" t="s">
        <v>27129</v>
      </c>
      <c r="I8260" t="s">
        <v>37149</v>
      </c>
      <c r="J8260" t="s">
        <v>14600</v>
      </c>
      <c r="M8260" t="s">
        <v>38</v>
      </c>
      <c r="N8260" t="s">
        <v>23622</v>
      </c>
      <c r="O8260" t="s">
        <v>36487</v>
      </c>
      <c r="P8260" t="s">
        <v>37150</v>
      </c>
      <c r="Q8260" t="s">
        <v>37151</v>
      </c>
      <c r="R8260">
        <v>24</v>
      </c>
      <c r="S8260">
        <v>32</v>
      </c>
    </row>
    <row r="8261" spans="1:19" x14ac:dyDescent="0.35">
      <c r="A8261">
        <v>7258</v>
      </c>
      <c r="B8261" t="s">
        <v>37152</v>
      </c>
      <c r="C8261" t="s">
        <v>850</v>
      </c>
      <c r="D8261" t="s">
        <v>37153</v>
      </c>
      <c r="E8261" t="e" cm="1">
        <f t="array" ref="E8261">- glucosamine SULFATE POTASSIUM CHLORIDE USP</f>
        <v>#NAME?</v>
      </c>
      <c r="F8261" t="s">
        <v>37154</v>
      </c>
      <c r="G8261" t="s">
        <v>37155</v>
      </c>
      <c r="H8261" t="s">
        <v>37156</v>
      </c>
      <c r="I8261" t="s">
        <v>37157</v>
      </c>
      <c r="J8261" t="s">
        <v>37158</v>
      </c>
      <c r="M8261" t="s">
        <v>1289</v>
      </c>
      <c r="N8261" t="s">
        <v>37159</v>
      </c>
      <c r="O8261" t="s">
        <v>37160</v>
      </c>
      <c r="P8261" t="s">
        <v>37161</v>
      </c>
      <c r="Q8261" t="s">
        <v>37162</v>
      </c>
      <c r="R8261">
        <v>24</v>
      </c>
      <c r="S8261">
        <v>32</v>
      </c>
    </row>
    <row r="8262" spans="1:19" x14ac:dyDescent="0.35">
      <c r="A8262">
        <v>8714</v>
      </c>
      <c r="B8262" t="s">
        <v>37163</v>
      </c>
      <c r="C8262" t="s">
        <v>42</v>
      </c>
      <c r="D8262" t="s">
        <v>37164</v>
      </c>
      <c r="E8262" t="e" cm="1">
        <f t="array" ref="E8262">- GLIBENCLAMIDE</f>
        <v>#NAME?</v>
      </c>
      <c r="F8262" t="s">
        <v>37165</v>
      </c>
      <c r="G8262" t="s">
        <v>1258</v>
      </c>
      <c r="H8262" t="s">
        <v>35742</v>
      </c>
      <c r="I8262" t="s">
        <v>37089</v>
      </c>
      <c r="J8262" t="s">
        <v>37166</v>
      </c>
      <c r="K8262" t="s">
        <v>35745</v>
      </c>
      <c r="L8262" t="s">
        <v>37167</v>
      </c>
      <c r="M8262" t="s">
        <v>46</v>
      </c>
      <c r="N8262" t="s">
        <v>1260</v>
      </c>
      <c r="O8262" t="s">
        <v>37091</v>
      </c>
      <c r="P8262" t="s">
        <v>1261</v>
      </c>
      <c r="Q8262" t="s">
        <v>37092</v>
      </c>
      <c r="R8262">
        <v>24</v>
      </c>
      <c r="S8262">
        <v>32</v>
      </c>
    </row>
    <row r="8263" spans="1:19" x14ac:dyDescent="0.35">
      <c r="A8263">
        <v>5905</v>
      </c>
      <c r="B8263" t="s">
        <v>37168</v>
      </c>
      <c r="C8263" t="s">
        <v>42</v>
      </c>
      <c r="D8263" t="s">
        <v>37169</v>
      </c>
      <c r="E8263" t="e" cm="1">
        <f t="array" ref="E8263">- AMOXICILLIN TRIHYDRATE</f>
        <v>#NAME?</v>
      </c>
      <c r="F8263" t="s">
        <v>37170</v>
      </c>
      <c r="G8263" t="s">
        <v>1691</v>
      </c>
      <c r="H8263" t="s">
        <v>37171</v>
      </c>
    </row>
    <row r="8264" spans="1:19" x14ac:dyDescent="0.35">
      <c r="A8264">
        <v>2442</v>
      </c>
      <c r="B8264" t="s">
        <v>37172</v>
      </c>
      <c r="C8264" t="s">
        <v>42</v>
      </c>
      <c r="D8264" t="s">
        <v>37173</v>
      </c>
      <c r="E8264" t="e" cm="1">
        <f t="array" ref="E8264">- ETORICOXIB</f>
        <v>#NAME?</v>
      </c>
      <c r="F8264" t="s">
        <v>37174</v>
      </c>
      <c r="G8264" t="s">
        <v>11423</v>
      </c>
      <c r="H8264" t="s">
        <v>37175</v>
      </c>
      <c r="I8264" t="s">
        <v>37176</v>
      </c>
      <c r="J8264" t="s">
        <v>2928</v>
      </c>
      <c r="L8264" t="s">
        <v>37177</v>
      </c>
      <c r="M8264" t="s">
        <v>46</v>
      </c>
      <c r="N8264" t="s">
        <v>47</v>
      </c>
      <c r="O8264" t="s">
        <v>37178</v>
      </c>
      <c r="P8264" t="s">
        <v>37179</v>
      </c>
      <c r="Q8264" t="s">
        <v>37180</v>
      </c>
      <c r="R8264">
        <v>25</v>
      </c>
      <c r="S8264">
        <v>32</v>
      </c>
    </row>
    <row r="8265" spans="1:19" x14ac:dyDescent="0.35">
      <c r="A8265">
        <v>8380</v>
      </c>
      <c r="B8265" t="s">
        <v>551</v>
      </c>
      <c r="C8265" t="s">
        <v>42</v>
      </c>
      <c r="D8265" t="s">
        <v>37181</v>
      </c>
      <c r="E8265" t="e" cm="1">
        <f t="array" ref="E8265">- POVIDONE-IODINE</f>
        <v>#NAME?</v>
      </c>
      <c r="F8265" s="1">
        <v>119300</v>
      </c>
      <c r="H8265" t="s">
        <v>1322</v>
      </c>
      <c r="I8265" t="s">
        <v>37182</v>
      </c>
      <c r="J8265" t="s">
        <v>37183</v>
      </c>
      <c r="M8265" t="s">
        <v>554</v>
      </c>
      <c r="N8265" t="s">
        <v>555</v>
      </c>
      <c r="O8265" t="s">
        <v>37184</v>
      </c>
      <c r="P8265" t="s">
        <v>37185</v>
      </c>
      <c r="Q8265" t="s">
        <v>37186</v>
      </c>
      <c r="R8265">
        <v>25</v>
      </c>
      <c r="S8265">
        <v>32</v>
      </c>
    </row>
    <row r="8266" spans="1:19" x14ac:dyDescent="0.35">
      <c r="A8266">
        <v>6412</v>
      </c>
      <c r="B8266" t="s">
        <v>37187</v>
      </c>
      <c r="C8266" t="s">
        <v>42</v>
      </c>
      <c r="D8266" t="s">
        <v>37188</v>
      </c>
      <c r="E8266" t="e" cm="1">
        <f t="array" ref="E8266">- CEFIXIME</f>
        <v>#NAME?</v>
      </c>
      <c r="F8266" t="s">
        <v>37189</v>
      </c>
      <c r="G8266" t="s">
        <v>37190</v>
      </c>
      <c r="H8266" t="s">
        <v>37191</v>
      </c>
      <c r="I8266" t="s">
        <v>37192</v>
      </c>
      <c r="J8266" t="s">
        <v>4547</v>
      </c>
      <c r="K8266" t="s">
        <v>1020</v>
      </c>
      <c r="L8266" t="s">
        <v>1021</v>
      </c>
      <c r="M8266" t="s">
        <v>38</v>
      </c>
      <c r="N8266" t="s">
        <v>1022</v>
      </c>
      <c r="O8266" t="s">
        <v>37193</v>
      </c>
      <c r="P8266" t="s">
        <v>37194</v>
      </c>
      <c r="Q8266" t="s">
        <v>37195</v>
      </c>
      <c r="R8266">
        <v>25</v>
      </c>
      <c r="S8266">
        <v>32</v>
      </c>
    </row>
    <row r="8267" spans="1:19" x14ac:dyDescent="0.35">
      <c r="A8267">
        <v>8381</v>
      </c>
      <c r="B8267" t="s">
        <v>551</v>
      </c>
      <c r="C8267" t="s">
        <v>42</v>
      </c>
      <c r="D8267" t="s">
        <v>37181</v>
      </c>
      <c r="E8267" t="e" cm="1">
        <f t="array" ref="E8267">- POVIDONE-IODINE</f>
        <v>#NAME?</v>
      </c>
      <c r="F8267" s="1">
        <v>119300</v>
      </c>
      <c r="H8267" t="s">
        <v>1322</v>
      </c>
      <c r="I8267" t="s">
        <v>37182</v>
      </c>
      <c r="J8267" t="s">
        <v>37183</v>
      </c>
      <c r="M8267" t="s">
        <v>554</v>
      </c>
      <c r="N8267" t="s">
        <v>555</v>
      </c>
      <c r="O8267" t="s">
        <v>37184</v>
      </c>
      <c r="P8267" t="s">
        <v>37185</v>
      </c>
      <c r="Q8267" t="s">
        <v>37186</v>
      </c>
      <c r="R8267">
        <v>25</v>
      </c>
      <c r="S8267">
        <v>32</v>
      </c>
    </row>
    <row r="8268" spans="1:19" x14ac:dyDescent="0.35">
      <c r="A8268">
        <v>6445</v>
      </c>
      <c r="B8268" t="s">
        <v>37196</v>
      </c>
      <c r="C8268" t="s">
        <v>42</v>
      </c>
      <c r="D8268" t="s">
        <v>37197</v>
      </c>
      <c r="E8268" t="e" cm="1">
        <f t="array" ref="E8268">- TETRACYCLINE HYDROCHLORIDE</f>
        <v>#NAME?</v>
      </c>
      <c r="F8268" t="s">
        <v>37198</v>
      </c>
      <c r="G8268" t="s">
        <v>19684</v>
      </c>
      <c r="H8268" t="s">
        <v>19685</v>
      </c>
      <c r="I8268" t="s">
        <v>37199</v>
      </c>
      <c r="J8268" t="s">
        <v>810</v>
      </c>
      <c r="K8268" t="s">
        <v>19687</v>
      </c>
      <c r="L8268" t="s">
        <v>19688</v>
      </c>
      <c r="M8268" t="s">
        <v>38</v>
      </c>
      <c r="N8268" t="s">
        <v>3156</v>
      </c>
      <c r="O8268" t="s">
        <v>37200</v>
      </c>
      <c r="P8268" t="s">
        <v>19069</v>
      </c>
      <c r="Q8268" t="s">
        <v>37201</v>
      </c>
      <c r="R8268">
        <v>25</v>
      </c>
      <c r="S8268">
        <v>32</v>
      </c>
    </row>
    <row r="8269" spans="1:19" x14ac:dyDescent="0.35">
      <c r="A8269">
        <v>8587</v>
      </c>
      <c r="B8269" t="s">
        <v>37202</v>
      </c>
      <c r="C8269" t="s">
        <v>42</v>
      </c>
      <c r="D8269" t="s">
        <v>37203</v>
      </c>
      <c r="E8269" t="e" cm="1">
        <f t="array" ref="E8269">- PIOGLITAZONE HYDROCHLORIDE</f>
        <v>#NAME?</v>
      </c>
      <c r="F8269" t="s">
        <v>37204</v>
      </c>
      <c r="G8269" t="s">
        <v>7392</v>
      </c>
      <c r="H8269" t="s">
        <v>37205</v>
      </c>
      <c r="I8269" t="s">
        <v>37206</v>
      </c>
      <c r="J8269" t="s">
        <v>22165</v>
      </c>
      <c r="K8269" t="s">
        <v>37207</v>
      </c>
      <c r="L8269" t="s">
        <v>27804</v>
      </c>
      <c r="M8269" t="s">
        <v>46</v>
      </c>
      <c r="N8269" t="s">
        <v>2389</v>
      </c>
      <c r="O8269" t="s">
        <v>37208</v>
      </c>
      <c r="P8269" t="s">
        <v>37209</v>
      </c>
      <c r="Q8269" t="s">
        <v>37210</v>
      </c>
      <c r="R8269">
        <v>25</v>
      </c>
      <c r="S8269">
        <v>32</v>
      </c>
    </row>
    <row r="8270" spans="1:19" x14ac:dyDescent="0.35">
      <c r="A8270">
        <v>6491</v>
      </c>
      <c r="B8270" t="s">
        <v>37211</v>
      </c>
      <c r="C8270" t="s">
        <v>42</v>
      </c>
      <c r="D8270" t="s">
        <v>37212</v>
      </c>
      <c r="E8270" t="e" cm="1">
        <f t="array" ref="E8270">- LEVOFLOXACIN HEMIHYDRATE</f>
        <v>#NAME?</v>
      </c>
      <c r="F8270" t="s">
        <v>37213</v>
      </c>
      <c r="G8270" t="s">
        <v>1691</v>
      </c>
      <c r="H8270" t="s">
        <v>37214</v>
      </c>
      <c r="I8270" t="s">
        <v>37215</v>
      </c>
      <c r="J8270" t="s">
        <v>37216</v>
      </c>
      <c r="K8270" t="s">
        <v>37217</v>
      </c>
      <c r="L8270" t="s">
        <v>37218</v>
      </c>
      <c r="M8270" t="s">
        <v>46</v>
      </c>
      <c r="N8270" t="s">
        <v>1784</v>
      </c>
      <c r="O8270" t="s">
        <v>37219</v>
      </c>
      <c r="P8270" t="s">
        <v>37220</v>
      </c>
      <c r="Q8270" t="s">
        <v>37221</v>
      </c>
      <c r="R8270">
        <v>25</v>
      </c>
      <c r="S8270">
        <v>32</v>
      </c>
    </row>
    <row r="8271" spans="1:19" x14ac:dyDescent="0.35">
      <c r="A8271">
        <v>8905</v>
      </c>
      <c r="B8271" t="s">
        <v>37222</v>
      </c>
      <c r="C8271" t="s">
        <v>42</v>
      </c>
      <c r="D8271" t="s">
        <v>37223</v>
      </c>
      <c r="E8271" t="e" cm="1">
        <f t="array" ref="E8271">- SPIRONOLACTONE</f>
        <v>#NAME?</v>
      </c>
      <c r="F8271" t="s">
        <v>37224</v>
      </c>
      <c r="G8271" t="s">
        <v>5559</v>
      </c>
      <c r="H8271" t="s">
        <v>37225</v>
      </c>
      <c r="I8271" t="s">
        <v>37226</v>
      </c>
      <c r="J8271" t="s">
        <v>5085</v>
      </c>
      <c r="K8271" t="s">
        <v>37227</v>
      </c>
      <c r="L8271" t="s">
        <v>37228</v>
      </c>
      <c r="M8271" t="s">
        <v>46</v>
      </c>
      <c r="N8271" t="s">
        <v>2538</v>
      </c>
      <c r="O8271" t="s">
        <v>37229</v>
      </c>
      <c r="P8271" t="s">
        <v>2538</v>
      </c>
      <c r="Q8271" t="s">
        <v>37230</v>
      </c>
      <c r="R8271">
        <v>25</v>
      </c>
      <c r="S8271">
        <v>32</v>
      </c>
    </row>
    <row r="8272" spans="1:19" x14ac:dyDescent="0.35">
      <c r="A8272">
        <v>5426</v>
      </c>
      <c r="B8272" t="s">
        <v>37231</v>
      </c>
      <c r="C8272" t="s">
        <v>42</v>
      </c>
      <c r="D8272" t="s">
        <v>37232</v>
      </c>
      <c r="E8272" t="e" cm="1">
        <f t="array" ref="E8272">- MICONAZOLE NITRATE</f>
        <v>#NAME?</v>
      </c>
      <c r="F8272" s="1">
        <v>63400</v>
      </c>
      <c r="G8272" t="s">
        <v>13796</v>
      </c>
      <c r="H8272" t="s">
        <v>37233</v>
      </c>
      <c r="I8272" t="s">
        <v>37234</v>
      </c>
      <c r="J8272" t="s">
        <v>5386</v>
      </c>
      <c r="K8272" t="s">
        <v>37235</v>
      </c>
      <c r="L8272" t="s">
        <v>37236</v>
      </c>
      <c r="M8272" t="s">
        <v>1289</v>
      </c>
      <c r="N8272" t="s">
        <v>9389</v>
      </c>
      <c r="O8272" t="s">
        <v>37237</v>
      </c>
      <c r="P8272" t="s">
        <v>37238</v>
      </c>
      <c r="Q8272" t="s">
        <v>37239</v>
      </c>
      <c r="R8272">
        <v>25</v>
      </c>
      <c r="S8272">
        <v>32</v>
      </c>
    </row>
    <row r="8273" spans="1:19" x14ac:dyDescent="0.35">
      <c r="A8273">
        <v>2441</v>
      </c>
      <c r="B8273" t="s">
        <v>37240</v>
      </c>
      <c r="C8273" t="s">
        <v>42</v>
      </c>
      <c r="D8273" t="s">
        <v>37241</v>
      </c>
      <c r="E8273" t="e" cm="1">
        <f t="array" ref="E8273">- ETORICOXIB</f>
        <v>#NAME?</v>
      </c>
      <c r="F8273" t="s">
        <v>37242</v>
      </c>
      <c r="G8273" t="s">
        <v>11423</v>
      </c>
      <c r="H8273" t="s">
        <v>37175</v>
      </c>
      <c r="I8273" t="s">
        <v>37176</v>
      </c>
      <c r="J8273" t="s">
        <v>2928</v>
      </c>
      <c r="L8273" t="s">
        <v>37177</v>
      </c>
      <c r="M8273" t="s">
        <v>46</v>
      </c>
      <c r="N8273" t="s">
        <v>47</v>
      </c>
      <c r="O8273" t="s">
        <v>37178</v>
      </c>
      <c r="P8273" t="s">
        <v>37179</v>
      </c>
      <c r="Q8273" t="s">
        <v>37180</v>
      </c>
      <c r="R8273">
        <v>25</v>
      </c>
      <c r="S8273">
        <v>32</v>
      </c>
    </row>
    <row r="8274" spans="1:19" x14ac:dyDescent="0.35">
      <c r="A8274">
        <v>5626</v>
      </c>
      <c r="B8274" t="s">
        <v>37243</v>
      </c>
      <c r="C8274" t="s">
        <v>42</v>
      </c>
      <c r="D8274" t="s">
        <v>37244</v>
      </c>
      <c r="E8274" t="e" cm="1">
        <f t="array" ref="E8274">- CEFIXIME</f>
        <v>#NAME?</v>
      </c>
      <c r="F8274" t="s">
        <v>37245</v>
      </c>
      <c r="G8274" t="s">
        <v>37190</v>
      </c>
      <c r="H8274" t="s">
        <v>1019</v>
      </c>
      <c r="I8274" t="s">
        <v>37192</v>
      </c>
      <c r="J8274" t="s">
        <v>829</v>
      </c>
      <c r="K8274" t="s">
        <v>1020</v>
      </c>
      <c r="L8274" t="s">
        <v>1021</v>
      </c>
      <c r="M8274" t="s">
        <v>271</v>
      </c>
      <c r="N8274" t="s">
        <v>1022</v>
      </c>
      <c r="O8274" t="s">
        <v>37193</v>
      </c>
      <c r="P8274" t="s">
        <v>37246</v>
      </c>
      <c r="Q8274" t="s">
        <v>37247</v>
      </c>
      <c r="R8274">
        <v>25</v>
      </c>
      <c r="S8274">
        <v>32</v>
      </c>
    </row>
    <row r="8275" spans="1:19" x14ac:dyDescent="0.35">
      <c r="A8275">
        <v>6417</v>
      </c>
      <c r="B8275" t="s">
        <v>37248</v>
      </c>
      <c r="C8275" t="s">
        <v>42</v>
      </c>
      <c r="D8275" t="s">
        <v>37249</v>
      </c>
      <c r="E8275" t="e" cm="1">
        <f t="array" ref="E8275">- CEFIXIME</f>
        <v>#NAME?</v>
      </c>
      <c r="F8275" t="s">
        <v>37250</v>
      </c>
      <c r="G8275" t="s">
        <v>37190</v>
      </c>
      <c r="H8275" t="s">
        <v>1019</v>
      </c>
      <c r="I8275" t="s">
        <v>37192</v>
      </c>
      <c r="J8275" t="s">
        <v>829</v>
      </c>
      <c r="K8275" t="s">
        <v>1020</v>
      </c>
      <c r="L8275" t="s">
        <v>1021</v>
      </c>
      <c r="M8275" t="s">
        <v>271</v>
      </c>
      <c r="N8275" t="s">
        <v>1022</v>
      </c>
      <c r="O8275" t="s">
        <v>37193</v>
      </c>
      <c r="P8275" t="s">
        <v>37194</v>
      </c>
      <c r="Q8275" t="s">
        <v>37251</v>
      </c>
      <c r="R8275">
        <v>25</v>
      </c>
      <c r="S8275">
        <v>32</v>
      </c>
    </row>
    <row r="8276" spans="1:19" x14ac:dyDescent="0.35">
      <c r="A8276">
        <v>8588</v>
      </c>
      <c r="B8276" t="s">
        <v>37252</v>
      </c>
      <c r="C8276" t="s">
        <v>42</v>
      </c>
      <c r="D8276" t="s">
        <v>37253</v>
      </c>
      <c r="E8276" t="e" cm="1">
        <f t="array" ref="E8276">- PIOGLITAZONE HYDROCHLORIDE</f>
        <v>#NAME?</v>
      </c>
      <c r="F8276" t="s">
        <v>37254</v>
      </c>
      <c r="G8276" t="s">
        <v>6869</v>
      </c>
      <c r="H8276" t="s">
        <v>29044</v>
      </c>
      <c r="I8276" t="s">
        <v>37206</v>
      </c>
      <c r="J8276" t="s">
        <v>22165</v>
      </c>
      <c r="K8276" t="s">
        <v>29046</v>
      </c>
      <c r="L8276" t="s">
        <v>29047</v>
      </c>
      <c r="M8276" t="s">
        <v>46</v>
      </c>
      <c r="N8276" t="s">
        <v>2389</v>
      </c>
      <c r="O8276" t="s">
        <v>37208</v>
      </c>
      <c r="P8276" t="s">
        <v>37209</v>
      </c>
      <c r="Q8276" t="s">
        <v>37210</v>
      </c>
      <c r="R8276">
        <v>25</v>
      </c>
      <c r="S8276">
        <v>32</v>
      </c>
    </row>
    <row r="8277" spans="1:19" x14ac:dyDescent="0.35">
      <c r="A8277">
        <v>8708</v>
      </c>
      <c r="B8277" t="s">
        <v>35739</v>
      </c>
      <c r="C8277" t="s">
        <v>42</v>
      </c>
      <c r="D8277" t="s">
        <v>35740</v>
      </c>
      <c r="E8277" t="e" cm="1">
        <f t="array" ref="E8277">- METFORMIN HYDROCHLORIDE. GLIBENCLAMIDE</f>
        <v>#NAME?</v>
      </c>
      <c r="F8277" t="s">
        <v>35741</v>
      </c>
      <c r="G8277" t="s">
        <v>1258</v>
      </c>
      <c r="H8277" t="s">
        <v>35742</v>
      </c>
      <c r="I8277" t="s">
        <v>35743</v>
      </c>
      <c r="J8277" t="s">
        <v>35744</v>
      </c>
      <c r="K8277" t="s">
        <v>35745</v>
      </c>
      <c r="L8277" t="s">
        <v>35746</v>
      </c>
      <c r="M8277" t="s">
        <v>46</v>
      </c>
      <c r="N8277" t="s">
        <v>37255</v>
      </c>
      <c r="O8277" t="s">
        <v>35747</v>
      </c>
      <c r="P8277" t="s">
        <v>1261</v>
      </c>
      <c r="Q8277" t="s">
        <v>37256</v>
      </c>
      <c r="R8277">
        <v>25</v>
      </c>
      <c r="S8277">
        <v>32</v>
      </c>
    </row>
    <row r="8278" spans="1:19" x14ac:dyDescent="0.35">
      <c r="A8278">
        <v>8376</v>
      </c>
      <c r="B8278" t="s">
        <v>551</v>
      </c>
      <c r="C8278" t="s">
        <v>42</v>
      </c>
      <c r="D8278" t="s">
        <v>37257</v>
      </c>
      <c r="E8278" t="e" cm="1">
        <f t="array" ref="E8278">- POVIDONE-IODINE</f>
        <v>#NAME?</v>
      </c>
      <c r="F8278" s="1">
        <v>119300</v>
      </c>
      <c r="H8278" t="s">
        <v>1322</v>
      </c>
      <c r="I8278" t="s">
        <v>37182</v>
      </c>
      <c r="J8278" t="s">
        <v>37183</v>
      </c>
      <c r="M8278" t="s">
        <v>554</v>
      </c>
      <c r="N8278" t="s">
        <v>555</v>
      </c>
      <c r="O8278" t="s">
        <v>37184</v>
      </c>
      <c r="P8278" t="s">
        <v>37258</v>
      </c>
      <c r="Q8278" t="s">
        <v>37259</v>
      </c>
      <c r="R8278">
        <v>25</v>
      </c>
      <c r="S8278">
        <v>32</v>
      </c>
    </row>
    <row r="8279" spans="1:19" x14ac:dyDescent="0.35">
      <c r="A8279">
        <v>652</v>
      </c>
      <c r="B8279" t="s">
        <v>36711</v>
      </c>
      <c r="C8279" t="s">
        <v>20</v>
      </c>
      <c r="D8279" t="s">
        <v>37260</v>
      </c>
      <c r="E8279" t="s">
        <v>36713</v>
      </c>
      <c r="F8279" t="s">
        <v>37261</v>
      </c>
      <c r="G8279" t="s">
        <v>27012</v>
      </c>
      <c r="H8279" t="s">
        <v>13586</v>
      </c>
      <c r="I8279" t="s">
        <v>37262</v>
      </c>
      <c r="J8279" t="s">
        <v>1144</v>
      </c>
      <c r="K8279" t="s">
        <v>2858</v>
      </c>
      <c r="L8279" t="s">
        <v>27014</v>
      </c>
      <c r="M8279" t="s">
        <v>2115</v>
      </c>
      <c r="N8279" t="s">
        <v>36716</v>
      </c>
      <c r="O8279" t="s">
        <v>37263</v>
      </c>
      <c r="P8279" t="s">
        <v>37264</v>
      </c>
      <c r="Q8279" t="s">
        <v>37265</v>
      </c>
      <c r="R8279">
        <v>25</v>
      </c>
      <c r="S8279">
        <v>32</v>
      </c>
    </row>
    <row r="8280" spans="1:19" x14ac:dyDescent="0.35">
      <c r="A8280">
        <v>1356</v>
      </c>
      <c r="B8280" t="s">
        <v>37266</v>
      </c>
      <c r="C8280" t="s">
        <v>42</v>
      </c>
      <c r="D8280" t="s">
        <v>37267</v>
      </c>
      <c r="E8280" t="e" cm="1">
        <f t="array" ref="E8280">- DIPHENHYDRAMINE HYDROCHLORIDE. BROMHEXINE HYDROCHLORIDE. PHENYLEPHRINE HYDROCHLORIDE. SODIUM CITRATE DIHYDRATE. AMMONIUM CHLORIDE. SUCCUS LIQUIRITIAE</f>
        <v>#NAME?</v>
      </c>
      <c r="F8280" t="s">
        <v>37268</v>
      </c>
      <c r="H8280" t="s">
        <v>37269</v>
      </c>
      <c r="I8280" t="s">
        <v>37270</v>
      </c>
      <c r="J8280" t="s">
        <v>1144</v>
      </c>
      <c r="K8280" t="s">
        <v>37271</v>
      </c>
      <c r="L8280" t="s">
        <v>37272</v>
      </c>
      <c r="M8280" t="s">
        <v>271</v>
      </c>
      <c r="N8280" t="s">
        <v>37273</v>
      </c>
      <c r="O8280" t="s">
        <v>37274</v>
      </c>
      <c r="P8280" t="s">
        <v>37275</v>
      </c>
      <c r="Q8280" t="s">
        <v>37276</v>
      </c>
      <c r="R8280">
        <v>25</v>
      </c>
      <c r="S8280">
        <v>32</v>
      </c>
    </row>
    <row r="8281" spans="1:19" x14ac:dyDescent="0.35">
      <c r="A8281">
        <v>1357</v>
      </c>
      <c r="B8281" t="s">
        <v>37266</v>
      </c>
      <c r="C8281" t="s">
        <v>42</v>
      </c>
      <c r="D8281" t="s">
        <v>37277</v>
      </c>
      <c r="E8281" t="e" cm="1">
        <f t="array" ref="E8281">- DIPHENHYDRAMINE HYDROCHLORIDE. BROMHEXINE HYDROCHLORIDE. PHENYLEPHRINE HYDROCHLORIDE. SODIUM CITRATE DIHYDRATE. AMMONIUM CHLORIDE. SUCCUS LIQUIRITIAE</f>
        <v>#NAME?</v>
      </c>
      <c r="F8281" t="s">
        <v>2439</v>
      </c>
      <c r="I8281" t="s">
        <v>37270</v>
      </c>
      <c r="J8281" t="s">
        <v>334</v>
      </c>
      <c r="K8281" t="s">
        <v>37278</v>
      </c>
      <c r="L8281" t="s">
        <v>37272</v>
      </c>
      <c r="M8281" t="s">
        <v>271</v>
      </c>
      <c r="N8281" t="s">
        <v>37273</v>
      </c>
      <c r="O8281" t="s">
        <v>37274</v>
      </c>
      <c r="P8281" t="s">
        <v>37275</v>
      </c>
      <c r="Q8281" t="s">
        <v>37276</v>
      </c>
      <c r="R8281">
        <v>25</v>
      </c>
      <c r="S8281">
        <v>32</v>
      </c>
    </row>
    <row r="8282" spans="1:19" x14ac:dyDescent="0.35">
      <c r="A8282">
        <v>6172</v>
      </c>
      <c r="B8282" t="s">
        <v>37279</v>
      </c>
      <c r="C8282" t="s">
        <v>42</v>
      </c>
      <c r="D8282" t="s">
        <v>37280</v>
      </c>
      <c r="E8282" t="e" cm="1">
        <f t="array" ref="E8282">- CEFPROZIL</f>
        <v>#NAME?</v>
      </c>
      <c r="F8282" s="1">
        <v>39700</v>
      </c>
      <c r="G8282" t="s">
        <v>1691</v>
      </c>
      <c r="H8282" t="s">
        <v>37281</v>
      </c>
      <c r="I8282" t="s">
        <v>37282</v>
      </c>
      <c r="J8282" t="s">
        <v>37283</v>
      </c>
      <c r="K8282" t="s">
        <v>37284</v>
      </c>
      <c r="L8282" t="s">
        <v>37285</v>
      </c>
      <c r="M8282" t="s">
        <v>291</v>
      </c>
      <c r="N8282" t="s">
        <v>37286</v>
      </c>
      <c r="O8282" t="s">
        <v>37287</v>
      </c>
      <c r="P8282" t="s">
        <v>37288</v>
      </c>
      <c r="Q8282" t="s">
        <v>37289</v>
      </c>
      <c r="R8282">
        <v>25</v>
      </c>
      <c r="S8282">
        <v>32</v>
      </c>
    </row>
    <row r="8283" spans="1:19" x14ac:dyDescent="0.35">
      <c r="A8283">
        <v>5701</v>
      </c>
      <c r="B8283" t="s">
        <v>37290</v>
      </c>
      <c r="C8283" t="s">
        <v>42</v>
      </c>
      <c r="D8283" t="s">
        <v>37291</v>
      </c>
      <c r="E8283" t="e" cm="1">
        <f t="array" ref="E8283">- CEFIXIME</f>
        <v>#NAME?</v>
      </c>
      <c r="F8283" t="s">
        <v>37292</v>
      </c>
      <c r="G8283" t="s">
        <v>37190</v>
      </c>
      <c r="H8283" t="s">
        <v>1019</v>
      </c>
      <c r="I8283" t="s">
        <v>37192</v>
      </c>
      <c r="J8283" t="s">
        <v>829</v>
      </c>
      <c r="K8283" t="s">
        <v>1020</v>
      </c>
      <c r="L8283" t="s">
        <v>1021</v>
      </c>
      <c r="M8283" t="s">
        <v>271</v>
      </c>
      <c r="N8283" t="s">
        <v>1022</v>
      </c>
      <c r="O8283" t="s">
        <v>37193</v>
      </c>
      <c r="P8283" t="s">
        <v>37293</v>
      </c>
      <c r="Q8283" t="s">
        <v>37294</v>
      </c>
      <c r="R8283">
        <v>25</v>
      </c>
      <c r="S8283">
        <v>32</v>
      </c>
    </row>
    <row r="8284" spans="1:19" x14ac:dyDescent="0.35">
      <c r="A8284">
        <v>7314</v>
      </c>
      <c r="B8284" t="s">
        <v>37295</v>
      </c>
      <c r="C8284" t="s">
        <v>42</v>
      </c>
      <c r="D8284" t="s">
        <v>37296</v>
      </c>
      <c r="E8284" t="e" cm="1">
        <f t="array" ref="E8284">- SOLIFENACIN SUCCINATE</f>
        <v>#NAME?</v>
      </c>
      <c r="F8284" t="s">
        <v>37297</v>
      </c>
      <c r="G8284" t="s">
        <v>60</v>
      </c>
      <c r="H8284" t="s">
        <v>37298</v>
      </c>
      <c r="I8284" t="s">
        <v>37299</v>
      </c>
      <c r="J8284" t="s">
        <v>2478</v>
      </c>
      <c r="K8284" t="s">
        <v>37300</v>
      </c>
      <c r="L8284" t="s">
        <v>37301</v>
      </c>
      <c r="M8284" t="s">
        <v>46</v>
      </c>
      <c r="N8284" t="s">
        <v>37302</v>
      </c>
      <c r="O8284" t="s">
        <v>37303</v>
      </c>
      <c r="P8284" t="s">
        <v>37304</v>
      </c>
      <c r="Q8284" t="s">
        <v>37305</v>
      </c>
      <c r="R8284">
        <v>25</v>
      </c>
      <c r="S8284">
        <v>32</v>
      </c>
    </row>
    <row r="8285" spans="1:19" x14ac:dyDescent="0.35">
      <c r="A8285">
        <v>5935</v>
      </c>
      <c r="B8285" t="s">
        <v>32038</v>
      </c>
      <c r="C8285" t="s">
        <v>42</v>
      </c>
      <c r="D8285" t="s">
        <v>32039</v>
      </c>
      <c r="E8285" t="e" cm="1">
        <f t="array" ref="E8285">- AMOXICILLIN TRIHYDRATE. POTASSIUM CLAVULANATE WITH SILICON DIOXIDE</f>
        <v>#NAME?</v>
      </c>
      <c r="F8285" t="s">
        <v>32040</v>
      </c>
      <c r="G8285" t="s">
        <v>32041</v>
      </c>
      <c r="H8285" t="s">
        <v>27917</v>
      </c>
      <c r="I8285" t="s">
        <v>32042</v>
      </c>
      <c r="J8285" t="s">
        <v>334</v>
      </c>
      <c r="K8285" t="s">
        <v>27919</v>
      </c>
      <c r="L8285" t="s">
        <v>28937</v>
      </c>
      <c r="M8285" t="s">
        <v>271</v>
      </c>
      <c r="N8285" t="s">
        <v>35338</v>
      </c>
      <c r="O8285" t="s">
        <v>32043</v>
      </c>
      <c r="P8285" t="s">
        <v>32044</v>
      </c>
      <c r="Q8285" t="s">
        <v>37306</v>
      </c>
      <c r="R8285">
        <v>25</v>
      </c>
      <c r="S8285">
        <v>32</v>
      </c>
    </row>
    <row r="8286" spans="1:19" x14ac:dyDescent="0.35">
      <c r="A8286">
        <v>6188</v>
      </c>
      <c r="B8286" t="s">
        <v>37307</v>
      </c>
      <c r="C8286" t="s">
        <v>42</v>
      </c>
      <c r="D8286" t="s">
        <v>37308</v>
      </c>
      <c r="E8286" t="e" cm="1">
        <f t="array" ref="E8286">- CIPROFLOXACIN</f>
        <v>#NAME?</v>
      </c>
      <c r="F8286" t="s">
        <v>37309</v>
      </c>
      <c r="G8286" t="s">
        <v>60</v>
      </c>
      <c r="H8286" t="s">
        <v>15170</v>
      </c>
      <c r="I8286" t="s">
        <v>37310</v>
      </c>
      <c r="J8286" t="s">
        <v>20350</v>
      </c>
      <c r="K8286" t="s">
        <v>37311</v>
      </c>
      <c r="L8286" t="s">
        <v>37312</v>
      </c>
      <c r="M8286" t="s">
        <v>291</v>
      </c>
      <c r="N8286" t="s">
        <v>1056</v>
      </c>
      <c r="O8286" t="s">
        <v>37313</v>
      </c>
      <c r="P8286" t="s">
        <v>37314</v>
      </c>
      <c r="Q8286" t="s">
        <v>37315</v>
      </c>
      <c r="R8286">
        <v>25</v>
      </c>
      <c r="S8286">
        <v>32</v>
      </c>
    </row>
    <row r="8287" spans="1:19" x14ac:dyDescent="0.35">
      <c r="A8287">
        <v>8379</v>
      </c>
      <c r="B8287" t="s">
        <v>551</v>
      </c>
      <c r="C8287" t="s">
        <v>42</v>
      </c>
      <c r="D8287" t="s">
        <v>37316</v>
      </c>
      <c r="E8287" t="e" cm="1">
        <f t="array" ref="E8287">- POVIDONE-IODINE</f>
        <v>#NAME?</v>
      </c>
      <c r="F8287" s="1">
        <v>119300</v>
      </c>
      <c r="H8287" t="s">
        <v>1322</v>
      </c>
      <c r="I8287" t="s">
        <v>37182</v>
      </c>
      <c r="J8287" t="s">
        <v>37183</v>
      </c>
      <c r="M8287" t="s">
        <v>554</v>
      </c>
      <c r="N8287" t="s">
        <v>555</v>
      </c>
      <c r="O8287" t="s">
        <v>37184</v>
      </c>
      <c r="P8287" t="s">
        <v>37317</v>
      </c>
      <c r="Q8287" t="s">
        <v>37318</v>
      </c>
      <c r="R8287">
        <v>25</v>
      </c>
      <c r="S8287">
        <v>32</v>
      </c>
    </row>
    <row r="8288" spans="1:19" x14ac:dyDescent="0.35">
      <c r="A8288">
        <v>7313</v>
      </c>
      <c r="B8288" t="s">
        <v>37295</v>
      </c>
      <c r="C8288" t="s">
        <v>42</v>
      </c>
      <c r="D8288" t="s">
        <v>37296</v>
      </c>
      <c r="E8288" t="e" cm="1">
        <f t="array" ref="E8288">- SOLIFENACIN SUCCINATE</f>
        <v>#NAME?</v>
      </c>
      <c r="F8288" t="s">
        <v>37297</v>
      </c>
      <c r="G8288" t="s">
        <v>60</v>
      </c>
      <c r="H8288" t="s">
        <v>37298</v>
      </c>
      <c r="I8288" t="s">
        <v>37299</v>
      </c>
      <c r="J8288" t="s">
        <v>2478</v>
      </c>
      <c r="K8288" t="s">
        <v>37300</v>
      </c>
      <c r="L8288" t="s">
        <v>37301</v>
      </c>
      <c r="M8288" t="s">
        <v>46</v>
      </c>
      <c r="N8288" t="s">
        <v>37302</v>
      </c>
      <c r="O8288" t="s">
        <v>37303</v>
      </c>
      <c r="P8288" t="s">
        <v>37304</v>
      </c>
      <c r="Q8288" t="s">
        <v>37305</v>
      </c>
      <c r="R8288">
        <v>25</v>
      </c>
      <c r="S8288">
        <v>32</v>
      </c>
    </row>
    <row r="8289" spans="1:19" x14ac:dyDescent="0.35">
      <c r="A8289">
        <v>6510</v>
      </c>
      <c r="B8289" t="s">
        <v>37319</v>
      </c>
      <c r="C8289" t="s">
        <v>42</v>
      </c>
      <c r="D8289" t="s">
        <v>37320</v>
      </c>
      <c r="E8289" t="e" cm="1">
        <f t="array" ref="E8289">- CHLORAMPHENICOL</f>
        <v>#NAME?</v>
      </c>
      <c r="F8289" t="s">
        <v>37321</v>
      </c>
      <c r="H8289" t="s">
        <v>37322</v>
      </c>
      <c r="I8289" t="s">
        <v>37323</v>
      </c>
      <c r="J8289" t="s">
        <v>334</v>
      </c>
      <c r="K8289" t="s">
        <v>37324</v>
      </c>
      <c r="L8289" t="s">
        <v>37325</v>
      </c>
      <c r="M8289" t="s">
        <v>340</v>
      </c>
      <c r="N8289" t="s">
        <v>1188</v>
      </c>
      <c r="O8289" t="s">
        <v>37326</v>
      </c>
      <c r="P8289" t="s">
        <v>37327</v>
      </c>
      <c r="Q8289" t="s">
        <v>37328</v>
      </c>
      <c r="R8289">
        <v>25</v>
      </c>
      <c r="S8289">
        <v>32</v>
      </c>
    </row>
    <row r="8290" spans="1:19" x14ac:dyDescent="0.35">
      <c r="A8290">
        <v>7260</v>
      </c>
      <c r="B8290" t="s">
        <v>37329</v>
      </c>
      <c r="C8290" t="s">
        <v>20</v>
      </c>
      <c r="D8290" t="s">
        <v>37330</v>
      </c>
      <c r="E8290" t="s">
        <v>37331</v>
      </c>
      <c r="F8290" t="s">
        <v>37332</v>
      </c>
      <c r="G8290" t="s">
        <v>60</v>
      </c>
      <c r="H8290" t="s">
        <v>37333</v>
      </c>
      <c r="I8290" t="s">
        <v>37334</v>
      </c>
      <c r="J8290" t="s">
        <v>16528</v>
      </c>
      <c r="M8290" t="s">
        <v>38</v>
      </c>
      <c r="N8290" t="s">
        <v>37335</v>
      </c>
      <c r="O8290" t="s">
        <v>37336</v>
      </c>
      <c r="P8290" t="s">
        <v>37337</v>
      </c>
      <c r="Q8290" t="s">
        <v>37338</v>
      </c>
      <c r="R8290">
        <v>25</v>
      </c>
      <c r="S8290">
        <v>32</v>
      </c>
    </row>
    <row r="8291" spans="1:19" x14ac:dyDescent="0.35">
      <c r="A8291">
        <v>3084</v>
      </c>
      <c r="B8291" t="s">
        <v>37339</v>
      </c>
      <c r="C8291" t="s">
        <v>42</v>
      </c>
      <c r="D8291" t="s">
        <v>37340</v>
      </c>
      <c r="E8291" t="e" cm="1">
        <f t="array" ref="E8291">- DRIED ALUMINIUM HYDROXIDE GEL</f>
        <v>#NAME?</v>
      </c>
      <c r="F8291" t="s">
        <v>37341</v>
      </c>
      <c r="G8291" t="s">
        <v>37342</v>
      </c>
      <c r="H8291" t="s">
        <v>37343</v>
      </c>
      <c r="I8291" t="s">
        <v>37344</v>
      </c>
      <c r="J8291" t="s">
        <v>2446</v>
      </c>
      <c r="K8291" t="s">
        <v>37345</v>
      </c>
      <c r="L8291" t="s">
        <v>37346</v>
      </c>
      <c r="M8291" t="s">
        <v>46</v>
      </c>
      <c r="N8291" t="s">
        <v>4172</v>
      </c>
      <c r="O8291" t="s">
        <v>37347</v>
      </c>
      <c r="P8291" t="s">
        <v>37348</v>
      </c>
      <c r="Q8291" t="s">
        <v>37349</v>
      </c>
      <c r="R8291">
        <v>25</v>
      </c>
      <c r="S8291">
        <v>32</v>
      </c>
    </row>
    <row r="8292" spans="1:19" x14ac:dyDescent="0.35">
      <c r="A8292">
        <v>651</v>
      </c>
      <c r="B8292" t="s">
        <v>36711</v>
      </c>
      <c r="C8292" t="s">
        <v>20</v>
      </c>
      <c r="D8292" t="s">
        <v>37350</v>
      </c>
      <c r="E8292" t="s">
        <v>36713</v>
      </c>
      <c r="F8292" t="s">
        <v>37351</v>
      </c>
      <c r="G8292" t="s">
        <v>27012</v>
      </c>
      <c r="H8292" t="s">
        <v>13586</v>
      </c>
      <c r="I8292" t="s">
        <v>37262</v>
      </c>
      <c r="J8292" t="s">
        <v>829</v>
      </c>
      <c r="K8292" t="s">
        <v>2726</v>
      </c>
      <c r="L8292" t="s">
        <v>27014</v>
      </c>
      <c r="M8292" t="s">
        <v>2115</v>
      </c>
      <c r="N8292" t="s">
        <v>36716</v>
      </c>
      <c r="O8292" t="s">
        <v>37263</v>
      </c>
      <c r="P8292" t="s">
        <v>37264</v>
      </c>
      <c r="Q8292" t="s">
        <v>37265</v>
      </c>
      <c r="R8292">
        <v>25</v>
      </c>
      <c r="S8292">
        <v>32</v>
      </c>
    </row>
    <row r="8293" spans="1:19" x14ac:dyDescent="0.35">
      <c r="A8293">
        <v>5687</v>
      </c>
      <c r="B8293" t="s">
        <v>37352</v>
      </c>
      <c r="C8293" t="s">
        <v>42</v>
      </c>
      <c r="D8293" t="s">
        <v>37353</v>
      </c>
      <c r="E8293" t="e" cm="1">
        <f t="array" ref="E8293">- AMOXICILLIN TRIHYDRATE</f>
        <v>#NAME?</v>
      </c>
      <c r="F8293" t="s">
        <v>37354</v>
      </c>
      <c r="G8293" t="s">
        <v>6135</v>
      </c>
      <c r="H8293" t="s">
        <v>35919</v>
      </c>
      <c r="I8293" t="s">
        <v>35977</v>
      </c>
      <c r="J8293" t="s">
        <v>334</v>
      </c>
      <c r="K8293" t="s">
        <v>35921</v>
      </c>
      <c r="L8293" t="s">
        <v>35922</v>
      </c>
      <c r="M8293" t="s">
        <v>271</v>
      </c>
      <c r="N8293" t="s">
        <v>1523</v>
      </c>
      <c r="O8293" t="s">
        <v>35923</v>
      </c>
      <c r="P8293" t="s">
        <v>37355</v>
      </c>
      <c r="Q8293" t="s">
        <v>37356</v>
      </c>
      <c r="R8293">
        <v>25</v>
      </c>
      <c r="S8293">
        <v>32</v>
      </c>
    </row>
    <row r="8294" spans="1:19" x14ac:dyDescent="0.35">
      <c r="A8294">
        <v>8377</v>
      </c>
      <c r="B8294" t="s">
        <v>551</v>
      </c>
      <c r="C8294" t="s">
        <v>42</v>
      </c>
      <c r="D8294" t="s">
        <v>37257</v>
      </c>
      <c r="E8294" t="e" cm="1">
        <f t="array" ref="E8294">- POVIDONE-IODINE</f>
        <v>#NAME?</v>
      </c>
      <c r="F8294" s="1">
        <v>119300</v>
      </c>
      <c r="H8294" t="s">
        <v>1322</v>
      </c>
      <c r="I8294" t="s">
        <v>37182</v>
      </c>
      <c r="J8294" t="s">
        <v>37183</v>
      </c>
      <c r="M8294" t="s">
        <v>554</v>
      </c>
      <c r="N8294" t="s">
        <v>555</v>
      </c>
      <c r="O8294" t="s">
        <v>37184</v>
      </c>
      <c r="P8294" t="s">
        <v>37258</v>
      </c>
      <c r="Q8294" t="s">
        <v>37259</v>
      </c>
      <c r="R8294">
        <v>25</v>
      </c>
      <c r="S8294">
        <v>32</v>
      </c>
    </row>
    <row r="8295" spans="1:19" x14ac:dyDescent="0.35">
      <c r="A8295">
        <v>8378</v>
      </c>
      <c r="B8295" t="s">
        <v>551</v>
      </c>
      <c r="C8295" t="s">
        <v>42</v>
      </c>
      <c r="D8295" t="s">
        <v>37316</v>
      </c>
      <c r="E8295" t="e" cm="1">
        <f t="array" ref="E8295">- POVIDONE-IODINE</f>
        <v>#NAME?</v>
      </c>
      <c r="F8295" s="1">
        <v>119300</v>
      </c>
      <c r="H8295" t="s">
        <v>1322</v>
      </c>
      <c r="I8295" t="s">
        <v>37182</v>
      </c>
      <c r="J8295" t="s">
        <v>37183</v>
      </c>
      <c r="M8295" t="s">
        <v>554</v>
      </c>
      <c r="N8295" t="s">
        <v>555</v>
      </c>
      <c r="O8295" t="s">
        <v>37184</v>
      </c>
      <c r="P8295" t="s">
        <v>37317</v>
      </c>
      <c r="Q8295" t="s">
        <v>37318</v>
      </c>
      <c r="R8295">
        <v>25</v>
      </c>
      <c r="S8295">
        <v>32</v>
      </c>
    </row>
    <row r="8296" spans="1:19" x14ac:dyDescent="0.35">
      <c r="A8296">
        <v>1591</v>
      </c>
      <c r="B8296" t="s">
        <v>37357</v>
      </c>
      <c r="C8296" t="s">
        <v>42</v>
      </c>
      <c r="D8296" t="s">
        <v>37358</v>
      </c>
      <c r="E8296" t="e" cm="1">
        <f t="array" ref="E8296">- PARACETAMOL. GUAIFENESIN. AMMONIUM CHLORIDE. CHLORPHENAMINE MALEATE. PSEUDOEPHEDRINE HYDROCHLORIDE</f>
        <v>#NAME?</v>
      </c>
      <c r="F8296" t="s">
        <v>37359</v>
      </c>
      <c r="G8296" t="s">
        <v>4482</v>
      </c>
      <c r="H8296" t="s">
        <v>37360</v>
      </c>
      <c r="I8296" t="s">
        <v>37361</v>
      </c>
      <c r="J8296" t="s">
        <v>334</v>
      </c>
      <c r="L8296" t="s">
        <v>4437</v>
      </c>
      <c r="M8296" t="s">
        <v>271</v>
      </c>
      <c r="N8296" t="s">
        <v>37362</v>
      </c>
      <c r="O8296" t="s">
        <v>37363</v>
      </c>
      <c r="P8296" t="s">
        <v>37364</v>
      </c>
      <c r="Q8296" t="s">
        <v>37365</v>
      </c>
      <c r="R8296">
        <v>25</v>
      </c>
      <c r="S8296">
        <v>32</v>
      </c>
    </row>
    <row r="8297" spans="1:19" x14ac:dyDescent="0.35">
      <c r="A8297">
        <v>5686</v>
      </c>
      <c r="B8297" t="s">
        <v>37352</v>
      </c>
      <c r="C8297" t="s">
        <v>42</v>
      </c>
      <c r="D8297" t="s">
        <v>37353</v>
      </c>
      <c r="E8297" t="e" cm="1">
        <f t="array" ref="E8297">- AMOXICILLIN TRIHYDRATE</f>
        <v>#NAME?</v>
      </c>
      <c r="F8297" t="s">
        <v>37354</v>
      </c>
      <c r="G8297" t="s">
        <v>6135</v>
      </c>
      <c r="H8297" t="s">
        <v>35919</v>
      </c>
      <c r="I8297" t="s">
        <v>35977</v>
      </c>
      <c r="J8297" t="s">
        <v>334</v>
      </c>
      <c r="K8297" t="s">
        <v>35921</v>
      </c>
      <c r="L8297" t="s">
        <v>35922</v>
      </c>
      <c r="M8297" t="s">
        <v>271</v>
      </c>
      <c r="N8297" t="s">
        <v>1523</v>
      </c>
      <c r="O8297" t="s">
        <v>35923</v>
      </c>
      <c r="P8297" t="s">
        <v>37355</v>
      </c>
      <c r="Q8297" t="s">
        <v>37356</v>
      </c>
      <c r="R8297">
        <v>25</v>
      </c>
      <c r="S8297">
        <v>32</v>
      </c>
    </row>
    <row r="8298" spans="1:19" x14ac:dyDescent="0.35">
      <c r="A8298">
        <v>3236</v>
      </c>
      <c r="B8298" t="s">
        <v>34575</v>
      </c>
      <c r="C8298" t="s">
        <v>42</v>
      </c>
      <c r="D8298" t="s">
        <v>34576</v>
      </c>
      <c r="E8298" t="e" cm="1">
        <f t="array" ref="E8298">- MAGNESIUM HYDROXIDE. DRIED ALUMINIUM HYDROXIDE GEL. SIMETHICONE</f>
        <v>#NAME?</v>
      </c>
      <c r="F8298" s="1">
        <v>5800</v>
      </c>
      <c r="G8298" t="s">
        <v>34577</v>
      </c>
      <c r="H8298" t="s">
        <v>34578</v>
      </c>
      <c r="I8298" t="s">
        <v>34560</v>
      </c>
      <c r="J8298" t="s">
        <v>5221</v>
      </c>
      <c r="K8298" t="s">
        <v>34579</v>
      </c>
      <c r="L8298" t="s">
        <v>34561</v>
      </c>
      <c r="M8298" t="s">
        <v>46</v>
      </c>
      <c r="N8298" t="s">
        <v>10805</v>
      </c>
      <c r="O8298" t="s">
        <v>34562</v>
      </c>
      <c r="P8298" t="s">
        <v>34580</v>
      </c>
      <c r="Q8298" t="s">
        <v>37366</v>
      </c>
      <c r="R8298">
        <v>25</v>
      </c>
      <c r="S8298">
        <v>32</v>
      </c>
    </row>
    <row r="8299" spans="1:19" x14ac:dyDescent="0.35">
      <c r="A8299">
        <v>7149</v>
      </c>
      <c r="B8299" t="s">
        <v>34114</v>
      </c>
      <c r="C8299" t="s">
        <v>850</v>
      </c>
      <c r="D8299" t="s">
        <v>37367</v>
      </c>
      <c r="E8299" t="e" cm="1">
        <f t="array" ref="E8299">- Capsicum extraxt</f>
        <v>#NAME?</v>
      </c>
      <c r="F8299" t="s">
        <v>37368</v>
      </c>
      <c r="H8299" t="s">
        <v>18299</v>
      </c>
      <c r="I8299" t="s">
        <v>37369</v>
      </c>
      <c r="J8299" t="s">
        <v>33983</v>
      </c>
      <c r="L8299" t="s">
        <v>37370</v>
      </c>
      <c r="M8299" t="s">
        <v>1289</v>
      </c>
      <c r="N8299" t="s">
        <v>34121</v>
      </c>
      <c r="O8299" t="s">
        <v>35772</v>
      </c>
      <c r="P8299" t="s">
        <v>34123</v>
      </c>
      <c r="Q8299" t="s">
        <v>37371</v>
      </c>
      <c r="R8299">
        <v>25</v>
      </c>
      <c r="S8299">
        <v>32</v>
      </c>
    </row>
    <row r="8300" spans="1:19" x14ac:dyDescent="0.35">
      <c r="A8300">
        <v>7675</v>
      </c>
      <c r="B8300" t="s">
        <v>37372</v>
      </c>
      <c r="C8300" t="s">
        <v>20</v>
      </c>
      <c r="D8300" t="s">
        <v>37373</v>
      </c>
      <c r="E8300" t="s">
        <v>37374</v>
      </c>
      <c r="F8300" s="1">
        <v>7800</v>
      </c>
      <c r="G8300" t="s">
        <v>37375</v>
      </c>
      <c r="H8300" t="s">
        <v>35617</v>
      </c>
      <c r="I8300" t="s">
        <v>32576</v>
      </c>
      <c r="J8300" t="s">
        <v>31731</v>
      </c>
      <c r="M8300" t="s">
        <v>554</v>
      </c>
      <c r="N8300" t="s">
        <v>37376</v>
      </c>
      <c r="O8300" t="s">
        <v>32578</v>
      </c>
      <c r="P8300" t="s">
        <v>37377</v>
      </c>
      <c r="Q8300" t="s">
        <v>37378</v>
      </c>
      <c r="R8300">
        <v>25</v>
      </c>
      <c r="S8300">
        <v>32</v>
      </c>
    </row>
    <row r="8301" spans="1:19" x14ac:dyDescent="0.35">
      <c r="A8301">
        <v>8669</v>
      </c>
      <c r="B8301" t="s">
        <v>37379</v>
      </c>
      <c r="C8301" t="s">
        <v>42</v>
      </c>
      <c r="D8301" t="s">
        <v>37380</v>
      </c>
      <c r="E8301" t="e" cm="1">
        <f t="array" ref="E8301">- GLICLAZIDE</f>
        <v>#NAME?</v>
      </c>
      <c r="F8301" t="s">
        <v>37381</v>
      </c>
      <c r="G8301" t="s">
        <v>37382</v>
      </c>
      <c r="H8301" t="s">
        <v>37383</v>
      </c>
      <c r="I8301" t="s">
        <v>37384</v>
      </c>
      <c r="J8301" t="s">
        <v>754</v>
      </c>
      <c r="K8301" t="s">
        <v>37385</v>
      </c>
      <c r="L8301" t="s">
        <v>37386</v>
      </c>
      <c r="M8301" t="s">
        <v>46</v>
      </c>
      <c r="N8301" t="s">
        <v>1268</v>
      </c>
      <c r="O8301" t="s">
        <v>37387</v>
      </c>
      <c r="P8301" t="s">
        <v>1268</v>
      </c>
      <c r="Q8301" t="s">
        <v>37388</v>
      </c>
      <c r="R8301">
        <v>25</v>
      </c>
      <c r="S8301">
        <v>32</v>
      </c>
    </row>
    <row r="8302" spans="1:19" x14ac:dyDescent="0.35">
      <c r="A8302">
        <v>8670</v>
      </c>
      <c r="B8302" t="s">
        <v>37379</v>
      </c>
      <c r="C8302" t="s">
        <v>42</v>
      </c>
      <c r="D8302" t="s">
        <v>37380</v>
      </c>
      <c r="E8302" t="e" cm="1">
        <f t="array" ref="E8302">- GLICLAZIDE</f>
        <v>#NAME?</v>
      </c>
      <c r="F8302" t="s">
        <v>37381</v>
      </c>
      <c r="G8302" t="s">
        <v>37382</v>
      </c>
      <c r="H8302" t="s">
        <v>37383</v>
      </c>
      <c r="I8302" t="s">
        <v>37384</v>
      </c>
      <c r="J8302" t="s">
        <v>754</v>
      </c>
      <c r="K8302" t="s">
        <v>37385</v>
      </c>
      <c r="L8302" t="s">
        <v>37386</v>
      </c>
      <c r="M8302" t="s">
        <v>46</v>
      </c>
      <c r="N8302" t="s">
        <v>1268</v>
      </c>
      <c r="O8302" t="s">
        <v>37387</v>
      </c>
      <c r="P8302" t="s">
        <v>1268</v>
      </c>
      <c r="Q8302" t="s">
        <v>37388</v>
      </c>
      <c r="R8302">
        <v>25</v>
      </c>
      <c r="S8302">
        <v>32</v>
      </c>
    </row>
    <row r="8303" spans="1:19" x14ac:dyDescent="0.35">
      <c r="A8303">
        <v>8671</v>
      </c>
      <c r="B8303" t="s">
        <v>37379</v>
      </c>
      <c r="C8303" t="s">
        <v>42</v>
      </c>
      <c r="D8303" t="s">
        <v>37380</v>
      </c>
      <c r="E8303" t="e" cm="1">
        <f t="array" ref="E8303">- GLICLAZIDE</f>
        <v>#NAME?</v>
      </c>
      <c r="F8303" t="s">
        <v>37381</v>
      </c>
      <c r="G8303" t="s">
        <v>37382</v>
      </c>
      <c r="H8303" t="s">
        <v>37383</v>
      </c>
      <c r="I8303" t="s">
        <v>37384</v>
      </c>
      <c r="J8303" t="s">
        <v>754</v>
      </c>
      <c r="K8303" t="s">
        <v>37385</v>
      </c>
      <c r="L8303" t="s">
        <v>37386</v>
      </c>
      <c r="M8303" t="s">
        <v>46</v>
      </c>
      <c r="N8303" t="s">
        <v>1268</v>
      </c>
      <c r="O8303" t="s">
        <v>37387</v>
      </c>
      <c r="P8303" t="s">
        <v>1268</v>
      </c>
      <c r="Q8303" t="s">
        <v>37388</v>
      </c>
      <c r="R8303">
        <v>25</v>
      </c>
      <c r="S8303">
        <v>32</v>
      </c>
    </row>
    <row r="8304" spans="1:19" x14ac:dyDescent="0.35">
      <c r="A8304">
        <v>858</v>
      </c>
      <c r="B8304" t="s">
        <v>37389</v>
      </c>
      <c r="C8304" t="s">
        <v>42</v>
      </c>
      <c r="D8304" t="s">
        <v>37390</v>
      </c>
      <c r="E8304" t="e" cm="1">
        <f t="array" ref="E8304">- PSEUDOEPHEDRINE HYDROCHLORIDE. NOSCAPINE. CHLORPHENAMINE MALEATE. GUAIFENESIN. SUCCUS LIQUIRITIAE. PARACETAMOL</f>
        <v>#NAME?</v>
      </c>
      <c r="F8304" t="s">
        <v>37391</v>
      </c>
      <c r="G8304" t="s">
        <v>2453</v>
      </c>
      <c r="H8304" t="s">
        <v>37392</v>
      </c>
      <c r="I8304" t="s">
        <v>29641</v>
      </c>
      <c r="J8304" t="s">
        <v>334</v>
      </c>
      <c r="K8304" t="s">
        <v>37393</v>
      </c>
      <c r="L8304" t="s">
        <v>37394</v>
      </c>
      <c r="M8304" t="s">
        <v>271</v>
      </c>
      <c r="N8304" t="s">
        <v>37395</v>
      </c>
      <c r="O8304" t="s">
        <v>29642</v>
      </c>
      <c r="P8304" t="s">
        <v>29011</v>
      </c>
      <c r="Q8304" t="s">
        <v>37396</v>
      </c>
      <c r="R8304">
        <v>25</v>
      </c>
      <c r="S8304">
        <v>32</v>
      </c>
    </row>
    <row r="8305" spans="1:19" x14ac:dyDescent="0.35">
      <c r="A8305">
        <v>7241</v>
      </c>
      <c r="B8305" t="s">
        <v>34097</v>
      </c>
      <c r="C8305" t="s">
        <v>850</v>
      </c>
      <c r="D8305" t="s">
        <v>37397</v>
      </c>
      <c r="E8305" t="e" cm="1">
        <f t="array" ref="E8305">- Camphora</f>
        <v>#NAME?</v>
      </c>
      <c r="F8305" t="s">
        <v>37398</v>
      </c>
      <c r="G8305" t="s">
        <v>37399</v>
      </c>
      <c r="H8305" t="s">
        <v>1322</v>
      </c>
      <c r="I8305" t="s">
        <v>37400</v>
      </c>
      <c r="J8305" t="s">
        <v>37401</v>
      </c>
      <c r="M8305" t="s">
        <v>1289</v>
      </c>
      <c r="N8305" t="s">
        <v>3633</v>
      </c>
      <c r="O8305" t="s">
        <v>37402</v>
      </c>
      <c r="P8305" t="s">
        <v>34104</v>
      </c>
      <c r="Q8305" t="s">
        <v>37403</v>
      </c>
      <c r="R8305">
        <v>25</v>
      </c>
      <c r="S8305">
        <v>32</v>
      </c>
    </row>
    <row r="8306" spans="1:19" x14ac:dyDescent="0.35">
      <c r="A8306">
        <v>5610</v>
      </c>
      <c r="B8306" t="s">
        <v>37404</v>
      </c>
      <c r="C8306" t="s">
        <v>42</v>
      </c>
      <c r="D8306" t="s">
        <v>37405</v>
      </c>
      <c r="E8306" t="e" cm="1">
        <f t="array" ref="E8306">- CIPROFLOXACIN HYDROCHLORIDE</f>
        <v>#NAME?</v>
      </c>
      <c r="F8306" t="s">
        <v>37406</v>
      </c>
      <c r="G8306" t="s">
        <v>4420</v>
      </c>
      <c r="H8306" t="s">
        <v>1055</v>
      </c>
      <c r="I8306" t="s">
        <v>37407</v>
      </c>
      <c r="J8306" t="s">
        <v>5085</v>
      </c>
      <c r="K8306" t="s">
        <v>37408</v>
      </c>
      <c r="L8306" t="s">
        <v>37409</v>
      </c>
      <c r="M8306" t="s">
        <v>46</v>
      </c>
      <c r="N8306" t="s">
        <v>1624</v>
      </c>
      <c r="O8306" t="s">
        <v>37410</v>
      </c>
      <c r="P8306" t="s">
        <v>1056</v>
      </c>
      <c r="Q8306" t="s">
        <v>37411</v>
      </c>
      <c r="R8306">
        <v>25</v>
      </c>
      <c r="S8306">
        <v>32</v>
      </c>
    </row>
    <row r="8307" spans="1:19" x14ac:dyDescent="0.35">
      <c r="A8307">
        <v>7240</v>
      </c>
      <c r="B8307" t="s">
        <v>34097</v>
      </c>
      <c r="C8307" t="s">
        <v>850</v>
      </c>
      <c r="D8307" t="s">
        <v>37397</v>
      </c>
      <c r="E8307" t="e" cm="1">
        <f t="array" ref="E8307">- Camphora</f>
        <v>#NAME?</v>
      </c>
      <c r="F8307" t="s">
        <v>37398</v>
      </c>
      <c r="G8307" t="s">
        <v>37399</v>
      </c>
      <c r="H8307" t="s">
        <v>1322</v>
      </c>
      <c r="I8307" t="s">
        <v>37400</v>
      </c>
      <c r="J8307" t="s">
        <v>37401</v>
      </c>
      <c r="M8307" t="s">
        <v>1289</v>
      </c>
      <c r="N8307" t="s">
        <v>3633</v>
      </c>
      <c r="O8307" t="s">
        <v>37402</v>
      </c>
      <c r="P8307" t="s">
        <v>34104</v>
      </c>
      <c r="Q8307" t="s">
        <v>37403</v>
      </c>
      <c r="R8307">
        <v>25</v>
      </c>
      <c r="S8307">
        <v>32</v>
      </c>
    </row>
    <row r="8308" spans="1:19" x14ac:dyDescent="0.35">
      <c r="A8308">
        <v>655</v>
      </c>
      <c r="B8308" t="s">
        <v>36711</v>
      </c>
      <c r="C8308" t="s">
        <v>20</v>
      </c>
      <c r="D8308" t="s">
        <v>37412</v>
      </c>
      <c r="E8308" t="s">
        <v>36713</v>
      </c>
      <c r="F8308" t="s">
        <v>5057</v>
      </c>
      <c r="G8308" t="s">
        <v>27012</v>
      </c>
      <c r="H8308" t="s">
        <v>13586</v>
      </c>
      <c r="I8308" t="s">
        <v>37262</v>
      </c>
      <c r="J8308" t="s">
        <v>743</v>
      </c>
      <c r="K8308" t="s">
        <v>2858</v>
      </c>
      <c r="L8308" t="s">
        <v>37413</v>
      </c>
      <c r="M8308" t="s">
        <v>2115</v>
      </c>
      <c r="N8308" t="s">
        <v>36716</v>
      </c>
      <c r="O8308" t="s">
        <v>37263</v>
      </c>
      <c r="P8308" t="s">
        <v>37264</v>
      </c>
      <c r="Q8308" t="s">
        <v>37265</v>
      </c>
      <c r="R8308">
        <v>25</v>
      </c>
      <c r="S8308">
        <v>32</v>
      </c>
    </row>
    <row r="8309" spans="1:19" x14ac:dyDescent="0.35">
      <c r="A8309">
        <v>218</v>
      </c>
      <c r="B8309" t="s">
        <v>2902</v>
      </c>
      <c r="C8309" t="s">
        <v>42</v>
      </c>
      <c r="D8309" t="s">
        <v>37414</v>
      </c>
      <c r="E8309" t="e" cm="1">
        <f t="array" ref="E8309">- SILDENAFIL CITRATE</f>
        <v>#NAME?</v>
      </c>
      <c r="F8309" t="s">
        <v>37415</v>
      </c>
      <c r="I8309" t="s">
        <v>37416</v>
      </c>
      <c r="J8309" t="s">
        <v>8147</v>
      </c>
      <c r="M8309" t="s">
        <v>46</v>
      </c>
      <c r="N8309" t="s">
        <v>2519</v>
      </c>
      <c r="O8309" t="s">
        <v>37417</v>
      </c>
      <c r="P8309" t="s">
        <v>37418</v>
      </c>
      <c r="Q8309" t="s">
        <v>37419</v>
      </c>
      <c r="R8309">
        <v>25</v>
      </c>
      <c r="S8309">
        <v>32</v>
      </c>
    </row>
    <row r="8310" spans="1:19" x14ac:dyDescent="0.35">
      <c r="A8310">
        <v>3141</v>
      </c>
      <c r="B8310" t="s">
        <v>37420</v>
      </c>
      <c r="C8310" t="s">
        <v>42</v>
      </c>
      <c r="D8310" t="s">
        <v>37421</v>
      </c>
      <c r="E8310" t="e" cm="1">
        <f t="array" ref="E8310">- CIMETIDINE</f>
        <v>#NAME?</v>
      </c>
      <c r="F8310" t="s">
        <v>37422</v>
      </c>
      <c r="G8310" t="s">
        <v>37423</v>
      </c>
      <c r="H8310" t="s">
        <v>37424</v>
      </c>
      <c r="I8310" t="s">
        <v>37425</v>
      </c>
      <c r="J8310" t="s">
        <v>13387</v>
      </c>
      <c r="K8310" t="s">
        <v>2726</v>
      </c>
      <c r="L8310" t="s">
        <v>37426</v>
      </c>
      <c r="M8310" t="s">
        <v>46</v>
      </c>
      <c r="N8310" t="s">
        <v>396</v>
      </c>
      <c r="O8310" t="s">
        <v>37427</v>
      </c>
      <c r="P8310" t="s">
        <v>396</v>
      </c>
      <c r="Q8310" t="s">
        <v>37428</v>
      </c>
      <c r="R8310">
        <v>25</v>
      </c>
      <c r="S8310">
        <v>32</v>
      </c>
    </row>
    <row r="8311" spans="1:19" x14ac:dyDescent="0.35">
      <c r="A8311">
        <v>2302</v>
      </c>
      <c r="B8311" t="s">
        <v>30510</v>
      </c>
      <c r="C8311" t="s">
        <v>42</v>
      </c>
      <c r="D8311" t="s">
        <v>30511</v>
      </c>
      <c r="E8311" t="e" cm="1">
        <f t="array" ref="E8311">- METAMIZOLE SODIUM. THIAMINE MONONITRATE. PYRIDOXINE HYDROCHLORIDE. CYANOCOBALAMIN. CAFFEINE</f>
        <v>#NAME?</v>
      </c>
      <c r="F8311" t="s">
        <v>30512</v>
      </c>
      <c r="G8311" t="s">
        <v>2241</v>
      </c>
      <c r="H8311" t="s">
        <v>30513</v>
      </c>
      <c r="I8311" t="s">
        <v>30514</v>
      </c>
      <c r="J8311" t="s">
        <v>1578</v>
      </c>
      <c r="K8311" t="s">
        <v>30515</v>
      </c>
      <c r="L8311" t="s">
        <v>30516</v>
      </c>
    </row>
    <row r="8312" spans="1:19" x14ac:dyDescent="0.35">
      <c r="A8312">
        <v>5639</v>
      </c>
      <c r="B8312" t="s">
        <v>37010</v>
      </c>
      <c r="C8312" t="s">
        <v>42</v>
      </c>
      <c r="D8312" t="s">
        <v>37011</v>
      </c>
      <c r="E8312" t="e" cm="1">
        <f t="array" ref="E8312">- AMOXICILLIN TRIHYDRATE</f>
        <v>#NAME?</v>
      </c>
      <c r="F8312" t="s">
        <v>37012</v>
      </c>
      <c r="G8312" t="s">
        <v>35975</v>
      </c>
      <c r="H8312" t="s">
        <v>35919</v>
      </c>
      <c r="I8312" t="s">
        <v>35920</v>
      </c>
      <c r="J8312" t="s">
        <v>334</v>
      </c>
      <c r="K8312" t="s">
        <v>35921</v>
      </c>
      <c r="L8312" t="s">
        <v>35922</v>
      </c>
      <c r="M8312" t="s">
        <v>271</v>
      </c>
      <c r="N8312" t="s">
        <v>1523</v>
      </c>
      <c r="O8312" t="s">
        <v>35923</v>
      </c>
      <c r="P8312" t="s">
        <v>37013</v>
      </c>
      <c r="Q8312" t="s">
        <v>37429</v>
      </c>
      <c r="R8312">
        <v>25</v>
      </c>
      <c r="S8312">
        <v>32</v>
      </c>
    </row>
    <row r="8313" spans="1:19" x14ac:dyDescent="0.35">
      <c r="A8313">
        <v>3203</v>
      </c>
      <c r="B8313" t="s">
        <v>37430</v>
      </c>
      <c r="C8313" t="s">
        <v>42</v>
      </c>
      <c r="D8313" t="s">
        <v>37431</v>
      </c>
      <c r="E8313" t="e" cm="1">
        <f t="array" ref="E8313">- ESOMEPRAZOLE MAGNESIUM</f>
        <v>#NAME?</v>
      </c>
      <c r="F8313" t="s">
        <v>37432</v>
      </c>
      <c r="I8313" t="s">
        <v>37433</v>
      </c>
      <c r="J8313" t="s">
        <v>37434</v>
      </c>
      <c r="M8313" t="s">
        <v>46</v>
      </c>
      <c r="N8313" t="s">
        <v>1978</v>
      </c>
      <c r="O8313" t="s">
        <v>37435</v>
      </c>
      <c r="P8313" t="s">
        <v>37436</v>
      </c>
      <c r="Q8313" t="s">
        <v>37437</v>
      </c>
      <c r="R8313">
        <v>25</v>
      </c>
      <c r="S8313">
        <v>32</v>
      </c>
    </row>
    <row r="8314" spans="1:19" x14ac:dyDescent="0.35">
      <c r="A8314">
        <v>5375</v>
      </c>
      <c r="B8314" t="s">
        <v>36299</v>
      </c>
      <c r="C8314" t="s">
        <v>42</v>
      </c>
      <c r="D8314" t="s">
        <v>36300</v>
      </c>
      <c r="E8314" t="e" cm="1">
        <f t="array" ref="E8314">- PLACENTA EXTRACT. NEOMYCIN SULFATE</f>
        <v>#NAME?</v>
      </c>
      <c r="F8314" t="s">
        <v>36301</v>
      </c>
      <c r="G8314" t="s">
        <v>15873</v>
      </c>
      <c r="H8314" t="s">
        <v>36302</v>
      </c>
      <c r="I8314" t="s">
        <v>36303</v>
      </c>
      <c r="J8314" t="s">
        <v>5386</v>
      </c>
      <c r="K8314" t="s">
        <v>2858</v>
      </c>
      <c r="L8314" t="s">
        <v>36304</v>
      </c>
      <c r="M8314" t="s">
        <v>87</v>
      </c>
      <c r="N8314" t="s">
        <v>22252</v>
      </c>
      <c r="O8314" t="s">
        <v>36305</v>
      </c>
      <c r="P8314" t="s">
        <v>36306</v>
      </c>
      <c r="Q8314" t="s">
        <v>37438</v>
      </c>
      <c r="R8314">
        <v>25</v>
      </c>
      <c r="S8314">
        <v>32</v>
      </c>
    </row>
    <row r="8315" spans="1:19" x14ac:dyDescent="0.35">
      <c r="A8315">
        <v>653</v>
      </c>
      <c r="B8315" t="s">
        <v>36711</v>
      </c>
      <c r="C8315" t="s">
        <v>20</v>
      </c>
      <c r="D8315" t="s">
        <v>37439</v>
      </c>
      <c r="E8315" t="s">
        <v>36713</v>
      </c>
      <c r="F8315" t="s">
        <v>37440</v>
      </c>
      <c r="G8315" t="s">
        <v>37441</v>
      </c>
      <c r="H8315" t="s">
        <v>13586</v>
      </c>
      <c r="I8315" t="s">
        <v>37262</v>
      </c>
      <c r="J8315" t="s">
        <v>334</v>
      </c>
      <c r="K8315" t="s">
        <v>2726</v>
      </c>
      <c r="L8315" t="s">
        <v>27014</v>
      </c>
      <c r="M8315" t="s">
        <v>2115</v>
      </c>
      <c r="N8315" t="s">
        <v>36716</v>
      </c>
      <c r="O8315" t="s">
        <v>37263</v>
      </c>
      <c r="P8315" t="s">
        <v>37264</v>
      </c>
      <c r="Q8315" t="s">
        <v>37265</v>
      </c>
      <c r="R8315">
        <v>25</v>
      </c>
      <c r="S8315">
        <v>32</v>
      </c>
    </row>
    <row r="8316" spans="1:19" x14ac:dyDescent="0.35">
      <c r="A8316">
        <v>672</v>
      </c>
      <c r="B8316" t="s">
        <v>37442</v>
      </c>
      <c r="C8316" t="s">
        <v>850</v>
      </c>
      <c r="D8316" t="s">
        <v>37443</v>
      </c>
      <c r="E8316" t="e" cm="1">
        <f t="array" ref="E8316">- Camphor</f>
        <v>#NAME?</v>
      </c>
      <c r="F8316" t="s">
        <v>37444</v>
      </c>
      <c r="G8316" t="s">
        <v>35458</v>
      </c>
      <c r="H8316" t="s">
        <v>1322</v>
      </c>
      <c r="I8316" t="s">
        <v>37445</v>
      </c>
      <c r="J8316" t="s">
        <v>21274</v>
      </c>
      <c r="L8316" t="s">
        <v>37446</v>
      </c>
      <c r="M8316" t="s">
        <v>3632</v>
      </c>
      <c r="N8316" t="s">
        <v>853</v>
      </c>
      <c r="O8316" t="s">
        <v>37447</v>
      </c>
      <c r="P8316" t="s">
        <v>37448</v>
      </c>
      <c r="Q8316" t="s">
        <v>37449</v>
      </c>
      <c r="R8316">
        <v>25</v>
      </c>
      <c r="S8316">
        <v>32</v>
      </c>
    </row>
    <row r="8317" spans="1:19" x14ac:dyDescent="0.35">
      <c r="A8317">
        <v>5553</v>
      </c>
      <c r="B8317" t="s">
        <v>37450</v>
      </c>
      <c r="C8317" t="s">
        <v>42</v>
      </c>
      <c r="D8317" t="s">
        <v>37451</v>
      </c>
      <c r="E8317" t="e" cm="1">
        <f t="array" ref="E8317">- HEPARIN SODIUM</f>
        <v>#NAME?</v>
      </c>
      <c r="F8317" t="s">
        <v>9231</v>
      </c>
      <c r="G8317" t="s">
        <v>37452</v>
      </c>
      <c r="H8317" t="s">
        <v>37453</v>
      </c>
      <c r="I8317" t="s">
        <v>37454</v>
      </c>
      <c r="J8317" t="s">
        <v>25662</v>
      </c>
      <c r="K8317" t="s">
        <v>37455</v>
      </c>
      <c r="L8317" t="s">
        <v>37456</v>
      </c>
      <c r="M8317" t="s">
        <v>87</v>
      </c>
      <c r="N8317" t="s">
        <v>2168</v>
      </c>
      <c r="O8317" t="s">
        <v>37457</v>
      </c>
      <c r="P8317" t="s">
        <v>37458</v>
      </c>
      <c r="Q8317" t="s">
        <v>37459</v>
      </c>
      <c r="R8317">
        <v>25</v>
      </c>
      <c r="S8317">
        <v>32</v>
      </c>
    </row>
    <row r="8318" spans="1:19" x14ac:dyDescent="0.35">
      <c r="A8318">
        <v>656</v>
      </c>
      <c r="B8318" t="s">
        <v>36711</v>
      </c>
      <c r="C8318" t="s">
        <v>20</v>
      </c>
      <c r="D8318" t="s">
        <v>37460</v>
      </c>
      <c r="E8318" t="s">
        <v>36713</v>
      </c>
      <c r="F8318" t="s">
        <v>37461</v>
      </c>
      <c r="G8318" t="s">
        <v>27012</v>
      </c>
      <c r="H8318" t="s">
        <v>13586</v>
      </c>
      <c r="I8318" t="s">
        <v>37262</v>
      </c>
      <c r="J8318" t="s">
        <v>37462</v>
      </c>
      <c r="K8318" t="s">
        <v>3473</v>
      </c>
      <c r="L8318" t="s">
        <v>27014</v>
      </c>
      <c r="M8318" t="s">
        <v>2115</v>
      </c>
      <c r="N8318" t="s">
        <v>36716</v>
      </c>
      <c r="O8318" t="s">
        <v>37263</v>
      </c>
      <c r="P8318" t="s">
        <v>37264</v>
      </c>
      <c r="Q8318" t="s">
        <v>37265</v>
      </c>
      <c r="R8318">
        <v>25</v>
      </c>
      <c r="S8318">
        <v>32</v>
      </c>
    </row>
    <row r="8319" spans="1:19" x14ac:dyDescent="0.35">
      <c r="A8319">
        <v>5552</v>
      </c>
      <c r="B8319" t="s">
        <v>37450</v>
      </c>
      <c r="C8319" t="s">
        <v>42</v>
      </c>
      <c r="D8319" t="s">
        <v>37451</v>
      </c>
      <c r="E8319" t="e" cm="1">
        <f t="array" ref="E8319">- HEPARIN SODIUM</f>
        <v>#NAME?</v>
      </c>
      <c r="F8319" t="s">
        <v>9231</v>
      </c>
      <c r="G8319" t="s">
        <v>37452</v>
      </c>
      <c r="H8319" t="s">
        <v>37453</v>
      </c>
      <c r="I8319" t="s">
        <v>37454</v>
      </c>
      <c r="J8319" t="s">
        <v>25662</v>
      </c>
      <c r="K8319" t="s">
        <v>37455</v>
      </c>
      <c r="L8319" t="s">
        <v>37456</v>
      </c>
      <c r="M8319" t="s">
        <v>87</v>
      </c>
      <c r="N8319" t="s">
        <v>2168</v>
      </c>
      <c r="O8319" t="s">
        <v>37457</v>
      </c>
      <c r="P8319" t="s">
        <v>37458</v>
      </c>
      <c r="Q8319" t="s">
        <v>37459</v>
      </c>
      <c r="R8319">
        <v>25</v>
      </c>
      <c r="S8319">
        <v>32</v>
      </c>
    </row>
    <row r="8320" spans="1:19" x14ac:dyDescent="0.35">
      <c r="A8320">
        <v>2214</v>
      </c>
      <c r="B8320" t="s">
        <v>37463</v>
      </c>
      <c r="C8320" t="s">
        <v>42</v>
      </c>
      <c r="D8320" t="s">
        <v>37464</v>
      </c>
      <c r="E8320" t="e" cm="1">
        <f t="array" ref="E8320">- DICLOFENAC DIETHYLAMINE</f>
        <v>#NAME?</v>
      </c>
      <c r="F8320" t="s">
        <v>37465</v>
      </c>
      <c r="G8320" t="s">
        <v>37466</v>
      </c>
      <c r="H8320" t="s">
        <v>37467</v>
      </c>
      <c r="I8320" t="s">
        <v>37468</v>
      </c>
      <c r="J8320" t="s">
        <v>979</v>
      </c>
      <c r="K8320" t="s">
        <v>2726</v>
      </c>
      <c r="L8320" t="s">
        <v>37469</v>
      </c>
      <c r="M8320" t="s">
        <v>87</v>
      </c>
      <c r="N8320" t="s">
        <v>1958</v>
      </c>
      <c r="O8320" t="s">
        <v>37470</v>
      </c>
      <c r="P8320" t="s">
        <v>28956</v>
      </c>
      <c r="Q8320" t="s">
        <v>37471</v>
      </c>
      <c r="R8320">
        <v>25</v>
      </c>
      <c r="S8320">
        <v>32</v>
      </c>
    </row>
    <row r="8321" spans="1:19" x14ac:dyDescent="0.35">
      <c r="A8321">
        <v>8709</v>
      </c>
      <c r="B8321" t="s">
        <v>35739</v>
      </c>
      <c r="C8321" t="s">
        <v>42</v>
      </c>
      <c r="D8321" t="s">
        <v>35740</v>
      </c>
      <c r="E8321" t="e" cm="1">
        <f t="array" ref="E8321">- METFORMIN HYDROCHLORIDE. GLIBENCLAMIDE</f>
        <v>#NAME?</v>
      </c>
      <c r="F8321" t="s">
        <v>35741</v>
      </c>
      <c r="G8321" t="s">
        <v>1258</v>
      </c>
      <c r="H8321" t="s">
        <v>35742</v>
      </c>
      <c r="I8321" t="s">
        <v>35743</v>
      </c>
      <c r="J8321" t="s">
        <v>35744</v>
      </c>
      <c r="K8321" t="s">
        <v>35745</v>
      </c>
      <c r="L8321" t="s">
        <v>35746</v>
      </c>
      <c r="M8321" t="s">
        <v>46</v>
      </c>
      <c r="N8321" t="s">
        <v>37255</v>
      </c>
      <c r="O8321" t="s">
        <v>35747</v>
      </c>
      <c r="P8321" t="s">
        <v>1261</v>
      </c>
      <c r="Q8321" t="s">
        <v>37256</v>
      </c>
      <c r="R8321">
        <v>25</v>
      </c>
      <c r="S8321">
        <v>32</v>
      </c>
    </row>
    <row r="8322" spans="1:19" x14ac:dyDescent="0.35">
      <c r="A8322">
        <v>5665</v>
      </c>
      <c r="B8322" t="s">
        <v>37472</v>
      </c>
      <c r="C8322" t="s">
        <v>42</v>
      </c>
      <c r="D8322" t="s">
        <v>37473</v>
      </c>
      <c r="E8322" t="e" cm="1">
        <f t="array" ref="E8322">- CEFIXIME</f>
        <v>#NAME?</v>
      </c>
      <c r="F8322" t="s">
        <v>37474</v>
      </c>
      <c r="G8322" t="s">
        <v>37190</v>
      </c>
      <c r="H8322" t="s">
        <v>37191</v>
      </c>
      <c r="I8322" t="s">
        <v>37192</v>
      </c>
      <c r="J8322" t="s">
        <v>14600</v>
      </c>
      <c r="K8322" t="s">
        <v>1020</v>
      </c>
      <c r="L8322" t="s">
        <v>37475</v>
      </c>
      <c r="M8322" t="s">
        <v>38</v>
      </c>
      <c r="N8322" t="s">
        <v>1022</v>
      </c>
      <c r="O8322" t="s">
        <v>37193</v>
      </c>
      <c r="P8322" t="s">
        <v>37246</v>
      </c>
      <c r="Q8322" t="s">
        <v>37476</v>
      </c>
      <c r="R8322">
        <v>25</v>
      </c>
      <c r="S8322">
        <v>32</v>
      </c>
    </row>
    <row r="8323" spans="1:19" x14ac:dyDescent="0.35">
      <c r="A8323">
        <v>682</v>
      </c>
      <c r="B8323" t="s">
        <v>37477</v>
      </c>
      <c r="C8323" t="s">
        <v>20</v>
      </c>
      <c r="D8323" t="s">
        <v>37478</v>
      </c>
      <c r="E8323" t="s">
        <v>37479</v>
      </c>
      <c r="F8323" s="1">
        <v>14900</v>
      </c>
      <c r="G8323" t="s">
        <v>27012</v>
      </c>
      <c r="H8323" t="s">
        <v>13586</v>
      </c>
      <c r="I8323" t="s">
        <v>37262</v>
      </c>
      <c r="J8323" t="s">
        <v>829</v>
      </c>
      <c r="K8323" t="s">
        <v>2858</v>
      </c>
      <c r="L8323" t="s">
        <v>37413</v>
      </c>
      <c r="M8323" t="s">
        <v>2115</v>
      </c>
      <c r="N8323" t="s">
        <v>37480</v>
      </c>
      <c r="O8323" t="s">
        <v>37263</v>
      </c>
      <c r="P8323" t="s">
        <v>36717</v>
      </c>
      <c r="Q8323" t="s">
        <v>37481</v>
      </c>
      <c r="R8323">
        <v>25</v>
      </c>
      <c r="S8323">
        <v>32</v>
      </c>
    </row>
    <row r="8324" spans="1:19" x14ac:dyDescent="0.35">
      <c r="A8324">
        <v>7232</v>
      </c>
      <c r="B8324" t="s">
        <v>37482</v>
      </c>
      <c r="C8324" t="s">
        <v>850</v>
      </c>
      <c r="D8324" t="s">
        <v>37483</v>
      </c>
      <c r="E8324" t="s">
        <v>2069</v>
      </c>
      <c r="F8324" t="s">
        <v>37484</v>
      </c>
      <c r="G8324" t="s">
        <v>16824</v>
      </c>
      <c r="H8324" t="s">
        <v>22320</v>
      </c>
      <c r="I8324" t="s">
        <v>37485</v>
      </c>
      <c r="J8324" t="s">
        <v>32535</v>
      </c>
      <c r="M8324" t="s">
        <v>2115</v>
      </c>
      <c r="N8324" t="s">
        <v>2071</v>
      </c>
      <c r="O8324" t="s">
        <v>37486</v>
      </c>
      <c r="P8324" t="s">
        <v>37487</v>
      </c>
      <c r="Q8324" t="s">
        <v>37488</v>
      </c>
      <c r="R8324">
        <v>25</v>
      </c>
      <c r="S8324">
        <v>32</v>
      </c>
    </row>
    <row r="8325" spans="1:19" x14ac:dyDescent="0.35">
      <c r="A8325">
        <v>2985</v>
      </c>
      <c r="B8325" t="s">
        <v>37489</v>
      </c>
      <c r="C8325" t="s">
        <v>42</v>
      </c>
      <c r="D8325" t="s">
        <v>37490</v>
      </c>
      <c r="E8325" t="e" cm="1">
        <f t="array" ref="E8325">- IBUPROFEN</f>
        <v>#NAME?</v>
      </c>
      <c r="F8325" s="1">
        <v>10700</v>
      </c>
      <c r="G8325" t="s">
        <v>4482</v>
      </c>
      <c r="H8325" t="s">
        <v>37491</v>
      </c>
      <c r="I8325" t="s">
        <v>37492</v>
      </c>
      <c r="J8325" t="s">
        <v>334</v>
      </c>
      <c r="M8325" t="s">
        <v>340</v>
      </c>
      <c r="N8325" t="s">
        <v>383</v>
      </c>
      <c r="O8325" t="s">
        <v>37493</v>
      </c>
      <c r="P8325" t="s">
        <v>37494</v>
      </c>
      <c r="Q8325" t="s">
        <v>37495</v>
      </c>
      <c r="R8325">
        <v>25</v>
      </c>
      <c r="S8325">
        <v>32</v>
      </c>
    </row>
    <row r="8326" spans="1:19" x14ac:dyDescent="0.35">
      <c r="A8326">
        <v>2986</v>
      </c>
      <c r="B8326" t="s">
        <v>37489</v>
      </c>
      <c r="C8326" t="s">
        <v>42</v>
      </c>
      <c r="D8326" t="s">
        <v>37490</v>
      </c>
      <c r="E8326" t="e" cm="1">
        <f t="array" ref="E8326">- IBUPROFEN</f>
        <v>#NAME?</v>
      </c>
      <c r="F8326" s="1">
        <v>10700</v>
      </c>
      <c r="G8326" t="s">
        <v>4482</v>
      </c>
      <c r="H8326" t="s">
        <v>37491</v>
      </c>
      <c r="I8326" t="s">
        <v>37492</v>
      </c>
      <c r="J8326" t="s">
        <v>334</v>
      </c>
      <c r="M8326" t="s">
        <v>340</v>
      </c>
      <c r="N8326" t="s">
        <v>383</v>
      </c>
      <c r="O8326" t="s">
        <v>37493</v>
      </c>
      <c r="P8326" t="s">
        <v>37494</v>
      </c>
      <c r="Q8326" t="s">
        <v>37495</v>
      </c>
      <c r="R8326">
        <v>25</v>
      </c>
      <c r="S8326">
        <v>32</v>
      </c>
    </row>
    <row r="8327" spans="1:19" x14ac:dyDescent="0.35">
      <c r="A8327">
        <v>6134</v>
      </c>
      <c r="B8327" t="s">
        <v>37496</v>
      </c>
      <c r="C8327" t="s">
        <v>42</v>
      </c>
      <c r="D8327" t="s">
        <v>37497</v>
      </c>
      <c r="E8327" t="e" cm="1">
        <f t="array" ref="E8327">- CEFIXIME</f>
        <v>#NAME?</v>
      </c>
      <c r="F8327" t="s">
        <v>37498</v>
      </c>
      <c r="G8327" t="s">
        <v>37190</v>
      </c>
      <c r="H8327" t="s">
        <v>37191</v>
      </c>
      <c r="I8327" t="s">
        <v>37192</v>
      </c>
      <c r="J8327" t="s">
        <v>37499</v>
      </c>
      <c r="K8327" t="s">
        <v>1020</v>
      </c>
      <c r="L8327" t="s">
        <v>1021</v>
      </c>
      <c r="M8327" t="s">
        <v>38</v>
      </c>
      <c r="N8327" t="s">
        <v>1022</v>
      </c>
      <c r="O8327" t="s">
        <v>37193</v>
      </c>
      <c r="P8327" t="s">
        <v>37500</v>
      </c>
      <c r="Q8327" t="s">
        <v>37501</v>
      </c>
      <c r="R8327">
        <v>25</v>
      </c>
      <c r="S8327">
        <v>32</v>
      </c>
    </row>
    <row r="8328" spans="1:19" x14ac:dyDescent="0.35">
      <c r="A8328">
        <v>6149</v>
      </c>
      <c r="B8328" t="s">
        <v>37502</v>
      </c>
      <c r="C8328" t="s">
        <v>42</v>
      </c>
      <c r="D8328" t="s">
        <v>37503</v>
      </c>
      <c r="E8328" t="e" cm="1">
        <f t="array" ref="E8328">- AMOXICILLIN TRIHYDRATE</f>
        <v>#NAME?</v>
      </c>
      <c r="F8328" t="s">
        <v>37504</v>
      </c>
      <c r="G8328" t="s">
        <v>35975</v>
      </c>
      <c r="H8328" t="s">
        <v>34219</v>
      </c>
    </row>
    <row r="8329" spans="1:19" x14ac:dyDescent="0.35">
      <c r="A8329">
        <v>2311</v>
      </c>
      <c r="B8329" t="s">
        <v>37505</v>
      </c>
      <c r="C8329" t="s">
        <v>42</v>
      </c>
      <c r="D8329" t="s">
        <v>37506</v>
      </c>
      <c r="E8329" t="e" cm="1">
        <f t="array" ref="E8329">- METAMIZOLE SODIUM</f>
        <v>#NAME?</v>
      </c>
      <c r="F8329" t="s">
        <v>37507</v>
      </c>
      <c r="G8329" t="s">
        <v>2241</v>
      </c>
      <c r="H8329" t="s">
        <v>37508</v>
      </c>
      <c r="I8329" t="s">
        <v>37509</v>
      </c>
      <c r="J8329" t="s">
        <v>334</v>
      </c>
      <c r="K8329" t="s">
        <v>37510</v>
      </c>
      <c r="L8329" t="s">
        <v>37511</v>
      </c>
      <c r="M8329" t="s">
        <v>271</v>
      </c>
      <c r="N8329" t="s">
        <v>2294</v>
      </c>
      <c r="O8329" t="s">
        <v>37512</v>
      </c>
      <c r="P8329" t="s">
        <v>37513</v>
      </c>
      <c r="Q8329" t="s">
        <v>37514</v>
      </c>
      <c r="R8329">
        <v>25</v>
      </c>
      <c r="S8329">
        <v>32</v>
      </c>
    </row>
    <row r="8330" spans="1:19" x14ac:dyDescent="0.35">
      <c r="A8330">
        <v>2310</v>
      </c>
      <c r="B8330" t="s">
        <v>37505</v>
      </c>
      <c r="C8330" t="s">
        <v>42</v>
      </c>
      <c r="D8330" t="s">
        <v>37506</v>
      </c>
      <c r="E8330" t="e" cm="1">
        <f t="array" ref="E8330">- METAMIZOLE SODIUM</f>
        <v>#NAME?</v>
      </c>
      <c r="F8330" t="s">
        <v>37507</v>
      </c>
      <c r="G8330" t="s">
        <v>2241</v>
      </c>
      <c r="H8330" t="s">
        <v>37508</v>
      </c>
      <c r="I8330" t="s">
        <v>37509</v>
      </c>
      <c r="J8330" t="s">
        <v>334</v>
      </c>
      <c r="K8330" t="s">
        <v>37510</v>
      </c>
      <c r="L8330" t="s">
        <v>37511</v>
      </c>
      <c r="M8330" t="s">
        <v>271</v>
      </c>
      <c r="N8330" t="s">
        <v>2294</v>
      </c>
      <c r="O8330" t="s">
        <v>37512</v>
      </c>
      <c r="P8330" t="s">
        <v>37513</v>
      </c>
      <c r="Q8330" t="s">
        <v>37514</v>
      </c>
      <c r="R8330">
        <v>25</v>
      </c>
      <c r="S8330">
        <v>32</v>
      </c>
    </row>
    <row r="8331" spans="1:19" x14ac:dyDescent="0.35">
      <c r="A8331">
        <v>7056</v>
      </c>
      <c r="B8331" t="s">
        <v>1803</v>
      </c>
      <c r="C8331" t="s">
        <v>42</v>
      </c>
      <c r="D8331" t="s">
        <v>37414</v>
      </c>
      <c r="E8331" t="e" cm="1">
        <f t="array" ref="E8331">- TIZANIDINE HYDROCHLORIDE</f>
        <v>#NAME?</v>
      </c>
      <c r="F8331" t="s">
        <v>37415</v>
      </c>
      <c r="I8331" t="s">
        <v>37416</v>
      </c>
      <c r="J8331" t="s">
        <v>8147</v>
      </c>
      <c r="M8331" t="s">
        <v>46</v>
      </c>
      <c r="N8331" t="s">
        <v>1806</v>
      </c>
      <c r="O8331" t="s">
        <v>37417</v>
      </c>
      <c r="P8331" t="s">
        <v>37418</v>
      </c>
      <c r="Q8331" t="s">
        <v>37515</v>
      </c>
      <c r="R8331">
        <v>25</v>
      </c>
      <c r="S8331">
        <v>32</v>
      </c>
    </row>
    <row r="8332" spans="1:19" x14ac:dyDescent="0.35">
      <c r="A8332">
        <v>681</v>
      </c>
      <c r="B8332" t="s">
        <v>37477</v>
      </c>
      <c r="C8332" t="s">
        <v>20</v>
      </c>
      <c r="D8332" t="s">
        <v>37516</v>
      </c>
      <c r="E8332" t="s">
        <v>37479</v>
      </c>
      <c r="F8332" s="1">
        <v>7700</v>
      </c>
      <c r="G8332" t="s">
        <v>27012</v>
      </c>
      <c r="H8332" t="s">
        <v>13586</v>
      </c>
      <c r="I8332" t="s">
        <v>37262</v>
      </c>
      <c r="J8332" t="s">
        <v>743</v>
      </c>
      <c r="K8332" t="s">
        <v>2858</v>
      </c>
      <c r="L8332" t="s">
        <v>27014</v>
      </c>
      <c r="M8332" t="s">
        <v>2115</v>
      </c>
      <c r="N8332" t="s">
        <v>37480</v>
      </c>
      <c r="O8332" t="s">
        <v>37263</v>
      </c>
      <c r="P8332" t="s">
        <v>36717</v>
      </c>
      <c r="Q8332" t="s">
        <v>37481</v>
      </c>
      <c r="R8332">
        <v>25</v>
      </c>
      <c r="S8332">
        <v>32</v>
      </c>
    </row>
    <row r="8333" spans="1:19" x14ac:dyDescent="0.35">
      <c r="A8333">
        <v>3365</v>
      </c>
      <c r="B8333" t="s">
        <v>37517</v>
      </c>
      <c r="C8333" t="s">
        <v>42</v>
      </c>
      <c r="D8333" t="s">
        <v>37518</v>
      </c>
      <c r="E8333" t="e" cm="1">
        <f t="array" ref="E8333">- MAGNESIUM HYDROXIDE. SIMETHICONE. ALUMINIUM HYDROXIDE-MAGNESIUM CARBONATE GEL</f>
        <v>#NAME?</v>
      </c>
      <c r="F8333" s="1">
        <v>10900</v>
      </c>
      <c r="G8333" t="s">
        <v>29813</v>
      </c>
      <c r="H8333" t="s">
        <v>29795</v>
      </c>
      <c r="I8333" t="s">
        <v>32147</v>
      </c>
      <c r="J8333" t="s">
        <v>37519</v>
      </c>
      <c r="K8333" t="s">
        <v>32149</v>
      </c>
      <c r="L8333" t="s">
        <v>32150</v>
      </c>
      <c r="M8333" t="s">
        <v>46</v>
      </c>
      <c r="N8333" t="s">
        <v>37520</v>
      </c>
      <c r="O8333" t="s">
        <v>32151</v>
      </c>
      <c r="P8333" t="s">
        <v>32152</v>
      </c>
      <c r="Q8333" t="s">
        <v>37521</v>
      </c>
      <c r="R8333">
        <v>25</v>
      </c>
      <c r="S8333">
        <v>32</v>
      </c>
    </row>
    <row r="8334" spans="1:19" x14ac:dyDescent="0.35">
      <c r="A8334">
        <v>3364</v>
      </c>
      <c r="B8334" t="s">
        <v>37517</v>
      </c>
      <c r="C8334" t="s">
        <v>42</v>
      </c>
      <c r="D8334" t="s">
        <v>37522</v>
      </c>
      <c r="E8334" t="e" cm="1">
        <f t="array" ref="E8334">- MAGNESIUM HYDROXIDE. SIMETHICONE. ALUMINIUM HYDROXIDE-MAGNESIUM CARBONATE GEL</f>
        <v>#NAME?</v>
      </c>
      <c r="F8334" s="1">
        <v>10900</v>
      </c>
      <c r="G8334" t="s">
        <v>37523</v>
      </c>
      <c r="H8334" t="s">
        <v>37524</v>
      </c>
      <c r="I8334" t="s">
        <v>32147</v>
      </c>
      <c r="J8334" t="s">
        <v>37525</v>
      </c>
      <c r="K8334" t="s">
        <v>32149</v>
      </c>
      <c r="L8334" t="s">
        <v>32150</v>
      </c>
      <c r="M8334" t="s">
        <v>46</v>
      </c>
      <c r="N8334" t="s">
        <v>37520</v>
      </c>
      <c r="O8334" t="s">
        <v>32151</v>
      </c>
      <c r="P8334" t="s">
        <v>32152</v>
      </c>
      <c r="Q8334" t="s">
        <v>37521</v>
      </c>
      <c r="R8334">
        <v>25</v>
      </c>
      <c r="S8334">
        <v>32</v>
      </c>
    </row>
    <row r="8335" spans="1:19" x14ac:dyDescent="0.35">
      <c r="A8335">
        <v>6148</v>
      </c>
      <c r="B8335" t="s">
        <v>37502</v>
      </c>
      <c r="C8335" t="s">
        <v>42</v>
      </c>
      <c r="D8335" t="s">
        <v>37503</v>
      </c>
      <c r="E8335" t="e" cm="1">
        <f t="array" ref="E8335">- AMOXICILLIN TRIHYDRATE</f>
        <v>#NAME?</v>
      </c>
      <c r="F8335" t="s">
        <v>37504</v>
      </c>
      <c r="G8335" t="s">
        <v>35975</v>
      </c>
      <c r="H8335" t="s">
        <v>34219</v>
      </c>
    </row>
    <row r="8336" spans="1:19" x14ac:dyDescent="0.35">
      <c r="A8336">
        <v>6414</v>
      </c>
      <c r="B8336" t="s">
        <v>37526</v>
      </c>
      <c r="C8336" t="s">
        <v>42</v>
      </c>
      <c r="D8336" t="s">
        <v>37527</v>
      </c>
      <c r="E8336" t="e" cm="1">
        <f t="array" ref="E8336">- CEFIXIME</f>
        <v>#NAME?</v>
      </c>
      <c r="F8336" s="1">
        <v>453300</v>
      </c>
      <c r="G8336" t="s">
        <v>37190</v>
      </c>
      <c r="H8336" t="s">
        <v>37191</v>
      </c>
      <c r="I8336" t="s">
        <v>37192</v>
      </c>
      <c r="J8336" t="s">
        <v>7989</v>
      </c>
      <c r="K8336" t="s">
        <v>1020</v>
      </c>
      <c r="L8336" t="s">
        <v>1021</v>
      </c>
      <c r="M8336" t="s">
        <v>38</v>
      </c>
      <c r="N8336" t="s">
        <v>1022</v>
      </c>
      <c r="O8336" t="s">
        <v>37193</v>
      </c>
      <c r="P8336" t="s">
        <v>37194</v>
      </c>
      <c r="Q8336" t="s">
        <v>37195</v>
      </c>
      <c r="R8336">
        <v>25</v>
      </c>
      <c r="S8336">
        <v>32</v>
      </c>
    </row>
    <row r="8337" spans="1:19" x14ac:dyDescent="0.35">
      <c r="A8337">
        <v>7676</v>
      </c>
      <c r="B8337" t="s">
        <v>37372</v>
      </c>
      <c r="C8337" t="s">
        <v>20</v>
      </c>
      <c r="D8337" t="s">
        <v>37373</v>
      </c>
      <c r="E8337" t="s">
        <v>37374</v>
      </c>
      <c r="F8337" s="1">
        <v>7800</v>
      </c>
      <c r="G8337" t="s">
        <v>37375</v>
      </c>
      <c r="H8337" t="s">
        <v>35617</v>
      </c>
      <c r="I8337" t="s">
        <v>32576</v>
      </c>
      <c r="J8337" t="s">
        <v>31731</v>
      </c>
      <c r="M8337" t="s">
        <v>554</v>
      </c>
      <c r="N8337" t="s">
        <v>37376</v>
      </c>
      <c r="O8337" t="s">
        <v>32578</v>
      </c>
      <c r="P8337" t="s">
        <v>37377</v>
      </c>
      <c r="Q8337" t="s">
        <v>37378</v>
      </c>
      <c r="R8337">
        <v>25</v>
      </c>
      <c r="S8337">
        <v>32</v>
      </c>
    </row>
    <row r="8338" spans="1:19" x14ac:dyDescent="0.35">
      <c r="A8338">
        <v>6173</v>
      </c>
      <c r="B8338" t="s">
        <v>37279</v>
      </c>
      <c r="C8338" t="s">
        <v>42</v>
      </c>
      <c r="D8338" t="s">
        <v>37280</v>
      </c>
      <c r="E8338" t="e" cm="1">
        <f t="array" ref="E8338">- CEFPROZIL</f>
        <v>#NAME?</v>
      </c>
      <c r="F8338" s="1">
        <v>39700</v>
      </c>
      <c r="G8338" t="s">
        <v>1691</v>
      </c>
      <c r="H8338" t="s">
        <v>37281</v>
      </c>
      <c r="I8338" t="s">
        <v>37282</v>
      </c>
      <c r="J8338" t="s">
        <v>37283</v>
      </c>
      <c r="K8338" t="s">
        <v>37284</v>
      </c>
      <c r="L8338" t="s">
        <v>37285</v>
      </c>
      <c r="M8338" t="s">
        <v>291</v>
      </c>
      <c r="N8338" t="s">
        <v>37286</v>
      </c>
      <c r="O8338" t="s">
        <v>37287</v>
      </c>
      <c r="P8338" t="s">
        <v>37288</v>
      </c>
      <c r="Q8338" t="s">
        <v>37289</v>
      </c>
      <c r="R8338">
        <v>25</v>
      </c>
      <c r="S8338">
        <v>32</v>
      </c>
    </row>
    <row r="8339" spans="1:19" x14ac:dyDescent="0.35">
      <c r="A8339">
        <v>496</v>
      </c>
      <c r="B8339" t="s">
        <v>37528</v>
      </c>
      <c r="C8339" t="s">
        <v>42</v>
      </c>
      <c r="D8339" t="s">
        <v>37529</v>
      </c>
      <c r="E8339" t="e" cm="1">
        <f t="array" ref="E8339">- MONTELUKAST SODIUM</f>
        <v>#NAME?</v>
      </c>
      <c r="F8339" t="s">
        <v>37530</v>
      </c>
      <c r="G8339" t="s">
        <v>6310</v>
      </c>
      <c r="H8339" t="s">
        <v>37531</v>
      </c>
      <c r="I8339" t="s">
        <v>37532</v>
      </c>
      <c r="J8339" t="s">
        <v>15270</v>
      </c>
      <c r="K8339" t="s">
        <v>4677</v>
      </c>
      <c r="L8339" t="s">
        <v>37533</v>
      </c>
      <c r="M8339" t="s">
        <v>46</v>
      </c>
      <c r="N8339" t="s">
        <v>1492</v>
      </c>
      <c r="O8339" t="s">
        <v>37534</v>
      </c>
      <c r="P8339" t="s">
        <v>37535</v>
      </c>
      <c r="Q8339" t="s">
        <v>37536</v>
      </c>
      <c r="R8339">
        <v>25</v>
      </c>
      <c r="S8339">
        <v>32</v>
      </c>
    </row>
    <row r="8340" spans="1:19" x14ac:dyDescent="0.35">
      <c r="A8340">
        <v>497</v>
      </c>
      <c r="B8340" t="s">
        <v>37528</v>
      </c>
      <c r="C8340" t="s">
        <v>42</v>
      </c>
      <c r="D8340" t="s">
        <v>37529</v>
      </c>
      <c r="E8340" t="e" cm="1">
        <f t="array" ref="E8340">- MONTELUKAST SODIUM</f>
        <v>#NAME?</v>
      </c>
      <c r="F8340" t="s">
        <v>37530</v>
      </c>
      <c r="G8340" t="s">
        <v>6310</v>
      </c>
      <c r="H8340" t="s">
        <v>37531</v>
      </c>
      <c r="I8340" t="s">
        <v>37532</v>
      </c>
      <c r="J8340" t="s">
        <v>15270</v>
      </c>
      <c r="K8340" t="s">
        <v>4677</v>
      </c>
      <c r="L8340" t="s">
        <v>37533</v>
      </c>
      <c r="M8340" t="s">
        <v>46</v>
      </c>
      <c r="N8340" t="s">
        <v>1492</v>
      </c>
      <c r="O8340" t="s">
        <v>37534</v>
      </c>
      <c r="P8340" t="s">
        <v>37535</v>
      </c>
      <c r="Q8340" t="s">
        <v>37536</v>
      </c>
      <c r="R8340">
        <v>25</v>
      </c>
      <c r="S8340">
        <v>32</v>
      </c>
    </row>
    <row r="8341" spans="1:19" x14ac:dyDescent="0.35">
      <c r="A8341">
        <v>923</v>
      </c>
      <c r="B8341" t="s">
        <v>37537</v>
      </c>
      <c r="C8341" t="s">
        <v>42</v>
      </c>
      <c r="D8341" t="s">
        <v>37538</v>
      </c>
      <c r="E8341" t="e" cm="1">
        <f t="array" ref="E8341">- DEXTROMETHORPHAN HYDROBROMIDE</f>
        <v>#NAME?</v>
      </c>
      <c r="F8341" t="s">
        <v>37539</v>
      </c>
      <c r="G8341" t="s">
        <v>37540</v>
      </c>
      <c r="H8341" t="s">
        <v>37541</v>
      </c>
      <c r="I8341" t="s">
        <v>37542</v>
      </c>
      <c r="J8341" t="s">
        <v>37543</v>
      </c>
      <c r="K8341" t="s">
        <v>37544</v>
      </c>
      <c r="L8341" t="s">
        <v>37545</v>
      </c>
      <c r="M8341" t="s">
        <v>291</v>
      </c>
      <c r="N8341" t="s">
        <v>1376</v>
      </c>
      <c r="O8341" t="s">
        <v>37546</v>
      </c>
      <c r="P8341" t="s">
        <v>26391</v>
      </c>
      <c r="Q8341" t="s">
        <v>37547</v>
      </c>
      <c r="R8341">
        <v>25</v>
      </c>
      <c r="S8341">
        <v>32</v>
      </c>
    </row>
    <row r="8342" spans="1:19" x14ac:dyDescent="0.35">
      <c r="A8342">
        <v>5331</v>
      </c>
      <c r="B8342" t="s">
        <v>7148</v>
      </c>
      <c r="C8342" t="s">
        <v>42</v>
      </c>
      <c r="D8342" t="s">
        <v>37548</v>
      </c>
      <c r="E8342" t="e" cm="1">
        <f t="array" ref="E8342">- SULFADIAZINE SILVER</f>
        <v>#NAME?</v>
      </c>
      <c r="F8342" s="1">
        <v>328000</v>
      </c>
      <c r="G8342" t="s">
        <v>37549</v>
      </c>
      <c r="I8342" t="s">
        <v>37550</v>
      </c>
      <c r="J8342" t="s">
        <v>25662</v>
      </c>
      <c r="M8342" t="s">
        <v>1289</v>
      </c>
      <c r="N8342" t="s">
        <v>2849</v>
      </c>
      <c r="O8342" t="s">
        <v>37551</v>
      </c>
      <c r="P8342" t="s">
        <v>37552</v>
      </c>
      <c r="Q8342" t="s">
        <v>37553</v>
      </c>
      <c r="R8342">
        <v>25</v>
      </c>
      <c r="S8342">
        <v>32</v>
      </c>
    </row>
    <row r="8343" spans="1:19" x14ac:dyDescent="0.35">
      <c r="A8343">
        <v>7395</v>
      </c>
      <c r="B8343" t="s">
        <v>31139</v>
      </c>
      <c r="C8343" t="s">
        <v>42</v>
      </c>
      <c r="D8343" t="s">
        <v>31140</v>
      </c>
      <c r="E8343" t="e" cm="1">
        <f t="array" ref="E8343">- METAMIZOLE SODIUM. PYRIDOXINE HYDROCHLORIDE. CYANOCOBALAMIN. THIAMINE MONONITRATE</f>
        <v>#NAME?</v>
      </c>
      <c r="F8343" t="s">
        <v>31141</v>
      </c>
      <c r="G8343" t="s">
        <v>31142</v>
      </c>
      <c r="H8343" t="s">
        <v>31143</v>
      </c>
      <c r="I8343" t="s">
        <v>31144</v>
      </c>
      <c r="J8343" t="s">
        <v>381</v>
      </c>
      <c r="K8343" t="s">
        <v>31145</v>
      </c>
      <c r="L8343" t="s">
        <v>31146</v>
      </c>
      <c r="M8343" t="s">
        <v>291</v>
      </c>
      <c r="N8343" t="s">
        <v>37554</v>
      </c>
      <c r="O8343" t="s">
        <v>31147</v>
      </c>
      <c r="P8343" t="s">
        <v>31148</v>
      </c>
      <c r="Q8343" t="s">
        <v>37555</v>
      </c>
      <c r="R8343">
        <v>25</v>
      </c>
      <c r="S8343">
        <v>32</v>
      </c>
    </row>
    <row r="8344" spans="1:19" x14ac:dyDescent="0.35">
      <c r="A8344">
        <v>5332</v>
      </c>
      <c r="B8344" t="s">
        <v>7148</v>
      </c>
      <c r="C8344" t="s">
        <v>42</v>
      </c>
      <c r="D8344" t="s">
        <v>37548</v>
      </c>
      <c r="E8344" t="e" cm="1">
        <f t="array" ref="E8344">- SULFADIAZINE SILVER</f>
        <v>#NAME?</v>
      </c>
      <c r="F8344" s="1">
        <v>328000</v>
      </c>
      <c r="G8344" t="s">
        <v>37549</v>
      </c>
      <c r="I8344" t="s">
        <v>37550</v>
      </c>
      <c r="J8344" t="s">
        <v>25662</v>
      </c>
      <c r="M8344" t="s">
        <v>1289</v>
      </c>
      <c r="N8344" t="s">
        <v>2849</v>
      </c>
      <c r="O8344" t="s">
        <v>37551</v>
      </c>
      <c r="P8344" t="s">
        <v>37552</v>
      </c>
      <c r="Q8344" t="s">
        <v>37553</v>
      </c>
      <c r="R8344">
        <v>25</v>
      </c>
      <c r="S8344">
        <v>32</v>
      </c>
    </row>
    <row r="8345" spans="1:19" x14ac:dyDescent="0.35">
      <c r="A8345">
        <v>1006</v>
      </c>
      <c r="B8345" t="s">
        <v>37556</v>
      </c>
      <c r="C8345" t="s">
        <v>42</v>
      </c>
      <c r="D8345" t="s">
        <v>37557</v>
      </c>
      <c r="E8345" t="e" cm="1">
        <f t="array" ref="E8345">- PARACETAMOL. DEXTROMETHORPHAN HYDROBROMIDE. GUAIFENESIN. CHLORPHENAMINE MALEATE. PHENYLEPHRINE HYDROCHLORIDE</f>
        <v>#NAME?</v>
      </c>
      <c r="F8345" t="s">
        <v>37558</v>
      </c>
      <c r="G8345" t="s">
        <v>60</v>
      </c>
      <c r="H8345" t="s">
        <v>37559</v>
      </c>
      <c r="I8345" t="s">
        <v>37560</v>
      </c>
      <c r="J8345" t="s">
        <v>15308</v>
      </c>
      <c r="K8345" t="s">
        <v>37561</v>
      </c>
      <c r="L8345" t="s">
        <v>37562</v>
      </c>
      <c r="M8345" t="s">
        <v>291</v>
      </c>
      <c r="N8345" t="s">
        <v>37563</v>
      </c>
      <c r="O8345" t="s">
        <v>37564</v>
      </c>
      <c r="P8345" t="s">
        <v>37565</v>
      </c>
      <c r="Q8345" t="s">
        <v>37566</v>
      </c>
      <c r="R8345">
        <v>25</v>
      </c>
      <c r="S8345">
        <v>32</v>
      </c>
    </row>
    <row r="8346" spans="1:19" x14ac:dyDescent="0.35">
      <c r="A8346">
        <v>6003</v>
      </c>
      <c r="B8346" t="s">
        <v>37567</v>
      </c>
      <c r="C8346" t="s">
        <v>42</v>
      </c>
      <c r="D8346" t="s">
        <v>37568</v>
      </c>
      <c r="E8346" t="e" cm="1">
        <f t="array" ref="E8346">- ERYTHROMYCIN</f>
        <v>#NAME?</v>
      </c>
      <c r="F8346" t="s">
        <v>32638</v>
      </c>
      <c r="G8346" t="s">
        <v>37569</v>
      </c>
      <c r="H8346" t="s">
        <v>37570</v>
      </c>
      <c r="I8346" t="s">
        <v>37571</v>
      </c>
      <c r="J8346" t="s">
        <v>37572</v>
      </c>
      <c r="K8346" t="s">
        <v>37573</v>
      </c>
      <c r="L8346" t="s">
        <v>37574</v>
      </c>
      <c r="M8346" t="s">
        <v>291</v>
      </c>
      <c r="N8346" t="s">
        <v>15222</v>
      </c>
      <c r="O8346" t="s">
        <v>37575</v>
      </c>
      <c r="P8346" t="s">
        <v>37576</v>
      </c>
      <c r="Q8346" t="s">
        <v>37577</v>
      </c>
      <c r="R8346">
        <v>25</v>
      </c>
      <c r="S8346">
        <v>32</v>
      </c>
    </row>
    <row r="8347" spans="1:19" x14ac:dyDescent="0.35">
      <c r="A8347">
        <v>4007</v>
      </c>
      <c r="B8347" t="s">
        <v>37578</v>
      </c>
      <c r="C8347" t="s">
        <v>42</v>
      </c>
      <c r="D8347" t="s">
        <v>37579</v>
      </c>
      <c r="E8347" t="e" cm="1">
        <f t="array" ref="E8347">- SODIUM DIHYDROGEN PHOSPHATE MONOHYDRATE. DISODIUM HYDROGEN PHOSPHATE ANHYDROUS</f>
        <v>#NAME?</v>
      </c>
      <c r="F8347" t="s">
        <v>37580</v>
      </c>
      <c r="G8347" t="s">
        <v>37581</v>
      </c>
      <c r="H8347" t="s">
        <v>37582</v>
      </c>
      <c r="I8347" t="s">
        <v>37583</v>
      </c>
      <c r="J8347" t="s">
        <v>37584</v>
      </c>
      <c r="K8347" t="s">
        <v>37585</v>
      </c>
      <c r="L8347" t="s">
        <v>37586</v>
      </c>
      <c r="M8347" t="s">
        <v>12262</v>
      </c>
      <c r="N8347" t="s">
        <v>37587</v>
      </c>
      <c r="O8347" t="s">
        <v>37588</v>
      </c>
      <c r="P8347" t="s">
        <v>37589</v>
      </c>
      <c r="Q8347" t="s">
        <v>37590</v>
      </c>
      <c r="R8347">
        <v>25</v>
      </c>
      <c r="S8347">
        <v>32</v>
      </c>
    </row>
    <row r="8348" spans="1:19" x14ac:dyDescent="0.35">
      <c r="A8348">
        <v>3571</v>
      </c>
      <c r="B8348" t="s">
        <v>37591</v>
      </c>
      <c r="C8348" t="s">
        <v>42</v>
      </c>
      <c r="D8348" t="s">
        <v>37592</v>
      </c>
      <c r="E8348" t="e" cm="1">
        <f t="array" ref="E8348">- DOMPERIDONE MALEATE</f>
        <v>#NAME?</v>
      </c>
      <c r="F8348" t="s">
        <v>37593</v>
      </c>
      <c r="H8348" t="s">
        <v>37594</v>
      </c>
      <c r="I8348" t="s">
        <v>37595</v>
      </c>
    </row>
    <row r="8349" spans="1:19" x14ac:dyDescent="0.35">
      <c r="A8349">
        <v>5339</v>
      </c>
      <c r="B8349" t="s">
        <v>7148</v>
      </c>
      <c r="C8349" t="s">
        <v>42</v>
      </c>
      <c r="D8349" t="s">
        <v>37596</v>
      </c>
      <c r="E8349" t="e" cm="1">
        <f t="array" ref="E8349">- SULFADIAZINE SILVER</f>
        <v>#NAME?</v>
      </c>
      <c r="F8349" s="1">
        <v>295700</v>
      </c>
      <c r="G8349" t="s">
        <v>37597</v>
      </c>
      <c r="I8349" t="s">
        <v>37598</v>
      </c>
      <c r="J8349" t="s">
        <v>37599</v>
      </c>
      <c r="L8349" t="s">
        <v>37600</v>
      </c>
      <c r="M8349" t="s">
        <v>1289</v>
      </c>
      <c r="N8349" t="s">
        <v>2849</v>
      </c>
      <c r="O8349" t="s">
        <v>37601</v>
      </c>
      <c r="P8349" t="s">
        <v>37602</v>
      </c>
      <c r="Q8349" t="s">
        <v>37603</v>
      </c>
      <c r="R8349">
        <v>25</v>
      </c>
      <c r="S8349">
        <v>32</v>
      </c>
    </row>
    <row r="8350" spans="1:19" x14ac:dyDescent="0.35">
      <c r="A8350">
        <v>5939</v>
      </c>
      <c r="B8350" t="s">
        <v>35408</v>
      </c>
      <c r="C8350" t="s">
        <v>42</v>
      </c>
      <c r="D8350" t="s">
        <v>35409</v>
      </c>
      <c r="E8350" t="e" cm="1">
        <f t="array" ref="E8350">- AMOXICILLIN TRIHYDRATE. POTASSIUM CLAVULANATE</f>
        <v>#NAME?</v>
      </c>
      <c r="F8350" t="s">
        <v>35410</v>
      </c>
      <c r="G8350" t="s">
        <v>2241</v>
      </c>
      <c r="H8350" t="s">
        <v>269</v>
      </c>
      <c r="I8350" t="s">
        <v>35411</v>
      </c>
      <c r="J8350" t="s">
        <v>846</v>
      </c>
      <c r="K8350" t="s">
        <v>19724</v>
      </c>
      <c r="L8350" t="s">
        <v>270</v>
      </c>
      <c r="M8350" t="s">
        <v>271</v>
      </c>
      <c r="N8350" t="s">
        <v>4773</v>
      </c>
      <c r="O8350" t="s">
        <v>35412</v>
      </c>
      <c r="P8350" t="s">
        <v>35413</v>
      </c>
      <c r="Q8350" t="s">
        <v>37604</v>
      </c>
      <c r="R8350">
        <v>25</v>
      </c>
      <c r="S8350">
        <v>32</v>
      </c>
    </row>
    <row r="8351" spans="1:19" x14ac:dyDescent="0.35">
      <c r="A8351">
        <v>495</v>
      </c>
      <c r="B8351" t="s">
        <v>37528</v>
      </c>
      <c r="C8351" t="s">
        <v>42</v>
      </c>
      <c r="D8351" t="s">
        <v>37529</v>
      </c>
      <c r="E8351" t="e" cm="1">
        <f t="array" ref="E8351">- MONTELUKAST SODIUM</f>
        <v>#NAME?</v>
      </c>
      <c r="F8351" t="s">
        <v>37530</v>
      </c>
      <c r="G8351" t="s">
        <v>6310</v>
      </c>
      <c r="H8351" t="s">
        <v>37531</v>
      </c>
      <c r="I8351" t="s">
        <v>37532</v>
      </c>
      <c r="J8351" t="s">
        <v>15270</v>
      </c>
      <c r="K8351" t="s">
        <v>4677</v>
      </c>
      <c r="L8351" t="s">
        <v>37533</v>
      </c>
      <c r="M8351" t="s">
        <v>46</v>
      </c>
      <c r="N8351" t="s">
        <v>1492</v>
      </c>
      <c r="O8351" t="s">
        <v>37534</v>
      </c>
      <c r="P8351" t="s">
        <v>37535</v>
      </c>
      <c r="Q8351" t="s">
        <v>37536</v>
      </c>
      <c r="R8351">
        <v>25</v>
      </c>
      <c r="S8351">
        <v>32</v>
      </c>
    </row>
    <row r="8352" spans="1:19" x14ac:dyDescent="0.35">
      <c r="A8352">
        <v>5340</v>
      </c>
      <c r="B8352" t="s">
        <v>7148</v>
      </c>
      <c r="C8352" t="s">
        <v>42</v>
      </c>
      <c r="D8352" t="s">
        <v>37596</v>
      </c>
      <c r="E8352" t="e" cm="1">
        <f t="array" ref="E8352">- SULFADIAZINE SILVER</f>
        <v>#NAME?</v>
      </c>
      <c r="F8352" s="1">
        <v>295700</v>
      </c>
      <c r="G8352" t="s">
        <v>37597</v>
      </c>
      <c r="I8352" t="s">
        <v>37598</v>
      </c>
      <c r="J8352" t="s">
        <v>37599</v>
      </c>
      <c r="L8352" t="s">
        <v>37600</v>
      </c>
      <c r="M8352" t="s">
        <v>1289</v>
      </c>
      <c r="N8352" t="s">
        <v>2849</v>
      </c>
      <c r="O8352" t="s">
        <v>37601</v>
      </c>
      <c r="P8352" t="s">
        <v>37602</v>
      </c>
      <c r="Q8352" t="s">
        <v>37603</v>
      </c>
      <c r="R8352">
        <v>25</v>
      </c>
      <c r="S8352">
        <v>32</v>
      </c>
    </row>
    <row r="8353" spans="1:19" x14ac:dyDescent="0.35">
      <c r="A8353">
        <v>494</v>
      </c>
      <c r="B8353" t="s">
        <v>37528</v>
      </c>
      <c r="C8353" t="s">
        <v>42</v>
      </c>
      <c r="D8353" t="s">
        <v>37529</v>
      </c>
      <c r="E8353" t="e" cm="1">
        <f t="array" ref="E8353">- MONTELUKAST SODIUM</f>
        <v>#NAME?</v>
      </c>
      <c r="F8353" t="s">
        <v>37530</v>
      </c>
      <c r="G8353" t="s">
        <v>6310</v>
      </c>
      <c r="H8353" t="s">
        <v>37531</v>
      </c>
      <c r="I8353" t="s">
        <v>37532</v>
      </c>
      <c r="J8353" t="s">
        <v>15270</v>
      </c>
      <c r="K8353" t="s">
        <v>4677</v>
      </c>
      <c r="L8353" t="s">
        <v>37533</v>
      </c>
      <c r="M8353" t="s">
        <v>46</v>
      </c>
      <c r="N8353" t="s">
        <v>1492</v>
      </c>
      <c r="O8353" t="s">
        <v>37534</v>
      </c>
      <c r="P8353" t="s">
        <v>37535</v>
      </c>
      <c r="Q8353" t="s">
        <v>37536</v>
      </c>
      <c r="R8353">
        <v>25</v>
      </c>
      <c r="S8353">
        <v>32</v>
      </c>
    </row>
    <row r="8354" spans="1:19" x14ac:dyDescent="0.35">
      <c r="A8354">
        <v>493</v>
      </c>
      <c r="B8354" t="s">
        <v>37528</v>
      </c>
      <c r="C8354" t="s">
        <v>42</v>
      </c>
      <c r="D8354" t="s">
        <v>37529</v>
      </c>
      <c r="E8354" t="e" cm="1">
        <f t="array" ref="E8354">- MONTELUKAST SODIUM</f>
        <v>#NAME?</v>
      </c>
      <c r="F8354" t="s">
        <v>37530</v>
      </c>
      <c r="G8354" t="s">
        <v>6310</v>
      </c>
      <c r="H8354" t="s">
        <v>37531</v>
      </c>
      <c r="I8354" t="s">
        <v>37532</v>
      </c>
      <c r="J8354" t="s">
        <v>15270</v>
      </c>
      <c r="K8354" t="s">
        <v>4677</v>
      </c>
      <c r="L8354" t="s">
        <v>37533</v>
      </c>
      <c r="M8354" t="s">
        <v>46</v>
      </c>
      <c r="N8354" t="s">
        <v>1492</v>
      </c>
      <c r="O8354" t="s">
        <v>37534</v>
      </c>
      <c r="P8354" t="s">
        <v>37535</v>
      </c>
      <c r="Q8354" t="s">
        <v>37536</v>
      </c>
      <c r="R8354">
        <v>25</v>
      </c>
      <c r="S8354">
        <v>32</v>
      </c>
    </row>
    <row r="8355" spans="1:19" x14ac:dyDescent="0.35">
      <c r="A8355">
        <v>4557</v>
      </c>
      <c r="B8355" t="s">
        <v>36767</v>
      </c>
      <c r="C8355" t="s">
        <v>42</v>
      </c>
      <c r="D8355" t="s">
        <v>36768</v>
      </c>
      <c r="E8355" t="e" cm="1">
        <f t="array" ref="E8355">- DISTILLED WITCH HAZEL</f>
        <v>#NAME?</v>
      </c>
      <c r="F8355" t="s">
        <v>32291</v>
      </c>
      <c r="G8355" t="s">
        <v>36769</v>
      </c>
      <c r="H8355" t="s">
        <v>14993</v>
      </c>
      <c r="I8355" t="s">
        <v>36770</v>
      </c>
      <c r="J8355" t="s">
        <v>36771</v>
      </c>
      <c r="K8355" t="s">
        <v>3952</v>
      </c>
      <c r="L8355" t="s">
        <v>36772</v>
      </c>
      <c r="M8355" t="s">
        <v>554</v>
      </c>
      <c r="N8355" t="s">
        <v>34733</v>
      </c>
      <c r="O8355" t="s">
        <v>36773</v>
      </c>
      <c r="P8355" t="s">
        <v>33664</v>
      </c>
      <c r="Q8355" t="s">
        <v>37605</v>
      </c>
      <c r="R8355">
        <v>25</v>
      </c>
      <c r="S8355">
        <v>32</v>
      </c>
    </row>
    <row r="8356" spans="1:19" x14ac:dyDescent="0.35">
      <c r="A8356">
        <v>6897</v>
      </c>
      <c r="B8356" t="s">
        <v>4253</v>
      </c>
      <c r="C8356" t="s">
        <v>850</v>
      </c>
      <c r="D8356" t="s">
        <v>37606</v>
      </c>
      <c r="E8356" t="e" cm="1">
        <f t="array" ref="E8356">- Capsicum Extract</f>
        <v>#NAME?</v>
      </c>
      <c r="F8356" t="s">
        <v>37607</v>
      </c>
      <c r="G8356" t="s">
        <v>37608</v>
      </c>
      <c r="H8356" t="s">
        <v>31619</v>
      </c>
      <c r="I8356" t="s">
        <v>37609</v>
      </c>
      <c r="J8356" t="s">
        <v>37610</v>
      </c>
      <c r="L8356" t="s">
        <v>37611</v>
      </c>
      <c r="N8356" t="s">
        <v>3318</v>
      </c>
      <c r="O8356" t="s">
        <v>37612</v>
      </c>
      <c r="P8356" t="s">
        <v>4257</v>
      </c>
      <c r="Q8356" t="s">
        <v>37613</v>
      </c>
      <c r="R8356">
        <v>25</v>
      </c>
      <c r="S8356">
        <v>32</v>
      </c>
    </row>
    <row r="8357" spans="1:19" x14ac:dyDescent="0.35">
      <c r="A8357">
        <v>492</v>
      </c>
      <c r="B8357" t="s">
        <v>37528</v>
      </c>
      <c r="C8357" t="s">
        <v>42</v>
      </c>
      <c r="D8357" t="s">
        <v>37529</v>
      </c>
      <c r="E8357" t="e" cm="1">
        <f t="array" ref="E8357">- MONTELUKAST SODIUM</f>
        <v>#NAME?</v>
      </c>
      <c r="F8357" t="s">
        <v>37530</v>
      </c>
      <c r="G8357" t="s">
        <v>6310</v>
      </c>
      <c r="H8357" t="s">
        <v>37531</v>
      </c>
      <c r="I8357" t="s">
        <v>37532</v>
      </c>
      <c r="J8357" t="s">
        <v>15270</v>
      </c>
      <c r="K8357" t="s">
        <v>4677</v>
      </c>
      <c r="L8357" t="s">
        <v>37533</v>
      </c>
      <c r="M8357" t="s">
        <v>46</v>
      </c>
      <c r="N8357" t="s">
        <v>1492</v>
      </c>
      <c r="O8357" t="s">
        <v>37534</v>
      </c>
      <c r="P8357" t="s">
        <v>37535</v>
      </c>
      <c r="Q8357" t="s">
        <v>37536</v>
      </c>
      <c r="R8357">
        <v>25</v>
      </c>
      <c r="S8357">
        <v>32</v>
      </c>
    </row>
    <row r="8358" spans="1:19" x14ac:dyDescent="0.35">
      <c r="A8358">
        <v>4008</v>
      </c>
      <c r="B8358" t="s">
        <v>37578</v>
      </c>
      <c r="C8358" t="s">
        <v>42</v>
      </c>
      <c r="D8358" t="s">
        <v>37579</v>
      </c>
      <c r="E8358" t="e" cm="1">
        <f t="array" ref="E8358">- SODIUM DIHYDROGEN PHOSPHATE MONOHYDRATE. DISODIUM HYDROGEN PHOSPHATE ANHYDROUS</f>
        <v>#NAME?</v>
      </c>
      <c r="F8358" t="s">
        <v>37580</v>
      </c>
      <c r="G8358" t="s">
        <v>37581</v>
      </c>
      <c r="H8358" t="s">
        <v>37582</v>
      </c>
      <c r="I8358" t="s">
        <v>37583</v>
      </c>
      <c r="J8358" t="s">
        <v>37584</v>
      </c>
      <c r="K8358" t="s">
        <v>37585</v>
      </c>
      <c r="L8358" t="s">
        <v>37586</v>
      </c>
      <c r="M8358" t="s">
        <v>12262</v>
      </c>
      <c r="N8358" t="s">
        <v>37587</v>
      </c>
      <c r="O8358" t="s">
        <v>37588</v>
      </c>
      <c r="P8358" t="s">
        <v>37589</v>
      </c>
      <c r="Q8358" t="s">
        <v>37590</v>
      </c>
      <c r="R8358">
        <v>25</v>
      </c>
      <c r="S8358">
        <v>32</v>
      </c>
    </row>
    <row r="8359" spans="1:19" x14ac:dyDescent="0.35">
      <c r="A8359">
        <v>6889</v>
      </c>
      <c r="B8359" t="s">
        <v>37614</v>
      </c>
      <c r="C8359" t="s">
        <v>850</v>
      </c>
      <c r="D8359" t="s">
        <v>37615</v>
      </c>
      <c r="E8359" t="e" cm="1">
        <f t="array" ref="E8359">- Camphor</f>
        <v>#NAME?</v>
      </c>
      <c r="F8359" t="s">
        <v>37616</v>
      </c>
      <c r="G8359" t="s">
        <v>12560</v>
      </c>
      <c r="H8359" t="s">
        <v>1322</v>
      </c>
      <c r="I8359" t="s">
        <v>37617</v>
      </c>
      <c r="J8359" t="s">
        <v>12562</v>
      </c>
      <c r="L8359" t="s">
        <v>37618</v>
      </c>
      <c r="N8359" t="s">
        <v>853</v>
      </c>
      <c r="O8359" t="s">
        <v>37619</v>
      </c>
      <c r="P8359" t="s">
        <v>37620</v>
      </c>
      <c r="Q8359" t="s">
        <v>37621</v>
      </c>
      <c r="R8359">
        <v>25</v>
      </c>
      <c r="S8359">
        <v>32</v>
      </c>
    </row>
    <row r="8360" spans="1:19" x14ac:dyDescent="0.35">
      <c r="A8360">
        <v>6948</v>
      </c>
      <c r="B8360" t="s">
        <v>1803</v>
      </c>
      <c r="C8360" t="s">
        <v>42</v>
      </c>
      <c r="D8360" t="s">
        <v>37622</v>
      </c>
      <c r="E8360" t="e" cm="1">
        <f t="array" ref="E8360">- TIZANIDINE HYDROCHLORIDE</f>
        <v>#NAME?</v>
      </c>
      <c r="F8360" t="s">
        <v>37623</v>
      </c>
      <c r="G8360" t="s">
        <v>37624</v>
      </c>
      <c r="H8360" t="s">
        <v>1322</v>
      </c>
      <c r="I8360" t="s">
        <v>37625</v>
      </c>
      <c r="J8360" t="s">
        <v>37626</v>
      </c>
      <c r="L8360" t="s">
        <v>37627</v>
      </c>
      <c r="M8360" t="s">
        <v>46</v>
      </c>
      <c r="N8360" t="s">
        <v>1806</v>
      </c>
      <c r="O8360" t="s">
        <v>37628</v>
      </c>
      <c r="P8360" t="s">
        <v>37629</v>
      </c>
      <c r="Q8360" t="s">
        <v>37630</v>
      </c>
      <c r="R8360">
        <v>25</v>
      </c>
      <c r="S8360">
        <v>32</v>
      </c>
    </row>
    <row r="8361" spans="1:19" x14ac:dyDescent="0.35">
      <c r="A8361">
        <v>6949</v>
      </c>
      <c r="B8361" t="s">
        <v>1803</v>
      </c>
      <c r="C8361" t="s">
        <v>42</v>
      </c>
      <c r="D8361" t="s">
        <v>37631</v>
      </c>
      <c r="E8361" t="e" cm="1">
        <f t="array" ref="E8361">- TIZANIDINE HYDROCHLORIDE</f>
        <v>#NAME?</v>
      </c>
      <c r="F8361" s="1">
        <v>34000</v>
      </c>
      <c r="G8361" t="s">
        <v>37624</v>
      </c>
      <c r="H8361" t="s">
        <v>1322</v>
      </c>
      <c r="I8361" t="s">
        <v>37625</v>
      </c>
      <c r="J8361" t="s">
        <v>37632</v>
      </c>
      <c r="L8361" t="s">
        <v>37627</v>
      </c>
      <c r="M8361" t="s">
        <v>46</v>
      </c>
      <c r="N8361" t="s">
        <v>1806</v>
      </c>
      <c r="O8361" t="s">
        <v>37628</v>
      </c>
      <c r="P8361" t="s">
        <v>37633</v>
      </c>
      <c r="Q8361" t="s">
        <v>37634</v>
      </c>
      <c r="R8361">
        <v>25</v>
      </c>
      <c r="S8361">
        <v>32</v>
      </c>
    </row>
    <row r="8362" spans="1:19" x14ac:dyDescent="0.35">
      <c r="A8362">
        <v>5829</v>
      </c>
      <c r="B8362" t="s">
        <v>37635</v>
      </c>
      <c r="C8362" t="s">
        <v>42</v>
      </c>
      <c r="D8362" t="s">
        <v>37636</v>
      </c>
      <c r="E8362" t="e" cm="1">
        <f t="array" ref="E8362">- OFLOXACIN</f>
        <v>#NAME?</v>
      </c>
      <c r="F8362" t="s">
        <v>37637</v>
      </c>
      <c r="G8362" t="s">
        <v>5568</v>
      </c>
      <c r="H8362" t="s">
        <v>37638</v>
      </c>
      <c r="I8362" t="s">
        <v>37639</v>
      </c>
      <c r="J8362" t="s">
        <v>37640</v>
      </c>
      <c r="K8362" t="s">
        <v>37641</v>
      </c>
      <c r="L8362" t="s">
        <v>37642</v>
      </c>
      <c r="M8362" t="s">
        <v>46</v>
      </c>
      <c r="N8362" t="s">
        <v>1640</v>
      </c>
      <c r="O8362" t="s">
        <v>37643</v>
      </c>
      <c r="P8362" t="s">
        <v>37644</v>
      </c>
      <c r="Q8362" t="s">
        <v>37645</v>
      </c>
      <c r="R8362">
        <v>25</v>
      </c>
      <c r="S8362">
        <v>32</v>
      </c>
    </row>
    <row r="8363" spans="1:19" x14ac:dyDescent="0.35">
      <c r="A8363">
        <v>583</v>
      </c>
      <c r="B8363" t="s">
        <v>37646</v>
      </c>
      <c r="C8363" t="s">
        <v>42</v>
      </c>
      <c r="D8363" t="s">
        <v>37647</v>
      </c>
      <c r="E8363" t="e" cm="1">
        <f t="array" ref="E8363">- SALBUTAMOL SULFATE. IPRATROPIUM BROMIDE MONOHYDRATE</f>
        <v>#NAME?</v>
      </c>
      <c r="F8363" t="s">
        <v>37648</v>
      </c>
      <c r="G8363" t="s">
        <v>37649</v>
      </c>
      <c r="H8363" t="s">
        <v>37650</v>
      </c>
      <c r="I8363" t="s">
        <v>37651</v>
      </c>
      <c r="J8363" t="s">
        <v>3422</v>
      </c>
      <c r="K8363" t="s">
        <v>37652</v>
      </c>
      <c r="L8363" t="s">
        <v>37653</v>
      </c>
      <c r="M8363" t="s">
        <v>3423</v>
      </c>
      <c r="N8363" t="s">
        <v>37654</v>
      </c>
      <c r="O8363" t="s">
        <v>37655</v>
      </c>
      <c r="P8363" t="s">
        <v>37656</v>
      </c>
      <c r="Q8363" t="s">
        <v>37657</v>
      </c>
      <c r="R8363">
        <v>25</v>
      </c>
      <c r="S8363">
        <v>32</v>
      </c>
    </row>
    <row r="8364" spans="1:19" x14ac:dyDescent="0.35">
      <c r="A8364">
        <v>7759</v>
      </c>
      <c r="B8364" t="s">
        <v>37658</v>
      </c>
      <c r="C8364" t="s">
        <v>20</v>
      </c>
      <c r="D8364" t="s">
        <v>37659</v>
      </c>
      <c r="E8364" t="s">
        <v>37660</v>
      </c>
      <c r="F8364" t="s">
        <v>37661</v>
      </c>
      <c r="G8364" t="s">
        <v>37662</v>
      </c>
      <c r="H8364" t="s">
        <v>37663</v>
      </c>
      <c r="I8364" t="s">
        <v>37664</v>
      </c>
      <c r="J8364" t="s">
        <v>37665</v>
      </c>
      <c r="L8364" t="s">
        <v>37666</v>
      </c>
      <c r="M8364" t="s">
        <v>2374</v>
      </c>
      <c r="N8364" t="s">
        <v>37667</v>
      </c>
      <c r="O8364" t="s">
        <v>37668</v>
      </c>
      <c r="P8364" t="s">
        <v>37669</v>
      </c>
      <c r="Q8364" t="s">
        <v>37670</v>
      </c>
      <c r="R8364">
        <v>25</v>
      </c>
      <c r="S8364">
        <v>32</v>
      </c>
    </row>
    <row r="8365" spans="1:19" x14ac:dyDescent="0.35">
      <c r="A8365">
        <v>6581</v>
      </c>
      <c r="B8365" t="s">
        <v>37671</v>
      </c>
      <c r="C8365" t="s">
        <v>42</v>
      </c>
      <c r="D8365" t="s">
        <v>37672</v>
      </c>
      <c r="E8365" t="e" cm="1">
        <f t="array" ref="E8365">- KETOCONAZOLE</f>
        <v>#NAME?</v>
      </c>
      <c r="F8365" t="s">
        <v>37673</v>
      </c>
      <c r="G8365" t="s">
        <v>4649</v>
      </c>
      <c r="H8365" t="s">
        <v>37674</v>
      </c>
      <c r="I8365" t="s">
        <v>37675</v>
      </c>
      <c r="J8365" t="s">
        <v>37676</v>
      </c>
      <c r="K8365" t="s">
        <v>37677</v>
      </c>
      <c r="L8365" t="s">
        <v>37678</v>
      </c>
      <c r="M8365" t="s">
        <v>46</v>
      </c>
      <c r="N8365" t="s">
        <v>533</v>
      </c>
      <c r="O8365" t="s">
        <v>37679</v>
      </c>
      <c r="P8365" t="s">
        <v>37680</v>
      </c>
      <c r="Q8365" t="s">
        <v>37681</v>
      </c>
      <c r="R8365">
        <v>25</v>
      </c>
      <c r="S8365">
        <v>32</v>
      </c>
    </row>
    <row r="8366" spans="1:19" x14ac:dyDescent="0.35">
      <c r="A8366">
        <v>9931</v>
      </c>
      <c r="B8366" t="s">
        <v>20885</v>
      </c>
      <c r="C8366" t="s">
        <v>42</v>
      </c>
      <c r="D8366" t="s">
        <v>34761</v>
      </c>
      <c r="E8366" t="s">
        <v>25969</v>
      </c>
      <c r="F8366" t="s">
        <v>34762</v>
      </c>
      <c r="G8366" t="s">
        <v>20888</v>
      </c>
      <c r="H8366" t="s">
        <v>34763</v>
      </c>
      <c r="I8366" t="s">
        <v>34764</v>
      </c>
      <c r="J8366" t="s">
        <v>34765</v>
      </c>
      <c r="K8366" t="s">
        <v>20891</v>
      </c>
      <c r="L8366" t="s">
        <v>20892</v>
      </c>
      <c r="M8366" t="s">
        <v>46</v>
      </c>
      <c r="N8366" t="s">
        <v>25970</v>
      </c>
      <c r="O8366" t="s">
        <v>33831</v>
      </c>
      <c r="P8366" t="s">
        <v>34766</v>
      </c>
      <c r="Q8366" t="s">
        <v>37682</v>
      </c>
      <c r="R8366">
        <v>25</v>
      </c>
      <c r="S8366">
        <v>32</v>
      </c>
    </row>
    <row r="8367" spans="1:19" x14ac:dyDescent="0.35">
      <c r="A8367">
        <v>5087</v>
      </c>
      <c r="B8367" t="s">
        <v>37683</v>
      </c>
      <c r="C8367" t="s">
        <v>42</v>
      </c>
      <c r="D8367" t="s">
        <v>37684</v>
      </c>
      <c r="E8367" t="e" cm="1">
        <f t="array" ref="E8367">- CLOBETASOL PROPIONATE</f>
        <v>#NAME?</v>
      </c>
      <c r="F8367" t="s">
        <v>37685</v>
      </c>
      <c r="G8367" t="s">
        <v>37686</v>
      </c>
      <c r="H8367" t="s">
        <v>37687</v>
      </c>
      <c r="I8367" t="s">
        <v>37688</v>
      </c>
      <c r="J8367" t="s">
        <v>7114</v>
      </c>
      <c r="K8367" t="s">
        <v>37689</v>
      </c>
      <c r="L8367" t="s">
        <v>37690</v>
      </c>
      <c r="M8367" t="s">
        <v>1289</v>
      </c>
      <c r="N8367" t="s">
        <v>3588</v>
      </c>
      <c r="O8367" t="s">
        <v>37691</v>
      </c>
      <c r="P8367" t="s">
        <v>37692</v>
      </c>
      <c r="Q8367" t="s">
        <v>37693</v>
      </c>
      <c r="R8367">
        <v>25</v>
      </c>
      <c r="S8367">
        <v>32</v>
      </c>
    </row>
    <row r="8368" spans="1:19" x14ac:dyDescent="0.35">
      <c r="A8368">
        <v>1327</v>
      </c>
      <c r="B8368" t="s">
        <v>37694</v>
      </c>
      <c r="C8368" t="s">
        <v>42</v>
      </c>
      <c r="D8368" t="s">
        <v>37695</v>
      </c>
      <c r="E8368" t="e" cm="1">
        <f t="array" ref="E8368">- AMBROXOL HYDROCHLORIDE</f>
        <v>#NAME?</v>
      </c>
      <c r="F8368" t="s">
        <v>37696</v>
      </c>
      <c r="G8368" t="s">
        <v>835</v>
      </c>
      <c r="H8368" t="s">
        <v>37697</v>
      </c>
      <c r="I8368" t="s">
        <v>37698</v>
      </c>
      <c r="J8368" t="s">
        <v>334</v>
      </c>
      <c r="L8368" t="s">
        <v>37699</v>
      </c>
      <c r="M8368" t="s">
        <v>271</v>
      </c>
      <c r="N8368" t="s">
        <v>1800</v>
      </c>
      <c r="O8368" t="s">
        <v>37700</v>
      </c>
      <c r="P8368" t="s">
        <v>1801</v>
      </c>
      <c r="Q8368" t="s">
        <v>37701</v>
      </c>
      <c r="R8368">
        <v>25</v>
      </c>
      <c r="S8368">
        <v>32</v>
      </c>
    </row>
    <row r="8369" spans="1:19" x14ac:dyDescent="0.35">
      <c r="A8369">
        <v>922</v>
      </c>
      <c r="B8369" t="s">
        <v>37537</v>
      </c>
      <c r="C8369" t="s">
        <v>42</v>
      </c>
      <c r="D8369" t="s">
        <v>37538</v>
      </c>
      <c r="E8369" t="e" cm="1">
        <f t="array" ref="E8369">- DEXTROMETHORPHAN HYDROBROMIDE</f>
        <v>#NAME?</v>
      </c>
      <c r="F8369" t="s">
        <v>37539</v>
      </c>
      <c r="G8369" t="s">
        <v>37540</v>
      </c>
      <c r="H8369" t="s">
        <v>37541</v>
      </c>
      <c r="I8369" t="s">
        <v>37542</v>
      </c>
      <c r="J8369" t="s">
        <v>37543</v>
      </c>
      <c r="K8369" t="s">
        <v>37544</v>
      </c>
      <c r="L8369" t="s">
        <v>37545</v>
      </c>
      <c r="M8369" t="s">
        <v>291</v>
      </c>
      <c r="N8369" t="s">
        <v>1376</v>
      </c>
      <c r="O8369" t="s">
        <v>37546</v>
      </c>
      <c r="P8369" t="s">
        <v>26391</v>
      </c>
      <c r="Q8369" t="s">
        <v>37547</v>
      </c>
      <c r="R8369">
        <v>25</v>
      </c>
      <c r="S8369">
        <v>32</v>
      </c>
    </row>
    <row r="8370" spans="1:19" x14ac:dyDescent="0.35">
      <c r="A8370">
        <v>5989</v>
      </c>
      <c r="B8370" t="s">
        <v>37702</v>
      </c>
      <c r="C8370" t="s">
        <v>42</v>
      </c>
      <c r="D8370" t="s">
        <v>37703</v>
      </c>
      <c r="E8370" t="e" cm="1">
        <f t="array" ref="E8370">- CLINDAMYCIN HYDROCHLORIDE</f>
        <v>#NAME?</v>
      </c>
      <c r="F8370" t="s">
        <v>37704</v>
      </c>
      <c r="G8370" t="s">
        <v>2241</v>
      </c>
      <c r="H8370" t="s">
        <v>27129</v>
      </c>
      <c r="I8370" t="s">
        <v>36485</v>
      </c>
      <c r="J8370" t="s">
        <v>37705</v>
      </c>
      <c r="K8370" t="s">
        <v>27130</v>
      </c>
      <c r="L8370" t="s">
        <v>27131</v>
      </c>
      <c r="M8370" t="s">
        <v>38</v>
      </c>
      <c r="N8370" t="s">
        <v>23622</v>
      </c>
      <c r="O8370" t="s">
        <v>36487</v>
      </c>
      <c r="P8370" t="s">
        <v>28845</v>
      </c>
      <c r="Q8370" t="s">
        <v>37706</v>
      </c>
      <c r="R8370">
        <v>25</v>
      </c>
      <c r="S8370">
        <v>32</v>
      </c>
    </row>
    <row r="8371" spans="1:19" x14ac:dyDescent="0.35">
      <c r="A8371">
        <v>1774</v>
      </c>
      <c r="B8371" t="s">
        <v>37707</v>
      </c>
      <c r="C8371" t="s">
        <v>20</v>
      </c>
      <c r="D8371" t="s">
        <v>37708</v>
      </c>
      <c r="E8371" t="s">
        <v>37709</v>
      </c>
      <c r="F8371" t="s">
        <v>37710</v>
      </c>
      <c r="G8371" t="s">
        <v>27012</v>
      </c>
      <c r="H8371" t="s">
        <v>13586</v>
      </c>
      <c r="I8371" t="s">
        <v>36411</v>
      </c>
      <c r="J8371" t="s">
        <v>829</v>
      </c>
      <c r="K8371" t="s">
        <v>2858</v>
      </c>
      <c r="L8371" t="s">
        <v>27014</v>
      </c>
      <c r="M8371" t="s">
        <v>2115</v>
      </c>
      <c r="N8371" t="s">
        <v>37711</v>
      </c>
      <c r="O8371" t="s">
        <v>36413</v>
      </c>
      <c r="P8371" t="s">
        <v>36929</v>
      </c>
      <c r="Q8371" t="s">
        <v>37712</v>
      </c>
      <c r="R8371">
        <v>25</v>
      </c>
      <c r="S8371">
        <v>32</v>
      </c>
    </row>
    <row r="8372" spans="1:19" x14ac:dyDescent="0.35">
      <c r="A8372">
        <v>7944</v>
      </c>
      <c r="B8372" t="s">
        <v>37713</v>
      </c>
      <c r="C8372" t="s">
        <v>20</v>
      </c>
      <c r="D8372" t="s">
        <v>37714</v>
      </c>
      <c r="E8372" t="s">
        <v>37715</v>
      </c>
      <c r="F8372" t="s">
        <v>37716</v>
      </c>
      <c r="G8372" t="s">
        <v>6135</v>
      </c>
      <c r="H8372" t="s">
        <v>37717</v>
      </c>
      <c r="I8372" t="s">
        <v>37718</v>
      </c>
      <c r="J8372" t="s">
        <v>37719</v>
      </c>
      <c r="N8372" t="s">
        <v>37720</v>
      </c>
      <c r="O8372" t="s">
        <v>37721</v>
      </c>
      <c r="P8372" t="s">
        <v>37722</v>
      </c>
      <c r="Q8372" t="s">
        <v>37723</v>
      </c>
      <c r="R8372">
        <v>25</v>
      </c>
      <c r="S8372">
        <v>32</v>
      </c>
    </row>
    <row r="8373" spans="1:19" x14ac:dyDescent="0.35">
      <c r="A8373">
        <v>4291</v>
      </c>
      <c r="B8373" t="s">
        <v>37724</v>
      </c>
      <c r="C8373" t="s">
        <v>42</v>
      </c>
      <c r="D8373" t="s">
        <v>37725</v>
      </c>
      <c r="E8373" t="e" cm="1">
        <f t="array" ref="E8373">- CHLORPHENAMINE MALEATE</f>
        <v>#NAME?</v>
      </c>
      <c r="F8373" t="s">
        <v>37726</v>
      </c>
      <c r="I8373" t="s">
        <v>37020</v>
      </c>
      <c r="J8373" t="s">
        <v>727</v>
      </c>
      <c r="M8373" t="s">
        <v>291</v>
      </c>
      <c r="N8373" t="s">
        <v>1354</v>
      </c>
      <c r="O8373" t="s">
        <v>37023</v>
      </c>
      <c r="P8373" t="s">
        <v>37727</v>
      </c>
      <c r="Q8373" t="s">
        <v>37728</v>
      </c>
      <c r="R8373">
        <v>25</v>
      </c>
      <c r="S8373">
        <v>32</v>
      </c>
    </row>
    <row r="8374" spans="1:19" x14ac:dyDescent="0.35">
      <c r="A8374">
        <v>1326</v>
      </c>
      <c r="B8374" t="s">
        <v>37694</v>
      </c>
      <c r="C8374" t="s">
        <v>42</v>
      </c>
      <c r="D8374" t="s">
        <v>37695</v>
      </c>
      <c r="E8374" t="e" cm="1">
        <f t="array" ref="E8374">- AMBROXOL HYDROCHLORIDE</f>
        <v>#NAME?</v>
      </c>
      <c r="F8374" t="s">
        <v>37696</v>
      </c>
      <c r="G8374" t="s">
        <v>835</v>
      </c>
      <c r="H8374" t="s">
        <v>37697</v>
      </c>
      <c r="I8374" t="s">
        <v>37698</v>
      </c>
      <c r="J8374" t="s">
        <v>334</v>
      </c>
      <c r="L8374" t="s">
        <v>37699</v>
      </c>
      <c r="M8374" t="s">
        <v>271</v>
      </c>
      <c r="N8374" t="s">
        <v>1800</v>
      </c>
      <c r="O8374" t="s">
        <v>37700</v>
      </c>
      <c r="P8374" t="s">
        <v>1801</v>
      </c>
      <c r="Q8374" t="s">
        <v>37701</v>
      </c>
      <c r="R8374">
        <v>25</v>
      </c>
      <c r="S8374">
        <v>32</v>
      </c>
    </row>
    <row r="8375" spans="1:19" x14ac:dyDescent="0.35">
      <c r="A8375">
        <v>1773</v>
      </c>
      <c r="B8375" t="s">
        <v>37707</v>
      </c>
      <c r="C8375" t="s">
        <v>20</v>
      </c>
      <c r="D8375" t="s">
        <v>37729</v>
      </c>
      <c r="E8375" t="s">
        <v>37709</v>
      </c>
      <c r="F8375" t="s">
        <v>37730</v>
      </c>
      <c r="G8375" t="s">
        <v>27012</v>
      </c>
      <c r="H8375" t="s">
        <v>13586</v>
      </c>
      <c r="I8375" t="s">
        <v>36411</v>
      </c>
      <c r="J8375" t="s">
        <v>1144</v>
      </c>
      <c r="K8375" t="s">
        <v>2858</v>
      </c>
      <c r="L8375" t="s">
        <v>27014</v>
      </c>
      <c r="M8375" t="s">
        <v>2115</v>
      </c>
      <c r="N8375" t="s">
        <v>37711</v>
      </c>
      <c r="O8375" t="s">
        <v>36413</v>
      </c>
      <c r="P8375" t="s">
        <v>36929</v>
      </c>
      <c r="Q8375" t="s">
        <v>37712</v>
      </c>
      <c r="R8375">
        <v>25</v>
      </c>
      <c r="S8375">
        <v>32</v>
      </c>
    </row>
    <row r="8376" spans="1:19" x14ac:dyDescent="0.35">
      <c r="A8376">
        <v>4741</v>
      </c>
      <c r="B8376" t="s">
        <v>32550</v>
      </c>
      <c r="C8376" t="s">
        <v>42</v>
      </c>
      <c r="D8376" t="s">
        <v>32551</v>
      </c>
      <c r="E8376" t="e" cm="1">
        <f t="array" ref="E8376">- DEXAMETHASONE. NEOMYCIN SULFATE. POLYMYXIN B SULFATE</f>
        <v>#NAME?</v>
      </c>
      <c r="F8376" t="s">
        <v>32552</v>
      </c>
      <c r="G8376" t="s">
        <v>24870</v>
      </c>
      <c r="H8376" t="s">
        <v>32553</v>
      </c>
      <c r="I8376" t="s">
        <v>32554</v>
      </c>
      <c r="J8376" t="s">
        <v>7544</v>
      </c>
      <c r="K8376" t="s">
        <v>31566</v>
      </c>
      <c r="L8376" t="s">
        <v>32555</v>
      </c>
      <c r="M8376" t="s">
        <v>1029</v>
      </c>
      <c r="N8376" t="s">
        <v>34711</v>
      </c>
      <c r="O8376" t="s">
        <v>32556</v>
      </c>
      <c r="P8376" t="s">
        <v>32557</v>
      </c>
      <c r="Q8376" t="s">
        <v>37731</v>
      </c>
      <c r="R8376">
        <v>25</v>
      </c>
      <c r="S8376">
        <v>32</v>
      </c>
    </row>
    <row r="8377" spans="1:19" x14ac:dyDescent="0.35">
      <c r="A8377">
        <v>7670</v>
      </c>
      <c r="B8377" t="s">
        <v>37732</v>
      </c>
      <c r="C8377" t="s">
        <v>20</v>
      </c>
      <c r="D8377" t="s">
        <v>37733</v>
      </c>
      <c r="E8377" t="s">
        <v>37734</v>
      </c>
      <c r="F8377" t="s">
        <v>126</v>
      </c>
      <c r="G8377" t="s">
        <v>37375</v>
      </c>
      <c r="H8377" t="s">
        <v>35617</v>
      </c>
      <c r="I8377" t="s">
        <v>32576</v>
      </c>
      <c r="J8377" t="s">
        <v>31731</v>
      </c>
      <c r="M8377" t="s">
        <v>554</v>
      </c>
      <c r="N8377" t="s">
        <v>37735</v>
      </c>
      <c r="O8377" t="s">
        <v>32578</v>
      </c>
      <c r="P8377" t="s">
        <v>37736</v>
      </c>
      <c r="Q8377" t="s">
        <v>37737</v>
      </c>
      <c r="R8377">
        <v>25</v>
      </c>
      <c r="S8377">
        <v>32</v>
      </c>
    </row>
    <row r="8378" spans="1:19" x14ac:dyDescent="0.35">
      <c r="A8378">
        <v>6950</v>
      </c>
      <c r="B8378" t="s">
        <v>1803</v>
      </c>
      <c r="C8378" t="s">
        <v>42</v>
      </c>
      <c r="D8378" t="s">
        <v>37738</v>
      </c>
      <c r="E8378" t="e" cm="1">
        <f t="array" ref="E8378">- TIZANIDINE HYDROCHLORIDE</f>
        <v>#NAME?</v>
      </c>
      <c r="F8378" s="1">
        <v>18500</v>
      </c>
      <c r="G8378" t="s">
        <v>37624</v>
      </c>
      <c r="H8378" t="s">
        <v>1322</v>
      </c>
      <c r="I8378" t="s">
        <v>37625</v>
      </c>
      <c r="J8378" t="s">
        <v>33156</v>
      </c>
      <c r="L8378" t="s">
        <v>37627</v>
      </c>
      <c r="M8378" t="s">
        <v>46</v>
      </c>
      <c r="N8378" t="s">
        <v>1806</v>
      </c>
      <c r="O8378" t="s">
        <v>37628</v>
      </c>
      <c r="P8378" t="s">
        <v>37633</v>
      </c>
      <c r="Q8378" t="s">
        <v>37634</v>
      </c>
      <c r="R8378">
        <v>25</v>
      </c>
      <c r="S8378">
        <v>32</v>
      </c>
    </row>
    <row r="8379" spans="1:19" x14ac:dyDescent="0.35">
      <c r="A8379">
        <v>7671</v>
      </c>
      <c r="B8379" t="s">
        <v>37732</v>
      </c>
      <c r="C8379" t="s">
        <v>20</v>
      </c>
      <c r="D8379" t="s">
        <v>37733</v>
      </c>
      <c r="E8379" t="s">
        <v>37734</v>
      </c>
      <c r="F8379" t="s">
        <v>126</v>
      </c>
      <c r="G8379" t="s">
        <v>37375</v>
      </c>
      <c r="H8379" t="s">
        <v>35617</v>
      </c>
      <c r="I8379" t="s">
        <v>32576</v>
      </c>
      <c r="J8379" t="s">
        <v>31731</v>
      </c>
      <c r="M8379" t="s">
        <v>554</v>
      </c>
      <c r="N8379" t="s">
        <v>37735</v>
      </c>
      <c r="O8379" t="s">
        <v>32578</v>
      </c>
      <c r="P8379" t="s">
        <v>37736</v>
      </c>
      <c r="Q8379" t="s">
        <v>37737</v>
      </c>
      <c r="R8379">
        <v>25</v>
      </c>
      <c r="S8379">
        <v>32</v>
      </c>
    </row>
    <row r="8380" spans="1:19" x14ac:dyDescent="0.35">
      <c r="A8380">
        <v>3572</v>
      </c>
      <c r="B8380" t="s">
        <v>37591</v>
      </c>
      <c r="C8380" t="s">
        <v>42</v>
      </c>
      <c r="D8380" t="s">
        <v>37592</v>
      </c>
      <c r="E8380" t="e" cm="1">
        <f t="array" ref="E8380">- DOMPERIDONE MALEATE</f>
        <v>#NAME?</v>
      </c>
      <c r="F8380" t="s">
        <v>37593</v>
      </c>
      <c r="H8380" t="s">
        <v>37594</v>
      </c>
      <c r="I8380" t="s">
        <v>37595</v>
      </c>
    </row>
    <row r="8381" spans="1:19" x14ac:dyDescent="0.35">
      <c r="A8381">
        <v>4196</v>
      </c>
      <c r="B8381" t="s">
        <v>37739</v>
      </c>
      <c r="C8381" t="s">
        <v>42</v>
      </c>
      <c r="D8381" t="s">
        <v>37740</v>
      </c>
      <c r="E8381" t="e" cm="1">
        <f t="array" ref="E8381">- DESLORATADINE</f>
        <v>#NAME?</v>
      </c>
      <c r="F8381" s="1">
        <v>97200</v>
      </c>
      <c r="G8381" t="s">
        <v>4420</v>
      </c>
      <c r="H8381" t="s">
        <v>37741</v>
      </c>
      <c r="I8381" t="s">
        <v>37742</v>
      </c>
      <c r="J8381" t="s">
        <v>599</v>
      </c>
      <c r="K8381" t="s">
        <v>3473</v>
      </c>
      <c r="L8381" t="s">
        <v>37743</v>
      </c>
      <c r="M8381" t="s">
        <v>46</v>
      </c>
      <c r="N8381" t="s">
        <v>1107</v>
      </c>
      <c r="O8381" t="s">
        <v>37744</v>
      </c>
      <c r="P8381" t="s">
        <v>37745</v>
      </c>
      <c r="Q8381" t="s">
        <v>37746</v>
      </c>
      <c r="R8381">
        <v>25</v>
      </c>
      <c r="S8381">
        <v>32</v>
      </c>
    </row>
    <row r="8382" spans="1:19" x14ac:dyDescent="0.35">
      <c r="A8382">
        <v>924</v>
      </c>
      <c r="B8382" t="s">
        <v>37537</v>
      </c>
      <c r="C8382" t="s">
        <v>42</v>
      </c>
      <c r="D8382" t="s">
        <v>37538</v>
      </c>
      <c r="E8382" t="e" cm="1">
        <f t="array" ref="E8382">- DEXTROMETHORPHAN HYDROBROMIDE</f>
        <v>#NAME?</v>
      </c>
      <c r="F8382" t="s">
        <v>37539</v>
      </c>
      <c r="G8382" t="s">
        <v>37540</v>
      </c>
      <c r="H8382" t="s">
        <v>37541</v>
      </c>
      <c r="I8382" t="s">
        <v>37542</v>
      </c>
      <c r="J8382" t="s">
        <v>37543</v>
      </c>
      <c r="K8382" t="s">
        <v>37544</v>
      </c>
      <c r="L8382" t="s">
        <v>37545</v>
      </c>
      <c r="M8382" t="s">
        <v>291</v>
      </c>
      <c r="N8382" t="s">
        <v>1376</v>
      </c>
      <c r="O8382" t="s">
        <v>37546</v>
      </c>
      <c r="P8382" t="s">
        <v>26391</v>
      </c>
      <c r="Q8382" t="s">
        <v>37547</v>
      </c>
      <c r="R8382">
        <v>25</v>
      </c>
      <c r="S8382">
        <v>32</v>
      </c>
    </row>
    <row r="8383" spans="1:19" x14ac:dyDescent="0.35">
      <c r="A8383">
        <v>5830</v>
      </c>
      <c r="B8383" t="s">
        <v>37635</v>
      </c>
      <c r="C8383" t="s">
        <v>42</v>
      </c>
      <c r="D8383" t="s">
        <v>37636</v>
      </c>
      <c r="E8383" t="e" cm="1">
        <f t="array" ref="E8383">- OFLOXACIN</f>
        <v>#NAME?</v>
      </c>
      <c r="F8383" t="s">
        <v>37637</v>
      </c>
      <c r="G8383" t="s">
        <v>5568</v>
      </c>
      <c r="H8383" t="s">
        <v>37638</v>
      </c>
      <c r="I8383" t="s">
        <v>37639</v>
      </c>
      <c r="J8383" t="s">
        <v>37640</v>
      </c>
      <c r="K8383" t="s">
        <v>37641</v>
      </c>
      <c r="L8383" t="s">
        <v>37642</v>
      </c>
      <c r="M8383" t="s">
        <v>46</v>
      </c>
      <c r="N8383" t="s">
        <v>1640</v>
      </c>
      <c r="O8383" t="s">
        <v>37643</v>
      </c>
      <c r="P8383" t="s">
        <v>37644</v>
      </c>
      <c r="Q8383" t="s">
        <v>37645</v>
      </c>
      <c r="R8383">
        <v>25</v>
      </c>
      <c r="S8383">
        <v>32</v>
      </c>
    </row>
    <row r="8384" spans="1:19" x14ac:dyDescent="0.35">
      <c r="A8384">
        <v>6604</v>
      </c>
      <c r="B8384" t="s">
        <v>37747</v>
      </c>
      <c r="C8384" t="s">
        <v>42</v>
      </c>
      <c r="D8384" t="s">
        <v>37748</v>
      </c>
      <c r="E8384" t="e" cm="1">
        <f t="array" ref="E8384">- ITRACONAZOLE</f>
        <v>#NAME?</v>
      </c>
      <c r="F8384" t="s">
        <v>37749</v>
      </c>
      <c r="G8384" t="s">
        <v>5506</v>
      </c>
      <c r="H8384" t="s">
        <v>37750</v>
      </c>
      <c r="I8384" t="s">
        <v>37751</v>
      </c>
      <c r="J8384" t="s">
        <v>37752</v>
      </c>
      <c r="K8384" t="s">
        <v>37753</v>
      </c>
      <c r="L8384" t="s">
        <v>37754</v>
      </c>
      <c r="M8384" t="s">
        <v>38</v>
      </c>
      <c r="N8384" t="s">
        <v>5512</v>
      </c>
      <c r="O8384" t="s">
        <v>37755</v>
      </c>
      <c r="P8384" t="s">
        <v>37756</v>
      </c>
      <c r="Q8384" t="s">
        <v>37757</v>
      </c>
      <c r="R8384">
        <v>25</v>
      </c>
      <c r="S8384">
        <v>32</v>
      </c>
    </row>
    <row r="8385" spans="1:19" x14ac:dyDescent="0.35">
      <c r="A8385">
        <v>4500</v>
      </c>
      <c r="B8385" t="s">
        <v>37758</v>
      </c>
      <c r="C8385" t="s">
        <v>42</v>
      </c>
      <c r="D8385" t="s">
        <v>37759</v>
      </c>
      <c r="E8385" t="e" cm="1">
        <f t="array" ref="E8385">- WITCH HAZEL</f>
        <v>#NAME?</v>
      </c>
      <c r="F8385" t="s">
        <v>37760</v>
      </c>
      <c r="G8385" t="s">
        <v>37761</v>
      </c>
      <c r="H8385" t="s">
        <v>37762</v>
      </c>
      <c r="I8385" t="s">
        <v>37763</v>
      </c>
      <c r="J8385" t="s">
        <v>37764</v>
      </c>
      <c r="K8385" t="s">
        <v>3952</v>
      </c>
      <c r="L8385" t="s">
        <v>37765</v>
      </c>
      <c r="M8385" t="s">
        <v>554</v>
      </c>
      <c r="N8385" t="s">
        <v>33662</v>
      </c>
      <c r="O8385" t="s">
        <v>37766</v>
      </c>
      <c r="P8385" t="s">
        <v>37767</v>
      </c>
      <c r="Q8385" t="s">
        <v>37768</v>
      </c>
      <c r="R8385">
        <v>25</v>
      </c>
      <c r="S8385">
        <v>32</v>
      </c>
    </row>
    <row r="8386" spans="1:19" x14ac:dyDescent="0.35">
      <c r="A8386">
        <v>4112</v>
      </c>
      <c r="B8386" t="s">
        <v>37769</v>
      </c>
      <c r="C8386" t="s">
        <v>42</v>
      </c>
      <c r="D8386" t="s">
        <v>37770</v>
      </c>
      <c r="E8386" t="e" cm="1">
        <f t="array" ref="E8386">- LORATADINE</f>
        <v>#NAME?</v>
      </c>
      <c r="F8386" t="s">
        <v>18047</v>
      </c>
      <c r="G8386" t="s">
        <v>2241</v>
      </c>
      <c r="H8386" t="s">
        <v>37771</v>
      </c>
      <c r="I8386" t="s">
        <v>37772</v>
      </c>
      <c r="J8386" t="s">
        <v>37773</v>
      </c>
      <c r="K8386" t="s">
        <v>37774</v>
      </c>
      <c r="L8386" t="s">
        <v>37775</v>
      </c>
      <c r="M8386" t="s">
        <v>291</v>
      </c>
      <c r="N8386" t="s">
        <v>9225</v>
      </c>
      <c r="O8386" t="s">
        <v>37776</v>
      </c>
      <c r="P8386" t="s">
        <v>37777</v>
      </c>
      <c r="Q8386" t="s">
        <v>37778</v>
      </c>
      <c r="R8386">
        <v>25</v>
      </c>
      <c r="S8386">
        <v>32</v>
      </c>
    </row>
    <row r="8387" spans="1:19" x14ac:dyDescent="0.35">
      <c r="A8387">
        <v>561</v>
      </c>
      <c r="B8387" t="s">
        <v>4553</v>
      </c>
      <c r="C8387" t="s">
        <v>42</v>
      </c>
      <c r="D8387" t="s">
        <v>37779</v>
      </c>
      <c r="E8387" t="e" cm="1">
        <f t="array" ref="E8387">- TERBUTALINE SULFATE. GUAIFENESIN</f>
        <v>#NAME?</v>
      </c>
      <c r="F8387" t="s">
        <v>37780</v>
      </c>
      <c r="G8387" t="s">
        <v>2241</v>
      </c>
      <c r="I8387" t="s">
        <v>37781</v>
      </c>
      <c r="J8387" t="s">
        <v>374</v>
      </c>
      <c r="K8387" t="s">
        <v>37782</v>
      </c>
      <c r="M8387" t="s">
        <v>271</v>
      </c>
      <c r="N8387" t="s">
        <v>4556</v>
      </c>
      <c r="O8387" t="s">
        <v>37783</v>
      </c>
      <c r="P8387" t="s">
        <v>4557</v>
      </c>
      <c r="Q8387" t="s">
        <v>37784</v>
      </c>
      <c r="R8387">
        <v>25</v>
      </c>
      <c r="S8387">
        <v>32</v>
      </c>
    </row>
    <row r="8388" spans="1:19" x14ac:dyDescent="0.35">
      <c r="A8388">
        <v>6928</v>
      </c>
      <c r="B8388" t="s">
        <v>1803</v>
      </c>
      <c r="C8388" t="s">
        <v>42</v>
      </c>
      <c r="D8388" t="s">
        <v>37622</v>
      </c>
      <c r="E8388" t="e" cm="1">
        <f t="array" ref="E8388">- TIZANIDINE HYDROCHLORIDE</f>
        <v>#NAME?</v>
      </c>
      <c r="F8388" t="s">
        <v>37623</v>
      </c>
      <c r="G8388" t="s">
        <v>37624</v>
      </c>
      <c r="H8388" t="s">
        <v>1322</v>
      </c>
      <c r="I8388" t="s">
        <v>37625</v>
      </c>
      <c r="J8388" t="s">
        <v>37626</v>
      </c>
      <c r="L8388" t="s">
        <v>37627</v>
      </c>
      <c r="M8388" t="s">
        <v>46</v>
      </c>
      <c r="N8388" t="s">
        <v>1806</v>
      </c>
      <c r="O8388" t="s">
        <v>37628</v>
      </c>
      <c r="P8388" t="s">
        <v>37629</v>
      </c>
      <c r="Q8388" t="s">
        <v>37630</v>
      </c>
      <c r="R8388">
        <v>25</v>
      </c>
      <c r="S8388">
        <v>32</v>
      </c>
    </row>
    <row r="8389" spans="1:19" x14ac:dyDescent="0.35">
      <c r="A8389">
        <v>4069</v>
      </c>
      <c r="B8389" t="s">
        <v>37785</v>
      </c>
      <c r="C8389" t="s">
        <v>42</v>
      </c>
      <c r="D8389" t="s">
        <v>37786</v>
      </c>
      <c r="E8389" t="e" cm="1">
        <f t="array" ref="E8389">- DESLORATADINE</f>
        <v>#NAME?</v>
      </c>
      <c r="F8389" t="s">
        <v>37787</v>
      </c>
      <c r="G8389" t="s">
        <v>4420</v>
      </c>
      <c r="H8389" t="s">
        <v>37788</v>
      </c>
      <c r="I8389" t="s">
        <v>37789</v>
      </c>
      <c r="J8389" t="s">
        <v>37790</v>
      </c>
      <c r="K8389" t="s">
        <v>2726</v>
      </c>
      <c r="L8389" t="s">
        <v>37743</v>
      </c>
      <c r="M8389" t="s">
        <v>46</v>
      </c>
      <c r="N8389" t="s">
        <v>1107</v>
      </c>
      <c r="O8389" t="s">
        <v>37744</v>
      </c>
      <c r="P8389" t="s">
        <v>7464</v>
      </c>
      <c r="Q8389" t="s">
        <v>37791</v>
      </c>
      <c r="R8389">
        <v>25</v>
      </c>
      <c r="S8389">
        <v>32</v>
      </c>
    </row>
    <row r="8390" spans="1:19" x14ac:dyDescent="0.35">
      <c r="A8390">
        <v>3488</v>
      </c>
      <c r="B8390" t="s">
        <v>37792</v>
      </c>
      <c r="C8390" t="s">
        <v>42</v>
      </c>
      <c r="D8390" t="s">
        <v>37793</v>
      </c>
      <c r="E8390" t="e" cm="1">
        <f t="array" ref="E8390">- METOCLOPRAMIDE HYDROCHLORIDE</f>
        <v>#NAME?</v>
      </c>
      <c r="F8390" t="s">
        <v>37794</v>
      </c>
      <c r="G8390" t="s">
        <v>37795</v>
      </c>
      <c r="H8390" t="s">
        <v>37796</v>
      </c>
      <c r="I8390" t="s">
        <v>37797</v>
      </c>
      <c r="J8390" t="s">
        <v>5085</v>
      </c>
      <c r="K8390" t="s">
        <v>37798</v>
      </c>
      <c r="L8390" t="s">
        <v>37799</v>
      </c>
      <c r="M8390" t="s">
        <v>46</v>
      </c>
      <c r="N8390" t="s">
        <v>1876</v>
      </c>
      <c r="O8390" t="s">
        <v>37800</v>
      </c>
      <c r="P8390" t="s">
        <v>37801</v>
      </c>
      <c r="Q8390" t="s">
        <v>37802</v>
      </c>
      <c r="R8390">
        <v>25</v>
      </c>
      <c r="S8390">
        <v>32</v>
      </c>
    </row>
    <row r="8391" spans="1:19" x14ac:dyDescent="0.35">
      <c r="A8391">
        <v>4068</v>
      </c>
      <c r="B8391" t="s">
        <v>37785</v>
      </c>
      <c r="C8391" t="s">
        <v>42</v>
      </c>
      <c r="D8391" t="s">
        <v>37786</v>
      </c>
      <c r="E8391" t="e" cm="1">
        <f t="array" ref="E8391">- DESLORATADINE</f>
        <v>#NAME?</v>
      </c>
      <c r="F8391" t="s">
        <v>37787</v>
      </c>
      <c r="G8391" t="s">
        <v>4420</v>
      </c>
      <c r="H8391" t="s">
        <v>37788</v>
      </c>
      <c r="I8391" t="s">
        <v>37789</v>
      </c>
      <c r="J8391" t="s">
        <v>37790</v>
      </c>
      <c r="K8391" t="s">
        <v>2726</v>
      </c>
      <c r="L8391" t="s">
        <v>37743</v>
      </c>
      <c r="M8391" t="s">
        <v>46</v>
      </c>
      <c r="N8391" t="s">
        <v>1107</v>
      </c>
      <c r="O8391" t="s">
        <v>37744</v>
      </c>
      <c r="P8391" t="s">
        <v>7464</v>
      </c>
      <c r="Q8391" t="s">
        <v>37791</v>
      </c>
      <c r="R8391">
        <v>25</v>
      </c>
      <c r="S8391">
        <v>32</v>
      </c>
    </row>
    <row r="8392" spans="1:19" x14ac:dyDescent="0.35">
      <c r="A8392">
        <v>7681</v>
      </c>
      <c r="B8392" t="s">
        <v>37803</v>
      </c>
      <c r="C8392" t="s">
        <v>20</v>
      </c>
      <c r="D8392" t="s">
        <v>37804</v>
      </c>
      <c r="E8392" t="s">
        <v>37805</v>
      </c>
      <c r="F8392" t="s">
        <v>35900</v>
      </c>
      <c r="G8392" t="s">
        <v>37806</v>
      </c>
      <c r="H8392" t="s">
        <v>35865</v>
      </c>
      <c r="I8392" t="s">
        <v>32576</v>
      </c>
      <c r="J8392" t="s">
        <v>37807</v>
      </c>
      <c r="M8392" t="s">
        <v>554</v>
      </c>
      <c r="N8392" t="s">
        <v>37808</v>
      </c>
      <c r="O8392" t="s">
        <v>32578</v>
      </c>
      <c r="P8392" t="s">
        <v>37809</v>
      </c>
      <c r="Q8392" t="s">
        <v>37810</v>
      </c>
      <c r="R8392">
        <v>25</v>
      </c>
      <c r="S8392">
        <v>32</v>
      </c>
    </row>
    <row r="8393" spans="1:19" x14ac:dyDescent="0.35">
      <c r="A8393">
        <v>3498</v>
      </c>
      <c r="B8393" t="s">
        <v>37811</v>
      </c>
      <c r="C8393" t="s">
        <v>42</v>
      </c>
      <c r="D8393" t="s">
        <v>37812</v>
      </c>
      <c r="E8393" t="e" cm="1">
        <f t="array" ref="E8393">- METOCLOPRAMIDE HYDROCHLORIDE</f>
        <v>#NAME?</v>
      </c>
      <c r="F8393" t="s">
        <v>629</v>
      </c>
      <c r="G8393" t="s">
        <v>37795</v>
      </c>
      <c r="H8393" t="s">
        <v>37813</v>
      </c>
      <c r="I8393" t="s">
        <v>37797</v>
      </c>
      <c r="J8393" t="s">
        <v>6679</v>
      </c>
      <c r="K8393" t="s">
        <v>37798</v>
      </c>
      <c r="L8393" t="s">
        <v>37814</v>
      </c>
      <c r="M8393" t="s">
        <v>271</v>
      </c>
      <c r="N8393" t="s">
        <v>1876</v>
      </c>
      <c r="O8393" t="s">
        <v>37800</v>
      </c>
      <c r="P8393" t="s">
        <v>37801</v>
      </c>
      <c r="Q8393" t="s">
        <v>37815</v>
      </c>
      <c r="R8393">
        <v>25</v>
      </c>
      <c r="S8393">
        <v>32</v>
      </c>
    </row>
    <row r="8394" spans="1:19" x14ac:dyDescent="0.35">
      <c r="A8394">
        <v>6929</v>
      </c>
      <c r="B8394" t="s">
        <v>1803</v>
      </c>
      <c r="C8394" t="s">
        <v>42</v>
      </c>
      <c r="D8394" t="s">
        <v>37631</v>
      </c>
      <c r="E8394" t="e" cm="1">
        <f t="array" ref="E8394">- TIZANIDINE HYDROCHLORIDE</f>
        <v>#NAME?</v>
      </c>
      <c r="F8394" s="1">
        <v>34000</v>
      </c>
      <c r="G8394" t="s">
        <v>37624</v>
      </c>
      <c r="H8394" t="s">
        <v>1322</v>
      </c>
      <c r="I8394" t="s">
        <v>37625</v>
      </c>
      <c r="J8394" t="s">
        <v>37632</v>
      </c>
      <c r="L8394" t="s">
        <v>37627</v>
      </c>
      <c r="M8394" t="s">
        <v>46</v>
      </c>
      <c r="N8394" t="s">
        <v>1806</v>
      </c>
      <c r="O8394" t="s">
        <v>37628</v>
      </c>
      <c r="P8394" t="s">
        <v>37633</v>
      </c>
      <c r="Q8394" t="s">
        <v>37634</v>
      </c>
      <c r="R8394">
        <v>25</v>
      </c>
      <c r="S8394">
        <v>32</v>
      </c>
    </row>
    <row r="8395" spans="1:19" x14ac:dyDescent="0.35">
      <c r="A8395">
        <v>4496</v>
      </c>
      <c r="B8395" t="s">
        <v>37816</v>
      </c>
      <c r="C8395" t="s">
        <v>42</v>
      </c>
      <c r="D8395" t="s">
        <v>37817</v>
      </c>
      <c r="E8395" t="e" cm="1">
        <f t="array" ref="E8395">- NAPHAZOLINE HYDROCHLORIDE</f>
        <v>#NAME?</v>
      </c>
      <c r="F8395" t="s">
        <v>37818</v>
      </c>
      <c r="G8395" t="s">
        <v>37819</v>
      </c>
      <c r="H8395" t="s">
        <v>37820</v>
      </c>
      <c r="I8395" t="s">
        <v>37821</v>
      </c>
      <c r="J8395" t="s">
        <v>37822</v>
      </c>
      <c r="K8395" t="s">
        <v>37823</v>
      </c>
      <c r="L8395" t="s">
        <v>37824</v>
      </c>
      <c r="M8395" t="s">
        <v>824</v>
      </c>
      <c r="N8395" t="s">
        <v>10250</v>
      </c>
      <c r="O8395" t="s">
        <v>37825</v>
      </c>
      <c r="P8395" t="s">
        <v>37826</v>
      </c>
      <c r="Q8395" t="s">
        <v>37827</v>
      </c>
      <c r="R8395">
        <v>25</v>
      </c>
      <c r="S8395">
        <v>32</v>
      </c>
    </row>
    <row r="8396" spans="1:19" x14ac:dyDescent="0.35">
      <c r="A8396">
        <v>4944</v>
      </c>
      <c r="B8396" t="s">
        <v>36065</v>
      </c>
      <c r="C8396" t="s">
        <v>42</v>
      </c>
      <c r="D8396" t="s">
        <v>36066</v>
      </c>
      <c r="E8396" t="e" cm="1">
        <f t="array" ref="E8396">- HYDROQUINONE. TRETINOIN. FLUOCINOLONE ACETONIDE</f>
        <v>#NAME?</v>
      </c>
      <c r="F8396" t="s">
        <v>36067</v>
      </c>
      <c r="G8396" t="s">
        <v>17097</v>
      </c>
      <c r="H8396" t="s">
        <v>31619</v>
      </c>
      <c r="I8396" t="s">
        <v>36068</v>
      </c>
      <c r="J8396" t="s">
        <v>13944</v>
      </c>
      <c r="K8396" t="s">
        <v>36069</v>
      </c>
      <c r="L8396" t="s">
        <v>36070</v>
      </c>
      <c r="M8396" t="s">
        <v>1289</v>
      </c>
      <c r="N8396" t="s">
        <v>18650</v>
      </c>
      <c r="O8396" t="s">
        <v>36071</v>
      </c>
      <c r="P8396" t="s">
        <v>36072</v>
      </c>
      <c r="Q8396" t="s">
        <v>37828</v>
      </c>
      <c r="R8396">
        <v>25</v>
      </c>
      <c r="S8396">
        <v>32</v>
      </c>
    </row>
    <row r="8397" spans="1:19" x14ac:dyDescent="0.35">
      <c r="A8397">
        <v>7682</v>
      </c>
      <c r="B8397" t="s">
        <v>37803</v>
      </c>
      <c r="C8397" t="s">
        <v>20</v>
      </c>
      <c r="D8397" t="s">
        <v>37804</v>
      </c>
      <c r="E8397" t="s">
        <v>37805</v>
      </c>
      <c r="F8397" t="s">
        <v>35900</v>
      </c>
      <c r="G8397" t="s">
        <v>37806</v>
      </c>
      <c r="H8397" t="s">
        <v>35865</v>
      </c>
      <c r="I8397" t="s">
        <v>32576</v>
      </c>
      <c r="J8397" t="s">
        <v>37807</v>
      </c>
      <c r="M8397" t="s">
        <v>554</v>
      </c>
      <c r="N8397" t="s">
        <v>37808</v>
      </c>
      <c r="O8397" t="s">
        <v>32578</v>
      </c>
      <c r="P8397" t="s">
        <v>37809</v>
      </c>
      <c r="Q8397" t="s">
        <v>37810</v>
      </c>
      <c r="R8397">
        <v>25</v>
      </c>
      <c r="S8397">
        <v>32</v>
      </c>
    </row>
    <row r="8398" spans="1:19" x14ac:dyDescent="0.35">
      <c r="A8398">
        <v>925</v>
      </c>
      <c r="B8398" t="s">
        <v>37537</v>
      </c>
      <c r="C8398" t="s">
        <v>42</v>
      </c>
      <c r="D8398" t="s">
        <v>37538</v>
      </c>
      <c r="E8398" t="e" cm="1">
        <f t="array" ref="E8398">- DEXTROMETHORPHAN HYDROBROMIDE</f>
        <v>#NAME?</v>
      </c>
      <c r="F8398" t="s">
        <v>37539</v>
      </c>
      <c r="G8398" t="s">
        <v>37540</v>
      </c>
      <c r="H8398" t="s">
        <v>37541</v>
      </c>
      <c r="I8398" t="s">
        <v>37542</v>
      </c>
      <c r="J8398" t="s">
        <v>37543</v>
      </c>
      <c r="K8398" t="s">
        <v>37544</v>
      </c>
      <c r="L8398" t="s">
        <v>37545</v>
      </c>
      <c r="M8398" t="s">
        <v>291</v>
      </c>
      <c r="N8398" t="s">
        <v>1376</v>
      </c>
      <c r="O8398" t="s">
        <v>37546</v>
      </c>
      <c r="P8398" t="s">
        <v>26391</v>
      </c>
      <c r="Q8398" t="s">
        <v>37547</v>
      </c>
      <c r="R8398">
        <v>25</v>
      </c>
      <c r="S8398">
        <v>32</v>
      </c>
    </row>
    <row r="8399" spans="1:19" x14ac:dyDescent="0.35">
      <c r="A8399">
        <v>4945</v>
      </c>
      <c r="B8399" t="s">
        <v>36065</v>
      </c>
      <c r="C8399" t="s">
        <v>42</v>
      </c>
      <c r="D8399" t="s">
        <v>36066</v>
      </c>
      <c r="E8399" t="e" cm="1">
        <f t="array" ref="E8399">- HYDROQUINONE. TRETINOIN. FLUOCINOLONE ACETONIDE</f>
        <v>#NAME?</v>
      </c>
      <c r="F8399" t="s">
        <v>36067</v>
      </c>
      <c r="G8399" t="s">
        <v>17097</v>
      </c>
      <c r="H8399" t="s">
        <v>31619</v>
      </c>
      <c r="I8399" t="s">
        <v>36068</v>
      </c>
      <c r="J8399" t="s">
        <v>13944</v>
      </c>
      <c r="K8399" t="s">
        <v>36069</v>
      </c>
      <c r="L8399" t="s">
        <v>36070</v>
      </c>
      <c r="M8399" t="s">
        <v>1289</v>
      </c>
      <c r="N8399" t="s">
        <v>18650</v>
      </c>
      <c r="O8399" t="s">
        <v>36071</v>
      </c>
      <c r="P8399" t="s">
        <v>36072</v>
      </c>
      <c r="Q8399" t="s">
        <v>37828</v>
      </c>
      <c r="R8399">
        <v>25</v>
      </c>
      <c r="S8399">
        <v>32</v>
      </c>
    </row>
    <row r="8400" spans="1:19" x14ac:dyDescent="0.35">
      <c r="A8400">
        <v>3497</v>
      </c>
      <c r="B8400" t="s">
        <v>37811</v>
      </c>
      <c r="C8400" t="s">
        <v>42</v>
      </c>
      <c r="D8400" t="s">
        <v>37812</v>
      </c>
      <c r="E8400" t="e" cm="1">
        <f t="array" ref="E8400">- METOCLOPRAMIDE HYDROCHLORIDE</f>
        <v>#NAME?</v>
      </c>
      <c r="F8400" t="s">
        <v>629</v>
      </c>
      <c r="G8400" t="s">
        <v>37795</v>
      </c>
      <c r="H8400" t="s">
        <v>37813</v>
      </c>
      <c r="I8400" t="s">
        <v>37797</v>
      </c>
      <c r="J8400" t="s">
        <v>6679</v>
      </c>
      <c r="K8400" t="s">
        <v>37798</v>
      </c>
      <c r="L8400" t="s">
        <v>37814</v>
      </c>
      <c r="M8400" t="s">
        <v>271</v>
      </c>
      <c r="N8400" t="s">
        <v>1876</v>
      </c>
      <c r="O8400" t="s">
        <v>37800</v>
      </c>
      <c r="P8400" t="s">
        <v>37801</v>
      </c>
      <c r="Q8400" t="s">
        <v>37815</v>
      </c>
      <c r="R8400">
        <v>25</v>
      </c>
      <c r="S8400">
        <v>32</v>
      </c>
    </row>
    <row r="8401" spans="1:19" x14ac:dyDescent="0.35">
      <c r="A8401">
        <v>6605</v>
      </c>
      <c r="B8401" t="s">
        <v>37747</v>
      </c>
      <c r="C8401" t="s">
        <v>42</v>
      </c>
      <c r="D8401" t="s">
        <v>37748</v>
      </c>
      <c r="E8401" t="e" cm="1">
        <f t="array" ref="E8401">- ITRACONAZOLE</f>
        <v>#NAME?</v>
      </c>
      <c r="F8401" t="s">
        <v>37749</v>
      </c>
      <c r="G8401" t="s">
        <v>5506</v>
      </c>
      <c r="H8401" t="s">
        <v>37750</v>
      </c>
      <c r="I8401" t="s">
        <v>37751</v>
      </c>
      <c r="J8401" t="s">
        <v>37752</v>
      </c>
      <c r="K8401" t="s">
        <v>37753</v>
      </c>
      <c r="L8401" t="s">
        <v>37754</v>
      </c>
      <c r="M8401" t="s">
        <v>38</v>
      </c>
      <c r="N8401" t="s">
        <v>5512</v>
      </c>
      <c r="O8401" t="s">
        <v>37755</v>
      </c>
      <c r="P8401" t="s">
        <v>37756</v>
      </c>
      <c r="Q8401" t="s">
        <v>37757</v>
      </c>
      <c r="R8401">
        <v>25</v>
      </c>
      <c r="S8401">
        <v>32</v>
      </c>
    </row>
    <row r="8402" spans="1:19" x14ac:dyDescent="0.35">
      <c r="A8402">
        <v>6930</v>
      </c>
      <c r="B8402" t="s">
        <v>1803</v>
      </c>
      <c r="C8402" t="s">
        <v>42</v>
      </c>
      <c r="D8402" t="s">
        <v>37738</v>
      </c>
      <c r="E8402" t="e" cm="1">
        <f t="array" ref="E8402">- TIZANIDINE HYDROCHLORIDE</f>
        <v>#NAME?</v>
      </c>
      <c r="F8402" s="1">
        <v>18500</v>
      </c>
      <c r="G8402" t="s">
        <v>37624</v>
      </c>
      <c r="H8402" t="s">
        <v>1322</v>
      </c>
      <c r="I8402" t="s">
        <v>37625</v>
      </c>
      <c r="J8402" t="s">
        <v>33156</v>
      </c>
      <c r="L8402" t="s">
        <v>37627</v>
      </c>
      <c r="M8402" t="s">
        <v>46</v>
      </c>
      <c r="N8402" t="s">
        <v>1806</v>
      </c>
      <c r="O8402" t="s">
        <v>37628</v>
      </c>
      <c r="P8402" t="s">
        <v>37633</v>
      </c>
      <c r="Q8402" t="s">
        <v>37634</v>
      </c>
      <c r="R8402">
        <v>25</v>
      </c>
      <c r="S8402">
        <v>32</v>
      </c>
    </row>
    <row r="8403" spans="1:19" x14ac:dyDescent="0.35">
      <c r="A8403">
        <v>6589</v>
      </c>
      <c r="B8403" t="s">
        <v>37829</v>
      </c>
      <c r="C8403" t="s">
        <v>42</v>
      </c>
      <c r="D8403" t="s">
        <v>37830</v>
      </c>
      <c r="E8403" t="e" cm="1">
        <f t="array" ref="E8403">- ITRACONAZOLE</f>
        <v>#NAME?</v>
      </c>
      <c r="F8403" s="1">
        <v>34700</v>
      </c>
      <c r="G8403" t="s">
        <v>5506</v>
      </c>
      <c r="H8403" t="s">
        <v>37831</v>
      </c>
      <c r="I8403" t="s">
        <v>37751</v>
      </c>
      <c r="J8403" t="s">
        <v>36017</v>
      </c>
      <c r="K8403" t="s">
        <v>37753</v>
      </c>
      <c r="L8403" t="s">
        <v>37832</v>
      </c>
      <c r="M8403" t="s">
        <v>38</v>
      </c>
      <c r="N8403" t="s">
        <v>5512</v>
      </c>
      <c r="O8403" t="s">
        <v>37755</v>
      </c>
      <c r="P8403" t="s">
        <v>37833</v>
      </c>
      <c r="Q8403" t="s">
        <v>37834</v>
      </c>
      <c r="R8403">
        <v>25</v>
      </c>
      <c r="S8403">
        <v>32</v>
      </c>
    </row>
    <row r="8404" spans="1:19" x14ac:dyDescent="0.35">
      <c r="A8404">
        <v>6871</v>
      </c>
      <c r="B8404" t="s">
        <v>35764</v>
      </c>
      <c r="C8404" t="s">
        <v>850</v>
      </c>
      <c r="D8404" t="s">
        <v>37835</v>
      </c>
      <c r="E8404" t="e" cm="1">
        <f t="array" ref="E8404">- DL-Camphor</f>
        <v>#NAME?</v>
      </c>
      <c r="F8404" t="s">
        <v>37836</v>
      </c>
      <c r="G8404" t="s">
        <v>35767</v>
      </c>
      <c r="H8404" t="s">
        <v>37837</v>
      </c>
      <c r="I8404" t="s">
        <v>35769</v>
      </c>
      <c r="J8404" t="s">
        <v>33295</v>
      </c>
      <c r="L8404" t="s">
        <v>36225</v>
      </c>
      <c r="N8404" t="s">
        <v>33298</v>
      </c>
      <c r="O8404" t="s">
        <v>35772</v>
      </c>
      <c r="P8404" t="s">
        <v>37838</v>
      </c>
      <c r="Q8404" t="s">
        <v>37839</v>
      </c>
      <c r="R8404">
        <v>25</v>
      </c>
      <c r="S8404">
        <v>32</v>
      </c>
    </row>
    <row r="8405" spans="1:19" x14ac:dyDescent="0.35">
      <c r="A8405">
        <v>4126</v>
      </c>
      <c r="B8405" t="s">
        <v>37840</v>
      </c>
      <c r="C8405" t="s">
        <v>42</v>
      </c>
      <c r="D8405" t="s">
        <v>37841</v>
      </c>
      <c r="E8405" t="e" cm="1">
        <f t="array" ref="E8405">- DESLORATADINE</f>
        <v>#NAME?</v>
      </c>
      <c r="F8405" t="s">
        <v>37842</v>
      </c>
      <c r="G8405" t="s">
        <v>4045</v>
      </c>
      <c r="H8405" t="s">
        <v>37843</v>
      </c>
      <c r="I8405" t="s">
        <v>37742</v>
      </c>
      <c r="J8405" t="s">
        <v>334</v>
      </c>
      <c r="L8405" t="s">
        <v>37743</v>
      </c>
      <c r="M8405" t="s">
        <v>271</v>
      </c>
      <c r="N8405" t="s">
        <v>1107</v>
      </c>
      <c r="O8405" t="s">
        <v>37744</v>
      </c>
      <c r="P8405" t="s">
        <v>37745</v>
      </c>
      <c r="Q8405" t="s">
        <v>37844</v>
      </c>
      <c r="R8405">
        <v>25</v>
      </c>
      <c r="S8405">
        <v>32</v>
      </c>
    </row>
    <row r="8406" spans="1:19" x14ac:dyDescent="0.35">
      <c r="A8406">
        <v>6009</v>
      </c>
      <c r="B8406" t="s">
        <v>37845</v>
      </c>
      <c r="C8406" t="s">
        <v>42</v>
      </c>
      <c r="D8406" t="s">
        <v>37846</v>
      </c>
      <c r="E8406" t="e" cm="1">
        <f t="array" ref="E8406">- TETRACYCLINE HYDROCHLORIDE</f>
        <v>#NAME?</v>
      </c>
      <c r="F8406" t="s">
        <v>37847</v>
      </c>
      <c r="G8406" t="s">
        <v>19684</v>
      </c>
      <c r="H8406" t="s">
        <v>19685</v>
      </c>
      <c r="I8406" t="s">
        <v>37199</v>
      </c>
      <c r="J8406" t="s">
        <v>37848</v>
      </c>
      <c r="K8406" t="s">
        <v>19687</v>
      </c>
      <c r="L8406" t="s">
        <v>19688</v>
      </c>
      <c r="M8406" t="s">
        <v>38</v>
      </c>
      <c r="N8406" t="s">
        <v>3156</v>
      </c>
      <c r="O8406" t="s">
        <v>37200</v>
      </c>
      <c r="P8406" t="s">
        <v>37849</v>
      </c>
      <c r="Q8406" t="s">
        <v>37850</v>
      </c>
      <c r="R8406">
        <v>25</v>
      </c>
      <c r="S8406">
        <v>32</v>
      </c>
    </row>
    <row r="8407" spans="1:19" x14ac:dyDescent="0.35">
      <c r="A8407">
        <v>7674</v>
      </c>
      <c r="B8407" t="s">
        <v>37851</v>
      </c>
      <c r="C8407" t="s">
        <v>20</v>
      </c>
      <c r="D8407" t="s">
        <v>37852</v>
      </c>
      <c r="E8407" t="s">
        <v>37853</v>
      </c>
      <c r="F8407" s="1">
        <v>7800</v>
      </c>
      <c r="G8407" t="s">
        <v>4469</v>
      </c>
      <c r="H8407" t="s">
        <v>35617</v>
      </c>
      <c r="I8407" t="s">
        <v>32576</v>
      </c>
      <c r="J8407" t="s">
        <v>37854</v>
      </c>
      <c r="M8407" t="s">
        <v>554</v>
      </c>
      <c r="N8407" t="s">
        <v>37855</v>
      </c>
      <c r="O8407" t="s">
        <v>32578</v>
      </c>
      <c r="P8407" t="s">
        <v>37856</v>
      </c>
      <c r="Q8407" t="s">
        <v>37857</v>
      </c>
      <c r="R8407">
        <v>25</v>
      </c>
      <c r="S8407">
        <v>32</v>
      </c>
    </row>
    <row r="8408" spans="1:19" x14ac:dyDescent="0.35">
      <c r="A8408">
        <v>6872</v>
      </c>
      <c r="B8408" t="s">
        <v>35764</v>
      </c>
      <c r="C8408" t="s">
        <v>850</v>
      </c>
      <c r="D8408" t="s">
        <v>37835</v>
      </c>
      <c r="E8408" t="e" cm="1">
        <f t="array" ref="E8408">- DL-Camphor</f>
        <v>#NAME?</v>
      </c>
      <c r="F8408" t="s">
        <v>37836</v>
      </c>
      <c r="G8408" t="s">
        <v>35767</v>
      </c>
      <c r="H8408" t="s">
        <v>37837</v>
      </c>
      <c r="I8408" t="s">
        <v>35769</v>
      </c>
      <c r="J8408" t="s">
        <v>33295</v>
      </c>
      <c r="L8408" t="s">
        <v>36225</v>
      </c>
      <c r="N8408" t="s">
        <v>33298</v>
      </c>
      <c r="O8408" t="s">
        <v>35772</v>
      </c>
      <c r="P8408" t="s">
        <v>37838</v>
      </c>
      <c r="Q8408" t="s">
        <v>37839</v>
      </c>
      <c r="R8408">
        <v>25</v>
      </c>
      <c r="S8408">
        <v>32</v>
      </c>
    </row>
    <row r="8409" spans="1:19" x14ac:dyDescent="0.35">
      <c r="A8409">
        <v>9769</v>
      </c>
      <c r="B8409" t="s">
        <v>37858</v>
      </c>
      <c r="C8409" t="s">
        <v>42</v>
      </c>
      <c r="D8409" t="s">
        <v>37859</v>
      </c>
      <c r="E8409" t="e" cm="1">
        <f t="array" ref="E8409">- LOVASTATIN</f>
        <v>#NAME?</v>
      </c>
      <c r="F8409" t="s">
        <v>37860</v>
      </c>
      <c r="G8409" t="s">
        <v>2241</v>
      </c>
      <c r="H8409" t="s">
        <v>2643</v>
      </c>
      <c r="I8409" t="s">
        <v>37861</v>
      </c>
      <c r="J8409" t="s">
        <v>37862</v>
      </c>
      <c r="K8409" t="s">
        <v>37863</v>
      </c>
      <c r="L8409" t="s">
        <v>37864</v>
      </c>
      <c r="M8409" t="s">
        <v>46</v>
      </c>
      <c r="N8409" t="s">
        <v>37865</v>
      </c>
      <c r="O8409" t="s">
        <v>37866</v>
      </c>
      <c r="P8409" t="s">
        <v>37867</v>
      </c>
      <c r="Q8409" t="s">
        <v>37868</v>
      </c>
      <c r="R8409">
        <v>26</v>
      </c>
      <c r="S8409">
        <v>32</v>
      </c>
    </row>
    <row r="8410" spans="1:19" x14ac:dyDescent="0.35">
      <c r="A8410">
        <v>8818</v>
      </c>
      <c r="B8410" t="s">
        <v>37869</v>
      </c>
      <c r="C8410" t="s">
        <v>42</v>
      </c>
      <c r="D8410" t="s">
        <v>37870</v>
      </c>
      <c r="E8410" t="e" cm="1">
        <f t="array" ref="E8410">- PIOGLITAZONE HYDROCHLORIDE</f>
        <v>#NAME?</v>
      </c>
      <c r="F8410" s="1">
        <v>71200</v>
      </c>
      <c r="G8410" t="s">
        <v>6310</v>
      </c>
      <c r="H8410" t="s">
        <v>37205</v>
      </c>
      <c r="I8410" t="s">
        <v>37871</v>
      </c>
      <c r="J8410" t="s">
        <v>599</v>
      </c>
      <c r="K8410" t="s">
        <v>37872</v>
      </c>
      <c r="L8410" t="s">
        <v>27804</v>
      </c>
      <c r="M8410" t="s">
        <v>46</v>
      </c>
      <c r="N8410" t="s">
        <v>2389</v>
      </c>
      <c r="O8410" t="s">
        <v>37873</v>
      </c>
      <c r="P8410" t="s">
        <v>37874</v>
      </c>
      <c r="Q8410" t="s">
        <v>37875</v>
      </c>
      <c r="R8410">
        <v>26</v>
      </c>
      <c r="S8410">
        <v>32</v>
      </c>
    </row>
    <row r="8411" spans="1:19" x14ac:dyDescent="0.35">
      <c r="A8411">
        <v>4157</v>
      </c>
      <c r="B8411" t="s">
        <v>37876</v>
      </c>
      <c r="C8411" t="s">
        <v>42</v>
      </c>
      <c r="D8411" t="s">
        <v>37877</v>
      </c>
      <c r="E8411" t="e" cm="1">
        <f t="array" ref="E8411">- DEXAMETHASONE</f>
        <v>#NAME?</v>
      </c>
      <c r="F8411" t="s">
        <v>37878</v>
      </c>
      <c r="G8411" t="s">
        <v>4045</v>
      </c>
      <c r="H8411" t="s">
        <v>37879</v>
      </c>
      <c r="I8411" t="s">
        <v>37880</v>
      </c>
      <c r="J8411" t="s">
        <v>25532</v>
      </c>
      <c r="K8411" t="s">
        <v>37881</v>
      </c>
      <c r="L8411" t="s">
        <v>37882</v>
      </c>
      <c r="M8411" t="s">
        <v>291</v>
      </c>
      <c r="N8411" t="s">
        <v>3779</v>
      </c>
      <c r="O8411" t="s">
        <v>37883</v>
      </c>
      <c r="P8411" t="s">
        <v>37884</v>
      </c>
      <c r="Q8411" t="s">
        <v>37885</v>
      </c>
      <c r="R8411">
        <v>26</v>
      </c>
      <c r="S8411">
        <v>32</v>
      </c>
    </row>
    <row r="8412" spans="1:19" x14ac:dyDescent="0.35">
      <c r="A8412">
        <v>2390</v>
      </c>
      <c r="B8412" t="s">
        <v>37886</v>
      </c>
      <c r="C8412" t="s">
        <v>42</v>
      </c>
      <c r="D8412" t="s">
        <v>37887</v>
      </c>
      <c r="E8412" t="e" cm="1">
        <f t="array" ref="E8412">- MEFENAMIC ACID</f>
        <v>#NAME?</v>
      </c>
      <c r="F8412" t="s">
        <v>37888</v>
      </c>
      <c r="G8412" t="s">
        <v>539</v>
      </c>
      <c r="H8412" t="s">
        <v>37889</v>
      </c>
      <c r="I8412" t="s">
        <v>37890</v>
      </c>
      <c r="J8412" t="s">
        <v>20994</v>
      </c>
      <c r="K8412" t="s">
        <v>37891</v>
      </c>
      <c r="L8412" t="s">
        <v>37064</v>
      </c>
      <c r="M8412" t="s">
        <v>291</v>
      </c>
      <c r="N8412" t="s">
        <v>2235</v>
      </c>
      <c r="O8412" t="s">
        <v>37892</v>
      </c>
      <c r="P8412" t="s">
        <v>37893</v>
      </c>
      <c r="Q8412" t="s">
        <v>37894</v>
      </c>
      <c r="R8412">
        <v>26</v>
      </c>
      <c r="S8412">
        <v>32</v>
      </c>
    </row>
    <row r="8413" spans="1:19" x14ac:dyDescent="0.35">
      <c r="A8413">
        <v>2112</v>
      </c>
      <c r="B8413" t="s">
        <v>37895</v>
      </c>
      <c r="C8413" t="s">
        <v>42</v>
      </c>
      <c r="D8413" t="s">
        <v>37896</v>
      </c>
      <c r="E8413" t="e" cm="1">
        <f t="array" ref="E8413">- IBUPROFEN</f>
        <v>#NAME?</v>
      </c>
      <c r="F8413" t="s">
        <v>37897</v>
      </c>
      <c r="G8413" t="s">
        <v>2241</v>
      </c>
      <c r="H8413" t="s">
        <v>37898</v>
      </c>
      <c r="I8413" t="s">
        <v>37899</v>
      </c>
      <c r="J8413" t="s">
        <v>5085</v>
      </c>
      <c r="K8413" t="s">
        <v>37900</v>
      </c>
      <c r="L8413" t="s">
        <v>37901</v>
      </c>
      <c r="M8413" t="s">
        <v>38</v>
      </c>
      <c r="N8413" t="s">
        <v>383</v>
      </c>
      <c r="O8413" t="s">
        <v>37902</v>
      </c>
      <c r="P8413" t="s">
        <v>383</v>
      </c>
      <c r="Q8413" t="s">
        <v>37903</v>
      </c>
      <c r="R8413">
        <v>26</v>
      </c>
      <c r="S8413">
        <v>32</v>
      </c>
    </row>
    <row r="8414" spans="1:19" x14ac:dyDescent="0.35">
      <c r="A8414">
        <v>7474</v>
      </c>
      <c r="B8414" t="s">
        <v>3413</v>
      </c>
      <c r="C8414" t="s">
        <v>20</v>
      </c>
      <c r="D8414" t="s">
        <v>37904</v>
      </c>
      <c r="E8414" t="s">
        <v>3415</v>
      </c>
      <c r="F8414" t="s">
        <v>37905</v>
      </c>
      <c r="H8414" t="s">
        <v>37906</v>
      </c>
      <c r="I8414" t="s">
        <v>37907</v>
      </c>
      <c r="J8414" t="s">
        <v>37908</v>
      </c>
      <c r="M8414" t="s">
        <v>46</v>
      </c>
      <c r="N8414" t="s">
        <v>3417</v>
      </c>
      <c r="O8414" t="s">
        <v>37909</v>
      </c>
      <c r="P8414" t="s">
        <v>37910</v>
      </c>
      <c r="Q8414" t="s">
        <v>37911</v>
      </c>
      <c r="R8414">
        <v>26</v>
      </c>
      <c r="S8414">
        <v>32</v>
      </c>
    </row>
    <row r="8415" spans="1:19" x14ac:dyDescent="0.35">
      <c r="A8415">
        <v>6413</v>
      </c>
      <c r="B8415" t="s">
        <v>37526</v>
      </c>
      <c r="C8415" t="s">
        <v>42</v>
      </c>
      <c r="D8415" t="s">
        <v>37527</v>
      </c>
      <c r="E8415" t="e" cm="1">
        <f t="array" ref="E8415">- CEFIXIME TRIHYDRATE</f>
        <v>#NAME?</v>
      </c>
      <c r="F8415" s="1">
        <v>453300</v>
      </c>
      <c r="G8415" t="s">
        <v>37190</v>
      </c>
      <c r="H8415" t="s">
        <v>37191</v>
      </c>
      <c r="I8415" t="s">
        <v>37192</v>
      </c>
      <c r="J8415" t="s">
        <v>7989</v>
      </c>
      <c r="K8415" t="s">
        <v>1020</v>
      </c>
      <c r="L8415" t="s">
        <v>1021</v>
      </c>
      <c r="M8415" t="s">
        <v>38</v>
      </c>
      <c r="N8415" t="s">
        <v>1790</v>
      </c>
      <c r="O8415" t="s">
        <v>37193</v>
      </c>
      <c r="P8415" t="s">
        <v>37194</v>
      </c>
      <c r="Q8415" t="s">
        <v>37912</v>
      </c>
      <c r="R8415">
        <v>26</v>
      </c>
      <c r="S8415">
        <v>32</v>
      </c>
    </row>
    <row r="8416" spans="1:19" x14ac:dyDescent="0.35">
      <c r="A8416">
        <v>6055</v>
      </c>
      <c r="B8416" t="s">
        <v>37913</v>
      </c>
      <c r="C8416" t="s">
        <v>42</v>
      </c>
      <c r="D8416" t="s">
        <v>37914</v>
      </c>
      <c r="E8416" t="e" cm="1">
        <f t="array" ref="E8416">- CEFIXIME TRIHYDRATE</f>
        <v>#NAME?</v>
      </c>
      <c r="F8416" t="s">
        <v>37915</v>
      </c>
      <c r="G8416" t="s">
        <v>37190</v>
      </c>
      <c r="H8416" t="s">
        <v>1019</v>
      </c>
      <c r="I8416" t="s">
        <v>37192</v>
      </c>
      <c r="J8416" t="s">
        <v>334</v>
      </c>
      <c r="K8416" t="s">
        <v>1020</v>
      </c>
      <c r="L8416" t="s">
        <v>1021</v>
      </c>
      <c r="M8416" t="s">
        <v>271</v>
      </c>
      <c r="N8416" t="s">
        <v>1790</v>
      </c>
      <c r="O8416" t="s">
        <v>37193</v>
      </c>
      <c r="P8416" t="s">
        <v>37916</v>
      </c>
      <c r="Q8416" t="s">
        <v>37917</v>
      </c>
      <c r="R8416">
        <v>26</v>
      </c>
      <c r="S8416">
        <v>32</v>
      </c>
    </row>
    <row r="8417" spans="1:19" x14ac:dyDescent="0.35">
      <c r="A8417">
        <v>5704</v>
      </c>
      <c r="B8417" t="s">
        <v>37918</v>
      </c>
      <c r="C8417" t="s">
        <v>42</v>
      </c>
      <c r="D8417" t="s">
        <v>37919</v>
      </c>
      <c r="E8417" t="e" cm="1">
        <f t="array" ref="E8417">- CEFIXIME TRIHYDRATE</f>
        <v>#NAME?</v>
      </c>
      <c r="F8417" t="s">
        <v>37920</v>
      </c>
      <c r="G8417" t="s">
        <v>37190</v>
      </c>
      <c r="H8417" t="s">
        <v>37191</v>
      </c>
      <c r="I8417" t="s">
        <v>37192</v>
      </c>
      <c r="J8417" t="s">
        <v>37921</v>
      </c>
      <c r="K8417" t="s">
        <v>1020</v>
      </c>
      <c r="L8417" t="s">
        <v>1021</v>
      </c>
      <c r="M8417" t="s">
        <v>291</v>
      </c>
      <c r="N8417" t="s">
        <v>1790</v>
      </c>
      <c r="O8417" t="s">
        <v>37193</v>
      </c>
      <c r="P8417" t="s">
        <v>37246</v>
      </c>
      <c r="Q8417" t="s">
        <v>37922</v>
      </c>
      <c r="R8417">
        <v>26</v>
      </c>
      <c r="S8417">
        <v>32</v>
      </c>
    </row>
    <row r="8418" spans="1:19" x14ac:dyDescent="0.35">
      <c r="A8418">
        <v>6441</v>
      </c>
      <c r="B8418" t="s">
        <v>37923</v>
      </c>
      <c r="C8418" t="s">
        <v>42</v>
      </c>
      <c r="D8418" t="s">
        <v>37924</v>
      </c>
      <c r="E8418" t="e" cm="1">
        <f t="array" ref="E8418">- CEFIXIME TRIHYDRATE</f>
        <v>#NAME?</v>
      </c>
      <c r="F8418" s="1">
        <v>176800</v>
      </c>
      <c r="G8418" t="s">
        <v>37190</v>
      </c>
      <c r="H8418" t="s">
        <v>37191</v>
      </c>
      <c r="I8418" t="s">
        <v>37192</v>
      </c>
      <c r="J8418" t="s">
        <v>14600</v>
      </c>
      <c r="K8418" t="s">
        <v>1020</v>
      </c>
      <c r="L8418" t="s">
        <v>1021</v>
      </c>
      <c r="M8418" t="s">
        <v>38</v>
      </c>
      <c r="N8418" t="s">
        <v>1790</v>
      </c>
      <c r="O8418" t="s">
        <v>37193</v>
      </c>
      <c r="P8418" t="s">
        <v>37925</v>
      </c>
      <c r="Q8418" t="s">
        <v>37926</v>
      </c>
      <c r="R8418">
        <v>26</v>
      </c>
      <c r="S8418">
        <v>32</v>
      </c>
    </row>
    <row r="8419" spans="1:19" x14ac:dyDescent="0.35">
      <c r="A8419">
        <v>6130</v>
      </c>
      <c r="B8419" t="s">
        <v>37927</v>
      </c>
      <c r="C8419" t="s">
        <v>42</v>
      </c>
      <c r="D8419" t="s">
        <v>37928</v>
      </c>
      <c r="E8419" t="e" cm="1">
        <f t="array" ref="E8419">- CEFIXIME TRIHYDRATE</f>
        <v>#NAME?</v>
      </c>
      <c r="F8419" t="s">
        <v>37929</v>
      </c>
      <c r="G8419" t="s">
        <v>37190</v>
      </c>
      <c r="H8419" t="s">
        <v>37191</v>
      </c>
      <c r="I8419" t="s">
        <v>37192</v>
      </c>
      <c r="J8419" t="s">
        <v>14600</v>
      </c>
      <c r="K8419" t="s">
        <v>1020</v>
      </c>
      <c r="L8419" t="s">
        <v>1021</v>
      </c>
      <c r="M8419" t="s">
        <v>38</v>
      </c>
      <c r="N8419" t="s">
        <v>1790</v>
      </c>
      <c r="O8419" t="s">
        <v>37193</v>
      </c>
      <c r="P8419" t="s">
        <v>37500</v>
      </c>
      <c r="Q8419" t="s">
        <v>37930</v>
      </c>
      <c r="R8419">
        <v>26</v>
      </c>
      <c r="S8419">
        <v>32</v>
      </c>
    </row>
    <row r="8420" spans="1:19" x14ac:dyDescent="0.35">
      <c r="A8420">
        <v>5702</v>
      </c>
      <c r="B8420" t="s">
        <v>37918</v>
      </c>
      <c r="C8420" t="s">
        <v>42</v>
      </c>
      <c r="D8420" t="s">
        <v>37919</v>
      </c>
      <c r="E8420" t="e" cm="1">
        <f t="array" ref="E8420">- CEFIXIME TRIHYDRATE</f>
        <v>#NAME?</v>
      </c>
      <c r="F8420" t="s">
        <v>37920</v>
      </c>
      <c r="G8420" t="s">
        <v>37190</v>
      </c>
      <c r="H8420" t="s">
        <v>37191</v>
      </c>
      <c r="I8420" t="s">
        <v>37192</v>
      </c>
      <c r="J8420" t="s">
        <v>37921</v>
      </c>
      <c r="K8420" t="s">
        <v>1020</v>
      </c>
      <c r="L8420" t="s">
        <v>1021</v>
      </c>
      <c r="M8420" t="s">
        <v>291</v>
      </c>
      <c r="N8420" t="s">
        <v>1790</v>
      </c>
      <c r="O8420" t="s">
        <v>37193</v>
      </c>
      <c r="P8420" t="s">
        <v>37246</v>
      </c>
      <c r="Q8420" t="s">
        <v>37922</v>
      </c>
      <c r="R8420">
        <v>26</v>
      </c>
      <c r="S8420">
        <v>32</v>
      </c>
    </row>
    <row r="8421" spans="1:19" x14ac:dyDescent="0.35">
      <c r="A8421">
        <v>5703</v>
      </c>
      <c r="B8421" t="s">
        <v>37918</v>
      </c>
      <c r="C8421" t="s">
        <v>42</v>
      </c>
      <c r="D8421" t="s">
        <v>37919</v>
      </c>
      <c r="E8421" t="e" cm="1">
        <f t="array" ref="E8421">- CEFIXIME TRIHYDRATE</f>
        <v>#NAME?</v>
      </c>
      <c r="F8421" t="s">
        <v>37920</v>
      </c>
      <c r="G8421" t="s">
        <v>37190</v>
      </c>
      <c r="H8421" t="s">
        <v>37191</v>
      </c>
      <c r="I8421" t="s">
        <v>37192</v>
      </c>
      <c r="J8421" t="s">
        <v>37921</v>
      </c>
      <c r="K8421" t="s">
        <v>1020</v>
      </c>
      <c r="L8421" t="s">
        <v>1021</v>
      </c>
      <c r="M8421" t="s">
        <v>291</v>
      </c>
      <c r="N8421" t="s">
        <v>1790</v>
      </c>
      <c r="O8421" t="s">
        <v>37193</v>
      </c>
      <c r="P8421" t="s">
        <v>37246</v>
      </c>
      <c r="Q8421" t="s">
        <v>37922</v>
      </c>
      <c r="R8421">
        <v>26</v>
      </c>
      <c r="S8421">
        <v>32</v>
      </c>
    </row>
    <row r="8422" spans="1:19" x14ac:dyDescent="0.35">
      <c r="A8422">
        <v>5922</v>
      </c>
      <c r="B8422" t="s">
        <v>37931</v>
      </c>
      <c r="C8422" t="s">
        <v>42</v>
      </c>
      <c r="D8422" t="s">
        <v>37932</v>
      </c>
      <c r="E8422" t="e" cm="1">
        <f t="array" ref="E8422">- CEFIXIME TRIHYDRATE</f>
        <v>#NAME?</v>
      </c>
      <c r="F8422" t="s">
        <v>37933</v>
      </c>
      <c r="G8422" t="s">
        <v>37190</v>
      </c>
      <c r="H8422" t="s">
        <v>37191</v>
      </c>
      <c r="I8422" t="s">
        <v>37192</v>
      </c>
      <c r="J8422" t="s">
        <v>14600</v>
      </c>
      <c r="K8422" t="s">
        <v>1020</v>
      </c>
      <c r="L8422" t="s">
        <v>1021</v>
      </c>
      <c r="M8422" t="s">
        <v>38</v>
      </c>
      <c r="N8422" t="s">
        <v>1790</v>
      </c>
      <c r="O8422" t="s">
        <v>37193</v>
      </c>
      <c r="P8422" t="s">
        <v>37934</v>
      </c>
      <c r="Q8422" t="s">
        <v>37935</v>
      </c>
      <c r="R8422">
        <v>26</v>
      </c>
      <c r="S8422">
        <v>32</v>
      </c>
    </row>
    <row r="8423" spans="1:19" x14ac:dyDescent="0.35">
      <c r="A8423">
        <v>8819</v>
      </c>
      <c r="B8423" t="s">
        <v>37936</v>
      </c>
      <c r="C8423" t="s">
        <v>42</v>
      </c>
      <c r="D8423" t="s">
        <v>37937</v>
      </c>
      <c r="E8423" t="e" cm="1">
        <f t="array" ref="E8423">- PIOGLITAZONE HYDROCHLORIDE</f>
        <v>#NAME?</v>
      </c>
      <c r="F8423" t="s">
        <v>37938</v>
      </c>
      <c r="G8423" t="s">
        <v>6310</v>
      </c>
      <c r="H8423" t="s">
        <v>37205</v>
      </c>
      <c r="I8423" t="s">
        <v>37871</v>
      </c>
      <c r="J8423" t="s">
        <v>599</v>
      </c>
      <c r="K8423" t="s">
        <v>37872</v>
      </c>
      <c r="L8423" t="s">
        <v>27804</v>
      </c>
      <c r="M8423" t="s">
        <v>46</v>
      </c>
      <c r="N8423" t="s">
        <v>2389</v>
      </c>
      <c r="O8423" t="s">
        <v>37873</v>
      </c>
      <c r="P8423" t="s">
        <v>37874</v>
      </c>
      <c r="Q8423" t="s">
        <v>37875</v>
      </c>
      <c r="R8423">
        <v>26</v>
      </c>
      <c r="S8423">
        <v>32</v>
      </c>
    </row>
    <row r="8424" spans="1:19" x14ac:dyDescent="0.35">
      <c r="A8424">
        <v>723</v>
      </c>
      <c r="B8424" t="s">
        <v>36558</v>
      </c>
      <c r="C8424" t="s">
        <v>20</v>
      </c>
      <c r="D8424" t="s">
        <v>37939</v>
      </c>
      <c r="E8424" t="s">
        <v>36560</v>
      </c>
      <c r="F8424" t="s">
        <v>37940</v>
      </c>
      <c r="G8424" t="s">
        <v>37941</v>
      </c>
      <c r="H8424" t="s">
        <v>36563</v>
      </c>
      <c r="I8424" t="s">
        <v>37942</v>
      </c>
      <c r="J8424" t="s">
        <v>374</v>
      </c>
      <c r="K8424" t="s">
        <v>37943</v>
      </c>
      <c r="L8424" t="s">
        <v>37944</v>
      </c>
      <c r="M8424" t="s">
        <v>2115</v>
      </c>
      <c r="N8424" t="s">
        <v>36565</v>
      </c>
      <c r="O8424" t="s">
        <v>37945</v>
      </c>
      <c r="P8424" t="s">
        <v>36567</v>
      </c>
      <c r="Q8424" t="s">
        <v>37946</v>
      </c>
      <c r="R8424">
        <v>26</v>
      </c>
      <c r="S8424">
        <v>32</v>
      </c>
    </row>
    <row r="8425" spans="1:19" x14ac:dyDescent="0.35">
      <c r="A8425">
        <v>614</v>
      </c>
      <c r="B8425" t="s">
        <v>37947</v>
      </c>
      <c r="C8425" t="s">
        <v>42</v>
      </c>
      <c r="D8425" t="s">
        <v>37948</v>
      </c>
      <c r="E8425" t="e" cm="1">
        <f t="array" ref="E8425">- FORMOTEROL FUMARATE DIHYDRATE. BECLOMETASONE DIPROPIONATE</f>
        <v>#NAME?</v>
      </c>
      <c r="F8425" s="1">
        <v>816000</v>
      </c>
      <c r="G8425" t="s">
        <v>37949</v>
      </c>
      <c r="H8425" t="s">
        <v>37950</v>
      </c>
      <c r="I8425" t="s">
        <v>37951</v>
      </c>
      <c r="J8425" t="s">
        <v>37952</v>
      </c>
      <c r="K8425" t="s">
        <v>37953</v>
      </c>
      <c r="L8425" t="s">
        <v>37954</v>
      </c>
      <c r="M8425" t="s">
        <v>3423</v>
      </c>
      <c r="N8425" t="s">
        <v>37955</v>
      </c>
      <c r="O8425" t="s">
        <v>37956</v>
      </c>
      <c r="P8425" t="s">
        <v>37957</v>
      </c>
      <c r="Q8425" t="s">
        <v>37958</v>
      </c>
      <c r="R8425">
        <v>26</v>
      </c>
      <c r="S8425">
        <v>32</v>
      </c>
    </row>
    <row r="8426" spans="1:19" x14ac:dyDescent="0.35">
      <c r="A8426">
        <v>7878</v>
      </c>
      <c r="B8426" t="s">
        <v>37959</v>
      </c>
      <c r="C8426" t="s">
        <v>20</v>
      </c>
      <c r="D8426" t="s">
        <v>37960</v>
      </c>
      <c r="E8426" t="s">
        <v>37961</v>
      </c>
      <c r="F8426" t="s">
        <v>37962</v>
      </c>
      <c r="G8426" t="s">
        <v>5866</v>
      </c>
      <c r="H8426" t="s">
        <v>37963</v>
      </c>
      <c r="I8426" t="s">
        <v>37964</v>
      </c>
      <c r="J8426" t="s">
        <v>37965</v>
      </c>
      <c r="M8426" t="s">
        <v>38</v>
      </c>
      <c r="N8426" t="s">
        <v>37966</v>
      </c>
      <c r="O8426" t="s">
        <v>37967</v>
      </c>
      <c r="P8426" t="s">
        <v>37966</v>
      </c>
      <c r="Q8426" t="s">
        <v>37968</v>
      </c>
      <c r="R8426">
        <v>26</v>
      </c>
      <c r="S8426">
        <v>32</v>
      </c>
    </row>
    <row r="8427" spans="1:19" x14ac:dyDescent="0.35">
      <c r="A8427">
        <v>5983</v>
      </c>
      <c r="B8427" t="s">
        <v>37969</v>
      </c>
      <c r="C8427" t="s">
        <v>42</v>
      </c>
      <c r="D8427" t="s">
        <v>37970</v>
      </c>
      <c r="E8427" t="e" cm="1">
        <f t="array" ref="E8427">- CIPROFLOXACIN HYDROCHLORIDE</f>
        <v>#NAME?</v>
      </c>
      <c r="F8427" t="s">
        <v>37971</v>
      </c>
      <c r="H8427" t="s">
        <v>1055</v>
      </c>
      <c r="I8427" t="s">
        <v>37972</v>
      </c>
      <c r="J8427" t="s">
        <v>37973</v>
      </c>
      <c r="L8427" t="s">
        <v>321</v>
      </c>
      <c r="M8427" t="s">
        <v>291</v>
      </c>
      <c r="N8427" t="s">
        <v>1624</v>
      </c>
      <c r="O8427" t="s">
        <v>37974</v>
      </c>
      <c r="P8427" t="s">
        <v>37975</v>
      </c>
      <c r="Q8427" t="s">
        <v>37976</v>
      </c>
      <c r="R8427">
        <v>26</v>
      </c>
      <c r="S8427">
        <v>32</v>
      </c>
    </row>
    <row r="8428" spans="1:19" x14ac:dyDescent="0.35">
      <c r="A8428">
        <v>6416</v>
      </c>
      <c r="B8428" t="s">
        <v>37248</v>
      </c>
      <c r="C8428" t="s">
        <v>42</v>
      </c>
      <c r="D8428" t="s">
        <v>37249</v>
      </c>
      <c r="E8428" t="e" cm="1">
        <f t="array" ref="E8428">- CEFIXIME TRIHYDRATE</f>
        <v>#NAME?</v>
      </c>
      <c r="F8428" t="s">
        <v>37250</v>
      </c>
      <c r="G8428" t="s">
        <v>37190</v>
      </c>
      <c r="H8428" t="s">
        <v>1019</v>
      </c>
      <c r="I8428" t="s">
        <v>37192</v>
      </c>
      <c r="J8428" t="s">
        <v>829</v>
      </c>
      <c r="K8428" t="s">
        <v>1020</v>
      </c>
      <c r="L8428" t="s">
        <v>1021</v>
      </c>
      <c r="M8428" t="s">
        <v>271</v>
      </c>
      <c r="N8428" t="s">
        <v>1790</v>
      </c>
      <c r="O8428" t="s">
        <v>37193</v>
      </c>
      <c r="P8428" t="s">
        <v>37194</v>
      </c>
      <c r="Q8428" t="s">
        <v>37977</v>
      </c>
      <c r="R8428">
        <v>26</v>
      </c>
      <c r="S8428">
        <v>32</v>
      </c>
    </row>
    <row r="8429" spans="1:19" x14ac:dyDescent="0.35">
      <c r="A8429">
        <v>5726</v>
      </c>
      <c r="B8429" t="s">
        <v>37978</v>
      </c>
      <c r="C8429" t="s">
        <v>42</v>
      </c>
      <c r="D8429" t="s">
        <v>37979</v>
      </c>
      <c r="E8429" t="e" cm="1">
        <f t="array" ref="E8429">- CEFIXIME TRIHYDRATE</f>
        <v>#NAME?</v>
      </c>
      <c r="F8429" t="s">
        <v>37980</v>
      </c>
      <c r="G8429" t="s">
        <v>37190</v>
      </c>
      <c r="H8429" t="s">
        <v>1019</v>
      </c>
      <c r="I8429" t="s">
        <v>37192</v>
      </c>
      <c r="J8429" t="s">
        <v>829</v>
      </c>
      <c r="K8429" t="s">
        <v>1020</v>
      </c>
      <c r="L8429" t="s">
        <v>1021</v>
      </c>
      <c r="M8429" t="s">
        <v>271</v>
      </c>
      <c r="N8429" t="s">
        <v>1790</v>
      </c>
      <c r="O8429" t="s">
        <v>37193</v>
      </c>
      <c r="P8429" t="s">
        <v>37981</v>
      </c>
      <c r="Q8429" t="s">
        <v>37982</v>
      </c>
      <c r="R8429">
        <v>26</v>
      </c>
      <c r="S8429">
        <v>32</v>
      </c>
    </row>
    <row r="8430" spans="1:19" x14ac:dyDescent="0.35">
      <c r="A8430">
        <v>1022</v>
      </c>
      <c r="B8430" t="s">
        <v>37983</v>
      </c>
      <c r="C8430" t="s">
        <v>42</v>
      </c>
      <c r="D8430" t="s">
        <v>37984</v>
      </c>
      <c r="E8430" t="e" cm="1">
        <f t="array" ref="E8430">- AMMONIUM CHLORIDE. PARACETAMOL. CHLORPHENAMINE MALEATE. EPHEDRINE HYDROCHLORIDE. SUCCUS LIQUIRITIAE</f>
        <v>#NAME?</v>
      </c>
      <c r="F8430" t="s">
        <v>35661</v>
      </c>
      <c r="G8430" t="s">
        <v>4640</v>
      </c>
      <c r="H8430" t="s">
        <v>35099</v>
      </c>
      <c r="I8430" t="s">
        <v>37985</v>
      </c>
      <c r="J8430" t="s">
        <v>334</v>
      </c>
      <c r="K8430" t="s">
        <v>35101</v>
      </c>
      <c r="L8430" t="s">
        <v>37986</v>
      </c>
      <c r="M8430" t="s">
        <v>271</v>
      </c>
      <c r="N8430" t="s">
        <v>37987</v>
      </c>
      <c r="O8430" t="s">
        <v>37988</v>
      </c>
      <c r="P8430" t="s">
        <v>37989</v>
      </c>
      <c r="Q8430" t="s">
        <v>37990</v>
      </c>
      <c r="R8430">
        <v>26</v>
      </c>
      <c r="S8430">
        <v>32</v>
      </c>
    </row>
    <row r="8431" spans="1:19" x14ac:dyDescent="0.35">
      <c r="A8431">
        <v>5921</v>
      </c>
      <c r="B8431" t="s">
        <v>37931</v>
      </c>
      <c r="C8431" t="s">
        <v>42</v>
      </c>
      <c r="D8431" t="s">
        <v>37932</v>
      </c>
      <c r="E8431" t="e" cm="1">
        <f t="array" ref="E8431">- CEFIXIME TRIHYDRATE</f>
        <v>#NAME?</v>
      </c>
      <c r="F8431" t="s">
        <v>37933</v>
      </c>
      <c r="G8431" t="s">
        <v>37190</v>
      </c>
      <c r="H8431" t="s">
        <v>37191</v>
      </c>
      <c r="I8431" t="s">
        <v>37192</v>
      </c>
      <c r="J8431" t="s">
        <v>14600</v>
      </c>
      <c r="K8431" t="s">
        <v>1020</v>
      </c>
      <c r="L8431" t="s">
        <v>1021</v>
      </c>
      <c r="M8431" t="s">
        <v>38</v>
      </c>
      <c r="N8431" t="s">
        <v>1790</v>
      </c>
      <c r="O8431" t="s">
        <v>37193</v>
      </c>
      <c r="P8431" t="s">
        <v>37934</v>
      </c>
      <c r="Q8431" t="s">
        <v>37935</v>
      </c>
      <c r="R8431">
        <v>26</v>
      </c>
      <c r="S8431">
        <v>32</v>
      </c>
    </row>
    <row r="8432" spans="1:19" x14ac:dyDescent="0.35">
      <c r="A8432">
        <v>5984</v>
      </c>
      <c r="B8432" t="s">
        <v>37969</v>
      </c>
      <c r="C8432" t="s">
        <v>42</v>
      </c>
      <c r="D8432" t="s">
        <v>37970</v>
      </c>
      <c r="E8432" t="e" cm="1">
        <f t="array" ref="E8432">- CIPROFLOXACIN HYDROCHLORIDE</f>
        <v>#NAME?</v>
      </c>
      <c r="F8432" t="s">
        <v>37971</v>
      </c>
      <c r="H8432" t="s">
        <v>1055</v>
      </c>
      <c r="I8432" t="s">
        <v>37972</v>
      </c>
      <c r="J8432" t="s">
        <v>37973</v>
      </c>
      <c r="L8432" t="s">
        <v>321</v>
      </c>
      <c r="M8432" t="s">
        <v>291</v>
      </c>
      <c r="N8432" t="s">
        <v>1624</v>
      </c>
      <c r="O8432" t="s">
        <v>37974</v>
      </c>
      <c r="P8432" t="s">
        <v>37975</v>
      </c>
      <c r="Q8432" t="s">
        <v>37976</v>
      </c>
      <c r="R8432">
        <v>26</v>
      </c>
      <c r="S8432">
        <v>32</v>
      </c>
    </row>
    <row r="8433" spans="1:19" x14ac:dyDescent="0.35">
      <c r="A8433">
        <v>6054</v>
      </c>
      <c r="B8433" t="s">
        <v>37913</v>
      </c>
      <c r="C8433" t="s">
        <v>42</v>
      </c>
      <c r="D8433" t="s">
        <v>37914</v>
      </c>
      <c r="E8433" t="e" cm="1">
        <f t="array" ref="E8433">- CEFIXIME TRIHYDRATE</f>
        <v>#NAME?</v>
      </c>
      <c r="F8433" t="s">
        <v>37915</v>
      </c>
      <c r="G8433" t="s">
        <v>37190</v>
      </c>
      <c r="H8433" t="s">
        <v>1019</v>
      </c>
      <c r="I8433" t="s">
        <v>37192</v>
      </c>
      <c r="J8433" t="s">
        <v>334</v>
      </c>
      <c r="K8433" t="s">
        <v>1020</v>
      </c>
      <c r="L8433" t="s">
        <v>1021</v>
      </c>
      <c r="M8433" t="s">
        <v>271</v>
      </c>
      <c r="N8433" t="s">
        <v>1790</v>
      </c>
      <c r="O8433" t="s">
        <v>37193</v>
      </c>
      <c r="P8433" t="s">
        <v>37916</v>
      </c>
      <c r="Q8433" t="s">
        <v>37917</v>
      </c>
      <c r="R8433">
        <v>26</v>
      </c>
      <c r="S8433">
        <v>32</v>
      </c>
    </row>
    <row r="8434" spans="1:19" x14ac:dyDescent="0.35">
      <c r="A8434">
        <v>6415</v>
      </c>
      <c r="B8434" t="s">
        <v>37248</v>
      </c>
      <c r="C8434" t="s">
        <v>42</v>
      </c>
      <c r="D8434" t="s">
        <v>37249</v>
      </c>
      <c r="E8434" t="e" cm="1">
        <f t="array" ref="E8434">- CEFIXIME TRIHYDRATE</f>
        <v>#NAME?</v>
      </c>
      <c r="F8434" t="s">
        <v>37250</v>
      </c>
      <c r="G8434" t="s">
        <v>37190</v>
      </c>
      <c r="H8434" t="s">
        <v>1019</v>
      </c>
      <c r="I8434" t="s">
        <v>37192</v>
      </c>
      <c r="J8434" t="s">
        <v>829</v>
      </c>
      <c r="K8434" t="s">
        <v>1020</v>
      </c>
      <c r="L8434" t="s">
        <v>1021</v>
      </c>
      <c r="M8434" t="s">
        <v>271</v>
      </c>
      <c r="N8434" t="s">
        <v>1790</v>
      </c>
      <c r="O8434" t="s">
        <v>37193</v>
      </c>
      <c r="P8434" t="s">
        <v>37194</v>
      </c>
      <c r="Q8434" t="s">
        <v>37977</v>
      </c>
      <c r="R8434">
        <v>26</v>
      </c>
      <c r="S8434">
        <v>32</v>
      </c>
    </row>
    <row r="8435" spans="1:19" x14ac:dyDescent="0.35">
      <c r="A8435">
        <v>6509</v>
      </c>
      <c r="B8435" t="s">
        <v>37319</v>
      </c>
      <c r="C8435" t="s">
        <v>42</v>
      </c>
      <c r="D8435" t="s">
        <v>37320</v>
      </c>
      <c r="E8435" t="e" cm="1">
        <f t="array" ref="E8435">- CHLORAMPHENICOL PALMITATE</f>
        <v>#NAME?</v>
      </c>
      <c r="F8435" t="s">
        <v>37321</v>
      </c>
      <c r="H8435" t="s">
        <v>37322</v>
      </c>
      <c r="I8435" t="s">
        <v>37323</v>
      </c>
      <c r="J8435" t="s">
        <v>334</v>
      </c>
      <c r="K8435" t="s">
        <v>37324</v>
      </c>
      <c r="L8435" t="s">
        <v>37325</v>
      </c>
      <c r="M8435" t="s">
        <v>340</v>
      </c>
      <c r="N8435" t="s">
        <v>1714</v>
      </c>
      <c r="O8435" t="s">
        <v>37326</v>
      </c>
      <c r="P8435" t="s">
        <v>37327</v>
      </c>
      <c r="Q8435" t="s">
        <v>37991</v>
      </c>
      <c r="R8435">
        <v>26</v>
      </c>
      <c r="S8435">
        <v>32</v>
      </c>
    </row>
    <row r="8436" spans="1:19" x14ac:dyDescent="0.35">
      <c r="A8436">
        <v>6613</v>
      </c>
      <c r="B8436" t="s">
        <v>37992</v>
      </c>
      <c r="C8436" t="s">
        <v>42</v>
      </c>
      <c r="D8436" t="s">
        <v>37993</v>
      </c>
      <c r="E8436" t="e" cm="1">
        <f t="array" ref="E8436">- ITRACONAZOLE</f>
        <v>#NAME?</v>
      </c>
      <c r="F8436" t="s">
        <v>37994</v>
      </c>
      <c r="G8436" t="s">
        <v>5506</v>
      </c>
      <c r="H8436" t="s">
        <v>37995</v>
      </c>
      <c r="I8436" t="s">
        <v>37996</v>
      </c>
      <c r="J8436" t="s">
        <v>37997</v>
      </c>
      <c r="K8436" t="s">
        <v>9842</v>
      </c>
      <c r="L8436" t="s">
        <v>37998</v>
      </c>
      <c r="M8436" t="s">
        <v>38</v>
      </c>
      <c r="N8436" t="s">
        <v>5512</v>
      </c>
      <c r="O8436" t="s">
        <v>37999</v>
      </c>
      <c r="P8436" t="s">
        <v>38000</v>
      </c>
      <c r="Q8436" t="s">
        <v>38001</v>
      </c>
      <c r="R8436">
        <v>26</v>
      </c>
      <c r="S8436">
        <v>32</v>
      </c>
    </row>
    <row r="8437" spans="1:19" x14ac:dyDescent="0.35">
      <c r="A8437">
        <v>5725</v>
      </c>
      <c r="B8437" t="s">
        <v>37978</v>
      </c>
      <c r="C8437" t="s">
        <v>42</v>
      </c>
      <c r="D8437" t="s">
        <v>37979</v>
      </c>
      <c r="E8437" t="e" cm="1">
        <f t="array" ref="E8437">- CEFIXIME TRIHYDRATE</f>
        <v>#NAME?</v>
      </c>
      <c r="F8437" t="s">
        <v>37980</v>
      </c>
      <c r="G8437" t="s">
        <v>37190</v>
      </c>
      <c r="H8437" t="s">
        <v>1019</v>
      </c>
      <c r="I8437" t="s">
        <v>37192</v>
      </c>
      <c r="J8437" t="s">
        <v>829</v>
      </c>
      <c r="K8437" t="s">
        <v>1020</v>
      </c>
      <c r="L8437" t="s">
        <v>1021</v>
      </c>
      <c r="M8437" t="s">
        <v>271</v>
      </c>
      <c r="N8437" t="s">
        <v>1790</v>
      </c>
      <c r="O8437" t="s">
        <v>37193</v>
      </c>
      <c r="P8437" t="s">
        <v>37981</v>
      </c>
      <c r="Q8437" t="s">
        <v>37982</v>
      </c>
      <c r="R8437">
        <v>26</v>
      </c>
      <c r="S8437">
        <v>32</v>
      </c>
    </row>
    <row r="8438" spans="1:19" x14ac:dyDescent="0.35">
      <c r="A8438">
        <v>601</v>
      </c>
      <c r="B8438" t="s">
        <v>38002</v>
      </c>
      <c r="C8438" t="s">
        <v>42</v>
      </c>
      <c r="D8438" t="s">
        <v>38003</v>
      </c>
      <c r="E8438" t="e" cm="1">
        <f t="array" ref="E8438">- FENOTEROL HYDROBROMIDE</f>
        <v>#NAME?</v>
      </c>
      <c r="F8438" t="s">
        <v>38004</v>
      </c>
      <c r="G8438" t="s">
        <v>36545</v>
      </c>
      <c r="H8438" t="s">
        <v>38005</v>
      </c>
      <c r="I8438" t="s">
        <v>38006</v>
      </c>
      <c r="J8438" t="s">
        <v>38007</v>
      </c>
      <c r="K8438" t="s">
        <v>38008</v>
      </c>
      <c r="L8438" t="s">
        <v>38009</v>
      </c>
      <c r="M8438" t="s">
        <v>3453</v>
      </c>
      <c r="N8438" t="s">
        <v>36551</v>
      </c>
      <c r="O8438" t="s">
        <v>38010</v>
      </c>
      <c r="P8438" t="s">
        <v>38011</v>
      </c>
      <c r="Q8438" t="s">
        <v>38012</v>
      </c>
      <c r="R8438">
        <v>26</v>
      </c>
      <c r="S8438">
        <v>32</v>
      </c>
    </row>
    <row r="8439" spans="1:19" x14ac:dyDescent="0.35">
      <c r="A8439">
        <v>1023</v>
      </c>
      <c r="B8439" t="s">
        <v>37983</v>
      </c>
      <c r="C8439" t="s">
        <v>42</v>
      </c>
      <c r="D8439" t="s">
        <v>37984</v>
      </c>
      <c r="E8439" t="e" cm="1">
        <f t="array" ref="E8439">- AMMONIUM CHLORIDE. PARACETAMOL. CHLORPHENAMINE MALEATE. EPHEDRINE HYDROCHLORIDE. SUCCUS LIQUIRITIAE</f>
        <v>#NAME?</v>
      </c>
      <c r="F8439" t="s">
        <v>35661</v>
      </c>
      <c r="G8439" t="s">
        <v>4640</v>
      </c>
      <c r="H8439" t="s">
        <v>35099</v>
      </c>
      <c r="I8439" t="s">
        <v>37985</v>
      </c>
      <c r="J8439" t="s">
        <v>334</v>
      </c>
      <c r="K8439" t="s">
        <v>35101</v>
      </c>
      <c r="L8439" t="s">
        <v>37986</v>
      </c>
      <c r="M8439" t="s">
        <v>271</v>
      </c>
      <c r="N8439" t="s">
        <v>37987</v>
      </c>
      <c r="O8439" t="s">
        <v>37988</v>
      </c>
      <c r="P8439" t="s">
        <v>37989</v>
      </c>
      <c r="Q8439" t="s">
        <v>37990</v>
      </c>
      <c r="R8439">
        <v>26</v>
      </c>
      <c r="S8439">
        <v>32</v>
      </c>
    </row>
    <row r="8440" spans="1:19" x14ac:dyDescent="0.35">
      <c r="A8440">
        <v>1020</v>
      </c>
      <c r="B8440" t="s">
        <v>37983</v>
      </c>
      <c r="C8440" t="s">
        <v>42</v>
      </c>
      <c r="D8440" t="s">
        <v>37984</v>
      </c>
      <c r="E8440" t="e" cm="1">
        <f t="array" ref="E8440">- SUCCUS LIQUIRITIAE. PARACETAMOL. AMMONIUM CHLORIDE. PSEUDOEPHEDRINE HYDROCHLORIDE. CHLORPHENAMINE MALEATE</f>
        <v>#NAME?</v>
      </c>
      <c r="F8440" t="s">
        <v>35661</v>
      </c>
      <c r="G8440" t="s">
        <v>4640</v>
      </c>
      <c r="H8440" t="s">
        <v>35099</v>
      </c>
      <c r="I8440" t="s">
        <v>37985</v>
      </c>
      <c r="J8440" t="s">
        <v>334</v>
      </c>
      <c r="K8440" t="s">
        <v>35101</v>
      </c>
      <c r="L8440" t="s">
        <v>37986</v>
      </c>
      <c r="M8440" t="s">
        <v>271</v>
      </c>
      <c r="N8440" t="s">
        <v>38013</v>
      </c>
      <c r="O8440" t="s">
        <v>37988</v>
      </c>
      <c r="P8440" t="s">
        <v>37989</v>
      </c>
      <c r="Q8440" t="s">
        <v>38014</v>
      </c>
      <c r="R8440">
        <v>26</v>
      </c>
      <c r="S8440">
        <v>32</v>
      </c>
    </row>
    <row r="8441" spans="1:19" x14ac:dyDescent="0.35">
      <c r="A8441">
        <v>3077</v>
      </c>
      <c r="B8441" t="s">
        <v>38015</v>
      </c>
      <c r="C8441" t="s">
        <v>42</v>
      </c>
      <c r="D8441" t="s">
        <v>38016</v>
      </c>
      <c r="E8441" t="e" cm="1">
        <f t="array" ref="E8441">- DRIED ALUMINIUM HYDROXIDE GEL. MAGNESIUM HYDROXIDE. SIMETHICONE</f>
        <v>#NAME?</v>
      </c>
      <c r="F8441" t="s">
        <v>19418</v>
      </c>
      <c r="G8441" t="s">
        <v>20420</v>
      </c>
      <c r="H8441" t="s">
        <v>38017</v>
      </c>
      <c r="I8441" t="s">
        <v>38018</v>
      </c>
      <c r="J8441" t="s">
        <v>374</v>
      </c>
      <c r="K8441" t="s">
        <v>38019</v>
      </c>
      <c r="L8441" t="s">
        <v>38020</v>
      </c>
      <c r="M8441" t="s">
        <v>340</v>
      </c>
      <c r="N8441" t="s">
        <v>14839</v>
      </c>
      <c r="O8441" t="s">
        <v>38021</v>
      </c>
      <c r="P8441" t="s">
        <v>38022</v>
      </c>
      <c r="Q8441" t="s">
        <v>38023</v>
      </c>
      <c r="R8441">
        <v>26</v>
      </c>
      <c r="S8441">
        <v>32</v>
      </c>
    </row>
    <row r="8442" spans="1:19" x14ac:dyDescent="0.35">
      <c r="A8442">
        <v>6053</v>
      </c>
      <c r="B8442" t="s">
        <v>37913</v>
      </c>
      <c r="C8442" t="s">
        <v>42</v>
      </c>
      <c r="D8442" t="s">
        <v>37914</v>
      </c>
      <c r="E8442" t="e" cm="1">
        <f t="array" ref="E8442">- CEFIXIME TRIHYDRATE</f>
        <v>#NAME?</v>
      </c>
      <c r="F8442" t="s">
        <v>37915</v>
      </c>
      <c r="G8442" t="s">
        <v>37190</v>
      </c>
      <c r="H8442" t="s">
        <v>1019</v>
      </c>
      <c r="I8442" t="s">
        <v>37192</v>
      </c>
      <c r="J8442" t="s">
        <v>334</v>
      </c>
      <c r="K8442" t="s">
        <v>1020</v>
      </c>
      <c r="L8442" t="s">
        <v>1021</v>
      </c>
      <c r="M8442" t="s">
        <v>271</v>
      </c>
      <c r="N8442" t="s">
        <v>1790</v>
      </c>
      <c r="O8442" t="s">
        <v>37193</v>
      </c>
      <c r="P8442" t="s">
        <v>37916</v>
      </c>
      <c r="Q8442" t="s">
        <v>37917</v>
      </c>
      <c r="R8442">
        <v>26</v>
      </c>
      <c r="S8442">
        <v>32</v>
      </c>
    </row>
    <row r="8443" spans="1:19" x14ac:dyDescent="0.35">
      <c r="A8443">
        <v>8781</v>
      </c>
      <c r="B8443" t="s">
        <v>2388</v>
      </c>
      <c r="C8443" t="s">
        <v>42</v>
      </c>
      <c r="D8443" t="s">
        <v>38024</v>
      </c>
      <c r="E8443" t="e" cm="1">
        <f t="array" ref="E8443">- PIOGLITAZONE HYDROCHLORIDE</f>
        <v>#NAME?</v>
      </c>
      <c r="F8443" t="s">
        <v>38025</v>
      </c>
      <c r="G8443" t="s">
        <v>16042</v>
      </c>
      <c r="H8443" t="s">
        <v>1322</v>
      </c>
      <c r="I8443" t="s">
        <v>38026</v>
      </c>
      <c r="J8443" t="s">
        <v>12671</v>
      </c>
      <c r="L8443" t="s">
        <v>16045</v>
      </c>
      <c r="M8443" t="s">
        <v>46</v>
      </c>
      <c r="N8443" t="s">
        <v>2389</v>
      </c>
      <c r="O8443" t="s">
        <v>38027</v>
      </c>
      <c r="P8443" t="s">
        <v>38028</v>
      </c>
      <c r="Q8443" t="s">
        <v>38029</v>
      </c>
      <c r="R8443">
        <v>26</v>
      </c>
      <c r="S8443">
        <v>32</v>
      </c>
    </row>
    <row r="8444" spans="1:19" x14ac:dyDescent="0.35">
      <c r="A8444">
        <v>5985</v>
      </c>
      <c r="B8444" t="s">
        <v>37969</v>
      </c>
      <c r="C8444" t="s">
        <v>42</v>
      </c>
      <c r="D8444" t="s">
        <v>37970</v>
      </c>
      <c r="E8444" t="e" cm="1">
        <f t="array" ref="E8444">- CIPROFLOXACIN HYDROCHLORIDE</f>
        <v>#NAME?</v>
      </c>
      <c r="F8444" t="s">
        <v>37971</v>
      </c>
      <c r="H8444" t="s">
        <v>1055</v>
      </c>
      <c r="I8444" t="s">
        <v>37972</v>
      </c>
      <c r="J8444" t="s">
        <v>37973</v>
      </c>
      <c r="L8444" t="s">
        <v>321</v>
      </c>
      <c r="M8444" t="s">
        <v>291</v>
      </c>
      <c r="N8444" t="s">
        <v>1624</v>
      </c>
      <c r="O8444" t="s">
        <v>37974</v>
      </c>
      <c r="P8444" t="s">
        <v>37975</v>
      </c>
      <c r="Q8444" t="s">
        <v>37976</v>
      </c>
      <c r="R8444">
        <v>26</v>
      </c>
      <c r="S8444">
        <v>32</v>
      </c>
    </row>
    <row r="8445" spans="1:19" x14ac:dyDescent="0.35">
      <c r="A8445">
        <v>1021</v>
      </c>
      <c r="B8445" t="s">
        <v>37983</v>
      </c>
      <c r="C8445" t="s">
        <v>42</v>
      </c>
      <c r="D8445" t="s">
        <v>37984</v>
      </c>
      <c r="E8445" t="e" cm="1">
        <f t="array" ref="E8445">- SUCCUS LIQUIRITIAE. PARACETAMOL. AMMONIUM CHLORIDE. PSEUDOEPHEDRINE HYDROCHLORIDE. CHLORPHENAMINE MALEATE</f>
        <v>#NAME?</v>
      </c>
      <c r="F8445" t="s">
        <v>35661</v>
      </c>
      <c r="G8445" t="s">
        <v>4640</v>
      </c>
      <c r="H8445" t="s">
        <v>35099</v>
      </c>
      <c r="I8445" t="s">
        <v>37985</v>
      </c>
      <c r="J8445" t="s">
        <v>334</v>
      </c>
      <c r="K8445" t="s">
        <v>35101</v>
      </c>
      <c r="L8445" t="s">
        <v>37986</v>
      </c>
      <c r="M8445" t="s">
        <v>271</v>
      </c>
      <c r="N8445" t="s">
        <v>38013</v>
      </c>
      <c r="O8445" t="s">
        <v>37988</v>
      </c>
      <c r="P8445" t="s">
        <v>37989</v>
      </c>
      <c r="Q8445" t="s">
        <v>38014</v>
      </c>
      <c r="R8445">
        <v>26</v>
      </c>
      <c r="S8445">
        <v>32</v>
      </c>
    </row>
    <row r="8446" spans="1:19" x14ac:dyDescent="0.35">
      <c r="A8446">
        <v>722</v>
      </c>
      <c r="B8446" t="s">
        <v>36558</v>
      </c>
      <c r="C8446" t="s">
        <v>20</v>
      </c>
      <c r="D8446" t="s">
        <v>37939</v>
      </c>
      <c r="E8446" t="s">
        <v>36560</v>
      </c>
      <c r="F8446" t="s">
        <v>37940</v>
      </c>
      <c r="G8446" t="s">
        <v>37941</v>
      </c>
      <c r="H8446" t="s">
        <v>36563</v>
      </c>
      <c r="I8446" t="s">
        <v>37942</v>
      </c>
      <c r="J8446" t="s">
        <v>374</v>
      </c>
      <c r="K8446" t="s">
        <v>37943</v>
      </c>
      <c r="L8446" t="s">
        <v>37944</v>
      </c>
      <c r="M8446" t="s">
        <v>2115</v>
      </c>
      <c r="N8446" t="s">
        <v>36565</v>
      </c>
      <c r="O8446" t="s">
        <v>37945</v>
      </c>
      <c r="P8446" t="s">
        <v>36567</v>
      </c>
      <c r="Q8446" t="s">
        <v>37946</v>
      </c>
      <c r="R8446">
        <v>26</v>
      </c>
      <c r="S8446">
        <v>32</v>
      </c>
    </row>
    <row r="8447" spans="1:19" x14ac:dyDescent="0.35">
      <c r="A8447">
        <v>7373</v>
      </c>
      <c r="B8447" t="s">
        <v>38030</v>
      </c>
      <c r="C8447" t="s">
        <v>42</v>
      </c>
      <c r="D8447" t="s">
        <v>38031</v>
      </c>
      <c r="E8447" t="e" cm="1">
        <f t="array" ref="E8447">- SODIUM HYALURONATE</f>
        <v>#NAME?</v>
      </c>
      <c r="F8447" t="s">
        <v>38032</v>
      </c>
      <c r="G8447" t="s">
        <v>36668</v>
      </c>
      <c r="H8447" t="s">
        <v>19161</v>
      </c>
      <c r="I8447" t="s">
        <v>38033</v>
      </c>
      <c r="J8447" t="s">
        <v>38034</v>
      </c>
      <c r="K8447" t="s">
        <v>2726</v>
      </c>
      <c r="L8447" t="s">
        <v>38035</v>
      </c>
      <c r="M8447" t="s">
        <v>554</v>
      </c>
      <c r="N8447" t="s">
        <v>27378</v>
      </c>
      <c r="O8447" t="s">
        <v>38036</v>
      </c>
      <c r="P8447" t="s">
        <v>38037</v>
      </c>
      <c r="Q8447" t="s">
        <v>38038</v>
      </c>
      <c r="R8447">
        <v>26</v>
      </c>
      <c r="S8447">
        <v>32</v>
      </c>
    </row>
    <row r="8448" spans="1:19" x14ac:dyDescent="0.35">
      <c r="A8448">
        <v>4290</v>
      </c>
      <c r="B8448" t="s">
        <v>37724</v>
      </c>
      <c r="C8448" t="s">
        <v>42</v>
      </c>
      <c r="D8448" t="s">
        <v>37725</v>
      </c>
      <c r="E8448" t="e" cm="1">
        <f t="array" ref="E8448">- DEXAMETHASONE. DEXCHLORPHENIRAMINE MALEATE</f>
        <v>#NAME?</v>
      </c>
      <c r="F8448" t="s">
        <v>37726</v>
      </c>
      <c r="I8448" t="s">
        <v>37020</v>
      </c>
      <c r="J8448" t="s">
        <v>727</v>
      </c>
      <c r="M8448" t="s">
        <v>291</v>
      </c>
      <c r="N8448" t="s">
        <v>9152</v>
      </c>
      <c r="O8448" t="s">
        <v>37023</v>
      </c>
      <c r="P8448" t="s">
        <v>37727</v>
      </c>
      <c r="Q8448" t="s">
        <v>38039</v>
      </c>
      <c r="R8448">
        <v>26</v>
      </c>
      <c r="S8448">
        <v>32</v>
      </c>
    </row>
    <row r="8449" spans="1:19" x14ac:dyDescent="0.35">
      <c r="A8449">
        <v>5861</v>
      </c>
      <c r="B8449" t="s">
        <v>38040</v>
      </c>
      <c r="C8449" t="s">
        <v>42</v>
      </c>
      <c r="D8449" t="s">
        <v>38041</v>
      </c>
      <c r="E8449" t="e" cm="1">
        <f t="array" ref="E8449">- CEFIXIME TRIHYDRATE</f>
        <v>#NAME?</v>
      </c>
      <c r="F8449" t="s">
        <v>38042</v>
      </c>
      <c r="G8449" t="s">
        <v>37190</v>
      </c>
      <c r="H8449" t="s">
        <v>37191</v>
      </c>
      <c r="I8449" t="s">
        <v>37192</v>
      </c>
      <c r="J8449" t="s">
        <v>3701</v>
      </c>
      <c r="K8449" t="s">
        <v>1020</v>
      </c>
      <c r="L8449" t="s">
        <v>1021</v>
      </c>
      <c r="M8449" t="s">
        <v>291</v>
      </c>
      <c r="N8449" t="s">
        <v>1790</v>
      </c>
      <c r="O8449" t="s">
        <v>37193</v>
      </c>
      <c r="P8449" t="s">
        <v>38043</v>
      </c>
      <c r="Q8449" t="s">
        <v>38044</v>
      </c>
      <c r="R8449">
        <v>26</v>
      </c>
      <c r="S8449">
        <v>32</v>
      </c>
    </row>
    <row r="8450" spans="1:19" x14ac:dyDescent="0.35">
      <c r="A8450">
        <v>5664</v>
      </c>
      <c r="B8450" t="s">
        <v>37472</v>
      </c>
      <c r="C8450" t="s">
        <v>42</v>
      </c>
      <c r="D8450" t="s">
        <v>37473</v>
      </c>
      <c r="E8450" t="e" cm="1">
        <f t="array" ref="E8450">- CEFIXIME TRIHYDRATE</f>
        <v>#NAME?</v>
      </c>
      <c r="F8450" t="s">
        <v>37474</v>
      </c>
      <c r="G8450" t="s">
        <v>37190</v>
      </c>
      <c r="H8450" t="s">
        <v>37191</v>
      </c>
      <c r="I8450" t="s">
        <v>37192</v>
      </c>
      <c r="J8450" t="s">
        <v>14600</v>
      </c>
      <c r="K8450" t="s">
        <v>1020</v>
      </c>
      <c r="L8450" t="s">
        <v>37475</v>
      </c>
      <c r="M8450" t="s">
        <v>38</v>
      </c>
      <c r="N8450" t="s">
        <v>1790</v>
      </c>
      <c r="O8450" t="s">
        <v>37193</v>
      </c>
      <c r="P8450" t="s">
        <v>37246</v>
      </c>
      <c r="Q8450" t="s">
        <v>38045</v>
      </c>
      <c r="R8450">
        <v>26</v>
      </c>
      <c r="S8450">
        <v>32</v>
      </c>
    </row>
    <row r="8451" spans="1:19" x14ac:dyDescent="0.35">
      <c r="A8451">
        <v>5872</v>
      </c>
      <c r="B8451" t="s">
        <v>38046</v>
      </c>
      <c r="C8451" t="s">
        <v>42</v>
      </c>
      <c r="D8451" t="s">
        <v>38047</v>
      </c>
      <c r="E8451" t="e" cm="1">
        <f t="array" ref="E8451">- CEFIXIME TRIHYDRATE</f>
        <v>#NAME?</v>
      </c>
      <c r="F8451" t="s">
        <v>38048</v>
      </c>
      <c r="G8451" t="s">
        <v>37190</v>
      </c>
      <c r="H8451" t="s">
        <v>37191</v>
      </c>
      <c r="I8451" t="s">
        <v>37192</v>
      </c>
      <c r="J8451" t="s">
        <v>4547</v>
      </c>
      <c r="K8451" t="s">
        <v>1020</v>
      </c>
      <c r="L8451" t="s">
        <v>1021</v>
      </c>
      <c r="M8451" t="s">
        <v>38</v>
      </c>
      <c r="N8451" t="s">
        <v>1790</v>
      </c>
      <c r="O8451" t="s">
        <v>37193</v>
      </c>
      <c r="P8451" t="s">
        <v>38049</v>
      </c>
      <c r="Q8451" t="s">
        <v>38050</v>
      </c>
      <c r="R8451">
        <v>26</v>
      </c>
      <c r="S8451">
        <v>32</v>
      </c>
    </row>
    <row r="8452" spans="1:19" x14ac:dyDescent="0.35">
      <c r="A8452">
        <v>8713</v>
      </c>
      <c r="B8452" t="s">
        <v>37163</v>
      </c>
      <c r="C8452" t="s">
        <v>42</v>
      </c>
      <c r="D8452" t="s">
        <v>37164</v>
      </c>
      <c r="E8452" t="e" cm="1">
        <f t="array" ref="E8452">- METFORMIN HYDROCHLORIDE. GLIBENCLAMIDE</f>
        <v>#NAME?</v>
      </c>
      <c r="F8452" t="s">
        <v>37165</v>
      </c>
      <c r="G8452" t="s">
        <v>1258</v>
      </c>
      <c r="H8452" t="s">
        <v>35742</v>
      </c>
      <c r="I8452" t="s">
        <v>37089</v>
      </c>
      <c r="J8452" t="s">
        <v>37166</v>
      </c>
      <c r="K8452" t="s">
        <v>35745</v>
      </c>
      <c r="L8452" t="s">
        <v>37167</v>
      </c>
      <c r="M8452" t="s">
        <v>46</v>
      </c>
      <c r="N8452" t="s">
        <v>37255</v>
      </c>
      <c r="O8452" t="s">
        <v>37091</v>
      </c>
      <c r="P8452" t="s">
        <v>1261</v>
      </c>
      <c r="Q8452" t="s">
        <v>38051</v>
      </c>
      <c r="R8452">
        <v>26</v>
      </c>
      <c r="S8452">
        <v>32</v>
      </c>
    </row>
    <row r="8453" spans="1:19" x14ac:dyDescent="0.35">
      <c r="A8453">
        <v>4047</v>
      </c>
      <c r="B8453" t="s">
        <v>37016</v>
      </c>
      <c r="C8453" t="s">
        <v>42</v>
      </c>
      <c r="D8453" t="s">
        <v>37017</v>
      </c>
      <c r="E8453" t="e" cm="1">
        <f t="array" ref="E8453">- DEXAMETHASONE. DEXCHLORPHENIRAMINE MALEATE</f>
        <v>#NAME?</v>
      </c>
      <c r="F8453" t="s">
        <v>37018</v>
      </c>
      <c r="G8453" t="s">
        <v>2241</v>
      </c>
      <c r="H8453" t="s">
        <v>37019</v>
      </c>
      <c r="I8453" t="s">
        <v>37020</v>
      </c>
      <c r="J8453" t="s">
        <v>37021</v>
      </c>
      <c r="K8453" t="s">
        <v>2858</v>
      </c>
      <c r="L8453" t="s">
        <v>37022</v>
      </c>
      <c r="M8453" t="s">
        <v>291</v>
      </c>
      <c r="N8453" t="s">
        <v>9152</v>
      </c>
      <c r="O8453" t="s">
        <v>37023</v>
      </c>
      <c r="P8453" t="s">
        <v>37024</v>
      </c>
      <c r="Q8453" t="s">
        <v>38052</v>
      </c>
      <c r="R8453">
        <v>26</v>
      </c>
      <c r="S8453">
        <v>32</v>
      </c>
    </row>
    <row r="8454" spans="1:19" x14ac:dyDescent="0.35">
      <c r="A8454">
        <v>8712</v>
      </c>
      <c r="B8454" t="s">
        <v>37163</v>
      </c>
      <c r="C8454" t="s">
        <v>42</v>
      </c>
      <c r="D8454" t="s">
        <v>37164</v>
      </c>
      <c r="E8454" t="e" cm="1">
        <f t="array" ref="E8454">- METFORMIN HYDROCHLORIDE. GLIBENCLAMIDE</f>
        <v>#NAME?</v>
      </c>
      <c r="F8454" t="s">
        <v>37165</v>
      </c>
      <c r="G8454" t="s">
        <v>1258</v>
      </c>
      <c r="H8454" t="s">
        <v>35742</v>
      </c>
      <c r="I8454" t="s">
        <v>37089</v>
      </c>
      <c r="J8454" t="s">
        <v>37166</v>
      </c>
      <c r="K8454" t="s">
        <v>35745</v>
      </c>
      <c r="L8454" t="s">
        <v>37167</v>
      </c>
      <c r="M8454" t="s">
        <v>46</v>
      </c>
      <c r="N8454" t="s">
        <v>37255</v>
      </c>
      <c r="O8454" t="s">
        <v>37091</v>
      </c>
      <c r="P8454" t="s">
        <v>1261</v>
      </c>
      <c r="Q8454" t="s">
        <v>38051</v>
      </c>
      <c r="R8454">
        <v>26</v>
      </c>
      <c r="S8454">
        <v>32</v>
      </c>
    </row>
    <row r="8455" spans="1:19" x14ac:dyDescent="0.35">
      <c r="A8455">
        <v>5132</v>
      </c>
      <c r="B8455" t="s">
        <v>38053</v>
      </c>
      <c r="C8455" t="s">
        <v>42</v>
      </c>
      <c r="D8455" t="s">
        <v>38054</v>
      </c>
      <c r="E8455" t="e" cm="1">
        <f t="array" ref="E8455">- BETAMETHASONE VALERATE</f>
        <v>#NAME?</v>
      </c>
      <c r="F8455" t="s">
        <v>38055</v>
      </c>
      <c r="G8455" t="s">
        <v>38056</v>
      </c>
      <c r="H8455" t="s">
        <v>38057</v>
      </c>
      <c r="I8455" t="s">
        <v>38058</v>
      </c>
      <c r="J8455" t="s">
        <v>13798</v>
      </c>
      <c r="K8455" t="s">
        <v>38059</v>
      </c>
      <c r="L8455" t="s">
        <v>38060</v>
      </c>
      <c r="M8455" t="s">
        <v>1289</v>
      </c>
      <c r="N8455" t="s">
        <v>2059</v>
      </c>
      <c r="O8455" t="s">
        <v>38061</v>
      </c>
      <c r="P8455" t="s">
        <v>38062</v>
      </c>
      <c r="Q8455" t="s">
        <v>38063</v>
      </c>
      <c r="R8455">
        <v>26</v>
      </c>
      <c r="S8455">
        <v>32</v>
      </c>
    </row>
    <row r="8456" spans="1:19" x14ac:dyDescent="0.35">
      <c r="A8456">
        <v>4048</v>
      </c>
      <c r="B8456" t="s">
        <v>37016</v>
      </c>
      <c r="C8456" t="s">
        <v>42</v>
      </c>
      <c r="D8456" t="s">
        <v>37017</v>
      </c>
      <c r="E8456" t="e" cm="1">
        <f t="array" ref="E8456">- DEXAMETHASONE. DEXCHLORPHENIRAMINE MALEATE</f>
        <v>#NAME?</v>
      </c>
      <c r="F8456" t="s">
        <v>37018</v>
      </c>
      <c r="G8456" t="s">
        <v>2241</v>
      </c>
      <c r="H8456" t="s">
        <v>37019</v>
      </c>
      <c r="I8456" t="s">
        <v>37020</v>
      </c>
      <c r="J8456" t="s">
        <v>37021</v>
      </c>
      <c r="K8456" t="s">
        <v>2858</v>
      </c>
      <c r="L8456" t="s">
        <v>37022</v>
      </c>
      <c r="M8456" t="s">
        <v>291</v>
      </c>
      <c r="N8456" t="s">
        <v>9152</v>
      </c>
      <c r="O8456" t="s">
        <v>37023</v>
      </c>
      <c r="P8456" t="s">
        <v>37024</v>
      </c>
      <c r="Q8456" t="s">
        <v>38052</v>
      </c>
      <c r="R8456">
        <v>26</v>
      </c>
      <c r="S8456">
        <v>32</v>
      </c>
    </row>
    <row r="8457" spans="1:19" x14ac:dyDescent="0.35">
      <c r="A8457">
        <v>2556</v>
      </c>
      <c r="B8457" t="s">
        <v>38064</v>
      </c>
      <c r="C8457" t="s">
        <v>42</v>
      </c>
      <c r="D8457" t="s">
        <v>38065</v>
      </c>
      <c r="E8457" t="e" cm="1">
        <f t="array" ref="E8457">- DICLOFENAC DIETHYLAMINE</f>
        <v>#NAME?</v>
      </c>
      <c r="F8457" t="s">
        <v>38066</v>
      </c>
      <c r="G8457" t="s">
        <v>11887</v>
      </c>
      <c r="H8457" t="s">
        <v>2764</v>
      </c>
      <c r="I8457" t="s">
        <v>38067</v>
      </c>
      <c r="J8457" t="s">
        <v>979</v>
      </c>
      <c r="K8457" t="s">
        <v>38068</v>
      </c>
      <c r="L8457" t="s">
        <v>38069</v>
      </c>
      <c r="M8457" t="s">
        <v>87</v>
      </c>
      <c r="N8457" t="s">
        <v>1958</v>
      </c>
      <c r="O8457" t="s">
        <v>38070</v>
      </c>
      <c r="P8457" t="s">
        <v>38071</v>
      </c>
      <c r="Q8457" t="s">
        <v>38072</v>
      </c>
      <c r="R8457">
        <v>26</v>
      </c>
      <c r="S8457">
        <v>32</v>
      </c>
    </row>
    <row r="8458" spans="1:19" x14ac:dyDescent="0.35">
      <c r="A8458">
        <v>5873</v>
      </c>
      <c r="B8458" t="s">
        <v>38046</v>
      </c>
      <c r="C8458" t="s">
        <v>42</v>
      </c>
      <c r="D8458" t="s">
        <v>38047</v>
      </c>
      <c r="E8458" t="e" cm="1">
        <f t="array" ref="E8458">- CEFIXIME TRIHYDRATE</f>
        <v>#NAME?</v>
      </c>
      <c r="F8458" t="s">
        <v>38048</v>
      </c>
      <c r="G8458" t="s">
        <v>37190</v>
      </c>
      <c r="H8458" t="s">
        <v>37191</v>
      </c>
      <c r="I8458" t="s">
        <v>37192</v>
      </c>
      <c r="J8458" t="s">
        <v>4547</v>
      </c>
      <c r="K8458" t="s">
        <v>1020</v>
      </c>
      <c r="L8458" t="s">
        <v>1021</v>
      </c>
      <c r="M8458" t="s">
        <v>38</v>
      </c>
      <c r="N8458" t="s">
        <v>1790</v>
      </c>
      <c r="O8458" t="s">
        <v>37193</v>
      </c>
      <c r="P8458" t="s">
        <v>38049</v>
      </c>
      <c r="Q8458" t="s">
        <v>38050</v>
      </c>
      <c r="R8458">
        <v>26</v>
      </c>
      <c r="S8458">
        <v>32</v>
      </c>
    </row>
    <row r="8459" spans="1:19" x14ac:dyDescent="0.35">
      <c r="A8459">
        <v>2557</v>
      </c>
      <c r="B8459" t="s">
        <v>38064</v>
      </c>
      <c r="C8459" t="s">
        <v>42</v>
      </c>
      <c r="D8459" t="s">
        <v>38065</v>
      </c>
      <c r="E8459" t="e" cm="1">
        <f t="array" ref="E8459">- DICLOFENAC DIETHYLAMINE</f>
        <v>#NAME?</v>
      </c>
      <c r="F8459" t="s">
        <v>38066</v>
      </c>
      <c r="G8459" t="s">
        <v>11887</v>
      </c>
      <c r="H8459" t="s">
        <v>2764</v>
      </c>
      <c r="I8459" t="s">
        <v>38067</v>
      </c>
      <c r="J8459" t="s">
        <v>979</v>
      </c>
      <c r="K8459" t="s">
        <v>38068</v>
      </c>
      <c r="L8459" t="s">
        <v>38069</v>
      </c>
      <c r="M8459" t="s">
        <v>87</v>
      </c>
      <c r="N8459" t="s">
        <v>1958</v>
      </c>
      <c r="O8459" t="s">
        <v>38070</v>
      </c>
      <c r="P8459" t="s">
        <v>38071</v>
      </c>
      <c r="Q8459" t="s">
        <v>38072</v>
      </c>
      <c r="R8459">
        <v>26</v>
      </c>
      <c r="S8459">
        <v>32</v>
      </c>
    </row>
    <row r="8460" spans="1:19" x14ac:dyDescent="0.35">
      <c r="A8460">
        <v>8658</v>
      </c>
      <c r="B8460" t="s">
        <v>38073</v>
      </c>
      <c r="C8460" t="s">
        <v>42</v>
      </c>
      <c r="D8460" t="s">
        <v>38074</v>
      </c>
      <c r="E8460" t="e" cm="1">
        <f t="array" ref="E8460">- METFORMIN HYDROCHLORIDE</f>
        <v>#NAME?</v>
      </c>
      <c r="F8460" t="s">
        <v>38075</v>
      </c>
      <c r="G8460" t="s">
        <v>38076</v>
      </c>
      <c r="H8460" t="s">
        <v>38077</v>
      </c>
      <c r="I8460" t="s">
        <v>38078</v>
      </c>
      <c r="J8460" t="s">
        <v>45</v>
      </c>
      <c r="K8460" t="s">
        <v>38079</v>
      </c>
      <c r="L8460" t="s">
        <v>38080</v>
      </c>
      <c r="M8460" t="s">
        <v>46</v>
      </c>
      <c r="N8460" t="s">
        <v>30728</v>
      </c>
      <c r="O8460" t="s">
        <v>38081</v>
      </c>
      <c r="P8460" t="s">
        <v>38082</v>
      </c>
      <c r="Q8460" t="s">
        <v>38083</v>
      </c>
      <c r="R8460">
        <v>26</v>
      </c>
      <c r="S8460">
        <v>32</v>
      </c>
    </row>
    <row r="8461" spans="1:19" x14ac:dyDescent="0.35">
      <c r="A8461">
        <v>8659</v>
      </c>
      <c r="B8461" t="s">
        <v>38073</v>
      </c>
      <c r="C8461" t="s">
        <v>42</v>
      </c>
      <c r="D8461" t="s">
        <v>38074</v>
      </c>
      <c r="E8461" t="e" cm="1">
        <f t="array" ref="E8461">- METFORMIN HYDROCHLORIDE</f>
        <v>#NAME?</v>
      </c>
      <c r="F8461" t="s">
        <v>38075</v>
      </c>
      <c r="G8461" t="s">
        <v>38076</v>
      </c>
      <c r="H8461" t="s">
        <v>38077</v>
      </c>
      <c r="I8461" t="s">
        <v>38078</v>
      </c>
      <c r="J8461" t="s">
        <v>45</v>
      </c>
      <c r="K8461" t="s">
        <v>38079</v>
      </c>
      <c r="L8461" t="s">
        <v>38080</v>
      </c>
      <c r="M8461" t="s">
        <v>46</v>
      </c>
      <c r="N8461" t="s">
        <v>30728</v>
      </c>
      <c r="O8461" t="s">
        <v>38081</v>
      </c>
      <c r="P8461" t="s">
        <v>38082</v>
      </c>
      <c r="Q8461" t="s">
        <v>38083</v>
      </c>
      <c r="R8461">
        <v>26</v>
      </c>
      <c r="S8461">
        <v>32</v>
      </c>
    </row>
    <row r="8462" spans="1:19" x14ac:dyDescent="0.35">
      <c r="A8462">
        <v>8660</v>
      </c>
      <c r="B8462" t="s">
        <v>38073</v>
      </c>
      <c r="C8462" t="s">
        <v>42</v>
      </c>
      <c r="D8462" t="s">
        <v>38074</v>
      </c>
      <c r="E8462" t="e" cm="1">
        <f t="array" ref="E8462">- METFORMIN HYDROCHLORIDE</f>
        <v>#NAME?</v>
      </c>
      <c r="F8462" t="s">
        <v>38075</v>
      </c>
      <c r="G8462" t="s">
        <v>38076</v>
      </c>
      <c r="H8462" t="s">
        <v>38077</v>
      </c>
      <c r="I8462" t="s">
        <v>38078</v>
      </c>
      <c r="J8462" t="s">
        <v>45</v>
      </c>
      <c r="K8462" t="s">
        <v>38079</v>
      </c>
      <c r="L8462" t="s">
        <v>38080</v>
      </c>
      <c r="M8462" t="s">
        <v>46</v>
      </c>
      <c r="N8462" t="s">
        <v>30728</v>
      </c>
      <c r="O8462" t="s">
        <v>38081</v>
      </c>
      <c r="P8462" t="s">
        <v>38082</v>
      </c>
      <c r="Q8462" t="s">
        <v>38083</v>
      </c>
      <c r="R8462">
        <v>26</v>
      </c>
      <c r="S8462">
        <v>32</v>
      </c>
    </row>
    <row r="8463" spans="1:19" x14ac:dyDescent="0.35">
      <c r="A8463">
        <v>913</v>
      </c>
      <c r="B8463" t="s">
        <v>33438</v>
      </c>
      <c r="C8463" t="s">
        <v>42</v>
      </c>
      <c r="D8463" t="s">
        <v>33439</v>
      </c>
      <c r="E8463" t="e" cm="1">
        <f t="array" ref="E8463">- PARACETAMOL. GUAIFENESIN. PHENYLEPHRINE HYDROCHLORIDE. BROMHEXINE HYDROCHLORIDE</f>
        <v>#NAME?</v>
      </c>
      <c r="F8463" t="s">
        <v>16086</v>
      </c>
      <c r="G8463" t="s">
        <v>1691</v>
      </c>
      <c r="H8463" t="s">
        <v>33440</v>
      </c>
      <c r="I8463" t="s">
        <v>33441</v>
      </c>
      <c r="J8463" t="s">
        <v>21381</v>
      </c>
      <c r="K8463" t="s">
        <v>24475</v>
      </c>
      <c r="L8463" t="s">
        <v>33442</v>
      </c>
      <c r="M8463" t="s">
        <v>291</v>
      </c>
      <c r="N8463" t="s">
        <v>38084</v>
      </c>
      <c r="O8463" t="s">
        <v>33443</v>
      </c>
      <c r="P8463" t="s">
        <v>25154</v>
      </c>
      <c r="Q8463" t="s">
        <v>38085</v>
      </c>
      <c r="R8463">
        <v>26</v>
      </c>
      <c r="S8463">
        <v>32</v>
      </c>
    </row>
    <row r="8464" spans="1:19" x14ac:dyDescent="0.35">
      <c r="A8464">
        <v>7096</v>
      </c>
      <c r="B8464" t="s">
        <v>38086</v>
      </c>
      <c r="C8464" t="s">
        <v>850</v>
      </c>
      <c r="D8464" t="s">
        <v>38087</v>
      </c>
      <c r="E8464" t="s">
        <v>38088</v>
      </c>
      <c r="F8464" t="s">
        <v>38089</v>
      </c>
      <c r="G8464" t="s">
        <v>38090</v>
      </c>
      <c r="H8464" t="s">
        <v>38091</v>
      </c>
      <c r="I8464" t="s">
        <v>38092</v>
      </c>
      <c r="J8464" t="s">
        <v>24155</v>
      </c>
      <c r="L8464" t="s">
        <v>38093</v>
      </c>
      <c r="M8464" t="s">
        <v>1289</v>
      </c>
      <c r="N8464" t="s">
        <v>38094</v>
      </c>
      <c r="O8464" t="s">
        <v>38095</v>
      </c>
      <c r="P8464" t="s">
        <v>38096</v>
      </c>
      <c r="Q8464" t="s">
        <v>38097</v>
      </c>
      <c r="R8464">
        <v>26</v>
      </c>
      <c r="S8464">
        <v>32</v>
      </c>
    </row>
    <row r="8465" spans="1:19" x14ac:dyDescent="0.35">
      <c r="A8465">
        <v>9859</v>
      </c>
      <c r="B8465" t="s">
        <v>38098</v>
      </c>
      <c r="C8465" t="s">
        <v>42</v>
      </c>
      <c r="D8465" t="s">
        <v>38099</v>
      </c>
      <c r="E8465" t="e" cm="1">
        <f t="array" ref="E8465">- SIMVASTATIN</f>
        <v>#NAME?</v>
      </c>
      <c r="F8465" t="s">
        <v>38100</v>
      </c>
      <c r="G8465" t="s">
        <v>12760</v>
      </c>
      <c r="H8465" t="s">
        <v>6718</v>
      </c>
      <c r="I8465" t="s">
        <v>38101</v>
      </c>
      <c r="J8465" t="s">
        <v>284</v>
      </c>
      <c r="K8465" t="s">
        <v>12773</v>
      </c>
      <c r="L8465" t="s">
        <v>38102</v>
      </c>
      <c r="M8465" t="s">
        <v>46</v>
      </c>
      <c r="N8465" t="s">
        <v>1150</v>
      </c>
      <c r="O8465" t="s">
        <v>38103</v>
      </c>
      <c r="P8465" t="s">
        <v>13445</v>
      </c>
      <c r="Q8465" t="s">
        <v>38104</v>
      </c>
      <c r="R8465">
        <v>26</v>
      </c>
      <c r="S8465">
        <v>32</v>
      </c>
    </row>
    <row r="8466" spans="1:19" x14ac:dyDescent="0.35">
      <c r="A8466">
        <v>6293</v>
      </c>
      <c r="B8466" t="s">
        <v>38105</v>
      </c>
      <c r="C8466" t="s">
        <v>42</v>
      </c>
      <c r="D8466" t="s">
        <v>38106</v>
      </c>
      <c r="E8466" t="e" cm="1">
        <f t="array" ref="E8466">- CEFIXIME TRIHYDRATE</f>
        <v>#NAME?</v>
      </c>
      <c r="F8466" t="s">
        <v>38107</v>
      </c>
      <c r="G8466" t="s">
        <v>37190</v>
      </c>
      <c r="H8466" t="s">
        <v>1019</v>
      </c>
      <c r="I8466" t="s">
        <v>37192</v>
      </c>
      <c r="J8466" t="s">
        <v>829</v>
      </c>
      <c r="K8466" t="s">
        <v>1020</v>
      </c>
      <c r="L8466" t="s">
        <v>1021</v>
      </c>
      <c r="M8466" t="s">
        <v>271</v>
      </c>
      <c r="N8466" t="s">
        <v>1790</v>
      </c>
      <c r="O8466" t="s">
        <v>37193</v>
      </c>
      <c r="P8466" t="s">
        <v>38108</v>
      </c>
      <c r="Q8466" t="s">
        <v>38109</v>
      </c>
      <c r="R8466">
        <v>26</v>
      </c>
      <c r="S8466">
        <v>32</v>
      </c>
    </row>
    <row r="8467" spans="1:19" x14ac:dyDescent="0.35">
      <c r="A8467">
        <v>6294</v>
      </c>
      <c r="B8467" t="s">
        <v>38105</v>
      </c>
      <c r="C8467" t="s">
        <v>42</v>
      </c>
      <c r="D8467" t="s">
        <v>38106</v>
      </c>
      <c r="E8467" t="e" cm="1">
        <f t="array" ref="E8467">- CEFIXIME TRIHYDRATE</f>
        <v>#NAME?</v>
      </c>
      <c r="F8467" t="s">
        <v>38107</v>
      </c>
      <c r="G8467" t="s">
        <v>37190</v>
      </c>
      <c r="H8467" t="s">
        <v>1019</v>
      </c>
      <c r="I8467" t="s">
        <v>37192</v>
      </c>
      <c r="J8467" t="s">
        <v>829</v>
      </c>
      <c r="K8467" t="s">
        <v>1020</v>
      </c>
      <c r="L8467" t="s">
        <v>1021</v>
      </c>
      <c r="M8467" t="s">
        <v>271</v>
      </c>
      <c r="N8467" t="s">
        <v>1790</v>
      </c>
      <c r="O8467" t="s">
        <v>37193</v>
      </c>
      <c r="P8467" t="s">
        <v>38108</v>
      </c>
      <c r="Q8467" t="s">
        <v>38109</v>
      </c>
      <c r="R8467">
        <v>26</v>
      </c>
      <c r="S8467">
        <v>32</v>
      </c>
    </row>
    <row r="8468" spans="1:19" x14ac:dyDescent="0.35">
      <c r="A8468">
        <v>6519</v>
      </c>
      <c r="B8468" t="s">
        <v>38110</v>
      </c>
      <c r="C8468" t="s">
        <v>42</v>
      </c>
      <c r="D8468" t="s">
        <v>38111</v>
      </c>
      <c r="E8468" t="e" cm="1">
        <f t="array" ref="E8468">- AZITHROMYCIN</f>
        <v>#NAME?</v>
      </c>
      <c r="F8468" t="s">
        <v>38112</v>
      </c>
      <c r="G8468" t="s">
        <v>11423</v>
      </c>
      <c r="H8468" t="s">
        <v>38113</v>
      </c>
      <c r="I8468" t="s">
        <v>38114</v>
      </c>
      <c r="J8468" t="s">
        <v>38115</v>
      </c>
      <c r="K8468" t="s">
        <v>13003</v>
      </c>
      <c r="L8468" t="s">
        <v>13004</v>
      </c>
      <c r="M8468" t="s">
        <v>271</v>
      </c>
      <c r="N8468" t="s">
        <v>28440</v>
      </c>
      <c r="O8468" t="s">
        <v>38116</v>
      </c>
      <c r="P8468" t="s">
        <v>13007</v>
      </c>
      <c r="Q8468" t="s">
        <v>38117</v>
      </c>
      <c r="R8468">
        <v>26</v>
      </c>
      <c r="S8468">
        <v>32</v>
      </c>
    </row>
    <row r="8469" spans="1:19" x14ac:dyDescent="0.35">
      <c r="A8469">
        <v>4117</v>
      </c>
      <c r="B8469" t="s">
        <v>37096</v>
      </c>
      <c r="C8469" t="s">
        <v>42</v>
      </c>
      <c r="D8469" t="s">
        <v>37097</v>
      </c>
      <c r="E8469" t="e" cm="1">
        <f t="array" ref="E8469">- DEXCHLORPHENIRAMINE MALEATE. DEXAMETHASONE</f>
        <v>#NAME?</v>
      </c>
      <c r="F8469" t="s">
        <v>37098</v>
      </c>
      <c r="G8469" t="s">
        <v>4420</v>
      </c>
      <c r="H8469" t="s">
        <v>37099</v>
      </c>
      <c r="I8469" t="s">
        <v>37020</v>
      </c>
      <c r="J8469" t="s">
        <v>727</v>
      </c>
      <c r="K8469" t="s">
        <v>37100</v>
      </c>
      <c r="L8469" t="s">
        <v>37101</v>
      </c>
      <c r="M8469" t="s">
        <v>291</v>
      </c>
      <c r="N8469" t="s">
        <v>31770</v>
      </c>
      <c r="O8469" t="s">
        <v>37023</v>
      </c>
      <c r="P8469" t="s">
        <v>37102</v>
      </c>
      <c r="Q8469" t="s">
        <v>38118</v>
      </c>
      <c r="R8469">
        <v>26</v>
      </c>
      <c r="S8469">
        <v>32</v>
      </c>
    </row>
    <row r="8470" spans="1:19" x14ac:dyDescent="0.35">
      <c r="A8470">
        <v>8693</v>
      </c>
      <c r="B8470" t="s">
        <v>38119</v>
      </c>
      <c r="C8470" t="s">
        <v>42</v>
      </c>
      <c r="D8470" t="s">
        <v>38120</v>
      </c>
      <c r="E8470" t="e" cm="1">
        <f t="array" ref="E8470">- GLICLAZIDE</f>
        <v>#NAME?</v>
      </c>
      <c r="F8470" t="s">
        <v>11536</v>
      </c>
      <c r="G8470" t="s">
        <v>37382</v>
      </c>
      <c r="H8470" t="s">
        <v>37383</v>
      </c>
      <c r="I8470" t="s">
        <v>37384</v>
      </c>
      <c r="J8470" t="s">
        <v>754</v>
      </c>
      <c r="K8470" t="s">
        <v>37385</v>
      </c>
      <c r="L8470" t="s">
        <v>37386</v>
      </c>
      <c r="M8470" t="s">
        <v>46</v>
      </c>
      <c r="N8470" t="s">
        <v>1268</v>
      </c>
      <c r="O8470" t="s">
        <v>37387</v>
      </c>
      <c r="P8470" t="s">
        <v>38121</v>
      </c>
      <c r="Q8470" t="s">
        <v>38122</v>
      </c>
      <c r="R8470">
        <v>26</v>
      </c>
      <c r="S8470">
        <v>32</v>
      </c>
    </row>
    <row r="8471" spans="1:19" x14ac:dyDescent="0.35">
      <c r="A8471">
        <v>6240</v>
      </c>
      <c r="B8471" t="s">
        <v>38123</v>
      </c>
      <c r="C8471" t="s">
        <v>42</v>
      </c>
      <c r="D8471" t="s">
        <v>38124</v>
      </c>
      <c r="E8471" t="e" cm="1">
        <f t="array" ref="E8471">- CEFIXIME TRIHYDRATE</f>
        <v>#NAME?</v>
      </c>
      <c r="F8471" t="s">
        <v>38125</v>
      </c>
      <c r="G8471" t="s">
        <v>37190</v>
      </c>
      <c r="H8471" t="s">
        <v>1019</v>
      </c>
      <c r="I8471" t="s">
        <v>37192</v>
      </c>
      <c r="J8471" t="s">
        <v>829</v>
      </c>
      <c r="K8471" t="s">
        <v>1020</v>
      </c>
      <c r="L8471" t="s">
        <v>1021</v>
      </c>
      <c r="M8471" t="s">
        <v>271</v>
      </c>
      <c r="N8471" t="s">
        <v>1790</v>
      </c>
      <c r="O8471" t="s">
        <v>37193</v>
      </c>
      <c r="P8471" t="s">
        <v>38126</v>
      </c>
      <c r="Q8471" t="s">
        <v>38127</v>
      </c>
      <c r="R8471">
        <v>26</v>
      </c>
      <c r="S8471">
        <v>32</v>
      </c>
    </row>
    <row r="8472" spans="1:19" x14ac:dyDescent="0.35">
      <c r="A8472">
        <v>6239</v>
      </c>
      <c r="B8472" t="s">
        <v>38123</v>
      </c>
      <c r="C8472" t="s">
        <v>42</v>
      </c>
      <c r="D8472" t="s">
        <v>38124</v>
      </c>
      <c r="E8472" t="e" cm="1">
        <f t="array" ref="E8472">- CEFIXIME TRIHYDRATE</f>
        <v>#NAME?</v>
      </c>
      <c r="F8472" t="s">
        <v>38125</v>
      </c>
      <c r="G8472" t="s">
        <v>37190</v>
      </c>
      <c r="H8472" t="s">
        <v>1019</v>
      </c>
      <c r="I8472" t="s">
        <v>37192</v>
      </c>
      <c r="J8472" t="s">
        <v>829</v>
      </c>
      <c r="K8472" t="s">
        <v>1020</v>
      </c>
      <c r="L8472" t="s">
        <v>1021</v>
      </c>
      <c r="M8472" t="s">
        <v>271</v>
      </c>
      <c r="N8472" t="s">
        <v>1790</v>
      </c>
      <c r="O8472" t="s">
        <v>37193</v>
      </c>
      <c r="P8472" t="s">
        <v>38126</v>
      </c>
      <c r="Q8472" t="s">
        <v>38127</v>
      </c>
      <c r="R8472">
        <v>26</v>
      </c>
      <c r="S8472">
        <v>32</v>
      </c>
    </row>
    <row r="8473" spans="1:19" x14ac:dyDescent="0.35">
      <c r="A8473">
        <v>8692</v>
      </c>
      <c r="B8473" t="s">
        <v>38119</v>
      </c>
      <c r="C8473" t="s">
        <v>42</v>
      </c>
      <c r="D8473" t="s">
        <v>38120</v>
      </c>
      <c r="E8473" t="e" cm="1">
        <f t="array" ref="E8473">- GLICLAZIDE</f>
        <v>#NAME?</v>
      </c>
      <c r="F8473" t="s">
        <v>11536</v>
      </c>
      <c r="G8473" t="s">
        <v>37382</v>
      </c>
      <c r="H8473" t="s">
        <v>37383</v>
      </c>
      <c r="I8473" t="s">
        <v>37384</v>
      </c>
      <c r="J8473" t="s">
        <v>754</v>
      </c>
      <c r="K8473" t="s">
        <v>37385</v>
      </c>
      <c r="L8473" t="s">
        <v>37386</v>
      </c>
      <c r="M8473" t="s">
        <v>46</v>
      </c>
      <c r="N8473" t="s">
        <v>1268</v>
      </c>
      <c r="O8473" t="s">
        <v>37387</v>
      </c>
      <c r="P8473" t="s">
        <v>38121</v>
      </c>
      <c r="Q8473" t="s">
        <v>38122</v>
      </c>
      <c r="R8473">
        <v>26</v>
      </c>
      <c r="S8473">
        <v>32</v>
      </c>
    </row>
    <row r="8474" spans="1:19" x14ac:dyDescent="0.35">
      <c r="A8474">
        <v>8691</v>
      </c>
      <c r="B8474" t="s">
        <v>38119</v>
      </c>
      <c r="C8474" t="s">
        <v>42</v>
      </c>
      <c r="D8474" t="s">
        <v>38120</v>
      </c>
      <c r="E8474" t="e" cm="1">
        <f t="array" ref="E8474">- GLICLAZIDE</f>
        <v>#NAME?</v>
      </c>
      <c r="F8474" t="s">
        <v>11536</v>
      </c>
      <c r="G8474" t="s">
        <v>37382</v>
      </c>
      <c r="H8474" t="s">
        <v>37383</v>
      </c>
      <c r="I8474" t="s">
        <v>37384</v>
      </c>
      <c r="J8474" t="s">
        <v>754</v>
      </c>
      <c r="K8474" t="s">
        <v>37385</v>
      </c>
      <c r="L8474" t="s">
        <v>37386</v>
      </c>
      <c r="M8474" t="s">
        <v>46</v>
      </c>
      <c r="N8474" t="s">
        <v>1268</v>
      </c>
      <c r="O8474" t="s">
        <v>37387</v>
      </c>
      <c r="P8474" t="s">
        <v>38121</v>
      </c>
      <c r="Q8474" t="s">
        <v>38122</v>
      </c>
      <c r="R8474">
        <v>26</v>
      </c>
      <c r="S8474">
        <v>32</v>
      </c>
    </row>
    <row r="8475" spans="1:19" x14ac:dyDescent="0.35">
      <c r="A8475">
        <v>5151</v>
      </c>
      <c r="B8475" t="s">
        <v>37104</v>
      </c>
      <c r="C8475" t="s">
        <v>42</v>
      </c>
      <c r="D8475" t="s">
        <v>37105</v>
      </c>
      <c r="E8475" t="e" cm="1">
        <f t="array" ref="E8475">- CAMPHOR. CLIOQUINOL. HYDROCORTISONE</f>
        <v>#NAME?</v>
      </c>
      <c r="F8475" t="s">
        <v>37106</v>
      </c>
      <c r="G8475" t="s">
        <v>37107</v>
      </c>
      <c r="H8475" t="s">
        <v>18376</v>
      </c>
      <c r="I8475" t="s">
        <v>37108</v>
      </c>
      <c r="J8475" t="s">
        <v>2049</v>
      </c>
      <c r="K8475" t="s">
        <v>37109</v>
      </c>
      <c r="L8475" t="s">
        <v>37110</v>
      </c>
      <c r="M8475" t="s">
        <v>1289</v>
      </c>
      <c r="N8475" t="s">
        <v>38128</v>
      </c>
      <c r="O8475" t="s">
        <v>37111</v>
      </c>
      <c r="P8475" t="s">
        <v>37112</v>
      </c>
      <c r="Q8475" t="s">
        <v>38129</v>
      </c>
      <c r="R8475">
        <v>26</v>
      </c>
      <c r="S8475">
        <v>32</v>
      </c>
    </row>
    <row r="8476" spans="1:19" x14ac:dyDescent="0.35">
      <c r="A8476">
        <v>914</v>
      </c>
      <c r="B8476" t="s">
        <v>33438</v>
      </c>
      <c r="C8476" t="s">
        <v>42</v>
      </c>
      <c r="D8476" t="s">
        <v>33439</v>
      </c>
      <c r="E8476" t="e" cm="1">
        <f t="array" ref="E8476">- PARACETAMOL. GUAIFENESIN. PHENYLEPHRINE HYDROCHLORIDE. BROMHEXINE HYDROCHLORIDE</f>
        <v>#NAME?</v>
      </c>
      <c r="F8476" t="s">
        <v>16086</v>
      </c>
      <c r="G8476" t="s">
        <v>1691</v>
      </c>
      <c r="H8476" t="s">
        <v>33440</v>
      </c>
      <c r="I8476" t="s">
        <v>33441</v>
      </c>
      <c r="J8476" t="s">
        <v>21381</v>
      </c>
      <c r="K8476" t="s">
        <v>24475</v>
      </c>
      <c r="L8476" t="s">
        <v>33442</v>
      </c>
      <c r="M8476" t="s">
        <v>291</v>
      </c>
      <c r="N8476" t="s">
        <v>38084</v>
      </c>
      <c r="O8476" t="s">
        <v>33443</v>
      </c>
      <c r="P8476" t="s">
        <v>25154</v>
      </c>
      <c r="Q8476" t="s">
        <v>38085</v>
      </c>
      <c r="R8476">
        <v>26</v>
      </c>
      <c r="S8476">
        <v>32</v>
      </c>
    </row>
    <row r="8477" spans="1:19" x14ac:dyDescent="0.35">
      <c r="A8477">
        <v>4195</v>
      </c>
      <c r="B8477" t="s">
        <v>38130</v>
      </c>
      <c r="C8477" t="s">
        <v>42</v>
      </c>
      <c r="D8477" t="s">
        <v>38131</v>
      </c>
      <c r="E8477" t="e" cm="1">
        <f t="array" ref="E8477">- DESLORATADINE</f>
        <v>#NAME?</v>
      </c>
      <c r="F8477" t="s">
        <v>38132</v>
      </c>
      <c r="G8477" t="s">
        <v>4420</v>
      </c>
      <c r="H8477" t="s">
        <v>38133</v>
      </c>
      <c r="I8477" t="s">
        <v>38134</v>
      </c>
      <c r="J8477" t="s">
        <v>38135</v>
      </c>
      <c r="M8477" t="s">
        <v>8254</v>
      </c>
      <c r="N8477" t="s">
        <v>1107</v>
      </c>
      <c r="O8477" t="s">
        <v>37744</v>
      </c>
      <c r="P8477" t="s">
        <v>38136</v>
      </c>
      <c r="Q8477" t="s">
        <v>38137</v>
      </c>
      <c r="R8477">
        <v>26</v>
      </c>
      <c r="S8477">
        <v>32</v>
      </c>
    </row>
    <row r="8478" spans="1:19" x14ac:dyDescent="0.35">
      <c r="A8478">
        <v>8720</v>
      </c>
      <c r="B8478" t="s">
        <v>38138</v>
      </c>
      <c r="C8478" t="s">
        <v>42</v>
      </c>
      <c r="D8478" t="s">
        <v>38139</v>
      </c>
      <c r="E8478" t="e" cm="1">
        <f t="array" ref="E8478">- GLICLAZIDE</f>
        <v>#NAME?</v>
      </c>
      <c r="F8478" t="s">
        <v>16792</v>
      </c>
      <c r="G8478" t="s">
        <v>37382</v>
      </c>
      <c r="H8478" t="s">
        <v>37383</v>
      </c>
      <c r="I8478" t="s">
        <v>37384</v>
      </c>
      <c r="J8478" t="s">
        <v>381</v>
      </c>
      <c r="K8478" t="s">
        <v>37385</v>
      </c>
      <c r="L8478" t="s">
        <v>37386</v>
      </c>
      <c r="M8478" t="s">
        <v>46</v>
      </c>
      <c r="N8478" t="s">
        <v>1268</v>
      </c>
      <c r="O8478" t="s">
        <v>37387</v>
      </c>
      <c r="P8478" t="s">
        <v>38140</v>
      </c>
      <c r="Q8478" t="s">
        <v>38141</v>
      </c>
      <c r="R8478">
        <v>26</v>
      </c>
      <c r="S8478">
        <v>32</v>
      </c>
    </row>
    <row r="8479" spans="1:19" x14ac:dyDescent="0.35">
      <c r="A8479">
        <v>6133</v>
      </c>
      <c r="B8479" t="s">
        <v>37496</v>
      </c>
      <c r="C8479" t="s">
        <v>42</v>
      </c>
      <c r="D8479" t="s">
        <v>37497</v>
      </c>
      <c r="E8479" t="e" cm="1">
        <f t="array" ref="E8479">- CEFIXIME TRIHYDRATE</f>
        <v>#NAME?</v>
      </c>
      <c r="F8479" t="s">
        <v>37498</v>
      </c>
      <c r="G8479" t="s">
        <v>37190</v>
      </c>
      <c r="H8479" t="s">
        <v>37191</v>
      </c>
      <c r="I8479" t="s">
        <v>37192</v>
      </c>
      <c r="J8479" t="s">
        <v>37499</v>
      </c>
      <c r="K8479" t="s">
        <v>1020</v>
      </c>
      <c r="L8479" t="s">
        <v>1021</v>
      </c>
      <c r="M8479" t="s">
        <v>38</v>
      </c>
      <c r="N8479" t="s">
        <v>1790</v>
      </c>
      <c r="O8479" t="s">
        <v>37193</v>
      </c>
      <c r="P8479" t="s">
        <v>37500</v>
      </c>
      <c r="Q8479" t="s">
        <v>37930</v>
      </c>
      <c r="R8479">
        <v>26</v>
      </c>
      <c r="S8479">
        <v>32</v>
      </c>
    </row>
    <row r="8480" spans="1:19" x14ac:dyDescent="0.35">
      <c r="A8480">
        <v>8627</v>
      </c>
      <c r="B8480" t="s">
        <v>38142</v>
      </c>
      <c r="C8480" t="s">
        <v>42</v>
      </c>
      <c r="D8480" t="s">
        <v>38143</v>
      </c>
      <c r="E8480" t="e" cm="1">
        <f t="array" ref="E8480">- GLICLAZIDE</f>
        <v>#NAME?</v>
      </c>
      <c r="F8480" t="s">
        <v>38144</v>
      </c>
      <c r="G8480" t="s">
        <v>37382</v>
      </c>
      <c r="H8480" t="s">
        <v>37383</v>
      </c>
      <c r="I8480" t="s">
        <v>37384</v>
      </c>
      <c r="J8480" t="s">
        <v>38145</v>
      </c>
      <c r="K8480" t="s">
        <v>37385</v>
      </c>
      <c r="L8480" t="s">
        <v>37386</v>
      </c>
      <c r="M8480" t="s">
        <v>46</v>
      </c>
      <c r="N8480" t="s">
        <v>1268</v>
      </c>
      <c r="O8480" t="s">
        <v>37387</v>
      </c>
      <c r="P8480" t="s">
        <v>38146</v>
      </c>
      <c r="Q8480" t="s">
        <v>38147</v>
      </c>
      <c r="R8480">
        <v>26</v>
      </c>
      <c r="S8480">
        <v>32</v>
      </c>
    </row>
    <row r="8481" spans="1:19" x14ac:dyDescent="0.35">
      <c r="A8481">
        <v>5700</v>
      </c>
      <c r="B8481" t="s">
        <v>37290</v>
      </c>
      <c r="C8481" t="s">
        <v>42</v>
      </c>
      <c r="D8481" t="s">
        <v>37291</v>
      </c>
      <c r="E8481" t="e" cm="1">
        <f t="array" ref="E8481">- CEFIXIME TRIHYDRATE</f>
        <v>#NAME?</v>
      </c>
      <c r="F8481" t="s">
        <v>37292</v>
      </c>
      <c r="G8481" t="s">
        <v>37190</v>
      </c>
      <c r="H8481" t="s">
        <v>1019</v>
      </c>
      <c r="I8481" t="s">
        <v>37192</v>
      </c>
      <c r="J8481" t="s">
        <v>829</v>
      </c>
      <c r="K8481" t="s">
        <v>1020</v>
      </c>
      <c r="L8481" t="s">
        <v>1021</v>
      </c>
      <c r="M8481" t="s">
        <v>271</v>
      </c>
      <c r="N8481" t="s">
        <v>1790</v>
      </c>
      <c r="O8481" t="s">
        <v>37193</v>
      </c>
      <c r="P8481" t="s">
        <v>37293</v>
      </c>
      <c r="Q8481" t="s">
        <v>38148</v>
      </c>
      <c r="R8481">
        <v>26</v>
      </c>
      <c r="S8481">
        <v>32</v>
      </c>
    </row>
    <row r="8482" spans="1:19" x14ac:dyDescent="0.35">
      <c r="A8482">
        <v>2757</v>
      </c>
      <c r="B8482" t="s">
        <v>38149</v>
      </c>
      <c r="C8482" t="s">
        <v>42</v>
      </c>
      <c r="D8482" t="s">
        <v>38150</v>
      </c>
      <c r="E8482" t="e" cm="1">
        <f t="array" ref="E8482">- FLUNARIZINE</f>
        <v>#NAME?</v>
      </c>
      <c r="F8482" t="s">
        <v>38151</v>
      </c>
      <c r="G8482" t="s">
        <v>5552</v>
      </c>
      <c r="H8482" t="s">
        <v>38152</v>
      </c>
      <c r="I8482" t="s">
        <v>38153</v>
      </c>
      <c r="J8482" t="s">
        <v>38154</v>
      </c>
      <c r="L8482" t="s">
        <v>38155</v>
      </c>
      <c r="M8482" t="s">
        <v>46</v>
      </c>
      <c r="N8482" t="s">
        <v>2623</v>
      </c>
      <c r="O8482" t="s">
        <v>38156</v>
      </c>
      <c r="P8482" t="s">
        <v>38157</v>
      </c>
      <c r="Q8482" t="s">
        <v>38158</v>
      </c>
      <c r="R8482">
        <v>26</v>
      </c>
      <c r="S8482">
        <v>32</v>
      </c>
    </row>
    <row r="8483" spans="1:19" x14ac:dyDescent="0.35">
      <c r="A8483">
        <v>6052</v>
      </c>
      <c r="B8483" t="s">
        <v>38159</v>
      </c>
      <c r="C8483" t="s">
        <v>42</v>
      </c>
      <c r="D8483" t="s">
        <v>38160</v>
      </c>
      <c r="E8483" t="e" cm="1">
        <f t="array" ref="E8483">- CEFIXIME TRIHYDRATE</f>
        <v>#NAME?</v>
      </c>
      <c r="F8483" t="s">
        <v>38161</v>
      </c>
      <c r="G8483" t="s">
        <v>37190</v>
      </c>
      <c r="H8483" t="s">
        <v>37191</v>
      </c>
      <c r="I8483" t="s">
        <v>37192</v>
      </c>
      <c r="J8483" t="s">
        <v>37499</v>
      </c>
      <c r="K8483" t="s">
        <v>1020</v>
      </c>
      <c r="L8483" t="s">
        <v>1021</v>
      </c>
      <c r="M8483" t="s">
        <v>38</v>
      </c>
      <c r="N8483" t="s">
        <v>1790</v>
      </c>
      <c r="O8483" t="s">
        <v>37193</v>
      </c>
      <c r="P8483" t="s">
        <v>37916</v>
      </c>
      <c r="Q8483" t="s">
        <v>38162</v>
      </c>
      <c r="R8483">
        <v>26</v>
      </c>
      <c r="S8483">
        <v>32</v>
      </c>
    </row>
    <row r="8484" spans="1:19" x14ac:dyDescent="0.35">
      <c r="A8484">
        <v>6051</v>
      </c>
      <c r="B8484" t="s">
        <v>38159</v>
      </c>
      <c r="C8484" t="s">
        <v>42</v>
      </c>
      <c r="D8484" t="s">
        <v>38160</v>
      </c>
      <c r="E8484" t="e" cm="1">
        <f t="array" ref="E8484">- CEFIXIME TRIHYDRATE</f>
        <v>#NAME?</v>
      </c>
      <c r="F8484" t="s">
        <v>38161</v>
      </c>
      <c r="G8484" t="s">
        <v>37190</v>
      </c>
      <c r="H8484" t="s">
        <v>37191</v>
      </c>
      <c r="I8484" t="s">
        <v>37192</v>
      </c>
      <c r="J8484" t="s">
        <v>37499</v>
      </c>
      <c r="K8484" t="s">
        <v>1020</v>
      </c>
      <c r="L8484" t="s">
        <v>1021</v>
      </c>
      <c r="M8484" t="s">
        <v>38</v>
      </c>
      <c r="N8484" t="s">
        <v>1790</v>
      </c>
      <c r="O8484" t="s">
        <v>37193</v>
      </c>
      <c r="P8484" t="s">
        <v>37916</v>
      </c>
      <c r="Q8484" t="s">
        <v>38162</v>
      </c>
      <c r="R8484">
        <v>26</v>
      </c>
      <c r="S8484">
        <v>32</v>
      </c>
    </row>
    <row r="8485" spans="1:19" x14ac:dyDescent="0.35">
      <c r="A8485">
        <v>6136</v>
      </c>
      <c r="B8485" t="s">
        <v>38163</v>
      </c>
      <c r="C8485" t="s">
        <v>42</v>
      </c>
      <c r="D8485" t="s">
        <v>38164</v>
      </c>
      <c r="E8485" t="e" cm="1">
        <f t="array" ref="E8485">- CEFIXIME TRIHYDRATE</f>
        <v>#NAME?</v>
      </c>
      <c r="F8485" t="s">
        <v>38165</v>
      </c>
      <c r="G8485" t="s">
        <v>37190</v>
      </c>
      <c r="H8485" t="s">
        <v>1019</v>
      </c>
      <c r="I8485" t="s">
        <v>37192</v>
      </c>
      <c r="J8485" t="s">
        <v>829</v>
      </c>
      <c r="K8485" t="s">
        <v>1020</v>
      </c>
      <c r="L8485" t="s">
        <v>1021</v>
      </c>
      <c r="M8485" t="s">
        <v>271</v>
      </c>
      <c r="N8485" t="s">
        <v>1790</v>
      </c>
      <c r="O8485" t="s">
        <v>37193</v>
      </c>
      <c r="P8485" t="s">
        <v>37500</v>
      </c>
      <c r="Q8485" t="s">
        <v>38166</v>
      </c>
      <c r="R8485">
        <v>26</v>
      </c>
      <c r="S8485">
        <v>32</v>
      </c>
    </row>
    <row r="8486" spans="1:19" x14ac:dyDescent="0.35">
      <c r="A8486">
        <v>8762</v>
      </c>
      <c r="B8486" t="s">
        <v>38167</v>
      </c>
      <c r="C8486" t="s">
        <v>42</v>
      </c>
      <c r="D8486" t="s">
        <v>38168</v>
      </c>
      <c r="E8486" t="e" cm="1">
        <f t="array" ref="E8486">- GLICLAZIDE</f>
        <v>#NAME?</v>
      </c>
      <c r="F8486" t="s">
        <v>38169</v>
      </c>
      <c r="G8486" t="s">
        <v>37382</v>
      </c>
      <c r="H8486" t="s">
        <v>37383</v>
      </c>
      <c r="I8486" t="s">
        <v>37384</v>
      </c>
      <c r="J8486" t="s">
        <v>381</v>
      </c>
      <c r="K8486" t="s">
        <v>37385</v>
      </c>
      <c r="L8486" t="s">
        <v>37386</v>
      </c>
      <c r="M8486" t="s">
        <v>46</v>
      </c>
      <c r="N8486" t="s">
        <v>1268</v>
      </c>
      <c r="O8486" t="s">
        <v>37387</v>
      </c>
      <c r="P8486" t="s">
        <v>38170</v>
      </c>
      <c r="Q8486" t="s">
        <v>38171</v>
      </c>
      <c r="R8486">
        <v>26</v>
      </c>
      <c r="S8486">
        <v>32</v>
      </c>
    </row>
    <row r="8487" spans="1:19" x14ac:dyDescent="0.35">
      <c r="A8487">
        <v>8761</v>
      </c>
      <c r="B8487" t="s">
        <v>38167</v>
      </c>
      <c r="C8487" t="s">
        <v>42</v>
      </c>
      <c r="D8487" t="s">
        <v>38168</v>
      </c>
      <c r="E8487" t="e" cm="1">
        <f t="array" ref="E8487">- GLICLAZIDE</f>
        <v>#NAME?</v>
      </c>
      <c r="F8487" t="s">
        <v>38169</v>
      </c>
      <c r="G8487" t="s">
        <v>37382</v>
      </c>
      <c r="H8487" t="s">
        <v>37383</v>
      </c>
      <c r="I8487" t="s">
        <v>37384</v>
      </c>
      <c r="J8487" t="s">
        <v>381</v>
      </c>
      <c r="K8487" t="s">
        <v>37385</v>
      </c>
      <c r="L8487" t="s">
        <v>37386</v>
      </c>
      <c r="M8487" t="s">
        <v>46</v>
      </c>
      <c r="N8487" t="s">
        <v>1268</v>
      </c>
      <c r="O8487" t="s">
        <v>37387</v>
      </c>
      <c r="P8487" t="s">
        <v>38170</v>
      </c>
      <c r="Q8487" t="s">
        <v>38171</v>
      </c>
      <c r="R8487">
        <v>26</v>
      </c>
      <c r="S8487">
        <v>32</v>
      </c>
    </row>
    <row r="8488" spans="1:19" x14ac:dyDescent="0.35">
      <c r="A8488">
        <v>6050</v>
      </c>
      <c r="B8488" t="s">
        <v>38172</v>
      </c>
      <c r="C8488" t="s">
        <v>42</v>
      </c>
      <c r="D8488" t="s">
        <v>38173</v>
      </c>
      <c r="E8488" t="e" cm="1">
        <f t="array" ref="E8488">- CEFIXIME TRIHYDRATE</f>
        <v>#NAME?</v>
      </c>
      <c r="F8488" t="s">
        <v>38174</v>
      </c>
      <c r="G8488" t="s">
        <v>37190</v>
      </c>
      <c r="H8488" t="s">
        <v>37191</v>
      </c>
      <c r="I8488" t="s">
        <v>37192</v>
      </c>
      <c r="J8488" t="s">
        <v>14600</v>
      </c>
      <c r="K8488" t="s">
        <v>1020</v>
      </c>
      <c r="L8488" t="s">
        <v>1021</v>
      </c>
      <c r="M8488" t="s">
        <v>38</v>
      </c>
      <c r="N8488" t="s">
        <v>1790</v>
      </c>
      <c r="O8488" t="s">
        <v>37193</v>
      </c>
      <c r="P8488" t="s">
        <v>37916</v>
      </c>
      <c r="Q8488" t="s">
        <v>38162</v>
      </c>
      <c r="R8488">
        <v>26</v>
      </c>
      <c r="S8488">
        <v>32</v>
      </c>
    </row>
    <row r="8489" spans="1:19" x14ac:dyDescent="0.35">
      <c r="A8489">
        <v>5917</v>
      </c>
      <c r="B8489" t="s">
        <v>38175</v>
      </c>
      <c r="C8489" t="s">
        <v>42</v>
      </c>
      <c r="D8489" t="s">
        <v>38176</v>
      </c>
      <c r="E8489" t="e" cm="1">
        <f t="array" ref="E8489">- CEFIXIME TRIHYDRATE</f>
        <v>#NAME?</v>
      </c>
      <c r="F8489" t="s">
        <v>38177</v>
      </c>
      <c r="G8489" t="s">
        <v>37190</v>
      </c>
      <c r="H8489" t="s">
        <v>1019</v>
      </c>
      <c r="I8489" t="s">
        <v>37192</v>
      </c>
      <c r="J8489" t="s">
        <v>829</v>
      </c>
      <c r="K8489" t="s">
        <v>1020</v>
      </c>
      <c r="L8489" t="s">
        <v>1021</v>
      </c>
      <c r="M8489" t="s">
        <v>271</v>
      </c>
      <c r="N8489" t="s">
        <v>1790</v>
      </c>
      <c r="O8489" t="s">
        <v>37193</v>
      </c>
      <c r="P8489" t="s">
        <v>38178</v>
      </c>
      <c r="Q8489" t="s">
        <v>38179</v>
      </c>
      <c r="R8489">
        <v>26</v>
      </c>
      <c r="S8489">
        <v>32</v>
      </c>
    </row>
    <row r="8490" spans="1:19" x14ac:dyDescent="0.35">
      <c r="A8490">
        <v>5916</v>
      </c>
      <c r="B8490" t="s">
        <v>38175</v>
      </c>
      <c r="C8490" t="s">
        <v>42</v>
      </c>
      <c r="D8490" t="s">
        <v>38176</v>
      </c>
      <c r="E8490" t="e" cm="1">
        <f t="array" ref="E8490">- CEFIXIME TRIHYDRATE</f>
        <v>#NAME?</v>
      </c>
      <c r="F8490" t="s">
        <v>38177</v>
      </c>
      <c r="G8490" t="s">
        <v>37190</v>
      </c>
      <c r="H8490" t="s">
        <v>1019</v>
      </c>
      <c r="I8490" t="s">
        <v>37192</v>
      </c>
      <c r="J8490" t="s">
        <v>829</v>
      </c>
      <c r="K8490" t="s">
        <v>1020</v>
      </c>
      <c r="L8490" t="s">
        <v>1021</v>
      </c>
      <c r="M8490" t="s">
        <v>271</v>
      </c>
      <c r="N8490" t="s">
        <v>1790</v>
      </c>
      <c r="O8490" t="s">
        <v>37193</v>
      </c>
      <c r="P8490" t="s">
        <v>38178</v>
      </c>
      <c r="Q8490" t="s">
        <v>38179</v>
      </c>
      <c r="R8490">
        <v>26</v>
      </c>
      <c r="S8490">
        <v>32</v>
      </c>
    </row>
    <row r="8491" spans="1:19" x14ac:dyDescent="0.35">
      <c r="A8491">
        <v>5915</v>
      </c>
      <c r="B8491" t="s">
        <v>38180</v>
      </c>
      <c r="C8491" t="s">
        <v>42</v>
      </c>
      <c r="D8491" t="s">
        <v>38181</v>
      </c>
      <c r="E8491" t="e" cm="1">
        <f t="array" ref="E8491">- CEFIXIME TRIHYDRATE</f>
        <v>#NAME?</v>
      </c>
      <c r="F8491" t="s">
        <v>38182</v>
      </c>
      <c r="G8491" t="s">
        <v>37190</v>
      </c>
      <c r="H8491" t="s">
        <v>37191</v>
      </c>
      <c r="I8491" t="s">
        <v>37192</v>
      </c>
      <c r="J8491" t="s">
        <v>1181</v>
      </c>
      <c r="K8491" t="s">
        <v>1020</v>
      </c>
      <c r="L8491" t="s">
        <v>1021</v>
      </c>
      <c r="M8491" t="s">
        <v>38</v>
      </c>
      <c r="N8491" t="s">
        <v>1790</v>
      </c>
      <c r="O8491" t="s">
        <v>37193</v>
      </c>
      <c r="P8491" t="s">
        <v>38178</v>
      </c>
      <c r="Q8491" t="s">
        <v>38183</v>
      </c>
      <c r="R8491">
        <v>26</v>
      </c>
      <c r="S8491">
        <v>32</v>
      </c>
    </row>
    <row r="8492" spans="1:19" x14ac:dyDescent="0.35">
      <c r="A8492">
        <v>7936</v>
      </c>
      <c r="B8492" t="s">
        <v>38184</v>
      </c>
      <c r="C8492" t="s">
        <v>20</v>
      </c>
      <c r="D8492" t="s">
        <v>38185</v>
      </c>
      <c r="E8492" t="s">
        <v>38186</v>
      </c>
      <c r="F8492" t="s">
        <v>38187</v>
      </c>
      <c r="H8492" t="s">
        <v>38188</v>
      </c>
      <c r="I8492" t="s">
        <v>38189</v>
      </c>
      <c r="J8492" t="s">
        <v>8233</v>
      </c>
      <c r="K8492" t="s">
        <v>38190</v>
      </c>
      <c r="L8492" t="s">
        <v>10885</v>
      </c>
      <c r="M8492" t="s">
        <v>38</v>
      </c>
      <c r="N8492" t="s">
        <v>38191</v>
      </c>
      <c r="O8492" t="s">
        <v>38192</v>
      </c>
      <c r="P8492" t="s">
        <v>38193</v>
      </c>
      <c r="Q8492" t="s">
        <v>38194</v>
      </c>
      <c r="R8492">
        <v>26</v>
      </c>
      <c r="S8492">
        <v>32</v>
      </c>
    </row>
    <row r="8493" spans="1:19" x14ac:dyDescent="0.35">
      <c r="A8493">
        <v>579</v>
      </c>
      <c r="B8493" t="s">
        <v>33817</v>
      </c>
      <c r="C8493" t="s">
        <v>42</v>
      </c>
      <c r="D8493" t="s">
        <v>35593</v>
      </c>
      <c r="E8493" t="e" cm="1">
        <f t="array" ref="E8493">- BUDESONIDE. FORMOTEROL FUMARATE DIHYDRATE</f>
        <v>#NAME?</v>
      </c>
      <c r="F8493" t="s">
        <v>35594</v>
      </c>
      <c r="G8493" t="s">
        <v>19260</v>
      </c>
      <c r="H8493" t="s">
        <v>35595</v>
      </c>
      <c r="I8493" t="s">
        <v>35596</v>
      </c>
      <c r="J8493" t="s">
        <v>35597</v>
      </c>
      <c r="K8493" t="s">
        <v>3952</v>
      </c>
      <c r="L8493" t="s">
        <v>35598</v>
      </c>
      <c r="M8493" t="s">
        <v>1280</v>
      </c>
      <c r="N8493" t="s">
        <v>37133</v>
      </c>
      <c r="O8493" t="s">
        <v>35599</v>
      </c>
      <c r="P8493" t="s">
        <v>33825</v>
      </c>
      <c r="Q8493" t="s">
        <v>38195</v>
      </c>
      <c r="R8493">
        <v>26</v>
      </c>
      <c r="S8493">
        <v>32</v>
      </c>
    </row>
    <row r="8494" spans="1:19" x14ac:dyDescent="0.35">
      <c r="A8494">
        <v>2391</v>
      </c>
      <c r="B8494" t="s">
        <v>37886</v>
      </c>
      <c r="C8494" t="s">
        <v>42</v>
      </c>
      <c r="D8494" t="s">
        <v>37887</v>
      </c>
      <c r="E8494" t="e" cm="1">
        <f t="array" ref="E8494">- MEFENAMIC ACID</f>
        <v>#NAME?</v>
      </c>
      <c r="F8494" t="s">
        <v>37888</v>
      </c>
      <c r="G8494" t="s">
        <v>539</v>
      </c>
      <c r="H8494" t="s">
        <v>37889</v>
      </c>
      <c r="I8494" t="s">
        <v>37890</v>
      </c>
      <c r="J8494" t="s">
        <v>20994</v>
      </c>
      <c r="K8494" t="s">
        <v>37891</v>
      </c>
      <c r="L8494" t="s">
        <v>37064</v>
      </c>
      <c r="M8494" t="s">
        <v>291</v>
      </c>
      <c r="N8494" t="s">
        <v>2235</v>
      </c>
      <c r="O8494" t="s">
        <v>37892</v>
      </c>
      <c r="P8494" t="s">
        <v>37893</v>
      </c>
      <c r="Q8494" t="s">
        <v>37894</v>
      </c>
      <c r="R8494">
        <v>26</v>
      </c>
      <c r="S8494">
        <v>32</v>
      </c>
    </row>
    <row r="8495" spans="1:19" x14ac:dyDescent="0.35">
      <c r="A8495">
        <v>8820</v>
      </c>
      <c r="B8495" t="s">
        <v>37936</v>
      </c>
      <c r="C8495" t="s">
        <v>42</v>
      </c>
      <c r="D8495" t="s">
        <v>37937</v>
      </c>
      <c r="E8495" t="e" cm="1">
        <f t="array" ref="E8495">- PIOGLITAZONE HYDROCHLORIDE</f>
        <v>#NAME?</v>
      </c>
      <c r="F8495" t="s">
        <v>37938</v>
      </c>
      <c r="G8495" t="s">
        <v>6310</v>
      </c>
      <c r="H8495" t="s">
        <v>37205</v>
      </c>
      <c r="I8495" t="s">
        <v>37871</v>
      </c>
      <c r="J8495" t="s">
        <v>599</v>
      </c>
      <c r="K8495" t="s">
        <v>37872</v>
      </c>
      <c r="L8495" t="s">
        <v>27804</v>
      </c>
      <c r="M8495" t="s">
        <v>46</v>
      </c>
      <c r="N8495" t="s">
        <v>2389</v>
      </c>
      <c r="O8495" t="s">
        <v>37873</v>
      </c>
      <c r="P8495" t="s">
        <v>37874</v>
      </c>
      <c r="Q8495" t="s">
        <v>37875</v>
      </c>
      <c r="R8495">
        <v>26</v>
      </c>
      <c r="S8495">
        <v>32</v>
      </c>
    </row>
    <row r="8496" spans="1:19" x14ac:dyDescent="0.35">
      <c r="A8496">
        <v>6440</v>
      </c>
      <c r="B8496" t="s">
        <v>37923</v>
      </c>
      <c r="C8496" t="s">
        <v>42</v>
      </c>
      <c r="D8496" t="s">
        <v>38196</v>
      </c>
      <c r="E8496" t="e" cm="1">
        <f t="array" ref="E8496">- CEFIXIME TRIHYDRATE</f>
        <v>#NAME?</v>
      </c>
      <c r="F8496" s="1">
        <v>75300</v>
      </c>
      <c r="G8496" t="s">
        <v>37190</v>
      </c>
      <c r="H8496" t="s">
        <v>37191</v>
      </c>
      <c r="I8496" t="s">
        <v>37192</v>
      </c>
      <c r="J8496" t="s">
        <v>14600</v>
      </c>
      <c r="K8496" t="s">
        <v>1020</v>
      </c>
      <c r="L8496" t="s">
        <v>1021</v>
      </c>
      <c r="M8496" t="s">
        <v>38</v>
      </c>
      <c r="N8496" t="s">
        <v>1790</v>
      </c>
      <c r="O8496" t="s">
        <v>37193</v>
      </c>
      <c r="P8496" t="s">
        <v>37925</v>
      </c>
      <c r="Q8496" t="s">
        <v>37926</v>
      </c>
      <c r="R8496">
        <v>26</v>
      </c>
      <c r="S8496">
        <v>32</v>
      </c>
    </row>
    <row r="8497" spans="1:19" x14ac:dyDescent="0.35">
      <c r="A8497">
        <v>6049</v>
      </c>
      <c r="B8497" t="s">
        <v>38197</v>
      </c>
      <c r="C8497" t="s">
        <v>42</v>
      </c>
      <c r="D8497" t="s">
        <v>38198</v>
      </c>
      <c r="E8497" t="e" cm="1">
        <f t="array" ref="E8497">- CEFIXIME TRIHYDRATE</f>
        <v>#NAME?</v>
      </c>
      <c r="F8497" t="s">
        <v>38199</v>
      </c>
      <c r="G8497" t="s">
        <v>37190</v>
      </c>
      <c r="H8497" t="s">
        <v>37191</v>
      </c>
      <c r="I8497" t="s">
        <v>37192</v>
      </c>
      <c r="J8497" t="s">
        <v>4547</v>
      </c>
      <c r="K8497" t="s">
        <v>1020</v>
      </c>
      <c r="L8497" t="s">
        <v>1021</v>
      </c>
      <c r="M8497" t="s">
        <v>38</v>
      </c>
      <c r="N8497" t="s">
        <v>1790</v>
      </c>
      <c r="O8497" t="s">
        <v>37193</v>
      </c>
      <c r="P8497" t="s">
        <v>38200</v>
      </c>
      <c r="Q8497" t="s">
        <v>38201</v>
      </c>
      <c r="R8497">
        <v>26</v>
      </c>
      <c r="S8497">
        <v>32</v>
      </c>
    </row>
    <row r="8498" spans="1:19" x14ac:dyDescent="0.35">
      <c r="A8498">
        <v>3942</v>
      </c>
      <c r="B8498" t="s">
        <v>21736</v>
      </c>
      <c r="C8498" t="s">
        <v>42</v>
      </c>
      <c r="D8498" t="s">
        <v>38202</v>
      </c>
      <c r="E8498" t="e" cm="1">
        <f t="array" ref="E8498">- PARAFFIN.  LIQUID. GLYCEROL. PHENOLPHTHALEIN</f>
        <v>#NAME?</v>
      </c>
      <c r="F8498" t="s">
        <v>38203</v>
      </c>
      <c r="G8498" t="s">
        <v>38204</v>
      </c>
      <c r="H8498" t="s">
        <v>38205</v>
      </c>
      <c r="I8498" t="s">
        <v>38206</v>
      </c>
      <c r="J8498" t="s">
        <v>3298</v>
      </c>
      <c r="K8498" t="s">
        <v>21742</v>
      </c>
      <c r="L8498" t="s">
        <v>21743</v>
      </c>
      <c r="M8498" t="s">
        <v>271</v>
      </c>
      <c r="N8498" t="s">
        <v>21744</v>
      </c>
      <c r="O8498" t="s">
        <v>38207</v>
      </c>
      <c r="P8498" t="s">
        <v>29669</v>
      </c>
      <c r="Q8498" t="s">
        <v>38208</v>
      </c>
      <c r="R8498">
        <v>26</v>
      </c>
      <c r="S8498">
        <v>32</v>
      </c>
    </row>
    <row r="8499" spans="1:19" x14ac:dyDescent="0.35">
      <c r="A8499">
        <v>3943</v>
      </c>
      <c r="B8499" t="s">
        <v>21736</v>
      </c>
      <c r="C8499" t="s">
        <v>42</v>
      </c>
      <c r="D8499" t="s">
        <v>38202</v>
      </c>
      <c r="E8499" t="e" cm="1">
        <f t="array" ref="E8499">- PARAFFIN.  LIQUID. GLYCEROL. PHENOLPHTHALEIN</f>
        <v>#NAME?</v>
      </c>
      <c r="F8499" t="s">
        <v>38203</v>
      </c>
      <c r="G8499" t="s">
        <v>38204</v>
      </c>
      <c r="H8499" t="s">
        <v>38205</v>
      </c>
      <c r="I8499" t="s">
        <v>38206</v>
      </c>
      <c r="J8499" t="s">
        <v>3298</v>
      </c>
      <c r="K8499" t="s">
        <v>21742</v>
      </c>
      <c r="L8499" t="s">
        <v>21743</v>
      </c>
      <c r="M8499" t="s">
        <v>271</v>
      </c>
      <c r="N8499" t="s">
        <v>21744</v>
      </c>
      <c r="O8499" t="s">
        <v>38207</v>
      </c>
      <c r="P8499" t="s">
        <v>29669</v>
      </c>
      <c r="Q8499" t="s">
        <v>38208</v>
      </c>
      <c r="R8499">
        <v>26</v>
      </c>
      <c r="S8499">
        <v>32</v>
      </c>
    </row>
    <row r="8500" spans="1:19" x14ac:dyDescent="0.35">
      <c r="A8500">
        <v>3944</v>
      </c>
      <c r="B8500" t="s">
        <v>21736</v>
      </c>
      <c r="C8500" t="s">
        <v>42</v>
      </c>
      <c r="D8500" t="s">
        <v>38202</v>
      </c>
      <c r="E8500" t="e" cm="1">
        <f t="array" ref="E8500">- PARAFFIN.  LIQUID. GLYCEROL. PHENOLPHTHALEIN</f>
        <v>#NAME?</v>
      </c>
      <c r="F8500" t="s">
        <v>38203</v>
      </c>
      <c r="G8500" t="s">
        <v>38204</v>
      </c>
      <c r="H8500" t="s">
        <v>38205</v>
      </c>
      <c r="I8500" t="s">
        <v>38206</v>
      </c>
      <c r="J8500" t="s">
        <v>3298</v>
      </c>
      <c r="K8500" t="s">
        <v>21742</v>
      </c>
      <c r="L8500" t="s">
        <v>21743</v>
      </c>
      <c r="M8500" t="s">
        <v>271</v>
      </c>
      <c r="N8500" t="s">
        <v>21744</v>
      </c>
      <c r="O8500" t="s">
        <v>38207</v>
      </c>
      <c r="P8500" t="s">
        <v>29669</v>
      </c>
      <c r="Q8500" t="s">
        <v>38208</v>
      </c>
      <c r="R8500">
        <v>26</v>
      </c>
      <c r="S8500">
        <v>32</v>
      </c>
    </row>
    <row r="8501" spans="1:19" x14ac:dyDescent="0.35">
      <c r="A8501">
        <v>6046</v>
      </c>
      <c r="B8501" t="s">
        <v>38209</v>
      </c>
      <c r="C8501" t="s">
        <v>42</v>
      </c>
      <c r="D8501" t="s">
        <v>38210</v>
      </c>
      <c r="E8501" t="e" cm="1">
        <f t="array" ref="E8501">- CEFIXIME TRIHYDRATE</f>
        <v>#NAME?</v>
      </c>
      <c r="F8501" t="s">
        <v>38211</v>
      </c>
      <c r="G8501" t="s">
        <v>37190</v>
      </c>
      <c r="H8501" t="s">
        <v>1019</v>
      </c>
      <c r="I8501" t="s">
        <v>37192</v>
      </c>
      <c r="J8501" t="s">
        <v>829</v>
      </c>
      <c r="K8501" t="s">
        <v>1020</v>
      </c>
      <c r="L8501" t="s">
        <v>1021</v>
      </c>
      <c r="M8501" t="s">
        <v>271</v>
      </c>
      <c r="N8501" t="s">
        <v>1790</v>
      </c>
      <c r="O8501" t="s">
        <v>37193</v>
      </c>
      <c r="P8501" t="s">
        <v>38212</v>
      </c>
      <c r="Q8501" t="s">
        <v>38213</v>
      </c>
      <c r="R8501">
        <v>26</v>
      </c>
      <c r="S8501">
        <v>32</v>
      </c>
    </row>
    <row r="8502" spans="1:19" x14ac:dyDescent="0.35">
      <c r="A8502">
        <v>6045</v>
      </c>
      <c r="B8502" t="s">
        <v>38209</v>
      </c>
      <c r="C8502" t="s">
        <v>42</v>
      </c>
      <c r="D8502" t="s">
        <v>38210</v>
      </c>
      <c r="E8502" t="e" cm="1">
        <f t="array" ref="E8502">- CEFIXIME TRIHYDRATE</f>
        <v>#NAME?</v>
      </c>
      <c r="F8502" t="s">
        <v>38211</v>
      </c>
      <c r="G8502" t="s">
        <v>37190</v>
      </c>
      <c r="H8502" t="s">
        <v>1019</v>
      </c>
      <c r="I8502" t="s">
        <v>37192</v>
      </c>
      <c r="J8502" t="s">
        <v>829</v>
      </c>
      <c r="K8502" t="s">
        <v>1020</v>
      </c>
      <c r="L8502" t="s">
        <v>1021</v>
      </c>
      <c r="M8502" t="s">
        <v>271</v>
      </c>
      <c r="N8502" t="s">
        <v>1790</v>
      </c>
      <c r="O8502" t="s">
        <v>37193</v>
      </c>
      <c r="P8502" t="s">
        <v>38212</v>
      </c>
      <c r="Q8502" t="s">
        <v>38213</v>
      </c>
      <c r="R8502">
        <v>26</v>
      </c>
      <c r="S8502">
        <v>32</v>
      </c>
    </row>
    <row r="8503" spans="1:19" x14ac:dyDescent="0.35">
      <c r="A8503">
        <v>6229</v>
      </c>
      <c r="B8503" t="s">
        <v>38214</v>
      </c>
      <c r="C8503" t="s">
        <v>42</v>
      </c>
      <c r="D8503" t="s">
        <v>38215</v>
      </c>
      <c r="E8503" t="e" cm="1">
        <f t="array" ref="E8503">- THIAMPHENICOL</f>
        <v>#NAME?</v>
      </c>
      <c r="F8503" t="s">
        <v>38216</v>
      </c>
      <c r="H8503" t="s">
        <v>38217</v>
      </c>
      <c r="I8503" t="s">
        <v>38218</v>
      </c>
      <c r="J8503" t="s">
        <v>334</v>
      </c>
      <c r="K8503" t="s">
        <v>38219</v>
      </c>
      <c r="L8503" t="s">
        <v>38220</v>
      </c>
      <c r="M8503" t="s">
        <v>271</v>
      </c>
      <c r="N8503" t="s">
        <v>272</v>
      </c>
      <c r="O8503" t="s">
        <v>38221</v>
      </c>
      <c r="P8503" t="s">
        <v>32351</v>
      </c>
      <c r="Q8503" t="s">
        <v>38222</v>
      </c>
      <c r="R8503">
        <v>26</v>
      </c>
      <c r="S8503">
        <v>32</v>
      </c>
    </row>
    <row r="8504" spans="1:19" x14ac:dyDescent="0.35">
      <c r="A8504">
        <v>6131</v>
      </c>
      <c r="B8504" t="s">
        <v>37927</v>
      </c>
      <c r="C8504" t="s">
        <v>42</v>
      </c>
      <c r="D8504" t="s">
        <v>37928</v>
      </c>
      <c r="E8504" t="e" cm="1">
        <f t="array" ref="E8504">- CEFIXIME TRIHYDRATE</f>
        <v>#NAME?</v>
      </c>
      <c r="F8504" t="s">
        <v>37929</v>
      </c>
      <c r="G8504" t="s">
        <v>37190</v>
      </c>
      <c r="H8504" t="s">
        <v>37191</v>
      </c>
      <c r="I8504" t="s">
        <v>37192</v>
      </c>
      <c r="J8504" t="s">
        <v>14600</v>
      </c>
      <c r="K8504" t="s">
        <v>1020</v>
      </c>
      <c r="L8504" t="s">
        <v>1021</v>
      </c>
      <c r="M8504" t="s">
        <v>38</v>
      </c>
      <c r="N8504" t="s">
        <v>1790</v>
      </c>
      <c r="O8504" t="s">
        <v>37193</v>
      </c>
      <c r="P8504" t="s">
        <v>37500</v>
      </c>
      <c r="Q8504" t="s">
        <v>37930</v>
      </c>
      <c r="R8504">
        <v>26</v>
      </c>
      <c r="S8504">
        <v>32</v>
      </c>
    </row>
    <row r="8505" spans="1:19" x14ac:dyDescent="0.35">
      <c r="A8505">
        <v>6132</v>
      </c>
      <c r="B8505" t="s">
        <v>37927</v>
      </c>
      <c r="C8505" t="s">
        <v>42</v>
      </c>
      <c r="D8505" t="s">
        <v>37928</v>
      </c>
      <c r="E8505" t="e" cm="1">
        <f t="array" ref="E8505">- CEFIXIME TRIHYDRATE</f>
        <v>#NAME?</v>
      </c>
      <c r="F8505" t="s">
        <v>37929</v>
      </c>
      <c r="G8505" t="s">
        <v>37190</v>
      </c>
      <c r="H8505" t="s">
        <v>37191</v>
      </c>
      <c r="I8505" t="s">
        <v>37192</v>
      </c>
      <c r="J8505" t="s">
        <v>14600</v>
      </c>
      <c r="K8505" t="s">
        <v>1020</v>
      </c>
      <c r="L8505" t="s">
        <v>1021</v>
      </c>
      <c r="M8505" t="s">
        <v>38</v>
      </c>
      <c r="N8505" t="s">
        <v>1790</v>
      </c>
      <c r="O8505" t="s">
        <v>37193</v>
      </c>
      <c r="P8505" t="s">
        <v>37500</v>
      </c>
      <c r="Q8505" t="s">
        <v>37930</v>
      </c>
      <c r="R8505">
        <v>26</v>
      </c>
      <c r="S8505">
        <v>32</v>
      </c>
    </row>
    <row r="8506" spans="1:19" x14ac:dyDescent="0.35">
      <c r="A8506">
        <v>5912</v>
      </c>
      <c r="B8506" t="s">
        <v>38223</v>
      </c>
      <c r="C8506" t="s">
        <v>42</v>
      </c>
      <c r="D8506" t="s">
        <v>38224</v>
      </c>
      <c r="E8506" t="e" cm="1">
        <f t="array" ref="E8506">- CEFIXIME TRIHYDRATE</f>
        <v>#NAME?</v>
      </c>
      <c r="F8506" t="s">
        <v>38225</v>
      </c>
      <c r="G8506" t="s">
        <v>37190</v>
      </c>
      <c r="H8506" t="s">
        <v>37191</v>
      </c>
      <c r="I8506" t="s">
        <v>37192</v>
      </c>
      <c r="J8506" t="s">
        <v>13002</v>
      </c>
      <c r="K8506" t="s">
        <v>1020</v>
      </c>
      <c r="L8506" t="s">
        <v>1021</v>
      </c>
      <c r="M8506" t="s">
        <v>291</v>
      </c>
      <c r="N8506" t="s">
        <v>1790</v>
      </c>
      <c r="O8506" t="s">
        <v>37193</v>
      </c>
      <c r="P8506" t="s">
        <v>31472</v>
      </c>
      <c r="Q8506" t="s">
        <v>38226</v>
      </c>
      <c r="R8506">
        <v>26</v>
      </c>
      <c r="S8506">
        <v>32</v>
      </c>
    </row>
    <row r="8507" spans="1:19" x14ac:dyDescent="0.35">
      <c r="A8507">
        <v>6230</v>
      </c>
      <c r="B8507" t="s">
        <v>38214</v>
      </c>
      <c r="C8507" t="s">
        <v>42</v>
      </c>
      <c r="D8507" t="s">
        <v>38215</v>
      </c>
      <c r="E8507" t="e" cm="1">
        <f t="array" ref="E8507">- THIAMPHENICOL</f>
        <v>#NAME?</v>
      </c>
      <c r="F8507" t="s">
        <v>38216</v>
      </c>
      <c r="H8507" t="s">
        <v>38217</v>
      </c>
      <c r="I8507" t="s">
        <v>38218</v>
      </c>
      <c r="J8507" t="s">
        <v>334</v>
      </c>
      <c r="K8507" t="s">
        <v>38219</v>
      </c>
      <c r="L8507" t="s">
        <v>38220</v>
      </c>
      <c r="M8507" t="s">
        <v>271</v>
      </c>
      <c r="N8507" t="s">
        <v>272</v>
      </c>
      <c r="O8507" t="s">
        <v>38221</v>
      </c>
      <c r="P8507" t="s">
        <v>32351</v>
      </c>
      <c r="Q8507" t="s">
        <v>38222</v>
      </c>
      <c r="R8507">
        <v>26</v>
      </c>
      <c r="S8507">
        <v>32</v>
      </c>
    </row>
    <row r="8508" spans="1:19" x14ac:dyDescent="0.35">
      <c r="A8508">
        <v>8626</v>
      </c>
      <c r="B8508" t="s">
        <v>38142</v>
      </c>
      <c r="C8508" t="s">
        <v>42</v>
      </c>
      <c r="D8508" t="s">
        <v>38143</v>
      </c>
      <c r="E8508" t="e" cm="1">
        <f t="array" ref="E8508">- GLICLAZIDE</f>
        <v>#NAME?</v>
      </c>
      <c r="F8508" t="s">
        <v>38144</v>
      </c>
      <c r="G8508" t="s">
        <v>37382</v>
      </c>
      <c r="H8508" t="s">
        <v>37383</v>
      </c>
      <c r="I8508" t="s">
        <v>37384</v>
      </c>
      <c r="J8508" t="s">
        <v>38145</v>
      </c>
      <c r="K8508" t="s">
        <v>37385</v>
      </c>
      <c r="L8508" t="s">
        <v>37386</v>
      </c>
      <c r="M8508" t="s">
        <v>46</v>
      </c>
      <c r="N8508" t="s">
        <v>1268</v>
      </c>
      <c r="O8508" t="s">
        <v>37387</v>
      </c>
      <c r="P8508" t="s">
        <v>38146</v>
      </c>
      <c r="Q8508" t="s">
        <v>38147</v>
      </c>
      <c r="R8508">
        <v>26</v>
      </c>
      <c r="S8508">
        <v>32</v>
      </c>
    </row>
    <row r="8509" spans="1:19" x14ac:dyDescent="0.35">
      <c r="A8509">
        <v>6135</v>
      </c>
      <c r="B8509" t="s">
        <v>38163</v>
      </c>
      <c r="C8509" t="s">
        <v>42</v>
      </c>
      <c r="D8509" t="s">
        <v>38164</v>
      </c>
      <c r="E8509" t="e" cm="1">
        <f t="array" ref="E8509">- CEFIXIME TRIHYDRATE</f>
        <v>#NAME?</v>
      </c>
      <c r="F8509" t="s">
        <v>38165</v>
      </c>
      <c r="G8509" t="s">
        <v>37190</v>
      </c>
      <c r="H8509" t="s">
        <v>1019</v>
      </c>
      <c r="I8509" t="s">
        <v>37192</v>
      </c>
      <c r="J8509" t="s">
        <v>829</v>
      </c>
      <c r="K8509" t="s">
        <v>1020</v>
      </c>
      <c r="L8509" t="s">
        <v>1021</v>
      </c>
      <c r="M8509" t="s">
        <v>271</v>
      </c>
      <c r="N8509" t="s">
        <v>1790</v>
      </c>
      <c r="O8509" t="s">
        <v>37193</v>
      </c>
      <c r="P8509" t="s">
        <v>37500</v>
      </c>
      <c r="Q8509" t="s">
        <v>38166</v>
      </c>
      <c r="R8509">
        <v>26</v>
      </c>
      <c r="S8509">
        <v>32</v>
      </c>
    </row>
    <row r="8510" spans="1:19" x14ac:dyDescent="0.35">
      <c r="A8510">
        <v>6057</v>
      </c>
      <c r="B8510" t="s">
        <v>37913</v>
      </c>
      <c r="C8510" t="s">
        <v>42</v>
      </c>
      <c r="D8510" t="s">
        <v>38227</v>
      </c>
      <c r="E8510" t="e" cm="1">
        <f t="array" ref="E8510">- CEFIXIME TRIHYDRATE</f>
        <v>#NAME?</v>
      </c>
      <c r="F8510" t="s">
        <v>38228</v>
      </c>
      <c r="G8510" t="s">
        <v>37190</v>
      </c>
      <c r="H8510" t="s">
        <v>1019</v>
      </c>
      <c r="I8510" t="s">
        <v>37192</v>
      </c>
      <c r="J8510" t="s">
        <v>829</v>
      </c>
      <c r="K8510" t="s">
        <v>1020</v>
      </c>
      <c r="L8510" t="s">
        <v>1021</v>
      </c>
      <c r="M8510" t="s">
        <v>271</v>
      </c>
      <c r="N8510" t="s">
        <v>1790</v>
      </c>
      <c r="O8510" t="s">
        <v>37193</v>
      </c>
      <c r="P8510" t="s">
        <v>37916</v>
      </c>
      <c r="Q8510" t="s">
        <v>37917</v>
      </c>
      <c r="R8510">
        <v>26</v>
      </c>
      <c r="S8510">
        <v>32</v>
      </c>
    </row>
    <row r="8511" spans="1:19" x14ac:dyDescent="0.35">
      <c r="A8511">
        <v>6056</v>
      </c>
      <c r="B8511" t="s">
        <v>37913</v>
      </c>
      <c r="C8511" t="s">
        <v>42</v>
      </c>
      <c r="D8511" t="s">
        <v>38227</v>
      </c>
      <c r="E8511" t="e" cm="1">
        <f t="array" ref="E8511">- CEFIXIME TRIHYDRATE</f>
        <v>#NAME?</v>
      </c>
      <c r="F8511" t="s">
        <v>38228</v>
      </c>
      <c r="G8511" t="s">
        <v>37190</v>
      </c>
      <c r="H8511" t="s">
        <v>1019</v>
      </c>
      <c r="I8511" t="s">
        <v>37192</v>
      </c>
      <c r="J8511" t="s">
        <v>829</v>
      </c>
      <c r="K8511" t="s">
        <v>1020</v>
      </c>
      <c r="L8511" t="s">
        <v>1021</v>
      </c>
      <c r="M8511" t="s">
        <v>271</v>
      </c>
      <c r="N8511" t="s">
        <v>1790</v>
      </c>
      <c r="O8511" t="s">
        <v>37193</v>
      </c>
      <c r="P8511" t="s">
        <v>37916</v>
      </c>
      <c r="Q8511" t="s">
        <v>37917</v>
      </c>
      <c r="R8511">
        <v>26</v>
      </c>
      <c r="S8511">
        <v>32</v>
      </c>
    </row>
    <row r="8512" spans="1:19" x14ac:dyDescent="0.35">
      <c r="A8512">
        <v>5625</v>
      </c>
      <c r="B8512" t="s">
        <v>37243</v>
      </c>
      <c r="C8512" t="s">
        <v>42</v>
      </c>
      <c r="D8512" t="s">
        <v>37244</v>
      </c>
      <c r="E8512" t="e" cm="1">
        <f t="array" ref="E8512">- CEFIXIME TRIHYDRATE</f>
        <v>#NAME?</v>
      </c>
      <c r="F8512" t="s">
        <v>37245</v>
      </c>
      <c r="G8512" t="s">
        <v>37190</v>
      </c>
      <c r="H8512" t="s">
        <v>1019</v>
      </c>
      <c r="I8512" t="s">
        <v>37192</v>
      </c>
      <c r="J8512" t="s">
        <v>829</v>
      </c>
      <c r="K8512" t="s">
        <v>1020</v>
      </c>
      <c r="L8512" t="s">
        <v>1021</v>
      </c>
      <c r="M8512" t="s">
        <v>271</v>
      </c>
      <c r="N8512" t="s">
        <v>1790</v>
      </c>
      <c r="O8512" t="s">
        <v>37193</v>
      </c>
      <c r="P8512" t="s">
        <v>37246</v>
      </c>
      <c r="Q8512" t="s">
        <v>38229</v>
      </c>
      <c r="R8512">
        <v>26</v>
      </c>
      <c r="S8512">
        <v>32</v>
      </c>
    </row>
    <row r="8513" spans="1:19" x14ac:dyDescent="0.35">
      <c r="A8513">
        <v>5774</v>
      </c>
      <c r="B8513" t="s">
        <v>38230</v>
      </c>
      <c r="C8513" t="s">
        <v>42</v>
      </c>
      <c r="D8513" t="s">
        <v>38231</v>
      </c>
      <c r="E8513" t="e" cm="1">
        <f t="array" ref="E8513">- CEFIXIME TRIHYDRATE</f>
        <v>#NAME?</v>
      </c>
      <c r="F8513" t="s">
        <v>38232</v>
      </c>
      <c r="G8513" t="s">
        <v>37190</v>
      </c>
      <c r="H8513" t="s">
        <v>37191</v>
      </c>
      <c r="I8513" t="s">
        <v>37192</v>
      </c>
      <c r="J8513" t="s">
        <v>14600</v>
      </c>
      <c r="K8513" t="s">
        <v>1020</v>
      </c>
      <c r="L8513" t="s">
        <v>1021</v>
      </c>
      <c r="M8513" t="s">
        <v>38</v>
      </c>
      <c r="N8513" t="s">
        <v>1790</v>
      </c>
      <c r="O8513" t="s">
        <v>37193</v>
      </c>
      <c r="P8513" t="s">
        <v>38233</v>
      </c>
      <c r="Q8513" t="s">
        <v>38234</v>
      </c>
      <c r="R8513">
        <v>26</v>
      </c>
      <c r="S8513">
        <v>32</v>
      </c>
    </row>
    <row r="8514" spans="1:19" x14ac:dyDescent="0.35">
      <c r="A8514">
        <v>7375</v>
      </c>
      <c r="B8514" t="s">
        <v>38030</v>
      </c>
      <c r="C8514" t="s">
        <v>42</v>
      </c>
      <c r="D8514" t="s">
        <v>38235</v>
      </c>
      <c r="E8514" t="e" cm="1">
        <f t="array" ref="E8514">- SODIUM HYALURONATE</f>
        <v>#NAME?</v>
      </c>
      <c r="F8514" t="s">
        <v>38236</v>
      </c>
      <c r="G8514" t="s">
        <v>36668</v>
      </c>
      <c r="H8514" t="s">
        <v>36669</v>
      </c>
      <c r="I8514" t="s">
        <v>38033</v>
      </c>
      <c r="J8514" t="s">
        <v>38237</v>
      </c>
      <c r="M8514" t="s">
        <v>554</v>
      </c>
      <c r="N8514" t="s">
        <v>27378</v>
      </c>
      <c r="O8514" t="s">
        <v>38036</v>
      </c>
      <c r="P8514" t="s">
        <v>38037</v>
      </c>
      <c r="Q8514" t="s">
        <v>38038</v>
      </c>
      <c r="R8514">
        <v>26</v>
      </c>
      <c r="S8514">
        <v>32</v>
      </c>
    </row>
    <row r="8515" spans="1:19" x14ac:dyDescent="0.35">
      <c r="A8515">
        <v>7376</v>
      </c>
      <c r="B8515" t="s">
        <v>38030</v>
      </c>
      <c r="C8515" t="s">
        <v>42</v>
      </c>
      <c r="D8515" t="s">
        <v>38235</v>
      </c>
      <c r="E8515" t="e" cm="1">
        <f t="array" ref="E8515">- SODIUM HYALURONATE</f>
        <v>#NAME?</v>
      </c>
      <c r="F8515" t="s">
        <v>38236</v>
      </c>
      <c r="G8515" t="s">
        <v>36668</v>
      </c>
      <c r="H8515" t="s">
        <v>36669</v>
      </c>
      <c r="I8515" t="s">
        <v>38033</v>
      </c>
      <c r="J8515" t="s">
        <v>38237</v>
      </c>
      <c r="M8515" t="s">
        <v>554</v>
      </c>
      <c r="N8515" t="s">
        <v>27378</v>
      </c>
      <c r="O8515" t="s">
        <v>38036</v>
      </c>
      <c r="P8515" t="s">
        <v>38037</v>
      </c>
      <c r="Q8515" t="s">
        <v>38038</v>
      </c>
      <c r="R8515">
        <v>26</v>
      </c>
      <c r="S8515">
        <v>32</v>
      </c>
    </row>
    <row r="8516" spans="1:19" x14ac:dyDescent="0.35">
      <c r="A8516">
        <v>7205</v>
      </c>
      <c r="B8516" t="s">
        <v>38238</v>
      </c>
      <c r="C8516" t="s">
        <v>850</v>
      </c>
      <c r="D8516" t="s">
        <v>38239</v>
      </c>
      <c r="E8516" t="e" cm="1">
        <f t="array" ref="E8516">- Camphor</f>
        <v>#NAME?</v>
      </c>
      <c r="F8516" t="s">
        <v>38240</v>
      </c>
      <c r="G8516" t="s">
        <v>35458</v>
      </c>
      <c r="H8516" t="s">
        <v>1322</v>
      </c>
      <c r="I8516" t="s">
        <v>37445</v>
      </c>
      <c r="J8516" t="s">
        <v>38241</v>
      </c>
      <c r="L8516" t="s">
        <v>37446</v>
      </c>
      <c r="M8516" t="s">
        <v>3632</v>
      </c>
      <c r="N8516" t="s">
        <v>853</v>
      </c>
      <c r="O8516" t="s">
        <v>37447</v>
      </c>
      <c r="P8516" t="s">
        <v>38242</v>
      </c>
      <c r="Q8516" t="s">
        <v>38243</v>
      </c>
      <c r="R8516">
        <v>26</v>
      </c>
      <c r="S8516">
        <v>32</v>
      </c>
    </row>
    <row r="8517" spans="1:19" x14ac:dyDescent="0.35">
      <c r="A8517">
        <v>3538</v>
      </c>
      <c r="B8517" t="s">
        <v>38244</v>
      </c>
      <c r="C8517" t="s">
        <v>42</v>
      </c>
      <c r="D8517" t="s">
        <v>38245</v>
      </c>
      <c r="E8517" t="e" cm="1">
        <f t="array" ref="E8517">- DOMPERIDONE</f>
        <v>#NAME?</v>
      </c>
      <c r="F8517" t="s">
        <v>38246</v>
      </c>
      <c r="G8517" t="s">
        <v>7977</v>
      </c>
      <c r="H8517" t="s">
        <v>38247</v>
      </c>
      <c r="I8517" t="s">
        <v>38248</v>
      </c>
      <c r="J8517" t="s">
        <v>334</v>
      </c>
      <c r="L8517" t="s">
        <v>38249</v>
      </c>
      <c r="M8517" t="s">
        <v>271</v>
      </c>
      <c r="N8517" t="s">
        <v>341</v>
      </c>
      <c r="O8517" t="s">
        <v>38250</v>
      </c>
      <c r="P8517" t="s">
        <v>24700</v>
      </c>
      <c r="Q8517" t="s">
        <v>38251</v>
      </c>
      <c r="R8517">
        <v>26</v>
      </c>
      <c r="S8517">
        <v>32</v>
      </c>
    </row>
    <row r="8518" spans="1:19" x14ac:dyDescent="0.35">
      <c r="A8518">
        <v>3539</v>
      </c>
      <c r="B8518" t="s">
        <v>38244</v>
      </c>
      <c r="C8518" t="s">
        <v>42</v>
      </c>
      <c r="D8518" t="s">
        <v>38245</v>
      </c>
      <c r="E8518" t="e" cm="1">
        <f t="array" ref="E8518">- DOMPERIDONE</f>
        <v>#NAME?</v>
      </c>
      <c r="F8518" t="s">
        <v>38246</v>
      </c>
      <c r="G8518" t="s">
        <v>7977</v>
      </c>
      <c r="H8518" t="s">
        <v>38247</v>
      </c>
      <c r="I8518" t="s">
        <v>38248</v>
      </c>
      <c r="J8518" t="s">
        <v>334</v>
      </c>
      <c r="L8518" t="s">
        <v>38249</v>
      </c>
      <c r="M8518" t="s">
        <v>271</v>
      </c>
      <c r="N8518" t="s">
        <v>341</v>
      </c>
      <c r="O8518" t="s">
        <v>38250</v>
      </c>
      <c r="P8518" t="s">
        <v>24700</v>
      </c>
      <c r="Q8518" t="s">
        <v>38251</v>
      </c>
      <c r="R8518">
        <v>26</v>
      </c>
      <c r="S8518">
        <v>32</v>
      </c>
    </row>
    <row r="8519" spans="1:19" x14ac:dyDescent="0.35">
      <c r="A8519">
        <v>7379</v>
      </c>
      <c r="B8519" t="s">
        <v>35480</v>
      </c>
      <c r="C8519" t="s">
        <v>42</v>
      </c>
      <c r="D8519" t="s">
        <v>35481</v>
      </c>
      <c r="E8519" t="e" cm="1">
        <f t="array" ref="E8519">- THIAMINE MONONITRATE. PYRIDOXINE HYDROCHLORIDE. CYANOCOBALAMIN</f>
        <v>#NAME?</v>
      </c>
      <c r="F8519" t="s">
        <v>35482</v>
      </c>
      <c r="G8519" t="s">
        <v>35483</v>
      </c>
      <c r="H8519" t="s">
        <v>35484</v>
      </c>
      <c r="I8519" t="s">
        <v>35485</v>
      </c>
      <c r="J8519" t="s">
        <v>35486</v>
      </c>
      <c r="K8519" t="s">
        <v>35487</v>
      </c>
      <c r="L8519" t="s">
        <v>35488</v>
      </c>
      <c r="M8519" t="s">
        <v>46</v>
      </c>
      <c r="N8519" t="s">
        <v>31150</v>
      </c>
      <c r="O8519" t="s">
        <v>35489</v>
      </c>
      <c r="P8519" t="s">
        <v>35490</v>
      </c>
      <c r="Q8519" t="s">
        <v>38252</v>
      </c>
      <c r="R8519">
        <v>26</v>
      </c>
      <c r="S8519">
        <v>32</v>
      </c>
    </row>
    <row r="8520" spans="1:19" x14ac:dyDescent="0.35">
      <c r="A8520">
        <v>7380</v>
      </c>
      <c r="B8520" t="s">
        <v>35480</v>
      </c>
      <c r="C8520" t="s">
        <v>42</v>
      </c>
      <c r="D8520" t="s">
        <v>35481</v>
      </c>
      <c r="E8520" t="e" cm="1">
        <f t="array" ref="E8520">- THIAMINE MONONITRATE. PYRIDOXINE HYDROCHLORIDE. CYANOCOBALAMIN</f>
        <v>#NAME?</v>
      </c>
      <c r="F8520" t="s">
        <v>35482</v>
      </c>
      <c r="G8520" t="s">
        <v>35483</v>
      </c>
      <c r="H8520" t="s">
        <v>35484</v>
      </c>
      <c r="I8520" t="s">
        <v>35485</v>
      </c>
      <c r="J8520" t="s">
        <v>35486</v>
      </c>
      <c r="K8520" t="s">
        <v>35487</v>
      </c>
      <c r="L8520" t="s">
        <v>35488</v>
      </c>
      <c r="M8520" t="s">
        <v>46</v>
      </c>
      <c r="N8520" t="s">
        <v>31150</v>
      </c>
      <c r="O8520" t="s">
        <v>35489</v>
      </c>
      <c r="P8520" t="s">
        <v>35490</v>
      </c>
      <c r="Q8520" t="s">
        <v>38252</v>
      </c>
      <c r="R8520">
        <v>26</v>
      </c>
      <c r="S8520">
        <v>32</v>
      </c>
    </row>
    <row r="8521" spans="1:19" x14ac:dyDescent="0.35">
      <c r="A8521">
        <v>7381</v>
      </c>
      <c r="B8521" t="s">
        <v>35480</v>
      </c>
      <c r="C8521" t="s">
        <v>42</v>
      </c>
      <c r="D8521" t="s">
        <v>35481</v>
      </c>
      <c r="E8521" t="e" cm="1">
        <f t="array" ref="E8521">- THIAMINE MONONITRATE. PYRIDOXINE HYDROCHLORIDE. CYANOCOBALAMIN</f>
        <v>#NAME?</v>
      </c>
      <c r="F8521" t="s">
        <v>35482</v>
      </c>
      <c r="G8521" t="s">
        <v>35483</v>
      </c>
      <c r="H8521" t="s">
        <v>35484</v>
      </c>
      <c r="I8521" t="s">
        <v>35485</v>
      </c>
      <c r="J8521" t="s">
        <v>35486</v>
      </c>
      <c r="K8521" t="s">
        <v>35487</v>
      </c>
      <c r="L8521" t="s">
        <v>35488</v>
      </c>
      <c r="M8521" t="s">
        <v>46</v>
      </c>
      <c r="N8521" t="s">
        <v>31150</v>
      </c>
      <c r="O8521" t="s">
        <v>35489</v>
      </c>
      <c r="P8521" t="s">
        <v>35490</v>
      </c>
      <c r="Q8521" t="s">
        <v>38252</v>
      </c>
      <c r="R8521">
        <v>26</v>
      </c>
      <c r="S8521">
        <v>32</v>
      </c>
    </row>
    <row r="8522" spans="1:19" x14ac:dyDescent="0.35">
      <c r="A8522">
        <v>5765</v>
      </c>
      <c r="B8522" t="s">
        <v>38253</v>
      </c>
      <c r="C8522" t="s">
        <v>42</v>
      </c>
      <c r="D8522" t="s">
        <v>38254</v>
      </c>
      <c r="E8522" t="e" cm="1">
        <f t="array" ref="E8522">- CEFIXIME TRIHYDRATE</f>
        <v>#NAME?</v>
      </c>
      <c r="F8522" t="s">
        <v>38255</v>
      </c>
      <c r="G8522" t="s">
        <v>37190</v>
      </c>
      <c r="H8522" t="s">
        <v>1019</v>
      </c>
      <c r="I8522" t="s">
        <v>37192</v>
      </c>
      <c r="J8522" t="s">
        <v>829</v>
      </c>
      <c r="K8522" t="s">
        <v>1020</v>
      </c>
      <c r="L8522" t="s">
        <v>1021</v>
      </c>
      <c r="M8522" t="s">
        <v>271</v>
      </c>
      <c r="N8522" t="s">
        <v>1790</v>
      </c>
      <c r="O8522" t="s">
        <v>37193</v>
      </c>
      <c r="P8522" t="s">
        <v>37934</v>
      </c>
      <c r="Q8522" t="s">
        <v>38256</v>
      </c>
      <c r="R8522">
        <v>26</v>
      </c>
      <c r="S8522">
        <v>32</v>
      </c>
    </row>
    <row r="8523" spans="1:19" x14ac:dyDescent="0.35">
      <c r="A8523">
        <v>4783</v>
      </c>
      <c r="B8523" t="s">
        <v>38257</v>
      </c>
      <c r="C8523" t="s">
        <v>42</v>
      </c>
      <c r="D8523" t="s">
        <v>38258</v>
      </c>
      <c r="E8523" t="e" cm="1">
        <f t="array" ref="E8523">- DEXAMETHASONE SODIUM METASULFOBENZOATE</f>
        <v>#NAME?</v>
      </c>
      <c r="F8523" t="s">
        <v>38259</v>
      </c>
      <c r="H8523" t="s">
        <v>38260</v>
      </c>
      <c r="I8523" t="s">
        <v>38261</v>
      </c>
      <c r="J8523" t="s">
        <v>9310</v>
      </c>
      <c r="K8523" t="s">
        <v>38262</v>
      </c>
      <c r="L8523" t="s">
        <v>38263</v>
      </c>
      <c r="M8523" t="s">
        <v>824</v>
      </c>
      <c r="N8523" t="s">
        <v>38264</v>
      </c>
      <c r="O8523" t="s">
        <v>38265</v>
      </c>
      <c r="P8523" t="s">
        <v>38266</v>
      </c>
      <c r="Q8523" t="s">
        <v>38267</v>
      </c>
      <c r="R8523">
        <v>26</v>
      </c>
      <c r="S8523">
        <v>32</v>
      </c>
    </row>
    <row r="8524" spans="1:19" x14ac:dyDescent="0.35">
      <c r="A8524">
        <v>6183</v>
      </c>
      <c r="B8524" t="s">
        <v>38268</v>
      </c>
      <c r="C8524" t="s">
        <v>42</v>
      </c>
      <c r="D8524" t="s">
        <v>38269</v>
      </c>
      <c r="E8524" t="e" cm="1">
        <f t="array" ref="E8524">- CEFIXIME TRIHYDRATE</f>
        <v>#NAME?</v>
      </c>
      <c r="F8524" t="s">
        <v>38270</v>
      </c>
      <c r="G8524" t="s">
        <v>37190</v>
      </c>
      <c r="H8524" t="s">
        <v>1019</v>
      </c>
      <c r="I8524" t="s">
        <v>37192</v>
      </c>
      <c r="J8524" t="s">
        <v>829</v>
      </c>
      <c r="K8524" t="s">
        <v>1020</v>
      </c>
      <c r="L8524" t="s">
        <v>1021</v>
      </c>
      <c r="M8524" t="s">
        <v>271</v>
      </c>
      <c r="N8524" t="s">
        <v>1790</v>
      </c>
      <c r="O8524" t="s">
        <v>37193</v>
      </c>
      <c r="P8524" t="s">
        <v>38271</v>
      </c>
      <c r="Q8524" t="s">
        <v>38272</v>
      </c>
      <c r="R8524">
        <v>26</v>
      </c>
      <c r="S8524">
        <v>32</v>
      </c>
    </row>
    <row r="8525" spans="1:19" x14ac:dyDescent="0.35">
      <c r="A8525">
        <v>665</v>
      </c>
      <c r="B8525" t="s">
        <v>13507</v>
      </c>
      <c r="C8525" t="s">
        <v>20</v>
      </c>
      <c r="D8525" t="s">
        <v>38273</v>
      </c>
      <c r="E8525" t="s">
        <v>13509</v>
      </c>
      <c r="F8525" t="s">
        <v>38274</v>
      </c>
      <c r="G8525" t="s">
        <v>27012</v>
      </c>
      <c r="H8525" t="s">
        <v>1322</v>
      </c>
      <c r="I8525" t="s">
        <v>38275</v>
      </c>
      <c r="J8525" t="s">
        <v>13346</v>
      </c>
      <c r="M8525" t="s">
        <v>2115</v>
      </c>
      <c r="N8525" t="s">
        <v>13511</v>
      </c>
      <c r="O8525" t="s">
        <v>38276</v>
      </c>
      <c r="P8525" t="s">
        <v>13512</v>
      </c>
      <c r="Q8525" t="s">
        <v>38277</v>
      </c>
      <c r="R8525">
        <v>26</v>
      </c>
      <c r="S8525">
        <v>32</v>
      </c>
    </row>
    <row r="8526" spans="1:19" x14ac:dyDescent="0.35">
      <c r="A8526">
        <v>6352</v>
      </c>
      <c r="B8526" t="s">
        <v>38278</v>
      </c>
      <c r="C8526" t="s">
        <v>42</v>
      </c>
      <c r="D8526" t="s">
        <v>38279</v>
      </c>
      <c r="E8526" t="e" cm="1">
        <f t="array" ref="E8526">- MOXIFLOXACIN HYDROCHLORIDE</f>
        <v>#NAME?</v>
      </c>
      <c r="F8526" t="s">
        <v>38280</v>
      </c>
      <c r="G8526" t="s">
        <v>5301</v>
      </c>
      <c r="H8526" t="s">
        <v>38281</v>
      </c>
      <c r="I8526" t="s">
        <v>38282</v>
      </c>
      <c r="J8526" t="s">
        <v>38283</v>
      </c>
      <c r="L8526" t="s">
        <v>270</v>
      </c>
      <c r="M8526" t="s">
        <v>291</v>
      </c>
      <c r="N8526" t="s">
        <v>1856</v>
      </c>
      <c r="O8526" t="s">
        <v>38284</v>
      </c>
      <c r="P8526" t="s">
        <v>38285</v>
      </c>
      <c r="Q8526" t="s">
        <v>38286</v>
      </c>
      <c r="R8526">
        <v>26</v>
      </c>
      <c r="S8526">
        <v>32</v>
      </c>
    </row>
    <row r="8527" spans="1:19" x14ac:dyDescent="0.35">
      <c r="A8527">
        <v>2141</v>
      </c>
      <c r="B8527" t="s">
        <v>38287</v>
      </c>
      <c r="C8527" t="s">
        <v>42</v>
      </c>
      <c r="D8527" t="s">
        <v>38288</v>
      </c>
      <c r="E8527" t="e" cm="1">
        <f t="array" ref="E8527">- IBUPROFEN</f>
        <v>#NAME?</v>
      </c>
      <c r="F8527" t="s">
        <v>38289</v>
      </c>
      <c r="G8527" t="s">
        <v>2453</v>
      </c>
      <c r="H8527" t="s">
        <v>38290</v>
      </c>
      <c r="I8527" t="s">
        <v>38291</v>
      </c>
      <c r="J8527" t="s">
        <v>5085</v>
      </c>
      <c r="K8527" t="s">
        <v>37900</v>
      </c>
      <c r="L8527" t="s">
        <v>38292</v>
      </c>
      <c r="M8527" t="s">
        <v>46</v>
      </c>
      <c r="N8527" t="s">
        <v>383</v>
      </c>
      <c r="O8527" t="s">
        <v>37902</v>
      </c>
      <c r="P8527" t="s">
        <v>383</v>
      </c>
      <c r="Q8527" t="s">
        <v>38293</v>
      </c>
      <c r="R8527">
        <v>26</v>
      </c>
      <c r="S8527">
        <v>32</v>
      </c>
    </row>
    <row r="8528" spans="1:19" x14ac:dyDescent="0.35">
      <c r="A8528">
        <v>5598</v>
      </c>
      <c r="B8528" t="s">
        <v>38294</v>
      </c>
      <c r="C8528" t="s">
        <v>42</v>
      </c>
      <c r="D8528" t="s">
        <v>38295</v>
      </c>
      <c r="E8528" t="e" cm="1">
        <f t="array" ref="E8528">- CEFIXIME TRIHYDRATE</f>
        <v>#NAME?</v>
      </c>
      <c r="F8528" t="s">
        <v>38296</v>
      </c>
      <c r="G8528" t="s">
        <v>37190</v>
      </c>
      <c r="H8528" t="s">
        <v>37191</v>
      </c>
      <c r="I8528" t="s">
        <v>37192</v>
      </c>
      <c r="J8528" t="s">
        <v>810</v>
      </c>
      <c r="K8528" t="s">
        <v>1020</v>
      </c>
      <c r="L8528" t="s">
        <v>1021</v>
      </c>
      <c r="M8528" t="s">
        <v>291</v>
      </c>
      <c r="N8528" t="s">
        <v>1790</v>
      </c>
      <c r="O8528" t="s">
        <v>37193</v>
      </c>
      <c r="P8528" t="s">
        <v>1022</v>
      </c>
      <c r="Q8528" t="s">
        <v>38297</v>
      </c>
      <c r="R8528">
        <v>26</v>
      </c>
      <c r="S8528">
        <v>32</v>
      </c>
    </row>
    <row r="8529" spans="1:19" x14ac:dyDescent="0.35">
      <c r="A8529">
        <v>5599</v>
      </c>
      <c r="B8529" t="s">
        <v>38294</v>
      </c>
      <c r="C8529" t="s">
        <v>42</v>
      </c>
      <c r="D8529" t="s">
        <v>38295</v>
      </c>
      <c r="E8529" t="e" cm="1">
        <f t="array" ref="E8529">- CEFIXIME TRIHYDRATE</f>
        <v>#NAME?</v>
      </c>
      <c r="F8529" t="s">
        <v>38296</v>
      </c>
      <c r="G8529" t="s">
        <v>37190</v>
      </c>
      <c r="H8529" t="s">
        <v>37191</v>
      </c>
      <c r="I8529" t="s">
        <v>37192</v>
      </c>
      <c r="J8529" t="s">
        <v>810</v>
      </c>
      <c r="K8529" t="s">
        <v>1020</v>
      </c>
      <c r="L8529" t="s">
        <v>1021</v>
      </c>
      <c r="M8529" t="s">
        <v>291</v>
      </c>
      <c r="N8529" t="s">
        <v>1790</v>
      </c>
      <c r="O8529" t="s">
        <v>37193</v>
      </c>
      <c r="P8529" t="s">
        <v>1022</v>
      </c>
      <c r="Q8529" t="s">
        <v>38297</v>
      </c>
      <c r="R8529">
        <v>26</v>
      </c>
      <c r="S8529">
        <v>32</v>
      </c>
    </row>
    <row r="8530" spans="1:19" x14ac:dyDescent="0.35">
      <c r="A8530">
        <v>6058</v>
      </c>
      <c r="B8530" t="s">
        <v>37913</v>
      </c>
      <c r="C8530" t="s">
        <v>42</v>
      </c>
      <c r="D8530" t="s">
        <v>38227</v>
      </c>
      <c r="E8530" t="e" cm="1">
        <f t="array" ref="E8530">- CEFIXIME TRIHYDRATE</f>
        <v>#NAME?</v>
      </c>
      <c r="F8530" t="s">
        <v>38228</v>
      </c>
      <c r="G8530" t="s">
        <v>37190</v>
      </c>
      <c r="H8530" t="s">
        <v>1019</v>
      </c>
      <c r="I8530" t="s">
        <v>37192</v>
      </c>
      <c r="J8530" t="s">
        <v>829</v>
      </c>
      <c r="K8530" t="s">
        <v>1020</v>
      </c>
      <c r="L8530" t="s">
        <v>1021</v>
      </c>
      <c r="M8530" t="s">
        <v>271</v>
      </c>
      <c r="N8530" t="s">
        <v>1790</v>
      </c>
      <c r="O8530" t="s">
        <v>37193</v>
      </c>
      <c r="P8530" t="s">
        <v>37916</v>
      </c>
      <c r="Q8530" t="s">
        <v>37917</v>
      </c>
      <c r="R8530">
        <v>26</v>
      </c>
      <c r="S8530">
        <v>32</v>
      </c>
    </row>
    <row r="8531" spans="1:19" x14ac:dyDescent="0.35">
      <c r="A8531">
        <v>663</v>
      </c>
      <c r="B8531" t="s">
        <v>13507</v>
      </c>
      <c r="C8531" t="s">
        <v>20</v>
      </c>
      <c r="D8531" t="s">
        <v>38298</v>
      </c>
      <c r="E8531" t="s">
        <v>13509</v>
      </c>
      <c r="F8531" t="s">
        <v>38299</v>
      </c>
      <c r="G8531" t="s">
        <v>27012</v>
      </c>
      <c r="H8531" t="s">
        <v>13586</v>
      </c>
      <c r="I8531" t="s">
        <v>38275</v>
      </c>
      <c r="J8531" t="s">
        <v>37764</v>
      </c>
      <c r="M8531" t="s">
        <v>2115</v>
      </c>
      <c r="N8531" t="s">
        <v>13511</v>
      </c>
      <c r="O8531" t="s">
        <v>38276</v>
      </c>
      <c r="P8531" t="s">
        <v>13512</v>
      </c>
      <c r="Q8531" t="s">
        <v>38277</v>
      </c>
      <c r="R8531">
        <v>26</v>
      </c>
      <c r="S8531">
        <v>32</v>
      </c>
    </row>
    <row r="8532" spans="1:19" x14ac:dyDescent="0.35">
      <c r="A8532">
        <v>3574</v>
      </c>
      <c r="B8532" t="s">
        <v>38300</v>
      </c>
      <c r="C8532" t="s">
        <v>42</v>
      </c>
      <c r="D8532" t="s">
        <v>38301</v>
      </c>
      <c r="E8532" t="e" cm="1">
        <f t="array" ref="E8532">- METOCLOPRAMIDE HYDROCHLORIDE</f>
        <v>#NAME?</v>
      </c>
      <c r="F8532" t="s">
        <v>38302</v>
      </c>
      <c r="G8532" t="s">
        <v>18364</v>
      </c>
      <c r="H8532" t="s">
        <v>38303</v>
      </c>
      <c r="I8532" t="s">
        <v>38304</v>
      </c>
      <c r="J8532" t="s">
        <v>1631</v>
      </c>
      <c r="K8532" t="s">
        <v>38305</v>
      </c>
      <c r="L8532" t="s">
        <v>1875</v>
      </c>
      <c r="M8532" t="s">
        <v>46</v>
      </c>
      <c r="N8532" t="s">
        <v>1876</v>
      </c>
      <c r="O8532" t="s">
        <v>38306</v>
      </c>
      <c r="P8532" t="s">
        <v>38307</v>
      </c>
      <c r="Q8532" t="s">
        <v>38308</v>
      </c>
      <c r="R8532">
        <v>26</v>
      </c>
      <c r="S8532">
        <v>32</v>
      </c>
    </row>
    <row r="8533" spans="1:19" x14ac:dyDescent="0.35">
      <c r="A8533">
        <v>5764</v>
      </c>
      <c r="B8533" t="s">
        <v>38253</v>
      </c>
      <c r="C8533" t="s">
        <v>42</v>
      </c>
      <c r="D8533" t="s">
        <v>38254</v>
      </c>
      <c r="E8533" t="e" cm="1">
        <f t="array" ref="E8533">- CEFIXIME TRIHYDRATE</f>
        <v>#NAME?</v>
      </c>
      <c r="F8533" t="s">
        <v>38255</v>
      </c>
      <c r="G8533" t="s">
        <v>37190</v>
      </c>
      <c r="H8533" t="s">
        <v>1019</v>
      </c>
      <c r="I8533" t="s">
        <v>37192</v>
      </c>
      <c r="J8533" t="s">
        <v>829</v>
      </c>
      <c r="K8533" t="s">
        <v>1020</v>
      </c>
      <c r="L8533" t="s">
        <v>1021</v>
      </c>
      <c r="M8533" t="s">
        <v>271</v>
      </c>
      <c r="N8533" t="s">
        <v>1790</v>
      </c>
      <c r="O8533" t="s">
        <v>37193</v>
      </c>
      <c r="P8533" t="s">
        <v>37934</v>
      </c>
      <c r="Q8533" t="s">
        <v>38256</v>
      </c>
      <c r="R8533">
        <v>26</v>
      </c>
      <c r="S8533">
        <v>32</v>
      </c>
    </row>
    <row r="8534" spans="1:19" x14ac:dyDescent="0.35">
      <c r="A8534">
        <v>5763</v>
      </c>
      <c r="B8534" t="s">
        <v>38309</v>
      </c>
      <c r="C8534" t="s">
        <v>42</v>
      </c>
      <c r="D8534" t="s">
        <v>38310</v>
      </c>
      <c r="E8534" t="e" cm="1">
        <f t="array" ref="E8534">- CEFIXIME TRIHYDRATE</f>
        <v>#NAME?</v>
      </c>
      <c r="F8534" t="s">
        <v>38311</v>
      </c>
      <c r="G8534" t="s">
        <v>37190</v>
      </c>
      <c r="H8534" t="s">
        <v>37191</v>
      </c>
      <c r="I8534" t="s">
        <v>37192</v>
      </c>
      <c r="J8534" t="s">
        <v>3701</v>
      </c>
      <c r="K8534" t="s">
        <v>1020</v>
      </c>
      <c r="L8534" t="s">
        <v>1021</v>
      </c>
      <c r="M8534" t="s">
        <v>291</v>
      </c>
      <c r="N8534" t="s">
        <v>1790</v>
      </c>
      <c r="O8534" t="s">
        <v>37193</v>
      </c>
      <c r="P8534" t="s">
        <v>37934</v>
      </c>
      <c r="Q8534" t="s">
        <v>38312</v>
      </c>
      <c r="R8534">
        <v>26</v>
      </c>
      <c r="S8534">
        <v>32</v>
      </c>
    </row>
    <row r="8535" spans="1:19" x14ac:dyDescent="0.35">
      <c r="A8535">
        <v>9616</v>
      </c>
      <c r="B8535" t="s">
        <v>6301</v>
      </c>
      <c r="C8535" t="s">
        <v>42</v>
      </c>
      <c r="D8535" t="s">
        <v>38313</v>
      </c>
      <c r="E8535" t="s">
        <v>6303</v>
      </c>
      <c r="F8535" t="s">
        <v>38314</v>
      </c>
      <c r="G8535" t="s">
        <v>29409</v>
      </c>
      <c r="H8535" t="s">
        <v>36633</v>
      </c>
      <c r="I8535" t="s">
        <v>38315</v>
      </c>
      <c r="J8535" t="s">
        <v>743</v>
      </c>
      <c r="K8535" t="s">
        <v>31604</v>
      </c>
      <c r="L8535" t="s">
        <v>36635</v>
      </c>
      <c r="M8535" t="s">
        <v>46</v>
      </c>
      <c r="N8535" t="s">
        <v>6304</v>
      </c>
      <c r="O8535" t="s">
        <v>38316</v>
      </c>
      <c r="P8535" t="s">
        <v>38317</v>
      </c>
      <c r="Q8535" t="s">
        <v>38318</v>
      </c>
      <c r="R8535">
        <v>26</v>
      </c>
      <c r="S8535">
        <v>32</v>
      </c>
    </row>
    <row r="8536" spans="1:19" x14ac:dyDescent="0.35">
      <c r="A8536">
        <v>5762</v>
      </c>
      <c r="B8536" t="s">
        <v>38309</v>
      </c>
      <c r="C8536" t="s">
        <v>42</v>
      </c>
      <c r="D8536" t="s">
        <v>38310</v>
      </c>
      <c r="E8536" t="e" cm="1">
        <f t="array" ref="E8536">- CEFIXIME TRIHYDRATE</f>
        <v>#NAME?</v>
      </c>
      <c r="F8536" t="s">
        <v>38311</v>
      </c>
      <c r="G8536" t="s">
        <v>37190</v>
      </c>
      <c r="H8536" t="s">
        <v>37191</v>
      </c>
      <c r="I8536" t="s">
        <v>37192</v>
      </c>
      <c r="J8536" t="s">
        <v>3701</v>
      </c>
      <c r="K8536" t="s">
        <v>1020</v>
      </c>
      <c r="L8536" t="s">
        <v>1021</v>
      </c>
      <c r="M8536" t="s">
        <v>291</v>
      </c>
      <c r="N8536" t="s">
        <v>1790</v>
      </c>
      <c r="O8536" t="s">
        <v>37193</v>
      </c>
      <c r="P8536" t="s">
        <v>37934</v>
      </c>
      <c r="Q8536" t="s">
        <v>38312</v>
      </c>
      <c r="R8536">
        <v>26</v>
      </c>
      <c r="S8536">
        <v>32</v>
      </c>
    </row>
    <row r="8537" spans="1:19" x14ac:dyDescent="0.35">
      <c r="A8537">
        <v>9729</v>
      </c>
      <c r="B8537" t="s">
        <v>38319</v>
      </c>
      <c r="C8537" t="s">
        <v>42</v>
      </c>
      <c r="D8537" t="s">
        <v>38320</v>
      </c>
      <c r="E8537" t="e" cm="1">
        <f t="array" ref="E8537">- LOVASTATIN</f>
        <v>#NAME?</v>
      </c>
      <c r="F8537" t="s">
        <v>38321</v>
      </c>
      <c r="G8537" t="s">
        <v>2241</v>
      </c>
      <c r="H8537" t="s">
        <v>2643</v>
      </c>
      <c r="I8537" t="s">
        <v>38322</v>
      </c>
      <c r="J8537" t="s">
        <v>599</v>
      </c>
      <c r="K8537" t="s">
        <v>38323</v>
      </c>
      <c r="L8537" t="s">
        <v>38324</v>
      </c>
      <c r="M8537" t="s">
        <v>46</v>
      </c>
      <c r="N8537" t="s">
        <v>37865</v>
      </c>
      <c r="O8537" t="s">
        <v>37866</v>
      </c>
      <c r="P8537" t="s">
        <v>38325</v>
      </c>
      <c r="Q8537" t="s">
        <v>38326</v>
      </c>
      <c r="R8537">
        <v>26</v>
      </c>
      <c r="S8537">
        <v>32</v>
      </c>
    </row>
    <row r="8538" spans="1:19" x14ac:dyDescent="0.35">
      <c r="A8538">
        <v>6458</v>
      </c>
      <c r="B8538" t="s">
        <v>38327</v>
      </c>
      <c r="C8538" t="s">
        <v>42</v>
      </c>
      <c r="D8538" t="s">
        <v>38328</v>
      </c>
      <c r="E8538" t="e" cm="1">
        <f t="array" ref="E8538">- CEFIXIME TRIHYDRATE</f>
        <v>#NAME?</v>
      </c>
      <c r="F8538" t="s">
        <v>38329</v>
      </c>
      <c r="G8538" t="s">
        <v>37190</v>
      </c>
      <c r="H8538" t="s">
        <v>37191</v>
      </c>
      <c r="I8538" t="s">
        <v>37192</v>
      </c>
      <c r="J8538" t="s">
        <v>3701</v>
      </c>
      <c r="K8538" t="s">
        <v>1020</v>
      </c>
      <c r="L8538" t="s">
        <v>1021</v>
      </c>
      <c r="M8538" t="s">
        <v>291</v>
      </c>
      <c r="N8538" t="s">
        <v>1790</v>
      </c>
      <c r="O8538" t="s">
        <v>37193</v>
      </c>
      <c r="P8538" t="s">
        <v>1791</v>
      </c>
      <c r="Q8538" t="s">
        <v>38330</v>
      </c>
      <c r="R8538">
        <v>26</v>
      </c>
      <c r="S8538">
        <v>32</v>
      </c>
    </row>
    <row r="8539" spans="1:19" x14ac:dyDescent="0.35">
      <c r="A8539">
        <v>5807</v>
      </c>
      <c r="B8539" t="s">
        <v>38331</v>
      </c>
      <c r="C8539" t="s">
        <v>42</v>
      </c>
      <c r="D8539" t="s">
        <v>38332</v>
      </c>
      <c r="E8539" t="e" cm="1">
        <f t="array" ref="E8539">- CEFIXIME TRIHYDRATE</f>
        <v>#NAME?</v>
      </c>
      <c r="F8539" t="s">
        <v>38333</v>
      </c>
      <c r="G8539" t="s">
        <v>37190</v>
      </c>
      <c r="H8539" t="s">
        <v>37191</v>
      </c>
      <c r="I8539" t="s">
        <v>37192</v>
      </c>
      <c r="J8539" t="s">
        <v>14600</v>
      </c>
      <c r="K8539" t="s">
        <v>1020</v>
      </c>
      <c r="L8539" t="s">
        <v>1021</v>
      </c>
      <c r="M8539" t="s">
        <v>38</v>
      </c>
      <c r="N8539" t="s">
        <v>1790</v>
      </c>
      <c r="O8539" t="s">
        <v>37193</v>
      </c>
      <c r="P8539" t="s">
        <v>37981</v>
      </c>
      <c r="Q8539" t="s">
        <v>38334</v>
      </c>
      <c r="R8539">
        <v>26</v>
      </c>
      <c r="S8539">
        <v>32</v>
      </c>
    </row>
    <row r="8540" spans="1:19" x14ac:dyDescent="0.35">
      <c r="A8540">
        <v>9612</v>
      </c>
      <c r="B8540" t="s">
        <v>6301</v>
      </c>
      <c r="C8540" t="s">
        <v>42</v>
      </c>
      <c r="D8540" t="s">
        <v>38335</v>
      </c>
      <c r="E8540" t="s">
        <v>6303</v>
      </c>
      <c r="F8540" t="s">
        <v>38336</v>
      </c>
      <c r="G8540" t="s">
        <v>31602</v>
      </c>
      <c r="H8540" t="s">
        <v>1322</v>
      </c>
      <c r="I8540" t="s">
        <v>38337</v>
      </c>
      <c r="J8540" t="s">
        <v>36236</v>
      </c>
      <c r="K8540" t="s">
        <v>31604</v>
      </c>
      <c r="L8540" t="s">
        <v>36077</v>
      </c>
      <c r="M8540" t="s">
        <v>46</v>
      </c>
      <c r="N8540" t="s">
        <v>6304</v>
      </c>
      <c r="O8540" t="s">
        <v>38338</v>
      </c>
      <c r="P8540" t="s">
        <v>38339</v>
      </c>
      <c r="Q8540" t="s">
        <v>38340</v>
      </c>
      <c r="R8540">
        <v>26</v>
      </c>
      <c r="S8540">
        <v>32</v>
      </c>
    </row>
    <row r="8541" spans="1:19" x14ac:dyDescent="0.35">
      <c r="A8541">
        <v>7191</v>
      </c>
      <c r="B8541" t="s">
        <v>38341</v>
      </c>
      <c r="C8541" t="s">
        <v>850</v>
      </c>
      <c r="D8541" t="s">
        <v>38342</v>
      </c>
      <c r="E8541" t="e" cm="1">
        <f t="array" ref="E8541">- Hak Yau</f>
        <v>#NAME?</v>
      </c>
      <c r="F8541" t="s">
        <v>38343</v>
      </c>
      <c r="G8541" t="s">
        <v>38344</v>
      </c>
      <c r="H8541" t="s">
        <v>9172</v>
      </c>
      <c r="I8541" t="s">
        <v>38345</v>
      </c>
      <c r="J8541" t="s">
        <v>1824</v>
      </c>
      <c r="L8541" t="s">
        <v>35269</v>
      </c>
      <c r="M8541" t="s">
        <v>2115</v>
      </c>
      <c r="N8541" t="s">
        <v>38346</v>
      </c>
      <c r="O8541" t="s">
        <v>38347</v>
      </c>
      <c r="P8541" t="s">
        <v>38348</v>
      </c>
      <c r="Q8541" t="s">
        <v>38349</v>
      </c>
      <c r="R8541">
        <v>26</v>
      </c>
      <c r="S8541">
        <v>32</v>
      </c>
    </row>
    <row r="8542" spans="1:19" x14ac:dyDescent="0.35">
      <c r="A8542">
        <v>7374</v>
      </c>
      <c r="B8542" t="s">
        <v>38030</v>
      </c>
      <c r="C8542" t="s">
        <v>42</v>
      </c>
      <c r="D8542" t="s">
        <v>38031</v>
      </c>
      <c r="E8542" t="e" cm="1">
        <f t="array" ref="E8542">- SODIUM HYALURONATE</f>
        <v>#NAME?</v>
      </c>
      <c r="F8542" t="s">
        <v>38032</v>
      </c>
      <c r="G8542" t="s">
        <v>36668</v>
      </c>
      <c r="H8542" t="s">
        <v>19161</v>
      </c>
      <c r="I8542" t="s">
        <v>38033</v>
      </c>
      <c r="J8542" t="s">
        <v>38034</v>
      </c>
      <c r="K8542" t="s">
        <v>2726</v>
      </c>
      <c r="L8542" t="s">
        <v>38035</v>
      </c>
      <c r="M8542" t="s">
        <v>554</v>
      </c>
      <c r="N8542" t="s">
        <v>27378</v>
      </c>
      <c r="O8542" t="s">
        <v>38036</v>
      </c>
      <c r="P8542" t="s">
        <v>38037</v>
      </c>
      <c r="Q8542" t="s">
        <v>38038</v>
      </c>
      <c r="R8542">
        <v>26</v>
      </c>
      <c r="S8542">
        <v>32</v>
      </c>
    </row>
    <row r="8543" spans="1:19" x14ac:dyDescent="0.35">
      <c r="A8543">
        <v>7192</v>
      </c>
      <c r="B8543" t="s">
        <v>38341</v>
      </c>
      <c r="C8543" t="s">
        <v>850</v>
      </c>
      <c r="D8543" t="s">
        <v>38350</v>
      </c>
      <c r="E8543" t="e" cm="1">
        <f t="array" ref="E8543">- Hak Yau</f>
        <v>#NAME?</v>
      </c>
      <c r="F8543" t="s">
        <v>38351</v>
      </c>
      <c r="G8543" t="s">
        <v>38344</v>
      </c>
      <c r="H8543" t="s">
        <v>9172</v>
      </c>
      <c r="I8543" t="s">
        <v>38345</v>
      </c>
      <c r="J8543" t="s">
        <v>38352</v>
      </c>
      <c r="L8543" t="s">
        <v>35269</v>
      </c>
      <c r="M8543" t="s">
        <v>2115</v>
      </c>
      <c r="N8543" t="s">
        <v>38346</v>
      </c>
      <c r="O8543" t="s">
        <v>38347</v>
      </c>
      <c r="P8543" t="s">
        <v>38348</v>
      </c>
      <c r="Q8543" t="s">
        <v>38349</v>
      </c>
      <c r="R8543">
        <v>26</v>
      </c>
      <c r="S8543">
        <v>32</v>
      </c>
    </row>
    <row r="8544" spans="1:19" x14ac:dyDescent="0.35">
      <c r="A8544">
        <v>6265</v>
      </c>
      <c r="B8544" t="s">
        <v>38353</v>
      </c>
      <c r="C8544" t="s">
        <v>42</v>
      </c>
      <c r="D8544" t="s">
        <v>38354</v>
      </c>
      <c r="E8544" t="e" cm="1">
        <f t="array" ref="E8544">- CEFIXIME TRIHYDRATE</f>
        <v>#NAME?</v>
      </c>
      <c r="F8544" t="s">
        <v>38355</v>
      </c>
      <c r="G8544" t="s">
        <v>37190</v>
      </c>
      <c r="H8544" t="s">
        <v>1019</v>
      </c>
      <c r="I8544" t="s">
        <v>37192</v>
      </c>
      <c r="J8544" t="s">
        <v>829</v>
      </c>
      <c r="K8544" t="s">
        <v>1020</v>
      </c>
      <c r="L8544" t="s">
        <v>1021</v>
      </c>
      <c r="M8544" t="s">
        <v>271</v>
      </c>
      <c r="N8544" t="s">
        <v>1790</v>
      </c>
      <c r="O8544" t="s">
        <v>37193</v>
      </c>
      <c r="P8544" t="s">
        <v>38356</v>
      </c>
      <c r="Q8544" t="s">
        <v>38357</v>
      </c>
      <c r="R8544">
        <v>26</v>
      </c>
      <c r="S8544">
        <v>32</v>
      </c>
    </row>
    <row r="8545" spans="1:19" x14ac:dyDescent="0.35">
      <c r="A8545">
        <v>5784</v>
      </c>
      <c r="B8545" t="s">
        <v>38358</v>
      </c>
      <c r="C8545" t="s">
        <v>42</v>
      </c>
      <c r="D8545" t="s">
        <v>38359</v>
      </c>
      <c r="E8545" t="e" cm="1">
        <f t="array" ref="E8545">- LEVOFLOXACIN HEMIHYDRATE</f>
        <v>#NAME?</v>
      </c>
      <c r="F8545" t="s">
        <v>38360</v>
      </c>
      <c r="G8545" t="s">
        <v>1691</v>
      </c>
      <c r="H8545" t="s">
        <v>38361</v>
      </c>
      <c r="I8545" t="s">
        <v>38362</v>
      </c>
      <c r="J8545" t="s">
        <v>38363</v>
      </c>
      <c r="K8545" t="s">
        <v>38364</v>
      </c>
      <c r="L8545" t="s">
        <v>38365</v>
      </c>
      <c r="M8545" t="s">
        <v>291</v>
      </c>
      <c r="N8545" t="s">
        <v>1784</v>
      </c>
      <c r="O8545" t="s">
        <v>38366</v>
      </c>
      <c r="P8545" t="s">
        <v>11487</v>
      </c>
      <c r="Q8545" t="s">
        <v>38367</v>
      </c>
      <c r="R8545">
        <v>26</v>
      </c>
      <c r="S8545">
        <v>32</v>
      </c>
    </row>
    <row r="8546" spans="1:19" x14ac:dyDescent="0.35">
      <c r="A8546">
        <v>8340</v>
      </c>
      <c r="B8546" t="s">
        <v>551</v>
      </c>
      <c r="C8546" t="s">
        <v>42</v>
      </c>
      <c r="D8546" t="s">
        <v>38368</v>
      </c>
      <c r="E8546" t="e" cm="1">
        <f t="array" ref="E8546">- POVIDONE-IODINE</f>
        <v>#NAME?</v>
      </c>
      <c r="F8546" s="1">
        <v>113800</v>
      </c>
      <c r="H8546" t="s">
        <v>1322</v>
      </c>
      <c r="I8546" t="s">
        <v>38369</v>
      </c>
      <c r="J8546" t="s">
        <v>7321</v>
      </c>
      <c r="L8546" t="s">
        <v>8963</v>
      </c>
      <c r="M8546" t="s">
        <v>554</v>
      </c>
      <c r="N8546" t="s">
        <v>555</v>
      </c>
      <c r="O8546" t="s">
        <v>38370</v>
      </c>
      <c r="P8546" t="s">
        <v>38371</v>
      </c>
      <c r="Q8546" t="s">
        <v>38372</v>
      </c>
      <c r="R8546">
        <v>26</v>
      </c>
      <c r="S8546">
        <v>32</v>
      </c>
    </row>
    <row r="8547" spans="1:19" x14ac:dyDescent="0.35">
      <c r="A8547">
        <v>8341</v>
      </c>
      <c r="B8547" t="s">
        <v>551</v>
      </c>
      <c r="C8547" t="s">
        <v>42</v>
      </c>
      <c r="D8547" t="s">
        <v>38368</v>
      </c>
      <c r="E8547" t="e" cm="1">
        <f t="array" ref="E8547">- POVIDONE-IODINE</f>
        <v>#NAME?</v>
      </c>
      <c r="F8547" s="1">
        <v>113800</v>
      </c>
      <c r="H8547" t="s">
        <v>1322</v>
      </c>
      <c r="I8547" t="s">
        <v>38369</v>
      </c>
      <c r="J8547" t="s">
        <v>7321</v>
      </c>
      <c r="L8547" t="s">
        <v>8963</v>
      </c>
      <c r="M8547" t="s">
        <v>554</v>
      </c>
      <c r="N8547" t="s">
        <v>555</v>
      </c>
      <c r="O8547" t="s">
        <v>38370</v>
      </c>
      <c r="P8547" t="s">
        <v>38371</v>
      </c>
      <c r="Q8547" t="s">
        <v>38372</v>
      </c>
      <c r="R8547">
        <v>26</v>
      </c>
      <c r="S8547">
        <v>32</v>
      </c>
    </row>
    <row r="8548" spans="1:19" x14ac:dyDescent="0.35">
      <c r="A8548">
        <v>8342</v>
      </c>
      <c r="B8548" t="s">
        <v>551</v>
      </c>
      <c r="C8548" t="s">
        <v>42</v>
      </c>
      <c r="D8548" t="s">
        <v>38373</v>
      </c>
      <c r="E8548" t="e" cm="1">
        <f t="array" ref="E8548">- POVIDONE-IODINE</f>
        <v>#NAME?</v>
      </c>
      <c r="F8548" t="s">
        <v>38374</v>
      </c>
      <c r="H8548" t="s">
        <v>1322</v>
      </c>
      <c r="I8548" t="s">
        <v>38369</v>
      </c>
      <c r="J8548" t="s">
        <v>38375</v>
      </c>
      <c r="L8548" t="s">
        <v>8963</v>
      </c>
      <c r="M8548" t="s">
        <v>554</v>
      </c>
      <c r="N8548" t="s">
        <v>555</v>
      </c>
      <c r="O8548" t="s">
        <v>38370</v>
      </c>
      <c r="P8548" t="s">
        <v>38371</v>
      </c>
      <c r="Q8548" t="s">
        <v>38372</v>
      </c>
      <c r="R8548">
        <v>26</v>
      </c>
      <c r="S8548">
        <v>32</v>
      </c>
    </row>
    <row r="8549" spans="1:19" x14ac:dyDescent="0.35">
      <c r="A8549">
        <v>8343</v>
      </c>
      <c r="B8549" t="s">
        <v>551</v>
      </c>
      <c r="C8549" t="s">
        <v>42</v>
      </c>
      <c r="D8549" t="s">
        <v>38373</v>
      </c>
      <c r="E8549" t="e" cm="1">
        <f t="array" ref="E8549">- POVIDONE-IODINE</f>
        <v>#NAME?</v>
      </c>
      <c r="F8549" t="s">
        <v>38374</v>
      </c>
      <c r="H8549" t="s">
        <v>1322</v>
      </c>
      <c r="I8549" t="s">
        <v>38369</v>
      </c>
      <c r="J8549" t="s">
        <v>38375</v>
      </c>
      <c r="L8549" t="s">
        <v>8963</v>
      </c>
      <c r="M8549" t="s">
        <v>554</v>
      </c>
      <c r="N8549" t="s">
        <v>555</v>
      </c>
      <c r="O8549" t="s">
        <v>38370</v>
      </c>
      <c r="P8549" t="s">
        <v>38371</v>
      </c>
      <c r="Q8549" t="s">
        <v>38372</v>
      </c>
      <c r="R8549">
        <v>26</v>
      </c>
      <c r="S8549">
        <v>32</v>
      </c>
    </row>
    <row r="8550" spans="1:19" x14ac:dyDescent="0.35">
      <c r="A8550">
        <v>724</v>
      </c>
      <c r="B8550" t="s">
        <v>36558</v>
      </c>
      <c r="C8550" t="s">
        <v>20</v>
      </c>
      <c r="D8550" t="s">
        <v>38376</v>
      </c>
      <c r="E8550" t="s">
        <v>36560</v>
      </c>
      <c r="F8550" t="s">
        <v>38377</v>
      </c>
      <c r="I8550" t="s">
        <v>37942</v>
      </c>
      <c r="J8550" t="s">
        <v>3275</v>
      </c>
      <c r="M8550" t="s">
        <v>2115</v>
      </c>
      <c r="N8550" t="s">
        <v>36565</v>
      </c>
      <c r="O8550" t="s">
        <v>37945</v>
      </c>
      <c r="P8550" t="s">
        <v>36567</v>
      </c>
      <c r="Q8550" t="s">
        <v>37946</v>
      </c>
      <c r="R8550">
        <v>26</v>
      </c>
      <c r="S8550">
        <v>32</v>
      </c>
    </row>
    <row r="8551" spans="1:19" x14ac:dyDescent="0.35">
      <c r="A8551">
        <v>3487</v>
      </c>
      <c r="B8551" t="s">
        <v>37792</v>
      </c>
      <c r="C8551" t="s">
        <v>42</v>
      </c>
      <c r="D8551" t="s">
        <v>37793</v>
      </c>
      <c r="E8551" t="e" cm="1">
        <f t="array" ref="E8551">- METOCLOPRAMIDE HYDROCHLORIDE MONOHYDRATE</f>
        <v>#NAME?</v>
      </c>
      <c r="F8551" t="s">
        <v>37794</v>
      </c>
      <c r="G8551" t="s">
        <v>37795</v>
      </c>
      <c r="H8551" t="s">
        <v>37796</v>
      </c>
      <c r="I8551" t="s">
        <v>37797</v>
      </c>
      <c r="J8551" t="s">
        <v>5085</v>
      </c>
      <c r="K8551" t="s">
        <v>37798</v>
      </c>
      <c r="L8551" t="s">
        <v>37799</v>
      </c>
      <c r="M8551" t="s">
        <v>46</v>
      </c>
      <c r="N8551" t="s">
        <v>2774</v>
      </c>
      <c r="O8551" t="s">
        <v>37800</v>
      </c>
      <c r="P8551" t="s">
        <v>37801</v>
      </c>
      <c r="Q8551" t="s">
        <v>38378</v>
      </c>
      <c r="R8551">
        <v>26</v>
      </c>
      <c r="S8551">
        <v>32</v>
      </c>
    </row>
    <row r="8552" spans="1:19" x14ac:dyDescent="0.35">
      <c r="A8552">
        <v>725</v>
      </c>
      <c r="B8552" t="s">
        <v>36558</v>
      </c>
      <c r="C8552" t="s">
        <v>20</v>
      </c>
      <c r="D8552" t="s">
        <v>38376</v>
      </c>
      <c r="E8552" t="s">
        <v>36560</v>
      </c>
      <c r="F8552" t="s">
        <v>38377</v>
      </c>
      <c r="I8552" t="s">
        <v>37942</v>
      </c>
      <c r="J8552" t="s">
        <v>3275</v>
      </c>
      <c r="M8552" t="s">
        <v>2115</v>
      </c>
      <c r="N8552" t="s">
        <v>36565</v>
      </c>
      <c r="O8552" t="s">
        <v>37945</v>
      </c>
      <c r="P8552" t="s">
        <v>36567</v>
      </c>
      <c r="Q8552" t="s">
        <v>37946</v>
      </c>
      <c r="R8552">
        <v>26</v>
      </c>
      <c r="S8552">
        <v>32</v>
      </c>
    </row>
    <row r="8553" spans="1:19" x14ac:dyDescent="0.35">
      <c r="A8553">
        <v>5778</v>
      </c>
      <c r="B8553" t="s">
        <v>38379</v>
      </c>
      <c r="C8553" t="s">
        <v>42</v>
      </c>
      <c r="D8553" t="s">
        <v>38380</v>
      </c>
      <c r="E8553" t="e" cm="1">
        <f t="array" ref="E8553">- CEFIXIME TRIHYDRATE</f>
        <v>#NAME?</v>
      </c>
      <c r="F8553" t="s">
        <v>38381</v>
      </c>
      <c r="G8553" t="s">
        <v>37190</v>
      </c>
      <c r="H8553" t="s">
        <v>1019</v>
      </c>
      <c r="I8553" t="s">
        <v>37192</v>
      </c>
      <c r="J8553" t="s">
        <v>829</v>
      </c>
      <c r="K8553" t="s">
        <v>1020</v>
      </c>
      <c r="L8553" t="s">
        <v>1021</v>
      </c>
      <c r="M8553" t="s">
        <v>271</v>
      </c>
      <c r="N8553" t="s">
        <v>1790</v>
      </c>
      <c r="O8553" t="s">
        <v>37193</v>
      </c>
      <c r="P8553" t="s">
        <v>38233</v>
      </c>
      <c r="Q8553" t="s">
        <v>38382</v>
      </c>
      <c r="R8553">
        <v>26</v>
      </c>
      <c r="S8553">
        <v>32</v>
      </c>
    </row>
    <row r="8554" spans="1:19" x14ac:dyDescent="0.35">
      <c r="A8554">
        <v>7194</v>
      </c>
      <c r="B8554" t="s">
        <v>38341</v>
      </c>
      <c r="C8554" t="s">
        <v>850</v>
      </c>
      <c r="D8554" t="s">
        <v>38383</v>
      </c>
      <c r="E8554" t="e" cm="1">
        <f t="array" ref="E8554">- Hak Yau</f>
        <v>#NAME?</v>
      </c>
      <c r="F8554" t="s">
        <v>38384</v>
      </c>
      <c r="G8554" t="s">
        <v>38344</v>
      </c>
      <c r="H8554" t="s">
        <v>9172</v>
      </c>
      <c r="I8554" t="s">
        <v>38345</v>
      </c>
      <c r="J8554" t="s">
        <v>898</v>
      </c>
      <c r="M8554" t="s">
        <v>2115</v>
      </c>
      <c r="N8554" t="s">
        <v>38346</v>
      </c>
      <c r="O8554" t="s">
        <v>38347</v>
      </c>
      <c r="P8554" t="s">
        <v>38348</v>
      </c>
      <c r="Q8554" t="s">
        <v>38349</v>
      </c>
      <c r="R8554">
        <v>26</v>
      </c>
      <c r="S8554">
        <v>32</v>
      </c>
    </row>
    <row r="8555" spans="1:19" x14ac:dyDescent="0.35">
      <c r="A8555">
        <v>5777</v>
      </c>
      <c r="B8555" t="s">
        <v>38379</v>
      </c>
      <c r="C8555" t="s">
        <v>42</v>
      </c>
      <c r="D8555" t="s">
        <v>38380</v>
      </c>
      <c r="E8555" t="e" cm="1">
        <f t="array" ref="E8555">- CEFIXIME TRIHYDRATE</f>
        <v>#NAME?</v>
      </c>
      <c r="F8555" t="s">
        <v>38381</v>
      </c>
      <c r="G8555" t="s">
        <v>37190</v>
      </c>
      <c r="H8555" t="s">
        <v>1019</v>
      </c>
      <c r="I8555" t="s">
        <v>37192</v>
      </c>
      <c r="J8555" t="s">
        <v>829</v>
      </c>
      <c r="K8555" t="s">
        <v>1020</v>
      </c>
      <c r="L8555" t="s">
        <v>1021</v>
      </c>
      <c r="M8555" t="s">
        <v>271</v>
      </c>
      <c r="N8555" t="s">
        <v>1790</v>
      </c>
      <c r="O8555" t="s">
        <v>37193</v>
      </c>
      <c r="P8555" t="s">
        <v>38233</v>
      </c>
      <c r="Q8555" t="s">
        <v>38382</v>
      </c>
      <c r="R8555">
        <v>26</v>
      </c>
      <c r="S8555">
        <v>32</v>
      </c>
    </row>
    <row r="8556" spans="1:19" x14ac:dyDescent="0.35">
      <c r="A8556">
        <v>6098</v>
      </c>
      <c r="B8556" t="s">
        <v>38385</v>
      </c>
      <c r="C8556" t="s">
        <v>42</v>
      </c>
      <c r="D8556" t="s">
        <v>38386</v>
      </c>
      <c r="E8556" t="e" cm="1">
        <f t="array" ref="E8556">- CEFIXIME TRIHYDRATE</f>
        <v>#NAME?</v>
      </c>
      <c r="F8556" t="s">
        <v>38387</v>
      </c>
      <c r="G8556" t="s">
        <v>37190</v>
      </c>
      <c r="H8556" t="s">
        <v>1019</v>
      </c>
      <c r="I8556" t="s">
        <v>37192</v>
      </c>
      <c r="J8556" t="s">
        <v>829</v>
      </c>
      <c r="K8556" t="s">
        <v>1020</v>
      </c>
      <c r="L8556" t="s">
        <v>1021</v>
      </c>
      <c r="M8556" t="s">
        <v>271</v>
      </c>
      <c r="N8556" t="s">
        <v>1790</v>
      </c>
      <c r="O8556" t="s">
        <v>37193</v>
      </c>
      <c r="P8556" t="s">
        <v>38388</v>
      </c>
      <c r="Q8556" t="s">
        <v>38389</v>
      </c>
      <c r="R8556">
        <v>26</v>
      </c>
      <c r="S8556">
        <v>32</v>
      </c>
    </row>
    <row r="8557" spans="1:19" x14ac:dyDescent="0.35">
      <c r="A8557">
        <v>6099</v>
      </c>
      <c r="B8557" t="s">
        <v>38385</v>
      </c>
      <c r="C8557" t="s">
        <v>42</v>
      </c>
      <c r="D8557" t="s">
        <v>38386</v>
      </c>
      <c r="E8557" t="e" cm="1">
        <f t="array" ref="E8557">- CEFIXIME TRIHYDRATE</f>
        <v>#NAME?</v>
      </c>
      <c r="F8557" t="s">
        <v>38387</v>
      </c>
      <c r="G8557" t="s">
        <v>37190</v>
      </c>
      <c r="H8557" t="s">
        <v>1019</v>
      </c>
      <c r="I8557" t="s">
        <v>37192</v>
      </c>
      <c r="J8557" t="s">
        <v>829</v>
      </c>
      <c r="K8557" t="s">
        <v>1020</v>
      </c>
      <c r="L8557" t="s">
        <v>1021</v>
      </c>
      <c r="M8557" t="s">
        <v>271</v>
      </c>
      <c r="N8557" t="s">
        <v>1790</v>
      </c>
      <c r="O8557" t="s">
        <v>37193</v>
      </c>
      <c r="P8557" t="s">
        <v>38388</v>
      </c>
      <c r="Q8557" t="s">
        <v>38389</v>
      </c>
      <c r="R8557">
        <v>26</v>
      </c>
      <c r="S8557">
        <v>32</v>
      </c>
    </row>
    <row r="8558" spans="1:19" x14ac:dyDescent="0.35">
      <c r="A8558">
        <v>6406</v>
      </c>
      <c r="B8558" t="s">
        <v>38390</v>
      </c>
      <c r="C8558" t="s">
        <v>42</v>
      </c>
      <c r="D8558" t="s">
        <v>38391</v>
      </c>
      <c r="E8558" t="e" cm="1">
        <f t="array" ref="E8558">- CEFIXIME TRIHYDRATE</f>
        <v>#NAME?</v>
      </c>
      <c r="F8558" t="s">
        <v>38392</v>
      </c>
      <c r="G8558" t="s">
        <v>37190</v>
      </c>
      <c r="H8558" t="s">
        <v>37191</v>
      </c>
      <c r="I8558" t="s">
        <v>37192</v>
      </c>
      <c r="J8558" t="s">
        <v>14600</v>
      </c>
      <c r="K8558" t="s">
        <v>1020</v>
      </c>
      <c r="L8558" t="s">
        <v>1021</v>
      </c>
      <c r="M8558" t="s">
        <v>38</v>
      </c>
      <c r="N8558" t="s">
        <v>1790</v>
      </c>
      <c r="O8558" t="s">
        <v>37193</v>
      </c>
      <c r="P8558" t="s">
        <v>37981</v>
      </c>
      <c r="Q8558" t="s">
        <v>38334</v>
      </c>
      <c r="R8558">
        <v>26</v>
      </c>
      <c r="S8558">
        <v>32</v>
      </c>
    </row>
    <row r="8559" spans="1:19" x14ac:dyDescent="0.35">
      <c r="A8559">
        <v>6263</v>
      </c>
      <c r="B8559" t="s">
        <v>38393</v>
      </c>
      <c r="C8559" t="s">
        <v>42</v>
      </c>
      <c r="D8559" t="s">
        <v>38394</v>
      </c>
      <c r="E8559" t="e" cm="1">
        <f t="array" ref="E8559">- CEFIXIME TRIHYDRATE</f>
        <v>#NAME?</v>
      </c>
      <c r="F8559" t="s">
        <v>38395</v>
      </c>
      <c r="G8559" t="s">
        <v>37190</v>
      </c>
      <c r="H8559" t="s">
        <v>37191</v>
      </c>
      <c r="I8559" t="s">
        <v>37192</v>
      </c>
      <c r="J8559" t="s">
        <v>14600</v>
      </c>
      <c r="K8559" t="s">
        <v>1020</v>
      </c>
      <c r="L8559" t="s">
        <v>1021</v>
      </c>
      <c r="M8559" t="s">
        <v>38</v>
      </c>
      <c r="N8559" t="s">
        <v>1790</v>
      </c>
      <c r="O8559" t="s">
        <v>37193</v>
      </c>
      <c r="P8559" t="s">
        <v>38356</v>
      </c>
      <c r="Q8559" t="s">
        <v>38396</v>
      </c>
      <c r="R8559">
        <v>26</v>
      </c>
      <c r="S8559">
        <v>32</v>
      </c>
    </row>
    <row r="8560" spans="1:19" x14ac:dyDescent="0.35">
      <c r="A8560">
        <v>8358</v>
      </c>
      <c r="B8560" t="s">
        <v>551</v>
      </c>
      <c r="C8560" t="s">
        <v>42</v>
      </c>
      <c r="D8560" t="s">
        <v>38397</v>
      </c>
      <c r="E8560" t="e" cm="1">
        <f t="array" ref="E8560">- POVIDONE-IODINE</f>
        <v>#NAME?</v>
      </c>
      <c r="F8560" t="s">
        <v>38398</v>
      </c>
      <c r="G8560" t="s">
        <v>38399</v>
      </c>
      <c r="I8560" t="s">
        <v>38400</v>
      </c>
      <c r="J8560" t="s">
        <v>38401</v>
      </c>
      <c r="L8560" t="s">
        <v>38402</v>
      </c>
      <c r="M8560" t="s">
        <v>554</v>
      </c>
      <c r="N8560" t="s">
        <v>555</v>
      </c>
      <c r="O8560" t="s">
        <v>38403</v>
      </c>
      <c r="P8560" t="s">
        <v>38404</v>
      </c>
      <c r="Q8560" t="s">
        <v>38405</v>
      </c>
      <c r="R8560">
        <v>26</v>
      </c>
      <c r="S8560">
        <v>32</v>
      </c>
    </row>
    <row r="8561" spans="1:19" x14ac:dyDescent="0.35">
      <c r="A8561">
        <v>8359</v>
      </c>
      <c r="B8561" t="s">
        <v>551</v>
      </c>
      <c r="C8561" t="s">
        <v>42</v>
      </c>
      <c r="D8561" t="s">
        <v>38397</v>
      </c>
      <c r="E8561" t="e" cm="1">
        <f t="array" ref="E8561">- POVIDONE-IODINE</f>
        <v>#NAME?</v>
      </c>
      <c r="F8561" t="s">
        <v>38398</v>
      </c>
      <c r="G8561" t="s">
        <v>38399</v>
      </c>
      <c r="I8561" t="s">
        <v>38400</v>
      </c>
      <c r="J8561" t="s">
        <v>38401</v>
      </c>
      <c r="L8561" t="s">
        <v>38402</v>
      </c>
      <c r="M8561" t="s">
        <v>554</v>
      </c>
      <c r="N8561" t="s">
        <v>555</v>
      </c>
      <c r="O8561" t="s">
        <v>38403</v>
      </c>
      <c r="P8561" t="s">
        <v>38404</v>
      </c>
      <c r="Q8561" t="s">
        <v>38405</v>
      </c>
      <c r="R8561">
        <v>26</v>
      </c>
      <c r="S8561">
        <v>32</v>
      </c>
    </row>
    <row r="8562" spans="1:19" x14ac:dyDescent="0.35">
      <c r="A8562">
        <v>5776</v>
      </c>
      <c r="B8562" t="s">
        <v>38230</v>
      </c>
      <c r="C8562" t="s">
        <v>42</v>
      </c>
      <c r="D8562" t="s">
        <v>38231</v>
      </c>
      <c r="E8562" t="e" cm="1">
        <f t="array" ref="E8562">- CEFIXIME TRIHYDRATE</f>
        <v>#NAME?</v>
      </c>
      <c r="F8562" t="s">
        <v>38232</v>
      </c>
      <c r="G8562" t="s">
        <v>37190</v>
      </c>
      <c r="H8562" t="s">
        <v>37191</v>
      </c>
      <c r="I8562" t="s">
        <v>37192</v>
      </c>
      <c r="J8562" t="s">
        <v>14600</v>
      </c>
      <c r="K8562" t="s">
        <v>1020</v>
      </c>
      <c r="L8562" t="s">
        <v>1021</v>
      </c>
      <c r="M8562" t="s">
        <v>38</v>
      </c>
      <c r="N8562" t="s">
        <v>1790</v>
      </c>
      <c r="O8562" t="s">
        <v>37193</v>
      </c>
      <c r="P8562" t="s">
        <v>38233</v>
      </c>
      <c r="Q8562" t="s">
        <v>38234</v>
      </c>
      <c r="R8562">
        <v>26</v>
      </c>
      <c r="S8562">
        <v>32</v>
      </c>
    </row>
    <row r="8563" spans="1:19" x14ac:dyDescent="0.35">
      <c r="A8563">
        <v>8362</v>
      </c>
      <c r="B8563" t="s">
        <v>551</v>
      </c>
      <c r="C8563" t="s">
        <v>42</v>
      </c>
      <c r="D8563" t="s">
        <v>38406</v>
      </c>
      <c r="E8563" t="e" cm="1">
        <f t="array" ref="E8563">- POVIDONE-IODINE</f>
        <v>#NAME?</v>
      </c>
      <c r="F8563" s="1">
        <v>1109100</v>
      </c>
      <c r="H8563" t="s">
        <v>1322</v>
      </c>
      <c r="I8563" t="s">
        <v>38407</v>
      </c>
      <c r="J8563" t="s">
        <v>15260</v>
      </c>
      <c r="M8563" t="s">
        <v>554</v>
      </c>
      <c r="N8563" t="s">
        <v>555</v>
      </c>
      <c r="O8563" t="s">
        <v>38408</v>
      </c>
      <c r="P8563" t="s">
        <v>38409</v>
      </c>
      <c r="Q8563" t="s">
        <v>38410</v>
      </c>
      <c r="R8563">
        <v>26</v>
      </c>
      <c r="S8563">
        <v>32</v>
      </c>
    </row>
    <row r="8564" spans="1:19" x14ac:dyDescent="0.35">
      <c r="A8564">
        <v>8363</v>
      </c>
      <c r="B8564" t="s">
        <v>551</v>
      </c>
      <c r="C8564" t="s">
        <v>42</v>
      </c>
      <c r="D8564" t="s">
        <v>38406</v>
      </c>
      <c r="E8564" t="e" cm="1">
        <f t="array" ref="E8564">- POVIDONE-IODINE</f>
        <v>#NAME?</v>
      </c>
      <c r="F8564" s="1">
        <v>1109100</v>
      </c>
      <c r="H8564" t="s">
        <v>1322</v>
      </c>
      <c r="I8564" t="s">
        <v>38407</v>
      </c>
      <c r="J8564" t="s">
        <v>15260</v>
      </c>
      <c r="M8564" t="s">
        <v>554</v>
      </c>
      <c r="N8564" t="s">
        <v>555</v>
      </c>
      <c r="O8564" t="s">
        <v>38408</v>
      </c>
      <c r="P8564" t="s">
        <v>38409</v>
      </c>
      <c r="Q8564" t="s">
        <v>38410</v>
      </c>
      <c r="R8564">
        <v>26</v>
      </c>
      <c r="S8564">
        <v>32</v>
      </c>
    </row>
    <row r="8565" spans="1:19" x14ac:dyDescent="0.35">
      <c r="A8565">
        <v>7193</v>
      </c>
      <c r="B8565" t="s">
        <v>38341</v>
      </c>
      <c r="C8565" t="s">
        <v>850</v>
      </c>
      <c r="D8565" t="s">
        <v>38411</v>
      </c>
      <c r="E8565" t="e" cm="1">
        <f t="array" ref="E8565">- Hak Yau</f>
        <v>#NAME?</v>
      </c>
      <c r="F8565" t="s">
        <v>38412</v>
      </c>
      <c r="G8565" t="s">
        <v>38344</v>
      </c>
      <c r="H8565" t="s">
        <v>9172</v>
      </c>
      <c r="I8565" t="s">
        <v>38345</v>
      </c>
      <c r="J8565" t="s">
        <v>38413</v>
      </c>
      <c r="L8565" t="s">
        <v>35269</v>
      </c>
      <c r="M8565" t="s">
        <v>2115</v>
      </c>
      <c r="N8565" t="s">
        <v>38346</v>
      </c>
      <c r="O8565" t="s">
        <v>38347</v>
      </c>
      <c r="P8565" t="s">
        <v>38348</v>
      </c>
      <c r="Q8565" t="s">
        <v>38349</v>
      </c>
      <c r="R8565">
        <v>26</v>
      </c>
      <c r="S8565">
        <v>32</v>
      </c>
    </row>
    <row r="8566" spans="1:19" x14ac:dyDescent="0.35">
      <c r="A8566">
        <v>6264</v>
      </c>
      <c r="B8566" t="s">
        <v>38414</v>
      </c>
      <c r="C8566" t="s">
        <v>42</v>
      </c>
      <c r="D8566" t="s">
        <v>38415</v>
      </c>
      <c r="E8566" t="e" cm="1">
        <f t="array" ref="E8566">- CEFIXIME TRIHYDRATE</f>
        <v>#NAME?</v>
      </c>
      <c r="F8566" t="s">
        <v>38416</v>
      </c>
      <c r="G8566" t="s">
        <v>37190</v>
      </c>
      <c r="H8566" t="s">
        <v>37191</v>
      </c>
      <c r="I8566" t="s">
        <v>37192</v>
      </c>
      <c r="J8566" t="s">
        <v>1923</v>
      </c>
      <c r="K8566" t="s">
        <v>1020</v>
      </c>
      <c r="L8566" t="s">
        <v>1021</v>
      </c>
      <c r="M8566" t="s">
        <v>291</v>
      </c>
      <c r="N8566" t="s">
        <v>1790</v>
      </c>
      <c r="O8566" t="s">
        <v>37193</v>
      </c>
      <c r="P8566" t="s">
        <v>38356</v>
      </c>
      <c r="Q8566" t="s">
        <v>38417</v>
      </c>
      <c r="R8566">
        <v>26</v>
      </c>
      <c r="S8566">
        <v>32</v>
      </c>
    </row>
    <row r="8567" spans="1:19" x14ac:dyDescent="0.35">
      <c r="A8567">
        <v>6100</v>
      </c>
      <c r="B8567" t="s">
        <v>38418</v>
      </c>
      <c r="C8567" t="s">
        <v>42</v>
      </c>
      <c r="D8567" t="s">
        <v>38419</v>
      </c>
      <c r="E8567" t="e" cm="1">
        <f t="array" ref="E8567">- CEFIXIME TRIHYDRATE</f>
        <v>#NAME?</v>
      </c>
      <c r="F8567" t="s">
        <v>38420</v>
      </c>
      <c r="G8567" t="s">
        <v>37190</v>
      </c>
      <c r="H8567" t="s">
        <v>37191</v>
      </c>
      <c r="I8567" t="s">
        <v>37192</v>
      </c>
      <c r="J8567" t="s">
        <v>27449</v>
      </c>
      <c r="K8567" t="s">
        <v>1020</v>
      </c>
      <c r="L8567" t="s">
        <v>1021</v>
      </c>
      <c r="M8567" t="s">
        <v>291</v>
      </c>
      <c r="N8567" t="s">
        <v>1790</v>
      </c>
      <c r="O8567" t="s">
        <v>37193</v>
      </c>
      <c r="P8567" t="s">
        <v>38388</v>
      </c>
      <c r="Q8567" t="s">
        <v>38421</v>
      </c>
      <c r="R8567">
        <v>26</v>
      </c>
      <c r="S8567">
        <v>32</v>
      </c>
    </row>
    <row r="8568" spans="1:19" x14ac:dyDescent="0.35">
      <c r="A8568">
        <v>6182</v>
      </c>
      <c r="B8568" t="s">
        <v>38268</v>
      </c>
      <c r="C8568" t="s">
        <v>42</v>
      </c>
      <c r="D8568" t="s">
        <v>38269</v>
      </c>
      <c r="E8568" t="e" cm="1">
        <f t="array" ref="E8568">- CEFIXIME TRIHYDRATE</f>
        <v>#NAME?</v>
      </c>
      <c r="F8568" t="s">
        <v>38270</v>
      </c>
      <c r="G8568" t="s">
        <v>37190</v>
      </c>
      <c r="H8568" t="s">
        <v>1019</v>
      </c>
      <c r="I8568" t="s">
        <v>37192</v>
      </c>
      <c r="J8568" t="s">
        <v>829</v>
      </c>
      <c r="K8568" t="s">
        <v>1020</v>
      </c>
      <c r="L8568" t="s">
        <v>1021</v>
      </c>
      <c r="M8568" t="s">
        <v>271</v>
      </c>
      <c r="N8568" t="s">
        <v>1790</v>
      </c>
      <c r="O8568" t="s">
        <v>37193</v>
      </c>
      <c r="P8568" t="s">
        <v>38271</v>
      </c>
      <c r="Q8568" t="s">
        <v>38272</v>
      </c>
      <c r="R8568">
        <v>26</v>
      </c>
      <c r="S8568">
        <v>32</v>
      </c>
    </row>
    <row r="8569" spans="1:19" x14ac:dyDescent="0.35">
      <c r="A8569">
        <v>6101</v>
      </c>
      <c r="B8569" t="s">
        <v>38418</v>
      </c>
      <c r="C8569" t="s">
        <v>42</v>
      </c>
      <c r="D8569" t="s">
        <v>38419</v>
      </c>
      <c r="E8569" t="e" cm="1">
        <f t="array" ref="E8569">- CEFIXIME TRIHYDRATE</f>
        <v>#NAME?</v>
      </c>
      <c r="F8569" t="s">
        <v>38420</v>
      </c>
      <c r="G8569" t="s">
        <v>37190</v>
      </c>
      <c r="H8569" t="s">
        <v>37191</v>
      </c>
      <c r="I8569" t="s">
        <v>37192</v>
      </c>
      <c r="J8569" t="s">
        <v>27449</v>
      </c>
      <c r="K8569" t="s">
        <v>1020</v>
      </c>
      <c r="L8569" t="s">
        <v>1021</v>
      </c>
      <c r="M8569" t="s">
        <v>291</v>
      </c>
      <c r="N8569" t="s">
        <v>1790</v>
      </c>
      <c r="O8569" t="s">
        <v>37193</v>
      </c>
      <c r="P8569" t="s">
        <v>38388</v>
      </c>
      <c r="Q8569" t="s">
        <v>38421</v>
      </c>
      <c r="R8569">
        <v>26</v>
      </c>
      <c r="S8569">
        <v>32</v>
      </c>
    </row>
    <row r="8570" spans="1:19" x14ac:dyDescent="0.35">
      <c r="A8570">
        <v>7199</v>
      </c>
      <c r="B8570" t="s">
        <v>38422</v>
      </c>
      <c r="C8570" t="s">
        <v>850</v>
      </c>
      <c r="D8570" t="s">
        <v>38423</v>
      </c>
      <c r="E8570" t="e" cm="1">
        <f t="array" ref="E8570">- Cajuputi Oil</f>
        <v>#NAME?</v>
      </c>
      <c r="F8570" t="s">
        <v>38424</v>
      </c>
      <c r="G8570" t="s">
        <v>38425</v>
      </c>
      <c r="I8570" t="s">
        <v>38426</v>
      </c>
      <c r="J8570" t="s">
        <v>38427</v>
      </c>
      <c r="M8570" t="s">
        <v>2115</v>
      </c>
      <c r="N8570" t="s">
        <v>38428</v>
      </c>
      <c r="O8570" t="s">
        <v>38429</v>
      </c>
      <c r="P8570" t="s">
        <v>38430</v>
      </c>
      <c r="Q8570" t="s">
        <v>38431</v>
      </c>
      <c r="R8570">
        <v>26</v>
      </c>
      <c r="S8570">
        <v>32</v>
      </c>
    </row>
    <row r="8571" spans="1:19" x14ac:dyDescent="0.35">
      <c r="A8571">
        <v>5775</v>
      </c>
      <c r="B8571" t="s">
        <v>38230</v>
      </c>
      <c r="C8571" t="s">
        <v>42</v>
      </c>
      <c r="D8571" t="s">
        <v>38231</v>
      </c>
      <c r="E8571" t="e" cm="1">
        <f t="array" ref="E8571">- CEFIXIME TRIHYDRATE</f>
        <v>#NAME?</v>
      </c>
      <c r="F8571" t="s">
        <v>38232</v>
      </c>
      <c r="G8571" t="s">
        <v>37190</v>
      </c>
      <c r="H8571" t="s">
        <v>37191</v>
      </c>
      <c r="I8571" t="s">
        <v>37192</v>
      </c>
      <c r="J8571" t="s">
        <v>14600</v>
      </c>
      <c r="K8571" t="s">
        <v>1020</v>
      </c>
      <c r="L8571" t="s">
        <v>1021</v>
      </c>
      <c r="M8571" t="s">
        <v>38</v>
      </c>
      <c r="N8571" t="s">
        <v>1790</v>
      </c>
      <c r="O8571" t="s">
        <v>37193</v>
      </c>
      <c r="P8571" t="s">
        <v>38233</v>
      </c>
      <c r="Q8571" t="s">
        <v>38234</v>
      </c>
      <c r="R8571">
        <v>26</v>
      </c>
      <c r="S8571">
        <v>32</v>
      </c>
    </row>
    <row r="8572" spans="1:19" x14ac:dyDescent="0.35">
      <c r="A8572">
        <v>6102</v>
      </c>
      <c r="B8572" t="s">
        <v>38418</v>
      </c>
      <c r="C8572" t="s">
        <v>42</v>
      </c>
      <c r="D8572" t="s">
        <v>38419</v>
      </c>
      <c r="E8572" t="e" cm="1">
        <f t="array" ref="E8572">- CEFIXIME TRIHYDRATE</f>
        <v>#NAME?</v>
      </c>
      <c r="F8572" t="s">
        <v>38420</v>
      </c>
      <c r="G8572" t="s">
        <v>37190</v>
      </c>
      <c r="H8572" t="s">
        <v>37191</v>
      </c>
      <c r="I8572" t="s">
        <v>37192</v>
      </c>
      <c r="J8572" t="s">
        <v>27449</v>
      </c>
      <c r="K8572" t="s">
        <v>1020</v>
      </c>
      <c r="L8572" t="s">
        <v>1021</v>
      </c>
      <c r="M8572" t="s">
        <v>291</v>
      </c>
      <c r="N8572" t="s">
        <v>1790</v>
      </c>
      <c r="O8572" t="s">
        <v>37193</v>
      </c>
      <c r="P8572" t="s">
        <v>38388</v>
      </c>
      <c r="Q8572" t="s">
        <v>38421</v>
      </c>
      <c r="R8572">
        <v>26</v>
      </c>
      <c r="S8572">
        <v>32</v>
      </c>
    </row>
    <row r="8573" spans="1:19" x14ac:dyDescent="0.35">
      <c r="A8573">
        <v>7372</v>
      </c>
      <c r="B8573" t="s">
        <v>38432</v>
      </c>
      <c r="C8573" t="s">
        <v>42</v>
      </c>
      <c r="D8573" t="s">
        <v>38433</v>
      </c>
      <c r="E8573" t="e" cm="1">
        <f t="array" ref="E8573">- PHENOL</f>
        <v>#NAME?</v>
      </c>
      <c r="F8573" t="s">
        <v>38434</v>
      </c>
      <c r="G8573" t="s">
        <v>38435</v>
      </c>
      <c r="H8573" t="s">
        <v>38436</v>
      </c>
      <c r="I8573" t="s">
        <v>38437</v>
      </c>
      <c r="J8573" t="s">
        <v>38438</v>
      </c>
      <c r="L8573" t="s">
        <v>28038</v>
      </c>
      <c r="M8573" t="s">
        <v>554</v>
      </c>
      <c r="N8573" t="s">
        <v>28039</v>
      </c>
      <c r="O8573" t="s">
        <v>38439</v>
      </c>
      <c r="P8573" t="s">
        <v>38440</v>
      </c>
      <c r="Q8573" t="s">
        <v>38441</v>
      </c>
      <c r="R8573">
        <v>26</v>
      </c>
      <c r="S8573">
        <v>32</v>
      </c>
    </row>
    <row r="8574" spans="1:19" x14ac:dyDescent="0.35">
      <c r="A8574">
        <v>5761</v>
      </c>
      <c r="B8574" t="s">
        <v>38309</v>
      </c>
      <c r="C8574" t="s">
        <v>42</v>
      </c>
      <c r="D8574" t="s">
        <v>38310</v>
      </c>
      <c r="E8574" t="e" cm="1">
        <f t="array" ref="E8574">- CEFIXIME TRIHYDRATE</f>
        <v>#NAME?</v>
      </c>
      <c r="F8574" t="s">
        <v>38311</v>
      </c>
      <c r="G8574" t="s">
        <v>37190</v>
      </c>
      <c r="H8574" t="s">
        <v>37191</v>
      </c>
      <c r="I8574" t="s">
        <v>37192</v>
      </c>
      <c r="J8574" t="s">
        <v>3701</v>
      </c>
      <c r="K8574" t="s">
        <v>1020</v>
      </c>
      <c r="L8574" t="s">
        <v>1021</v>
      </c>
      <c r="M8574" t="s">
        <v>291</v>
      </c>
      <c r="N8574" t="s">
        <v>1790</v>
      </c>
      <c r="O8574" t="s">
        <v>37193</v>
      </c>
      <c r="P8574" t="s">
        <v>37934</v>
      </c>
      <c r="Q8574" t="s">
        <v>38312</v>
      </c>
      <c r="R8574">
        <v>26</v>
      </c>
      <c r="S8574">
        <v>32</v>
      </c>
    </row>
    <row r="8575" spans="1:19" x14ac:dyDescent="0.35">
      <c r="A8575">
        <v>5808</v>
      </c>
      <c r="B8575" t="s">
        <v>38442</v>
      </c>
      <c r="C8575" t="s">
        <v>42</v>
      </c>
      <c r="D8575" t="s">
        <v>38443</v>
      </c>
      <c r="E8575" t="e" cm="1">
        <f t="array" ref="E8575">- CEFIXIME TRIHYDRATE</f>
        <v>#NAME?</v>
      </c>
      <c r="F8575" t="s">
        <v>38444</v>
      </c>
      <c r="G8575" t="s">
        <v>37190</v>
      </c>
      <c r="H8575" t="s">
        <v>37191</v>
      </c>
      <c r="I8575" t="s">
        <v>37192</v>
      </c>
      <c r="J8575" t="s">
        <v>38445</v>
      </c>
      <c r="K8575" t="s">
        <v>1020</v>
      </c>
      <c r="L8575" t="s">
        <v>1021</v>
      </c>
      <c r="M8575" t="s">
        <v>291</v>
      </c>
      <c r="N8575" t="s">
        <v>1790</v>
      </c>
      <c r="O8575" t="s">
        <v>37193</v>
      </c>
      <c r="P8575" t="s">
        <v>37981</v>
      </c>
      <c r="Q8575" t="s">
        <v>38446</v>
      </c>
      <c r="R8575">
        <v>26</v>
      </c>
      <c r="S8575">
        <v>32</v>
      </c>
    </row>
    <row r="8576" spans="1:19" x14ac:dyDescent="0.35">
      <c r="A8576">
        <v>3352</v>
      </c>
      <c r="B8576" t="s">
        <v>38447</v>
      </c>
      <c r="C8576" t="s">
        <v>42</v>
      </c>
      <c r="D8576" t="s">
        <v>38448</v>
      </c>
      <c r="E8576" t="e" cm="1">
        <f t="array" ref="E8576">- OMEPRAZOLE</f>
        <v>#NAME?</v>
      </c>
      <c r="F8576" t="s">
        <v>38449</v>
      </c>
      <c r="G8576" t="s">
        <v>18116</v>
      </c>
      <c r="H8576" t="s">
        <v>2724</v>
      </c>
      <c r="I8576" t="s">
        <v>38450</v>
      </c>
      <c r="J8576" t="s">
        <v>1181</v>
      </c>
      <c r="K8576" t="s">
        <v>38451</v>
      </c>
      <c r="L8576" t="s">
        <v>38452</v>
      </c>
      <c r="M8576" t="s">
        <v>38</v>
      </c>
      <c r="N8576" t="s">
        <v>14738</v>
      </c>
      <c r="O8576" t="s">
        <v>38453</v>
      </c>
      <c r="P8576" t="s">
        <v>38454</v>
      </c>
      <c r="Q8576" t="s">
        <v>38455</v>
      </c>
      <c r="R8576">
        <v>26</v>
      </c>
      <c r="S8576">
        <v>32</v>
      </c>
    </row>
    <row r="8577" spans="1:19" x14ac:dyDescent="0.35">
      <c r="A8577">
        <v>7760</v>
      </c>
      <c r="B8577" t="s">
        <v>37658</v>
      </c>
      <c r="C8577" t="s">
        <v>20</v>
      </c>
      <c r="D8577" t="s">
        <v>38456</v>
      </c>
      <c r="E8577" t="s">
        <v>37660</v>
      </c>
      <c r="F8577" t="s">
        <v>38457</v>
      </c>
      <c r="G8577" t="s">
        <v>37662</v>
      </c>
      <c r="H8577" t="s">
        <v>38458</v>
      </c>
      <c r="I8577" t="s">
        <v>37664</v>
      </c>
      <c r="J8577" t="s">
        <v>38459</v>
      </c>
      <c r="L8577" t="s">
        <v>37666</v>
      </c>
      <c r="M8577" t="s">
        <v>2374</v>
      </c>
      <c r="N8577" t="s">
        <v>37667</v>
      </c>
      <c r="O8577" t="s">
        <v>37668</v>
      </c>
      <c r="P8577" t="s">
        <v>38460</v>
      </c>
      <c r="Q8577" t="s">
        <v>38461</v>
      </c>
      <c r="R8577">
        <v>26</v>
      </c>
      <c r="S8577">
        <v>32</v>
      </c>
    </row>
    <row r="8578" spans="1:19" x14ac:dyDescent="0.35">
      <c r="A8578">
        <v>5751</v>
      </c>
      <c r="B8578" t="s">
        <v>38462</v>
      </c>
      <c r="C8578" t="s">
        <v>42</v>
      </c>
      <c r="D8578" t="s">
        <v>38463</v>
      </c>
      <c r="E8578" t="e" cm="1">
        <f t="array" ref="E8578">- CEFIXIME TRIHYDRATE</f>
        <v>#NAME?</v>
      </c>
      <c r="F8578" s="1">
        <v>42300</v>
      </c>
      <c r="G8578" t="s">
        <v>37190</v>
      </c>
      <c r="H8578" t="s">
        <v>37191</v>
      </c>
      <c r="I8578" t="s">
        <v>37192</v>
      </c>
      <c r="J8578" t="s">
        <v>4547</v>
      </c>
      <c r="K8578" t="s">
        <v>1020</v>
      </c>
      <c r="L8578" t="s">
        <v>1021</v>
      </c>
      <c r="M8578" t="s">
        <v>38</v>
      </c>
      <c r="N8578" t="s">
        <v>1790</v>
      </c>
      <c r="O8578" t="s">
        <v>37193</v>
      </c>
      <c r="P8578" t="s">
        <v>38049</v>
      </c>
      <c r="Q8578" t="s">
        <v>38050</v>
      </c>
      <c r="R8578">
        <v>26</v>
      </c>
      <c r="S8578">
        <v>32</v>
      </c>
    </row>
    <row r="8579" spans="1:19" x14ac:dyDescent="0.35">
      <c r="A8579">
        <v>6321</v>
      </c>
      <c r="B8579" t="s">
        <v>38464</v>
      </c>
      <c r="C8579" t="s">
        <v>42</v>
      </c>
      <c r="D8579" t="s">
        <v>38465</v>
      </c>
      <c r="E8579" t="e" cm="1">
        <f t="array" ref="E8579">- CEFIXIME TRIHYDRATE</f>
        <v>#NAME?</v>
      </c>
      <c r="F8579" s="1">
        <v>96300</v>
      </c>
      <c r="G8579" t="s">
        <v>37190</v>
      </c>
      <c r="H8579" t="s">
        <v>1019</v>
      </c>
      <c r="I8579" t="s">
        <v>38466</v>
      </c>
      <c r="J8579" t="s">
        <v>3275</v>
      </c>
      <c r="K8579" t="s">
        <v>1020</v>
      </c>
      <c r="L8579" t="s">
        <v>1021</v>
      </c>
      <c r="M8579" t="s">
        <v>271</v>
      </c>
      <c r="N8579" t="s">
        <v>1790</v>
      </c>
      <c r="O8579" t="s">
        <v>37193</v>
      </c>
      <c r="P8579" t="s">
        <v>38467</v>
      </c>
      <c r="Q8579" t="s">
        <v>38468</v>
      </c>
      <c r="R8579">
        <v>26</v>
      </c>
      <c r="S8579">
        <v>32</v>
      </c>
    </row>
    <row r="8580" spans="1:19" x14ac:dyDescent="0.35">
      <c r="A8580">
        <v>5618</v>
      </c>
      <c r="B8580" t="s">
        <v>38469</v>
      </c>
      <c r="C8580" t="s">
        <v>42</v>
      </c>
      <c r="D8580" t="s">
        <v>38470</v>
      </c>
      <c r="E8580" t="e" cm="1">
        <f t="array" ref="E8580">- CEFIXIME TRIHYDRATE</f>
        <v>#NAME?</v>
      </c>
      <c r="F8580" t="s">
        <v>38471</v>
      </c>
      <c r="G8580" t="s">
        <v>37190</v>
      </c>
      <c r="H8580" t="s">
        <v>1019</v>
      </c>
      <c r="I8580" t="s">
        <v>37192</v>
      </c>
      <c r="J8580" t="s">
        <v>3275</v>
      </c>
      <c r="K8580" t="s">
        <v>1020</v>
      </c>
      <c r="L8580" t="s">
        <v>1021</v>
      </c>
      <c r="M8580" t="s">
        <v>271</v>
      </c>
      <c r="N8580" t="s">
        <v>1790</v>
      </c>
      <c r="O8580" t="s">
        <v>37193</v>
      </c>
      <c r="P8580" t="s">
        <v>1022</v>
      </c>
      <c r="Q8580" t="s">
        <v>38472</v>
      </c>
      <c r="R8580">
        <v>26</v>
      </c>
      <c r="S8580">
        <v>32</v>
      </c>
    </row>
    <row r="8581" spans="1:19" x14ac:dyDescent="0.35">
      <c r="A8581">
        <v>5617</v>
      </c>
      <c r="B8581" t="s">
        <v>38469</v>
      </c>
      <c r="C8581" t="s">
        <v>42</v>
      </c>
      <c r="D8581" t="s">
        <v>38470</v>
      </c>
      <c r="E8581" t="e" cm="1">
        <f t="array" ref="E8581">- CEFIXIME TRIHYDRATE</f>
        <v>#NAME?</v>
      </c>
      <c r="F8581" t="s">
        <v>38471</v>
      </c>
      <c r="G8581" t="s">
        <v>37190</v>
      </c>
      <c r="H8581" t="s">
        <v>1019</v>
      </c>
      <c r="I8581" t="s">
        <v>37192</v>
      </c>
      <c r="J8581" t="s">
        <v>3275</v>
      </c>
      <c r="K8581" t="s">
        <v>1020</v>
      </c>
      <c r="L8581" t="s">
        <v>1021</v>
      </c>
      <c r="M8581" t="s">
        <v>271</v>
      </c>
      <c r="N8581" t="s">
        <v>1790</v>
      </c>
      <c r="O8581" t="s">
        <v>37193</v>
      </c>
      <c r="P8581" t="s">
        <v>1022</v>
      </c>
      <c r="Q8581" t="s">
        <v>38472</v>
      </c>
      <c r="R8581">
        <v>26</v>
      </c>
      <c r="S8581">
        <v>32</v>
      </c>
    </row>
    <row r="8582" spans="1:19" x14ac:dyDescent="0.35">
      <c r="A8582">
        <v>5835</v>
      </c>
      <c r="B8582" t="s">
        <v>38473</v>
      </c>
      <c r="C8582" t="s">
        <v>42</v>
      </c>
      <c r="D8582" t="s">
        <v>38474</v>
      </c>
      <c r="E8582" t="e" cm="1">
        <f t="array" ref="E8582">- CLINDAMYCIN HYDROCHLORIDE</f>
        <v>#NAME?</v>
      </c>
      <c r="F8582" s="1">
        <v>92900</v>
      </c>
      <c r="G8582" t="s">
        <v>38475</v>
      </c>
      <c r="H8582" t="s">
        <v>38476</v>
      </c>
      <c r="I8582" t="s">
        <v>38477</v>
      </c>
      <c r="J8582" t="s">
        <v>14600</v>
      </c>
      <c r="K8582" t="s">
        <v>38478</v>
      </c>
      <c r="L8582" t="s">
        <v>38479</v>
      </c>
      <c r="M8582" t="s">
        <v>38</v>
      </c>
      <c r="N8582" t="s">
        <v>23622</v>
      </c>
      <c r="O8582" t="s">
        <v>38480</v>
      </c>
      <c r="P8582" t="s">
        <v>36573</v>
      </c>
      <c r="Q8582" t="s">
        <v>38481</v>
      </c>
      <c r="R8582">
        <v>26</v>
      </c>
      <c r="S8582">
        <v>32</v>
      </c>
    </row>
    <row r="8583" spans="1:19" x14ac:dyDescent="0.35">
      <c r="A8583">
        <v>7437</v>
      </c>
      <c r="B8583" t="s">
        <v>38482</v>
      </c>
      <c r="C8583" t="s">
        <v>42</v>
      </c>
      <c r="D8583" t="s">
        <v>38483</v>
      </c>
      <c r="E8583" t="e" cm="1">
        <f t="array" ref="E8583">- CHOLECALCIFEROL</f>
        <v>#NAME?</v>
      </c>
      <c r="F8583" t="s">
        <v>24839</v>
      </c>
      <c r="G8583" t="s">
        <v>2241</v>
      </c>
      <c r="H8583" t="s">
        <v>38484</v>
      </c>
      <c r="I8583" t="s">
        <v>38485</v>
      </c>
      <c r="J8583" t="s">
        <v>38486</v>
      </c>
      <c r="K8583" t="s">
        <v>38487</v>
      </c>
      <c r="L8583" t="s">
        <v>18626</v>
      </c>
      <c r="M8583" t="s">
        <v>38</v>
      </c>
      <c r="N8583" t="s">
        <v>18627</v>
      </c>
      <c r="O8583" t="s">
        <v>38488</v>
      </c>
      <c r="P8583" t="s">
        <v>38489</v>
      </c>
      <c r="Q8583" t="s">
        <v>38490</v>
      </c>
      <c r="R8583">
        <v>26</v>
      </c>
      <c r="S8583">
        <v>32</v>
      </c>
    </row>
    <row r="8584" spans="1:19" x14ac:dyDescent="0.35">
      <c r="A8584">
        <v>4584</v>
      </c>
      <c r="B8584" t="s">
        <v>38491</v>
      </c>
      <c r="C8584" t="s">
        <v>42</v>
      </c>
      <c r="D8584" t="s">
        <v>38492</v>
      </c>
      <c r="E8584" t="e" cm="1">
        <f t="array" ref="E8584">- FLUOROMETHOLONE</f>
        <v>#NAME?</v>
      </c>
      <c r="F8584" t="s">
        <v>38493</v>
      </c>
      <c r="G8584" t="s">
        <v>7569</v>
      </c>
      <c r="H8584" t="s">
        <v>38494</v>
      </c>
      <c r="I8584" t="s">
        <v>38495</v>
      </c>
      <c r="J8584" t="s">
        <v>26440</v>
      </c>
      <c r="K8584" t="s">
        <v>38496</v>
      </c>
      <c r="L8584" t="s">
        <v>38497</v>
      </c>
      <c r="M8584" t="s">
        <v>824</v>
      </c>
      <c r="N8584" t="s">
        <v>8774</v>
      </c>
      <c r="O8584" t="s">
        <v>38498</v>
      </c>
      <c r="P8584" t="s">
        <v>38499</v>
      </c>
      <c r="Q8584" t="s">
        <v>38500</v>
      </c>
      <c r="R8584">
        <v>26</v>
      </c>
      <c r="S8584">
        <v>32</v>
      </c>
    </row>
    <row r="8585" spans="1:19" x14ac:dyDescent="0.35">
      <c r="A8585">
        <v>1782</v>
      </c>
      <c r="B8585" t="s">
        <v>38501</v>
      </c>
      <c r="C8585" t="s">
        <v>20</v>
      </c>
      <c r="D8585" t="s">
        <v>38502</v>
      </c>
      <c r="E8585" t="s">
        <v>38503</v>
      </c>
      <c r="F8585" t="s">
        <v>38504</v>
      </c>
      <c r="G8585" t="s">
        <v>27012</v>
      </c>
      <c r="H8585" t="s">
        <v>13586</v>
      </c>
      <c r="I8585" t="s">
        <v>38505</v>
      </c>
      <c r="J8585" t="s">
        <v>829</v>
      </c>
      <c r="K8585" t="s">
        <v>2858</v>
      </c>
      <c r="L8585" t="s">
        <v>27014</v>
      </c>
      <c r="M8585" t="s">
        <v>2115</v>
      </c>
      <c r="N8585" t="s">
        <v>38506</v>
      </c>
      <c r="O8585" t="s">
        <v>38507</v>
      </c>
      <c r="P8585" t="s">
        <v>36111</v>
      </c>
      <c r="Q8585" t="s">
        <v>38508</v>
      </c>
      <c r="R8585">
        <v>26</v>
      </c>
      <c r="S8585">
        <v>32</v>
      </c>
    </row>
    <row r="8586" spans="1:19" x14ac:dyDescent="0.35">
      <c r="A8586">
        <v>3238</v>
      </c>
      <c r="B8586" t="s">
        <v>34556</v>
      </c>
      <c r="C8586" t="s">
        <v>42</v>
      </c>
      <c r="D8586" t="s">
        <v>34557</v>
      </c>
      <c r="E8586" t="e" cm="1">
        <f t="array" ref="E8586">- DRIED ALUMINIUM HYDROXIDE GEL. MAGNESIUM HYDROXIDE. SIMETHICONE</f>
        <v>#NAME?</v>
      </c>
      <c r="F8586" t="s">
        <v>34558</v>
      </c>
      <c r="G8586" t="s">
        <v>737</v>
      </c>
      <c r="H8586" t="s">
        <v>34559</v>
      </c>
      <c r="I8586" t="s">
        <v>34560</v>
      </c>
      <c r="J8586" t="s">
        <v>21307</v>
      </c>
      <c r="L8586" t="s">
        <v>34561</v>
      </c>
      <c r="M8586" t="s">
        <v>340</v>
      </c>
      <c r="N8586" t="s">
        <v>14839</v>
      </c>
      <c r="O8586" t="s">
        <v>34562</v>
      </c>
      <c r="P8586" t="s">
        <v>34563</v>
      </c>
      <c r="Q8586" t="s">
        <v>38509</v>
      </c>
      <c r="R8586">
        <v>26</v>
      </c>
      <c r="S8586">
        <v>32</v>
      </c>
    </row>
    <row r="8587" spans="1:19" x14ac:dyDescent="0.35">
      <c r="A8587">
        <v>4583</v>
      </c>
      <c r="B8587" t="s">
        <v>38491</v>
      </c>
      <c r="C8587" t="s">
        <v>42</v>
      </c>
      <c r="D8587" t="s">
        <v>38492</v>
      </c>
      <c r="E8587" t="e" cm="1">
        <f t="array" ref="E8587">- FLUOROMETHOLONE</f>
        <v>#NAME?</v>
      </c>
      <c r="F8587" t="s">
        <v>38493</v>
      </c>
      <c r="G8587" t="s">
        <v>7569</v>
      </c>
      <c r="H8587" t="s">
        <v>38494</v>
      </c>
      <c r="I8587" t="s">
        <v>38495</v>
      </c>
      <c r="J8587" t="s">
        <v>26440</v>
      </c>
      <c r="K8587" t="s">
        <v>38496</v>
      </c>
      <c r="L8587" t="s">
        <v>38497</v>
      </c>
      <c r="M8587" t="s">
        <v>824</v>
      </c>
      <c r="N8587" t="s">
        <v>8774</v>
      </c>
      <c r="O8587" t="s">
        <v>38498</v>
      </c>
      <c r="P8587" t="s">
        <v>38499</v>
      </c>
      <c r="Q8587" t="s">
        <v>38500</v>
      </c>
      <c r="R8587">
        <v>26</v>
      </c>
      <c r="S8587">
        <v>32</v>
      </c>
    </row>
    <row r="8588" spans="1:19" x14ac:dyDescent="0.35">
      <c r="A8588">
        <v>4566</v>
      </c>
      <c r="B8588" t="s">
        <v>38510</v>
      </c>
      <c r="C8588" t="s">
        <v>42</v>
      </c>
      <c r="D8588" t="s">
        <v>38511</v>
      </c>
      <c r="E8588" t="e" cm="1">
        <f t="array" ref="E8588">- TETRYZOLINE HYDROCHLORIDE</f>
        <v>#NAME?</v>
      </c>
      <c r="F8588" t="s">
        <v>38512</v>
      </c>
      <c r="G8588" t="s">
        <v>15794</v>
      </c>
      <c r="H8588" t="s">
        <v>15795</v>
      </c>
      <c r="I8588" t="s">
        <v>38513</v>
      </c>
      <c r="J8588" t="s">
        <v>3504</v>
      </c>
      <c r="K8588" t="s">
        <v>37823</v>
      </c>
      <c r="L8588" t="s">
        <v>38514</v>
      </c>
      <c r="M8588" t="s">
        <v>824</v>
      </c>
      <c r="N8588" t="s">
        <v>11713</v>
      </c>
      <c r="O8588" t="s">
        <v>38515</v>
      </c>
      <c r="P8588" t="s">
        <v>38516</v>
      </c>
      <c r="Q8588" t="s">
        <v>38517</v>
      </c>
      <c r="R8588">
        <v>26</v>
      </c>
      <c r="S8588">
        <v>32</v>
      </c>
    </row>
    <row r="8589" spans="1:19" x14ac:dyDescent="0.35">
      <c r="A8589">
        <v>3662</v>
      </c>
      <c r="B8589" t="s">
        <v>38518</v>
      </c>
      <c r="C8589" t="s">
        <v>42</v>
      </c>
      <c r="D8589" t="s">
        <v>38519</v>
      </c>
      <c r="E8589" t="e" cm="1">
        <f t="array" ref="E8589">- METOCLOPRAMIDE HYDROCHLORIDE MONOHYDRATE</f>
        <v>#NAME?</v>
      </c>
      <c r="F8589" t="s">
        <v>4562</v>
      </c>
      <c r="G8589" t="s">
        <v>37795</v>
      </c>
      <c r="H8589" t="s">
        <v>37813</v>
      </c>
      <c r="I8589" t="s">
        <v>37797</v>
      </c>
      <c r="J8589" t="s">
        <v>334</v>
      </c>
      <c r="K8589" t="s">
        <v>37798</v>
      </c>
      <c r="L8589" t="s">
        <v>37814</v>
      </c>
      <c r="M8589" t="s">
        <v>271</v>
      </c>
      <c r="N8589" t="s">
        <v>2774</v>
      </c>
      <c r="O8589" t="s">
        <v>37800</v>
      </c>
      <c r="P8589" t="s">
        <v>2003</v>
      </c>
      <c r="Q8589" t="s">
        <v>38520</v>
      </c>
      <c r="R8589">
        <v>26</v>
      </c>
      <c r="S8589">
        <v>32</v>
      </c>
    </row>
    <row r="8590" spans="1:19" x14ac:dyDescent="0.35">
      <c r="A8590">
        <v>7628</v>
      </c>
      <c r="B8590" t="s">
        <v>38521</v>
      </c>
      <c r="C8590" t="s">
        <v>42</v>
      </c>
      <c r="D8590" t="s">
        <v>38522</v>
      </c>
      <c r="E8590" t="s">
        <v>38523</v>
      </c>
      <c r="F8590" t="s">
        <v>38524</v>
      </c>
      <c r="G8590" t="s">
        <v>2241</v>
      </c>
      <c r="H8590" t="s">
        <v>38525</v>
      </c>
      <c r="I8590" t="s">
        <v>38526</v>
      </c>
      <c r="J8590" t="s">
        <v>5221</v>
      </c>
      <c r="L8590" t="s">
        <v>38527</v>
      </c>
      <c r="M8590" t="s">
        <v>291</v>
      </c>
      <c r="N8590" t="s">
        <v>38528</v>
      </c>
      <c r="O8590" t="s">
        <v>38529</v>
      </c>
      <c r="P8590" t="s">
        <v>38530</v>
      </c>
      <c r="Q8590" t="s">
        <v>38531</v>
      </c>
      <c r="R8590">
        <v>26</v>
      </c>
      <c r="S8590">
        <v>32</v>
      </c>
    </row>
    <row r="8591" spans="1:19" x14ac:dyDescent="0.35">
      <c r="A8591">
        <v>7822</v>
      </c>
      <c r="B8591" t="s">
        <v>38532</v>
      </c>
      <c r="C8591" t="s">
        <v>20</v>
      </c>
      <c r="D8591" t="s">
        <v>38533</v>
      </c>
      <c r="E8591" t="s">
        <v>38534</v>
      </c>
      <c r="F8591" t="s">
        <v>38535</v>
      </c>
      <c r="G8591" t="s">
        <v>38536</v>
      </c>
      <c r="H8591" t="s">
        <v>38537</v>
      </c>
      <c r="I8591" t="s">
        <v>38538</v>
      </c>
      <c r="J8591" t="s">
        <v>38539</v>
      </c>
      <c r="N8591" t="s">
        <v>38540</v>
      </c>
      <c r="O8591" t="s">
        <v>38541</v>
      </c>
      <c r="P8591" t="s">
        <v>38542</v>
      </c>
      <c r="Q8591" t="s">
        <v>38543</v>
      </c>
      <c r="R8591">
        <v>26</v>
      </c>
      <c r="S8591">
        <v>32</v>
      </c>
    </row>
    <row r="8592" spans="1:19" x14ac:dyDescent="0.35">
      <c r="A8592">
        <v>1801</v>
      </c>
      <c r="B8592" t="s">
        <v>38544</v>
      </c>
      <c r="C8592" t="s">
        <v>850</v>
      </c>
      <c r="D8592" t="s">
        <v>38545</v>
      </c>
      <c r="E8592" t="s">
        <v>2069</v>
      </c>
      <c r="F8592" t="s">
        <v>38546</v>
      </c>
      <c r="G8592" t="s">
        <v>34649</v>
      </c>
      <c r="H8592" t="s">
        <v>3854</v>
      </c>
      <c r="I8592" t="s">
        <v>38547</v>
      </c>
      <c r="J8592" t="s">
        <v>1647</v>
      </c>
      <c r="M8592" t="s">
        <v>3338</v>
      </c>
      <c r="N8592" t="s">
        <v>2071</v>
      </c>
      <c r="O8592" t="s">
        <v>38548</v>
      </c>
      <c r="P8592" t="s">
        <v>38549</v>
      </c>
      <c r="Q8592" t="s">
        <v>38550</v>
      </c>
      <c r="R8592">
        <v>26</v>
      </c>
      <c r="S8592">
        <v>32</v>
      </c>
    </row>
    <row r="8593" spans="1:19" x14ac:dyDescent="0.35">
      <c r="A8593">
        <v>5609</v>
      </c>
      <c r="B8593" t="s">
        <v>37404</v>
      </c>
      <c r="C8593" t="s">
        <v>42</v>
      </c>
      <c r="D8593" t="s">
        <v>37405</v>
      </c>
      <c r="E8593" t="e" cm="1">
        <f t="array" ref="E8593">- CIPROFLOXACIN HCL MONOHYDRATE</f>
        <v>#NAME?</v>
      </c>
      <c r="F8593" t="s">
        <v>37406</v>
      </c>
      <c r="G8593" t="s">
        <v>4420</v>
      </c>
      <c r="H8593" t="s">
        <v>1055</v>
      </c>
      <c r="I8593" t="s">
        <v>37407</v>
      </c>
      <c r="J8593" t="s">
        <v>5085</v>
      </c>
      <c r="K8593" t="s">
        <v>37408</v>
      </c>
      <c r="L8593" t="s">
        <v>37409</v>
      </c>
      <c r="M8593" t="s">
        <v>46</v>
      </c>
      <c r="N8593" t="s">
        <v>38551</v>
      </c>
      <c r="O8593" t="s">
        <v>37410</v>
      </c>
      <c r="P8593" t="s">
        <v>1056</v>
      </c>
      <c r="Q8593" t="s">
        <v>38552</v>
      </c>
      <c r="R8593">
        <v>26</v>
      </c>
      <c r="S8593">
        <v>32</v>
      </c>
    </row>
    <row r="8594" spans="1:19" x14ac:dyDescent="0.35">
      <c r="A8594">
        <v>6588</v>
      </c>
      <c r="B8594" t="s">
        <v>37829</v>
      </c>
      <c r="C8594" t="s">
        <v>42</v>
      </c>
      <c r="D8594" t="s">
        <v>37830</v>
      </c>
      <c r="E8594" t="e" cm="1">
        <f t="array" ref="E8594">- KOMBINASI-ITRACONAZOLE PELLET</f>
        <v>#NAME?</v>
      </c>
      <c r="F8594" s="1">
        <v>34700</v>
      </c>
      <c r="G8594" t="s">
        <v>5506</v>
      </c>
      <c r="H8594" t="s">
        <v>37831</v>
      </c>
      <c r="I8594" t="s">
        <v>37751</v>
      </c>
      <c r="J8594" t="s">
        <v>36017</v>
      </c>
      <c r="K8594" t="s">
        <v>37753</v>
      </c>
      <c r="L8594" t="s">
        <v>37832</v>
      </c>
      <c r="M8594" t="s">
        <v>38</v>
      </c>
      <c r="N8594" t="s">
        <v>21440</v>
      </c>
      <c r="O8594" t="s">
        <v>37755</v>
      </c>
      <c r="P8594" t="s">
        <v>37833</v>
      </c>
      <c r="Q8594" t="s">
        <v>38553</v>
      </c>
      <c r="R8594">
        <v>26</v>
      </c>
      <c r="S8594">
        <v>32</v>
      </c>
    </row>
    <row r="8595" spans="1:19" x14ac:dyDescent="0.35">
      <c r="A8595">
        <v>5752</v>
      </c>
      <c r="B8595" t="s">
        <v>38462</v>
      </c>
      <c r="C8595" t="s">
        <v>42</v>
      </c>
      <c r="D8595" t="s">
        <v>38463</v>
      </c>
      <c r="E8595" t="e" cm="1">
        <f t="array" ref="E8595">- CEFIXIME TRIHYDRATE</f>
        <v>#NAME?</v>
      </c>
      <c r="F8595" s="1">
        <v>42300</v>
      </c>
      <c r="G8595" t="s">
        <v>37190</v>
      </c>
      <c r="H8595" t="s">
        <v>37191</v>
      </c>
      <c r="I8595" t="s">
        <v>37192</v>
      </c>
      <c r="J8595" t="s">
        <v>4547</v>
      </c>
      <c r="K8595" t="s">
        <v>1020</v>
      </c>
      <c r="L8595" t="s">
        <v>1021</v>
      </c>
      <c r="M8595" t="s">
        <v>38</v>
      </c>
      <c r="N8595" t="s">
        <v>1790</v>
      </c>
      <c r="O8595" t="s">
        <v>37193</v>
      </c>
      <c r="P8595" t="s">
        <v>38049</v>
      </c>
      <c r="Q8595" t="s">
        <v>38050</v>
      </c>
      <c r="R8595">
        <v>26</v>
      </c>
      <c r="S8595">
        <v>32</v>
      </c>
    </row>
    <row r="8596" spans="1:19" x14ac:dyDescent="0.35">
      <c r="A8596">
        <v>4565</v>
      </c>
      <c r="B8596" t="s">
        <v>38510</v>
      </c>
      <c r="C8596" t="s">
        <v>42</v>
      </c>
      <c r="D8596" t="s">
        <v>38511</v>
      </c>
      <c r="E8596" t="e" cm="1">
        <f t="array" ref="E8596">- TETRAHYDROZOLINE HYDROCHLORIDE</f>
        <v>#NAME?</v>
      </c>
      <c r="F8596" t="s">
        <v>38512</v>
      </c>
      <c r="G8596" t="s">
        <v>15794</v>
      </c>
      <c r="H8596" t="s">
        <v>15795</v>
      </c>
      <c r="I8596" t="s">
        <v>38513</v>
      </c>
      <c r="J8596" t="s">
        <v>3504</v>
      </c>
      <c r="K8596" t="s">
        <v>37823</v>
      </c>
      <c r="L8596" t="s">
        <v>38514</v>
      </c>
      <c r="M8596" t="s">
        <v>824</v>
      </c>
      <c r="N8596" t="s">
        <v>3512</v>
      </c>
      <c r="O8596" t="s">
        <v>38515</v>
      </c>
      <c r="P8596" t="s">
        <v>38516</v>
      </c>
      <c r="Q8596" t="s">
        <v>38554</v>
      </c>
      <c r="R8596">
        <v>26</v>
      </c>
      <c r="S8596">
        <v>32</v>
      </c>
    </row>
    <row r="8597" spans="1:19" x14ac:dyDescent="0.35">
      <c r="A8597">
        <v>7618</v>
      </c>
      <c r="B8597" t="s">
        <v>38555</v>
      </c>
      <c r="C8597" t="s">
        <v>20</v>
      </c>
      <c r="D8597" t="s">
        <v>38556</v>
      </c>
      <c r="E8597" t="s">
        <v>38557</v>
      </c>
      <c r="F8597" t="s">
        <v>38558</v>
      </c>
      <c r="H8597" t="s">
        <v>38559</v>
      </c>
      <c r="I8597" t="s">
        <v>38560</v>
      </c>
      <c r="J8597" t="s">
        <v>8233</v>
      </c>
      <c r="L8597" t="s">
        <v>38561</v>
      </c>
      <c r="M8597" t="s">
        <v>38</v>
      </c>
      <c r="N8597" t="s">
        <v>38562</v>
      </c>
      <c r="O8597" t="s">
        <v>38563</v>
      </c>
      <c r="P8597" t="s">
        <v>38564</v>
      </c>
      <c r="Q8597" t="s">
        <v>38565</v>
      </c>
      <c r="R8597">
        <v>26</v>
      </c>
      <c r="S8597">
        <v>32</v>
      </c>
    </row>
    <row r="8598" spans="1:19" x14ac:dyDescent="0.35">
      <c r="A8598">
        <v>1781</v>
      </c>
      <c r="B8598" t="s">
        <v>38501</v>
      </c>
      <c r="C8598" t="s">
        <v>20</v>
      </c>
      <c r="D8598" t="s">
        <v>38566</v>
      </c>
      <c r="E8598" t="s">
        <v>38503</v>
      </c>
      <c r="F8598" t="s">
        <v>38567</v>
      </c>
      <c r="G8598" t="s">
        <v>27012</v>
      </c>
      <c r="H8598" t="s">
        <v>13586</v>
      </c>
      <c r="I8598" t="s">
        <v>38505</v>
      </c>
      <c r="J8598" t="s">
        <v>1144</v>
      </c>
      <c r="K8598" t="s">
        <v>2858</v>
      </c>
      <c r="L8598" t="s">
        <v>27014</v>
      </c>
      <c r="M8598" t="s">
        <v>2115</v>
      </c>
      <c r="N8598" t="s">
        <v>38506</v>
      </c>
      <c r="O8598" t="s">
        <v>38507</v>
      </c>
      <c r="P8598" t="s">
        <v>36111</v>
      </c>
      <c r="Q8598" t="s">
        <v>38508</v>
      </c>
      <c r="R8598">
        <v>26</v>
      </c>
      <c r="S8598">
        <v>32</v>
      </c>
    </row>
    <row r="8599" spans="1:19" x14ac:dyDescent="0.35">
      <c r="A8599">
        <v>617</v>
      </c>
      <c r="B8599" t="s">
        <v>38568</v>
      </c>
      <c r="C8599" t="s">
        <v>42</v>
      </c>
      <c r="D8599" t="s">
        <v>38569</v>
      </c>
      <c r="E8599" t="e" cm="1">
        <f t="array" ref="E8599">- BUDESONIDE. FORMOTEROL FUMARATE DIHYDRATE</f>
        <v>#NAME?</v>
      </c>
      <c r="F8599" s="1">
        <v>749100</v>
      </c>
      <c r="G8599" t="s">
        <v>13744</v>
      </c>
      <c r="H8599" t="s">
        <v>38570</v>
      </c>
      <c r="I8599" t="s">
        <v>35596</v>
      </c>
      <c r="J8599" t="s">
        <v>37952</v>
      </c>
      <c r="K8599" t="s">
        <v>3952</v>
      </c>
      <c r="L8599" t="s">
        <v>35598</v>
      </c>
      <c r="M8599" t="s">
        <v>340</v>
      </c>
      <c r="N8599" t="s">
        <v>37133</v>
      </c>
      <c r="O8599" t="s">
        <v>35599</v>
      </c>
      <c r="P8599" t="s">
        <v>38571</v>
      </c>
      <c r="Q8599" t="s">
        <v>38572</v>
      </c>
      <c r="R8599">
        <v>26</v>
      </c>
      <c r="S8599">
        <v>32</v>
      </c>
    </row>
    <row r="8600" spans="1:19" x14ac:dyDescent="0.35">
      <c r="A8600">
        <v>6319</v>
      </c>
      <c r="B8600" t="s">
        <v>38573</v>
      </c>
      <c r="C8600" t="s">
        <v>42</v>
      </c>
      <c r="D8600" t="s">
        <v>38574</v>
      </c>
      <c r="E8600" t="e" cm="1">
        <f t="array" ref="E8600">- CEFIXIME TRIHYDRATE</f>
        <v>#NAME?</v>
      </c>
      <c r="F8600" t="s">
        <v>38575</v>
      </c>
      <c r="G8600" t="s">
        <v>37190</v>
      </c>
      <c r="H8600" t="s">
        <v>37191</v>
      </c>
      <c r="I8600" t="s">
        <v>38466</v>
      </c>
      <c r="J8600" t="s">
        <v>14600</v>
      </c>
      <c r="K8600" t="s">
        <v>1020</v>
      </c>
      <c r="L8600" t="s">
        <v>1021</v>
      </c>
      <c r="M8600" t="s">
        <v>38</v>
      </c>
      <c r="N8600" t="s">
        <v>1790</v>
      </c>
      <c r="O8600" t="s">
        <v>37193</v>
      </c>
      <c r="P8600" t="s">
        <v>38467</v>
      </c>
      <c r="Q8600" t="s">
        <v>38576</v>
      </c>
      <c r="R8600">
        <v>26</v>
      </c>
      <c r="S8600">
        <v>32</v>
      </c>
    </row>
    <row r="8601" spans="1:19" x14ac:dyDescent="0.35">
      <c r="A8601">
        <v>1779</v>
      </c>
      <c r="B8601" t="s">
        <v>36407</v>
      </c>
      <c r="C8601" t="s">
        <v>20</v>
      </c>
      <c r="D8601" t="s">
        <v>38577</v>
      </c>
      <c r="E8601" t="s">
        <v>36409</v>
      </c>
      <c r="F8601" t="s">
        <v>38578</v>
      </c>
      <c r="G8601" t="s">
        <v>27012</v>
      </c>
      <c r="H8601" t="s">
        <v>13586</v>
      </c>
      <c r="I8601" t="s">
        <v>38505</v>
      </c>
      <c r="J8601" t="s">
        <v>829</v>
      </c>
      <c r="K8601" t="s">
        <v>2858</v>
      </c>
      <c r="L8601" t="s">
        <v>27014</v>
      </c>
      <c r="M8601" t="s">
        <v>2115</v>
      </c>
      <c r="N8601" t="s">
        <v>36412</v>
      </c>
      <c r="O8601" t="s">
        <v>38507</v>
      </c>
      <c r="P8601" t="s">
        <v>36414</v>
      </c>
      <c r="Q8601" t="s">
        <v>38579</v>
      </c>
      <c r="R8601">
        <v>26</v>
      </c>
      <c r="S8601">
        <v>32</v>
      </c>
    </row>
    <row r="8602" spans="1:19" x14ac:dyDescent="0.35">
      <c r="A8602">
        <v>6320</v>
      </c>
      <c r="B8602" t="s">
        <v>38580</v>
      </c>
      <c r="C8602" t="s">
        <v>42</v>
      </c>
      <c r="D8602" t="s">
        <v>38581</v>
      </c>
      <c r="E8602" t="e" cm="1">
        <f t="array" ref="E8602">- CEFIXIME TRIHYDRATE</f>
        <v>#NAME?</v>
      </c>
      <c r="F8602" t="s">
        <v>38582</v>
      </c>
      <c r="G8602" t="s">
        <v>37190</v>
      </c>
      <c r="H8602" t="s">
        <v>37191</v>
      </c>
      <c r="I8602" t="s">
        <v>37192</v>
      </c>
      <c r="J8602" t="s">
        <v>7989</v>
      </c>
      <c r="K8602" t="s">
        <v>1020</v>
      </c>
      <c r="L8602" t="s">
        <v>1021</v>
      </c>
      <c r="M8602" t="s">
        <v>38</v>
      </c>
      <c r="N8602" t="s">
        <v>1790</v>
      </c>
      <c r="O8602" t="s">
        <v>37193</v>
      </c>
      <c r="P8602" t="s">
        <v>38467</v>
      </c>
      <c r="Q8602" t="s">
        <v>38576</v>
      </c>
      <c r="R8602">
        <v>26</v>
      </c>
      <c r="S8602">
        <v>32</v>
      </c>
    </row>
    <row r="8603" spans="1:19" x14ac:dyDescent="0.35">
      <c r="A8603">
        <v>1777</v>
      </c>
      <c r="B8603" t="s">
        <v>36407</v>
      </c>
      <c r="C8603" t="s">
        <v>20</v>
      </c>
      <c r="D8603" t="s">
        <v>38583</v>
      </c>
      <c r="E8603" t="s">
        <v>36409</v>
      </c>
      <c r="F8603" t="s">
        <v>38584</v>
      </c>
      <c r="G8603" t="s">
        <v>27012</v>
      </c>
      <c r="H8603" t="s">
        <v>13586</v>
      </c>
      <c r="I8603" t="s">
        <v>38505</v>
      </c>
      <c r="J8603" t="s">
        <v>1144</v>
      </c>
      <c r="K8603" t="s">
        <v>2858</v>
      </c>
      <c r="L8603" t="s">
        <v>27014</v>
      </c>
      <c r="M8603" t="s">
        <v>2115</v>
      </c>
      <c r="N8603" t="s">
        <v>36412</v>
      </c>
      <c r="O8603" t="s">
        <v>38507</v>
      </c>
      <c r="P8603" t="s">
        <v>36414</v>
      </c>
      <c r="Q8603" t="s">
        <v>38579</v>
      </c>
      <c r="R8603">
        <v>26</v>
      </c>
      <c r="S8603">
        <v>32</v>
      </c>
    </row>
    <row r="8604" spans="1:19" x14ac:dyDescent="0.35">
      <c r="A8604">
        <v>2113</v>
      </c>
      <c r="B8604" t="s">
        <v>37895</v>
      </c>
      <c r="C8604" t="s">
        <v>42</v>
      </c>
      <c r="D8604" t="s">
        <v>37896</v>
      </c>
      <c r="E8604" t="e" cm="1">
        <f t="array" ref="E8604">- IBUPROFEN</f>
        <v>#NAME?</v>
      </c>
      <c r="F8604" t="s">
        <v>37897</v>
      </c>
      <c r="G8604" t="s">
        <v>2241</v>
      </c>
      <c r="H8604" t="s">
        <v>37898</v>
      </c>
      <c r="I8604" t="s">
        <v>37899</v>
      </c>
      <c r="J8604" t="s">
        <v>5085</v>
      </c>
      <c r="K8604" t="s">
        <v>37900</v>
      </c>
      <c r="L8604" t="s">
        <v>37901</v>
      </c>
      <c r="M8604" t="s">
        <v>38</v>
      </c>
      <c r="N8604" t="s">
        <v>383</v>
      </c>
      <c r="O8604" t="s">
        <v>37902</v>
      </c>
      <c r="P8604" t="s">
        <v>383</v>
      </c>
      <c r="Q8604" t="s">
        <v>37903</v>
      </c>
      <c r="R8604">
        <v>26</v>
      </c>
      <c r="S8604">
        <v>32</v>
      </c>
    </row>
    <row r="8605" spans="1:19" x14ac:dyDescent="0.35">
      <c r="A8605">
        <v>6411</v>
      </c>
      <c r="B8605" t="s">
        <v>37187</v>
      </c>
      <c r="C8605" t="s">
        <v>42</v>
      </c>
      <c r="D8605" t="s">
        <v>37188</v>
      </c>
      <c r="E8605" t="e" cm="1">
        <f t="array" ref="E8605">- CEFIXIME TRIHYDRATE</f>
        <v>#NAME?</v>
      </c>
      <c r="F8605" t="s">
        <v>37189</v>
      </c>
      <c r="G8605" t="s">
        <v>37190</v>
      </c>
      <c r="H8605" t="s">
        <v>37191</v>
      </c>
      <c r="I8605" t="s">
        <v>37192</v>
      </c>
      <c r="J8605" t="s">
        <v>4547</v>
      </c>
      <c r="K8605" t="s">
        <v>1020</v>
      </c>
      <c r="L8605" t="s">
        <v>1021</v>
      </c>
      <c r="M8605" t="s">
        <v>38</v>
      </c>
      <c r="N8605" t="s">
        <v>1790</v>
      </c>
      <c r="O8605" t="s">
        <v>37193</v>
      </c>
      <c r="P8605" t="s">
        <v>37194</v>
      </c>
      <c r="Q8605" t="s">
        <v>37912</v>
      </c>
      <c r="R8605">
        <v>26</v>
      </c>
      <c r="S8605">
        <v>32</v>
      </c>
    </row>
    <row r="8606" spans="1:19" x14ac:dyDescent="0.35">
      <c r="A8606">
        <v>7838</v>
      </c>
      <c r="B8606" t="s">
        <v>38585</v>
      </c>
      <c r="C8606" t="s">
        <v>20</v>
      </c>
      <c r="D8606" t="s">
        <v>38586</v>
      </c>
      <c r="E8606" t="s">
        <v>38587</v>
      </c>
      <c r="F8606" t="s">
        <v>38588</v>
      </c>
      <c r="G8606" t="s">
        <v>38589</v>
      </c>
      <c r="H8606" t="s">
        <v>38590</v>
      </c>
      <c r="I8606" t="s">
        <v>38591</v>
      </c>
      <c r="J8606" t="s">
        <v>381</v>
      </c>
      <c r="K8606" t="s">
        <v>38592</v>
      </c>
      <c r="L8606" t="s">
        <v>9388</v>
      </c>
      <c r="M8606" t="s">
        <v>46</v>
      </c>
      <c r="N8606" t="s">
        <v>38593</v>
      </c>
      <c r="O8606" t="s">
        <v>38594</v>
      </c>
      <c r="P8606" t="s">
        <v>38593</v>
      </c>
      <c r="Q8606" t="s">
        <v>38595</v>
      </c>
      <c r="R8606">
        <v>26</v>
      </c>
      <c r="S8606">
        <v>32</v>
      </c>
    </row>
    <row r="8607" spans="1:19" x14ac:dyDescent="0.35">
      <c r="A8607">
        <v>5760</v>
      </c>
      <c r="B8607" t="s">
        <v>38596</v>
      </c>
      <c r="C8607" t="s">
        <v>42</v>
      </c>
      <c r="D8607" t="s">
        <v>38597</v>
      </c>
      <c r="E8607" t="e" cm="1">
        <f t="array" ref="E8607">- CEFIXIME TRIHYDRATE</f>
        <v>#NAME?</v>
      </c>
      <c r="F8607" t="s">
        <v>38598</v>
      </c>
      <c r="G8607" t="s">
        <v>37190</v>
      </c>
      <c r="H8607" t="s">
        <v>37191</v>
      </c>
      <c r="I8607" t="s">
        <v>37192</v>
      </c>
      <c r="J8607" t="s">
        <v>7989</v>
      </c>
      <c r="K8607" t="s">
        <v>1020</v>
      </c>
      <c r="L8607" t="s">
        <v>1021</v>
      </c>
      <c r="M8607" t="s">
        <v>38</v>
      </c>
      <c r="N8607" t="s">
        <v>1790</v>
      </c>
      <c r="O8607" t="s">
        <v>37193</v>
      </c>
      <c r="P8607" t="s">
        <v>37293</v>
      </c>
      <c r="Q8607" t="s">
        <v>38599</v>
      </c>
      <c r="R8607">
        <v>26</v>
      </c>
      <c r="S8607">
        <v>32</v>
      </c>
    </row>
    <row r="8608" spans="1:19" x14ac:dyDescent="0.35">
      <c r="A8608">
        <v>5007</v>
      </c>
      <c r="B8608" t="s">
        <v>26686</v>
      </c>
      <c r="C8608" t="s">
        <v>42</v>
      </c>
      <c r="D8608" t="s">
        <v>38600</v>
      </c>
      <c r="E8608" t="e" cm="1">
        <f t="array" ref="E8608">- HYDROCORTISONE BUTYRATE</f>
        <v>#NAME?</v>
      </c>
      <c r="F8608" t="s">
        <v>38601</v>
      </c>
      <c r="G8608" t="s">
        <v>11887</v>
      </c>
      <c r="H8608" t="s">
        <v>26689</v>
      </c>
      <c r="I8608" t="s">
        <v>38602</v>
      </c>
      <c r="J8608" t="s">
        <v>7114</v>
      </c>
      <c r="L8608" t="s">
        <v>6541</v>
      </c>
      <c r="M8608" t="s">
        <v>1289</v>
      </c>
      <c r="N8608" t="s">
        <v>26691</v>
      </c>
      <c r="O8608" t="s">
        <v>38603</v>
      </c>
      <c r="P8608" t="s">
        <v>38604</v>
      </c>
      <c r="Q8608" t="s">
        <v>38605</v>
      </c>
      <c r="R8608">
        <v>27</v>
      </c>
      <c r="S8608">
        <v>32</v>
      </c>
    </row>
    <row r="8609" spans="1:19" x14ac:dyDescent="0.35">
      <c r="A8609">
        <v>391</v>
      </c>
      <c r="B8609" t="s">
        <v>38606</v>
      </c>
      <c r="C8609" t="s">
        <v>42</v>
      </c>
      <c r="D8609" t="s">
        <v>38607</v>
      </c>
      <c r="E8609" t="e" cm="1">
        <f t="array" ref="E8609">- POVIDONE-IODINE</f>
        <v>#NAME?</v>
      </c>
      <c r="F8609" t="s">
        <v>38608</v>
      </c>
      <c r="G8609" t="s">
        <v>38609</v>
      </c>
      <c r="H8609" t="s">
        <v>38610</v>
      </c>
      <c r="I8609" t="s">
        <v>38611</v>
      </c>
      <c r="J8609" t="s">
        <v>38612</v>
      </c>
      <c r="K8609" t="s">
        <v>6351</v>
      </c>
      <c r="L8609" t="s">
        <v>38613</v>
      </c>
      <c r="M8609" t="s">
        <v>38614</v>
      </c>
      <c r="N8609" t="s">
        <v>555</v>
      </c>
      <c r="O8609" t="s">
        <v>38615</v>
      </c>
      <c r="P8609" t="s">
        <v>38616</v>
      </c>
      <c r="Q8609" t="s">
        <v>38617</v>
      </c>
      <c r="R8609">
        <v>27</v>
      </c>
      <c r="S8609">
        <v>32</v>
      </c>
    </row>
    <row r="8610" spans="1:19" x14ac:dyDescent="0.35">
      <c r="A8610">
        <v>6323</v>
      </c>
      <c r="B8610" t="s">
        <v>38618</v>
      </c>
      <c r="C8610" t="s">
        <v>42</v>
      </c>
      <c r="D8610" t="s">
        <v>38619</v>
      </c>
      <c r="E8610" t="e" cm="1">
        <f t="array" ref="E8610">- LEVOFLOXACIN HEMIHYDRATE</f>
        <v>#NAME?</v>
      </c>
      <c r="F8610" t="s">
        <v>38620</v>
      </c>
      <c r="G8610" t="s">
        <v>33235</v>
      </c>
      <c r="H8610" t="s">
        <v>38621</v>
      </c>
      <c r="I8610" t="s">
        <v>38622</v>
      </c>
      <c r="J8610" t="s">
        <v>38623</v>
      </c>
      <c r="K8610" t="s">
        <v>38624</v>
      </c>
    </row>
    <row r="8611" spans="1:19" x14ac:dyDescent="0.35">
      <c r="A8611">
        <v>9037</v>
      </c>
      <c r="B8611" t="s">
        <v>38625</v>
      </c>
      <c r="C8611" t="s">
        <v>42</v>
      </c>
      <c r="D8611" t="s">
        <v>38626</v>
      </c>
      <c r="E8611" t="e" cm="1">
        <f t="array" ref="E8611">- AMLODIPINE BESILATE</f>
        <v>#NAME?</v>
      </c>
      <c r="F8611" t="s">
        <v>38627</v>
      </c>
      <c r="G8611" t="s">
        <v>3098</v>
      </c>
      <c r="H8611" t="s">
        <v>38628</v>
      </c>
      <c r="I8611" t="s">
        <v>38629</v>
      </c>
      <c r="J8611" t="s">
        <v>38630</v>
      </c>
      <c r="K8611" t="s">
        <v>38631</v>
      </c>
      <c r="L8611" t="s">
        <v>32377</v>
      </c>
      <c r="M8611" t="s">
        <v>46</v>
      </c>
      <c r="N8611" t="s">
        <v>2484</v>
      </c>
      <c r="O8611" t="s">
        <v>38632</v>
      </c>
      <c r="P8611" t="s">
        <v>38633</v>
      </c>
      <c r="Q8611" t="s">
        <v>38634</v>
      </c>
      <c r="R8611">
        <v>27</v>
      </c>
      <c r="S8611">
        <v>32</v>
      </c>
    </row>
    <row r="8612" spans="1:19" x14ac:dyDescent="0.35">
      <c r="A8612">
        <v>7688</v>
      </c>
      <c r="B8612" t="s">
        <v>38635</v>
      </c>
      <c r="C8612" t="s">
        <v>20</v>
      </c>
      <c r="D8612" t="s">
        <v>38636</v>
      </c>
      <c r="E8612" t="s">
        <v>38637</v>
      </c>
      <c r="F8612" t="s">
        <v>34042</v>
      </c>
      <c r="H8612" t="s">
        <v>38638</v>
      </c>
      <c r="I8612" t="s">
        <v>32576</v>
      </c>
      <c r="J8612" t="s">
        <v>38639</v>
      </c>
      <c r="M8612" t="s">
        <v>554</v>
      </c>
      <c r="N8612" t="s">
        <v>38640</v>
      </c>
      <c r="O8612" t="s">
        <v>32578</v>
      </c>
      <c r="P8612" t="s">
        <v>38641</v>
      </c>
      <c r="Q8612" t="s">
        <v>38642</v>
      </c>
      <c r="R8612">
        <v>27</v>
      </c>
      <c r="S8612">
        <v>32</v>
      </c>
    </row>
    <row r="8613" spans="1:19" x14ac:dyDescent="0.35">
      <c r="A8613">
        <v>392</v>
      </c>
      <c r="B8613" t="s">
        <v>38606</v>
      </c>
      <c r="C8613" t="s">
        <v>42</v>
      </c>
      <c r="D8613" t="s">
        <v>38607</v>
      </c>
      <c r="E8613" t="e" cm="1">
        <f t="array" ref="E8613">- POVIDONE-IODINE</f>
        <v>#NAME?</v>
      </c>
      <c r="F8613" t="s">
        <v>38608</v>
      </c>
      <c r="G8613" t="s">
        <v>38609</v>
      </c>
      <c r="H8613" t="s">
        <v>38610</v>
      </c>
      <c r="I8613" t="s">
        <v>38611</v>
      </c>
      <c r="J8613" t="s">
        <v>38612</v>
      </c>
      <c r="K8613" t="s">
        <v>6351</v>
      </c>
      <c r="L8613" t="s">
        <v>38613</v>
      </c>
      <c r="M8613" t="s">
        <v>38614</v>
      </c>
      <c r="N8613" t="s">
        <v>555</v>
      </c>
      <c r="O8613" t="s">
        <v>38615</v>
      </c>
      <c r="P8613" t="s">
        <v>38616</v>
      </c>
      <c r="Q8613" t="s">
        <v>38617</v>
      </c>
      <c r="R8613">
        <v>27</v>
      </c>
      <c r="S8613">
        <v>32</v>
      </c>
    </row>
    <row r="8614" spans="1:19" x14ac:dyDescent="0.35">
      <c r="A8614">
        <v>1060</v>
      </c>
      <c r="B8614" t="s">
        <v>38643</v>
      </c>
      <c r="C8614" t="s">
        <v>42</v>
      </c>
      <c r="D8614" t="s">
        <v>38644</v>
      </c>
      <c r="E8614" t="e" cm="1">
        <f t="array" ref="E8614">- BROMHEXINE HYDROCHLORIDE. GUAIFENESIN. CHLORPHENAMINE MALEATE. PHENYLEPHRINE HYDROCHLORIDE. PARACETAMOL</f>
        <v>#NAME?</v>
      </c>
      <c r="F8614" t="s">
        <v>38645</v>
      </c>
      <c r="G8614" t="s">
        <v>2241</v>
      </c>
      <c r="H8614" t="s">
        <v>38646</v>
      </c>
      <c r="I8614" t="s">
        <v>38647</v>
      </c>
      <c r="J8614" t="s">
        <v>36393</v>
      </c>
      <c r="K8614" t="s">
        <v>38648</v>
      </c>
      <c r="L8614" t="s">
        <v>38649</v>
      </c>
      <c r="M8614" t="s">
        <v>271</v>
      </c>
      <c r="N8614" t="s">
        <v>38650</v>
      </c>
      <c r="O8614" t="s">
        <v>38651</v>
      </c>
      <c r="P8614" t="s">
        <v>38652</v>
      </c>
      <c r="Q8614" t="s">
        <v>38653</v>
      </c>
      <c r="R8614">
        <v>27</v>
      </c>
      <c r="S8614">
        <v>32</v>
      </c>
    </row>
    <row r="8615" spans="1:19" x14ac:dyDescent="0.35">
      <c r="A8615">
        <v>7196</v>
      </c>
      <c r="B8615" t="s">
        <v>38654</v>
      </c>
      <c r="C8615" t="s">
        <v>850</v>
      </c>
      <c r="D8615" t="s">
        <v>38655</v>
      </c>
      <c r="E8615" t="e" cm="1">
        <f t="array" ref="E8615">- Camphor</f>
        <v>#NAME?</v>
      </c>
      <c r="F8615" s="1">
        <v>20700</v>
      </c>
      <c r="G8615" t="s">
        <v>38656</v>
      </c>
      <c r="H8615" t="s">
        <v>8263</v>
      </c>
      <c r="I8615" t="s">
        <v>38657</v>
      </c>
      <c r="J8615" t="s">
        <v>33295</v>
      </c>
      <c r="L8615" t="s">
        <v>29149</v>
      </c>
      <c r="M8615" t="s">
        <v>3632</v>
      </c>
      <c r="N8615" t="s">
        <v>853</v>
      </c>
      <c r="O8615" t="s">
        <v>38658</v>
      </c>
      <c r="P8615" t="s">
        <v>38659</v>
      </c>
      <c r="Q8615" t="s">
        <v>38660</v>
      </c>
      <c r="R8615">
        <v>27</v>
      </c>
      <c r="S8615">
        <v>32</v>
      </c>
    </row>
    <row r="8616" spans="1:19" x14ac:dyDescent="0.35">
      <c r="A8616">
        <v>9876</v>
      </c>
      <c r="B8616" t="s">
        <v>38661</v>
      </c>
      <c r="C8616" t="s">
        <v>42</v>
      </c>
      <c r="D8616" t="s">
        <v>38662</v>
      </c>
      <c r="E8616" t="e" cm="1">
        <f t="array" ref="E8616">- SIMVASTATIN. EZETIMIBE</f>
        <v>#NAME?</v>
      </c>
      <c r="F8616" t="s">
        <v>38663</v>
      </c>
      <c r="G8616" t="s">
        <v>12760</v>
      </c>
      <c r="H8616" t="s">
        <v>38664</v>
      </c>
      <c r="I8616" t="s">
        <v>38665</v>
      </c>
      <c r="J8616" t="s">
        <v>599</v>
      </c>
      <c r="K8616" t="s">
        <v>38666</v>
      </c>
      <c r="L8616" t="s">
        <v>38667</v>
      </c>
      <c r="M8616" t="s">
        <v>46</v>
      </c>
      <c r="N8616" t="s">
        <v>38668</v>
      </c>
      <c r="O8616" t="s">
        <v>38669</v>
      </c>
      <c r="P8616" t="s">
        <v>38670</v>
      </c>
      <c r="Q8616" t="s">
        <v>38671</v>
      </c>
      <c r="R8616">
        <v>27</v>
      </c>
      <c r="S8616">
        <v>32</v>
      </c>
    </row>
    <row r="8617" spans="1:19" x14ac:dyDescent="0.35">
      <c r="A8617">
        <v>9035</v>
      </c>
      <c r="B8617" t="s">
        <v>38672</v>
      </c>
      <c r="C8617" t="s">
        <v>42</v>
      </c>
      <c r="D8617" t="s">
        <v>38673</v>
      </c>
      <c r="E8617" t="e" cm="1">
        <f t="array" ref="E8617">- AMLODIPINE BESILATE</f>
        <v>#NAME?</v>
      </c>
      <c r="F8617" t="s">
        <v>38674</v>
      </c>
      <c r="G8617" t="s">
        <v>3098</v>
      </c>
      <c r="H8617" t="s">
        <v>38628</v>
      </c>
      <c r="I8617" t="s">
        <v>38675</v>
      </c>
      <c r="J8617" t="s">
        <v>2100</v>
      </c>
      <c r="K8617" t="s">
        <v>38631</v>
      </c>
      <c r="L8617" t="s">
        <v>32377</v>
      </c>
      <c r="M8617" t="s">
        <v>46</v>
      </c>
      <c r="N8617" t="s">
        <v>2484</v>
      </c>
      <c r="O8617" t="s">
        <v>38676</v>
      </c>
      <c r="P8617" t="s">
        <v>38633</v>
      </c>
      <c r="Q8617" t="s">
        <v>38677</v>
      </c>
      <c r="R8617">
        <v>27</v>
      </c>
      <c r="S8617">
        <v>32</v>
      </c>
    </row>
    <row r="8618" spans="1:19" x14ac:dyDescent="0.35">
      <c r="A8618">
        <v>6506</v>
      </c>
      <c r="B8618" t="s">
        <v>38678</v>
      </c>
      <c r="C8618" t="s">
        <v>42</v>
      </c>
      <c r="D8618" t="s">
        <v>38679</v>
      </c>
      <c r="E8618" t="e" cm="1">
        <f t="array" ref="E8618">- CEFIXIME TRIHYDRATE</f>
        <v>#NAME?</v>
      </c>
      <c r="F8618" t="s">
        <v>38680</v>
      </c>
      <c r="G8618" t="s">
        <v>37190</v>
      </c>
      <c r="H8618" t="s">
        <v>37191</v>
      </c>
      <c r="I8618" t="s">
        <v>37192</v>
      </c>
      <c r="J8618" t="s">
        <v>2928</v>
      </c>
      <c r="K8618" t="s">
        <v>1020</v>
      </c>
      <c r="L8618" t="s">
        <v>1021</v>
      </c>
      <c r="M8618" t="s">
        <v>46</v>
      </c>
      <c r="N8618" t="s">
        <v>1790</v>
      </c>
      <c r="O8618" t="s">
        <v>37193</v>
      </c>
      <c r="P8618" t="s">
        <v>38681</v>
      </c>
      <c r="Q8618" t="s">
        <v>38682</v>
      </c>
      <c r="R8618">
        <v>27</v>
      </c>
      <c r="S8618">
        <v>32</v>
      </c>
    </row>
    <row r="8619" spans="1:19" x14ac:dyDescent="0.35">
      <c r="A8619">
        <v>389</v>
      </c>
      <c r="B8619" t="s">
        <v>38606</v>
      </c>
      <c r="C8619" t="s">
        <v>42</v>
      </c>
      <c r="D8619" t="s">
        <v>38607</v>
      </c>
      <c r="E8619" t="e" cm="1">
        <f t="array" ref="E8619">- POVIDONE-IODINE</f>
        <v>#NAME?</v>
      </c>
      <c r="F8619" t="s">
        <v>38608</v>
      </c>
      <c r="G8619" t="s">
        <v>38609</v>
      </c>
      <c r="H8619" t="s">
        <v>38610</v>
      </c>
      <c r="I8619" t="s">
        <v>38611</v>
      </c>
      <c r="J8619" t="s">
        <v>38612</v>
      </c>
      <c r="K8619" t="s">
        <v>6351</v>
      </c>
      <c r="L8619" t="s">
        <v>38613</v>
      </c>
      <c r="M8619" t="s">
        <v>38614</v>
      </c>
      <c r="N8619" t="s">
        <v>555</v>
      </c>
      <c r="O8619" t="s">
        <v>38615</v>
      </c>
      <c r="P8619" t="s">
        <v>38616</v>
      </c>
      <c r="Q8619" t="s">
        <v>38617</v>
      </c>
      <c r="R8619">
        <v>27</v>
      </c>
      <c r="S8619">
        <v>32</v>
      </c>
    </row>
    <row r="8620" spans="1:19" x14ac:dyDescent="0.35">
      <c r="A8620">
        <v>7687</v>
      </c>
      <c r="B8620" t="s">
        <v>38683</v>
      </c>
      <c r="C8620" t="s">
        <v>20</v>
      </c>
      <c r="D8620" t="s">
        <v>38684</v>
      </c>
      <c r="E8620" t="s">
        <v>38685</v>
      </c>
      <c r="F8620" t="s">
        <v>38686</v>
      </c>
      <c r="H8620" t="s">
        <v>38638</v>
      </c>
      <c r="I8620" t="s">
        <v>32576</v>
      </c>
      <c r="J8620" t="s">
        <v>38639</v>
      </c>
      <c r="M8620" t="s">
        <v>554</v>
      </c>
      <c r="N8620" t="s">
        <v>38687</v>
      </c>
      <c r="O8620" t="s">
        <v>32578</v>
      </c>
      <c r="P8620" t="s">
        <v>38688</v>
      </c>
      <c r="Q8620" t="s">
        <v>38689</v>
      </c>
      <c r="R8620">
        <v>27</v>
      </c>
      <c r="S8620">
        <v>32</v>
      </c>
    </row>
    <row r="8621" spans="1:19" x14ac:dyDescent="0.35">
      <c r="A8621">
        <v>7137</v>
      </c>
      <c r="B8621" t="s">
        <v>38690</v>
      </c>
      <c r="C8621" t="s">
        <v>42</v>
      </c>
      <c r="D8621" t="s">
        <v>38691</v>
      </c>
      <c r="E8621" t="e" cm="1">
        <f t="array" ref="E8621">- DICLOFENAC DIETHYLAMINE</f>
        <v>#NAME?</v>
      </c>
      <c r="F8621" t="s">
        <v>38692</v>
      </c>
      <c r="G8621" t="s">
        <v>38693</v>
      </c>
      <c r="H8621" t="s">
        <v>38694</v>
      </c>
      <c r="I8621" t="s">
        <v>38695</v>
      </c>
      <c r="J8621" t="s">
        <v>24155</v>
      </c>
      <c r="L8621" t="s">
        <v>38696</v>
      </c>
      <c r="M8621" t="s">
        <v>87</v>
      </c>
      <c r="N8621" t="s">
        <v>1958</v>
      </c>
      <c r="O8621" t="s">
        <v>38697</v>
      </c>
      <c r="P8621" t="s">
        <v>38698</v>
      </c>
      <c r="Q8621" t="s">
        <v>38699</v>
      </c>
      <c r="R8621">
        <v>27</v>
      </c>
      <c r="S8621">
        <v>32</v>
      </c>
    </row>
    <row r="8622" spans="1:19" x14ac:dyDescent="0.35">
      <c r="A8622">
        <v>2783</v>
      </c>
      <c r="B8622" t="s">
        <v>38700</v>
      </c>
      <c r="C8622" t="s">
        <v>42</v>
      </c>
      <c r="D8622" t="s">
        <v>38701</v>
      </c>
      <c r="E8622" t="e" cm="1">
        <f t="array" ref="E8622">- DICLOFENAC SODIUM</f>
        <v>#NAME?</v>
      </c>
      <c r="F8622" t="s">
        <v>38702</v>
      </c>
      <c r="G8622" t="s">
        <v>2241</v>
      </c>
      <c r="H8622" t="s">
        <v>2596</v>
      </c>
      <c r="I8622" t="s">
        <v>38703</v>
      </c>
      <c r="J8622" t="s">
        <v>727</v>
      </c>
      <c r="K8622" t="s">
        <v>38704</v>
      </c>
      <c r="L8622" t="s">
        <v>28388</v>
      </c>
      <c r="M8622" t="s">
        <v>46</v>
      </c>
      <c r="N8622" t="s">
        <v>2597</v>
      </c>
      <c r="O8622" t="s">
        <v>38705</v>
      </c>
      <c r="P8622" t="s">
        <v>38706</v>
      </c>
      <c r="Q8622" t="s">
        <v>38707</v>
      </c>
      <c r="R8622">
        <v>27</v>
      </c>
      <c r="S8622">
        <v>32</v>
      </c>
    </row>
    <row r="8623" spans="1:19" x14ac:dyDescent="0.35">
      <c r="A8623">
        <v>386</v>
      </c>
      <c r="B8623" t="s">
        <v>38606</v>
      </c>
      <c r="C8623" t="s">
        <v>42</v>
      </c>
      <c r="D8623" t="s">
        <v>38607</v>
      </c>
      <c r="E8623" t="e" cm="1">
        <f t="array" ref="E8623">- POVIDONE-IODINE</f>
        <v>#NAME?</v>
      </c>
      <c r="F8623" t="s">
        <v>38608</v>
      </c>
      <c r="G8623" t="s">
        <v>38609</v>
      </c>
      <c r="H8623" t="s">
        <v>38610</v>
      </c>
      <c r="I8623" t="s">
        <v>38611</v>
      </c>
      <c r="J8623" t="s">
        <v>38612</v>
      </c>
      <c r="K8623" t="s">
        <v>6351</v>
      </c>
      <c r="L8623" t="s">
        <v>38613</v>
      </c>
      <c r="M8623" t="s">
        <v>38614</v>
      </c>
      <c r="N8623" t="s">
        <v>555</v>
      </c>
      <c r="O8623" t="s">
        <v>38615</v>
      </c>
      <c r="P8623" t="s">
        <v>38616</v>
      </c>
      <c r="Q8623" t="s">
        <v>38617</v>
      </c>
      <c r="R8623">
        <v>27</v>
      </c>
      <c r="S8623">
        <v>32</v>
      </c>
    </row>
    <row r="8624" spans="1:19" x14ac:dyDescent="0.35">
      <c r="A8624">
        <v>387</v>
      </c>
      <c r="B8624" t="s">
        <v>38606</v>
      </c>
      <c r="C8624" t="s">
        <v>42</v>
      </c>
      <c r="D8624" t="s">
        <v>38607</v>
      </c>
      <c r="E8624" t="e" cm="1">
        <f t="array" ref="E8624">- POVIDONE-IODINE</f>
        <v>#NAME?</v>
      </c>
      <c r="F8624" t="s">
        <v>38608</v>
      </c>
      <c r="G8624" t="s">
        <v>38609</v>
      </c>
      <c r="H8624" t="s">
        <v>38610</v>
      </c>
      <c r="I8624" t="s">
        <v>38611</v>
      </c>
      <c r="J8624" t="s">
        <v>38612</v>
      </c>
      <c r="K8624" t="s">
        <v>6351</v>
      </c>
      <c r="L8624" t="s">
        <v>38613</v>
      </c>
      <c r="M8624" t="s">
        <v>38614</v>
      </c>
      <c r="N8624" t="s">
        <v>555</v>
      </c>
      <c r="O8624" t="s">
        <v>38615</v>
      </c>
      <c r="P8624" t="s">
        <v>38616</v>
      </c>
      <c r="Q8624" t="s">
        <v>38617</v>
      </c>
      <c r="R8624">
        <v>27</v>
      </c>
      <c r="S8624">
        <v>32</v>
      </c>
    </row>
    <row r="8625" spans="1:19" x14ac:dyDescent="0.35">
      <c r="A8625">
        <v>7136</v>
      </c>
      <c r="B8625" t="s">
        <v>38690</v>
      </c>
      <c r="C8625" t="s">
        <v>42</v>
      </c>
      <c r="D8625" t="s">
        <v>38691</v>
      </c>
      <c r="E8625" t="e" cm="1">
        <f t="array" ref="E8625">- DICLOFENAC DIETHYLAMINE</f>
        <v>#NAME?</v>
      </c>
      <c r="F8625" t="s">
        <v>38692</v>
      </c>
      <c r="G8625" t="s">
        <v>38693</v>
      </c>
      <c r="H8625" t="s">
        <v>38694</v>
      </c>
      <c r="I8625" t="s">
        <v>38695</v>
      </c>
      <c r="J8625" t="s">
        <v>24155</v>
      </c>
      <c r="L8625" t="s">
        <v>38696</v>
      </c>
      <c r="M8625" t="s">
        <v>87</v>
      </c>
      <c r="N8625" t="s">
        <v>1958</v>
      </c>
      <c r="O8625" t="s">
        <v>38697</v>
      </c>
      <c r="P8625" t="s">
        <v>38698</v>
      </c>
      <c r="Q8625" t="s">
        <v>38699</v>
      </c>
      <c r="R8625">
        <v>27</v>
      </c>
      <c r="S8625">
        <v>32</v>
      </c>
    </row>
    <row r="8626" spans="1:19" x14ac:dyDescent="0.35">
      <c r="A8626">
        <v>3068</v>
      </c>
      <c r="B8626" t="s">
        <v>38708</v>
      </c>
      <c r="C8626" t="s">
        <v>42</v>
      </c>
      <c r="D8626" t="s">
        <v>38709</v>
      </c>
      <c r="E8626" t="e" cm="1">
        <f t="array" ref="E8626">- MAGNESIUM HYDROXIDE. DRIED ALUMINIUM HYDROXIDE GEL</f>
        <v>#NAME?</v>
      </c>
      <c r="F8626" t="s">
        <v>38710</v>
      </c>
      <c r="G8626" t="s">
        <v>38711</v>
      </c>
      <c r="H8626" t="s">
        <v>38712</v>
      </c>
      <c r="I8626" t="s">
        <v>38713</v>
      </c>
      <c r="J8626" t="s">
        <v>381</v>
      </c>
      <c r="K8626" t="s">
        <v>38714</v>
      </c>
      <c r="L8626" t="s">
        <v>38715</v>
      </c>
      <c r="M8626" t="s">
        <v>46</v>
      </c>
      <c r="N8626" t="s">
        <v>38716</v>
      </c>
      <c r="O8626" t="s">
        <v>38717</v>
      </c>
      <c r="P8626" t="s">
        <v>38718</v>
      </c>
      <c r="Q8626" t="s">
        <v>38719</v>
      </c>
      <c r="R8626">
        <v>27</v>
      </c>
      <c r="S8626">
        <v>32</v>
      </c>
    </row>
    <row r="8627" spans="1:19" x14ac:dyDescent="0.35">
      <c r="A8627">
        <v>144</v>
      </c>
      <c r="B8627" t="s">
        <v>2902</v>
      </c>
      <c r="C8627" t="s">
        <v>42</v>
      </c>
      <c r="D8627" t="s">
        <v>38720</v>
      </c>
      <c r="E8627" t="e" cm="1">
        <f t="array" ref="E8627">- SILDENAFIL CITRATE</f>
        <v>#NAME?</v>
      </c>
      <c r="F8627" t="s">
        <v>38721</v>
      </c>
      <c r="G8627" t="s">
        <v>38722</v>
      </c>
      <c r="H8627" t="s">
        <v>1322</v>
      </c>
      <c r="I8627" t="s">
        <v>38723</v>
      </c>
      <c r="J8627" t="s">
        <v>20365</v>
      </c>
      <c r="L8627" t="s">
        <v>38724</v>
      </c>
      <c r="M8627" t="s">
        <v>46</v>
      </c>
      <c r="N8627" t="s">
        <v>2519</v>
      </c>
      <c r="O8627" t="s">
        <v>38725</v>
      </c>
      <c r="P8627" t="s">
        <v>38726</v>
      </c>
      <c r="Q8627" t="s">
        <v>38727</v>
      </c>
      <c r="R8627">
        <v>27</v>
      </c>
      <c r="S8627">
        <v>32</v>
      </c>
    </row>
    <row r="8628" spans="1:19" x14ac:dyDescent="0.35">
      <c r="A8628">
        <v>390</v>
      </c>
      <c r="B8628" t="s">
        <v>38606</v>
      </c>
      <c r="C8628" t="s">
        <v>42</v>
      </c>
      <c r="D8628" t="s">
        <v>38607</v>
      </c>
      <c r="E8628" t="e" cm="1">
        <f t="array" ref="E8628">- POVIDONE-IODINE</f>
        <v>#NAME?</v>
      </c>
      <c r="F8628" t="s">
        <v>38608</v>
      </c>
      <c r="G8628" t="s">
        <v>38609</v>
      </c>
      <c r="H8628" t="s">
        <v>38610</v>
      </c>
      <c r="I8628" t="s">
        <v>38611</v>
      </c>
      <c r="J8628" t="s">
        <v>38612</v>
      </c>
      <c r="K8628" t="s">
        <v>6351</v>
      </c>
      <c r="L8628" t="s">
        <v>38613</v>
      </c>
      <c r="M8628" t="s">
        <v>38614</v>
      </c>
      <c r="N8628" t="s">
        <v>555</v>
      </c>
      <c r="O8628" t="s">
        <v>38615</v>
      </c>
      <c r="P8628" t="s">
        <v>38616</v>
      </c>
      <c r="Q8628" t="s">
        <v>38617</v>
      </c>
      <c r="R8628">
        <v>27</v>
      </c>
      <c r="S8628">
        <v>32</v>
      </c>
    </row>
    <row r="8629" spans="1:19" x14ac:dyDescent="0.35">
      <c r="A8629">
        <v>8715</v>
      </c>
      <c r="B8629" t="s">
        <v>38728</v>
      </c>
      <c r="C8629" t="s">
        <v>42</v>
      </c>
      <c r="D8629" t="s">
        <v>38729</v>
      </c>
      <c r="E8629" t="e" cm="1">
        <f t="array" ref="E8629">- GLIMEPIRIDE</f>
        <v>#NAME?</v>
      </c>
      <c r="F8629" t="s">
        <v>38730</v>
      </c>
      <c r="G8629" t="s">
        <v>8973</v>
      </c>
      <c r="H8629" t="s">
        <v>38731</v>
      </c>
      <c r="I8629" t="s">
        <v>38732</v>
      </c>
      <c r="J8629" t="s">
        <v>10107</v>
      </c>
      <c r="K8629" t="s">
        <v>8974</v>
      </c>
      <c r="L8629" t="s">
        <v>38733</v>
      </c>
      <c r="M8629" t="s">
        <v>291</v>
      </c>
      <c r="N8629" t="s">
        <v>34927</v>
      </c>
      <c r="O8629" t="s">
        <v>38734</v>
      </c>
      <c r="P8629" t="s">
        <v>38735</v>
      </c>
      <c r="Q8629" t="s">
        <v>38736</v>
      </c>
      <c r="R8629">
        <v>27</v>
      </c>
      <c r="S8629">
        <v>32</v>
      </c>
    </row>
    <row r="8630" spans="1:19" x14ac:dyDescent="0.35">
      <c r="A8630">
        <v>2768</v>
      </c>
      <c r="B8630" t="s">
        <v>38737</v>
      </c>
      <c r="C8630" t="s">
        <v>42</v>
      </c>
      <c r="D8630" t="s">
        <v>38738</v>
      </c>
      <c r="E8630" t="e" cm="1">
        <f t="array" ref="E8630">- DICLOFENAC SODIUM</f>
        <v>#NAME?</v>
      </c>
      <c r="F8630" s="1">
        <v>174600</v>
      </c>
      <c r="G8630" t="s">
        <v>2241</v>
      </c>
      <c r="H8630" t="s">
        <v>4751</v>
      </c>
      <c r="I8630" t="s">
        <v>38739</v>
      </c>
      <c r="J8630" t="s">
        <v>16154</v>
      </c>
      <c r="K8630" t="s">
        <v>2679</v>
      </c>
      <c r="L8630" t="s">
        <v>38740</v>
      </c>
      <c r="M8630" t="s">
        <v>46</v>
      </c>
      <c r="N8630" t="s">
        <v>2597</v>
      </c>
      <c r="O8630" t="s">
        <v>38741</v>
      </c>
      <c r="P8630" t="s">
        <v>38742</v>
      </c>
      <c r="Q8630" t="s">
        <v>38743</v>
      </c>
      <c r="R8630">
        <v>27</v>
      </c>
      <c r="S8630">
        <v>32</v>
      </c>
    </row>
    <row r="8631" spans="1:19" x14ac:dyDescent="0.35">
      <c r="A8631">
        <v>5006</v>
      </c>
      <c r="B8631" t="s">
        <v>26686</v>
      </c>
      <c r="C8631" t="s">
        <v>42</v>
      </c>
      <c r="D8631" t="s">
        <v>38600</v>
      </c>
      <c r="E8631" t="e" cm="1">
        <f t="array" ref="E8631">- HYDROCORTISONE BUTYRATE</f>
        <v>#NAME?</v>
      </c>
      <c r="F8631" t="s">
        <v>38601</v>
      </c>
      <c r="G8631" t="s">
        <v>11887</v>
      </c>
      <c r="H8631" t="s">
        <v>26689</v>
      </c>
      <c r="I8631" t="s">
        <v>38602</v>
      </c>
      <c r="J8631" t="s">
        <v>7114</v>
      </c>
      <c r="L8631" t="s">
        <v>6541</v>
      </c>
      <c r="M8631" t="s">
        <v>1289</v>
      </c>
      <c r="N8631" t="s">
        <v>26691</v>
      </c>
      <c r="O8631" t="s">
        <v>38603</v>
      </c>
      <c r="P8631" t="s">
        <v>38604</v>
      </c>
      <c r="Q8631" t="s">
        <v>38605</v>
      </c>
      <c r="R8631">
        <v>27</v>
      </c>
      <c r="S8631">
        <v>32</v>
      </c>
    </row>
    <row r="8632" spans="1:19" x14ac:dyDescent="0.35">
      <c r="A8632">
        <v>9031</v>
      </c>
      <c r="B8632" t="s">
        <v>38744</v>
      </c>
      <c r="C8632" t="s">
        <v>42</v>
      </c>
      <c r="D8632" t="s">
        <v>38745</v>
      </c>
      <c r="E8632" t="e" cm="1">
        <f t="array" ref="E8632">- AMLODIPINE BESILATE</f>
        <v>#NAME?</v>
      </c>
      <c r="F8632" t="s">
        <v>38746</v>
      </c>
      <c r="G8632" t="s">
        <v>3098</v>
      </c>
      <c r="H8632" t="s">
        <v>38628</v>
      </c>
      <c r="I8632" t="s">
        <v>38629</v>
      </c>
      <c r="J8632" t="s">
        <v>2100</v>
      </c>
      <c r="K8632" t="s">
        <v>38631</v>
      </c>
      <c r="L8632" t="s">
        <v>32377</v>
      </c>
      <c r="M8632" t="s">
        <v>46</v>
      </c>
      <c r="N8632" t="s">
        <v>2484</v>
      </c>
      <c r="O8632" t="s">
        <v>38632</v>
      </c>
      <c r="P8632" t="s">
        <v>38633</v>
      </c>
      <c r="Q8632" t="s">
        <v>38634</v>
      </c>
      <c r="R8632">
        <v>27</v>
      </c>
      <c r="S8632">
        <v>32</v>
      </c>
    </row>
    <row r="8633" spans="1:19" x14ac:dyDescent="0.35">
      <c r="A8633">
        <v>7686</v>
      </c>
      <c r="B8633" t="s">
        <v>38683</v>
      </c>
      <c r="C8633" t="s">
        <v>20</v>
      </c>
      <c r="D8633" t="s">
        <v>38684</v>
      </c>
      <c r="E8633" t="s">
        <v>38685</v>
      </c>
      <c r="F8633" t="s">
        <v>38686</v>
      </c>
      <c r="H8633" t="s">
        <v>38638</v>
      </c>
      <c r="I8633" t="s">
        <v>32576</v>
      </c>
      <c r="J8633" t="s">
        <v>38639</v>
      </c>
      <c r="M8633" t="s">
        <v>554</v>
      </c>
      <c r="N8633" t="s">
        <v>38687</v>
      </c>
      <c r="O8633" t="s">
        <v>32578</v>
      </c>
      <c r="P8633" t="s">
        <v>38688</v>
      </c>
      <c r="Q8633" t="s">
        <v>38689</v>
      </c>
      <c r="R8633">
        <v>27</v>
      </c>
      <c r="S8633">
        <v>32</v>
      </c>
    </row>
    <row r="8634" spans="1:19" x14ac:dyDescent="0.35">
      <c r="A8634">
        <v>1535</v>
      </c>
      <c r="B8634" t="s">
        <v>26605</v>
      </c>
      <c r="C8634" t="s">
        <v>42</v>
      </c>
      <c r="D8634" t="s">
        <v>32029</v>
      </c>
      <c r="E8634" t="e" cm="1">
        <f t="array" ref="E8634">- SUCCUS LIQUIRITIAE. AMMONIUM CHLORIDE. PARACETAMOL. EPHEDRINE HYDROCHLORIDE. CHLORPHENAMINE MALEATE</f>
        <v>#NAME?</v>
      </c>
      <c r="F8634" t="s">
        <v>32030</v>
      </c>
      <c r="G8634" t="s">
        <v>2241</v>
      </c>
      <c r="H8634" t="s">
        <v>32031</v>
      </c>
      <c r="I8634" t="s">
        <v>32032</v>
      </c>
      <c r="J8634" t="s">
        <v>32033</v>
      </c>
      <c r="K8634" t="s">
        <v>32034</v>
      </c>
      <c r="L8634" t="s">
        <v>32035</v>
      </c>
      <c r="M8634" t="s">
        <v>271</v>
      </c>
      <c r="N8634" t="s">
        <v>35709</v>
      </c>
      <c r="O8634" t="s">
        <v>32036</v>
      </c>
      <c r="P8634" t="s">
        <v>26613</v>
      </c>
      <c r="Q8634" t="s">
        <v>38747</v>
      </c>
      <c r="R8634">
        <v>27</v>
      </c>
      <c r="S8634">
        <v>32</v>
      </c>
    </row>
    <row r="8635" spans="1:19" x14ac:dyDescent="0.35">
      <c r="A8635">
        <v>388</v>
      </c>
      <c r="B8635" t="s">
        <v>38606</v>
      </c>
      <c r="C8635" t="s">
        <v>42</v>
      </c>
      <c r="D8635" t="s">
        <v>38607</v>
      </c>
      <c r="E8635" t="e" cm="1">
        <f t="array" ref="E8635">- POVIDONE-IODINE</f>
        <v>#NAME?</v>
      </c>
      <c r="F8635" t="s">
        <v>38608</v>
      </c>
      <c r="G8635" t="s">
        <v>38609</v>
      </c>
      <c r="H8635" t="s">
        <v>38610</v>
      </c>
      <c r="I8635" t="s">
        <v>38611</v>
      </c>
      <c r="J8635" t="s">
        <v>38612</v>
      </c>
      <c r="K8635" t="s">
        <v>6351</v>
      </c>
      <c r="L8635" t="s">
        <v>38613</v>
      </c>
      <c r="M8635" t="s">
        <v>38614</v>
      </c>
      <c r="N8635" t="s">
        <v>555</v>
      </c>
      <c r="O8635" t="s">
        <v>38615</v>
      </c>
      <c r="P8635" t="s">
        <v>38616</v>
      </c>
      <c r="Q8635" t="s">
        <v>38617</v>
      </c>
      <c r="R8635">
        <v>27</v>
      </c>
      <c r="S8635">
        <v>32</v>
      </c>
    </row>
    <row r="8636" spans="1:19" x14ac:dyDescent="0.35">
      <c r="A8636">
        <v>1536</v>
      </c>
      <c r="B8636" t="s">
        <v>26605</v>
      </c>
      <c r="C8636" t="s">
        <v>42</v>
      </c>
      <c r="D8636" t="s">
        <v>32029</v>
      </c>
      <c r="E8636" t="e" cm="1">
        <f t="array" ref="E8636">- SUCCUS LIQUIRITIAE. AMMONIUM CHLORIDE. EPHEDRINE HYDROCHLORIDE. CHLORPHENAMINE MALEATE. PARACETAMOL</f>
        <v>#NAME?</v>
      </c>
      <c r="F8636" t="s">
        <v>32030</v>
      </c>
      <c r="G8636" t="s">
        <v>2241</v>
      </c>
      <c r="H8636" t="s">
        <v>32031</v>
      </c>
      <c r="I8636" t="s">
        <v>32032</v>
      </c>
      <c r="J8636" t="s">
        <v>32033</v>
      </c>
      <c r="K8636" t="s">
        <v>32034</v>
      </c>
      <c r="L8636" t="s">
        <v>32035</v>
      </c>
      <c r="M8636" t="s">
        <v>271</v>
      </c>
      <c r="N8636" t="s">
        <v>35712</v>
      </c>
      <c r="O8636" t="s">
        <v>32036</v>
      </c>
      <c r="P8636" t="s">
        <v>26613</v>
      </c>
      <c r="Q8636" t="s">
        <v>38748</v>
      </c>
      <c r="R8636">
        <v>27</v>
      </c>
      <c r="S8636">
        <v>32</v>
      </c>
    </row>
    <row r="8637" spans="1:19" x14ac:dyDescent="0.35">
      <c r="A8637">
        <v>5038</v>
      </c>
      <c r="B8637" t="s">
        <v>38749</v>
      </c>
      <c r="C8637" t="s">
        <v>42</v>
      </c>
      <c r="D8637" t="s">
        <v>38750</v>
      </c>
      <c r="E8637" t="e" cm="1">
        <f t="array" ref="E8637">- CLOBETASOL PROPIONATE</f>
        <v>#NAME?</v>
      </c>
      <c r="F8637" t="s">
        <v>38751</v>
      </c>
      <c r="G8637" t="s">
        <v>18098</v>
      </c>
      <c r="H8637" t="s">
        <v>38752</v>
      </c>
      <c r="I8637" t="s">
        <v>38753</v>
      </c>
      <c r="J8637" t="s">
        <v>1367</v>
      </c>
      <c r="L8637" t="s">
        <v>38754</v>
      </c>
      <c r="M8637" t="s">
        <v>1289</v>
      </c>
      <c r="N8637" t="s">
        <v>3588</v>
      </c>
      <c r="O8637" t="s">
        <v>38755</v>
      </c>
      <c r="P8637" t="s">
        <v>38756</v>
      </c>
      <c r="Q8637" t="s">
        <v>38757</v>
      </c>
      <c r="R8637">
        <v>27</v>
      </c>
      <c r="S8637">
        <v>32</v>
      </c>
    </row>
    <row r="8638" spans="1:19" x14ac:dyDescent="0.35">
      <c r="A8638">
        <v>5037</v>
      </c>
      <c r="B8638" t="s">
        <v>38749</v>
      </c>
      <c r="C8638" t="s">
        <v>42</v>
      </c>
      <c r="D8638" t="s">
        <v>38750</v>
      </c>
      <c r="E8638" t="e" cm="1">
        <f t="array" ref="E8638">- CLOBETASOL PROPIONATE</f>
        <v>#NAME?</v>
      </c>
      <c r="F8638" t="s">
        <v>38751</v>
      </c>
      <c r="G8638" t="s">
        <v>18098</v>
      </c>
      <c r="H8638" t="s">
        <v>38752</v>
      </c>
      <c r="I8638" t="s">
        <v>38753</v>
      </c>
      <c r="J8638" t="s">
        <v>1367</v>
      </c>
      <c r="L8638" t="s">
        <v>38754</v>
      </c>
      <c r="M8638" t="s">
        <v>1289</v>
      </c>
      <c r="N8638" t="s">
        <v>3588</v>
      </c>
      <c r="O8638" t="s">
        <v>38755</v>
      </c>
      <c r="P8638" t="s">
        <v>38756</v>
      </c>
      <c r="Q8638" t="s">
        <v>38757</v>
      </c>
      <c r="R8638">
        <v>27</v>
      </c>
      <c r="S8638">
        <v>32</v>
      </c>
    </row>
    <row r="8639" spans="1:19" x14ac:dyDescent="0.35">
      <c r="A8639">
        <v>6682</v>
      </c>
      <c r="B8639" t="s">
        <v>38758</v>
      </c>
      <c r="C8639" t="s">
        <v>42</v>
      </c>
      <c r="D8639" t="s">
        <v>38759</v>
      </c>
      <c r="E8639" t="e" cm="1">
        <f t="array" ref="E8639">- METHISOPRINOL</f>
        <v>#NAME?</v>
      </c>
      <c r="F8639" t="s">
        <v>38760</v>
      </c>
      <c r="G8639" t="s">
        <v>9363</v>
      </c>
      <c r="H8639" t="s">
        <v>38761</v>
      </c>
      <c r="I8639" t="s">
        <v>38762</v>
      </c>
      <c r="J8639" t="s">
        <v>38763</v>
      </c>
      <c r="K8639" t="s">
        <v>38764</v>
      </c>
      <c r="L8639" t="s">
        <v>38765</v>
      </c>
      <c r="M8639" t="s">
        <v>271</v>
      </c>
      <c r="N8639" t="s">
        <v>322</v>
      </c>
      <c r="O8639" t="s">
        <v>38766</v>
      </c>
      <c r="P8639" t="s">
        <v>38767</v>
      </c>
      <c r="Q8639" t="s">
        <v>38768</v>
      </c>
      <c r="R8639">
        <v>27</v>
      </c>
      <c r="S8639">
        <v>32</v>
      </c>
    </row>
    <row r="8640" spans="1:19" x14ac:dyDescent="0.35">
      <c r="A8640">
        <v>6301</v>
      </c>
      <c r="B8640" t="s">
        <v>38769</v>
      </c>
      <c r="C8640" t="s">
        <v>42</v>
      </c>
      <c r="D8640" t="s">
        <v>38770</v>
      </c>
      <c r="E8640" t="e" cm="1">
        <f t="array" ref="E8640">- THIAMPHENICOL</f>
        <v>#NAME?</v>
      </c>
      <c r="F8640" t="s">
        <v>38771</v>
      </c>
      <c r="H8640" t="s">
        <v>269</v>
      </c>
      <c r="I8640" t="s">
        <v>38772</v>
      </c>
      <c r="J8640" t="s">
        <v>38773</v>
      </c>
      <c r="L8640" t="s">
        <v>270</v>
      </c>
      <c r="M8640" t="s">
        <v>38</v>
      </c>
      <c r="N8640" t="s">
        <v>272</v>
      </c>
      <c r="O8640" t="s">
        <v>38774</v>
      </c>
      <c r="P8640" t="s">
        <v>38775</v>
      </c>
      <c r="Q8640" t="s">
        <v>38776</v>
      </c>
      <c r="R8640">
        <v>27</v>
      </c>
      <c r="S8640">
        <v>32</v>
      </c>
    </row>
    <row r="8641" spans="1:19" x14ac:dyDescent="0.35">
      <c r="A8641">
        <v>8738</v>
      </c>
      <c r="B8641" t="s">
        <v>38777</v>
      </c>
      <c r="C8641" t="s">
        <v>42</v>
      </c>
      <c r="D8641" t="s">
        <v>38778</v>
      </c>
      <c r="E8641" t="e" cm="1">
        <f t="array" ref="E8641">- SITAGLIPTIN PHOSPHATE</f>
        <v>#NAME?</v>
      </c>
      <c r="F8641" t="s">
        <v>38779</v>
      </c>
      <c r="G8641" t="s">
        <v>6310</v>
      </c>
      <c r="H8641" t="s">
        <v>38780</v>
      </c>
      <c r="I8641" t="s">
        <v>38781</v>
      </c>
      <c r="J8641" t="s">
        <v>38782</v>
      </c>
      <c r="K8641" t="s">
        <v>2858</v>
      </c>
      <c r="L8641" t="s">
        <v>38783</v>
      </c>
    </row>
    <row r="8642" spans="1:19" x14ac:dyDescent="0.35">
      <c r="A8642">
        <v>4617</v>
      </c>
      <c r="B8642" t="s">
        <v>19493</v>
      </c>
      <c r="C8642" t="s">
        <v>42</v>
      </c>
      <c r="D8642" t="s">
        <v>36962</v>
      </c>
      <c r="E8642" t="e" cm="1">
        <f t="array" ref="E8642">- PHENYLEPHRINE HYDROCHLORIDE. ZINC SULFATE HEPTAHYDRATE</f>
        <v>#NAME?</v>
      </c>
      <c r="F8642" t="s">
        <v>36963</v>
      </c>
      <c r="G8642" t="s">
        <v>8658</v>
      </c>
      <c r="H8642" t="s">
        <v>36964</v>
      </c>
      <c r="I8642" t="s">
        <v>36965</v>
      </c>
      <c r="J8642" t="s">
        <v>30861</v>
      </c>
      <c r="K8642" t="s">
        <v>16776</v>
      </c>
      <c r="L8642" t="s">
        <v>36966</v>
      </c>
      <c r="M8642" t="s">
        <v>824</v>
      </c>
      <c r="N8642" t="s">
        <v>26226</v>
      </c>
      <c r="O8642" t="s">
        <v>36967</v>
      </c>
      <c r="P8642" t="s">
        <v>36968</v>
      </c>
      <c r="Q8642" t="s">
        <v>38784</v>
      </c>
      <c r="R8642">
        <v>27</v>
      </c>
      <c r="S8642">
        <v>32</v>
      </c>
    </row>
    <row r="8643" spans="1:19" x14ac:dyDescent="0.35">
      <c r="A8643">
        <v>8739</v>
      </c>
      <c r="B8643" t="s">
        <v>38777</v>
      </c>
      <c r="C8643" t="s">
        <v>42</v>
      </c>
      <c r="D8643" t="s">
        <v>38778</v>
      </c>
      <c r="E8643" t="e" cm="1">
        <f t="array" ref="E8643">- SITAGLIPTIN PHOSPHATE</f>
        <v>#NAME?</v>
      </c>
      <c r="F8643" t="s">
        <v>38779</v>
      </c>
      <c r="G8643" t="s">
        <v>6310</v>
      </c>
      <c r="H8643" t="s">
        <v>38780</v>
      </c>
      <c r="I8643" t="s">
        <v>38781</v>
      </c>
      <c r="J8643" t="s">
        <v>38782</v>
      </c>
      <c r="K8643" t="s">
        <v>2858</v>
      </c>
      <c r="L8643" t="s">
        <v>38783</v>
      </c>
    </row>
    <row r="8644" spans="1:19" x14ac:dyDescent="0.35">
      <c r="A8644">
        <v>9107</v>
      </c>
      <c r="B8644" t="s">
        <v>38785</v>
      </c>
      <c r="C8644" t="s">
        <v>42</v>
      </c>
      <c r="D8644" t="s">
        <v>38786</v>
      </c>
      <c r="E8644" t="e" cm="1">
        <f t="array" ref="E8644">- PROPRANOLOL</f>
        <v>#NAME?</v>
      </c>
      <c r="F8644" t="s">
        <v>27994</v>
      </c>
      <c r="G8644" t="s">
        <v>38787</v>
      </c>
      <c r="H8644" t="s">
        <v>38788</v>
      </c>
      <c r="I8644" t="s">
        <v>38789</v>
      </c>
      <c r="J8644" t="s">
        <v>6476</v>
      </c>
      <c r="K8644" t="s">
        <v>38790</v>
      </c>
      <c r="L8644" t="s">
        <v>38791</v>
      </c>
      <c r="M8644" t="s">
        <v>46</v>
      </c>
      <c r="N8644" t="s">
        <v>38792</v>
      </c>
      <c r="O8644" t="s">
        <v>38793</v>
      </c>
      <c r="P8644" t="s">
        <v>38794</v>
      </c>
      <c r="Q8644" t="s">
        <v>38795</v>
      </c>
      <c r="R8644">
        <v>27</v>
      </c>
      <c r="S8644">
        <v>32</v>
      </c>
    </row>
    <row r="8645" spans="1:19" x14ac:dyDescent="0.35">
      <c r="A8645">
        <v>8744</v>
      </c>
      <c r="B8645" t="s">
        <v>38796</v>
      </c>
      <c r="C8645" t="s">
        <v>42</v>
      </c>
      <c r="D8645" t="s">
        <v>38797</v>
      </c>
      <c r="E8645" t="e" cm="1">
        <f t="array" ref="E8645">- GLIMEPIRIDE</f>
        <v>#NAME?</v>
      </c>
      <c r="F8645" t="s">
        <v>38798</v>
      </c>
      <c r="G8645" t="s">
        <v>8973</v>
      </c>
      <c r="H8645" t="s">
        <v>38731</v>
      </c>
      <c r="I8645" t="s">
        <v>38732</v>
      </c>
      <c r="J8645" t="s">
        <v>12887</v>
      </c>
      <c r="K8645" t="s">
        <v>8974</v>
      </c>
      <c r="L8645" t="s">
        <v>38733</v>
      </c>
      <c r="M8645" t="s">
        <v>46</v>
      </c>
      <c r="N8645" t="s">
        <v>34927</v>
      </c>
      <c r="O8645" t="s">
        <v>38734</v>
      </c>
      <c r="P8645" t="s">
        <v>38799</v>
      </c>
      <c r="Q8645" t="s">
        <v>38800</v>
      </c>
      <c r="R8645">
        <v>27</v>
      </c>
      <c r="S8645">
        <v>32</v>
      </c>
    </row>
    <row r="8646" spans="1:19" x14ac:dyDescent="0.35">
      <c r="A8646">
        <v>2759</v>
      </c>
      <c r="B8646" t="s">
        <v>38801</v>
      </c>
      <c r="C8646" t="s">
        <v>42</v>
      </c>
      <c r="D8646" t="s">
        <v>38802</v>
      </c>
      <c r="E8646" t="e" cm="1">
        <f t="array" ref="E8646">- FLUNARIZINE HYDROCHLORIDE</f>
        <v>#NAME?</v>
      </c>
      <c r="F8646" t="s">
        <v>38803</v>
      </c>
      <c r="G8646" t="s">
        <v>4913</v>
      </c>
      <c r="H8646" t="s">
        <v>38152</v>
      </c>
      <c r="I8646" t="s">
        <v>38153</v>
      </c>
      <c r="J8646" t="s">
        <v>22180</v>
      </c>
      <c r="K8646" t="s">
        <v>38804</v>
      </c>
      <c r="L8646" t="s">
        <v>38155</v>
      </c>
      <c r="M8646" t="s">
        <v>46</v>
      </c>
      <c r="N8646" t="s">
        <v>4516</v>
      </c>
      <c r="O8646" t="s">
        <v>38156</v>
      </c>
      <c r="P8646" t="s">
        <v>38157</v>
      </c>
      <c r="Q8646" t="s">
        <v>38805</v>
      </c>
      <c r="R8646">
        <v>27</v>
      </c>
      <c r="S8646">
        <v>32</v>
      </c>
    </row>
    <row r="8647" spans="1:19" x14ac:dyDescent="0.35">
      <c r="A8647">
        <v>6187</v>
      </c>
      <c r="B8647" t="s">
        <v>37307</v>
      </c>
      <c r="C8647" t="s">
        <v>42</v>
      </c>
      <c r="D8647" t="s">
        <v>37308</v>
      </c>
      <c r="E8647" t="e" cm="1">
        <f t="array" ref="E8647">- CIPROFLOXACIN HYDROCHLORIDE MONOHYDRATE</f>
        <v>#NAME?</v>
      </c>
      <c r="F8647" t="s">
        <v>37309</v>
      </c>
      <c r="G8647" t="s">
        <v>60</v>
      </c>
      <c r="H8647" t="s">
        <v>15170</v>
      </c>
      <c r="I8647" t="s">
        <v>37310</v>
      </c>
      <c r="J8647" t="s">
        <v>20350</v>
      </c>
      <c r="K8647" t="s">
        <v>37311</v>
      </c>
      <c r="L8647" t="s">
        <v>37312</v>
      </c>
      <c r="M8647" t="s">
        <v>291</v>
      </c>
      <c r="N8647" t="s">
        <v>10679</v>
      </c>
      <c r="O8647" t="s">
        <v>37313</v>
      </c>
      <c r="P8647" t="s">
        <v>37314</v>
      </c>
      <c r="Q8647" t="s">
        <v>38806</v>
      </c>
      <c r="R8647">
        <v>27</v>
      </c>
      <c r="S8647">
        <v>32</v>
      </c>
    </row>
    <row r="8648" spans="1:19" x14ac:dyDescent="0.35">
      <c r="A8648">
        <v>6728</v>
      </c>
      <c r="B8648" t="s">
        <v>38807</v>
      </c>
      <c r="C8648" t="s">
        <v>42</v>
      </c>
      <c r="D8648" t="s">
        <v>38808</v>
      </c>
      <c r="E8648" t="e" cm="1">
        <f t="array" ref="E8648">- CALCITRIOL</f>
        <v>#NAME?</v>
      </c>
      <c r="F8648" t="s">
        <v>38809</v>
      </c>
      <c r="G8648" t="s">
        <v>1258</v>
      </c>
      <c r="H8648" t="s">
        <v>38810</v>
      </c>
      <c r="I8648" t="s">
        <v>38811</v>
      </c>
      <c r="J8648" t="s">
        <v>38812</v>
      </c>
      <c r="K8648" t="s">
        <v>36740</v>
      </c>
      <c r="L8648" t="s">
        <v>38813</v>
      </c>
      <c r="M8648" t="s">
        <v>38</v>
      </c>
      <c r="N8648" t="s">
        <v>442</v>
      </c>
      <c r="O8648" t="s">
        <v>38814</v>
      </c>
      <c r="P8648" t="s">
        <v>36742</v>
      </c>
      <c r="Q8648" t="s">
        <v>38815</v>
      </c>
      <c r="R8648">
        <v>27</v>
      </c>
      <c r="S8648">
        <v>32</v>
      </c>
    </row>
    <row r="8649" spans="1:19" x14ac:dyDescent="0.35">
      <c r="A8649">
        <v>6324</v>
      </c>
      <c r="B8649" t="s">
        <v>38618</v>
      </c>
      <c r="C8649" t="s">
        <v>42</v>
      </c>
      <c r="D8649" t="s">
        <v>38619</v>
      </c>
      <c r="E8649" t="e" cm="1">
        <f t="array" ref="E8649">- LEVOFLOXACIN HEMIHYDRATE</f>
        <v>#NAME?</v>
      </c>
      <c r="F8649" t="s">
        <v>38620</v>
      </c>
      <c r="G8649" t="s">
        <v>33235</v>
      </c>
      <c r="H8649" t="s">
        <v>38621</v>
      </c>
      <c r="I8649" t="s">
        <v>38622</v>
      </c>
      <c r="J8649" t="s">
        <v>38623</v>
      </c>
      <c r="K8649" t="s">
        <v>38624</v>
      </c>
    </row>
    <row r="8650" spans="1:19" x14ac:dyDescent="0.35">
      <c r="A8650">
        <v>6672</v>
      </c>
      <c r="B8650" t="s">
        <v>38816</v>
      </c>
      <c r="C8650" t="s">
        <v>42</v>
      </c>
      <c r="D8650" t="s">
        <v>38817</v>
      </c>
      <c r="E8650" t="e" cm="1">
        <f t="array" ref="E8650">- METHISOPRINOL</f>
        <v>#NAME?</v>
      </c>
      <c r="F8650" t="s">
        <v>38818</v>
      </c>
      <c r="G8650" t="s">
        <v>6310</v>
      </c>
      <c r="H8650" t="s">
        <v>38819</v>
      </c>
      <c r="I8650" t="s">
        <v>38820</v>
      </c>
    </row>
    <row r="8651" spans="1:19" x14ac:dyDescent="0.35">
      <c r="A8651">
        <v>7946</v>
      </c>
      <c r="B8651" t="s">
        <v>11113</v>
      </c>
      <c r="C8651" t="s">
        <v>20</v>
      </c>
      <c r="D8651" t="s">
        <v>38821</v>
      </c>
      <c r="E8651" t="s">
        <v>11115</v>
      </c>
      <c r="F8651" t="s">
        <v>38822</v>
      </c>
      <c r="G8651" t="s">
        <v>11117</v>
      </c>
      <c r="H8651" t="s">
        <v>11118</v>
      </c>
      <c r="I8651" t="s">
        <v>38823</v>
      </c>
      <c r="J8651" t="s">
        <v>38824</v>
      </c>
      <c r="M8651" t="s">
        <v>63</v>
      </c>
      <c r="N8651" t="s">
        <v>11121</v>
      </c>
      <c r="O8651" t="s">
        <v>38825</v>
      </c>
      <c r="P8651" t="s">
        <v>11121</v>
      </c>
      <c r="Q8651" t="s">
        <v>38826</v>
      </c>
      <c r="R8651">
        <v>27</v>
      </c>
      <c r="S8651">
        <v>32</v>
      </c>
    </row>
    <row r="8652" spans="1:19" x14ac:dyDescent="0.35">
      <c r="A8652">
        <v>6671</v>
      </c>
      <c r="B8652" t="s">
        <v>38816</v>
      </c>
      <c r="C8652" t="s">
        <v>42</v>
      </c>
      <c r="D8652" t="s">
        <v>38817</v>
      </c>
      <c r="E8652" t="e" cm="1">
        <f t="array" ref="E8652">- METHISOPRINOL</f>
        <v>#NAME?</v>
      </c>
      <c r="F8652" t="s">
        <v>38818</v>
      </c>
      <c r="G8652" t="s">
        <v>6310</v>
      </c>
      <c r="H8652" t="s">
        <v>38819</v>
      </c>
      <c r="I8652" t="s">
        <v>38820</v>
      </c>
    </row>
    <row r="8653" spans="1:19" x14ac:dyDescent="0.35">
      <c r="A8653">
        <v>7546</v>
      </c>
      <c r="B8653" t="s">
        <v>38827</v>
      </c>
      <c r="C8653" t="s">
        <v>42</v>
      </c>
      <c r="D8653" t="s">
        <v>38828</v>
      </c>
      <c r="E8653" t="e" cm="1">
        <f t="array" ref="E8653">- FOLIC ACID. FERROUS FUMARATE</f>
        <v>#NAME?</v>
      </c>
      <c r="F8653" t="s">
        <v>38829</v>
      </c>
      <c r="G8653" t="s">
        <v>2241</v>
      </c>
      <c r="H8653" t="s">
        <v>9899</v>
      </c>
      <c r="I8653" t="s">
        <v>38830</v>
      </c>
      <c r="J8653" t="s">
        <v>38831</v>
      </c>
      <c r="M8653" t="s">
        <v>46</v>
      </c>
      <c r="N8653" t="s">
        <v>29476</v>
      </c>
      <c r="O8653" t="s">
        <v>38832</v>
      </c>
      <c r="P8653" t="s">
        <v>38833</v>
      </c>
      <c r="Q8653" t="s">
        <v>38834</v>
      </c>
      <c r="R8653">
        <v>27</v>
      </c>
      <c r="S8653">
        <v>32</v>
      </c>
    </row>
    <row r="8654" spans="1:19" x14ac:dyDescent="0.35">
      <c r="A8654">
        <v>7547</v>
      </c>
      <c r="B8654" t="s">
        <v>38827</v>
      </c>
      <c r="C8654" t="s">
        <v>42</v>
      </c>
      <c r="D8654" t="s">
        <v>38828</v>
      </c>
      <c r="E8654" t="e" cm="1">
        <f t="array" ref="E8654">- FOLIC ACID. FERROUS FUMARATE</f>
        <v>#NAME?</v>
      </c>
      <c r="F8654" t="s">
        <v>38829</v>
      </c>
      <c r="G8654" t="s">
        <v>2241</v>
      </c>
      <c r="H8654" t="s">
        <v>9899</v>
      </c>
      <c r="I8654" t="s">
        <v>38830</v>
      </c>
      <c r="J8654" t="s">
        <v>38831</v>
      </c>
      <c r="M8654" t="s">
        <v>46</v>
      </c>
      <c r="N8654" t="s">
        <v>29476</v>
      </c>
      <c r="O8654" t="s">
        <v>38832</v>
      </c>
      <c r="P8654" t="s">
        <v>38833</v>
      </c>
      <c r="Q8654" t="s">
        <v>38834</v>
      </c>
      <c r="R8654">
        <v>27</v>
      </c>
      <c r="S8654">
        <v>32</v>
      </c>
    </row>
    <row r="8655" spans="1:19" x14ac:dyDescent="0.35">
      <c r="A8655">
        <v>2756</v>
      </c>
      <c r="B8655" t="s">
        <v>38149</v>
      </c>
      <c r="C8655" t="s">
        <v>42</v>
      </c>
      <c r="D8655" t="s">
        <v>38150</v>
      </c>
      <c r="E8655" t="e" cm="1">
        <f t="array" ref="E8655">- FLUNARIZINE HYDROCHLORIDE</f>
        <v>#NAME?</v>
      </c>
      <c r="F8655" t="s">
        <v>38151</v>
      </c>
      <c r="G8655" t="s">
        <v>5552</v>
      </c>
      <c r="H8655" t="s">
        <v>38152</v>
      </c>
      <c r="I8655" t="s">
        <v>38153</v>
      </c>
      <c r="J8655" t="s">
        <v>38154</v>
      </c>
      <c r="L8655" t="s">
        <v>38155</v>
      </c>
      <c r="M8655" t="s">
        <v>46</v>
      </c>
      <c r="N8655" t="s">
        <v>4516</v>
      </c>
      <c r="O8655" t="s">
        <v>38156</v>
      </c>
      <c r="P8655" t="s">
        <v>38157</v>
      </c>
      <c r="Q8655" t="s">
        <v>38805</v>
      </c>
      <c r="R8655">
        <v>27</v>
      </c>
      <c r="S8655">
        <v>32</v>
      </c>
    </row>
    <row r="8656" spans="1:19" x14ac:dyDescent="0.35">
      <c r="A8656">
        <v>4697</v>
      </c>
      <c r="B8656" t="s">
        <v>22938</v>
      </c>
      <c r="C8656" t="s">
        <v>42</v>
      </c>
      <c r="D8656" t="s">
        <v>34697</v>
      </c>
      <c r="E8656" t="e" cm="1">
        <f t="array" ref="E8656">- POLYMYXIN B SULFATE. NEOMYCIN SULFATE. PHENYLEPHRINE HYDROCHLORIDE</f>
        <v>#NAME?</v>
      </c>
      <c r="F8656" t="s">
        <v>34698</v>
      </c>
      <c r="G8656" t="s">
        <v>7569</v>
      </c>
      <c r="H8656" t="s">
        <v>14852</v>
      </c>
      <c r="I8656" t="s">
        <v>34699</v>
      </c>
      <c r="J8656" t="s">
        <v>23073</v>
      </c>
      <c r="L8656" t="s">
        <v>12469</v>
      </c>
      <c r="M8656" t="s">
        <v>824</v>
      </c>
      <c r="N8656" t="s">
        <v>30785</v>
      </c>
      <c r="O8656" t="s">
        <v>34700</v>
      </c>
      <c r="P8656" t="s">
        <v>34701</v>
      </c>
      <c r="Q8656" t="s">
        <v>38835</v>
      </c>
      <c r="R8656">
        <v>27</v>
      </c>
      <c r="S8656">
        <v>32</v>
      </c>
    </row>
    <row r="8657" spans="1:19" x14ac:dyDescent="0.35">
      <c r="A8657">
        <v>2758</v>
      </c>
      <c r="B8657" t="s">
        <v>38801</v>
      </c>
      <c r="C8657" t="s">
        <v>42</v>
      </c>
      <c r="D8657" t="s">
        <v>38802</v>
      </c>
      <c r="E8657" t="e" cm="1">
        <f t="array" ref="E8657">- FLUNARIZINE HYDROCHLORIDE</f>
        <v>#NAME?</v>
      </c>
      <c r="F8657" t="s">
        <v>38803</v>
      </c>
      <c r="G8657" t="s">
        <v>4913</v>
      </c>
      <c r="H8657" t="s">
        <v>38152</v>
      </c>
      <c r="I8657" t="s">
        <v>38153</v>
      </c>
      <c r="J8657" t="s">
        <v>22180</v>
      </c>
      <c r="K8657" t="s">
        <v>38804</v>
      </c>
      <c r="L8657" t="s">
        <v>38155</v>
      </c>
      <c r="M8657" t="s">
        <v>46</v>
      </c>
      <c r="N8657" t="s">
        <v>4516</v>
      </c>
      <c r="O8657" t="s">
        <v>38156</v>
      </c>
      <c r="P8657" t="s">
        <v>38157</v>
      </c>
      <c r="Q8657" t="s">
        <v>38805</v>
      </c>
      <c r="R8657">
        <v>27</v>
      </c>
      <c r="S8657">
        <v>32</v>
      </c>
    </row>
    <row r="8658" spans="1:19" x14ac:dyDescent="0.35">
      <c r="A8658">
        <v>7746</v>
      </c>
      <c r="B8658" t="s">
        <v>38836</v>
      </c>
      <c r="C8658" t="s">
        <v>42</v>
      </c>
      <c r="D8658" t="s">
        <v>38837</v>
      </c>
      <c r="E8658" t="e" cm="1">
        <f t="array" ref="E8658">- ADENOSINE TRIPHOSPHATE</f>
        <v>#NAME?</v>
      </c>
      <c r="F8658" t="s">
        <v>38838</v>
      </c>
      <c r="G8658" t="s">
        <v>2241</v>
      </c>
      <c r="H8658" t="s">
        <v>9899</v>
      </c>
      <c r="I8658" t="s">
        <v>38839</v>
      </c>
      <c r="J8658" t="s">
        <v>1093</v>
      </c>
      <c r="K8658" t="s">
        <v>38840</v>
      </c>
      <c r="L8658" t="s">
        <v>38841</v>
      </c>
      <c r="M8658" t="s">
        <v>46</v>
      </c>
      <c r="N8658" t="s">
        <v>3652</v>
      </c>
      <c r="O8658" t="s">
        <v>38842</v>
      </c>
      <c r="P8658" t="s">
        <v>38843</v>
      </c>
      <c r="Q8658" t="s">
        <v>38844</v>
      </c>
      <c r="R8658">
        <v>27</v>
      </c>
      <c r="S8658">
        <v>32</v>
      </c>
    </row>
    <row r="8659" spans="1:19" x14ac:dyDescent="0.35">
      <c r="A8659">
        <v>6202</v>
      </c>
      <c r="B8659" t="s">
        <v>38845</v>
      </c>
      <c r="C8659" t="s">
        <v>42</v>
      </c>
      <c r="D8659" t="s">
        <v>38846</v>
      </c>
      <c r="E8659" t="e" cm="1">
        <f t="array" ref="E8659">- ETHAMBUTOL HYDROCHLORIDE</f>
        <v>#NAME?</v>
      </c>
      <c r="F8659" s="1">
        <v>51900</v>
      </c>
      <c r="G8659" t="s">
        <v>737</v>
      </c>
      <c r="H8659" t="s">
        <v>38847</v>
      </c>
      <c r="I8659" t="s">
        <v>38848</v>
      </c>
      <c r="J8659" t="s">
        <v>28291</v>
      </c>
      <c r="K8659" t="s">
        <v>38849</v>
      </c>
      <c r="L8659" t="s">
        <v>38850</v>
      </c>
      <c r="M8659" t="s">
        <v>291</v>
      </c>
      <c r="N8659" t="s">
        <v>3130</v>
      </c>
      <c r="O8659" t="s">
        <v>38851</v>
      </c>
      <c r="P8659" t="s">
        <v>38852</v>
      </c>
      <c r="Q8659" t="s">
        <v>38853</v>
      </c>
      <c r="R8659">
        <v>27</v>
      </c>
      <c r="S8659">
        <v>32</v>
      </c>
    </row>
    <row r="8660" spans="1:19" x14ac:dyDescent="0.35">
      <c r="A8660">
        <v>4335</v>
      </c>
      <c r="B8660" t="s">
        <v>29994</v>
      </c>
      <c r="C8660" t="s">
        <v>20</v>
      </c>
      <c r="D8660" t="s">
        <v>38854</v>
      </c>
      <c r="E8660" t="s">
        <v>29996</v>
      </c>
      <c r="F8660" t="s">
        <v>38855</v>
      </c>
      <c r="G8660" t="s">
        <v>37662</v>
      </c>
      <c r="H8660" t="s">
        <v>38856</v>
      </c>
      <c r="I8660" t="s">
        <v>38857</v>
      </c>
      <c r="J8660" t="s">
        <v>11120</v>
      </c>
      <c r="L8660" t="s">
        <v>38858</v>
      </c>
      <c r="M8660" t="s">
        <v>63</v>
      </c>
      <c r="N8660" t="s">
        <v>29999</v>
      </c>
      <c r="O8660" t="s">
        <v>38859</v>
      </c>
      <c r="P8660" t="s">
        <v>29999</v>
      </c>
      <c r="Q8660" t="s">
        <v>38860</v>
      </c>
      <c r="R8660">
        <v>27</v>
      </c>
      <c r="S8660">
        <v>32</v>
      </c>
    </row>
    <row r="8661" spans="1:19" x14ac:dyDescent="0.35">
      <c r="A8661">
        <v>4696</v>
      </c>
      <c r="B8661" t="s">
        <v>22938</v>
      </c>
      <c r="C8661" t="s">
        <v>42</v>
      </c>
      <c r="D8661" t="s">
        <v>34697</v>
      </c>
      <c r="E8661" t="e" cm="1">
        <f t="array" ref="E8661">- POLYMYXIN B SULFATE. NEOMYCIN SULFATE. PHENYLEPHRINE HYDROCHLORIDE</f>
        <v>#NAME?</v>
      </c>
      <c r="F8661" t="s">
        <v>34698</v>
      </c>
      <c r="G8661" t="s">
        <v>7569</v>
      </c>
      <c r="H8661" t="s">
        <v>14852</v>
      </c>
      <c r="I8661" t="s">
        <v>34699</v>
      </c>
      <c r="J8661" t="s">
        <v>23073</v>
      </c>
      <c r="L8661" t="s">
        <v>12469</v>
      </c>
      <c r="M8661" t="s">
        <v>824</v>
      </c>
      <c r="N8661" t="s">
        <v>30785</v>
      </c>
      <c r="O8661" t="s">
        <v>34700</v>
      </c>
      <c r="P8661" t="s">
        <v>34701</v>
      </c>
      <c r="Q8661" t="s">
        <v>38835</v>
      </c>
      <c r="R8661">
        <v>27</v>
      </c>
      <c r="S8661">
        <v>32</v>
      </c>
    </row>
    <row r="8662" spans="1:19" x14ac:dyDescent="0.35">
      <c r="A8662">
        <v>2717</v>
      </c>
      <c r="B8662" t="s">
        <v>38861</v>
      </c>
      <c r="C8662" t="s">
        <v>42</v>
      </c>
      <c r="D8662" t="s">
        <v>38862</v>
      </c>
      <c r="E8662" t="e" cm="1">
        <f t="array" ref="E8662">- ETORICOXIB</f>
        <v>#NAME?</v>
      </c>
      <c r="F8662" t="s">
        <v>38863</v>
      </c>
      <c r="G8662" t="s">
        <v>2617</v>
      </c>
      <c r="H8662" t="s">
        <v>38864</v>
      </c>
      <c r="I8662" t="s">
        <v>38865</v>
      </c>
      <c r="J8662" t="s">
        <v>20754</v>
      </c>
      <c r="K8662" t="s">
        <v>38866</v>
      </c>
      <c r="L8662" t="s">
        <v>38867</v>
      </c>
      <c r="M8662" t="s">
        <v>46</v>
      </c>
      <c r="N8662" t="s">
        <v>47</v>
      </c>
      <c r="O8662" t="s">
        <v>38868</v>
      </c>
      <c r="P8662" t="s">
        <v>38869</v>
      </c>
      <c r="Q8662" t="s">
        <v>38870</v>
      </c>
      <c r="R8662">
        <v>27</v>
      </c>
      <c r="S8662">
        <v>32</v>
      </c>
    </row>
    <row r="8663" spans="1:19" x14ac:dyDescent="0.35">
      <c r="A8663">
        <v>8716</v>
      </c>
      <c r="B8663" t="s">
        <v>38728</v>
      </c>
      <c r="C8663" t="s">
        <v>42</v>
      </c>
      <c r="D8663" t="s">
        <v>38729</v>
      </c>
      <c r="E8663" t="e" cm="1">
        <f t="array" ref="E8663">- GLIMEPIRIDE</f>
        <v>#NAME?</v>
      </c>
      <c r="F8663" t="s">
        <v>38730</v>
      </c>
      <c r="G8663" t="s">
        <v>8973</v>
      </c>
      <c r="H8663" t="s">
        <v>38731</v>
      </c>
      <c r="I8663" t="s">
        <v>38732</v>
      </c>
      <c r="J8663" t="s">
        <v>10107</v>
      </c>
      <c r="K8663" t="s">
        <v>8974</v>
      </c>
      <c r="L8663" t="s">
        <v>38733</v>
      </c>
      <c r="M8663" t="s">
        <v>291</v>
      </c>
      <c r="N8663" t="s">
        <v>34927</v>
      </c>
      <c r="O8663" t="s">
        <v>38734</v>
      </c>
      <c r="P8663" t="s">
        <v>38735</v>
      </c>
      <c r="Q8663" t="s">
        <v>38736</v>
      </c>
      <c r="R8663">
        <v>27</v>
      </c>
      <c r="S8663">
        <v>32</v>
      </c>
    </row>
    <row r="8664" spans="1:19" x14ac:dyDescent="0.35">
      <c r="A8664">
        <v>2716</v>
      </c>
      <c r="B8664" t="s">
        <v>38871</v>
      </c>
      <c r="C8664" t="s">
        <v>42</v>
      </c>
      <c r="D8664" t="s">
        <v>38872</v>
      </c>
      <c r="E8664" t="e" cm="1">
        <f t="array" ref="E8664">- ETORICOXIB</f>
        <v>#NAME?</v>
      </c>
      <c r="F8664" t="s">
        <v>38873</v>
      </c>
      <c r="G8664" t="s">
        <v>2617</v>
      </c>
      <c r="H8664" t="s">
        <v>38864</v>
      </c>
      <c r="I8664" t="s">
        <v>38865</v>
      </c>
      <c r="J8664" t="s">
        <v>20754</v>
      </c>
      <c r="K8664" t="s">
        <v>38866</v>
      </c>
      <c r="L8664" t="s">
        <v>38867</v>
      </c>
      <c r="M8664" t="s">
        <v>46</v>
      </c>
      <c r="N8664" t="s">
        <v>47</v>
      </c>
      <c r="O8664" t="s">
        <v>38868</v>
      </c>
      <c r="P8664" t="s">
        <v>38869</v>
      </c>
      <c r="Q8664" t="s">
        <v>38870</v>
      </c>
      <c r="R8664">
        <v>27</v>
      </c>
      <c r="S8664">
        <v>32</v>
      </c>
    </row>
    <row r="8665" spans="1:19" x14ac:dyDescent="0.35">
      <c r="A8665">
        <v>2708</v>
      </c>
      <c r="B8665" t="s">
        <v>38874</v>
      </c>
      <c r="C8665" t="s">
        <v>42</v>
      </c>
      <c r="D8665" t="s">
        <v>38875</v>
      </c>
      <c r="E8665" t="e" cm="1">
        <f t="array" ref="E8665">- DICLOFENAC POTASSIUM</f>
        <v>#NAME?</v>
      </c>
      <c r="F8665" t="s">
        <v>38876</v>
      </c>
      <c r="H8665" t="s">
        <v>2596</v>
      </c>
      <c r="I8665" t="s">
        <v>38703</v>
      </c>
      <c r="J8665" t="s">
        <v>2402</v>
      </c>
      <c r="M8665" t="s">
        <v>46</v>
      </c>
      <c r="N8665" t="s">
        <v>2637</v>
      </c>
      <c r="O8665" t="s">
        <v>38705</v>
      </c>
      <c r="P8665" t="s">
        <v>38877</v>
      </c>
      <c r="Q8665" t="s">
        <v>38878</v>
      </c>
      <c r="R8665">
        <v>27</v>
      </c>
      <c r="S8665">
        <v>32</v>
      </c>
    </row>
    <row r="8666" spans="1:19" x14ac:dyDescent="0.35">
      <c r="A8666">
        <v>6302</v>
      </c>
      <c r="B8666" t="s">
        <v>38879</v>
      </c>
      <c r="C8666" t="s">
        <v>42</v>
      </c>
      <c r="D8666" t="s">
        <v>38880</v>
      </c>
      <c r="E8666" t="e" cm="1">
        <f t="array" ref="E8666">- THIAMPHENICOL</f>
        <v>#NAME?</v>
      </c>
      <c r="F8666" t="s">
        <v>38881</v>
      </c>
      <c r="H8666" t="s">
        <v>38882</v>
      </c>
      <c r="I8666" t="s">
        <v>38883</v>
      </c>
      <c r="J8666" t="s">
        <v>2784</v>
      </c>
      <c r="L8666" t="s">
        <v>270</v>
      </c>
      <c r="M8666" t="s">
        <v>271</v>
      </c>
      <c r="N8666" t="s">
        <v>272</v>
      </c>
      <c r="O8666" t="s">
        <v>38774</v>
      </c>
      <c r="P8666" t="s">
        <v>38775</v>
      </c>
      <c r="Q8666" t="s">
        <v>38884</v>
      </c>
      <c r="R8666">
        <v>27</v>
      </c>
      <c r="S8666">
        <v>32</v>
      </c>
    </row>
    <row r="8667" spans="1:19" x14ac:dyDescent="0.35">
      <c r="A8667">
        <v>1417</v>
      </c>
      <c r="B8667" t="s">
        <v>30732</v>
      </c>
      <c r="C8667" t="s">
        <v>42</v>
      </c>
      <c r="D8667" t="s">
        <v>31311</v>
      </c>
      <c r="E8667" t="e" cm="1">
        <f t="array" ref="E8667">- SODIUM CITRATE DIHYDRATE. AMMONIUM CHLORIDE. PSEUDOEPHEDRINE HYDROCHLORIDE. PARACETAMOL. DIPHENHYDRAMINE HYDROCHLORIDE</f>
        <v>#NAME?</v>
      </c>
      <c r="F8667" t="s">
        <v>31312</v>
      </c>
      <c r="G8667" t="s">
        <v>7219</v>
      </c>
      <c r="H8667" t="s">
        <v>30735</v>
      </c>
      <c r="I8667" t="s">
        <v>29641</v>
      </c>
      <c r="J8667" t="s">
        <v>334</v>
      </c>
      <c r="K8667" t="e" cm="1">
        <f t="array" ref="K8667">- penderita yang hipersensitif terhadap komponen obat ini. - penderita dengan gangguan fungsi hati yang berat. - penderita dengan gangguan jantung dan diabetes mellitus.</f>
        <v>#NAME?</v>
      </c>
      <c r="L8667" t="s">
        <v>30736</v>
      </c>
      <c r="M8667" t="s">
        <v>271</v>
      </c>
      <c r="N8667" t="s">
        <v>38885</v>
      </c>
      <c r="O8667" t="s">
        <v>29642</v>
      </c>
      <c r="P8667" t="s">
        <v>30737</v>
      </c>
      <c r="Q8667" t="s">
        <v>38886</v>
      </c>
      <c r="R8667">
        <v>27</v>
      </c>
      <c r="S8667">
        <v>32</v>
      </c>
    </row>
    <row r="8668" spans="1:19" x14ac:dyDescent="0.35">
      <c r="A8668">
        <v>863</v>
      </c>
      <c r="B8668" t="s">
        <v>38887</v>
      </c>
      <c r="C8668" t="s">
        <v>42</v>
      </c>
      <c r="D8668" t="s">
        <v>38888</v>
      </c>
      <c r="E8668" t="e" cm="1">
        <f t="array" ref="E8668">- PSEUDOEPHEDRINE HYDROCHLORIDE</f>
        <v>#NAME?</v>
      </c>
      <c r="F8668" t="s">
        <v>38889</v>
      </c>
      <c r="G8668" t="s">
        <v>2241</v>
      </c>
      <c r="H8668" t="s">
        <v>38890</v>
      </c>
      <c r="I8668" t="s">
        <v>38891</v>
      </c>
      <c r="J8668" t="s">
        <v>38892</v>
      </c>
      <c r="K8668" t="s">
        <v>20095</v>
      </c>
      <c r="L8668" t="s">
        <v>38893</v>
      </c>
      <c r="M8668" t="s">
        <v>46</v>
      </c>
      <c r="N8668" t="s">
        <v>8326</v>
      </c>
      <c r="O8668" t="s">
        <v>38894</v>
      </c>
      <c r="P8668" t="s">
        <v>38895</v>
      </c>
      <c r="Q8668" t="s">
        <v>38896</v>
      </c>
      <c r="R8668">
        <v>27</v>
      </c>
      <c r="S8668">
        <v>32</v>
      </c>
    </row>
    <row r="8669" spans="1:19" x14ac:dyDescent="0.35">
      <c r="A8669">
        <v>2664</v>
      </c>
      <c r="B8669" t="s">
        <v>38897</v>
      </c>
      <c r="C8669" t="s">
        <v>42</v>
      </c>
      <c r="D8669" t="s">
        <v>38898</v>
      </c>
      <c r="E8669" t="e" cm="1">
        <f t="array" ref="E8669">- DICLOFENAC SODIUM</f>
        <v>#NAME?</v>
      </c>
      <c r="F8669" t="s">
        <v>38899</v>
      </c>
      <c r="G8669" t="s">
        <v>2241</v>
      </c>
      <c r="H8669" t="s">
        <v>2596</v>
      </c>
      <c r="I8669" t="s">
        <v>38703</v>
      </c>
      <c r="J8669" t="s">
        <v>12241</v>
      </c>
      <c r="L8669" t="s">
        <v>28388</v>
      </c>
      <c r="M8669" t="s">
        <v>291</v>
      </c>
      <c r="N8669" t="s">
        <v>2597</v>
      </c>
      <c r="O8669" t="s">
        <v>38705</v>
      </c>
      <c r="P8669" t="s">
        <v>38900</v>
      </c>
      <c r="Q8669" t="s">
        <v>38901</v>
      </c>
      <c r="R8669">
        <v>27</v>
      </c>
      <c r="S8669">
        <v>32</v>
      </c>
    </row>
    <row r="8670" spans="1:19" x14ac:dyDescent="0.35">
      <c r="A8670">
        <v>6494</v>
      </c>
      <c r="B8670" t="s">
        <v>38902</v>
      </c>
      <c r="C8670" t="s">
        <v>42</v>
      </c>
      <c r="D8670" t="s">
        <v>38903</v>
      </c>
      <c r="E8670" t="e" cm="1">
        <f t="array" ref="E8670">- CIPROFLOXACIN HYDROCHLORIDE</f>
        <v>#NAME?</v>
      </c>
      <c r="F8670" t="s">
        <v>38904</v>
      </c>
      <c r="G8670" t="s">
        <v>1691</v>
      </c>
      <c r="H8670" t="s">
        <v>1055</v>
      </c>
      <c r="I8670" t="s">
        <v>38905</v>
      </c>
      <c r="J8670" t="s">
        <v>26233</v>
      </c>
      <c r="K8670" t="s">
        <v>38906</v>
      </c>
      <c r="L8670" t="s">
        <v>38907</v>
      </c>
      <c r="M8670" t="s">
        <v>291</v>
      </c>
      <c r="N8670" t="s">
        <v>1624</v>
      </c>
      <c r="O8670" t="s">
        <v>38908</v>
      </c>
      <c r="P8670" t="s">
        <v>38909</v>
      </c>
      <c r="Q8670" t="s">
        <v>38910</v>
      </c>
      <c r="R8670">
        <v>27</v>
      </c>
      <c r="S8670">
        <v>32</v>
      </c>
    </row>
    <row r="8671" spans="1:19" x14ac:dyDescent="0.35">
      <c r="A8671">
        <v>6681</v>
      </c>
      <c r="B8671" t="s">
        <v>38758</v>
      </c>
      <c r="C8671" t="s">
        <v>42</v>
      </c>
      <c r="D8671" t="s">
        <v>38759</v>
      </c>
      <c r="E8671" t="e" cm="1">
        <f t="array" ref="E8671">- METHISOPRINOL</f>
        <v>#NAME?</v>
      </c>
      <c r="F8671" t="s">
        <v>38760</v>
      </c>
      <c r="G8671" t="s">
        <v>9363</v>
      </c>
      <c r="H8671" t="s">
        <v>38761</v>
      </c>
      <c r="I8671" t="s">
        <v>38762</v>
      </c>
      <c r="J8671" t="s">
        <v>38763</v>
      </c>
      <c r="K8671" t="s">
        <v>38764</v>
      </c>
      <c r="L8671" t="s">
        <v>38765</v>
      </c>
      <c r="M8671" t="s">
        <v>271</v>
      </c>
      <c r="N8671" t="s">
        <v>322</v>
      </c>
      <c r="O8671" t="s">
        <v>38766</v>
      </c>
      <c r="P8671" t="s">
        <v>38767</v>
      </c>
      <c r="Q8671" t="s">
        <v>38768</v>
      </c>
      <c r="R8671">
        <v>27</v>
      </c>
      <c r="S8671">
        <v>32</v>
      </c>
    </row>
    <row r="8672" spans="1:19" x14ac:dyDescent="0.35">
      <c r="A8672">
        <v>18</v>
      </c>
      <c r="B8672" t="s">
        <v>2902</v>
      </c>
      <c r="C8672" t="s">
        <v>42</v>
      </c>
      <c r="D8672" t="s">
        <v>38911</v>
      </c>
      <c r="E8672" t="e" cm="1">
        <f t="array" ref="E8672">- SILDENAFIL CITRATE</f>
        <v>#NAME?</v>
      </c>
      <c r="F8672" t="s">
        <v>38912</v>
      </c>
      <c r="G8672" t="s">
        <v>38913</v>
      </c>
      <c r="H8672" t="s">
        <v>8263</v>
      </c>
      <c r="I8672" t="s">
        <v>38914</v>
      </c>
    </row>
    <row r="8673" spans="1:19" x14ac:dyDescent="0.35">
      <c r="A8673">
        <v>2685</v>
      </c>
      <c r="B8673" t="s">
        <v>38915</v>
      </c>
      <c r="C8673" t="s">
        <v>42</v>
      </c>
      <c r="D8673" t="s">
        <v>38916</v>
      </c>
      <c r="E8673" t="e" cm="1">
        <f t="array" ref="E8673">- DICLOFENAC SODIUM</f>
        <v>#NAME?</v>
      </c>
      <c r="F8673" t="s">
        <v>38917</v>
      </c>
      <c r="G8673" t="s">
        <v>539</v>
      </c>
      <c r="H8673" t="s">
        <v>2596</v>
      </c>
      <c r="I8673" t="s">
        <v>38703</v>
      </c>
      <c r="J8673" t="s">
        <v>21693</v>
      </c>
      <c r="L8673" t="s">
        <v>1616</v>
      </c>
      <c r="M8673" t="s">
        <v>46</v>
      </c>
      <c r="N8673" t="s">
        <v>2597</v>
      </c>
      <c r="O8673" t="s">
        <v>38705</v>
      </c>
      <c r="P8673" t="s">
        <v>28382</v>
      </c>
      <c r="Q8673" t="s">
        <v>38918</v>
      </c>
      <c r="R8673">
        <v>27</v>
      </c>
      <c r="S8673">
        <v>32</v>
      </c>
    </row>
    <row r="8674" spans="1:19" x14ac:dyDescent="0.35">
      <c r="A8674">
        <v>2686</v>
      </c>
      <c r="B8674" t="s">
        <v>38915</v>
      </c>
      <c r="C8674" t="s">
        <v>42</v>
      </c>
      <c r="D8674" t="s">
        <v>38916</v>
      </c>
      <c r="E8674" t="e" cm="1">
        <f t="array" ref="E8674">- DICLOFENAC SODIUM</f>
        <v>#NAME?</v>
      </c>
      <c r="F8674" t="s">
        <v>38917</v>
      </c>
      <c r="G8674" t="s">
        <v>539</v>
      </c>
      <c r="H8674" t="s">
        <v>2596</v>
      </c>
      <c r="I8674" t="s">
        <v>38703</v>
      </c>
      <c r="J8674" t="s">
        <v>21693</v>
      </c>
      <c r="L8674" t="s">
        <v>1616</v>
      </c>
      <c r="M8674" t="s">
        <v>46</v>
      </c>
      <c r="N8674" t="s">
        <v>2597</v>
      </c>
      <c r="O8674" t="s">
        <v>38705</v>
      </c>
      <c r="P8674" t="s">
        <v>28382</v>
      </c>
      <c r="Q8674" t="s">
        <v>38918</v>
      </c>
      <c r="R8674">
        <v>27</v>
      </c>
      <c r="S8674">
        <v>32</v>
      </c>
    </row>
    <row r="8675" spans="1:19" x14ac:dyDescent="0.35">
      <c r="A8675">
        <v>1068</v>
      </c>
      <c r="B8675" t="s">
        <v>38919</v>
      </c>
      <c r="C8675" t="s">
        <v>42</v>
      </c>
      <c r="D8675" t="s">
        <v>38920</v>
      </c>
      <c r="E8675" t="e" cm="1">
        <f t="array" ref="E8675">- PARACETAMOL. CHLORPHENAMINE MALEATE. PSEUDOEPHEDRINE HYDROCHLORIDE</f>
        <v>#NAME?</v>
      </c>
      <c r="F8675" t="s">
        <v>38921</v>
      </c>
      <c r="G8675" t="s">
        <v>2241</v>
      </c>
      <c r="H8675" t="s">
        <v>38922</v>
      </c>
      <c r="I8675" t="s">
        <v>38923</v>
      </c>
      <c r="J8675" t="s">
        <v>334</v>
      </c>
      <c r="M8675" t="s">
        <v>271</v>
      </c>
      <c r="N8675" t="s">
        <v>31891</v>
      </c>
      <c r="O8675" t="s">
        <v>38924</v>
      </c>
      <c r="P8675" t="s">
        <v>38925</v>
      </c>
      <c r="Q8675" t="s">
        <v>38926</v>
      </c>
      <c r="R8675">
        <v>27</v>
      </c>
      <c r="S8675">
        <v>32</v>
      </c>
    </row>
    <row r="8676" spans="1:19" x14ac:dyDescent="0.35">
      <c r="A8676">
        <v>4610</v>
      </c>
      <c r="B8676" t="s">
        <v>19493</v>
      </c>
      <c r="C8676" t="s">
        <v>42</v>
      </c>
      <c r="D8676" t="s">
        <v>36962</v>
      </c>
      <c r="E8676" t="e" cm="1">
        <f t="array" ref="E8676">- PHENYLEPHRINE HYDROCHLORIDE. ZINC SULFATE HEPTAHYDRATE</f>
        <v>#NAME?</v>
      </c>
      <c r="F8676" t="s">
        <v>36963</v>
      </c>
      <c r="G8676" t="s">
        <v>8658</v>
      </c>
      <c r="H8676" t="s">
        <v>36964</v>
      </c>
      <c r="I8676" t="s">
        <v>36965</v>
      </c>
      <c r="J8676" t="s">
        <v>30861</v>
      </c>
      <c r="K8676" t="s">
        <v>16776</v>
      </c>
      <c r="L8676" t="s">
        <v>36966</v>
      </c>
      <c r="M8676" t="s">
        <v>824</v>
      </c>
      <c r="N8676" t="s">
        <v>26226</v>
      </c>
      <c r="O8676" t="s">
        <v>36967</v>
      </c>
      <c r="P8676" t="s">
        <v>36968</v>
      </c>
      <c r="Q8676" t="s">
        <v>38784</v>
      </c>
      <c r="R8676">
        <v>27</v>
      </c>
      <c r="S8676">
        <v>32</v>
      </c>
    </row>
    <row r="8677" spans="1:19" x14ac:dyDescent="0.35">
      <c r="A8677">
        <v>4611</v>
      </c>
      <c r="B8677" t="s">
        <v>19493</v>
      </c>
      <c r="C8677" t="s">
        <v>42</v>
      </c>
      <c r="D8677" t="s">
        <v>36962</v>
      </c>
      <c r="E8677" t="e" cm="1">
        <f t="array" ref="E8677">- PHENYLEPHRINE HYDROCHLORIDE. ZINC SULFATE HEPTAHYDRATE</f>
        <v>#NAME?</v>
      </c>
      <c r="F8677" t="s">
        <v>36963</v>
      </c>
      <c r="G8677" t="s">
        <v>8658</v>
      </c>
      <c r="H8677" t="s">
        <v>36964</v>
      </c>
      <c r="I8677" t="s">
        <v>36965</v>
      </c>
      <c r="J8677" t="s">
        <v>30861</v>
      </c>
      <c r="K8677" t="s">
        <v>16776</v>
      </c>
      <c r="L8677" t="s">
        <v>36966</v>
      </c>
      <c r="M8677" t="s">
        <v>824</v>
      </c>
      <c r="N8677" t="s">
        <v>26226</v>
      </c>
      <c r="O8677" t="s">
        <v>36967</v>
      </c>
      <c r="P8677" t="s">
        <v>36968</v>
      </c>
      <c r="Q8677" t="s">
        <v>38784</v>
      </c>
      <c r="R8677">
        <v>27</v>
      </c>
      <c r="S8677">
        <v>32</v>
      </c>
    </row>
    <row r="8678" spans="1:19" x14ac:dyDescent="0.35">
      <c r="A8678">
        <v>6729</v>
      </c>
      <c r="B8678" t="s">
        <v>38807</v>
      </c>
      <c r="C8678" t="s">
        <v>42</v>
      </c>
      <c r="D8678" t="s">
        <v>38808</v>
      </c>
      <c r="E8678" t="e" cm="1">
        <f t="array" ref="E8678">- CALCITRIOL</f>
        <v>#NAME?</v>
      </c>
      <c r="F8678" t="s">
        <v>38809</v>
      </c>
      <c r="G8678" t="s">
        <v>1258</v>
      </c>
      <c r="H8678" t="s">
        <v>38810</v>
      </c>
      <c r="I8678" t="s">
        <v>38811</v>
      </c>
      <c r="J8678" t="s">
        <v>38812</v>
      </c>
      <c r="K8678" t="s">
        <v>36740</v>
      </c>
      <c r="L8678" t="s">
        <v>38813</v>
      </c>
      <c r="M8678" t="s">
        <v>38</v>
      </c>
      <c r="N8678" t="s">
        <v>442</v>
      </c>
      <c r="O8678" t="s">
        <v>38814</v>
      </c>
      <c r="P8678" t="s">
        <v>36742</v>
      </c>
      <c r="Q8678" t="s">
        <v>38815</v>
      </c>
      <c r="R8678">
        <v>27</v>
      </c>
      <c r="S8678">
        <v>32</v>
      </c>
    </row>
    <row r="8679" spans="1:19" x14ac:dyDescent="0.35">
      <c r="A8679">
        <v>4612</v>
      </c>
      <c r="B8679" t="s">
        <v>19493</v>
      </c>
      <c r="C8679" t="s">
        <v>42</v>
      </c>
      <c r="D8679" t="s">
        <v>36962</v>
      </c>
      <c r="E8679" t="e" cm="1">
        <f t="array" ref="E8679">- PHENYLEPHRINE HYDROCHLORIDE. ZINC SULFATE HEPTAHYDRATE</f>
        <v>#NAME?</v>
      </c>
      <c r="F8679" t="s">
        <v>36963</v>
      </c>
      <c r="G8679" t="s">
        <v>8658</v>
      </c>
      <c r="H8679" t="s">
        <v>36964</v>
      </c>
      <c r="I8679" t="s">
        <v>36965</v>
      </c>
      <c r="J8679" t="s">
        <v>30861</v>
      </c>
      <c r="K8679" t="s">
        <v>16776</v>
      </c>
      <c r="L8679" t="s">
        <v>36966</v>
      </c>
      <c r="M8679" t="s">
        <v>824</v>
      </c>
      <c r="N8679" t="s">
        <v>26226</v>
      </c>
      <c r="O8679" t="s">
        <v>36967</v>
      </c>
      <c r="P8679" t="s">
        <v>36968</v>
      </c>
      <c r="Q8679" t="s">
        <v>38784</v>
      </c>
      <c r="R8679">
        <v>27</v>
      </c>
      <c r="S8679">
        <v>32</v>
      </c>
    </row>
    <row r="8680" spans="1:19" x14ac:dyDescent="0.35">
      <c r="A8680">
        <v>4613</v>
      </c>
      <c r="B8680" t="s">
        <v>19493</v>
      </c>
      <c r="C8680" t="s">
        <v>42</v>
      </c>
      <c r="D8680" t="s">
        <v>36962</v>
      </c>
      <c r="E8680" t="e" cm="1">
        <f t="array" ref="E8680">- PHENYLEPHRINE HYDROCHLORIDE. ZINC SULFATE HEPTAHYDRATE</f>
        <v>#NAME?</v>
      </c>
      <c r="F8680" t="s">
        <v>36963</v>
      </c>
      <c r="G8680" t="s">
        <v>8658</v>
      </c>
      <c r="H8680" t="s">
        <v>36964</v>
      </c>
      <c r="I8680" t="s">
        <v>36965</v>
      </c>
      <c r="J8680" t="s">
        <v>30861</v>
      </c>
      <c r="K8680" t="s">
        <v>16776</v>
      </c>
      <c r="L8680" t="s">
        <v>36966</v>
      </c>
      <c r="M8680" t="s">
        <v>824</v>
      </c>
      <c r="N8680" t="s">
        <v>26226</v>
      </c>
      <c r="O8680" t="s">
        <v>36967</v>
      </c>
      <c r="P8680" t="s">
        <v>36968</v>
      </c>
      <c r="Q8680" t="s">
        <v>38784</v>
      </c>
      <c r="R8680">
        <v>27</v>
      </c>
      <c r="S8680">
        <v>32</v>
      </c>
    </row>
    <row r="8681" spans="1:19" x14ac:dyDescent="0.35">
      <c r="A8681">
        <v>4614</v>
      </c>
      <c r="B8681" t="s">
        <v>19493</v>
      </c>
      <c r="C8681" t="s">
        <v>42</v>
      </c>
      <c r="D8681" t="s">
        <v>36962</v>
      </c>
      <c r="E8681" t="e" cm="1">
        <f t="array" ref="E8681">- PHENYLEPHRINE HYDROCHLORIDE. ZINC SULFATE HEPTAHYDRATE</f>
        <v>#NAME?</v>
      </c>
      <c r="F8681" t="s">
        <v>36963</v>
      </c>
      <c r="G8681" t="s">
        <v>8658</v>
      </c>
      <c r="H8681" t="s">
        <v>36964</v>
      </c>
      <c r="I8681" t="s">
        <v>36965</v>
      </c>
      <c r="J8681" t="s">
        <v>30861</v>
      </c>
      <c r="K8681" t="s">
        <v>16776</v>
      </c>
      <c r="L8681" t="s">
        <v>36966</v>
      </c>
      <c r="M8681" t="s">
        <v>824</v>
      </c>
      <c r="N8681" t="s">
        <v>26226</v>
      </c>
      <c r="O8681" t="s">
        <v>36967</v>
      </c>
      <c r="P8681" t="s">
        <v>36968</v>
      </c>
      <c r="Q8681" t="s">
        <v>38784</v>
      </c>
      <c r="R8681">
        <v>27</v>
      </c>
      <c r="S8681">
        <v>32</v>
      </c>
    </row>
    <row r="8682" spans="1:19" x14ac:dyDescent="0.35">
      <c r="A8682">
        <v>6184</v>
      </c>
      <c r="B8682" t="s">
        <v>38927</v>
      </c>
      <c r="C8682" t="s">
        <v>42</v>
      </c>
      <c r="D8682" t="s">
        <v>38928</v>
      </c>
      <c r="E8682" t="e" cm="1">
        <f t="array" ref="E8682">- CEFIXIME TRIHYDRATE</f>
        <v>#NAME?</v>
      </c>
      <c r="F8682" t="s">
        <v>38929</v>
      </c>
      <c r="G8682" t="s">
        <v>37190</v>
      </c>
      <c r="H8682" t="s">
        <v>37191</v>
      </c>
      <c r="I8682" t="s">
        <v>37192</v>
      </c>
      <c r="J8682" t="s">
        <v>1603</v>
      </c>
      <c r="K8682" t="s">
        <v>1020</v>
      </c>
      <c r="L8682" t="s">
        <v>1021</v>
      </c>
      <c r="M8682" t="s">
        <v>38</v>
      </c>
      <c r="N8682" t="s">
        <v>1790</v>
      </c>
      <c r="O8682" t="s">
        <v>37193</v>
      </c>
      <c r="P8682" t="s">
        <v>38930</v>
      </c>
      <c r="Q8682" t="s">
        <v>38931</v>
      </c>
      <c r="R8682">
        <v>27</v>
      </c>
      <c r="S8682">
        <v>32</v>
      </c>
    </row>
    <row r="8683" spans="1:19" x14ac:dyDescent="0.35">
      <c r="A8683">
        <v>6162</v>
      </c>
      <c r="B8683" t="s">
        <v>38932</v>
      </c>
      <c r="C8683" t="s">
        <v>42</v>
      </c>
      <c r="D8683" t="s">
        <v>38933</v>
      </c>
      <c r="E8683" t="e" cm="1">
        <f t="array" ref="E8683">- LEVOFLOXACIN HEMIHYDRATE</f>
        <v>#NAME?</v>
      </c>
      <c r="F8683" t="s">
        <v>38934</v>
      </c>
      <c r="G8683" t="s">
        <v>38935</v>
      </c>
      <c r="H8683" t="s">
        <v>38936</v>
      </c>
      <c r="I8683" t="s">
        <v>38937</v>
      </c>
      <c r="J8683" t="s">
        <v>38938</v>
      </c>
      <c r="K8683" t="s">
        <v>2726</v>
      </c>
      <c r="L8683" t="s">
        <v>38939</v>
      </c>
      <c r="M8683" t="s">
        <v>46</v>
      </c>
      <c r="N8683" t="s">
        <v>1784</v>
      </c>
      <c r="O8683" t="s">
        <v>38940</v>
      </c>
      <c r="P8683" t="s">
        <v>38941</v>
      </c>
      <c r="Q8683" t="s">
        <v>38942</v>
      </c>
      <c r="R8683">
        <v>27</v>
      </c>
      <c r="S8683">
        <v>32</v>
      </c>
    </row>
    <row r="8684" spans="1:19" x14ac:dyDescent="0.35">
      <c r="A8684">
        <v>4615</v>
      </c>
      <c r="B8684" t="s">
        <v>19493</v>
      </c>
      <c r="C8684" t="s">
        <v>42</v>
      </c>
      <c r="D8684" t="s">
        <v>36962</v>
      </c>
      <c r="E8684" t="e" cm="1">
        <f t="array" ref="E8684">- PHENYLEPHRINE HYDROCHLORIDE. ZINC SULFATE HEPTAHYDRATE</f>
        <v>#NAME?</v>
      </c>
      <c r="F8684" t="s">
        <v>36963</v>
      </c>
      <c r="G8684" t="s">
        <v>8658</v>
      </c>
      <c r="H8684" t="s">
        <v>36964</v>
      </c>
      <c r="I8684" t="s">
        <v>36965</v>
      </c>
      <c r="J8684" t="s">
        <v>30861</v>
      </c>
      <c r="K8684" t="s">
        <v>16776</v>
      </c>
      <c r="L8684" t="s">
        <v>36966</v>
      </c>
      <c r="M8684" t="s">
        <v>824</v>
      </c>
      <c r="N8684" t="s">
        <v>26226</v>
      </c>
      <c r="O8684" t="s">
        <v>36967</v>
      </c>
      <c r="P8684" t="s">
        <v>36968</v>
      </c>
      <c r="Q8684" t="s">
        <v>38784</v>
      </c>
      <c r="R8684">
        <v>27</v>
      </c>
      <c r="S8684">
        <v>32</v>
      </c>
    </row>
    <row r="8685" spans="1:19" x14ac:dyDescent="0.35">
      <c r="A8685">
        <v>4616</v>
      </c>
      <c r="B8685" t="s">
        <v>19493</v>
      </c>
      <c r="C8685" t="s">
        <v>42</v>
      </c>
      <c r="D8685" t="s">
        <v>36962</v>
      </c>
      <c r="E8685" t="e" cm="1">
        <f t="array" ref="E8685">- PHENYLEPHRINE HYDROCHLORIDE. ZINC SULFATE HEPTAHYDRATE</f>
        <v>#NAME?</v>
      </c>
      <c r="F8685" t="s">
        <v>36963</v>
      </c>
      <c r="G8685" t="s">
        <v>8658</v>
      </c>
      <c r="H8685" t="s">
        <v>36964</v>
      </c>
      <c r="I8685" t="s">
        <v>36965</v>
      </c>
      <c r="J8685" t="s">
        <v>30861</v>
      </c>
      <c r="K8685" t="s">
        <v>16776</v>
      </c>
      <c r="L8685" t="s">
        <v>36966</v>
      </c>
      <c r="M8685" t="s">
        <v>824</v>
      </c>
      <c r="N8685" t="s">
        <v>26226</v>
      </c>
      <c r="O8685" t="s">
        <v>36967</v>
      </c>
      <c r="P8685" t="s">
        <v>36968</v>
      </c>
      <c r="Q8685" t="s">
        <v>38784</v>
      </c>
      <c r="R8685">
        <v>27</v>
      </c>
      <c r="S8685">
        <v>32</v>
      </c>
    </row>
    <row r="8686" spans="1:19" x14ac:dyDescent="0.35">
      <c r="A8686">
        <v>2707</v>
      </c>
      <c r="B8686" t="s">
        <v>38874</v>
      </c>
      <c r="C8686" t="s">
        <v>42</v>
      </c>
      <c r="D8686" t="s">
        <v>38875</v>
      </c>
      <c r="E8686" t="e" cm="1">
        <f t="array" ref="E8686">- DICLOFENAC POTASSIUM</f>
        <v>#NAME?</v>
      </c>
      <c r="F8686" t="s">
        <v>38876</v>
      </c>
      <c r="H8686" t="s">
        <v>2596</v>
      </c>
      <c r="I8686" t="s">
        <v>38703</v>
      </c>
      <c r="J8686" t="s">
        <v>2402</v>
      </c>
      <c r="M8686" t="s">
        <v>46</v>
      </c>
      <c r="N8686" t="s">
        <v>2637</v>
      </c>
      <c r="O8686" t="s">
        <v>38705</v>
      </c>
      <c r="P8686" t="s">
        <v>38877</v>
      </c>
      <c r="Q8686" t="s">
        <v>38878</v>
      </c>
      <c r="R8686">
        <v>27</v>
      </c>
      <c r="S8686">
        <v>32</v>
      </c>
    </row>
    <row r="8687" spans="1:19" x14ac:dyDescent="0.35">
      <c r="A8687">
        <v>2709</v>
      </c>
      <c r="B8687" t="s">
        <v>38943</v>
      </c>
      <c r="C8687" t="s">
        <v>42</v>
      </c>
      <c r="D8687" t="s">
        <v>38944</v>
      </c>
      <c r="E8687" t="e" cm="1">
        <f t="array" ref="E8687">- DICLOFENAC POTASSIUM</f>
        <v>#NAME?</v>
      </c>
      <c r="F8687" s="1">
        <v>3300</v>
      </c>
      <c r="G8687" t="s">
        <v>2241</v>
      </c>
      <c r="H8687" t="s">
        <v>2596</v>
      </c>
      <c r="I8687" t="s">
        <v>38703</v>
      </c>
      <c r="J8687" t="s">
        <v>28291</v>
      </c>
      <c r="L8687" t="s">
        <v>28388</v>
      </c>
      <c r="M8687" t="s">
        <v>46</v>
      </c>
      <c r="N8687" t="s">
        <v>2637</v>
      </c>
      <c r="O8687" t="s">
        <v>38705</v>
      </c>
      <c r="P8687" t="s">
        <v>38877</v>
      </c>
      <c r="Q8687" t="s">
        <v>38878</v>
      </c>
      <c r="R8687">
        <v>27</v>
      </c>
      <c r="S8687">
        <v>32</v>
      </c>
    </row>
    <row r="8688" spans="1:19" x14ac:dyDescent="0.35">
      <c r="A8688">
        <v>9875</v>
      </c>
      <c r="B8688" t="s">
        <v>38661</v>
      </c>
      <c r="C8688" t="s">
        <v>42</v>
      </c>
      <c r="D8688" t="s">
        <v>38662</v>
      </c>
      <c r="E8688" t="e" cm="1">
        <f t="array" ref="E8688">- SIMVASTATIN. EZETIMIBE</f>
        <v>#NAME?</v>
      </c>
      <c r="F8688" t="s">
        <v>38663</v>
      </c>
      <c r="G8688" t="s">
        <v>12760</v>
      </c>
      <c r="H8688" t="s">
        <v>38664</v>
      </c>
      <c r="I8688" t="s">
        <v>38665</v>
      </c>
      <c r="J8688" t="s">
        <v>599</v>
      </c>
      <c r="K8688" t="s">
        <v>38666</v>
      </c>
      <c r="L8688" t="s">
        <v>38667</v>
      </c>
      <c r="M8688" t="s">
        <v>46</v>
      </c>
      <c r="N8688" t="s">
        <v>38668</v>
      </c>
      <c r="O8688" t="s">
        <v>38669</v>
      </c>
      <c r="P8688" t="s">
        <v>38670</v>
      </c>
      <c r="Q8688" t="s">
        <v>38671</v>
      </c>
      <c r="R8688">
        <v>27</v>
      </c>
      <c r="S8688">
        <v>32</v>
      </c>
    </row>
    <row r="8689" spans="1:19" x14ac:dyDescent="0.35">
      <c r="A8689">
        <v>3479</v>
      </c>
      <c r="B8689" t="s">
        <v>38945</v>
      </c>
      <c r="C8689" t="s">
        <v>42</v>
      </c>
      <c r="D8689" t="s">
        <v>38946</v>
      </c>
      <c r="E8689" t="e" cm="1">
        <f t="array" ref="E8689">- OMEPRAZOLE</f>
        <v>#NAME?</v>
      </c>
      <c r="F8689" t="s">
        <v>38947</v>
      </c>
      <c r="G8689" t="s">
        <v>10301</v>
      </c>
      <c r="H8689" t="s">
        <v>2724</v>
      </c>
      <c r="I8689" t="s">
        <v>38948</v>
      </c>
      <c r="J8689" t="s">
        <v>38949</v>
      </c>
      <c r="L8689" t="s">
        <v>38950</v>
      </c>
      <c r="M8689" t="s">
        <v>38</v>
      </c>
      <c r="N8689" t="s">
        <v>14738</v>
      </c>
      <c r="O8689" t="s">
        <v>38951</v>
      </c>
      <c r="P8689" t="s">
        <v>38952</v>
      </c>
      <c r="Q8689" t="s">
        <v>38953</v>
      </c>
      <c r="R8689">
        <v>27</v>
      </c>
      <c r="S8689">
        <v>32</v>
      </c>
    </row>
    <row r="8690" spans="1:19" x14ac:dyDescent="0.35">
      <c r="A8690">
        <v>9874</v>
      </c>
      <c r="B8690" t="s">
        <v>38661</v>
      </c>
      <c r="C8690" t="s">
        <v>42</v>
      </c>
      <c r="D8690" t="s">
        <v>38662</v>
      </c>
      <c r="E8690" t="e" cm="1">
        <f t="array" ref="E8690">- SIMVASTATIN. EZETIMIBE</f>
        <v>#NAME?</v>
      </c>
      <c r="F8690" t="s">
        <v>38663</v>
      </c>
      <c r="G8690" t="s">
        <v>12760</v>
      </c>
      <c r="H8690" t="s">
        <v>38664</v>
      </c>
      <c r="I8690" t="s">
        <v>38665</v>
      </c>
      <c r="J8690" t="s">
        <v>599</v>
      </c>
      <c r="K8690" t="s">
        <v>38666</v>
      </c>
      <c r="L8690" t="s">
        <v>38667</v>
      </c>
      <c r="M8690" t="s">
        <v>46</v>
      </c>
      <c r="N8690" t="s">
        <v>38668</v>
      </c>
      <c r="O8690" t="s">
        <v>38669</v>
      </c>
      <c r="P8690" t="s">
        <v>38670</v>
      </c>
      <c r="Q8690" t="s">
        <v>38671</v>
      </c>
      <c r="R8690">
        <v>27</v>
      </c>
      <c r="S8690">
        <v>32</v>
      </c>
    </row>
    <row r="8691" spans="1:19" x14ac:dyDescent="0.35">
      <c r="A8691">
        <v>3187</v>
      </c>
      <c r="B8691" t="s">
        <v>34139</v>
      </c>
      <c r="C8691" t="s">
        <v>42</v>
      </c>
      <c r="D8691" t="s">
        <v>34140</v>
      </c>
      <c r="E8691" t="s">
        <v>38954</v>
      </c>
      <c r="F8691" t="s">
        <v>34141</v>
      </c>
      <c r="G8691" t="s">
        <v>32156</v>
      </c>
      <c r="H8691" t="s">
        <v>32146</v>
      </c>
      <c r="I8691" t="s">
        <v>32147</v>
      </c>
      <c r="J8691" t="s">
        <v>34142</v>
      </c>
      <c r="K8691" t="s">
        <v>32149</v>
      </c>
      <c r="L8691" t="s">
        <v>32157</v>
      </c>
      <c r="M8691" t="s">
        <v>340</v>
      </c>
      <c r="N8691" t="s">
        <v>38955</v>
      </c>
      <c r="O8691" t="s">
        <v>32151</v>
      </c>
      <c r="P8691" t="s">
        <v>34143</v>
      </c>
      <c r="Q8691" t="s">
        <v>38956</v>
      </c>
      <c r="R8691">
        <v>27</v>
      </c>
      <c r="S8691">
        <v>32</v>
      </c>
    </row>
    <row r="8692" spans="1:19" x14ac:dyDescent="0.35">
      <c r="A8692">
        <v>3185</v>
      </c>
      <c r="B8692" t="s">
        <v>34139</v>
      </c>
      <c r="C8692" t="s">
        <v>42</v>
      </c>
      <c r="D8692" t="s">
        <v>34145</v>
      </c>
      <c r="E8692" t="s">
        <v>38957</v>
      </c>
      <c r="F8692" t="s">
        <v>34146</v>
      </c>
      <c r="G8692" t="s">
        <v>737</v>
      </c>
      <c r="H8692" t="s">
        <v>32146</v>
      </c>
      <c r="I8692" t="s">
        <v>32147</v>
      </c>
      <c r="J8692" t="s">
        <v>34147</v>
      </c>
      <c r="K8692" t="s">
        <v>32149</v>
      </c>
      <c r="L8692" t="s">
        <v>32157</v>
      </c>
      <c r="M8692" t="s">
        <v>340</v>
      </c>
      <c r="N8692" t="s">
        <v>38958</v>
      </c>
      <c r="O8692" t="s">
        <v>32151</v>
      </c>
      <c r="P8692" t="s">
        <v>34143</v>
      </c>
      <c r="Q8692" t="s">
        <v>38959</v>
      </c>
      <c r="R8692">
        <v>27</v>
      </c>
      <c r="S8692">
        <v>32</v>
      </c>
    </row>
    <row r="8693" spans="1:19" x14ac:dyDescent="0.35">
      <c r="A8693">
        <v>3184</v>
      </c>
      <c r="B8693" t="s">
        <v>34139</v>
      </c>
      <c r="C8693" t="s">
        <v>42</v>
      </c>
      <c r="D8693" t="s">
        <v>34145</v>
      </c>
      <c r="E8693" t="s">
        <v>38954</v>
      </c>
      <c r="F8693" t="s">
        <v>34146</v>
      </c>
      <c r="G8693" t="s">
        <v>737</v>
      </c>
      <c r="H8693" t="s">
        <v>32146</v>
      </c>
      <c r="I8693" t="s">
        <v>32147</v>
      </c>
      <c r="J8693" t="s">
        <v>34147</v>
      </c>
      <c r="K8693" t="s">
        <v>32149</v>
      </c>
      <c r="L8693" t="s">
        <v>32157</v>
      </c>
      <c r="M8693" t="s">
        <v>340</v>
      </c>
      <c r="N8693" t="s">
        <v>38955</v>
      </c>
      <c r="O8693" t="s">
        <v>32151</v>
      </c>
      <c r="P8693" t="s">
        <v>34143</v>
      </c>
      <c r="Q8693" t="s">
        <v>38956</v>
      </c>
      <c r="R8693">
        <v>27</v>
      </c>
      <c r="S8693">
        <v>32</v>
      </c>
    </row>
    <row r="8694" spans="1:19" x14ac:dyDescent="0.35">
      <c r="A8694">
        <v>5239</v>
      </c>
      <c r="B8694" t="s">
        <v>38960</v>
      </c>
      <c r="C8694" t="s">
        <v>42</v>
      </c>
      <c r="D8694" t="s">
        <v>38961</v>
      </c>
      <c r="E8694" t="e" cm="1">
        <f t="array" ref="E8694">- MICONAZOLE NITRATE</f>
        <v>#NAME?</v>
      </c>
      <c r="F8694" t="s">
        <v>38962</v>
      </c>
      <c r="G8694" t="s">
        <v>38963</v>
      </c>
      <c r="H8694" t="s">
        <v>38964</v>
      </c>
      <c r="I8694" t="s">
        <v>38965</v>
      </c>
      <c r="J8694" t="s">
        <v>38966</v>
      </c>
      <c r="K8694" t="s">
        <v>38967</v>
      </c>
      <c r="L8694" t="s">
        <v>18242</v>
      </c>
      <c r="M8694" t="s">
        <v>1280</v>
      </c>
      <c r="N8694" t="s">
        <v>9389</v>
      </c>
      <c r="O8694" t="s">
        <v>38968</v>
      </c>
      <c r="P8694" t="s">
        <v>38969</v>
      </c>
      <c r="Q8694" t="s">
        <v>38970</v>
      </c>
      <c r="R8694">
        <v>27</v>
      </c>
      <c r="S8694">
        <v>32</v>
      </c>
    </row>
    <row r="8695" spans="1:19" x14ac:dyDescent="0.35">
      <c r="A8695">
        <v>2101</v>
      </c>
      <c r="B8695" t="s">
        <v>38971</v>
      </c>
      <c r="C8695" t="s">
        <v>42</v>
      </c>
      <c r="D8695" t="s">
        <v>38972</v>
      </c>
      <c r="E8695" t="e" cm="1">
        <f t="array" ref="E8695">- IBUPROFEN</f>
        <v>#NAME?</v>
      </c>
      <c r="F8695" t="s">
        <v>38973</v>
      </c>
      <c r="G8695" t="s">
        <v>2241</v>
      </c>
      <c r="H8695" t="s">
        <v>38974</v>
      </c>
      <c r="I8695" t="s">
        <v>37899</v>
      </c>
      <c r="J8695" t="s">
        <v>381</v>
      </c>
      <c r="K8695" t="s">
        <v>37900</v>
      </c>
      <c r="L8695" t="s">
        <v>37901</v>
      </c>
      <c r="M8695" t="s">
        <v>291</v>
      </c>
      <c r="N8695" t="s">
        <v>383</v>
      </c>
      <c r="O8695" t="s">
        <v>37902</v>
      </c>
      <c r="P8695" t="s">
        <v>38975</v>
      </c>
      <c r="Q8695" t="s">
        <v>38976</v>
      </c>
      <c r="R8695">
        <v>27</v>
      </c>
      <c r="S8695">
        <v>32</v>
      </c>
    </row>
    <row r="8696" spans="1:19" x14ac:dyDescent="0.35">
      <c r="A8696">
        <v>2100</v>
      </c>
      <c r="B8696" t="s">
        <v>38977</v>
      </c>
      <c r="C8696" t="s">
        <v>42</v>
      </c>
      <c r="D8696" t="s">
        <v>38978</v>
      </c>
      <c r="E8696" t="e" cm="1">
        <f t="array" ref="E8696">- IBUPROFEN</f>
        <v>#NAME?</v>
      </c>
      <c r="F8696" t="s">
        <v>38979</v>
      </c>
      <c r="G8696" t="s">
        <v>2241</v>
      </c>
      <c r="H8696" t="s">
        <v>38980</v>
      </c>
      <c r="I8696" t="s">
        <v>38291</v>
      </c>
      <c r="J8696" t="s">
        <v>334</v>
      </c>
      <c r="K8696" t="s">
        <v>37900</v>
      </c>
      <c r="L8696" t="s">
        <v>38292</v>
      </c>
      <c r="M8696" t="s">
        <v>340</v>
      </c>
      <c r="N8696" t="s">
        <v>383</v>
      </c>
      <c r="O8696" t="s">
        <v>37902</v>
      </c>
      <c r="P8696" t="s">
        <v>38981</v>
      </c>
      <c r="Q8696" t="s">
        <v>38982</v>
      </c>
      <c r="R8696">
        <v>27</v>
      </c>
      <c r="S8696">
        <v>32</v>
      </c>
    </row>
    <row r="8697" spans="1:19" x14ac:dyDescent="0.35">
      <c r="A8697">
        <v>2350</v>
      </c>
      <c r="B8697" t="s">
        <v>38983</v>
      </c>
      <c r="C8697" t="s">
        <v>42</v>
      </c>
      <c r="D8697" t="s">
        <v>38984</v>
      </c>
      <c r="E8697" t="e" cm="1">
        <f t="array" ref="E8697">- DICLOFENAC POTASSIUM</f>
        <v>#NAME?</v>
      </c>
      <c r="F8697" t="s">
        <v>38985</v>
      </c>
      <c r="G8697" t="s">
        <v>2241</v>
      </c>
      <c r="H8697" t="s">
        <v>2596</v>
      </c>
      <c r="I8697" t="s">
        <v>38703</v>
      </c>
      <c r="J8697" t="s">
        <v>2478</v>
      </c>
      <c r="K8697" t="s">
        <v>38986</v>
      </c>
      <c r="L8697" t="s">
        <v>21258</v>
      </c>
      <c r="M8697" t="s">
        <v>46</v>
      </c>
      <c r="N8697" t="s">
        <v>2637</v>
      </c>
      <c r="O8697" t="s">
        <v>38705</v>
      </c>
      <c r="P8697" t="s">
        <v>28389</v>
      </c>
      <c r="Q8697" t="s">
        <v>38987</v>
      </c>
      <c r="R8697">
        <v>27</v>
      </c>
      <c r="S8697">
        <v>32</v>
      </c>
    </row>
    <row r="8698" spans="1:19" x14ac:dyDescent="0.35">
      <c r="A8698">
        <v>2351</v>
      </c>
      <c r="B8698" t="s">
        <v>38983</v>
      </c>
      <c r="C8698" t="s">
        <v>42</v>
      </c>
      <c r="D8698" t="s">
        <v>38984</v>
      </c>
      <c r="E8698" t="e" cm="1">
        <f t="array" ref="E8698">- DICLOFENAC POTASSIUM</f>
        <v>#NAME?</v>
      </c>
      <c r="F8698" t="s">
        <v>38985</v>
      </c>
      <c r="G8698" t="s">
        <v>2241</v>
      </c>
      <c r="H8698" t="s">
        <v>2596</v>
      </c>
      <c r="I8698" t="s">
        <v>38703</v>
      </c>
      <c r="J8698" t="s">
        <v>2478</v>
      </c>
      <c r="K8698" t="s">
        <v>38986</v>
      </c>
      <c r="L8698" t="s">
        <v>21258</v>
      </c>
      <c r="M8698" t="s">
        <v>46</v>
      </c>
      <c r="N8698" t="s">
        <v>2637</v>
      </c>
      <c r="O8698" t="s">
        <v>38705</v>
      </c>
      <c r="P8698" t="s">
        <v>28389</v>
      </c>
      <c r="Q8698" t="s">
        <v>38987</v>
      </c>
      <c r="R8698">
        <v>27</v>
      </c>
      <c r="S8698">
        <v>32</v>
      </c>
    </row>
    <row r="8699" spans="1:19" x14ac:dyDescent="0.35">
      <c r="A8699">
        <v>2352</v>
      </c>
      <c r="B8699" t="s">
        <v>38983</v>
      </c>
      <c r="C8699" t="s">
        <v>42</v>
      </c>
      <c r="D8699" t="s">
        <v>38984</v>
      </c>
      <c r="E8699" t="e" cm="1">
        <f t="array" ref="E8699">- DICLOFENAC POTASSIUM</f>
        <v>#NAME?</v>
      </c>
      <c r="F8699" t="s">
        <v>38985</v>
      </c>
      <c r="G8699" t="s">
        <v>2241</v>
      </c>
      <c r="H8699" t="s">
        <v>2596</v>
      </c>
      <c r="I8699" t="s">
        <v>38703</v>
      </c>
      <c r="J8699" t="s">
        <v>2478</v>
      </c>
      <c r="K8699" t="s">
        <v>38986</v>
      </c>
      <c r="L8699" t="s">
        <v>21258</v>
      </c>
      <c r="M8699" t="s">
        <v>46</v>
      </c>
      <c r="N8699" t="s">
        <v>2637</v>
      </c>
      <c r="O8699" t="s">
        <v>38705</v>
      </c>
      <c r="P8699" t="s">
        <v>28389</v>
      </c>
      <c r="Q8699" t="s">
        <v>38987</v>
      </c>
      <c r="R8699">
        <v>27</v>
      </c>
      <c r="S8699">
        <v>32</v>
      </c>
    </row>
    <row r="8700" spans="1:19" x14ac:dyDescent="0.35">
      <c r="A8700">
        <v>6611</v>
      </c>
      <c r="B8700" t="s">
        <v>37992</v>
      </c>
      <c r="C8700" t="s">
        <v>42</v>
      </c>
      <c r="D8700" t="s">
        <v>37993</v>
      </c>
      <c r="E8700" t="e" cm="1">
        <f t="array" ref="E8700">- KOMBINASI-ITRACONAZOLE PELLET</f>
        <v>#NAME?</v>
      </c>
      <c r="F8700" t="s">
        <v>37994</v>
      </c>
      <c r="G8700" t="s">
        <v>5506</v>
      </c>
      <c r="H8700" t="s">
        <v>37995</v>
      </c>
      <c r="I8700" t="s">
        <v>37996</v>
      </c>
      <c r="J8700" t="s">
        <v>37997</v>
      </c>
      <c r="K8700" t="s">
        <v>9842</v>
      </c>
      <c r="L8700" t="s">
        <v>37998</v>
      </c>
      <c r="M8700" t="s">
        <v>38</v>
      </c>
      <c r="N8700" t="s">
        <v>21440</v>
      </c>
      <c r="O8700" t="s">
        <v>37999</v>
      </c>
      <c r="P8700" t="s">
        <v>38000</v>
      </c>
      <c r="Q8700" t="s">
        <v>38988</v>
      </c>
      <c r="R8700">
        <v>27</v>
      </c>
      <c r="S8700">
        <v>32</v>
      </c>
    </row>
    <row r="8701" spans="1:19" x14ac:dyDescent="0.35">
      <c r="A8701">
        <v>6612</v>
      </c>
      <c r="B8701" t="s">
        <v>37992</v>
      </c>
      <c r="C8701" t="s">
        <v>42</v>
      </c>
      <c r="D8701" t="s">
        <v>37993</v>
      </c>
      <c r="E8701" t="e" cm="1">
        <f t="array" ref="E8701">- KOMBINASI-ITRACONAZOLE PELLET</f>
        <v>#NAME?</v>
      </c>
      <c r="F8701" t="s">
        <v>37994</v>
      </c>
      <c r="G8701" t="s">
        <v>5506</v>
      </c>
      <c r="H8701" t="s">
        <v>37995</v>
      </c>
      <c r="I8701" t="s">
        <v>37996</v>
      </c>
      <c r="J8701" t="s">
        <v>37997</v>
      </c>
      <c r="K8701" t="s">
        <v>9842</v>
      </c>
      <c r="L8701" t="s">
        <v>37998</v>
      </c>
      <c r="M8701" t="s">
        <v>38</v>
      </c>
      <c r="N8701" t="s">
        <v>21440</v>
      </c>
      <c r="O8701" t="s">
        <v>37999</v>
      </c>
      <c r="P8701" t="s">
        <v>38000</v>
      </c>
      <c r="Q8701" t="s">
        <v>38988</v>
      </c>
      <c r="R8701">
        <v>27</v>
      </c>
      <c r="S8701">
        <v>32</v>
      </c>
    </row>
    <row r="8702" spans="1:19" x14ac:dyDescent="0.35">
      <c r="A8702">
        <v>3849</v>
      </c>
      <c r="B8702" t="s">
        <v>32889</v>
      </c>
      <c r="C8702" t="s">
        <v>42</v>
      </c>
      <c r="D8702" t="s">
        <v>32890</v>
      </c>
      <c r="E8702" t="e" cm="1">
        <f t="array" ref="E8702">- SODIUM CHLORIDE. SODIUM CITRATE DIHYDRATE. DEXTROSE ANHYDRATE. POTASSIUM CHLORIDE</f>
        <v>#NAME?</v>
      </c>
      <c r="F8702" t="s">
        <v>32891</v>
      </c>
      <c r="G8702" t="s">
        <v>15860</v>
      </c>
      <c r="H8702" t="s">
        <v>32892</v>
      </c>
      <c r="I8702" t="s">
        <v>32893</v>
      </c>
      <c r="J8702" t="s">
        <v>32894</v>
      </c>
      <c r="K8702" t="s">
        <v>15864</v>
      </c>
      <c r="L8702" t="s">
        <v>15865</v>
      </c>
      <c r="M8702" t="s">
        <v>1280</v>
      </c>
      <c r="N8702" t="s">
        <v>38989</v>
      </c>
      <c r="O8702" t="s">
        <v>32895</v>
      </c>
      <c r="P8702" t="s">
        <v>32896</v>
      </c>
      <c r="Q8702" t="s">
        <v>38990</v>
      </c>
      <c r="R8702">
        <v>27</v>
      </c>
      <c r="S8702">
        <v>32</v>
      </c>
    </row>
    <row r="8703" spans="1:19" x14ac:dyDescent="0.35">
      <c r="A8703">
        <v>729</v>
      </c>
      <c r="B8703" t="s">
        <v>38991</v>
      </c>
      <c r="C8703" t="s">
        <v>20</v>
      </c>
      <c r="D8703" t="s">
        <v>38992</v>
      </c>
      <c r="E8703" t="s">
        <v>38993</v>
      </c>
      <c r="F8703" t="s">
        <v>38994</v>
      </c>
      <c r="G8703" t="s">
        <v>36562</v>
      </c>
      <c r="H8703" t="s">
        <v>36563</v>
      </c>
      <c r="I8703" t="s">
        <v>36564</v>
      </c>
      <c r="J8703" t="s">
        <v>374</v>
      </c>
      <c r="L8703" t="s">
        <v>13303</v>
      </c>
      <c r="N8703" t="s">
        <v>38995</v>
      </c>
      <c r="O8703" t="s">
        <v>36566</v>
      </c>
      <c r="P8703" t="s">
        <v>38996</v>
      </c>
      <c r="Q8703" t="s">
        <v>38997</v>
      </c>
      <c r="R8703">
        <v>27</v>
      </c>
      <c r="S8703">
        <v>32</v>
      </c>
    </row>
    <row r="8704" spans="1:19" x14ac:dyDescent="0.35">
      <c r="A8704">
        <v>2099</v>
      </c>
      <c r="B8704" t="s">
        <v>38977</v>
      </c>
      <c r="C8704" t="s">
        <v>42</v>
      </c>
      <c r="D8704" t="s">
        <v>38978</v>
      </c>
      <c r="E8704" t="e" cm="1">
        <f t="array" ref="E8704">- IBUPROFEN</f>
        <v>#NAME?</v>
      </c>
      <c r="F8704" t="s">
        <v>38979</v>
      </c>
      <c r="G8704" t="s">
        <v>2241</v>
      </c>
      <c r="H8704" t="s">
        <v>38980</v>
      </c>
      <c r="I8704" t="s">
        <v>38291</v>
      </c>
      <c r="J8704" t="s">
        <v>334</v>
      </c>
      <c r="K8704" t="s">
        <v>37900</v>
      </c>
      <c r="L8704" t="s">
        <v>38292</v>
      </c>
      <c r="M8704" t="s">
        <v>340</v>
      </c>
      <c r="N8704" t="s">
        <v>383</v>
      </c>
      <c r="O8704" t="s">
        <v>37902</v>
      </c>
      <c r="P8704" t="s">
        <v>38981</v>
      </c>
      <c r="Q8704" t="s">
        <v>38982</v>
      </c>
      <c r="R8704">
        <v>27</v>
      </c>
      <c r="S8704">
        <v>32</v>
      </c>
    </row>
    <row r="8705" spans="1:19" x14ac:dyDescent="0.35">
      <c r="A8705">
        <v>8556</v>
      </c>
      <c r="B8705" t="s">
        <v>38998</v>
      </c>
      <c r="C8705" t="s">
        <v>42</v>
      </c>
      <c r="D8705" t="s">
        <v>38999</v>
      </c>
      <c r="E8705" t="e" cm="1">
        <f t="array" ref="E8705">- GLICLAZIDE</f>
        <v>#NAME?</v>
      </c>
      <c r="F8705" t="s">
        <v>39000</v>
      </c>
      <c r="G8705" t="s">
        <v>39001</v>
      </c>
      <c r="H8705" t="s">
        <v>39002</v>
      </c>
      <c r="I8705" t="s">
        <v>37384</v>
      </c>
      <c r="J8705" t="s">
        <v>39003</v>
      </c>
      <c r="K8705" t="s">
        <v>37385</v>
      </c>
      <c r="L8705" t="s">
        <v>37386</v>
      </c>
      <c r="M8705" t="s">
        <v>46</v>
      </c>
      <c r="N8705" t="s">
        <v>1268</v>
      </c>
      <c r="O8705" t="s">
        <v>37387</v>
      </c>
      <c r="P8705" t="s">
        <v>39004</v>
      </c>
      <c r="Q8705" t="s">
        <v>39005</v>
      </c>
      <c r="R8705">
        <v>27</v>
      </c>
      <c r="S8705">
        <v>32</v>
      </c>
    </row>
    <row r="8706" spans="1:19" x14ac:dyDescent="0.35">
      <c r="A8706">
        <v>8557</v>
      </c>
      <c r="B8706" t="s">
        <v>38998</v>
      </c>
      <c r="C8706" t="s">
        <v>42</v>
      </c>
      <c r="D8706" t="s">
        <v>38999</v>
      </c>
      <c r="E8706" t="e" cm="1">
        <f t="array" ref="E8706">- GLICLAZIDE</f>
        <v>#NAME?</v>
      </c>
      <c r="F8706" t="s">
        <v>39000</v>
      </c>
      <c r="G8706" t="s">
        <v>39001</v>
      </c>
      <c r="H8706" t="s">
        <v>39002</v>
      </c>
      <c r="I8706" t="s">
        <v>37384</v>
      </c>
      <c r="J8706" t="s">
        <v>39003</v>
      </c>
      <c r="K8706" t="s">
        <v>37385</v>
      </c>
      <c r="L8706" t="s">
        <v>37386</v>
      </c>
      <c r="M8706" t="s">
        <v>46</v>
      </c>
      <c r="N8706" t="s">
        <v>1268</v>
      </c>
      <c r="O8706" t="s">
        <v>37387</v>
      </c>
      <c r="P8706" t="s">
        <v>39004</v>
      </c>
      <c r="Q8706" t="s">
        <v>39005</v>
      </c>
      <c r="R8706">
        <v>27</v>
      </c>
      <c r="S8706">
        <v>32</v>
      </c>
    </row>
    <row r="8707" spans="1:19" x14ac:dyDescent="0.35">
      <c r="A8707">
        <v>2098</v>
      </c>
      <c r="B8707" t="s">
        <v>38977</v>
      </c>
      <c r="C8707" t="s">
        <v>42</v>
      </c>
      <c r="D8707" t="s">
        <v>38978</v>
      </c>
      <c r="E8707" t="e" cm="1">
        <f t="array" ref="E8707">- IBUPROFEN</f>
        <v>#NAME?</v>
      </c>
      <c r="F8707" t="s">
        <v>38979</v>
      </c>
      <c r="G8707" t="s">
        <v>2241</v>
      </c>
      <c r="H8707" t="s">
        <v>38980</v>
      </c>
      <c r="I8707" t="s">
        <v>38291</v>
      </c>
      <c r="J8707" t="s">
        <v>334</v>
      </c>
      <c r="K8707" t="s">
        <v>37900</v>
      </c>
      <c r="L8707" t="s">
        <v>38292</v>
      </c>
      <c r="M8707" t="s">
        <v>340</v>
      </c>
      <c r="N8707" t="s">
        <v>383</v>
      </c>
      <c r="O8707" t="s">
        <v>37902</v>
      </c>
      <c r="P8707" t="s">
        <v>38981</v>
      </c>
      <c r="Q8707" t="s">
        <v>38982</v>
      </c>
      <c r="R8707">
        <v>27</v>
      </c>
      <c r="S8707">
        <v>32</v>
      </c>
    </row>
    <row r="8708" spans="1:19" x14ac:dyDescent="0.35">
      <c r="A8708">
        <v>2097</v>
      </c>
      <c r="B8708" t="s">
        <v>38977</v>
      </c>
      <c r="C8708" t="s">
        <v>42</v>
      </c>
      <c r="D8708" t="s">
        <v>38978</v>
      </c>
      <c r="E8708" t="e" cm="1">
        <f t="array" ref="E8708">- IBUPROFEN</f>
        <v>#NAME?</v>
      </c>
      <c r="F8708" t="s">
        <v>38979</v>
      </c>
      <c r="G8708" t="s">
        <v>2241</v>
      </c>
      <c r="H8708" t="s">
        <v>38980</v>
      </c>
      <c r="I8708" t="s">
        <v>38291</v>
      </c>
      <c r="J8708" t="s">
        <v>334</v>
      </c>
      <c r="K8708" t="s">
        <v>37900</v>
      </c>
      <c r="L8708" t="s">
        <v>38292</v>
      </c>
      <c r="M8708" t="s">
        <v>340</v>
      </c>
      <c r="N8708" t="s">
        <v>383</v>
      </c>
      <c r="O8708" t="s">
        <v>37902</v>
      </c>
      <c r="P8708" t="s">
        <v>38981</v>
      </c>
      <c r="Q8708" t="s">
        <v>38982</v>
      </c>
      <c r="R8708">
        <v>27</v>
      </c>
      <c r="S8708">
        <v>32</v>
      </c>
    </row>
    <row r="8709" spans="1:19" x14ac:dyDescent="0.35">
      <c r="A8709">
        <v>2080</v>
      </c>
      <c r="B8709" t="s">
        <v>39006</v>
      </c>
      <c r="C8709" t="s">
        <v>42</v>
      </c>
      <c r="D8709" t="s">
        <v>39007</v>
      </c>
      <c r="E8709" t="e" cm="1">
        <f t="array" ref="E8709">- CAFFEINE</f>
        <v>#NAME?</v>
      </c>
      <c r="F8709" t="s">
        <v>39008</v>
      </c>
      <c r="G8709" t="s">
        <v>2241</v>
      </c>
      <c r="H8709" t="s">
        <v>39009</v>
      </c>
      <c r="I8709" t="s">
        <v>39010</v>
      </c>
      <c r="J8709" t="s">
        <v>34848</v>
      </c>
      <c r="K8709" t="s">
        <v>39011</v>
      </c>
      <c r="L8709" t="s">
        <v>39012</v>
      </c>
      <c r="M8709" t="s">
        <v>291</v>
      </c>
      <c r="N8709" t="s">
        <v>2359</v>
      </c>
      <c r="O8709" t="s">
        <v>39013</v>
      </c>
      <c r="P8709" t="s">
        <v>39014</v>
      </c>
      <c r="Q8709" t="s">
        <v>39015</v>
      </c>
      <c r="R8709">
        <v>27</v>
      </c>
      <c r="S8709">
        <v>32</v>
      </c>
    </row>
    <row r="8710" spans="1:19" x14ac:dyDescent="0.35">
      <c r="A8710">
        <v>8578</v>
      </c>
      <c r="B8710" t="s">
        <v>39016</v>
      </c>
      <c r="C8710" t="s">
        <v>42</v>
      </c>
      <c r="D8710" t="s">
        <v>39017</v>
      </c>
      <c r="E8710" t="e" cm="1">
        <f t="array" ref="E8710">- SITAGLIPTIN PHOSPHATE</f>
        <v>#NAME?</v>
      </c>
      <c r="F8710" t="s">
        <v>39018</v>
      </c>
      <c r="G8710" t="s">
        <v>2734</v>
      </c>
      <c r="H8710" t="s">
        <v>39019</v>
      </c>
      <c r="I8710" t="s">
        <v>39020</v>
      </c>
      <c r="J8710" t="s">
        <v>39021</v>
      </c>
      <c r="K8710" t="s">
        <v>2858</v>
      </c>
      <c r="L8710" t="s">
        <v>38783</v>
      </c>
    </row>
    <row r="8711" spans="1:19" x14ac:dyDescent="0.35">
      <c r="A8711">
        <v>8579</v>
      </c>
      <c r="B8711" t="s">
        <v>39016</v>
      </c>
      <c r="C8711" t="s">
        <v>42</v>
      </c>
      <c r="D8711" t="s">
        <v>39017</v>
      </c>
      <c r="E8711" t="e" cm="1">
        <f t="array" ref="E8711">- SITAGLIPTIN PHOSPHATE</f>
        <v>#NAME?</v>
      </c>
      <c r="F8711" t="s">
        <v>39018</v>
      </c>
      <c r="G8711" t="s">
        <v>2734</v>
      </c>
      <c r="H8711" t="s">
        <v>39019</v>
      </c>
      <c r="I8711" t="s">
        <v>39020</v>
      </c>
      <c r="J8711" t="s">
        <v>39021</v>
      </c>
      <c r="K8711" t="s">
        <v>2858</v>
      </c>
      <c r="L8711" t="s">
        <v>38783</v>
      </c>
    </row>
    <row r="8712" spans="1:19" x14ac:dyDescent="0.35">
      <c r="A8712">
        <v>2079</v>
      </c>
      <c r="B8712" t="s">
        <v>39006</v>
      </c>
      <c r="C8712" t="s">
        <v>42</v>
      </c>
      <c r="D8712" t="s">
        <v>39007</v>
      </c>
      <c r="E8712" t="e" cm="1">
        <f t="array" ref="E8712">- CAFFEINE</f>
        <v>#NAME?</v>
      </c>
      <c r="F8712" t="s">
        <v>39008</v>
      </c>
      <c r="G8712" t="s">
        <v>2241</v>
      </c>
      <c r="H8712" t="s">
        <v>39009</v>
      </c>
      <c r="I8712" t="s">
        <v>39010</v>
      </c>
      <c r="J8712" t="s">
        <v>34848</v>
      </c>
      <c r="K8712" t="s">
        <v>39011</v>
      </c>
      <c r="L8712" t="s">
        <v>39012</v>
      </c>
      <c r="M8712" t="s">
        <v>291</v>
      </c>
      <c r="N8712" t="s">
        <v>2359</v>
      </c>
      <c r="O8712" t="s">
        <v>39013</v>
      </c>
      <c r="P8712" t="s">
        <v>39014</v>
      </c>
      <c r="Q8712" t="s">
        <v>39015</v>
      </c>
      <c r="R8712">
        <v>27</v>
      </c>
      <c r="S8712">
        <v>32</v>
      </c>
    </row>
    <row r="8713" spans="1:19" x14ac:dyDescent="0.35">
      <c r="A8713">
        <v>2426</v>
      </c>
      <c r="B8713" t="s">
        <v>39022</v>
      </c>
      <c r="C8713" t="s">
        <v>42</v>
      </c>
      <c r="D8713" t="s">
        <v>39023</v>
      </c>
      <c r="E8713" t="e" cm="1">
        <f t="array" ref="E8713">- MEFENAMIC ACID</f>
        <v>#NAME?</v>
      </c>
      <c r="F8713" t="s">
        <v>39024</v>
      </c>
      <c r="G8713" t="s">
        <v>6135</v>
      </c>
      <c r="H8713" t="s">
        <v>39025</v>
      </c>
      <c r="I8713" t="s">
        <v>39026</v>
      </c>
      <c r="J8713" t="s">
        <v>39027</v>
      </c>
      <c r="K8713" t="s">
        <v>34273</v>
      </c>
      <c r="L8713" t="s">
        <v>39028</v>
      </c>
      <c r="M8713" t="s">
        <v>291</v>
      </c>
      <c r="N8713" t="s">
        <v>2235</v>
      </c>
      <c r="O8713" t="s">
        <v>39029</v>
      </c>
      <c r="P8713" t="s">
        <v>39030</v>
      </c>
      <c r="Q8713" t="s">
        <v>39031</v>
      </c>
      <c r="R8713">
        <v>27</v>
      </c>
      <c r="S8713">
        <v>32</v>
      </c>
    </row>
    <row r="8714" spans="1:19" x14ac:dyDescent="0.35">
      <c r="A8714">
        <v>2432</v>
      </c>
      <c r="B8714" t="s">
        <v>39032</v>
      </c>
      <c r="C8714" t="s">
        <v>42</v>
      </c>
      <c r="D8714" t="s">
        <v>39033</v>
      </c>
      <c r="E8714" t="e" cm="1">
        <f t="array" ref="E8714">- DICLOFENAC POTASSIUM</f>
        <v>#NAME?</v>
      </c>
      <c r="F8714" t="s">
        <v>39034</v>
      </c>
      <c r="G8714" t="s">
        <v>2241</v>
      </c>
      <c r="H8714" t="s">
        <v>2596</v>
      </c>
      <c r="I8714" t="s">
        <v>38703</v>
      </c>
      <c r="J8714" t="s">
        <v>12241</v>
      </c>
      <c r="K8714" t="s">
        <v>39035</v>
      </c>
      <c r="L8714" t="s">
        <v>28388</v>
      </c>
      <c r="M8714" t="s">
        <v>46</v>
      </c>
      <c r="N8714" t="s">
        <v>2637</v>
      </c>
      <c r="O8714" t="s">
        <v>38705</v>
      </c>
      <c r="P8714" t="s">
        <v>28461</v>
      </c>
      <c r="Q8714" t="s">
        <v>39036</v>
      </c>
      <c r="R8714">
        <v>27</v>
      </c>
      <c r="S8714">
        <v>32</v>
      </c>
    </row>
    <row r="8715" spans="1:19" x14ac:dyDescent="0.35">
      <c r="A8715">
        <v>3915</v>
      </c>
      <c r="B8715" t="s">
        <v>33851</v>
      </c>
      <c r="C8715" t="s">
        <v>42</v>
      </c>
      <c r="D8715" t="s">
        <v>33852</v>
      </c>
      <c r="E8715" t="s">
        <v>39037</v>
      </c>
      <c r="F8715" t="s">
        <v>33853</v>
      </c>
      <c r="G8715" t="s">
        <v>33854</v>
      </c>
      <c r="H8715" t="s">
        <v>33855</v>
      </c>
      <c r="I8715" t="s">
        <v>33856</v>
      </c>
      <c r="J8715" t="s">
        <v>33857</v>
      </c>
      <c r="K8715" t="s">
        <v>33858</v>
      </c>
      <c r="L8715" t="s">
        <v>33859</v>
      </c>
      <c r="M8715" t="s">
        <v>12262</v>
      </c>
      <c r="N8715" t="s">
        <v>39038</v>
      </c>
      <c r="O8715" t="s">
        <v>33860</v>
      </c>
      <c r="P8715" t="s">
        <v>33861</v>
      </c>
      <c r="Q8715" t="s">
        <v>39039</v>
      </c>
      <c r="R8715">
        <v>27</v>
      </c>
      <c r="S8715">
        <v>32</v>
      </c>
    </row>
    <row r="8716" spans="1:19" x14ac:dyDescent="0.35">
      <c r="A8716">
        <v>3188</v>
      </c>
      <c r="B8716" t="s">
        <v>34139</v>
      </c>
      <c r="C8716" t="s">
        <v>42</v>
      </c>
      <c r="D8716" t="s">
        <v>34140</v>
      </c>
      <c r="E8716" t="s">
        <v>38957</v>
      </c>
      <c r="F8716" t="s">
        <v>34141</v>
      </c>
      <c r="G8716" t="s">
        <v>32156</v>
      </c>
      <c r="H8716" t="s">
        <v>32146</v>
      </c>
      <c r="I8716" t="s">
        <v>32147</v>
      </c>
      <c r="J8716" t="s">
        <v>34142</v>
      </c>
      <c r="K8716" t="s">
        <v>32149</v>
      </c>
      <c r="L8716" t="s">
        <v>32157</v>
      </c>
      <c r="M8716" t="s">
        <v>340</v>
      </c>
      <c r="N8716" t="s">
        <v>38958</v>
      </c>
      <c r="O8716" t="s">
        <v>32151</v>
      </c>
      <c r="P8716" t="s">
        <v>34143</v>
      </c>
      <c r="Q8716" t="s">
        <v>38959</v>
      </c>
      <c r="R8716">
        <v>27</v>
      </c>
      <c r="S8716">
        <v>32</v>
      </c>
    </row>
    <row r="8717" spans="1:19" x14ac:dyDescent="0.35">
      <c r="A8717">
        <v>2109</v>
      </c>
      <c r="B8717" t="s">
        <v>39040</v>
      </c>
      <c r="C8717" t="s">
        <v>42</v>
      </c>
      <c r="D8717" t="s">
        <v>39041</v>
      </c>
      <c r="E8717" t="e" cm="1">
        <f t="array" ref="E8717">- IBUPROFEN</f>
        <v>#NAME?</v>
      </c>
      <c r="F8717" t="s">
        <v>39042</v>
      </c>
      <c r="G8717" t="s">
        <v>39043</v>
      </c>
      <c r="H8717" t="s">
        <v>39044</v>
      </c>
      <c r="I8717" t="s">
        <v>37899</v>
      </c>
      <c r="J8717" t="s">
        <v>4783</v>
      </c>
      <c r="K8717" t="s">
        <v>37900</v>
      </c>
      <c r="L8717" t="s">
        <v>39045</v>
      </c>
      <c r="M8717" t="s">
        <v>720</v>
      </c>
      <c r="N8717" t="s">
        <v>383</v>
      </c>
      <c r="O8717" t="s">
        <v>37902</v>
      </c>
      <c r="P8717" t="s">
        <v>38981</v>
      </c>
      <c r="Q8717" t="s">
        <v>39046</v>
      </c>
      <c r="R8717">
        <v>27</v>
      </c>
      <c r="S8717">
        <v>32</v>
      </c>
    </row>
    <row r="8718" spans="1:19" x14ac:dyDescent="0.35">
      <c r="A8718">
        <v>385</v>
      </c>
      <c r="B8718" t="s">
        <v>38606</v>
      </c>
      <c r="C8718" t="s">
        <v>42</v>
      </c>
      <c r="D8718" t="s">
        <v>38607</v>
      </c>
      <c r="E8718" t="e" cm="1">
        <f t="array" ref="E8718">- POVIDONE-IODINE</f>
        <v>#NAME?</v>
      </c>
      <c r="F8718" t="s">
        <v>38608</v>
      </c>
      <c r="G8718" t="s">
        <v>38609</v>
      </c>
      <c r="H8718" t="s">
        <v>38610</v>
      </c>
      <c r="I8718" t="s">
        <v>38611</v>
      </c>
      <c r="J8718" t="s">
        <v>38612</v>
      </c>
      <c r="K8718" t="s">
        <v>6351</v>
      </c>
      <c r="L8718" t="s">
        <v>38613</v>
      </c>
      <c r="M8718" t="s">
        <v>38614</v>
      </c>
      <c r="N8718" t="s">
        <v>555</v>
      </c>
      <c r="O8718" t="s">
        <v>38615</v>
      </c>
      <c r="P8718" t="s">
        <v>38616</v>
      </c>
      <c r="Q8718" t="s">
        <v>38617</v>
      </c>
      <c r="R8718">
        <v>27</v>
      </c>
      <c r="S8718">
        <v>32</v>
      </c>
    </row>
    <row r="8719" spans="1:19" x14ac:dyDescent="0.35">
      <c r="A8719">
        <v>2294</v>
      </c>
      <c r="B8719" t="s">
        <v>39047</v>
      </c>
      <c r="C8719" t="s">
        <v>42</v>
      </c>
      <c r="D8719" t="s">
        <v>39048</v>
      </c>
      <c r="E8719" t="e" cm="1">
        <f t="array" ref="E8719">- DICLOFENAC SODIUM</f>
        <v>#NAME?</v>
      </c>
      <c r="F8719" s="1">
        <v>30700</v>
      </c>
      <c r="G8719" t="s">
        <v>2241</v>
      </c>
      <c r="H8719" t="s">
        <v>2596</v>
      </c>
      <c r="I8719" t="s">
        <v>38703</v>
      </c>
      <c r="J8719" t="s">
        <v>39049</v>
      </c>
      <c r="L8719" t="s">
        <v>28388</v>
      </c>
      <c r="M8719" t="s">
        <v>46</v>
      </c>
      <c r="N8719" t="s">
        <v>2597</v>
      </c>
      <c r="O8719" t="s">
        <v>38705</v>
      </c>
      <c r="P8719" t="s">
        <v>39050</v>
      </c>
      <c r="Q8719" t="s">
        <v>39051</v>
      </c>
      <c r="R8719">
        <v>27</v>
      </c>
      <c r="S8719">
        <v>32</v>
      </c>
    </row>
    <row r="8720" spans="1:19" x14ac:dyDescent="0.35">
      <c r="A8720">
        <v>6564</v>
      </c>
      <c r="B8720" t="s">
        <v>39052</v>
      </c>
      <c r="C8720" t="s">
        <v>42</v>
      </c>
      <c r="D8720" t="s">
        <v>39053</v>
      </c>
      <c r="E8720" t="e" cm="1">
        <f t="array" ref="E8720">- KETOCONAZOLE</f>
        <v>#NAME?</v>
      </c>
      <c r="F8720" t="s">
        <v>39054</v>
      </c>
      <c r="G8720" t="s">
        <v>4649</v>
      </c>
      <c r="H8720" t="s">
        <v>39055</v>
      </c>
      <c r="I8720" t="s">
        <v>39056</v>
      </c>
    </row>
    <row r="8721" spans="1:19" x14ac:dyDescent="0.35">
      <c r="A8721">
        <v>6565</v>
      </c>
      <c r="B8721" t="s">
        <v>39052</v>
      </c>
      <c r="C8721" t="s">
        <v>42</v>
      </c>
      <c r="D8721" t="s">
        <v>39053</v>
      </c>
      <c r="E8721" t="e" cm="1">
        <f t="array" ref="E8721">- KETOCONAZOLE</f>
        <v>#NAME?</v>
      </c>
      <c r="F8721" t="s">
        <v>39054</v>
      </c>
      <c r="G8721" t="s">
        <v>4649</v>
      </c>
      <c r="H8721" t="s">
        <v>39055</v>
      </c>
      <c r="I8721" t="s">
        <v>39056</v>
      </c>
    </row>
    <row r="8722" spans="1:19" x14ac:dyDescent="0.35">
      <c r="A8722">
        <v>3416</v>
      </c>
      <c r="B8722" t="s">
        <v>39057</v>
      </c>
      <c r="C8722" t="s">
        <v>42</v>
      </c>
      <c r="D8722" t="s">
        <v>39058</v>
      </c>
      <c r="E8722" t="e" cm="1">
        <f t="array" ref="E8722">- ALUMINIUM HYDROXIDE</f>
        <v>#NAME?</v>
      </c>
      <c r="F8722" s="1">
        <v>12100</v>
      </c>
      <c r="G8722" t="s">
        <v>39059</v>
      </c>
      <c r="H8722" t="s">
        <v>39060</v>
      </c>
      <c r="I8722" t="s">
        <v>39061</v>
      </c>
      <c r="J8722" t="s">
        <v>846</v>
      </c>
      <c r="M8722" t="s">
        <v>340</v>
      </c>
      <c r="N8722" t="s">
        <v>1771</v>
      </c>
      <c r="O8722" t="s">
        <v>39062</v>
      </c>
      <c r="P8722" t="s">
        <v>39063</v>
      </c>
      <c r="Q8722" t="s">
        <v>39064</v>
      </c>
      <c r="R8722">
        <v>27</v>
      </c>
      <c r="S8722">
        <v>32</v>
      </c>
    </row>
    <row r="8723" spans="1:19" x14ac:dyDescent="0.35">
      <c r="A8723">
        <v>7371</v>
      </c>
      <c r="B8723" t="s">
        <v>38432</v>
      </c>
      <c r="C8723" t="s">
        <v>42</v>
      </c>
      <c r="D8723" t="s">
        <v>38433</v>
      </c>
      <c r="E8723" t="e" cm="1">
        <f t="array" ref="E8723">- PHENOL Crystal</f>
        <v>#NAME?</v>
      </c>
      <c r="F8723" t="s">
        <v>38434</v>
      </c>
      <c r="G8723" t="s">
        <v>38435</v>
      </c>
      <c r="H8723" t="s">
        <v>38436</v>
      </c>
      <c r="I8723" t="s">
        <v>38437</v>
      </c>
      <c r="J8723" t="s">
        <v>38438</v>
      </c>
      <c r="L8723" t="s">
        <v>28038</v>
      </c>
      <c r="M8723" t="s">
        <v>554</v>
      </c>
      <c r="N8723" t="s">
        <v>39065</v>
      </c>
      <c r="O8723" t="s">
        <v>38439</v>
      </c>
      <c r="P8723" t="s">
        <v>38440</v>
      </c>
      <c r="Q8723" t="s">
        <v>39066</v>
      </c>
      <c r="R8723">
        <v>27</v>
      </c>
      <c r="S8723">
        <v>32</v>
      </c>
    </row>
    <row r="8724" spans="1:19" x14ac:dyDescent="0.35">
      <c r="A8724">
        <v>5395</v>
      </c>
      <c r="B8724" t="s">
        <v>39067</v>
      </c>
      <c r="C8724" t="s">
        <v>42</v>
      </c>
      <c r="D8724" t="s">
        <v>39068</v>
      </c>
      <c r="E8724" t="e" cm="1">
        <f t="array" ref="E8724">- BACITRACIN ZINC</f>
        <v>#NAME?</v>
      </c>
      <c r="F8724" t="s">
        <v>39069</v>
      </c>
      <c r="G8724" t="s">
        <v>39070</v>
      </c>
      <c r="H8724" t="s">
        <v>39071</v>
      </c>
      <c r="I8724" t="s">
        <v>39072</v>
      </c>
      <c r="J8724" t="s">
        <v>2049</v>
      </c>
      <c r="K8724" t="s">
        <v>7294</v>
      </c>
      <c r="L8724" t="s">
        <v>39073</v>
      </c>
      <c r="M8724" t="s">
        <v>1029</v>
      </c>
      <c r="N8724" t="s">
        <v>7295</v>
      </c>
      <c r="O8724" t="s">
        <v>39074</v>
      </c>
      <c r="P8724" t="s">
        <v>39075</v>
      </c>
      <c r="Q8724" t="s">
        <v>39076</v>
      </c>
      <c r="R8724">
        <v>27</v>
      </c>
      <c r="S8724">
        <v>32</v>
      </c>
    </row>
    <row r="8725" spans="1:19" x14ac:dyDescent="0.35">
      <c r="A8725">
        <v>3589</v>
      </c>
      <c r="B8725" t="s">
        <v>39077</v>
      </c>
      <c r="C8725" t="s">
        <v>42</v>
      </c>
      <c r="D8725" t="s">
        <v>39078</v>
      </c>
      <c r="E8725" t="e" cm="1">
        <f t="array" ref="E8725">- DOMPERIDONE</f>
        <v>#NAME?</v>
      </c>
      <c r="F8725" t="s">
        <v>39079</v>
      </c>
      <c r="G8725" t="s">
        <v>1724</v>
      </c>
      <c r="H8725" t="s">
        <v>39080</v>
      </c>
      <c r="I8725" t="s">
        <v>39081</v>
      </c>
      <c r="J8725" t="s">
        <v>334</v>
      </c>
      <c r="K8725" t="s">
        <v>2858</v>
      </c>
      <c r="L8725" t="s">
        <v>270</v>
      </c>
      <c r="M8725" t="s">
        <v>340</v>
      </c>
      <c r="N8725" t="s">
        <v>341</v>
      </c>
      <c r="O8725" t="s">
        <v>39082</v>
      </c>
      <c r="P8725" t="s">
        <v>21087</v>
      </c>
      <c r="Q8725" t="s">
        <v>39083</v>
      </c>
      <c r="R8725">
        <v>27</v>
      </c>
      <c r="S8725">
        <v>32</v>
      </c>
    </row>
    <row r="8726" spans="1:19" x14ac:dyDescent="0.35">
      <c r="A8726">
        <v>3590</v>
      </c>
      <c r="B8726" t="s">
        <v>39077</v>
      </c>
      <c r="C8726" t="s">
        <v>42</v>
      </c>
      <c r="D8726" t="s">
        <v>39078</v>
      </c>
      <c r="E8726" t="e" cm="1">
        <f t="array" ref="E8726">- DOMPERIDONE</f>
        <v>#NAME?</v>
      </c>
      <c r="F8726" t="s">
        <v>39079</v>
      </c>
      <c r="G8726" t="s">
        <v>1724</v>
      </c>
      <c r="H8726" t="s">
        <v>39080</v>
      </c>
      <c r="I8726" t="s">
        <v>39081</v>
      </c>
      <c r="J8726" t="s">
        <v>334</v>
      </c>
      <c r="K8726" t="s">
        <v>2858</v>
      </c>
      <c r="L8726" t="s">
        <v>270</v>
      </c>
      <c r="M8726" t="s">
        <v>340</v>
      </c>
      <c r="N8726" t="s">
        <v>341</v>
      </c>
      <c r="O8726" t="s">
        <v>39082</v>
      </c>
      <c r="P8726" t="s">
        <v>21087</v>
      </c>
      <c r="Q8726" t="s">
        <v>39083</v>
      </c>
      <c r="R8726">
        <v>27</v>
      </c>
      <c r="S8726">
        <v>32</v>
      </c>
    </row>
    <row r="8727" spans="1:19" x14ac:dyDescent="0.35">
      <c r="A8727">
        <v>5826</v>
      </c>
      <c r="B8727" t="s">
        <v>39084</v>
      </c>
      <c r="C8727" t="s">
        <v>42</v>
      </c>
      <c r="D8727" t="s">
        <v>39085</v>
      </c>
      <c r="E8727" t="e" cm="1">
        <f t="array" ref="E8727">- AMOXICILLIN TRIHYDRATE. POTASSIUM CLAVULANATE WITH MICROCRYSTALLINE CELLULOSE</f>
        <v>#NAME?</v>
      </c>
      <c r="F8727" t="s">
        <v>39086</v>
      </c>
      <c r="G8727" t="s">
        <v>39087</v>
      </c>
      <c r="H8727" t="s">
        <v>39088</v>
      </c>
      <c r="I8727" t="s">
        <v>39089</v>
      </c>
      <c r="J8727" t="s">
        <v>1043</v>
      </c>
      <c r="K8727" t="s">
        <v>14950</v>
      </c>
      <c r="L8727" t="s">
        <v>39090</v>
      </c>
      <c r="M8727" t="s">
        <v>291</v>
      </c>
      <c r="N8727" t="s">
        <v>11276</v>
      </c>
      <c r="O8727" t="s">
        <v>39091</v>
      </c>
      <c r="P8727" t="s">
        <v>24305</v>
      </c>
      <c r="Q8727" t="s">
        <v>39092</v>
      </c>
      <c r="R8727">
        <v>27</v>
      </c>
      <c r="S8727">
        <v>32</v>
      </c>
    </row>
    <row r="8728" spans="1:19" x14ac:dyDescent="0.35">
      <c r="A8728">
        <v>7325</v>
      </c>
      <c r="B8728" t="s">
        <v>36639</v>
      </c>
      <c r="C8728" t="s">
        <v>42</v>
      </c>
      <c r="D8728" t="s">
        <v>36640</v>
      </c>
      <c r="E8728" t="e" cm="1">
        <f t="array" ref="E8728">- ESTRADIOL VALERATE. ESTRADIOL VALERATE. NORGESTREL</f>
        <v>#NAME?</v>
      </c>
      <c r="F8728" t="s">
        <v>36641</v>
      </c>
      <c r="G8728" t="s">
        <v>60</v>
      </c>
      <c r="H8728" t="s">
        <v>36642</v>
      </c>
      <c r="I8728" t="s">
        <v>36643</v>
      </c>
      <c r="J8728" t="s">
        <v>36644</v>
      </c>
      <c r="K8728" t="s">
        <v>36645</v>
      </c>
      <c r="L8728" t="s">
        <v>36646</v>
      </c>
      <c r="M8728" t="s">
        <v>46</v>
      </c>
      <c r="N8728" t="s">
        <v>39093</v>
      </c>
      <c r="O8728" t="s">
        <v>36648</v>
      </c>
      <c r="P8728" t="s">
        <v>36649</v>
      </c>
      <c r="Q8728" t="s">
        <v>39094</v>
      </c>
      <c r="R8728">
        <v>27</v>
      </c>
      <c r="S8728">
        <v>32</v>
      </c>
    </row>
    <row r="8729" spans="1:19" x14ac:dyDescent="0.35">
      <c r="A8729">
        <v>5279</v>
      </c>
      <c r="B8729" t="s">
        <v>39095</v>
      </c>
      <c r="C8729" t="s">
        <v>42</v>
      </c>
      <c r="D8729" t="s">
        <v>39096</v>
      </c>
      <c r="E8729" t="e" cm="1">
        <f t="array" ref="E8729">- CLOTRIMAZOLE. BETAMETHASONE DIPROPIONATE</f>
        <v>#NAME?</v>
      </c>
      <c r="F8729" t="s">
        <v>36187</v>
      </c>
      <c r="G8729" t="s">
        <v>7210</v>
      </c>
      <c r="H8729" t="s">
        <v>39097</v>
      </c>
      <c r="I8729" t="s">
        <v>39098</v>
      </c>
      <c r="J8729" t="s">
        <v>9739</v>
      </c>
      <c r="K8729" t="s">
        <v>39099</v>
      </c>
      <c r="L8729" t="s">
        <v>39100</v>
      </c>
      <c r="M8729" t="s">
        <v>1289</v>
      </c>
      <c r="N8729" t="s">
        <v>39101</v>
      </c>
      <c r="O8729" t="s">
        <v>39102</v>
      </c>
      <c r="P8729" t="s">
        <v>39103</v>
      </c>
      <c r="Q8729" t="s">
        <v>39104</v>
      </c>
      <c r="R8729">
        <v>27</v>
      </c>
      <c r="S8729">
        <v>32</v>
      </c>
    </row>
    <row r="8730" spans="1:19" x14ac:dyDescent="0.35">
      <c r="A8730">
        <v>728</v>
      </c>
      <c r="B8730" t="s">
        <v>38991</v>
      </c>
      <c r="C8730" t="s">
        <v>20</v>
      </c>
      <c r="D8730" t="s">
        <v>38992</v>
      </c>
      <c r="E8730" t="s">
        <v>38993</v>
      </c>
      <c r="F8730" t="s">
        <v>38994</v>
      </c>
      <c r="G8730" t="s">
        <v>36562</v>
      </c>
      <c r="H8730" t="s">
        <v>36563</v>
      </c>
      <c r="I8730" t="s">
        <v>36564</v>
      </c>
      <c r="J8730" t="s">
        <v>374</v>
      </c>
      <c r="L8730" t="s">
        <v>13303</v>
      </c>
      <c r="N8730" t="s">
        <v>38995</v>
      </c>
      <c r="O8730" t="s">
        <v>36566</v>
      </c>
      <c r="P8730" t="s">
        <v>38996</v>
      </c>
      <c r="Q8730" t="s">
        <v>38997</v>
      </c>
      <c r="R8730">
        <v>27</v>
      </c>
      <c r="S8730">
        <v>32</v>
      </c>
    </row>
    <row r="8731" spans="1:19" x14ac:dyDescent="0.35">
      <c r="A8731">
        <v>312</v>
      </c>
      <c r="B8731" t="s">
        <v>39105</v>
      </c>
      <c r="C8731" t="s">
        <v>42</v>
      </c>
      <c r="D8731" t="s">
        <v>39106</v>
      </c>
      <c r="E8731" t="e" cm="1">
        <f t="array" ref="E8731">- PROGESTERONE</f>
        <v>#NAME?</v>
      </c>
      <c r="F8731" t="s">
        <v>39107</v>
      </c>
      <c r="G8731" t="s">
        <v>39108</v>
      </c>
      <c r="H8731" t="s">
        <v>39109</v>
      </c>
      <c r="I8731" t="s">
        <v>39110</v>
      </c>
      <c r="J8731" t="s">
        <v>8534</v>
      </c>
      <c r="K8731" t="s">
        <v>39111</v>
      </c>
      <c r="L8731" t="s">
        <v>39112</v>
      </c>
      <c r="M8731" t="s">
        <v>38</v>
      </c>
      <c r="N8731" t="s">
        <v>8537</v>
      </c>
      <c r="O8731" t="s">
        <v>39113</v>
      </c>
      <c r="P8731" t="s">
        <v>8539</v>
      </c>
      <c r="Q8731" t="s">
        <v>39114</v>
      </c>
      <c r="R8731">
        <v>27</v>
      </c>
      <c r="S8731">
        <v>32</v>
      </c>
    </row>
    <row r="8732" spans="1:19" x14ac:dyDescent="0.35">
      <c r="A8732">
        <v>2437</v>
      </c>
      <c r="B8732" t="s">
        <v>39115</v>
      </c>
      <c r="C8732" t="s">
        <v>42</v>
      </c>
      <c r="D8732" t="s">
        <v>39116</v>
      </c>
      <c r="E8732" t="e" cm="1">
        <f t="array" ref="E8732">- DICLOFENAC POTASSIUM</f>
        <v>#NAME?</v>
      </c>
      <c r="F8732" t="s">
        <v>2584</v>
      </c>
      <c r="G8732" t="s">
        <v>2241</v>
      </c>
      <c r="H8732" t="s">
        <v>2596</v>
      </c>
      <c r="I8732" t="s">
        <v>38703</v>
      </c>
      <c r="J8732" t="s">
        <v>39117</v>
      </c>
      <c r="K8732" t="s">
        <v>39118</v>
      </c>
      <c r="L8732" t="s">
        <v>21258</v>
      </c>
      <c r="M8732" t="s">
        <v>46</v>
      </c>
      <c r="N8732" t="s">
        <v>2637</v>
      </c>
      <c r="O8732" t="s">
        <v>38705</v>
      </c>
      <c r="P8732" t="s">
        <v>39119</v>
      </c>
      <c r="Q8732" t="s">
        <v>39120</v>
      </c>
      <c r="R8732">
        <v>27</v>
      </c>
      <c r="S8732">
        <v>32</v>
      </c>
    </row>
    <row r="8733" spans="1:19" x14ac:dyDescent="0.35">
      <c r="A8733">
        <v>5831</v>
      </c>
      <c r="B8733" t="s">
        <v>39121</v>
      </c>
      <c r="C8733" t="s">
        <v>42</v>
      </c>
      <c r="D8733" t="s">
        <v>39122</v>
      </c>
      <c r="E8733" t="e" cm="1">
        <f t="array" ref="E8733">- OFLOXACIN</f>
        <v>#NAME?</v>
      </c>
      <c r="F8733" s="1">
        <v>141300</v>
      </c>
      <c r="G8733" t="s">
        <v>5568</v>
      </c>
      <c r="H8733" t="s">
        <v>39123</v>
      </c>
      <c r="I8733" t="s">
        <v>39124</v>
      </c>
      <c r="J8733" t="s">
        <v>39125</v>
      </c>
      <c r="K8733" t="s">
        <v>37641</v>
      </c>
      <c r="L8733" t="s">
        <v>37642</v>
      </c>
      <c r="M8733" t="s">
        <v>46</v>
      </c>
      <c r="N8733" t="s">
        <v>1640</v>
      </c>
      <c r="O8733" t="s">
        <v>39126</v>
      </c>
      <c r="P8733" t="s">
        <v>37644</v>
      </c>
      <c r="Q8733" t="s">
        <v>39127</v>
      </c>
      <c r="R8733">
        <v>27</v>
      </c>
      <c r="S8733">
        <v>32</v>
      </c>
    </row>
    <row r="8734" spans="1:19" x14ac:dyDescent="0.35">
      <c r="A8734">
        <v>5836</v>
      </c>
      <c r="B8734" t="s">
        <v>38473</v>
      </c>
      <c r="C8734" t="s">
        <v>42</v>
      </c>
      <c r="D8734" t="s">
        <v>38474</v>
      </c>
      <c r="E8734" t="e" cm="1">
        <f t="array" ref="E8734">- CLINDAMYCIN MONOHYDROCHLORIDE MONOHYDRATE</f>
        <v>#NAME?</v>
      </c>
      <c r="F8734" s="1">
        <v>92900</v>
      </c>
      <c r="G8734" t="s">
        <v>38475</v>
      </c>
      <c r="H8734" t="s">
        <v>38476</v>
      </c>
      <c r="I8734" t="s">
        <v>38477</v>
      </c>
      <c r="J8734" t="s">
        <v>14600</v>
      </c>
      <c r="K8734" t="s">
        <v>38478</v>
      </c>
      <c r="L8734" t="s">
        <v>38479</v>
      </c>
      <c r="M8734" t="s">
        <v>38</v>
      </c>
      <c r="N8734" t="s">
        <v>39128</v>
      </c>
      <c r="O8734" t="s">
        <v>38480</v>
      </c>
      <c r="P8734" t="s">
        <v>36573</v>
      </c>
      <c r="Q8734" t="s">
        <v>39129</v>
      </c>
      <c r="R8734">
        <v>27</v>
      </c>
      <c r="S8734">
        <v>32</v>
      </c>
    </row>
    <row r="8735" spans="1:19" x14ac:dyDescent="0.35">
      <c r="A8735">
        <v>710</v>
      </c>
      <c r="B8735" t="s">
        <v>39130</v>
      </c>
      <c r="C8735" t="s">
        <v>20</v>
      </c>
      <c r="D8735" t="s">
        <v>39131</v>
      </c>
      <c r="E8735" t="s">
        <v>39132</v>
      </c>
      <c r="F8735" t="s">
        <v>39133</v>
      </c>
      <c r="G8735" t="s">
        <v>39134</v>
      </c>
      <c r="H8735" t="s">
        <v>1322</v>
      </c>
      <c r="I8735" t="s">
        <v>39135</v>
      </c>
      <c r="J8735" t="s">
        <v>37764</v>
      </c>
      <c r="L8735" t="s">
        <v>39136</v>
      </c>
      <c r="M8735" t="s">
        <v>2115</v>
      </c>
      <c r="N8735" t="s">
        <v>39137</v>
      </c>
      <c r="O8735" t="s">
        <v>39138</v>
      </c>
      <c r="P8735" t="s">
        <v>39139</v>
      </c>
      <c r="Q8735" t="s">
        <v>39140</v>
      </c>
      <c r="R8735">
        <v>27</v>
      </c>
      <c r="S8735">
        <v>32</v>
      </c>
    </row>
    <row r="8736" spans="1:19" x14ac:dyDescent="0.35">
      <c r="A8736">
        <v>2277</v>
      </c>
      <c r="B8736" t="s">
        <v>39141</v>
      </c>
      <c r="C8736" t="s">
        <v>42</v>
      </c>
      <c r="D8736" t="s">
        <v>39142</v>
      </c>
      <c r="E8736" t="e" cm="1">
        <f t="array" ref="E8736">- DICLOFENAC POTASSIUM</f>
        <v>#NAME?</v>
      </c>
      <c r="F8736" t="s">
        <v>39143</v>
      </c>
      <c r="G8736" t="s">
        <v>2241</v>
      </c>
      <c r="H8736" t="s">
        <v>2596</v>
      </c>
      <c r="I8736" t="s">
        <v>38703</v>
      </c>
      <c r="L8736" t="s">
        <v>321</v>
      </c>
      <c r="M8736" t="s">
        <v>46</v>
      </c>
      <c r="N8736" t="s">
        <v>2637</v>
      </c>
      <c r="O8736" t="s">
        <v>38705</v>
      </c>
      <c r="P8736" t="s">
        <v>39144</v>
      </c>
      <c r="Q8736" t="s">
        <v>39145</v>
      </c>
      <c r="R8736">
        <v>27</v>
      </c>
      <c r="S8736">
        <v>32</v>
      </c>
    </row>
    <row r="8737" spans="1:19" x14ac:dyDescent="0.35">
      <c r="A8737">
        <v>2283</v>
      </c>
      <c r="B8737" t="s">
        <v>39146</v>
      </c>
      <c r="C8737" t="s">
        <v>42</v>
      </c>
      <c r="D8737" t="s">
        <v>39147</v>
      </c>
      <c r="E8737" t="e" cm="1">
        <f t="array" ref="E8737">- DICLOFENAC SODIUM</f>
        <v>#NAME?</v>
      </c>
      <c r="F8737" t="s">
        <v>39148</v>
      </c>
      <c r="G8737" t="s">
        <v>2241</v>
      </c>
      <c r="H8737" t="s">
        <v>2596</v>
      </c>
      <c r="I8737" t="s">
        <v>38703</v>
      </c>
      <c r="J8737" t="s">
        <v>21256</v>
      </c>
      <c r="K8737" t="s">
        <v>39118</v>
      </c>
      <c r="L8737" t="s">
        <v>21258</v>
      </c>
      <c r="M8737" t="s">
        <v>46</v>
      </c>
      <c r="N8737" t="s">
        <v>2597</v>
      </c>
      <c r="O8737" t="s">
        <v>38705</v>
      </c>
      <c r="P8737" t="s">
        <v>39149</v>
      </c>
      <c r="Q8737" t="s">
        <v>39150</v>
      </c>
      <c r="R8737">
        <v>27</v>
      </c>
      <c r="S8737">
        <v>32</v>
      </c>
    </row>
    <row r="8738" spans="1:19" x14ac:dyDescent="0.35">
      <c r="A8738">
        <v>2284</v>
      </c>
      <c r="B8738" t="s">
        <v>39146</v>
      </c>
      <c r="C8738" t="s">
        <v>42</v>
      </c>
      <c r="D8738" t="s">
        <v>39147</v>
      </c>
      <c r="E8738" t="e" cm="1">
        <f t="array" ref="E8738">- DICLOFENAC SODIUM</f>
        <v>#NAME?</v>
      </c>
      <c r="F8738" t="s">
        <v>39148</v>
      </c>
      <c r="G8738" t="s">
        <v>2241</v>
      </c>
      <c r="H8738" t="s">
        <v>2596</v>
      </c>
      <c r="I8738" t="s">
        <v>38703</v>
      </c>
      <c r="J8738" t="s">
        <v>21256</v>
      </c>
      <c r="K8738" t="s">
        <v>39118</v>
      </c>
      <c r="L8738" t="s">
        <v>21258</v>
      </c>
      <c r="M8738" t="s">
        <v>46</v>
      </c>
      <c r="N8738" t="s">
        <v>2597</v>
      </c>
      <c r="O8738" t="s">
        <v>38705</v>
      </c>
      <c r="P8738" t="s">
        <v>39149</v>
      </c>
      <c r="Q8738" t="s">
        <v>39150</v>
      </c>
      <c r="R8738">
        <v>27</v>
      </c>
      <c r="S8738">
        <v>32</v>
      </c>
    </row>
    <row r="8739" spans="1:19" x14ac:dyDescent="0.35">
      <c r="A8739">
        <v>2285</v>
      </c>
      <c r="B8739" t="s">
        <v>39146</v>
      </c>
      <c r="C8739" t="s">
        <v>42</v>
      </c>
      <c r="D8739" t="s">
        <v>39147</v>
      </c>
      <c r="E8739" t="e" cm="1">
        <f t="array" ref="E8739">- DICLOFENAC SODIUM</f>
        <v>#NAME?</v>
      </c>
      <c r="F8739" t="s">
        <v>39148</v>
      </c>
      <c r="G8739" t="s">
        <v>2241</v>
      </c>
      <c r="H8739" t="s">
        <v>2596</v>
      </c>
      <c r="I8739" t="s">
        <v>38703</v>
      </c>
      <c r="J8739" t="s">
        <v>21256</v>
      </c>
      <c r="K8739" t="s">
        <v>39118</v>
      </c>
      <c r="L8739" t="s">
        <v>21258</v>
      </c>
      <c r="M8739" t="s">
        <v>46</v>
      </c>
      <c r="N8739" t="s">
        <v>2597</v>
      </c>
      <c r="O8739" t="s">
        <v>38705</v>
      </c>
      <c r="P8739" t="s">
        <v>39149</v>
      </c>
      <c r="Q8739" t="s">
        <v>39150</v>
      </c>
      <c r="R8739">
        <v>27</v>
      </c>
      <c r="S8739">
        <v>32</v>
      </c>
    </row>
    <row r="8740" spans="1:19" x14ac:dyDescent="0.35">
      <c r="A8740">
        <v>2286</v>
      </c>
      <c r="B8740" t="s">
        <v>39146</v>
      </c>
      <c r="C8740" t="s">
        <v>42</v>
      </c>
      <c r="D8740" t="s">
        <v>39147</v>
      </c>
      <c r="E8740" t="e" cm="1">
        <f t="array" ref="E8740">- DICLOFENAC SODIUM</f>
        <v>#NAME?</v>
      </c>
      <c r="F8740" t="s">
        <v>39148</v>
      </c>
      <c r="G8740" t="s">
        <v>2241</v>
      </c>
      <c r="H8740" t="s">
        <v>2596</v>
      </c>
      <c r="I8740" t="s">
        <v>38703</v>
      </c>
      <c r="J8740" t="s">
        <v>21256</v>
      </c>
      <c r="K8740" t="s">
        <v>39118</v>
      </c>
      <c r="L8740" t="s">
        <v>21258</v>
      </c>
      <c r="M8740" t="s">
        <v>46</v>
      </c>
      <c r="N8740" t="s">
        <v>2597</v>
      </c>
      <c r="O8740" t="s">
        <v>38705</v>
      </c>
      <c r="P8740" t="s">
        <v>39149</v>
      </c>
      <c r="Q8740" t="s">
        <v>39150</v>
      </c>
      <c r="R8740">
        <v>27</v>
      </c>
      <c r="S8740">
        <v>32</v>
      </c>
    </row>
    <row r="8741" spans="1:19" x14ac:dyDescent="0.35">
      <c r="A8741">
        <v>3226</v>
      </c>
      <c r="B8741" t="s">
        <v>39151</v>
      </c>
      <c r="C8741" t="s">
        <v>42</v>
      </c>
      <c r="D8741" t="s">
        <v>39152</v>
      </c>
      <c r="E8741" t="e" cm="1">
        <f t="array" ref="E8741">- DRIED ALUMINIUM HYDROXIDE GEL</f>
        <v>#NAME?</v>
      </c>
      <c r="F8741" t="s">
        <v>12759</v>
      </c>
      <c r="G8741" t="s">
        <v>39153</v>
      </c>
      <c r="H8741" t="s">
        <v>39154</v>
      </c>
    </row>
    <row r="8742" spans="1:19" x14ac:dyDescent="0.35">
      <c r="A8742">
        <v>3225</v>
      </c>
      <c r="B8742" t="s">
        <v>39151</v>
      </c>
      <c r="C8742" t="s">
        <v>42</v>
      </c>
      <c r="D8742" t="s">
        <v>39152</v>
      </c>
      <c r="E8742" t="e" cm="1">
        <f t="array" ref="E8742">- DRIED ALUMINIUM HYDROXIDE GEL</f>
        <v>#NAME?</v>
      </c>
      <c r="F8742" t="s">
        <v>12759</v>
      </c>
      <c r="G8742" t="s">
        <v>39153</v>
      </c>
      <c r="H8742" t="s">
        <v>39154</v>
      </c>
    </row>
    <row r="8743" spans="1:19" x14ac:dyDescent="0.35">
      <c r="A8743">
        <v>3224</v>
      </c>
      <c r="B8743" t="s">
        <v>39155</v>
      </c>
      <c r="C8743" t="s">
        <v>42</v>
      </c>
      <c r="D8743" t="s">
        <v>39156</v>
      </c>
      <c r="E8743" t="e" cm="1">
        <f t="array" ref="E8743">- DRIED ALUMINIUM HYDROXIDE GEL</f>
        <v>#NAME?</v>
      </c>
      <c r="F8743" t="s">
        <v>39157</v>
      </c>
      <c r="G8743" t="s">
        <v>39158</v>
      </c>
      <c r="H8743" t="s">
        <v>32122</v>
      </c>
    </row>
    <row r="8744" spans="1:19" x14ac:dyDescent="0.35">
      <c r="A8744">
        <v>712</v>
      </c>
      <c r="B8744" t="s">
        <v>39130</v>
      </c>
      <c r="C8744" t="s">
        <v>20</v>
      </c>
      <c r="D8744" t="s">
        <v>39159</v>
      </c>
      <c r="E8744" t="s">
        <v>39132</v>
      </c>
      <c r="F8744" t="s">
        <v>39160</v>
      </c>
      <c r="G8744" t="s">
        <v>39134</v>
      </c>
      <c r="H8744" t="s">
        <v>1322</v>
      </c>
      <c r="I8744" t="s">
        <v>39135</v>
      </c>
      <c r="J8744" t="s">
        <v>334</v>
      </c>
      <c r="K8744" t="s">
        <v>2726</v>
      </c>
      <c r="L8744" t="s">
        <v>39161</v>
      </c>
      <c r="M8744" t="s">
        <v>2115</v>
      </c>
      <c r="N8744" t="s">
        <v>39137</v>
      </c>
      <c r="O8744" t="s">
        <v>39138</v>
      </c>
      <c r="P8744" t="s">
        <v>39139</v>
      </c>
      <c r="Q8744" t="s">
        <v>39140</v>
      </c>
      <c r="R8744">
        <v>27</v>
      </c>
      <c r="S8744">
        <v>32</v>
      </c>
    </row>
    <row r="8745" spans="1:19" x14ac:dyDescent="0.35">
      <c r="A8745">
        <v>2293</v>
      </c>
      <c r="B8745" t="s">
        <v>39162</v>
      </c>
      <c r="C8745" t="s">
        <v>42</v>
      </c>
      <c r="D8745" t="s">
        <v>39163</v>
      </c>
      <c r="E8745" t="e" cm="1">
        <f t="array" ref="E8745">- DICLOFENAC SODIUM</f>
        <v>#NAME?</v>
      </c>
      <c r="F8745" t="s">
        <v>39164</v>
      </c>
      <c r="G8745" t="s">
        <v>2241</v>
      </c>
      <c r="H8745" t="s">
        <v>2596</v>
      </c>
      <c r="I8745" t="s">
        <v>38703</v>
      </c>
      <c r="J8745" t="s">
        <v>39049</v>
      </c>
      <c r="L8745" t="s">
        <v>39165</v>
      </c>
      <c r="M8745" t="s">
        <v>46</v>
      </c>
      <c r="N8745" t="s">
        <v>2597</v>
      </c>
      <c r="O8745" t="s">
        <v>38705</v>
      </c>
      <c r="P8745" t="s">
        <v>39050</v>
      </c>
      <c r="Q8745" t="s">
        <v>39051</v>
      </c>
      <c r="R8745">
        <v>27</v>
      </c>
      <c r="S8745">
        <v>32</v>
      </c>
    </row>
    <row r="8746" spans="1:19" x14ac:dyDescent="0.35">
      <c r="A8746">
        <v>5832</v>
      </c>
      <c r="B8746" t="s">
        <v>39121</v>
      </c>
      <c r="C8746" t="s">
        <v>42</v>
      </c>
      <c r="D8746" t="s">
        <v>39122</v>
      </c>
      <c r="E8746" t="e" cm="1">
        <f t="array" ref="E8746">- OFLOXACIN</f>
        <v>#NAME?</v>
      </c>
      <c r="F8746" s="1">
        <v>141300</v>
      </c>
      <c r="G8746" t="s">
        <v>5568</v>
      </c>
      <c r="H8746" t="s">
        <v>39123</v>
      </c>
      <c r="I8746" t="s">
        <v>39124</v>
      </c>
      <c r="J8746" t="s">
        <v>39125</v>
      </c>
      <c r="K8746" t="s">
        <v>37641</v>
      </c>
      <c r="L8746" t="s">
        <v>37642</v>
      </c>
      <c r="M8746" t="s">
        <v>46</v>
      </c>
      <c r="N8746" t="s">
        <v>1640</v>
      </c>
      <c r="O8746" t="s">
        <v>39126</v>
      </c>
      <c r="P8746" t="s">
        <v>37644</v>
      </c>
      <c r="Q8746" t="s">
        <v>39127</v>
      </c>
      <c r="R8746">
        <v>27</v>
      </c>
      <c r="S8746">
        <v>32</v>
      </c>
    </row>
    <row r="8747" spans="1:19" x14ac:dyDescent="0.35">
      <c r="A8747">
        <v>3916</v>
      </c>
      <c r="B8747" t="s">
        <v>33851</v>
      </c>
      <c r="C8747" t="s">
        <v>42</v>
      </c>
      <c r="D8747" t="s">
        <v>33852</v>
      </c>
      <c r="E8747" t="s">
        <v>39037</v>
      </c>
      <c r="F8747" t="s">
        <v>33853</v>
      </c>
      <c r="G8747" t="s">
        <v>33854</v>
      </c>
      <c r="H8747" t="s">
        <v>33855</v>
      </c>
      <c r="I8747" t="s">
        <v>33856</v>
      </c>
      <c r="J8747" t="s">
        <v>33857</v>
      </c>
      <c r="K8747" t="s">
        <v>33858</v>
      </c>
      <c r="L8747" t="s">
        <v>33859</v>
      </c>
      <c r="M8747" t="s">
        <v>12262</v>
      </c>
      <c r="N8747" t="s">
        <v>39038</v>
      </c>
      <c r="O8747" t="s">
        <v>33860</v>
      </c>
      <c r="P8747" t="s">
        <v>33861</v>
      </c>
      <c r="Q8747" t="s">
        <v>39039</v>
      </c>
      <c r="R8747">
        <v>27</v>
      </c>
      <c r="S8747">
        <v>32</v>
      </c>
    </row>
    <row r="8748" spans="1:19" x14ac:dyDescent="0.35">
      <c r="A8748">
        <v>1414</v>
      </c>
      <c r="B8748" t="s">
        <v>30732</v>
      </c>
      <c r="C8748" t="s">
        <v>42</v>
      </c>
      <c r="D8748" t="s">
        <v>30733</v>
      </c>
      <c r="E8748" t="e" cm="1">
        <f t="array" ref="E8748">- SODIUM CITRATE DIHYDRATE. AMMONIUM CHLORIDE. PSEUDOEPHEDRINE HYDROCHLORIDE. PARACETAMOL. DIPHENHYDRAMINE HYDROCHLORIDE</f>
        <v>#NAME?</v>
      </c>
      <c r="F8748" t="s">
        <v>30734</v>
      </c>
      <c r="G8748" t="s">
        <v>7219</v>
      </c>
      <c r="H8748" t="s">
        <v>30735</v>
      </c>
      <c r="I8748" t="s">
        <v>29641</v>
      </c>
      <c r="J8748" t="s">
        <v>374</v>
      </c>
      <c r="K8748" t="e" cm="1">
        <f t="array" ref="K8748">- penderita yang hipersensitif terhadap komponen obat ini. - penderita dengan gangguan fungsi hati yang berat. - penderita dengan gangguan jantung dan diabetes mellitus.</f>
        <v>#NAME?</v>
      </c>
      <c r="L8748" t="s">
        <v>30736</v>
      </c>
      <c r="M8748" t="s">
        <v>271</v>
      </c>
      <c r="N8748" t="s">
        <v>38885</v>
      </c>
      <c r="O8748" t="s">
        <v>29642</v>
      </c>
      <c r="P8748" t="s">
        <v>30737</v>
      </c>
      <c r="Q8748" t="s">
        <v>38886</v>
      </c>
      <c r="R8748">
        <v>27</v>
      </c>
      <c r="S8748">
        <v>32</v>
      </c>
    </row>
    <row r="8749" spans="1:19" x14ac:dyDescent="0.35">
      <c r="A8749">
        <v>383</v>
      </c>
      <c r="B8749" t="s">
        <v>38606</v>
      </c>
      <c r="C8749" t="s">
        <v>42</v>
      </c>
      <c r="D8749" t="s">
        <v>38607</v>
      </c>
      <c r="E8749" t="e" cm="1">
        <f t="array" ref="E8749">- POVIDONE-IODINE</f>
        <v>#NAME?</v>
      </c>
      <c r="F8749" t="s">
        <v>38608</v>
      </c>
      <c r="G8749" t="s">
        <v>38609</v>
      </c>
      <c r="H8749" t="s">
        <v>38610</v>
      </c>
      <c r="I8749" t="s">
        <v>38611</v>
      </c>
      <c r="J8749" t="s">
        <v>38612</v>
      </c>
      <c r="K8749" t="s">
        <v>6351</v>
      </c>
      <c r="L8749" t="s">
        <v>38613</v>
      </c>
      <c r="M8749" t="s">
        <v>38614</v>
      </c>
      <c r="N8749" t="s">
        <v>555</v>
      </c>
      <c r="O8749" t="s">
        <v>38615</v>
      </c>
      <c r="P8749" t="s">
        <v>38616</v>
      </c>
      <c r="Q8749" t="s">
        <v>38617</v>
      </c>
      <c r="R8749">
        <v>27</v>
      </c>
      <c r="S8749">
        <v>32</v>
      </c>
    </row>
    <row r="8750" spans="1:19" x14ac:dyDescent="0.35">
      <c r="A8750">
        <v>6292</v>
      </c>
      <c r="B8750" t="s">
        <v>39166</v>
      </c>
      <c r="C8750" t="s">
        <v>42</v>
      </c>
      <c r="D8750" t="s">
        <v>39167</v>
      </c>
      <c r="E8750" t="e" cm="1">
        <f t="array" ref="E8750">- CEFIXIME TRIHYDRATE</f>
        <v>#NAME?</v>
      </c>
      <c r="F8750" t="s">
        <v>39168</v>
      </c>
      <c r="G8750" t="s">
        <v>37190</v>
      </c>
      <c r="H8750" t="s">
        <v>37191</v>
      </c>
      <c r="I8750" t="s">
        <v>37192</v>
      </c>
      <c r="J8750" t="s">
        <v>6069</v>
      </c>
      <c r="K8750" t="s">
        <v>1020</v>
      </c>
      <c r="L8750" t="s">
        <v>1021</v>
      </c>
      <c r="M8750" t="s">
        <v>38</v>
      </c>
      <c r="N8750" t="s">
        <v>1790</v>
      </c>
      <c r="O8750" t="s">
        <v>37193</v>
      </c>
      <c r="P8750" t="s">
        <v>39169</v>
      </c>
      <c r="Q8750" t="s">
        <v>39170</v>
      </c>
      <c r="R8750">
        <v>27</v>
      </c>
      <c r="S8750">
        <v>32</v>
      </c>
    </row>
    <row r="8751" spans="1:19" x14ac:dyDescent="0.35">
      <c r="A8751">
        <v>384</v>
      </c>
      <c r="B8751" t="s">
        <v>38606</v>
      </c>
      <c r="C8751" t="s">
        <v>42</v>
      </c>
      <c r="D8751" t="s">
        <v>38607</v>
      </c>
      <c r="E8751" t="e" cm="1">
        <f t="array" ref="E8751">- POVIDONE-IODINE</f>
        <v>#NAME?</v>
      </c>
      <c r="F8751" t="s">
        <v>38608</v>
      </c>
      <c r="G8751" t="s">
        <v>38609</v>
      </c>
      <c r="H8751" t="s">
        <v>38610</v>
      </c>
      <c r="I8751" t="s">
        <v>38611</v>
      </c>
      <c r="J8751" t="s">
        <v>38612</v>
      </c>
      <c r="K8751" t="s">
        <v>6351</v>
      </c>
      <c r="L8751" t="s">
        <v>38613</v>
      </c>
      <c r="M8751" t="s">
        <v>38614</v>
      </c>
      <c r="N8751" t="s">
        <v>555</v>
      </c>
      <c r="O8751" t="s">
        <v>38615</v>
      </c>
      <c r="P8751" t="s">
        <v>38616</v>
      </c>
      <c r="Q8751" t="s">
        <v>38617</v>
      </c>
      <c r="R8751">
        <v>27</v>
      </c>
      <c r="S8751">
        <v>32</v>
      </c>
    </row>
    <row r="8752" spans="1:19" x14ac:dyDescent="0.35">
      <c r="A8752">
        <v>2446</v>
      </c>
      <c r="B8752" t="s">
        <v>39171</v>
      </c>
      <c r="C8752" t="s">
        <v>42</v>
      </c>
      <c r="D8752" t="s">
        <v>39172</v>
      </c>
      <c r="E8752" t="e" cm="1">
        <f t="array" ref="E8752">- DICLOFENAC POTASSIUM</f>
        <v>#NAME?</v>
      </c>
      <c r="F8752" t="s">
        <v>39173</v>
      </c>
      <c r="G8752" t="s">
        <v>2241</v>
      </c>
      <c r="H8752" t="s">
        <v>2596</v>
      </c>
      <c r="I8752" t="s">
        <v>38703</v>
      </c>
      <c r="J8752" t="s">
        <v>571</v>
      </c>
      <c r="K8752" t="s">
        <v>39174</v>
      </c>
      <c r="L8752" t="s">
        <v>21258</v>
      </c>
      <c r="M8752" t="s">
        <v>46</v>
      </c>
      <c r="N8752" t="s">
        <v>2637</v>
      </c>
      <c r="O8752" t="s">
        <v>38705</v>
      </c>
      <c r="P8752" t="s">
        <v>39175</v>
      </c>
      <c r="Q8752" t="s">
        <v>39176</v>
      </c>
      <c r="R8752">
        <v>27</v>
      </c>
      <c r="S8752">
        <v>32</v>
      </c>
    </row>
    <row r="8753" spans="1:19" x14ac:dyDescent="0.35">
      <c r="A8753">
        <v>2445</v>
      </c>
      <c r="B8753" t="s">
        <v>39177</v>
      </c>
      <c r="C8753" t="s">
        <v>42</v>
      </c>
      <c r="D8753" t="s">
        <v>39178</v>
      </c>
      <c r="E8753" t="e" cm="1">
        <f t="array" ref="E8753">- DICLOFENAC POTASSIUM</f>
        <v>#NAME?</v>
      </c>
      <c r="F8753" t="s">
        <v>39179</v>
      </c>
      <c r="G8753" t="s">
        <v>2241</v>
      </c>
      <c r="H8753" t="s">
        <v>2596</v>
      </c>
      <c r="I8753" t="s">
        <v>38703</v>
      </c>
      <c r="J8753" t="s">
        <v>571</v>
      </c>
      <c r="K8753" t="s">
        <v>28196</v>
      </c>
      <c r="L8753" t="s">
        <v>21258</v>
      </c>
      <c r="M8753" t="s">
        <v>46</v>
      </c>
      <c r="N8753" t="s">
        <v>2637</v>
      </c>
      <c r="O8753" t="s">
        <v>38705</v>
      </c>
      <c r="P8753" t="s">
        <v>39175</v>
      </c>
      <c r="Q8753" t="s">
        <v>39176</v>
      </c>
      <c r="R8753">
        <v>27</v>
      </c>
      <c r="S8753">
        <v>32</v>
      </c>
    </row>
    <row r="8754" spans="1:19" x14ac:dyDescent="0.35">
      <c r="A8754">
        <v>2444</v>
      </c>
      <c r="B8754" t="s">
        <v>39177</v>
      </c>
      <c r="C8754" t="s">
        <v>42</v>
      </c>
      <c r="D8754" t="s">
        <v>39178</v>
      </c>
      <c r="E8754" t="e" cm="1">
        <f t="array" ref="E8754">- DICLOFENAC POTASSIUM</f>
        <v>#NAME?</v>
      </c>
      <c r="F8754" t="s">
        <v>39179</v>
      </c>
      <c r="G8754" t="s">
        <v>2241</v>
      </c>
      <c r="H8754" t="s">
        <v>2596</v>
      </c>
      <c r="I8754" t="s">
        <v>38703</v>
      </c>
      <c r="J8754" t="s">
        <v>571</v>
      </c>
      <c r="K8754" t="s">
        <v>28196</v>
      </c>
      <c r="L8754" t="s">
        <v>21258</v>
      </c>
      <c r="M8754" t="s">
        <v>46</v>
      </c>
      <c r="N8754" t="s">
        <v>2637</v>
      </c>
      <c r="O8754" t="s">
        <v>38705</v>
      </c>
      <c r="P8754" t="s">
        <v>39175</v>
      </c>
      <c r="Q8754" t="s">
        <v>39176</v>
      </c>
      <c r="R8754">
        <v>27</v>
      </c>
      <c r="S8754">
        <v>32</v>
      </c>
    </row>
    <row r="8755" spans="1:19" x14ac:dyDescent="0.35">
      <c r="A8755">
        <v>6636</v>
      </c>
      <c r="B8755" t="s">
        <v>39180</v>
      </c>
      <c r="C8755" t="s">
        <v>42</v>
      </c>
      <c r="D8755" t="s">
        <v>39181</v>
      </c>
      <c r="E8755" t="e" cm="1">
        <f t="array" ref="E8755">- METHISOPRINOL</f>
        <v>#NAME?</v>
      </c>
      <c r="F8755" t="s">
        <v>39182</v>
      </c>
      <c r="G8755" t="s">
        <v>6310</v>
      </c>
      <c r="H8755" t="s">
        <v>38819</v>
      </c>
      <c r="I8755" t="s">
        <v>38820</v>
      </c>
    </row>
    <row r="8756" spans="1:19" x14ac:dyDescent="0.35">
      <c r="A8756">
        <v>6637</v>
      </c>
      <c r="B8756" t="s">
        <v>39180</v>
      </c>
      <c r="C8756" t="s">
        <v>42</v>
      </c>
      <c r="D8756" t="s">
        <v>39181</v>
      </c>
      <c r="E8756" t="e" cm="1">
        <f t="array" ref="E8756">- METHISOPRINOL</f>
        <v>#NAME?</v>
      </c>
      <c r="F8756" t="s">
        <v>39182</v>
      </c>
      <c r="G8756" t="s">
        <v>6310</v>
      </c>
      <c r="H8756" t="s">
        <v>38819</v>
      </c>
      <c r="I8756" t="s">
        <v>38820</v>
      </c>
    </row>
    <row r="8757" spans="1:19" x14ac:dyDescent="0.35">
      <c r="A8757">
        <v>6047</v>
      </c>
      <c r="B8757" t="s">
        <v>39183</v>
      </c>
      <c r="C8757" t="s">
        <v>42</v>
      </c>
      <c r="D8757" t="s">
        <v>39184</v>
      </c>
      <c r="E8757" t="e" cm="1">
        <f t="array" ref="E8757">- CEFIXIME TRIHYDRATE</f>
        <v>#NAME?</v>
      </c>
      <c r="F8757" t="s">
        <v>39185</v>
      </c>
      <c r="G8757" t="s">
        <v>37190</v>
      </c>
      <c r="H8757" t="s">
        <v>37191</v>
      </c>
      <c r="I8757" t="s">
        <v>37192</v>
      </c>
      <c r="J8757" t="s">
        <v>3701</v>
      </c>
      <c r="K8757" t="s">
        <v>1020</v>
      </c>
      <c r="L8757" t="s">
        <v>1021</v>
      </c>
      <c r="M8757" t="s">
        <v>46</v>
      </c>
      <c r="N8757" t="s">
        <v>1790</v>
      </c>
      <c r="O8757" t="s">
        <v>37193</v>
      </c>
      <c r="P8757" t="s">
        <v>39186</v>
      </c>
      <c r="Q8757" t="s">
        <v>39187</v>
      </c>
      <c r="R8757">
        <v>27</v>
      </c>
      <c r="S8757">
        <v>32</v>
      </c>
    </row>
    <row r="8758" spans="1:19" x14ac:dyDescent="0.35">
      <c r="A8758">
        <v>6290</v>
      </c>
      <c r="B8758" t="s">
        <v>39166</v>
      </c>
      <c r="C8758" t="s">
        <v>42</v>
      </c>
      <c r="D8758" t="s">
        <v>39167</v>
      </c>
      <c r="E8758" t="e" cm="1">
        <f t="array" ref="E8758">- CEFIXIME TRIHYDRATE</f>
        <v>#NAME?</v>
      </c>
      <c r="F8758" t="s">
        <v>39168</v>
      </c>
      <c r="G8758" t="s">
        <v>37190</v>
      </c>
      <c r="H8758" t="s">
        <v>37191</v>
      </c>
      <c r="I8758" t="s">
        <v>37192</v>
      </c>
      <c r="J8758" t="s">
        <v>6069</v>
      </c>
      <c r="K8758" t="s">
        <v>1020</v>
      </c>
      <c r="L8758" t="s">
        <v>1021</v>
      </c>
      <c r="M8758" t="s">
        <v>38</v>
      </c>
      <c r="N8758" t="s">
        <v>1790</v>
      </c>
      <c r="O8758" t="s">
        <v>37193</v>
      </c>
      <c r="P8758" t="s">
        <v>39169</v>
      </c>
      <c r="Q8758" t="s">
        <v>39170</v>
      </c>
      <c r="R8758">
        <v>27</v>
      </c>
      <c r="S8758">
        <v>32</v>
      </c>
    </row>
    <row r="8759" spans="1:19" x14ac:dyDescent="0.35">
      <c r="A8759">
        <v>6291</v>
      </c>
      <c r="B8759" t="s">
        <v>39166</v>
      </c>
      <c r="C8759" t="s">
        <v>42</v>
      </c>
      <c r="D8759" t="s">
        <v>39167</v>
      </c>
      <c r="E8759" t="e" cm="1">
        <f t="array" ref="E8759">- CEFIXIME TRIHYDRATE</f>
        <v>#NAME?</v>
      </c>
      <c r="F8759" t="s">
        <v>39168</v>
      </c>
      <c r="G8759" t="s">
        <v>37190</v>
      </c>
      <c r="H8759" t="s">
        <v>37191</v>
      </c>
      <c r="I8759" t="s">
        <v>37192</v>
      </c>
      <c r="J8759" t="s">
        <v>6069</v>
      </c>
      <c r="K8759" t="s">
        <v>1020</v>
      </c>
      <c r="L8759" t="s">
        <v>1021</v>
      </c>
      <c r="M8759" t="s">
        <v>38</v>
      </c>
      <c r="N8759" t="s">
        <v>1790</v>
      </c>
      <c r="O8759" t="s">
        <v>37193</v>
      </c>
      <c r="P8759" t="s">
        <v>39169</v>
      </c>
      <c r="Q8759" t="s">
        <v>39170</v>
      </c>
      <c r="R8759">
        <v>27</v>
      </c>
      <c r="S8759">
        <v>32</v>
      </c>
    </row>
    <row r="8760" spans="1:19" x14ac:dyDescent="0.35">
      <c r="A8760">
        <v>9869</v>
      </c>
      <c r="B8760" t="s">
        <v>39188</v>
      </c>
      <c r="C8760" t="s">
        <v>42</v>
      </c>
      <c r="D8760" t="s">
        <v>39189</v>
      </c>
      <c r="E8760" t="e" cm="1">
        <f t="array" ref="E8760">- SIMVASTATIN. EZETIMIBE</f>
        <v>#NAME?</v>
      </c>
      <c r="F8760" t="s">
        <v>39190</v>
      </c>
      <c r="G8760" t="s">
        <v>12760</v>
      </c>
      <c r="H8760" t="s">
        <v>39191</v>
      </c>
      <c r="I8760" t="s">
        <v>39192</v>
      </c>
      <c r="J8760" t="s">
        <v>599</v>
      </c>
      <c r="K8760" t="s">
        <v>38666</v>
      </c>
      <c r="L8760" t="s">
        <v>39193</v>
      </c>
      <c r="M8760" t="s">
        <v>46</v>
      </c>
      <c r="N8760" t="s">
        <v>38668</v>
      </c>
      <c r="O8760" t="s">
        <v>38669</v>
      </c>
      <c r="P8760" t="s">
        <v>38670</v>
      </c>
      <c r="Q8760" t="s">
        <v>38671</v>
      </c>
      <c r="R8760">
        <v>27</v>
      </c>
      <c r="S8760">
        <v>32</v>
      </c>
    </row>
    <row r="8761" spans="1:19" x14ac:dyDescent="0.35">
      <c r="A8761">
        <v>2519</v>
      </c>
      <c r="B8761" t="s">
        <v>39194</v>
      </c>
      <c r="C8761" t="s">
        <v>42</v>
      </c>
      <c r="D8761" t="s">
        <v>39195</v>
      </c>
      <c r="E8761" t="e" cm="1">
        <f t="array" ref="E8761">- DICLOFENAC POTASSIUM</f>
        <v>#NAME?</v>
      </c>
      <c r="F8761" t="s">
        <v>39196</v>
      </c>
      <c r="G8761" t="s">
        <v>2241</v>
      </c>
      <c r="H8761" t="s">
        <v>2596</v>
      </c>
      <c r="I8761" t="s">
        <v>38703</v>
      </c>
      <c r="J8761" t="s">
        <v>2100</v>
      </c>
      <c r="K8761" t="s">
        <v>28196</v>
      </c>
      <c r="L8761" t="s">
        <v>21258</v>
      </c>
      <c r="M8761" t="s">
        <v>46</v>
      </c>
      <c r="N8761" t="s">
        <v>2637</v>
      </c>
      <c r="O8761" t="s">
        <v>38705</v>
      </c>
      <c r="P8761" t="s">
        <v>28198</v>
      </c>
      <c r="Q8761" t="s">
        <v>39197</v>
      </c>
      <c r="R8761">
        <v>27</v>
      </c>
      <c r="S8761">
        <v>32</v>
      </c>
    </row>
    <row r="8762" spans="1:19" x14ac:dyDescent="0.35">
      <c r="A8762">
        <v>6048</v>
      </c>
      <c r="B8762" t="s">
        <v>39183</v>
      </c>
      <c r="C8762" t="s">
        <v>42</v>
      </c>
      <c r="D8762" t="s">
        <v>39184</v>
      </c>
      <c r="E8762" t="e" cm="1">
        <f t="array" ref="E8762">- CEFIXIME TRIHYDRATE</f>
        <v>#NAME?</v>
      </c>
      <c r="F8762" t="s">
        <v>39185</v>
      </c>
      <c r="G8762" t="s">
        <v>37190</v>
      </c>
      <c r="H8762" t="s">
        <v>37191</v>
      </c>
      <c r="I8762" t="s">
        <v>37192</v>
      </c>
      <c r="J8762" t="s">
        <v>3701</v>
      </c>
      <c r="K8762" t="s">
        <v>1020</v>
      </c>
      <c r="L8762" t="s">
        <v>1021</v>
      </c>
      <c r="M8762" t="s">
        <v>46</v>
      </c>
      <c r="N8762" t="s">
        <v>1790</v>
      </c>
      <c r="O8762" t="s">
        <v>37193</v>
      </c>
      <c r="P8762" t="s">
        <v>39186</v>
      </c>
      <c r="Q8762" t="s">
        <v>39187</v>
      </c>
      <c r="R8762">
        <v>27</v>
      </c>
      <c r="S8762">
        <v>32</v>
      </c>
    </row>
    <row r="8763" spans="1:19" x14ac:dyDescent="0.35">
      <c r="A8763">
        <v>3928</v>
      </c>
      <c r="B8763" t="s">
        <v>39198</v>
      </c>
      <c r="C8763" t="s">
        <v>42</v>
      </c>
      <c r="D8763" t="s">
        <v>39199</v>
      </c>
      <c r="E8763" t="e" cm="1">
        <f t="array" ref="E8763">- PREDNISOLONE. LITHOSPERMI Radix EXTRACT. LIDOCAINE. BENZOCAINE. CETRIMONIUM BROMIDE</f>
        <v>#NAME?</v>
      </c>
      <c r="F8763" t="s">
        <v>39200</v>
      </c>
      <c r="G8763" t="s">
        <v>32850</v>
      </c>
      <c r="H8763" t="s">
        <v>32851</v>
      </c>
      <c r="I8763" t="s">
        <v>32861</v>
      </c>
      <c r="J8763" t="s">
        <v>7187</v>
      </c>
      <c r="K8763" t="s">
        <v>3473</v>
      </c>
      <c r="L8763" t="s">
        <v>39201</v>
      </c>
      <c r="M8763" t="s">
        <v>1029</v>
      </c>
      <c r="N8763" t="s">
        <v>39202</v>
      </c>
      <c r="O8763" t="s">
        <v>32863</v>
      </c>
      <c r="P8763" t="s">
        <v>32864</v>
      </c>
      <c r="Q8763" t="s">
        <v>39203</v>
      </c>
      <c r="R8763">
        <v>27</v>
      </c>
      <c r="S8763">
        <v>32</v>
      </c>
    </row>
    <row r="8764" spans="1:19" x14ac:dyDescent="0.35">
      <c r="A8764">
        <v>8657</v>
      </c>
      <c r="B8764" t="s">
        <v>38073</v>
      </c>
      <c r="C8764" t="s">
        <v>42</v>
      </c>
      <c r="D8764" t="s">
        <v>38074</v>
      </c>
      <c r="E8764" t="e" cm="1">
        <f t="array" ref="E8764">- VILDAGLIPTIN. METFORMIN HYDROCHLORIDE</f>
        <v>#NAME?</v>
      </c>
      <c r="F8764" t="s">
        <v>38075</v>
      </c>
      <c r="G8764" t="s">
        <v>38076</v>
      </c>
      <c r="H8764" t="s">
        <v>38077</v>
      </c>
      <c r="I8764" t="s">
        <v>38078</v>
      </c>
      <c r="J8764" t="s">
        <v>45</v>
      </c>
      <c r="K8764" t="s">
        <v>38079</v>
      </c>
      <c r="L8764" t="s">
        <v>38080</v>
      </c>
      <c r="M8764" t="s">
        <v>46</v>
      </c>
      <c r="N8764" t="s">
        <v>39204</v>
      </c>
      <c r="O8764" t="s">
        <v>38081</v>
      </c>
      <c r="P8764" t="s">
        <v>38082</v>
      </c>
      <c r="Q8764" t="s">
        <v>39205</v>
      </c>
      <c r="R8764">
        <v>27</v>
      </c>
      <c r="S8764">
        <v>32</v>
      </c>
    </row>
    <row r="8765" spans="1:19" x14ac:dyDescent="0.35">
      <c r="A8765">
        <v>714</v>
      </c>
      <c r="B8765" t="s">
        <v>39130</v>
      </c>
      <c r="C8765" t="s">
        <v>20</v>
      </c>
      <c r="D8765" t="s">
        <v>39206</v>
      </c>
      <c r="E8765" t="s">
        <v>39132</v>
      </c>
      <c r="F8765" t="s">
        <v>39207</v>
      </c>
      <c r="G8765" t="s">
        <v>39134</v>
      </c>
      <c r="H8765" t="s">
        <v>1322</v>
      </c>
      <c r="I8765" t="s">
        <v>39135</v>
      </c>
      <c r="J8765" t="s">
        <v>35328</v>
      </c>
      <c r="L8765" t="s">
        <v>39136</v>
      </c>
      <c r="M8765" t="s">
        <v>2115</v>
      </c>
      <c r="N8765" t="s">
        <v>39137</v>
      </c>
      <c r="O8765" t="s">
        <v>39138</v>
      </c>
      <c r="P8765" t="s">
        <v>39139</v>
      </c>
      <c r="Q8765" t="s">
        <v>39140</v>
      </c>
      <c r="R8765">
        <v>27</v>
      </c>
      <c r="S8765">
        <v>32</v>
      </c>
    </row>
    <row r="8766" spans="1:19" x14ac:dyDescent="0.35">
      <c r="A8766">
        <v>9870</v>
      </c>
      <c r="B8766" t="s">
        <v>39188</v>
      </c>
      <c r="C8766" t="s">
        <v>42</v>
      </c>
      <c r="D8766" t="s">
        <v>39189</v>
      </c>
      <c r="E8766" t="e" cm="1">
        <f t="array" ref="E8766">- SIMVASTATIN. EZETIMIBE</f>
        <v>#NAME?</v>
      </c>
      <c r="F8766" t="s">
        <v>39190</v>
      </c>
      <c r="G8766" t="s">
        <v>12760</v>
      </c>
      <c r="H8766" t="s">
        <v>39191</v>
      </c>
      <c r="I8766" t="s">
        <v>39192</v>
      </c>
      <c r="J8766" t="s">
        <v>599</v>
      </c>
      <c r="K8766" t="s">
        <v>38666</v>
      </c>
      <c r="L8766" t="s">
        <v>39193</v>
      </c>
      <c r="M8766" t="s">
        <v>46</v>
      </c>
      <c r="N8766" t="s">
        <v>38668</v>
      </c>
      <c r="O8766" t="s">
        <v>38669</v>
      </c>
      <c r="P8766" t="s">
        <v>38670</v>
      </c>
      <c r="Q8766" t="s">
        <v>38671</v>
      </c>
      <c r="R8766">
        <v>27</v>
      </c>
      <c r="S8766">
        <v>32</v>
      </c>
    </row>
    <row r="8767" spans="1:19" x14ac:dyDescent="0.35">
      <c r="A8767">
        <v>9871</v>
      </c>
      <c r="B8767" t="s">
        <v>39188</v>
      </c>
      <c r="C8767" t="s">
        <v>42</v>
      </c>
      <c r="D8767" t="s">
        <v>39189</v>
      </c>
      <c r="E8767" t="e" cm="1">
        <f t="array" ref="E8767">- SIMVASTATIN. EZETIMIBE</f>
        <v>#NAME?</v>
      </c>
      <c r="F8767" t="s">
        <v>39190</v>
      </c>
      <c r="G8767" t="s">
        <v>12760</v>
      </c>
      <c r="H8767" t="s">
        <v>39191</v>
      </c>
      <c r="I8767" t="s">
        <v>39192</v>
      </c>
      <c r="J8767" t="s">
        <v>599</v>
      </c>
      <c r="K8767" t="s">
        <v>38666</v>
      </c>
      <c r="L8767" t="s">
        <v>39193</v>
      </c>
      <c r="M8767" t="s">
        <v>46</v>
      </c>
      <c r="N8767" t="s">
        <v>38668</v>
      </c>
      <c r="O8767" t="s">
        <v>38669</v>
      </c>
      <c r="P8767" t="s">
        <v>38670</v>
      </c>
      <c r="Q8767" t="s">
        <v>38671</v>
      </c>
      <c r="R8767">
        <v>27</v>
      </c>
      <c r="S8767">
        <v>32</v>
      </c>
    </row>
    <row r="8768" spans="1:19" x14ac:dyDescent="0.35">
      <c r="A8768">
        <v>9873</v>
      </c>
      <c r="B8768" t="s">
        <v>38661</v>
      </c>
      <c r="C8768" t="s">
        <v>42</v>
      </c>
      <c r="D8768" t="s">
        <v>38662</v>
      </c>
      <c r="E8768" t="e" cm="1">
        <f t="array" ref="E8768">- SIMVASTATIN. EZETIMIBE</f>
        <v>#NAME?</v>
      </c>
      <c r="F8768" t="s">
        <v>38663</v>
      </c>
      <c r="G8768" t="s">
        <v>12760</v>
      </c>
      <c r="H8768" t="s">
        <v>38664</v>
      </c>
      <c r="I8768" t="s">
        <v>38665</v>
      </c>
      <c r="J8768" t="s">
        <v>599</v>
      </c>
      <c r="K8768" t="s">
        <v>38666</v>
      </c>
      <c r="L8768" t="s">
        <v>38667</v>
      </c>
      <c r="M8768" t="s">
        <v>46</v>
      </c>
      <c r="N8768" t="s">
        <v>38668</v>
      </c>
      <c r="O8768" t="s">
        <v>38669</v>
      </c>
      <c r="P8768" t="s">
        <v>38670</v>
      </c>
      <c r="Q8768" t="s">
        <v>38671</v>
      </c>
      <c r="R8768">
        <v>27</v>
      </c>
      <c r="S8768">
        <v>32</v>
      </c>
    </row>
    <row r="8769" spans="1:19" x14ac:dyDescent="0.35">
      <c r="A8769">
        <v>9872</v>
      </c>
      <c r="B8769" t="s">
        <v>39188</v>
      </c>
      <c r="C8769" t="s">
        <v>42</v>
      </c>
      <c r="D8769" t="s">
        <v>39189</v>
      </c>
      <c r="E8769" t="e" cm="1">
        <f t="array" ref="E8769">- SIMVASTATIN. EZETIMIBE</f>
        <v>#NAME?</v>
      </c>
      <c r="F8769" t="s">
        <v>39190</v>
      </c>
      <c r="G8769" t="s">
        <v>12760</v>
      </c>
      <c r="H8769" t="s">
        <v>39191</v>
      </c>
      <c r="I8769" t="s">
        <v>39192</v>
      </c>
      <c r="J8769" t="s">
        <v>599</v>
      </c>
      <c r="K8769" t="s">
        <v>38666</v>
      </c>
      <c r="L8769" t="s">
        <v>39193</v>
      </c>
      <c r="M8769" t="s">
        <v>46</v>
      </c>
      <c r="N8769" t="s">
        <v>38668</v>
      </c>
      <c r="O8769" t="s">
        <v>38669</v>
      </c>
      <c r="P8769" t="s">
        <v>38670</v>
      </c>
      <c r="Q8769" t="s">
        <v>38671</v>
      </c>
      <c r="R8769">
        <v>27</v>
      </c>
      <c r="S8769">
        <v>32</v>
      </c>
    </row>
    <row r="8770" spans="1:19" x14ac:dyDescent="0.35">
      <c r="A8770">
        <v>3478</v>
      </c>
      <c r="B8770" t="s">
        <v>39208</v>
      </c>
      <c r="C8770" t="s">
        <v>42</v>
      </c>
      <c r="D8770" t="s">
        <v>39209</v>
      </c>
      <c r="E8770" t="e" cm="1">
        <f t="array" ref="E8770">- OMEPRAZOLE</f>
        <v>#NAME?</v>
      </c>
      <c r="F8770" t="s">
        <v>39210</v>
      </c>
      <c r="G8770" t="s">
        <v>39211</v>
      </c>
      <c r="H8770" t="s">
        <v>2724</v>
      </c>
      <c r="I8770" t="s">
        <v>39212</v>
      </c>
      <c r="J8770" t="s">
        <v>1181</v>
      </c>
      <c r="K8770" t="s">
        <v>3473</v>
      </c>
      <c r="L8770" t="s">
        <v>39213</v>
      </c>
      <c r="M8770" t="s">
        <v>38</v>
      </c>
      <c r="N8770" t="s">
        <v>14738</v>
      </c>
      <c r="O8770" t="s">
        <v>39214</v>
      </c>
      <c r="P8770" t="s">
        <v>39215</v>
      </c>
      <c r="Q8770" t="s">
        <v>39216</v>
      </c>
      <c r="R8770">
        <v>27</v>
      </c>
      <c r="S8770">
        <v>32</v>
      </c>
    </row>
    <row r="8771" spans="1:19" x14ac:dyDescent="0.35">
      <c r="A8771">
        <v>241</v>
      </c>
      <c r="B8771" t="s">
        <v>39217</v>
      </c>
      <c r="C8771" t="s">
        <v>42</v>
      </c>
      <c r="D8771" t="s">
        <v>39218</v>
      </c>
      <c r="E8771" t="e" cm="1">
        <f t="array" ref="E8771">- TADALAFIL</f>
        <v>#NAME?</v>
      </c>
      <c r="F8771" t="s">
        <v>39219</v>
      </c>
      <c r="G8771" t="s">
        <v>546</v>
      </c>
      <c r="H8771" t="s">
        <v>21957</v>
      </c>
      <c r="I8771" t="s">
        <v>39220</v>
      </c>
      <c r="J8771" t="s">
        <v>39221</v>
      </c>
      <c r="K8771" t="s">
        <v>39222</v>
      </c>
      <c r="L8771" t="s">
        <v>39223</v>
      </c>
      <c r="M8771" t="s">
        <v>46</v>
      </c>
      <c r="N8771" t="s">
        <v>10656</v>
      </c>
      <c r="O8771" t="s">
        <v>39224</v>
      </c>
      <c r="P8771" t="s">
        <v>39225</v>
      </c>
      <c r="Q8771" t="s">
        <v>39226</v>
      </c>
      <c r="R8771">
        <v>28</v>
      </c>
      <c r="S8771">
        <v>32</v>
      </c>
    </row>
    <row r="8772" spans="1:19" x14ac:dyDescent="0.35">
      <c r="A8772">
        <v>230</v>
      </c>
      <c r="B8772" t="s">
        <v>39227</v>
      </c>
      <c r="C8772" t="s">
        <v>42</v>
      </c>
      <c r="D8772" t="s">
        <v>39228</v>
      </c>
      <c r="E8772" t="e" cm="1">
        <f t="array" ref="E8772">- TADALAFIL</f>
        <v>#NAME?</v>
      </c>
      <c r="F8772" t="s">
        <v>39229</v>
      </c>
      <c r="G8772" t="s">
        <v>546</v>
      </c>
      <c r="H8772" t="s">
        <v>21957</v>
      </c>
      <c r="I8772" t="s">
        <v>39220</v>
      </c>
      <c r="J8772" t="s">
        <v>22723</v>
      </c>
      <c r="K8772" t="s">
        <v>39230</v>
      </c>
    </row>
    <row r="8773" spans="1:19" x14ac:dyDescent="0.35">
      <c r="A8773">
        <v>242</v>
      </c>
      <c r="B8773" t="s">
        <v>39217</v>
      </c>
      <c r="C8773" t="s">
        <v>42</v>
      </c>
      <c r="D8773" t="s">
        <v>39218</v>
      </c>
      <c r="E8773" t="e" cm="1">
        <f t="array" ref="E8773">- TADALAFIL</f>
        <v>#NAME?</v>
      </c>
      <c r="F8773" t="s">
        <v>39219</v>
      </c>
      <c r="G8773" t="s">
        <v>546</v>
      </c>
      <c r="H8773" t="s">
        <v>21957</v>
      </c>
      <c r="I8773" t="s">
        <v>39220</v>
      </c>
      <c r="J8773" t="s">
        <v>39221</v>
      </c>
      <c r="K8773" t="s">
        <v>39222</v>
      </c>
      <c r="L8773" t="s">
        <v>39223</v>
      </c>
      <c r="M8773" t="s">
        <v>46</v>
      </c>
      <c r="N8773" t="s">
        <v>10656</v>
      </c>
      <c r="O8773" t="s">
        <v>39224</v>
      </c>
      <c r="P8773" t="s">
        <v>39225</v>
      </c>
      <c r="Q8773" t="s">
        <v>39226</v>
      </c>
      <c r="R8773">
        <v>28</v>
      </c>
      <c r="S8773">
        <v>32</v>
      </c>
    </row>
    <row r="8774" spans="1:19" x14ac:dyDescent="0.35">
      <c r="A8774">
        <v>229</v>
      </c>
      <c r="B8774" t="s">
        <v>39227</v>
      </c>
      <c r="C8774" t="s">
        <v>42</v>
      </c>
      <c r="D8774" t="s">
        <v>39228</v>
      </c>
      <c r="E8774" t="e" cm="1">
        <f t="array" ref="E8774">- TADALAFIL</f>
        <v>#NAME?</v>
      </c>
      <c r="F8774" t="s">
        <v>39229</v>
      </c>
      <c r="G8774" t="s">
        <v>546</v>
      </c>
      <c r="H8774" t="s">
        <v>21957</v>
      </c>
      <c r="I8774" t="s">
        <v>39220</v>
      </c>
      <c r="J8774" t="s">
        <v>22723</v>
      </c>
      <c r="K8774" t="s">
        <v>39230</v>
      </c>
    </row>
    <row r="8775" spans="1:19" x14ac:dyDescent="0.35">
      <c r="A8775">
        <v>243</v>
      </c>
      <c r="B8775" t="s">
        <v>39217</v>
      </c>
      <c r="C8775" t="s">
        <v>42</v>
      </c>
      <c r="D8775" t="s">
        <v>39218</v>
      </c>
      <c r="E8775" t="e" cm="1">
        <f t="array" ref="E8775">- TADALAFIL</f>
        <v>#NAME?</v>
      </c>
      <c r="F8775" t="s">
        <v>39219</v>
      </c>
      <c r="G8775" t="s">
        <v>546</v>
      </c>
      <c r="H8775" t="s">
        <v>21957</v>
      </c>
      <c r="I8775" t="s">
        <v>39220</v>
      </c>
      <c r="J8775" t="s">
        <v>39221</v>
      </c>
      <c r="K8775" t="s">
        <v>39222</v>
      </c>
      <c r="L8775" t="s">
        <v>39223</v>
      </c>
      <c r="M8775" t="s">
        <v>46</v>
      </c>
      <c r="N8775" t="s">
        <v>10656</v>
      </c>
      <c r="O8775" t="s">
        <v>39224</v>
      </c>
      <c r="P8775" t="s">
        <v>39225</v>
      </c>
      <c r="Q8775" t="s">
        <v>39226</v>
      </c>
      <c r="R8775">
        <v>28</v>
      </c>
      <c r="S8775">
        <v>32</v>
      </c>
    </row>
    <row r="8776" spans="1:19" x14ac:dyDescent="0.35">
      <c r="A8776">
        <v>5162</v>
      </c>
      <c r="B8776" t="s">
        <v>39231</v>
      </c>
      <c r="C8776" t="s">
        <v>42</v>
      </c>
      <c r="D8776" t="s">
        <v>39232</v>
      </c>
      <c r="E8776" t="e" cm="1">
        <f t="array" ref="E8776">- KETOCONAZOLE</f>
        <v>#NAME?</v>
      </c>
      <c r="F8776" t="s">
        <v>39233</v>
      </c>
      <c r="G8776" t="s">
        <v>15085</v>
      </c>
      <c r="H8776" t="s">
        <v>39234</v>
      </c>
      <c r="I8776" t="s">
        <v>39235</v>
      </c>
      <c r="J8776" t="s">
        <v>10789</v>
      </c>
      <c r="K8776" t="s">
        <v>26789</v>
      </c>
      <c r="L8776" t="s">
        <v>39236</v>
      </c>
      <c r="M8776" t="s">
        <v>87</v>
      </c>
      <c r="N8776" t="s">
        <v>533</v>
      </c>
      <c r="O8776" t="s">
        <v>39237</v>
      </c>
      <c r="P8776" t="s">
        <v>39238</v>
      </c>
      <c r="Q8776" t="s">
        <v>39239</v>
      </c>
      <c r="R8776">
        <v>28</v>
      </c>
      <c r="S8776">
        <v>32</v>
      </c>
    </row>
    <row r="8777" spans="1:19" x14ac:dyDescent="0.35">
      <c r="A8777">
        <v>7236</v>
      </c>
      <c r="B8777" t="s">
        <v>39240</v>
      </c>
      <c r="C8777" t="s">
        <v>850</v>
      </c>
      <c r="D8777" t="s">
        <v>39241</v>
      </c>
      <c r="E8777" t="e" cm="1">
        <f t="array" ref="E8777">- Camphor</f>
        <v>#NAME?</v>
      </c>
      <c r="F8777" t="s">
        <v>39242</v>
      </c>
      <c r="H8777" t="s">
        <v>9172</v>
      </c>
      <c r="I8777" t="s">
        <v>39243</v>
      </c>
      <c r="J8777" t="s">
        <v>39244</v>
      </c>
      <c r="M8777" t="s">
        <v>2115</v>
      </c>
      <c r="N8777" t="s">
        <v>853</v>
      </c>
      <c r="O8777" t="s">
        <v>39245</v>
      </c>
      <c r="P8777" t="s">
        <v>39246</v>
      </c>
      <c r="Q8777" t="s">
        <v>39247</v>
      </c>
      <c r="R8777">
        <v>28</v>
      </c>
      <c r="S8777">
        <v>32</v>
      </c>
    </row>
    <row r="8778" spans="1:19" x14ac:dyDescent="0.35">
      <c r="A8778">
        <v>2273</v>
      </c>
      <c r="B8778" t="s">
        <v>39248</v>
      </c>
      <c r="C8778" t="s">
        <v>42</v>
      </c>
      <c r="D8778" t="s">
        <v>39249</v>
      </c>
      <c r="E8778" t="e" cm="1">
        <f t="array" ref="E8778">- IBUPROFEN</f>
        <v>#NAME?</v>
      </c>
      <c r="F8778" t="s">
        <v>39250</v>
      </c>
      <c r="G8778" t="s">
        <v>6135</v>
      </c>
      <c r="H8778" t="s">
        <v>23714</v>
      </c>
      <c r="I8778" t="s">
        <v>39251</v>
      </c>
      <c r="J8778" t="s">
        <v>32787</v>
      </c>
      <c r="K8778" t="s">
        <v>39252</v>
      </c>
      <c r="L8778" t="s">
        <v>39253</v>
      </c>
      <c r="M8778" t="s">
        <v>291</v>
      </c>
      <c r="N8778" t="s">
        <v>383</v>
      </c>
      <c r="O8778" t="s">
        <v>39254</v>
      </c>
      <c r="P8778" t="s">
        <v>38975</v>
      </c>
      <c r="Q8778" t="s">
        <v>39255</v>
      </c>
      <c r="R8778">
        <v>28</v>
      </c>
      <c r="S8778">
        <v>32</v>
      </c>
    </row>
    <row r="8779" spans="1:19" x14ac:dyDescent="0.35">
      <c r="A8779">
        <v>2272</v>
      </c>
      <c r="B8779" t="s">
        <v>39248</v>
      </c>
      <c r="C8779" t="s">
        <v>42</v>
      </c>
      <c r="D8779" t="s">
        <v>39249</v>
      </c>
      <c r="E8779" t="e" cm="1">
        <f t="array" ref="E8779">- IBUPROFEN</f>
        <v>#NAME?</v>
      </c>
      <c r="F8779" t="s">
        <v>39250</v>
      </c>
      <c r="G8779" t="s">
        <v>6135</v>
      </c>
      <c r="H8779" t="s">
        <v>23714</v>
      </c>
      <c r="I8779" t="s">
        <v>39251</v>
      </c>
      <c r="J8779" t="s">
        <v>32787</v>
      </c>
      <c r="K8779" t="s">
        <v>39252</v>
      </c>
      <c r="L8779" t="s">
        <v>39253</v>
      </c>
      <c r="M8779" t="s">
        <v>291</v>
      </c>
      <c r="N8779" t="s">
        <v>383</v>
      </c>
      <c r="O8779" t="s">
        <v>39254</v>
      </c>
      <c r="P8779" t="s">
        <v>38975</v>
      </c>
      <c r="Q8779" t="s">
        <v>39255</v>
      </c>
      <c r="R8779">
        <v>28</v>
      </c>
      <c r="S8779">
        <v>32</v>
      </c>
    </row>
    <row r="8780" spans="1:19" x14ac:dyDescent="0.35">
      <c r="A8780">
        <v>5253</v>
      </c>
      <c r="B8780" t="s">
        <v>39256</v>
      </c>
      <c r="C8780" t="s">
        <v>42</v>
      </c>
      <c r="D8780" t="s">
        <v>39257</v>
      </c>
      <c r="E8780" t="e" cm="1">
        <f t="array" ref="E8780">- MICONAZOLE NITRATE</f>
        <v>#NAME?</v>
      </c>
      <c r="F8780" t="s">
        <v>39258</v>
      </c>
      <c r="G8780" t="s">
        <v>39259</v>
      </c>
      <c r="H8780" t="s">
        <v>39260</v>
      </c>
      <c r="I8780" t="s">
        <v>39261</v>
      </c>
      <c r="J8780" t="s">
        <v>2167</v>
      </c>
      <c r="K8780" t="s">
        <v>39262</v>
      </c>
      <c r="L8780" t="s">
        <v>39263</v>
      </c>
      <c r="M8780" t="s">
        <v>1289</v>
      </c>
      <c r="N8780" t="s">
        <v>9389</v>
      </c>
      <c r="O8780" t="s">
        <v>39264</v>
      </c>
      <c r="P8780" t="s">
        <v>39265</v>
      </c>
      <c r="Q8780" t="s">
        <v>39266</v>
      </c>
      <c r="R8780">
        <v>28</v>
      </c>
      <c r="S8780">
        <v>32</v>
      </c>
    </row>
    <row r="8781" spans="1:19" x14ac:dyDescent="0.35">
      <c r="A8781">
        <v>5254</v>
      </c>
      <c r="B8781" t="s">
        <v>39256</v>
      </c>
      <c r="C8781" t="s">
        <v>42</v>
      </c>
      <c r="D8781" t="s">
        <v>39257</v>
      </c>
      <c r="E8781" t="e" cm="1">
        <f t="array" ref="E8781">- MICONAZOLE NITRATE</f>
        <v>#NAME?</v>
      </c>
      <c r="F8781" t="s">
        <v>39258</v>
      </c>
      <c r="G8781" t="s">
        <v>39259</v>
      </c>
      <c r="H8781" t="s">
        <v>39260</v>
      </c>
      <c r="I8781" t="s">
        <v>39261</v>
      </c>
      <c r="J8781" t="s">
        <v>2167</v>
      </c>
      <c r="K8781" t="s">
        <v>39262</v>
      </c>
      <c r="L8781" t="s">
        <v>39263</v>
      </c>
      <c r="M8781" t="s">
        <v>1289</v>
      </c>
      <c r="N8781" t="s">
        <v>9389</v>
      </c>
      <c r="O8781" t="s">
        <v>39264</v>
      </c>
      <c r="P8781" t="s">
        <v>39265</v>
      </c>
      <c r="Q8781" t="s">
        <v>39266</v>
      </c>
      <c r="R8781">
        <v>28</v>
      </c>
      <c r="S8781">
        <v>32</v>
      </c>
    </row>
    <row r="8782" spans="1:19" x14ac:dyDescent="0.35">
      <c r="A8782">
        <v>5255</v>
      </c>
      <c r="B8782" t="s">
        <v>39256</v>
      </c>
      <c r="C8782" t="s">
        <v>42</v>
      </c>
      <c r="D8782" t="s">
        <v>39257</v>
      </c>
      <c r="E8782" t="e" cm="1">
        <f t="array" ref="E8782">- MICONAZOLE NITRATE</f>
        <v>#NAME?</v>
      </c>
      <c r="F8782" t="s">
        <v>39258</v>
      </c>
      <c r="G8782" t="s">
        <v>39259</v>
      </c>
      <c r="H8782" t="s">
        <v>39260</v>
      </c>
      <c r="I8782" t="s">
        <v>39261</v>
      </c>
      <c r="J8782" t="s">
        <v>2167</v>
      </c>
      <c r="K8782" t="s">
        <v>39262</v>
      </c>
      <c r="L8782" t="s">
        <v>39263</v>
      </c>
      <c r="M8782" t="s">
        <v>1289</v>
      </c>
      <c r="N8782" t="s">
        <v>9389</v>
      </c>
      <c r="O8782" t="s">
        <v>39264</v>
      </c>
      <c r="P8782" t="s">
        <v>39265</v>
      </c>
      <c r="Q8782" t="s">
        <v>39266</v>
      </c>
      <c r="R8782">
        <v>28</v>
      </c>
      <c r="S8782">
        <v>32</v>
      </c>
    </row>
    <row r="8783" spans="1:19" x14ac:dyDescent="0.35">
      <c r="A8783">
        <v>244</v>
      </c>
      <c r="B8783" t="s">
        <v>39217</v>
      </c>
      <c r="C8783" t="s">
        <v>42</v>
      </c>
      <c r="D8783" t="s">
        <v>39218</v>
      </c>
      <c r="E8783" t="e" cm="1">
        <f t="array" ref="E8783">- TADALAFIL</f>
        <v>#NAME?</v>
      </c>
      <c r="F8783" t="s">
        <v>39219</v>
      </c>
      <c r="G8783" t="s">
        <v>546</v>
      </c>
      <c r="H8783" t="s">
        <v>21957</v>
      </c>
      <c r="I8783" t="s">
        <v>39220</v>
      </c>
      <c r="J8783" t="s">
        <v>39221</v>
      </c>
      <c r="K8783" t="s">
        <v>39222</v>
      </c>
      <c r="L8783" t="s">
        <v>39223</v>
      </c>
      <c r="M8783" t="s">
        <v>46</v>
      </c>
      <c r="N8783" t="s">
        <v>10656</v>
      </c>
      <c r="O8783" t="s">
        <v>39224</v>
      </c>
      <c r="P8783" t="s">
        <v>39225</v>
      </c>
      <c r="Q8783" t="s">
        <v>39226</v>
      </c>
      <c r="R8783">
        <v>28</v>
      </c>
      <c r="S8783">
        <v>32</v>
      </c>
    </row>
    <row r="8784" spans="1:19" x14ac:dyDescent="0.35">
      <c r="A8784">
        <v>709</v>
      </c>
      <c r="B8784" t="s">
        <v>39130</v>
      </c>
      <c r="C8784" t="s">
        <v>20</v>
      </c>
      <c r="D8784" t="s">
        <v>39131</v>
      </c>
      <c r="E8784" t="s">
        <v>39267</v>
      </c>
      <c r="F8784" t="s">
        <v>39133</v>
      </c>
      <c r="G8784" t="s">
        <v>39134</v>
      </c>
      <c r="H8784" t="s">
        <v>1322</v>
      </c>
      <c r="I8784" t="s">
        <v>39135</v>
      </c>
      <c r="J8784" t="s">
        <v>37764</v>
      </c>
      <c r="L8784" t="s">
        <v>39136</v>
      </c>
      <c r="M8784" t="s">
        <v>2115</v>
      </c>
      <c r="N8784" t="s">
        <v>39268</v>
      </c>
      <c r="O8784" t="s">
        <v>39138</v>
      </c>
      <c r="P8784" t="s">
        <v>39139</v>
      </c>
      <c r="Q8784" t="s">
        <v>39269</v>
      </c>
      <c r="R8784">
        <v>28</v>
      </c>
      <c r="S8784">
        <v>32</v>
      </c>
    </row>
    <row r="8785" spans="1:19" x14ac:dyDescent="0.35">
      <c r="A8785">
        <v>9847</v>
      </c>
      <c r="B8785" t="s">
        <v>39270</v>
      </c>
      <c r="C8785" t="s">
        <v>42</v>
      </c>
      <c r="D8785" t="s">
        <v>39271</v>
      </c>
      <c r="E8785" t="e" cm="1">
        <f t="array" ref="E8785">- SIMVASTATIN</f>
        <v>#NAME?</v>
      </c>
      <c r="F8785" t="s">
        <v>39272</v>
      </c>
      <c r="G8785" t="s">
        <v>39273</v>
      </c>
      <c r="H8785" t="s">
        <v>6718</v>
      </c>
      <c r="I8785" t="s">
        <v>39274</v>
      </c>
      <c r="J8785" t="s">
        <v>3032</v>
      </c>
      <c r="K8785" t="s">
        <v>13499</v>
      </c>
      <c r="L8785" t="s">
        <v>39275</v>
      </c>
      <c r="M8785" t="s">
        <v>46</v>
      </c>
      <c r="N8785" t="s">
        <v>1150</v>
      </c>
      <c r="O8785" t="s">
        <v>39276</v>
      </c>
      <c r="P8785" t="s">
        <v>13500</v>
      </c>
      <c r="Q8785" t="s">
        <v>39277</v>
      </c>
      <c r="R8785">
        <v>28</v>
      </c>
      <c r="S8785">
        <v>32</v>
      </c>
    </row>
    <row r="8786" spans="1:19" x14ac:dyDescent="0.35">
      <c r="A8786">
        <v>5252</v>
      </c>
      <c r="B8786" t="s">
        <v>39256</v>
      </c>
      <c r="C8786" t="s">
        <v>42</v>
      </c>
      <c r="D8786" t="s">
        <v>39257</v>
      </c>
      <c r="E8786" t="e" cm="1">
        <f t="array" ref="E8786">- MICONAZOLE NITRATE</f>
        <v>#NAME?</v>
      </c>
      <c r="F8786" t="s">
        <v>39258</v>
      </c>
      <c r="G8786" t="s">
        <v>39259</v>
      </c>
      <c r="H8786" t="s">
        <v>39260</v>
      </c>
      <c r="I8786" t="s">
        <v>39261</v>
      </c>
      <c r="J8786" t="s">
        <v>2167</v>
      </c>
      <c r="K8786" t="s">
        <v>39262</v>
      </c>
      <c r="L8786" t="s">
        <v>39263</v>
      </c>
      <c r="M8786" t="s">
        <v>1289</v>
      </c>
      <c r="N8786" t="s">
        <v>9389</v>
      </c>
      <c r="O8786" t="s">
        <v>39264</v>
      </c>
      <c r="P8786" t="s">
        <v>39265</v>
      </c>
      <c r="Q8786" t="s">
        <v>39266</v>
      </c>
      <c r="R8786">
        <v>28</v>
      </c>
      <c r="S8786">
        <v>32</v>
      </c>
    </row>
    <row r="8787" spans="1:19" x14ac:dyDescent="0.35">
      <c r="A8787">
        <v>9</v>
      </c>
      <c r="B8787" t="s">
        <v>39278</v>
      </c>
      <c r="C8787" t="s">
        <v>42</v>
      </c>
      <c r="D8787" t="s">
        <v>39279</v>
      </c>
      <c r="E8787" t="e" cm="1">
        <f t="array" ref="E8787">- TADALAFIL</f>
        <v>#NAME?</v>
      </c>
      <c r="F8787" t="s">
        <v>39280</v>
      </c>
      <c r="G8787" t="s">
        <v>546</v>
      </c>
      <c r="H8787" t="s">
        <v>21957</v>
      </c>
      <c r="I8787" t="s">
        <v>39220</v>
      </c>
      <c r="J8787" t="s">
        <v>39281</v>
      </c>
      <c r="K8787" t="s">
        <v>550</v>
      </c>
    </row>
    <row r="8788" spans="1:19" x14ac:dyDescent="0.35">
      <c r="A8788">
        <v>3656</v>
      </c>
      <c r="B8788" t="s">
        <v>39282</v>
      </c>
      <c r="C8788" t="s">
        <v>42</v>
      </c>
      <c r="D8788" t="s">
        <v>39283</v>
      </c>
      <c r="E8788" t="e" cm="1">
        <f t="array" ref="E8788">- METOCLOPRAMIDE</f>
        <v>#NAME?</v>
      </c>
      <c r="F8788" t="s">
        <v>39284</v>
      </c>
      <c r="G8788" t="s">
        <v>6774</v>
      </c>
      <c r="H8788" t="s">
        <v>39285</v>
      </c>
      <c r="I8788" t="s">
        <v>39286</v>
      </c>
      <c r="J8788" t="s">
        <v>381</v>
      </c>
      <c r="K8788" t="s">
        <v>39287</v>
      </c>
      <c r="L8788" t="s">
        <v>39288</v>
      </c>
      <c r="M8788" t="s">
        <v>46</v>
      </c>
      <c r="N8788" t="s">
        <v>578</v>
      </c>
      <c r="O8788" t="s">
        <v>39289</v>
      </c>
      <c r="P8788" t="s">
        <v>39290</v>
      </c>
      <c r="Q8788" t="s">
        <v>39291</v>
      </c>
      <c r="R8788">
        <v>28</v>
      </c>
      <c r="S8788">
        <v>32</v>
      </c>
    </row>
    <row r="8789" spans="1:19" x14ac:dyDescent="0.35">
      <c r="A8789">
        <v>232</v>
      </c>
      <c r="B8789" t="s">
        <v>39227</v>
      </c>
      <c r="C8789" t="s">
        <v>42</v>
      </c>
      <c r="D8789" t="s">
        <v>39228</v>
      </c>
      <c r="E8789" t="e" cm="1">
        <f t="array" ref="E8789">- TADALAFIL</f>
        <v>#NAME?</v>
      </c>
      <c r="F8789" t="s">
        <v>39229</v>
      </c>
      <c r="G8789" t="s">
        <v>546</v>
      </c>
      <c r="H8789" t="s">
        <v>21957</v>
      </c>
      <c r="I8789" t="s">
        <v>39220</v>
      </c>
      <c r="J8789" t="s">
        <v>22723</v>
      </c>
      <c r="K8789" t="s">
        <v>39230</v>
      </c>
    </row>
    <row r="8790" spans="1:19" x14ac:dyDescent="0.35">
      <c r="A8790">
        <v>1403</v>
      </c>
      <c r="B8790" t="s">
        <v>39292</v>
      </c>
      <c r="C8790" t="s">
        <v>42</v>
      </c>
      <c r="D8790" t="s">
        <v>39293</v>
      </c>
      <c r="E8790" t="e" cm="1">
        <f t="array" ref="E8790">- AMBROXOL HYDROCHLORIDE</f>
        <v>#NAME?</v>
      </c>
      <c r="F8790" t="s">
        <v>26452</v>
      </c>
      <c r="I8790" t="s">
        <v>39294</v>
      </c>
      <c r="J8790" t="s">
        <v>381</v>
      </c>
      <c r="M8790" t="s">
        <v>291</v>
      </c>
      <c r="N8790" t="s">
        <v>1800</v>
      </c>
      <c r="O8790" t="s">
        <v>39295</v>
      </c>
      <c r="P8790" t="s">
        <v>2157</v>
      </c>
      <c r="Q8790" t="s">
        <v>39296</v>
      </c>
      <c r="R8790">
        <v>28</v>
      </c>
      <c r="S8790">
        <v>32</v>
      </c>
    </row>
    <row r="8791" spans="1:19" x14ac:dyDescent="0.35">
      <c r="A8791">
        <v>8</v>
      </c>
      <c r="B8791" t="s">
        <v>39278</v>
      </c>
      <c r="C8791" t="s">
        <v>42</v>
      </c>
      <c r="D8791" t="s">
        <v>39279</v>
      </c>
      <c r="E8791" t="e" cm="1">
        <f t="array" ref="E8791">- TADALAFIL</f>
        <v>#NAME?</v>
      </c>
      <c r="F8791" t="s">
        <v>39280</v>
      </c>
      <c r="G8791" t="s">
        <v>546</v>
      </c>
      <c r="H8791" t="s">
        <v>21957</v>
      </c>
      <c r="I8791" t="s">
        <v>39220</v>
      </c>
      <c r="J8791" t="s">
        <v>39281</v>
      </c>
      <c r="K8791" t="s">
        <v>550</v>
      </c>
    </row>
    <row r="8792" spans="1:19" x14ac:dyDescent="0.35">
      <c r="A8792">
        <v>231</v>
      </c>
      <c r="B8792" t="s">
        <v>39227</v>
      </c>
      <c r="C8792" t="s">
        <v>42</v>
      </c>
      <c r="D8792" t="s">
        <v>39228</v>
      </c>
      <c r="E8792" t="e" cm="1">
        <f t="array" ref="E8792">- TADALAFIL</f>
        <v>#NAME?</v>
      </c>
      <c r="F8792" t="s">
        <v>39229</v>
      </c>
      <c r="G8792" t="s">
        <v>546</v>
      </c>
      <c r="H8792" t="s">
        <v>21957</v>
      </c>
      <c r="I8792" t="s">
        <v>39220</v>
      </c>
      <c r="J8792" t="s">
        <v>22723</v>
      </c>
      <c r="K8792" t="s">
        <v>39230</v>
      </c>
    </row>
    <row r="8793" spans="1:19" x14ac:dyDescent="0.35">
      <c r="A8793">
        <v>9846</v>
      </c>
      <c r="B8793" t="s">
        <v>39270</v>
      </c>
      <c r="C8793" t="s">
        <v>42</v>
      </c>
      <c r="D8793" t="s">
        <v>39271</v>
      </c>
      <c r="E8793" t="e" cm="1">
        <f t="array" ref="E8793">- SIMVASTATIN</f>
        <v>#NAME?</v>
      </c>
      <c r="F8793" t="s">
        <v>39272</v>
      </c>
      <c r="G8793" t="s">
        <v>39273</v>
      </c>
      <c r="H8793" t="s">
        <v>6718</v>
      </c>
      <c r="I8793" t="s">
        <v>39274</v>
      </c>
      <c r="J8793" t="s">
        <v>3032</v>
      </c>
      <c r="K8793" t="s">
        <v>13499</v>
      </c>
      <c r="L8793" t="s">
        <v>39275</v>
      </c>
      <c r="M8793" t="s">
        <v>46</v>
      </c>
      <c r="N8793" t="s">
        <v>1150</v>
      </c>
      <c r="O8793" t="s">
        <v>39276</v>
      </c>
      <c r="P8793" t="s">
        <v>13500</v>
      </c>
      <c r="Q8793" t="s">
        <v>39277</v>
      </c>
      <c r="R8793">
        <v>28</v>
      </c>
      <c r="S8793">
        <v>32</v>
      </c>
    </row>
    <row r="8794" spans="1:19" x14ac:dyDescent="0.35">
      <c r="A8794">
        <v>4562</v>
      </c>
      <c r="B8794" t="s">
        <v>39297</v>
      </c>
      <c r="C8794" t="s">
        <v>42</v>
      </c>
      <c r="D8794" t="s">
        <v>39298</v>
      </c>
      <c r="E8794" t="e" cm="1">
        <f t="array" ref="E8794">- POTASSIUM CHLORIDE</f>
        <v>#NAME?</v>
      </c>
      <c r="F8794" t="s">
        <v>39299</v>
      </c>
      <c r="G8794" t="s">
        <v>7569</v>
      </c>
      <c r="H8794" t="s">
        <v>39300</v>
      </c>
      <c r="I8794" t="s">
        <v>39301</v>
      </c>
      <c r="J8794" t="s">
        <v>16097</v>
      </c>
      <c r="K8794" t="s">
        <v>39302</v>
      </c>
      <c r="L8794" t="s">
        <v>39303</v>
      </c>
      <c r="M8794" t="s">
        <v>824</v>
      </c>
      <c r="N8794" t="s">
        <v>39304</v>
      </c>
      <c r="O8794" t="s">
        <v>39305</v>
      </c>
      <c r="P8794" t="s">
        <v>39306</v>
      </c>
      <c r="Q8794" t="s">
        <v>39307</v>
      </c>
      <c r="R8794">
        <v>28</v>
      </c>
      <c r="S8794">
        <v>32</v>
      </c>
    </row>
    <row r="8795" spans="1:19" x14ac:dyDescent="0.35">
      <c r="A8795">
        <v>2564</v>
      </c>
      <c r="B8795" t="s">
        <v>39308</v>
      </c>
      <c r="C8795" t="s">
        <v>42</v>
      </c>
      <c r="D8795" t="s">
        <v>39309</v>
      </c>
      <c r="E8795" t="e" cm="1">
        <f t="array" ref="E8795">- CINNARIZINE</f>
        <v>#NAME?</v>
      </c>
      <c r="F8795" t="s">
        <v>39310</v>
      </c>
      <c r="G8795" t="s">
        <v>9114</v>
      </c>
      <c r="H8795" t="s">
        <v>39311</v>
      </c>
      <c r="I8795" t="s">
        <v>39312</v>
      </c>
    </row>
    <row r="8796" spans="1:19" x14ac:dyDescent="0.35">
      <c r="A8796">
        <v>3018</v>
      </c>
      <c r="B8796" t="s">
        <v>39313</v>
      </c>
      <c r="C8796" t="s">
        <v>42</v>
      </c>
      <c r="D8796" t="s">
        <v>39314</v>
      </c>
      <c r="E8796" t="e" cm="1">
        <f t="array" ref="E8796">- RANITIDINE HYDROCHLORIDE</f>
        <v>#NAME?</v>
      </c>
      <c r="F8796" t="s">
        <v>39315</v>
      </c>
      <c r="G8796" t="s">
        <v>39316</v>
      </c>
      <c r="H8796" t="s">
        <v>1984</v>
      </c>
      <c r="I8796" t="s">
        <v>39317</v>
      </c>
      <c r="J8796" t="s">
        <v>18523</v>
      </c>
      <c r="K8796" t="s">
        <v>29776</v>
      </c>
      <c r="L8796" t="s">
        <v>39318</v>
      </c>
      <c r="M8796" t="s">
        <v>46</v>
      </c>
      <c r="N8796" t="s">
        <v>1985</v>
      </c>
      <c r="O8796" t="s">
        <v>39319</v>
      </c>
      <c r="P8796" t="s">
        <v>34588</v>
      </c>
      <c r="Q8796" t="s">
        <v>39320</v>
      </c>
      <c r="R8796">
        <v>28</v>
      </c>
      <c r="S8796">
        <v>32</v>
      </c>
    </row>
    <row r="8797" spans="1:19" x14ac:dyDescent="0.35">
      <c r="A8797">
        <v>3044</v>
      </c>
      <c r="B8797" t="s">
        <v>39321</v>
      </c>
      <c r="C8797" t="s">
        <v>42</v>
      </c>
      <c r="D8797" t="s">
        <v>39322</v>
      </c>
      <c r="E8797" t="e" cm="1">
        <f t="array" ref="E8797">- RANITIDINE HYDROCHLORIDE</f>
        <v>#NAME?</v>
      </c>
      <c r="F8797" t="s">
        <v>39323</v>
      </c>
      <c r="G8797" t="s">
        <v>60</v>
      </c>
      <c r="H8797" t="s">
        <v>39324</v>
      </c>
      <c r="I8797" t="s">
        <v>39317</v>
      </c>
      <c r="J8797" t="s">
        <v>334</v>
      </c>
      <c r="K8797" t="s">
        <v>29776</v>
      </c>
      <c r="L8797" t="s">
        <v>39325</v>
      </c>
      <c r="M8797" t="s">
        <v>271</v>
      </c>
      <c r="N8797" t="s">
        <v>1985</v>
      </c>
      <c r="O8797" t="s">
        <v>39319</v>
      </c>
      <c r="P8797" t="s">
        <v>39326</v>
      </c>
      <c r="Q8797" t="s">
        <v>39327</v>
      </c>
      <c r="R8797">
        <v>28</v>
      </c>
      <c r="S8797">
        <v>32</v>
      </c>
    </row>
    <row r="8798" spans="1:19" x14ac:dyDescent="0.35">
      <c r="A8798">
        <v>3045</v>
      </c>
      <c r="B8798" t="s">
        <v>39321</v>
      </c>
      <c r="C8798" t="s">
        <v>42</v>
      </c>
      <c r="D8798" t="s">
        <v>39322</v>
      </c>
      <c r="E8798" t="e" cm="1">
        <f t="array" ref="E8798">- RANITIDINE HYDROCHLORIDE</f>
        <v>#NAME?</v>
      </c>
      <c r="F8798" t="s">
        <v>39323</v>
      </c>
      <c r="G8798" t="s">
        <v>60</v>
      </c>
      <c r="H8798" t="s">
        <v>39324</v>
      </c>
      <c r="I8798" t="s">
        <v>39317</v>
      </c>
      <c r="J8798" t="s">
        <v>334</v>
      </c>
      <c r="K8798" t="s">
        <v>29776</v>
      </c>
      <c r="L8798" t="s">
        <v>39325</v>
      </c>
      <c r="M8798" t="s">
        <v>271</v>
      </c>
      <c r="N8798" t="s">
        <v>1985</v>
      </c>
      <c r="O8798" t="s">
        <v>39319</v>
      </c>
      <c r="P8798" t="s">
        <v>39326</v>
      </c>
      <c r="Q8798" t="s">
        <v>39327</v>
      </c>
      <c r="R8798">
        <v>28</v>
      </c>
      <c r="S8798">
        <v>32</v>
      </c>
    </row>
    <row r="8799" spans="1:19" x14ac:dyDescent="0.35">
      <c r="A8799">
        <v>3008</v>
      </c>
      <c r="B8799" t="s">
        <v>39328</v>
      </c>
      <c r="C8799" t="s">
        <v>42</v>
      </c>
      <c r="D8799" t="s">
        <v>39329</v>
      </c>
      <c r="E8799" t="e" cm="1">
        <f t="array" ref="E8799">- OMEPRAZOLE</f>
        <v>#NAME?</v>
      </c>
      <c r="F8799" t="s">
        <v>39330</v>
      </c>
      <c r="G8799" t="s">
        <v>18116</v>
      </c>
      <c r="H8799" t="s">
        <v>2724</v>
      </c>
      <c r="I8799" t="s">
        <v>39331</v>
      </c>
      <c r="J8799" t="s">
        <v>39332</v>
      </c>
      <c r="K8799" t="s">
        <v>39333</v>
      </c>
      <c r="L8799" t="s">
        <v>39334</v>
      </c>
    </row>
    <row r="8800" spans="1:19" x14ac:dyDescent="0.35">
      <c r="A8800">
        <v>4563</v>
      </c>
      <c r="B8800" t="s">
        <v>39297</v>
      </c>
      <c r="C8800" t="s">
        <v>42</v>
      </c>
      <c r="D8800" t="s">
        <v>39298</v>
      </c>
      <c r="E8800" t="e" cm="1">
        <f t="array" ref="E8800">- POTASSIUM CHLORIDE</f>
        <v>#NAME?</v>
      </c>
      <c r="F8800" t="s">
        <v>39299</v>
      </c>
      <c r="G8800" t="s">
        <v>7569</v>
      </c>
      <c r="H8800" t="s">
        <v>39300</v>
      </c>
      <c r="I8800" t="s">
        <v>39301</v>
      </c>
      <c r="J8800" t="s">
        <v>16097</v>
      </c>
      <c r="K8800" t="s">
        <v>39302</v>
      </c>
      <c r="L8800" t="s">
        <v>39303</v>
      </c>
      <c r="M8800" t="s">
        <v>824</v>
      </c>
      <c r="N8800" t="s">
        <v>39304</v>
      </c>
      <c r="O8800" t="s">
        <v>39305</v>
      </c>
      <c r="P8800" t="s">
        <v>39306</v>
      </c>
      <c r="Q8800" t="s">
        <v>39307</v>
      </c>
      <c r="R8800">
        <v>28</v>
      </c>
      <c r="S8800">
        <v>32</v>
      </c>
    </row>
    <row r="8801" spans="1:19" x14ac:dyDescent="0.35">
      <c r="A8801">
        <v>4564</v>
      </c>
      <c r="B8801" t="s">
        <v>39297</v>
      </c>
      <c r="C8801" t="s">
        <v>42</v>
      </c>
      <c r="D8801" t="s">
        <v>39298</v>
      </c>
      <c r="E8801" t="e" cm="1">
        <f t="array" ref="E8801">- POTASSIUM CHLORIDE</f>
        <v>#NAME?</v>
      </c>
      <c r="F8801" t="s">
        <v>39299</v>
      </c>
      <c r="G8801" t="s">
        <v>7569</v>
      </c>
      <c r="H8801" t="s">
        <v>39300</v>
      </c>
      <c r="I8801" t="s">
        <v>39301</v>
      </c>
      <c r="J8801" t="s">
        <v>16097</v>
      </c>
      <c r="K8801" t="s">
        <v>39302</v>
      </c>
      <c r="L8801" t="s">
        <v>39303</v>
      </c>
      <c r="M8801" t="s">
        <v>824</v>
      </c>
      <c r="N8801" t="s">
        <v>39304</v>
      </c>
      <c r="O8801" t="s">
        <v>39305</v>
      </c>
      <c r="P8801" t="s">
        <v>39306</v>
      </c>
      <c r="Q8801" t="s">
        <v>39307</v>
      </c>
      <c r="R8801">
        <v>28</v>
      </c>
      <c r="S8801">
        <v>32</v>
      </c>
    </row>
    <row r="8802" spans="1:19" x14ac:dyDescent="0.35">
      <c r="A8802">
        <v>7237</v>
      </c>
      <c r="B8802" t="s">
        <v>39240</v>
      </c>
      <c r="C8802" t="s">
        <v>850</v>
      </c>
      <c r="D8802" t="s">
        <v>39335</v>
      </c>
      <c r="E8802" t="e" cm="1">
        <f t="array" ref="E8802">- Camphor</f>
        <v>#NAME?</v>
      </c>
      <c r="F8802" t="s">
        <v>39336</v>
      </c>
      <c r="H8802" t="s">
        <v>1322</v>
      </c>
      <c r="I8802" t="s">
        <v>39243</v>
      </c>
      <c r="J8802" t="s">
        <v>11321</v>
      </c>
      <c r="M8802" t="s">
        <v>2115</v>
      </c>
      <c r="N8802" t="s">
        <v>853</v>
      </c>
      <c r="O8802" t="s">
        <v>39245</v>
      </c>
      <c r="P8802" t="s">
        <v>39246</v>
      </c>
      <c r="Q8802" t="s">
        <v>39247</v>
      </c>
      <c r="R8802">
        <v>28</v>
      </c>
      <c r="S8802">
        <v>32</v>
      </c>
    </row>
    <row r="8803" spans="1:19" x14ac:dyDescent="0.35">
      <c r="A8803">
        <v>3019</v>
      </c>
      <c r="B8803" t="s">
        <v>39313</v>
      </c>
      <c r="C8803" t="s">
        <v>42</v>
      </c>
      <c r="D8803" t="s">
        <v>39314</v>
      </c>
      <c r="E8803" t="e" cm="1">
        <f t="array" ref="E8803">- RANITIDINE HYDROCHLORIDE</f>
        <v>#NAME?</v>
      </c>
      <c r="F8803" t="s">
        <v>39315</v>
      </c>
      <c r="G8803" t="s">
        <v>39316</v>
      </c>
      <c r="H8803" t="s">
        <v>1984</v>
      </c>
      <c r="I8803" t="s">
        <v>39317</v>
      </c>
      <c r="J8803" t="s">
        <v>18523</v>
      </c>
      <c r="K8803" t="s">
        <v>29776</v>
      </c>
      <c r="L8803" t="s">
        <v>39318</v>
      </c>
      <c r="M8803" t="s">
        <v>46</v>
      </c>
      <c r="N8803" t="s">
        <v>1985</v>
      </c>
      <c r="O8803" t="s">
        <v>39319</v>
      </c>
      <c r="P8803" t="s">
        <v>34588</v>
      </c>
      <c r="Q8803" t="s">
        <v>39320</v>
      </c>
      <c r="R8803">
        <v>28</v>
      </c>
      <c r="S8803">
        <v>32</v>
      </c>
    </row>
    <row r="8804" spans="1:19" x14ac:dyDescent="0.35">
      <c r="A8804">
        <v>3925</v>
      </c>
      <c r="B8804" t="s">
        <v>33851</v>
      </c>
      <c r="C8804" t="s">
        <v>42</v>
      </c>
      <c r="D8804" t="s">
        <v>39337</v>
      </c>
      <c r="E8804" t="s">
        <v>3502</v>
      </c>
      <c r="F8804" t="s">
        <v>39338</v>
      </c>
      <c r="G8804" t="s">
        <v>37581</v>
      </c>
      <c r="H8804" t="s">
        <v>39339</v>
      </c>
      <c r="I8804" t="s">
        <v>39340</v>
      </c>
      <c r="J8804" t="s">
        <v>39341</v>
      </c>
      <c r="K8804" t="s">
        <v>3473</v>
      </c>
      <c r="L8804" t="s">
        <v>39342</v>
      </c>
      <c r="M8804" t="s">
        <v>12262</v>
      </c>
      <c r="N8804" t="s">
        <v>3505</v>
      </c>
      <c r="O8804" t="s">
        <v>39343</v>
      </c>
      <c r="P8804" t="s">
        <v>39344</v>
      </c>
      <c r="Q8804" t="s">
        <v>39345</v>
      </c>
      <c r="R8804">
        <v>28</v>
      </c>
      <c r="S8804">
        <v>32</v>
      </c>
    </row>
    <row r="8805" spans="1:19" x14ac:dyDescent="0.35">
      <c r="A8805">
        <v>5161</v>
      </c>
      <c r="B8805" t="s">
        <v>39231</v>
      </c>
      <c r="C8805" t="s">
        <v>42</v>
      </c>
      <c r="D8805" t="s">
        <v>39232</v>
      </c>
      <c r="E8805" t="e" cm="1">
        <f t="array" ref="E8805">- KETOCONAZOLE</f>
        <v>#NAME?</v>
      </c>
      <c r="F8805" t="s">
        <v>39233</v>
      </c>
      <c r="G8805" t="s">
        <v>15085</v>
      </c>
      <c r="H8805" t="s">
        <v>39234</v>
      </c>
      <c r="I8805" t="s">
        <v>39235</v>
      </c>
      <c r="J8805" t="s">
        <v>10789</v>
      </c>
      <c r="K8805" t="s">
        <v>26789</v>
      </c>
      <c r="L8805" t="s">
        <v>39236</v>
      </c>
      <c r="M8805" t="s">
        <v>87</v>
      </c>
      <c r="N8805" t="s">
        <v>533</v>
      </c>
      <c r="O8805" t="s">
        <v>39237</v>
      </c>
      <c r="P8805" t="s">
        <v>39238</v>
      </c>
      <c r="Q8805" t="s">
        <v>39239</v>
      </c>
      <c r="R8805">
        <v>28</v>
      </c>
      <c r="S8805">
        <v>32</v>
      </c>
    </row>
    <row r="8806" spans="1:19" x14ac:dyDescent="0.35">
      <c r="A8806">
        <v>9624</v>
      </c>
      <c r="B8806" t="s">
        <v>6301</v>
      </c>
      <c r="C8806" t="s">
        <v>42</v>
      </c>
      <c r="D8806" t="s">
        <v>39346</v>
      </c>
      <c r="E8806" t="s">
        <v>6303</v>
      </c>
      <c r="F8806" t="s">
        <v>39347</v>
      </c>
      <c r="G8806" t="s">
        <v>31602</v>
      </c>
      <c r="H8806" t="s">
        <v>1322</v>
      </c>
      <c r="I8806" t="s">
        <v>39348</v>
      </c>
      <c r="J8806" t="s">
        <v>28348</v>
      </c>
      <c r="K8806" t="s">
        <v>31604</v>
      </c>
      <c r="L8806" t="s">
        <v>34021</v>
      </c>
      <c r="M8806" t="s">
        <v>46</v>
      </c>
      <c r="N8806" t="s">
        <v>6304</v>
      </c>
      <c r="O8806" t="s">
        <v>39349</v>
      </c>
      <c r="P8806" t="s">
        <v>39350</v>
      </c>
      <c r="Q8806" t="s">
        <v>39351</v>
      </c>
      <c r="R8806">
        <v>28</v>
      </c>
      <c r="S8806">
        <v>32</v>
      </c>
    </row>
    <row r="8807" spans="1:19" x14ac:dyDescent="0.35">
      <c r="A8807">
        <v>3351</v>
      </c>
      <c r="B8807" t="s">
        <v>38447</v>
      </c>
      <c r="C8807" t="s">
        <v>42</v>
      </c>
      <c r="D8807" t="s">
        <v>38448</v>
      </c>
      <c r="E8807" t="s">
        <v>39352</v>
      </c>
      <c r="F8807" t="s">
        <v>38449</v>
      </c>
      <c r="G8807" t="s">
        <v>18116</v>
      </c>
      <c r="H8807" t="s">
        <v>2724</v>
      </c>
      <c r="I8807" t="s">
        <v>38450</v>
      </c>
      <c r="J8807" t="s">
        <v>1181</v>
      </c>
      <c r="K8807" t="s">
        <v>38451</v>
      </c>
      <c r="L8807" t="s">
        <v>38452</v>
      </c>
      <c r="M8807" t="s">
        <v>38</v>
      </c>
      <c r="N8807" t="s">
        <v>39353</v>
      </c>
      <c r="O8807" t="s">
        <v>38453</v>
      </c>
      <c r="P8807" t="s">
        <v>38454</v>
      </c>
      <c r="Q8807" t="s">
        <v>39354</v>
      </c>
      <c r="R8807">
        <v>28</v>
      </c>
      <c r="S8807">
        <v>32</v>
      </c>
    </row>
    <row r="8808" spans="1:19" x14ac:dyDescent="0.35">
      <c r="A8808">
        <v>10043</v>
      </c>
      <c r="B8808" t="s">
        <v>39355</v>
      </c>
      <c r="C8808" t="s">
        <v>20</v>
      </c>
      <c r="D8808" t="s">
        <v>39356</v>
      </c>
      <c r="E8808" t="s">
        <v>39357</v>
      </c>
      <c r="F8808" t="s">
        <v>39358</v>
      </c>
      <c r="G8808" t="s">
        <v>4545</v>
      </c>
      <c r="H8808" t="s">
        <v>39359</v>
      </c>
      <c r="I8808" t="s">
        <v>39360</v>
      </c>
      <c r="J8808" t="s">
        <v>9979</v>
      </c>
      <c r="L8808" t="s">
        <v>39361</v>
      </c>
      <c r="M8808" t="s">
        <v>38</v>
      </c>
      <c r="N8808" t="s">
        <v>39362</v>
      </c>
      <c r="O8808" t="s">
        <v>39363</v>
      </c>
      <c r="P8808" t="s">
        <v>39364</v>
      </c>
      <c r="Q8808" t="s">
        <v>39365</v>
      </c>
      <c r="R8808">
        <v>28</v>
      </c>
      <c r="S8808">
        <v>32</v>
      </c>
    </row>
    <row r="8809" spans="1:19" x14ac:dyDescent="0.35">
      <c r="A8809">
        <v>10044</v>
      </c>
      <c r="B8809" t="s">
        <v>39355</v>
      </c>
      <c r="C8809" t="s">
        <v>20</v>
      </c>
      <c r="D8809" t="s">
        <v>39366</v>
      </c>
      <c r="E8809" t="s">
        <v>39357</v>
      </c>
      <c r="F8809" t="s">
        <v>39367</v>
      </c>
      <c r="G8809" t="s">
        <v>4545</v>
      </c>
      <c r="H8809" t="s">
        <v>39359</v>
      </c>
      <c r="I8809" t="s">
        <v>39360</v>
      </c>
      <c r="J8809" t="s">
        <v>14820</v>
      </c>
      <c r="L8809" t="s">
        <v>39361</v>
      </c>
      <c r="M8809" t="s">
        <v>38</v>
      </c>
      <c r="N8809" t="s">
        <v>39362</v>
      </c>
      <c r="O8809" t="s">
        <v>39363</v>
      </c>
      <c r="P8809" t="s">
        <v>39364</v>
      </c>
      <c r="Q8809" t="s">
        <v>39365</v>
      </c>
      <c r="R8809">
        <v>28</v>
      </c>
      <c r="S8809">
        <v>32</v>
      </c>
    </row>
    <row r="8810" spans="1:19" x14ac:dyDescent="0.35">
      <c r="A8810">
        <v>7352</v>
      </c>
      <c r="B8810" t="s">
        <v>35683</v>
      </c>
      <c r="C8810" t="s">
        <v>42</v>
      </c>
      <c r="D8810" t="s">
        <v>39368</v>
      </c>
      <c r="E8810" t="e" cm="1">
        <f t="array" ref="E8810">- HEXETIDINE</f>
        <v>#NAME?</v>
      </c>
      <c r="F8810" t="s">
        <v>39369</v>
      </c>
      <c r="G8810" t="s">
        <v>39370</v>
      </c>
      <c r="H8810" t="s">
        <v>39371</v>
      </c>
      <c r="I8810" t="s">
        <v>39372</v>
      </c>
      <c r="J8810" t="s">
        <v>334</v>
      </c>
      <c r="K8810" t="s">
        <v>39373</v>
      </c>
      <c r="L8810" t="s">
        <v>39374</v>
      </c>
      <c r="M8810" t="s">
        <v>554</v>
      </c>
      <c r="N8810" t="s">
        <v>35691</v>
      </c>
      <c r="O8810" t="s">
        <v>39375</v>
      </c>
      <c r="P8810" t="s">
        <v>35693</v>
      </c>
      <c r="Q8810" t="s">
        <v>39376</v>
      </c>
      <c r="R8810">
        <v>28</v>
      </c>
      <c r="S8810">
        <v>32</v>
      </c>
    </row>
    <row r="8811" spans="1:19" x14ac:dyDescent="0.35">
      <c r="A8811">
        <v>1750</v>
      </c>
      <c r="B8811" t="s">
        <v>39377</v>
      </c>
      <c r="C8811" t="s">
        <v>850</v>
      </c>
      <c r="D8811" t="s">
        <v>39378</v>
      </c>
      <c r="E8811" t="e" cm="1">
        <f t="array" ref="E8811">- Camellia sinensis Oil</f>
        <v>#NAME?</v>
      </c>
      <c r="F8811" t="s">
        <v>39379</v>
      </c>
      <c r="G8811" t="s">
        <v>36126</v>
      </c>
      <c r="I8811" t="s">
        <v>39380</v>
      </c>
      <c r="J8811" t="s">
        <v>1647</v>
      </c>
      <c r="L8811" t="s">
        <v>39381</v>
      </c>
      <c r="M8811" t="s">
        <v>3338</v>
      </c>
      <c r="N8811" t="s">
        <v>39382</v>
      </c>
      <c r="O8811" t="s">
        <v>39383</v>
      </c>
      <c r="P8811" t="s">
        <v>39384</v>
      </c>
      <c r="Q8811" t="s">
        <v>39385</v>
      </c>
      <c r="R8811">
        <v>28</v>
      </c>
      <c r="S8811">
        <v>32</v>
      </c>
    </row>
    <row r="8812" spans="1:19" x14ac:dyDescent="0.35">
      <c r="A8812">
        <v>1749</v>
      </c>
      <c r="B8812" t="s">
        <v>39377</v>
      </c>
      <c r="C8812" t="s">
        <v>850</v>
      </c>
      <c r="D8812" t="s">
        <v>39378</v>
      </c>
      <c r="E8812" t="e" cm="1">
        <f t="array" ref="E8812">- Camellia sinensis Oil</f>
        <v>#NAME?</v>
      </c>
      <c r="F8812" t="s">
        <v>39379</v>
      </c>
      <c r="G8812" t="s">
        <v>36126</v>
      </c>
      <c r="I8812" t="s">
        <v>39380</v>
      </c>
      <c r="J8812" t="s">
        <v>1647</v>
      </c>
      <c r="L8812" t="s">
        <v>39381</v>
      </c>
      <c r="M8812" t="s">
        <v>3338</v>
      </c>
      <c r="N8812" t="s">
        <v>39382</v>
      </c>
      <c r="O8812" t="s">
        <v>39383</v>
      </c>
      <c r="P8812" t="s">
        <v>39384</v>
      </c>
      <c r="Q8812" t="s">
        <v>39385</v>
      </c>
      <c r="R8812">
        <v>28</v>
      </c>
      <c r="S8812">
        <v>32</v>
      </c>
    </row>
    <row r="8813" spans="1:19" x14ac:dyDescent="0.35">
      <c r="A8813">
        <v>9720</v>
      </c>
      <c r="B8813" t="s">
        <v>39386</v>
      </c>
      <c r="C8813" t="s">
        <v>42</v>
      </c>
      <c r="D8813" t="s">
        <v>39387</v>
      </c>
      <c r="E8813" t="e" cm="1">
        <f t="array" ref="E8813">- PRAVASTATIN SODIUM</f>
        <v>#NAME?</v>
      </c>
      <c r="F8813" t="s">
        <v>39388</v>
      </c>
      <c r="G8813" t="s">
        <v>3282</v>
      </c>
      <c r="H8813" t="s">
        <v>2643</v>
      </c>
      <c r="I8813" t="s">
        <v>39389</v>
      </c>
      <c r="J8813" t="s">
        <v>32456</v>
      </c>
      <c r="K8813" t="s">
        <v>3284</v>
      </c>
      <c r="L8813" t="s">
        <v>3285</v>
      </c>
      <c r="M8813" t="s">
        <v>46</v>
      </c>
      <c r="N8813" t="s">
        <v>2396</v>
      </c>
      <c r="O8813" t="s">
        <v>39390</v>
      </c>
      <c r="P8813" t="s">
        <v>3287</v>
      </c>
      <c r="Q8813" t="s">
        <v>39391</v>
      </c>
      <c r="R8813">
        <v>28</v>
      </c>
      <c r="S8813">
        <v>32</v>
      </c>
    </row>
    <row r="8814" spans="1:19" x14ac:dyDescent="0.35">
      <c r="A8814">
        <v>7353</v>
      </c>
      <c r="B8814" t="s">
        <v>35683</v>
      </c>
      <c r="C8814" t="s">
        <v>42</v>
      </c>
      <c r="D8814" t="s">
        <v>39368</v>
      </c>
      <c r="E8814" t="e" cm="1">
        <f t="array" ref="E8814">- HEXETIDINE</f>
        <v>#NAME?</v>
      </c>
      <c r="F8814" t="s">
        <v>39369</v>
      </c>
      <c r="G8814" t="s">
        <v>39370</v>
      </c>
      <c r="H8814" t="s">
        <v>39371</v>
      </c>
      <c r="I8814" t="s">
        <v>39372</v>
      </c>
      <c r="J8814" t="s">
        <v>334</v>
      </c>
      <c r="K8814" t="s">
        <v>39373</v>
      </c>
      <c r="L8814" t="s">
        <v>39374</v>
      </c>
      <c r="M8814" t="s">
        <v>554</v>
      </c>
      <c r="N8814" t="s">
        <v>35691</v>
      </c>
      <c r="O8814" t="s">
        <v>39375</v>
      </c>
      <c r="P8814" t="s">
        <v>35693</v>
      </c>
      <c r="Q8814" t="s">
        <v>39376</v>
      </c>
      <c r="R8814">
        <v>28</v>
      </c>
      <c r="S8814">
        <v>32</v>
      </c>
    </row>
    <row r="8815" spans="1:19" x14ac:dyDescent="0.35">
      <c r="A8815">
        <v>7354</v>
      </c>
      <c r="B8815" t="s">
        <v>35683</v>
      </c>
      <c r="C8815" t="s">
        <v>42</v>
      </c>
      <c r="D8815" t="s">
        <v>39368</v>
      </c>
      <c r="E8815" t="e" cm="1">
        <f t="array" ref="E8815">- HEXETIDINE</f>
        <v>#NAME?</v>
      </c>
      <c r="F8815" t="s">
        <v>39369</v>
      </c>
      <c r="G8815" t="s">
        <v>39370</v>
      </c>
      <c r="H8815" t="s">
        <v>39371</v>
      </c>
      <c r="I8815" t="s">
        <v>39372</v>
      </c>
      <c r="J8815" t="s">
        <v>334</v>
      </c>
      <c r="K8815" t="s">
        <v>39373</v>
      </c>
      <c r="L8815" t="s">
        <v>39374</v>
      </c>
      <c r="M8815" t="s">
        <v>554</v>
      </c>
      <c r="N8815" t="s">
        <v>35691</v>
      </c>
      <c r="O8815" t="s">
        <v>39375</v>
      </c>
      <c r="P8815" t="s">
        <v>35693</v>
      </c>
      <c r="Q8815" t="s">
        <v>39376</v>
      </c>
      <c r="R8815">
        <v>28</v>
      </c>
      <c r="S8815">
        <v>32</v>
      </c>
    </row>
    <row r="8816" spans="1:19" x14ac:dyDescent="0.35">
      <c r="A8816">
        <v>7690</v>
      </c>
      <c r="B8816" t="s">
        <v>39392</v>
      </c>
      <c r="C8816" t="s">
        <v>20</v>
      </c>
      <c r="D8816" t="s">
        <v>39393</v>
      </c>
      <c r="E8816" t="s">
        <v>39394</v>
      </c>
      <c r="F8816" t="s">
        <v>39395</v>
      </c>
      <c r="G8816" t="s">
        <v>4469</v>
      </c>
      <c r="H8816" t="s">
        <v>39396</v>
      </c>
      <c r="I8816" t="s">
        <v>39397</v>
      </c>
      <c r="J8816" t="s">
        <v>39398</v>
      </c>
      <c r="M8816" t="s">
        <v>63</v>
      </c>
      <c r="N8816" t="s">
        <v>39399</v>
      </c>
      <c r="O8816" t="s">
        <v>39400</v>
      </c>
      <c r="P8816" t="s">
        <v>39401</v>
      </c>
      <c r="Q8816" t="s">
        <v>39402</v>
      </c>
      <c r="R8816">
        <v>28</v>
      </c>
      <c r="S8816">
        <v>32</v>
      </c>
    </row>
    <row r="8817" spans="1:19" x14ac:dyDescent="0.35">
      <c r="A8817">
        <v>7355</v>
      </c>
      <c r="B8817" t="s">
        <v>35683</v>
      </c>
      <c r="C8817" t="s">
        <v>42</v>
      </c>
      <c r="D8817" t="s">
        <v>39368</v>
      </c>
      <c r="E8817" t="e" cm="1">
        <f t="array" ref="E8817">- HEXETIDINE</f>
        <v>#NAME?</v>
      </c>
      <c r="F8817" t="s">
        <v>39369</v>
      </c>
      <c r="G8817" t="s">
        <v>39370</v>
      </c>
      <c r="H8817" t="s">
        <v>39371</v>
      </c>
      <c r="I8817" t="s">
        <v>39372</v>
      </c>
      <c r="J8817" t="s">
        <v>334</v>
      </c>
      <c r="K8817" t="s">
        <v>39373</v>
      </c>
      <c r="L8817" t="s">
        <v>39374</v>
      </c>
      <c r="M8817" t="s">
        <v>554</v>
      </c>
      <c r="N8817" t="s">
        <v>35691</v>
      </c>
      <c r="O8817" t="s">
        <v>39375</v>
      </c>
      <c r="P8817" t="s">
        <v>35693</v>
      </c>
      <c r="Q8817" t="s">
        <v>39376</v>
      </c>
      <c r="R8817">
        <v>28</v>
      </c>
      <c r="S8817">
        <v>32</v>
      </c>
    </row>
    <row r="8818" spans="1:19" x14ac:dyDescent="0.35">
      <c r="A8818">
        <v>3508</v>
      </c>
      <c r="B8818" t="s">
        <v>39403</v>
      </c>
      <c r="C8818" t="s">
        <v>42</v>
      </c>
      <c r="D8818" t="s">
        <v>39404</v>
      </c>
      <c r="E8818" t="e" cm="1">
        <f t="array" ref="E8818">- METOCLOPRAMIDE HYDROCHLORIDE</f>
        <v>#NAME?</v>
      </c>
      <c r="F8818" t="s">
        <v>20267</v>
      </c>
      <c r="G8818" t="s">
        <v>39405</v>
      </c>
      <c r="H8818" t="s">
        <v>39406</v>
      </c>
      <c r="I8818" t="s">
        <v>39407</v>
      </c>
      <c r="J8818" t="s">
        <v>39408</v>
      </c>
      <c r="K8818" t="s">
        <v>39409</v>
      </c>
      <c r="L8818" t="s">
        <v>39410</v>
      </c>
      <c r="M8818" t="s">
        <v>46</v>
      </c>
      <c r="N8818" t="s">
        <v>1876</v>
      </c>
      <c r="O8818" t="s">
        <v>39411</v>
      </c>
      <c r="P8818" t="s">
        <v>578</v>
      </c>
      <c r="Q8818" t="s">
        <v>39412</v>
      </c>
      <c r="R8818">
        <v>28</v>
      </c>
      <c r="S8818">
        <v>32</v>
      </c>
    </row>
    <row r="8819" spans="1:19" x14ac:dyDescent="0.35">
      <c r="A8819">
        <v>3507</v>
      </c>
      <c r="B8819" t="s">
        <v>39403</v>
      </c>
      <c r="C8819" t="s">
        <v>42</v>
      </c>
      <c r="D8819" t="s">
        <v>39404</v>
      </c>
      <c r="E8819" t="e" cm="1">
        <f t="array" ref="E8819">- METOCLOPRAMIDE HYDROCHLORIDE</f>
        <v>#NAME?</v>
      </c>
      <c r="F8819" t="s">
        <v>20267</v>
      </c>
      <c r="G8819" t="s">
        <v>39405</v>
      </c>
      <c r="H8819" t="s">
        <v>39406</v>
      </c>
      <c r="I8819" t="s">
        <v>39407</v>
      </c>
      <c r="J8819" t="s">
        <v>39408</v>
      </c>
      <c r="K8819" t="s">
        <v>39409</v>
      </c>
      <c r="L8819" t="s">
        <v>39410</v>
      </c>
      <c r="M8819" t="s">
        <v>46</v>
      </c>
      <c r="N8819" t="s">
        <v>1876</v>
      </c>
      <c r="O8819" t="s">
        <v>39411</v>
      </c>
      <c r="P8819" t="s">
        <v>578</v>
      </c>
      <c r="Q8819" t="s">
        <v>39412</v>
      </c>
      <c r="R8819">
        <v>28</v>
      </c>
      <c r="S8819">
        <v>32</v>
      </c>
    </row>
    <row r="8820" spans="1:19" x14ac:dyDescent="0.35">
      <c r="A8820">
        <v>7360</v>
      </c>
      <c r="B8820" t="s">
        <v>39413</v>
      </c>
      <c r="C8820" t="s">
        <v>42</v>
      </c>
      <c r="D8820" t="s">
        <v>39414</v>
      </c>
      <c r="E8820" t="e" cm="1">
        <f t="array" ref="E8820">- HEXETIDINE</f>
        <v>#NAME?</v>
      </c>
      <c r="F8820" t="s">
        <v>39415</v>
      </c>
      <c r="G8820" t="s">
        <v>39416</v>
      </c>
      <c r="H8820" t="s">
        <v>39417</v>
      </c>
      <c r="I8820" t="s">
        <v>39418</v>
      </c>
      <c r="J8820" t="s">
        <v>39419</v>
      </c>
      <c r="K8820" t="s">
        <v>2726</v>
      </c>
      <c r="L8820" t="s">
        <v>35690</v>
      </c>
      <c r="M8820" t="s">
        <v>554</v>
      </c>
      <c r="N8820" t="s">
        <v>35691</v>
      </c>
      <c r="O8820" t="s">
        <v>39420</v>
      </c>
      <c r="P8820" t="s">
        <v>39421</v>
      </c>
      <c r="Q8820" t="s">
        <v>39422</v>
      </c>
      <c r="R8820">
        <v>28</v>
      </c>
      <c r="S8820">
        <v>32</v>
      </c>
    </row>
    <row r="8821" spans="1:19" x14ac:dyDescent="0.35">
      <c r="A8821">
        <v>6477</v>
      </c>
      <c r="B8821" t="s">
        <v>39423</v>
      </c>
      <c r="C8821" t="s">
        <v>42</v>
      </c>
      <c r="D8821" t="s">
        <v>39424</v>
      </c>
      <c r="E8821" t="e" cm="1">
        <f t="array" ref="E8821">- SPIRAMYCIN</f>
        <v>#NAME?</v>
      </c>
      <c r="F8821" s="1">
        <v>98700</v>
      </c>
      <c r="G8821" t="s">
        <v>6310</v>
      </c>
      <c r="H8821" t="s">
        <v>39425</v>
      </c>
      <c r="I8821" t="s">
        <v>39426</v>
      </c>
      <c r="J8821" t="s">
        <v>39427</v>
      </c>
      <c r="K8821" t="s">
        <v>39428</v>
      </c>
      <c r="L8821" t="s">
        <v>39429</v>
      </c>
      <c r="M8821" t="s">
        <v>291</v>
      </c>
      <c r="N8821" t="s">
        <v>8733</v>
      </c>
      <c r="O8821" t="s">
        <v>39430</v>
      </c>
      <c r="P8821" t="s">
        <v>39431</v>
      </c>
      <c r="Q8821" t="s">
        <v>39432</v>
      </c>
      <c r="R8821">
        <v>28</v>
      </c>
      <c r="S8821">
        <v>32</v>
      </c>
    </row>
    <row r="8822" spans="1:19" x14ac:dyDescent="0.35">
      <c r="A8822">
        <v>7198</v>
      </c>
      <c r="B8822" t="s">
        <v>38422</v>
      </c>
      <c r="C8822" t="s">
        <v>850</v>
      </c>
      <c r="D8822" t="s">
        <v>39433</v>
      </c>
      <c r="E8822" t="e" cm="1">
        <f t="array" ref="E8822">- Cajuputi Oil</f>
        <v>#NAME?</v>
      </c>
      <c r="F8822" t="s">
        <v>39434</v>
      </c>
      <c r="G8822" t="s">
        <v>39435</v>
      </c>
      <c r="I8822" t="s">
        <v>39436</v>
      </c>
      <c r="J8822" t="s">
        <v>39437</v>
      </c>
      <c r="M8822" t="s">
        <v>2115</v>
      </c>
      <c r="N8822" t="s">
        <v>38428</v>
      </c>
      <c r="O8822" t="s">
        <v>38429</v>
      </c>
      <c r="P8822" t="s">
        <v>39438</v>
      </c>
      <c r="Q8822" t="s">
        <v>39439</v>
      </c>
      <c r="R8822">
        <v>28</v>
      </c>
      <c r="S8822">
        <v>32</v>
      </c>
    </row>
    <row r="8823" spans="1:19" x14ac:dyDescent="0.35">
      <c r="A8823">
        <v>6109</v>
      </c>
      <c r="B8823" t="s">
        <v>39440</v>
      </c>
      <c r="C8823" t="s">
        <v>42</v>
      </c>
      <c r="D8823" t="s">
        <v>39441</v>
      </c>
      <c r="E8823" t="e" cm="1">
        <f t="array" ref="E8823">- TERBINAFINE HYDROCHLORIDE</f>
        <v>#NAME?</v>
      </c>
      <c r="F8823" t="s">
        <v>39442</v>
      </c>
      <c r="G8823" t="s">
        <v>60</v>
      </c>
      <c r="H8823" t="s">
        <v>39443</v>
      </c>
      <c r="I8823" t="s">
        <v>39444</v>
      </c>
      <c r="J8823" t="s">
        <v>26482</v>
      </c>
      <c r="L8823" t="s">
        <v>39445</v>
      </c>
      <c r="M8823" t="s">
        <v>46</v>
      </c>
      <c r="N8823" t="s">
        <v>7083</v>
      </c>
      <c r="O8823" t="s">
        <v>39446</v>
      </c>
      <c r="P8823" t="s">
        <v>39447</v>
      </c>
      <c r="Q8823" t="s">
        <v>39448</v>
      </c>
      <c r="R8823">
        <v>28</v>
      </c>
      <c r="S8823">
        <v>32</v>
      </c>
    </row>
    <row r="8824" spans="1:19" x14ac:dyDescent="0.35">
      <c r="A8824">
        <v>6110</v>
      </c>
      <c r="B8824" t="s">
        <v>39440</v>
      </c>
      <c r="C8824" t="s">
        <v>42</v>
      </c>
      <c r="D8824" t="s">
        <v>39441</v>
      </c>
      <c r="E8824" t="e" cm="1">
        <f t="array" ref="E8824">- TERBINAFINE HYDROCHLORIDE</f>
        <v>#NAME?</v>
      </c>
      <c r="F8824" t="s">
        <v>39442</v>
      </c>
      <c r="G8824" t="s">
        <v>60</v>
      </c>
      <c r="H8824" t="s">
        <v>39443</v>
      </c>
      <c r="I8824" t="s">
        <v>39444</v>
      </c>
      <c r="J8824" t="s">
        <v>26482</v>
      </c>
      <c r="L8824" t="s">
        <v>39445</v>
      </c>
      <c r="M8824" t="s">
        <v>46</v>
      </c>
      <c r="N8824" t="s">
        <v>7083</v>
      </c>
      <c r="O8824" t="s">
        <v>39446</v>
      </c>
      <c r="P8824" t="s">
        <v>39447</v>
      </c>
      <c r="Q8824" t="s">
        <v>39448</v>
      </c>
      <c r="R8824">
        <v>28</v>
      </c>
      <c r="S8824">
        <v>32</v>
      </c>
    </row>
    <row r="8825" spans="1:19" x14ac:dyDescent="0.35">
      <c r="A8825">
        <v>9721</v>
      </c>
      <c r="B8825" t="s">
        <v>39386</v>
      </c>
      <c r="C8825" t="s">
        <v>42</v>
      </c>
      <c r="D8825" t="s">
        <v>39387</v>
      </c>
      <c r="E8825" t="e" cm="1">
        <f t="array" ref="E8825">- PRAVASTATIN SODIUM</f>
        <v>#NAME?</v>
      </c>
      <c r="F8825" t="s">
        <v>39388</v>
      </c>
      <c r="G8825" t="s">
        <v>3282</v>
      </c>
      <c r="H8825" t="s">
        <v>2643</v>
      </c>
      <c r="I8825" t="s">
        <v>39389</v>
      </c>
      <c r="J8825" t="s">
        <v>32456</v>
      </c>
      <c r="K8825" t="s">
        <v>3284</v>
      </c>
      <c r="L8825" t="s">
        <v>3285</v>
      </c>
      <c r="M8825" t="s">
        <v>46</v>
      </c>
      <c r="N8825" t="s">
        <v>2396</v>
      </c>
      <c r="O8825" t="s">
        <v>39390</v>
      </c>
      <c r="P8825" t="s">
        <v>3287</v>
      </c>
      <c r="Q8825" t="s">
        <v>39391</v>
      </c>
      <c r="R8825">
        <v>28</v>
      </c>
      <c r="S8825">
        <v>32</v>
      </c>
    </row>
    <row r="8826" spans="1:19" x14ac:dyDescent="0.35">
      <c r="A8826">
        <v>3281</v>
      </c>
      <c r="B8826" t="s">
        <v>39449</v>
      </c>
      <c r="C8826" t="s">
        <v>42</v>
      </c>
      <c r="D8826" t="s">
        <v>39450</v>
      </c>
      <c r="E8826" t="e" cm="1">
        <f t="array" ref="E8826">- SIMETHICONE. MAGNESIUM HYDROXIDE. DRIED ALUMINIUM HYDROXIDE GEL</f>
        <v>#NAME?</v>
      </c>
      <c r="F8826" t="s">
        <v>39451</v>
      </c>
      <c r="G8826" t="s">
        <v>39452</v>
      </c>
      <c r="H8826" t="s">
        <v>39453</v>
      </c>
      <c r="I8826" t="s">
        <v>39454</v>
      </c>
      <c r="J8826" t="s">
        <v>846</v>
      </c>
      <c r="M8826" t="s">
        <v>340</v>
      </c>
      <c r="N8826" t="s">
        <v>11990</v>
      </c>
      <c r="O8826" t="s">
        <v>39455</v>
      </c>
      <c r="P8826" t="s">
        <v>39456</v>
      </c>
      <c r="Q8826" t="s">
        <v>39457</v>
      </c>
      <c r="R8826">
        <v>28</v>
      </c>
      <c r="S8826">
        <v>32</v>
      </c>
    </row>
    <row r="8827" spans="1:19" x14ac:dyDescent="0.35">
      <c r="A8827">
        <v>6655</v>
      </c>
      <c r="B8827" t="s">
        <v>39458</v>
      </c>
      <c r="C8827" t="s">
        <v>42</v>
      </c>
      <c r="D8827" t="s">
        <v>39459</v>
      </c>
      <c r="E8827" t="e" cm="1">
        <f t="array" ref="E8827">- METHISOPRINOL</f>
        <v>#NAME?</v>
      </c>
      <c r="F8827" t="s">
        <v>39460</v>
      </c>
      <c r="G8827" t="s">
        <v>2453</v>
      </c>
      <c r="H8827" t="s">
        <v>39461</v>
      </c>
      <c r="I8827" t="s">
        <v>39462</v>
      </c>
      <c r="J8827" t="s">
        <v>2446</v>
      </c>
      <c r="L8827" t="s">
        <v>39463</v>
      </c>
      <c r="M8827" t="s">
        <v>46</v>
      </c>
      <c r="N8827" t="s">
        <v>322</v>
      </c>
      <c r="O8827" t="s">
        <v>39464</v>
      </c>
      <c r="P8827" t="s">
        <v>39465</v>
      </c>
      <c r="Q8827" t="s">
        <v>39466</v>
      </c>
      <c r="R8827">
        <v>28</v>
      </c>
      <c r="S8827">
        <v>32</v>
      </c>
    </row>
    <row r="8828" spans="1:19" x14ac:dyDescent="0.35">
      <c r="A8828">
        <v>6520</v>
      </c>
      <c r="B8828" t="s">
        <v>39467</v>
      </c>
      <c r="C8828" t="s">
        <v>42</v>
      </c>
      <c r="D8828" t="s">
        <v>39468</v>
      </c>
      <c r="E8828" t="e" cm="1">
        <f t="array" ref="E8828">- AZITHROMYCIN DIHYDRATE</f>
        <v>#NAME?</v>
      </c>
      <c r="F8828" t="s">
        <v>39469</v>
      </c>
      <c r="G8828" t="s">
        <v>39470</v>
      </c>
      <c r="H8828" t="s">
        <v>39471</v>
      </c>
      <c r="I8828" t="s">
        <v>39472</v>
      </c>
      <c r="J8828" t="s">
        <v>17680</v>
      </c>
      <c r="K8828" t="s">
        <v>2726</v>
      </c>
      <c r="L8828" t="s">
        <v>39473</v>
      </c>
      <c r="M8828" t="s">
        <v>291</v>
      </c>
      <c r="N8828" t="s">
        <v>13005</v>
      </c>
      <c r="O8828" t="s">
        <v>39474</v>
      </c>
      <c r="P8828" t="s">
        <v>39475</v>
      </c>
      <c r="Q8828" t="s">
        <v>39476</v>
      </c>
      <c r="R8828">
        <v>28</v>
      </c>
      <c r="S8828">
        <v>32</v>
      </c>
    </row>
    <row r="8829" spans="1:19" x14ac:dyDescent="0.35">
      <c r="A8829">
        <v>10</v>
      </c>
      <c r="B8829" t="s">
        <v>39278</v>
      </c>
      <c r="C8829" t="s">
        <v>42</v>
      </c>
      <c r="D8829" t="s">
        <v>39279</v>
      </c>
      <c r="E8829" t="e" cm="1">
        <f t="array" ref="E8829">- TADALAFIL</f>
        <v>#NAME?</v>
      </c>
      <c r="F8829" t="s">
        <v>39280</v>
      </c>
      <c r="G8829" t="s">
        <v>546</v>
      </c>
      <c r="H8829" t="s">
        <v>21957</v>
      </c>
      <c r="I8829" t="s">
        <v>39220</v>
      </c>
      <c r="J8829" t="s">
        <v>39281</v>
      </c>
      <c r="K8829" t="s">
        <v>550</v>
      </c>
    </row>
    <row r="8830" spans="1:19" x14ac:dyDescent="0.35">
      <c r="A8830">
        <v>2951</v>
      </c>
      <c r="B8830" t="s">
        <v>39477</v>
      </c>
      <c r="C8830" t="s">
        <v>42</v>
      </c>
      <c r="D8830" t="s">
        <v>39478</v>
      </c>
      <c r="E8830" t="e" cm="1">
        <f t="array" ref="E8830">- IBUPROFEN</f>
        <v>#NAME?</v>
      </c>
      <c r="F8830" t="s">
        <v>4562</v>
      </c>
      <c r="G8830" t="s">
        <v>2241</v>
      </c>
      <c r="H8830" t="s">
        <v>39479</v>
      </c>
      <c r="I8830" t="s">
        <v>38291</v>
      </c>
      <c r="J8830" t="s">
        <v>846</v>
      </c>
      <c r="K8830" t="s">
        <v>37900</v>
      </c>
      <c r="L8830" t="s">
        <v>39480</v>
      </c>
      <c r="M8830" t="s">
        <v>340</v>
      </c>
      <c r="N8830" t="s">
        <v>383</v>
      </c>
      <c r="O8830" t="s">
        <v>37902</v>
      </c>
      <c r="P8830" t="s">
        <v>39481</v>
      </c>
      <c r="Q8830" t="s">
        <v>39482</v>
      </c>
      <c r="R8830">
        <v>28</v>
      </c>
      <c r="S8830">
        <v>32</v>
      </c>
    </row>
    <row r="8831" spans="1:19" x14ac:dyDescent="0.35">
      <c r="A8831">
        <v>4860</v>
      </c>
      <c r="B8831" t="s">
        <v>39483</v>
      </c>
      <c r="C8831" t="s">
        <v>42</v>
      </c>
      <c r="D8831" t="s">
        <v>39484</v>
      </c>
      <c r="E8831" t="e" cm="1">
        <f t="array" ref="E8831">- DEXAMETHASONE SODIUM PHOSPHATE</f>
        <v>#NAME?</v>
      </c>
      <c r="F8831" t="s">
        <v>39485</v>
      </c>
      <c r="G8831" t="s">
        <v>11482</v>
      </c>
      <c r="H8831" t="s">
        <v>39486</v>
      </c>
      <c r="I8831" t="s">
        <v>39487</v>
      </c>
      <c r="J8831" t="s">
        <v>9310</v>
      </c>
      <c r="K8831" t="s">
        <v>39488</v>
      </c>
      <c r="L8831" t="s">
        <v>39489</v>
      </c>
      <c r="M8831" t="s">
        <v>824</v>
      </c>
      <c r="N8831" t="s">
        <v>25402</v>
      </c>
      <c r="O8831" t="s">
        <v>39490</v>
      </c>
      <c r="P8831" t="s">
        <v>39491</v>
      </c>
      <c r="Q8831" t="s">
        <v>39492</v>
      </c>
      <c r="R8831">
        <v>28</v>
      </c>
      <c r="S8831">
        <v>32</v>
      </c>
    </row>
    <row r="8832" spans="1:19" x14ac:dyDescent="0.35">
      <c r="A8832">
        <v>6654</v>
      </c>
      <c r="B8832" t="s">
        <v>39458</v>
      </c>
      <c r="C8832" t="s">
        <v>42</v>
      </c>
      <c r="D8832" t="s">
        <v>39459</v>
      </c>
      <c r="E8832" t="e" cm="1">
        <f t="array" ref="E8832">- METHISOPRINOL</f>
        <v>#NAME?</v>
      </c>
      <c r="F8832" t="s">
        <v>39460</v>
      </c>
      <c r="G8832" t="s">
        <v>2453</v>
      </c>
      <c r="H8832" t="s">
        <v>39461</v>
      </c>
      <c r="I8832" t="s">
        <v>39462</v>
      </c>
      <c r="J8832" t="s">
        <v>2446</v>
      </c>
      <c r="L8832" t="s">
        <v>39463</v>
      </c>
      <c r="M8832" t="s">
        <v>46</v>
      </c>
      <c r="N8832" t="s">
        <v>322</v>
      </c>
      <c r="O8832" t="s">
        <v>39464</v>
      </c>
      <c r="P8832" t="s">
        <v>39465</v>
      </c>
      <c r="Q8832" t="s">
        <v>39466</v>
      </c>
      <c r="R8832">
        <v>28</v>
      </c>
      <c r="S8832">
        <v>32</v>
      </c>
    </row>
    <row r="8833" spans="1:19" x14ac:dyDescent="0.35">
      <c r="A8833">
        <v>9609</v>
      </c>
      <c r="B8833" t="s">
        <v>6301</v>
      </c>
      <c r="C8833" t="s">
        <v>42</v>
      </c>
      <c r="D8833" t="s">
        <v>39493</v>
      </c>
      <c r="E8833" t="s">
        <v>6303</v>
      </c>
      <c r="F8833" t="s">
        <v>38822</v>
      </c>
      <c r="G8833" t="s">
        <v>39494</v>
      </c>
      <c r="H8833" t="s">
        <v>1322</v>
      </c>
      <c r="I8833" t="s">
        <v>39495</v>
      </c>
      <c r="J8833" t="s">
        <v>636</v>
      </c>
      <c r="L8833" t="s">
        <v>39496</v>
      </c>
      <c r="M8833" t="s">
        <v>46</v>
      </c>
      <c r="N8833" t="s">
        <v>6304</v>
      </c>
      <c r="O8833" t="s">
        <v>39497</v>
      </c>
      <c r="P8833" t="s">
        <v>39498</v>
      </c>
      <c r="Q8833" t="s">
        <v>39499</v>
      </c>
      <c r="R8833">
        <v>28</v>
      </c>
      <c r="S8833">
        <v>32</v>
      </c>
    </row>
    <row r="8834" spans="1:19" x14ac:dyDescent="0.35">
      <c r="A8834">
        <v>9610</v>
      </c>
      <c r="B8834" t="s">
        <v>6301</v>
      </c>
      <c r="C8834" t="s">
        <v>42</v>
      </c>
      <c r="D8834" t="s">
        <v>39500</v>
      </c>
      <c r="E8834" t="s">
        <v>6303</v>
      </c>
      <c r="F8834" t="s">
        <v>39501</v>
      </c>
      <c r="G8834" t="s">
        <v>39494</v>
      </c>
      <c r="H8834" t="s">
        <v>1322</v>
      </c>
      <c r="I8834" t="s">
        <v>39495</v>
      </c>
      <c r="J8834" t="s">
        <v>846</v>
      </c>
      <c r="L8834" t="s">
        <v>39496</v>
      </c>
      <c r="M8834" t="s">
        <v>46</v>
      </c>
      <c r="N8834" t="s">
        <v>6304</v>
      </c>
      <c r="O8834" t="s">
        <v>39497</v>
      </c>
      <c r="P8834" t="s">
        <v>39498</v>
      </c>
      <c r="Q8834" t="s">
        <v>39499</v>
      </c>
      <c r="R8834">
        <v>28</v>
      </c>
      <c r="S8834">
        <v>32</v>
      </c>
    </row>
    <row r="8835" spans="1:19" x14ac:dyDescent="0.35">
      <c r="A8835">
        <v>920</v>
      </c>
      <c r="B8835" t="s">
        <v>37537</v>
      </c>
      <c r="C8835" t="s">
        <v>42</v>
      </c>
      <c r="D8835" t="s">
        <v>37538</v>
      </c>
      <c r="E8835" t="e" cm="1">
        <f t="array" ref="E8835">- PARACETAMOL. PHENYLEPHRINE HYDROCHLORIDE. DEXTROMETHORPHAN HYDROBROMIDE</f>
        <v>#NAME?</v>
      </c>
      <c r="F8835" t="s">
        <v>37539</v>
      </c>
      <c r="G8835" t="s">
        <v>37540</v>
      </c>
      <c r="H8835" t="s">
        <v>37541</v>
      </c>
      <c r="I8835" t="s">
        <v>37542</v>
      </c>
      <c r="J8835" t="s">
        <v>37543</v>
      </c>
      <c r="K8835" t="s">
        <v>37544</v>
      </c>
      <c r="L8835" t="s">
        <v>37545</v>
      </c>
      <c r="M8835" t="s">
        <v>291</v>
      </c>
      <c r="N8835" t="s">
        <v>37003</v>
      </c>
      <c r="O8835" t="s">
        <v>37546</v>
      </c>
      <c r="P8835" t="s">
        <v>26391</v>
      </c>
      <c r="Q8835" t="s">
        <v>39502</v>
      </c>
      <c r="R8835">
        <v>28</v>
      </c>
      <c r="S8835">
        <v>32</v>
      </c>
    </row>
    <row r="8836" spans="1:19" x14ac:dyDescent="0.35">
      <c r="A8836">
        <v>921</v>
      </c>
      <c r="B8836" t="s">
        <v>37537</v>
      </c>
      <c r="C8836" t="s">
        <v>42</v>
      </c>
      <c r="D8836" t="s">
        <v>37538</v>
      </c>
      <c r="E8836" t="e" cm="1">
        <f t="array" ref="E8836">- PARACETAMOL. PHENYLEPHRINE HYDROCHLORIDE. DEXTROMETHORPHAN HYDROBROMIDE</f>
        <v>#NAME?</v>
      </c>
      <c r="F8836" t="s">
        <v>37539</v>
      </c>
      <c r="G8836" t="s">
        <v>37540</v>
      </c>
      <c r="H8836" t="s">
        <v>37541</v>
      </c>
      <c r="I8836" t="s">
        <v>37542</v>
      </c>
      <c r="J8836" t="s">
        <v>37543</v>
      </c>
      <c r="K8836" t="s">
        <v>37544</v>
      </c>
      <c r="L8836" t="s">
        <v>37545</v>
      </c>
      <c r="M8836" t="s">
        <v>291</v>
      </c>
      <c r="N8836" t="s">
        <v>37003</v>
      </c>
      <c r="O8836" t="s">
        <v>37546</v>
      </c>
      <c r="P8836" t="s">
        <v>26391</v>
      </c>
      <c r="Q8836" t="s">
        <v>39502</v>
      </c>
      <c r="R8836">
        <v>28</v>
      </c>
      <c r="S8836">
        <v>32</v>
      </c>
    </row>
    <row r="8837" spans="1:19" x14ac:dyDescent="0.35">
      <c r="A8837">
        <v>6493</v>
      </c>
      <c r="B8837" t="s">
        <v>38902</v>
      </c>
      <c r="C8837" t="s">
        <v>42</v>
      </c>
      <c r="D8837" t="s">
        <v>38903</v>
      </c>
      <c r="E8837" t="e" cm="1">
        <f t="array" ref="E8837">- CIPROFLOXACIN HCL MONOHYDRATE</f>
        <v>#NAME?</v>
      </c>
      <c r="F8837" t="s">
        <v>38904</v>
      </c>
      <c r="G8837" t="s">
        <v>1691</v>
      </c>
      <c r="H8837" t="s">
        <v>1055</v>
      </c>
      <c r="I8837" t="s">
        <v>38905</v>
      </c>
      <c r="J8837" t="s">
        <v>26233</v>
      </c>
      <c r="K8837" t="s">
        <v>38906</v>
      </c>
      <c r="L8837" t="s">
        <v>38907</v>
      </c>
      <c r="M8837" t="s">
        <v>291</v>
      </c>
      <c r="N8837" t="s">
        <v>38551</v>
      </c>
      <c r="O8837" t="s">
        <v>38908</v>
      </c>
      <c r="P8837" t="s">
        <v>38909</v>
      </c>
      <c r="Q8837" t="s">
        <v>39503</v>
      </c>
      <c r="R8837">
        <v>28</v>
      </c>
      <c r="S8837">
        <v>32</v>
      </c>
    </row>
    <row r="8838" spans="1:19" x14ac:dyDescent="0.35">
      <c r="A8838">
        <v>6492</v>
      </c>
      <c r="B8838" t="s">
        <v>38902</v>
      </c>
      <c r="C8838" t="s">
        <v>42</v>
      </c>
      <c r="D8838" t="s">
        <v>38903</v>
      </c>
      <c r="E8838" t="e" cm="1">
        <f t="array" ref="E8838">- CIPROFLOXACIN HYDROCHLORIDE MONOHYDRATE</f>
        <v>#NAME?</v>
      </c>
      <c r="F8838" t="s">
        <v>38904</v>
      </c>
      <c r="G8838" t="s">
        <v>1691</v>
      </c>
      <c r="H8838" t="s">
        <v>1055</v>
      </c>
      <c r="I8838" t="s">
        <v>38905</v>
      </c>
      <c r="J8838" t="s">
        <v>26233</v>
      </c>
      <c r="K8838" t="s">
        <v>38906</v>
      </c>
      <c r="L8838" t="s">
        <v>38907</v>
      </c>
      <c r="M8838" t="s">
        <v>291</v>
      </c>
      <c r="N8838" t="s">
        <v>10679</v>
      </c>
      <c r="O8838" t="s">
        <v>38908</v>
      </c>
      <c r="P8838" t="s">
        <v>38909</v>
      </c>
      <c r="Q8838" t="s">
        <v>39504</v>
      </c>
      <c r="R8838">
        <v>28</v>
      </c>
      <c r="S8838">
        <v>32</v>
      </c>
    </row>
    <row r="8839" spans="1:19" x14ac:dyDescent="0.35">
      <c r="A8839">
        <v>1775</v>
      </c>
      <c r="B8839" t="s">
        <v>39505</v>
      </c>
      <c r="C8839" t="s">
        <v>20</v>
      </c>
      <c r="D8839" t="s">
        <v>39506</v>
      </c>
      <c r="E8839" t="s">
        <v>39507</v>
      </c>
      <c r="F8839" t="s">
        <v>39508</v>
      </c>
      <c r="G8839" t="s">
        <v>27012</v>
      </c>
      <c r="H8839" t="s">
        <v>13586</v>
      </c>
      <c r="I8839" t="s">
        <v>38505</v>
      </c>
      <c r="J8839" t="s">
        <v>4201</v>
      </c>
      <c r="M8839" t="s">
        <v>2115</v>
      </c>
      <c r="N8839" t="s">
        <v>37711</v>
      </c>
      <c r="O8839" t="s">
        <v>38507</v>
      </c>
      <c r="P8839" t="s">
        <v>36929</v>
      </c>
      <c r="Q8839" t="s">
        <v>39509</v>
      </c>
      <c r="R8839">
        <v>28</v>
      </c>
      <c r="S8839">
        <v>32</v>
      </c>
    </row>
    <row r="8840" spans="1:19" x14ac:dyDescent="0.35">
      <c r="A8840">
        <v>9617</v>
      </c>
      <c r="B8840" t="s">
        <v>6301</v>
      </c>
      <c r="C8840" t="s">
        <v>42</v>
      </c>
      <c r="D8840" t="s">
        <v>39510</v>
      </c>
      <c r="E8840" t="s">
        <v>6303</v>
      </c>
      <c r="F8840" t="s">
        <v>39511</v>
      </c>
      <c r="G8840" t="s">
        <v>39512</v>
      </c>
      <c r="H8840" t="s">
        <v>1322</v>
      </c>
      <c r="I8840" t="s">
        <v>39513</v>
      </c>
      <c r="J8840" t="s">
        <v>636</v>
      </c>
      <c r="L8840" t="s">
        <v>39514</v>
      </c>
      <c r="M8840" t="s">
        <v>46</v>
      </c>
      <c r="N8840" t="s">
        <v>6304</v>
      </c>
      <c r="O8840" t="s">
        <v>39515</v>
      </c>
      <c r="P8840" t="s">
        <v>39516</v>
      </c>
      <c r="Q8840" t="s">
        <v>39517</v>
      </c>
      <c r="R8840">
        <v>28</v>
      </c>
      <c r="S8840">
        <v>32</v>
      </c>
    </row>
    <row r="8841" spans="1:19" x14ac:dyDescent="0.35">
      <c r="A8841">
        <v>658</v>
      </c>
      <c r="B8841" t="s">
        <v>39518</v>
      </c>
      <c r="C8841" t="s">
        <v>850</v>
      </c>
      <c r="D8841" t="s">
        <v>39519</v>
      </c>
      <c r="E8841" t="e" cm="1">
        <f t="array" ref="E8841">- Cajuput Oil</f>
        <v>#NAME?</v>
      </c>
      <c r="F8841" t="s">
        <v>39520</v>
      </c>
      <c r="G8841" t="s">
        <v>22320</v>
      </c>
      <c r="H8841" t="s">
        <v>1322</v>
      </c>
      <c r="I8841" t="s">
        <v>39521</v>
      </c>
      <c r="J8841" t="s">
        <v>1647</v>
      </c>
      <c r="L8841" t="s">
        <v>39522</v>
      </c>
      <c r="M8841" t="s">
        <v>3338</v>
      </c>
      <c r="N8841" t="s">
        <v>3752</v>
      </c>
      <c r="O8841" t="s">
        <v>39523</v>
      </c>
      <c r="P8841" t="s">
        <v>39524</v>
      </c>
      <c r="Q8841" t="s">
        <v>39525</v>
      </c>
      <c r="R8841">
        <v>28</v>
      </c>
      <c r="S8841">
        <v>32</v>
      </c>
    </row>
    <row r="8842" spans="1:19" x14ac:dyDescent="0.35">
      <c r="A8842">
        <v>659</v>
      </c>
      <c r="B8842" t="s">
        <v>39518</v>
      </c>
      <c r="C8842" t="s">
        <v>850</v>
      </c>
      <c r="D8842" t="s">
        <v>39519</v>
      </c>
      <c r="E8842" t="e" cm="1">
        <f t="array" ref="E8842">- Cajuput Oil</f>
        <v>#NAME?</v>
      </c>
      <c r="F8842" t="s">
        <v>39520</v>
      </c>
      <c r="G8842" t="s">
        <v>22320</v>
      </c>
      <c r="H8842" t="s">
        <v>1322</v>
      </c>
      <c r="I8842" t="s">
        <v>39521</v>
      </c>
      <c r="J8842" t="s">
        <v>1647</v>
      </c>
      <c r="L8842" t="s">
        <v>39522</v>
      </c>
      <c r="M8842" t="s">
        <v>3338</v>
      </c>
      <c r="N8842" t="s">
        <v>3752</v>
      </c>
      <c r="O8842" t="s">
        <v>39523</v>
      </c>
      <c r="P8842" t="s">
        <v>39524</v>
      </c>
      <c r="Q8842" t="s">
        <v>39525</v>
      </c>
      <c r="R8842">
        <v>28</v>
      </c>
      <c r="S8842">
        <v>32</v>
      </c>
    </row>
    <row r="8843" spans="1:19" x14ac:dyDescent="0.35">
      <c r="A8843">
        <v>3600</v>
      </c>
      <c r="B8843" t="s">
        <v>39526</v>
      </c>
      <c r="C8843" t="s">
        <v>42</v>
      </c>
      <c r="D8843" t="s">
        <v>39527</v>
      </c>
      <c r="E8843" t="e" cm="1">
        <f t="array" ref="E8843">- METOCLOPRAMIDE HYDROCHLORIDE</f>
        <v>#NAME?</v>
      </c>
      <c r="F8843" t="s">
        <v>39528</v>
      </c>
      <c r="G8843" t="s">
        <v>26259</v>
      </c>
      <c r="H8843" t="s">
        <v>39529</v>
      </c>
      <c r="I8843" t="s">
        <v>39530</v>
      </c>
      <c r="J8843" t="s">
        <v>39531</v>
      </c>
      <c r="K8843" t="s">
        <v>39532</v>
      </c>
      <c r="L8843" t="s">
        <v>39533</v>
      </c>
      <c r="M8843" t="s">
        <v>271</v>
      </c>
      <c r="N8843" t="s">
        <v>1876</v>
      </c>
      <c r="O8843" t="s">
        <v>39534</v>
      </c>
      <c r="P8843" t="s">
        <v>31424</v>
      </c>
      <c r="Q8843" t="s">
        <v>39535</v>
      </c>
      <c r="R8843">
        <v>28</v>
      </c>
      <c r="S8843">
        <v>32</v>
      </c>
    </row>
    <row r="8844" spans="1:19" x14ac:dyDescent="0.35">
      <c r="A8844">
        <v>5244</v>
      </c>
      <c r="B8844" t="s">
        <v>39536</v>
      </c>
      <c r="C8844" t="s">
        <v>42</v>
      </c>
      <c r="D8844" t="s">
        <v>39537</v>
      </c>
      <c r="E8844" t="e" cm="1">
        <f t="array" ref="E8844">- KETOCONAZOLE</f>
        <v>#NAME?</v>
      </c>
      <c r="F8844" t="s">
        <v>39538</v>
      </c>
      <c r="G8844" t="s">
        <v>15085</v>
      </c>
      <c r="H8844" t="s">
        <v>39234</v>
      </c>
      <c r="I8844" t="s">
        <v>39235</v>
      </c>
      <c r="J8844" t="s">
        <v>2040</v>
      </c>
      <c r="K8844" t="s">
        <v>26789</v>
      </c>
      <c r="L8844" t="s">
        <v>39236</v>
      </c>
      <c r="M8844" t="s">
        <v>1289</v>
      </c>
      <c r="N8844" t="s">
        <v>533</v>
      </c>
      <c r="O8844" t="s">
        <v>39237</v>
      </c>
      <c r="P8844" t="s">
        <v>39539</v>
      </c>
      <c r="Q8844" t="s">
        <v>39540</v>
      </c>
      <c r="R8844">
        <v>28</v>
      </c>
      <c r="S8844">
        <v>32</v>
      </c>
    </row>
    <row r="8845" spans="1:19" x14ac:dyDescent="0.35">
      <c r="A8845">
        <v>3050</v>
      </c>
      <c r="B8845" t="s">
        <v>39541</v>
      </c>
      <c r="C8845" t="s">
        <v>42</v>
      </c>
      <c r="D8845" t="s">
        <v>39542</v>
      </c>
      <c r="E8845" t="e" cm="1">
        <f t="array" ref="E8845">- RANITIDINE HYDROCHLORIDE</f>
        <v>#NAME?</v>
      </c>
      <c r="F8845" t="s">
        <v>39543</v>
      </c>
      <c r="G8845" t="s">
        <v>20347</v>
      </c>
      <c r="H8845" t="s">
        <v>1984</v>
      </c>
      <c r="I8845" t="s">
        <v>39317</v>
      </c>
      <c r="J8845" t="s">
        <v>1093</v>
      </c>
      <c r="K8845" t="s">
        <v>29776</v>
      </c>
      <c r="L8845" t="s">
        <v>39318</v>
      </c>
      <c r="M8845" t="s">
        <v>46</v>
      </c>
      <c r="N8845" t="s">
        <v>1985</v>
      </c>
      <c r="O8845" t="s">
        <v>39319</v>
      </c>
      <c r="P8845" t="s">
        <v>39544</v>
      </c>
      <c r="Q8845" t="s">
        <v>39545</v>
      </c>
      <c r="R8845">
        <v>28</v>
      </c>
      <c r="S8845">
        <v>32</v>
      </c>
    </row>
    <row r="8846" spans="1:19" x14ac:dyDescent="0.35">
      <c r="A8846">
        <v>6610</v>
      </c>
      <c r="B8846" t="s">
        <v>39546</v>
      </c>
      <c r="C8846" t="s">
        <v>42</v>
      </c>
      <c r="D8846" t="s">
        <v>39547</v>
      </c>
      <c r="E8846" t="e" cm="1">
        <f t="array" ref="E8846">- KETOCONAZOLE</f>
        <v>#NAME?</v>
      </c>
      <c r="F8846" t="s">
        <v>39548</v>
      </c>
      <c r="G8846" t="s">
        <v>2241</v>
      </c>
      <c r="H8846" t="s">
        <v>39549</v>
      </c>
      <c r="I8846" t="s">
        <v>39550</v>
      </c>
      <c r="J8846" t="s">
        <v>381</v>
      </c>
      <c r="K8846" t="s">
        <v>3952</v>
      </c>
      <c r="L8846" t="s">
        <v>39551</v>
      </c>
      <c r="M8846" t="s">
        <v>46</v>
      </c>
      <c r="N8846" t="s">
        <v>533</v>
      </c>
      <c r="O8846" t="s">
        <v>39552</v>
      </c>
      <c r="P8846" t="s">
        <v>39553</v>
      </c>
      <c r="Q8846" t="s">
        <v>39554</v>
      </c>
      <c r="R8846">
        <v>28</v>
      </c>
      <c r="S8846">
        <v>32</v>
      </c>
    </row>
    <row r="8847" spans="1:19" x14ac:dyDescent="0.35">
      <c r="A8847">
        <v>2090</v>
      </c>
      <c r="B8847" t="s">
        <v>39555</v>
      </c>
      <c r="C8847" t="s">
        <v>42</v>
      </c>
      <c r="D8847" t="s">
        <v>39556</v>
      </c>
      <c r="E8847" t="e" cm="1">
        <f t="array" ref="E8847">- IBUPROFEN</f>
        <v>#NAME?</v>
      </c>
      <c r="F8847" t="s">
        <v>39557</v>
      </c>
      <c r="G8847" t="s">
        <v>39558</v>
      </c>
      <c r="H8847" t="s">
        <v>39559</v>
      </c>
      <c r="I8847" t="s">
        <v>39560</v>
      </c>
      <c r="J8847" t="s">
        <v>1136</v>
      </c>
      <c r="K8847" t="s">
        <v>39561</v>
      </c>
      <c r="L8847" t="s">
        <v>39562</v>
      </c>
      <c r="M8847" t="s">
        <v>46</v>
      </c>
      <c r="N8847" t="s">
        <v>383</v>
      </c>
      <c r="O8847" t="s">
        <v>39563</v>
      </c>
      <c r="P8847" t="s">
        <v>39564</v>
      </c>
      <c r="Q8847" t="s">
        <v>39565</v>
      </c>
      <c r="R8847">
        <v>28</v>
      </c>
      <c r="S8847">
        <v>32</v>
      </c>
    </row>
    <row r="8848" spans="1:19" x14ac:dyDescent="0.35">
      <c r="A8848">
        <v>3935</v>
      </c>
      <c r="B8848" t="s">
        <v>32847</v>
      </c>
      <c r="C8848" t="s">
        <v>42</v>
      </c>
      <c r="D8848" t="s">
        <v>32848</v>
      </c>
      <c r="E8848" t="e" cm="1">
        <f t="array" ref="E8848">- LITHOSPERMI Radix EXTRACT. CETRIMIDE. BENZOCAINE. CINCHOCAINE HYDROCHLORIDE. DIPHENHYDRAMINE HYDROCHLORIDE</f>
        <v>#NAME?</v>
      </c>
      <c r="F8848" t="s">
        <v>32849</v>
      </c>
      <c r="G8848" t="s">
        <v>32850</v>
      </c>
      <c r="H8848" t="s">
        <v>32851</v>
      </c>
      <c r="I8848" t="s">
        <v>32852</v>
      </c>
      <c r="J8848" t="s">
        <v>7187</v>
      </c>
      <c r="K8848" t="s">
        <v>3473</v>
      </c>
      <c r="L8848" t="s">
        <v>32853</v>
      </c>
      <c r="M8848" t="s">
        <v>1029</v>
      </c>
      <c r="N8848" t="s">
        <v>39566</v>
      </c>
      <c r="O8848" t="s">
        <v>32854</v>
      </c>
      <c r="P8848" t="s">
        <v>32855</v>
      </c>
      <c r="Q8848" t="s">
        <v>39567</v>
      </c>
      <c r="R8848">
        <v>28</v>
      </c>
      <c r="S8848">
        <v>32</v>
      </c>
    </row>
    <row r="8849" spans="1:19" x14ac:dyDescent="0.35">
      <c r="A8849">
        <v>6622</v>
      </c>
      <c r="B8849" t="s">
        <v>39568</v>
      </c>
      <c r="C8849" t="s">
        <v>42</v>
      </c>
      <c r="D8849" t="s">
        <v>39569</v>
      </c>
      <c r="E8849" t="e" cm="1">
        <f t="array" ref="E8849">- ACICLOVIR</f>
        <v>#NAME?</v>
      </c>
      <c r="F8849" t="s">
        <v>39570</v>
      </c>
      <c r="G8849" t="s">
        <v>539</v>
      </c>
      <c r="H8849" t="s">
        <v>39571</v>
      </c>
      <c r="I8849" t="s">
        <v>39572</v>
      </c>
      <c r="J8849" t="s">
        <v>532</v>
      </c>
      <c r="K8849" t="s">
        <v>2726</v>
      </c>
      <c r="L8849" t="s">
        <v>39573</v>
      </c>
      <c r="M8849" t="s">
        <v>46</v>
      </c>
      <c r="N8849" t="s">
        <v>1685</v>
      </c>
      <c r="O8849" t="s">
        <v>39574</v>
      </c>
      <c r="P8849" t="s">
        <v>39575</v>
      </c>
      <c r="Q8849" t="s">
        <v>39576</v>
      </c>
      <c r="R8849">
        <v>28</v>
      </c>
      <c r="S8849">
        <v>32</v>
      </c>
    </row>
    <row r="8850" spans="1:19" x14ac:dyDescent="0.35">
      <c r="A8850">
        <v>9237</v>
      </c>
      <c r="B8850" t="s">
        <v>39577</v>
      </c>
      <c r="C8850" t="s">
        <v>42</v>
      </c>
      <c r="D8850" t="s">
        <v>39578</v>
      </c>
      <c r="E8850" t="e" cm="1">
        <f t="array" ref="E8850">- AMLODIPINE BESILATE</f>
        <v>#NAME?</v>
      </c>
      <c r="F8850" t="s">
        <v>39579</v>
      </c>
      <c r="G8850" t="s">
        <v>2178</v>
      </c>
      <c r="H8850" t="s">
        <v>2643</v>
      </c>
      <c r="I8850" t="s">
        <v>39580</v>
      </c>
      <c r="J8850" t="s">
        <v>39581</v>
      </c>
      <c r="K8850" t="s">
        <v>39582</v>
      </c>
    </row>
    <row r="8851" spans="1:19" x14ac:dyDescent="0.35">
      <c r="A8851">
        <v>5195</v>
      </c>
      <c r="B8851" t="s">
        <v>39583</v>
      </c>
      <c r="C8851" t="s">
        <v>42</v>
      </c>
      <c r="D8851" t="s">
        <v>39584</v>
      </c>
      <c r="E8851" t="e" cm="1">
        <f t="array" ref="E8851">- KETOCONAZOLE</f>
        <v>#NAME?</v>
      </c>
      <c r="F8851" t="s">
        <v>39585</v>
      </c>
      <c r="G8851" t="s">
        <v>15085</v>
      </c>
      <c r="H8851" t="s">
        <v>39234</v>
      </c>
      <c r="I8851" t="s">
        <v>39235</v>
      </c>
      <c r="J8851" t="s">
        <v>1367</v>
      </c>
      <c r="K8851" t="s">
        <v>26789</v>
      </c>
      <c r="L8851" t="s">
        <v>39236</v>
      </c>
      <c r="M8851" t="s">
        <v>1289</v>
      </c>
      <c r="N8851" t="s">
        <v>533</v>
      </c>
      <c r="O8851" t="s">
        <v>39237</v>
      </c>
      <c r="P8851" t="s">
        <v>39586</v>
      </c>
      <c r="Q8851" t="s">
        <v>39587</v>
      </c>
      <c r="R8851">
        <v>28</v>
      </c>
      <c r="S8851">
        <v>32</v>
      </c>
    </row>
    <row r="8852" spans="1:19" x14ac:dyDescent="0.35">
      <c r="A8852">
        <v>5196</v>
      </c>
      <c r="B8852" t="s">
        <v>39583</v>
      </c>
      <c r="C8852" t="s">
        <v>42</v>
      </c>
      <c r="D8852" t="s">
        <v>39584</v>
      </c>
      <c r="E8852" t="e" cm="1">
        <f t="array" ref="E8852">- KETOCONAZOLE</f>
        <v>#NAME?</v>
      </c>
      <c r="F8852" t="s">
        <v>39585</v>
      </c>
      <c r="G8852" t="s">
        <v>15085</v>
      </c>
      <c r="H8852" t="s">
        <v>39234</v>
      </c>
      <c r="I8852" t="s">
        <v>39235</v>
      </c>
      <c r="J8852" t="s">
        <v>1367</v>
      </c>
      <c r="K8852" t="s">
        <v>26789</v>
      </c>
      <c r="L8852" t="s">
        <v>39236</v>
      </c>
      <c r="M8852" t="s">
        <v>1289</v>
      </c>
      <c r="N8852" t="s">
        <v>533</v>
      </c>
      <c r="O8852" t="s">
        <v>39237</v>
      </c>
      <c r="P8852" t="s">
        <v>39586</v>
      </c>
      <c r="Q8852" t="s">
        <v>39587</v>
      </c>
      <c r="R8852">
        <v>28</v>
      </c>
      <c r="S8852">
        <v>32</v>
      </c>
    </row>
    <row r="8853" spans="1:19" x14ac:dyDescent="0.35">
      <c r="A8853">
        <v>2089</v>
      </c>
      <c r="B8853" t="s">
        <v>39555</v>
      </c>
      <c r="C8853" t="s">
        <v>42</v>
      </c>
      <c r="D8853" t="s">
        <v>39556</v>
      </c>
      <c r="E8853" t="e" cm="1">
        <f t="array" ref="E8853">- IBUPROFEN</f>
        <v>#NAME?</v>
      </c>
      <c r="F8853" t="s">
        <v>39557</v>
      </c>
      <c r="G8853" t="s">
        <v>39558</v>
      </c>
      <c r="H8853" t="s">
        <v>39559</v>
      </c>
      <c r="I8853" t="s">
        <v>39560</v>
      </c>
      <c r="J8853" t="s">
        <v>1136</v>
      </c>
      <c r="K8853" t="s">
        <v>39561</v>
      </c>
      <c r="L8853" t="s">
        <v>39562</v>
      </c>
      <c r="M8853" t="s">
        <v>46</v>
      </c>
      <c r="N8853" t="s">
        <v>383</v>
      </c>
      <c r="O8853" t="s">
        <v>39563</v>
      </c>
      <c r="P8853" t="s">
        <v>39564</v>
      </c>
      <c r="Q8853" t="s">
        <v>39565</v>
      </c>
      <c r="R8853">
        <v>28</v>
      </c>
      <c r="S8853">
        <v>32</v>
      </c>
    </row>
    <row r="8854" spans="1:19" x14ac:dyDescent="0.35">
      <c r="A8854">
        <v>7564</v>
      </c>
      <c r="B8854" t="s">
        <v>39588</v>
      </c>
      <c r="C8854" t="s">
        <v>42</v>
      </c>
      <c r="D8854" t="s">
        <v>39589</v>
      </c>
      <c r="E8854" t="e" cm="1">
        <f t="array" ref="E8854">- FOLIC ACID</f>
        <v>#NAME?</v>
      </c>
      <c r="F8854" t="s">
        <v>39590</v>
      </c>
      <c r="G8854" t="s">
        <v>39591</v>
      </c>
      <c r="H8854" t="s">
        <v>39592</v>
      </c>
      <c r="I8854" t="s">
        <v>39593</v>
      </c>
      <c r="J8854" t="s">
        <v>39594</v>
      </c>
      <c r="K8854" t="s">
        <v>39595</v>
      </c>
      <c r="L8854" t="s">
        <v>39596</v>
      </c>
      <c r="M8854" t="s">
        <v>46</v>
      </c>
      <c r="N8854" t="s">
        <v>9036</v>
      </c>
      <c r="O8854" t="s">
        <v>39597</v>
      </c>
      <c r="P8854" t="s">
        <v>39598</v>
      </c>
      <c r="Q8854" t="s">
        <v>39599</v>
      </c>
      <c r="R8854">
        <v>28</v>
      </c>
      <c r="S8854">
        <v>32</v>
      </c>
    </row>
    <row r="8855" spans="1:19" x14ac:dyDescent="0.35">
      <c r="A8855">
        <v>6629</v>
      </c>
      <c r="B8855" t="s">
        <v>39600</v>
      </c>
      <c r="C8855" t="s">
        <v>42</v>
      </c>
      <c r="D8855" t="s">
        <v>39601</v>
      </c>
      <c r="E8855" t="e" cm="1">
        <f t="array" ref="E8855">- ACICLOVIR</f>
        <v>#NAME?</v>
      </c>
      <c r="F8855" t="s">
        <v>39602</v>
      </c>
      <c r="G8855" t="s">
        <v>2241</v>
      </c>
      <c r="H8855" t="s">
        <v>39571</v>
      </c>
      <c r="I8855" t="s">
        <v>39572</v>
      </c>
      <c r="J8855" t="s">
        <v>3761</v>
      </c>
      <c r="K8855" t="s">
        <v>2726</v>
      </c>
      <c r="L8855" t="s">
        <v>39573</v>
      </c>
      <c r="M8855" t="s">
        <v>291</v>
      </c>
      <c r="N8855" t="s">
        <v>1685</v>
      </c>
      <c r="O8855" t="s">
        <v>39574</v>
      </c>
      <c r="P8855" t="s">
        <v>39603</v>
      </c>
      <c r="Q8855" t="s">
        <v>39604</v>
      </c>
      <c r="R8855">
        <v>28</v>
      </c>
      <c r="S8855">
        <v>32</v>
      </c>
    </row>
    <row r="8856" spans="1:19" x14ac:dyDescent="0.35">
      <c r="A8856">
        <v>6683</v>
      </c>
      <c r="B8856" t="s">
        <v>39605</v>
      </c>
      <c r="C8856" t="s">
        <v>42</v>
      </c>
      <c r="D8856" t="s">
        <v>39606</v>
      </c>
      <c r="E8856" t="e" cm="1">
        <f t="array" ref="E8856">- METHISOPRINOL</f>
        <v>#NAME?</v>
      </c>
      <c r="F8856" t="s">
        <v>39607</v>
      </c>
      <c r="G8856" t="s">
        <v>60</v>
      </c>
      <c r="H8856" t="s">
        <v>39608</v>
      </c>
      <c r="I8856" t="s">
        <v>39609</v>
      </c>
      <c r="J8856" t="s">
        <v>2446</v>
      </c>
      <c r="K8856" t="s">
        <v>39610</v>
      </c>
      <c r="L8856" t="s">
        <v>39611</v>
      </c>
      <c r="M8856" t="s">
        <v>46</v>
      </c>
      <c r="N8856" t="s">
        <v>322</v>
      </c>
      <c r="O8856" t="s">
        <v>39612</v>
      </c>
      <c r="P8856" t="s">
        <v>335</v>
      </c>
      <c r="Q8856" t="s">
        <v>39613</v>
      </c>
      <c r="R8856">
        <v>28</v>
      </c>
      <c r="S8856">
        <v>32</v>
      </c>
    </row>
    <row r="8857" spans="1:19" x14ac:dyDescent="0.35">
      <c r="A8857">
        <v>6224</v>
      </c>
      <c r="B8857" t="s">
        <v>39614</v>
      </c>
      <c r="C8857" t="s">
        <v>42</v>
      </c>
      <c r="D8857" t="s">
        <v>39615</v>
      </c>
      <c r="E8857" t="e" cm="1">
        <f t="array" ref="E8857">- AMOXICILLIN TRIHYDRATE</f>
        <v>#NAME?</v>
      </c>
      <c r="F8857" t="s">
        <v>39616</v>
      </c>
      <c r="G8857" t="s">
        <v>2241</v>
      </c>
      <c r="H8857" t="s">
        <v>39617</v>
      </c>
      <c r="I8857" t="s">
        <v>39618</v>
      </c>
      <c r="J8857" t="s">
        <v>39619</v>
      </c>
      <c r="K8857" t="s">
        <v>39620</v>
      </c>
      <c r="L8857" t="s">
        <v>39621</v>
      </c>
      <c r="M8857" t="s">
        <v>291</v>
      </c>
      <c r="N8857" t="s">
        <v>1523</v>
      </c>
      <c r="O8857" t="s">
        <v>39622</v>
      </c>
      <c r="P8857" t="s">
        <v>39623</v>
      </c>
      <c r="Q8857" t="s">
        <v>39624</v>
      </c>
      <c r="R8857">
        <v>28</v>
      </c>
      <c r="S8857">
        <v>32</v>
      </c>
    </row>
    <row r="8858" spans="1:19" x14ac:dyDescent="0.35">
      <c r="A8858">
        <v>3057</v>
      </c>
      <c r="B8858" t="s">
        <v>39625</v>
      </c>
      <c r="C8858" t="s">
        <v>42</v>
      </c>
      <c r="D8858" t="s">
        <v>39626</v>
      </c>
      <c r="E8858" t="e" cm="1">
        <f t="array" ref="E8858">- DRIED ALUMINIUM HYDROXIDE GEL. MAGNESIUM HYDROXIDE. SIMETHICONE</f>
        <v>#NAME?</v>
      </c>
      <c r="F8858" t="s">
        <v>39627</v>
      </c>
      <c r="G8858" t="s">
        <v>32156</v>
      </c>
      <c r="H8858" t="s">
        <v>39628</v>
      </c>
      <c r="I8858" t="s">
        <v>39629</v>
      </c>
      <c r="J8858" t="s">
        <v>381</v>
      </c>
      <c r="K8858" t="s">
        <v>39630</v>
      </c>
      <c r="L8858" t="s">
        <v>39631</v>
      </c>
      <c r="M8858" t="s">
        <v>46</v>
      </c>
      <c r="N8858" t="s">
        <v>14839</v>
      </c>
      <c r="O8858" t="s">
        <v>39632</v>
      </c>
      <c r="P8858" t="s">
        <v>38022</v>
      </c>
      <c r="Q8858" t="s">
        <v>39633</v>
      </c>
      <c r="R8858">
        <v>28</v>
      </c>
      <c r="S8858">
        <v>32</v>
      </c>
    </row>
    <row r="8859" spans="1:19" x14ac:dyDescent="0.35">
      <c r="A8859">
        <v>3083</v>
      </c>
      <c r="B8859" t="s">
        <v>37339</v>
      </c>
      <c r="C8859" t="s">
        <v>42</v>
      </c>
      <c r="D8859" t="s">
        <v>37340</v>
      </c>
      <c r="E8859" t="e" cm="1">
        <f t="array" ref="E8859">- DRIED ALUMINIUM HYDROXIDE GEL. SIMETHICONE. MAGNESIUM HYDROXIDE</f>
        <v>#NAME?</v>
      </c>
      <c r="F8859" t="s">
        <v>37341</v>
      </c>
      <c r="G8859" t="s">
        <v>37342</v>
      </c>
      <c r="H8859" t="s">
        <v>37343</v>
      </c>
      <c r="I8859" t="s">
        <v>37344</v>
      </c>
      <c r="J8859" t="s">
        <v>2446</v>
      </c>
      <c r="K8859" t="s">
        <v>37345</v>
      </c>
      <c r="L8859" t="s">
        <v>37346</v>
      </c>
      <c r="M8859" t="s">
        <v>46</v>
      </c>
      <c r="N8859" t="s">
        <v>10616</v>
      </c>
      <c r="O8859" t="s">
        <v>37347</v>
      </c>
      <c r="P8859" t="s">
        <v>37348</v>
      </c>
      <c r="Q8859" t="s">
        <v>39634</v>
      </c>
      <c r="R8859">
        <v>28</v>
      </c>
      <c r="S8859">
        <v>32</v>
      </c>
    </row>
    <row r="8860" spans="1:19" x14ac:dyDescent="0.35">
      <c r="A8860">
        <v>6609</v>
      </c>
      <c r="B8860" t="s">
        <v>39546</v>
      </c>
      <c r="C8860" t="s">
        <v>42</v>
      </c>
      <c r="D8860" t="s">
        <v>39547</v>
      </c>
      <c r="E8860" t="e" cm="1">
        <f t="array" ref="E8860">- KETOCONAZOLE</f>
        <v>#NAME?</v>
      </c>
      <c r="F8860" t="s">
        <v>39548</v>
      </c>
      <c r="G8860" t="s">
        <v>2241</v>
      </c>
      <c r="H8860" t="s">
        <v>39549</v>
      </c>
      <c r="I8860" t="s">
        <v>39550</v>
      </c>
      <c r="J8860" t="s">
        <v>381</v>
      </c>
      <c r="K8860" t="s">
        <v>3952</v>
      </c>
      <c r="L8860" t="s">
        <v>39551</v>
      </c>
      <c r="M8860" t="s">
        <v>46</v>
      </c>
      <c r="N8860" t="s">
        <v>533</v>
      </c>
      <c r="O8860" t="s">
        <v>39552</v>
      </c>
      <c r="P8860" t="s">
        <v>39553</v>
      </c>
      <c r="Q8860" t="s">
        <v>39554</v>
      </c>
      <c r="R8860">
        <v>28</v>
      </c>
      <c r="S8860">
        <v>32</v>
      </c>
    </row>
    <row r="8861" spans="1:19" x14ac:dyDescent="0.35">
      <c r="A8861">
        <v>600</v>
      </c>
      <c r="B8861" t="s">
        <v>38002</v>
      </c>
      <c r="C8861" t="s">
        <v>42</v>
      </c>
      <c r="D8861" t="s">
        <v>38003</v>
      </c>
      <c r="E8861" t="e" cm="1">
        <f t="array" ref="E8861">- FENOTEROL HYDROBROMIDE. IPRATROPIUM BROMIDE</f>
        <v>#NAME?</v>
      </c>
      <c r="F8861" t="s">
        <v>38004</v>
      </c>
      <c r="G8861" t="s">
        <v>36545</v>
      </c>
      <c r="H8861" t="s">
        <v>38005</v>
      </c>
      <c r="I8861" t="s">
        <v>38006</v>
      </c>
      <c r="J8861" t="s">
        <v>38007</v>
      </c>
      <c r="K8861" t="s">
        <v>38008</v>
      </c>
      <c r="L8861" t="s">
        <v>38009</v>
      </c>
      <c r="M8861" t="s">
        <v>3453</v>
      </c>
      <c r="N8861" t="s">
        <v>39635</v>
      </c>
      <c r="O8861" t="s">
        <v>38010</v>
      </c>
      <c r="P8861" t="s">
        <v>38011</v>
      </c>
      <c r="Q8861" t="s">
        <v>39636</v>
      </c>
      <c r="R8861">
        <v>28</v>
      </c>
      <c r="S8861">
        <v>32</v>
      </c>
    </row>
    <row r="8862" spans="1:19" x14ac:dyDescent="0.35">
      <c r="A8862">
        <v>2309</v>
      </c>
      <c r="B8862" t="s">
        <v>39637</v>
      </c>
      <c r="C8862" t="s">
        <v>42</v>
      </c>
      <c r="D8862" t="s">
        <v>39638</v>
      </c>
      <c r="E8862" t="e" cm="1">
        <f t="array" ref="E8862">- METAMIZOLE SODIUM</f>
        <v>#NAME?</v>
      </c>
      <c r="F8862" t="s">
        <v>39639</v>
      </c>
      <c r="H8862" t="s">
        <v>39640</v>
      </c>
    </row>
    <row r="8863" spans="1:19" x14ac:dyDescent="0.35">
      <c r="A8863">
        <v>2718</v>
      </c>
      <c r="B8863" t="s">
        <v>39641</v>
      </c>
      <c r="C8863" t="s">
        <v>42</v>
      </c>
      <c r="D8863" t="s">
        <v>39642</v>
      </c>
      <c r="E8863" t="e" cm="1">
        <f t="array" ref="E8863">- FLUNARIZINE HYDROCHLORIDE</f>
        <v>#NAME?</v>
      </c>
      <c r="F8863" s="1">
        <v>41900</v>
      </c>
      <c r="G8863" t="s">
        <v>2266</v>
      </c>
      <c r="H8863" t="s">
        <v>39643</v>
      </c>
      <c r="I8863" t="s">
        <v>39644</v>
      </c>
      <c r="J8863" t="s">
        <v>381</v>
      </c>
      <c r="K8863" t="s">
        <v>39645</v>
      </c>
      <c r="L8863" t="s">
        <v>39646</v>
      </c>
      <c r="M8863" t="s">
        <v>46</v>
      </c>
      <c r="N8863" t="s">
        <v>4516</v>
      </c>
      <c r="O8863" t="s">
        <v>39647</v>
      </c>
      <c r="P8863" t="s">
        <v>39648</v>
      </c>
      <c r="Q8863" t="s">
        <v>39649</v>
      </c>
      <c r="R8863">
        <v>28</v>
      </c>
      <c r="S8863">
        <v>32</v>
      </c>
    </row>
    <row r="8864" spans="1:19" x14ac:dyDescent="0.35">
      <c r="A8864">
        <v>9785</v>
      </c>
      <c r="B8864" t="s">
        <v>39650</v>
      </c>
      <c r="C8864" t="s">
        <v>42</v>
      </c>
      <c r="D8864" t="s">
        <v>39651</v>
      </c>
      <c r="E8864" t="e" cm="1">
        <f t="array" ref="E8864">- PRAVASTATIN SODIUM</f>
        <v>#NAME?</v>
      </c>
      <c r="F8864" t="s">
        <v>39652</v>
      </c>
      <c r="G8864" t="s">
        <v>6310</v>
      </c>
      <c r="H8864" t="s">
        <v>39653</v>
      </c>
      <c r="I8864" t="s">
        <v>39654</v>
      </c>
      <c r="J8864" t="s">
        <v>12535</v>
      </c>
      <c r="K8864" t="s">
        <v>6567</v>
      </c>
      <c r="L8864" t="s">
        <v>39655</v>
      </c>
      <c r="M8864" t="s">
        <v>291</v>
      </c>
      <c r="N8864" t="s">
        <v>2396</v>
      </c>
      <c r="O8864" t="s">
        <v>39656</v>
      </c>
      <c r="P8864" t="s">
        <v>2397</v>
      </c>
      <c r="Q8864" t="s">
        <v>39657</v>
      </c>
      <c r="R8864">
        <v>28</v>
      </c>
      <c r="S8864">
        <v>32</v>
      </c>
    </row>
    <row r="8865" spans="1:19" x14ac:dyDescent="0.35">
      <c r="A8865">
        <v>3926</v>
      </c>
      <c r="B8865" t="s">
        <v>33851</v>
      </c>
      <c r="C8865" t="s">
        <v>42</v>
      </c>
      <c r="D8865" t="s">
        <v>39337</v>
      </c>
      <c r="E8865" t="s">
        <v>3502</v>
      </c>
      <c r="F8865" t="s">
        <v>39338</v>
      </c>
      <c r="G8865" t="s">
        <v>37581</v>
      </c>
      <c r="H8865" t="s">
        <v>39339</v>
      </c>
      <c r="I8865" t="s">
        <v>39340</v>
      </c>
      <c r="J8865" t="s">
        <v>39341</v>
      </c>
      <c r="K8865" t="s">
        <v>3473</v>
      </c>
      <c r="L8865" t="s">
        <v>39342</v>
      </c>
      <c r="M8865" t="s">
        <v>12262</v>
      </c>
      <c r="N8865" t="s">
        <v>3505</v>
      </c>
      <c r="O8865" t="s">
        <v>39343</v>
      </c>
      <c r="P8865" t="s">
        <v>39344</v>
      </c>
      <c r="Q8865" t="s">
        <v>39345</v>
      </c>
      <c r="R8865">
        <v>28</v>
      </c>
      <c r="S8865">
        <v>32</v>
      </c>
    </row>
    <row r="8866" spans="1:19" x14ac:dyDescent="0.35">
      <c r="A8866">
        <v>2735</v>
      </c>
      <c r="B8866" t="s">
        <v>39658</v>
      </c>
      <c r="C8866" t="s">
        <v>42</v>
      </c>
      <c r="D8866" t="s">
        <v>39659</v>
      </c>
      <c r="E8866" t="e" cm="1">
        <f t="array" ref="E8866">- IBUPROFEN</f>
        <v>#NAME?</v>
      </c>
      <c r="F8866" t="s">
        <v>39660</v>
      </c>
      <c r="G8866" t="s">
        <v>39661</v>
      </c>
      <c r="H8866" t="s">
        <v>39662</v>
      </c>
      <c r="I8866" t="s">
        <v>39560</v>
      </c>
      <c r="J8866" t="s">
        <v>39663</v>
      </c>
      <c r="K8866" t="s">
        <v>39561</v>
      </c>
      <c r="L8866" t="s">
        <v>39664</v>
      </c>
      <c r="M8866" t="s">
        <v>17667</v>
      </c>
      <c r="N8866" t="s">
        <v>383</v>
      </c>
      <c r="O8866" t="s">
        <v>39563</v>
      </c>
      <c r="P8866" t="s">
        <v>39564</v>
      </c>
      <c r="Q8866" t="s">
        <v>39665</v>
      </c>
      <c r="R8866">
        <v>28</v>
      </c>
      <c r="S8866">
        <v>32</v>
      </c>
    </row>
    <row r="8867" spans="1:19" x14ac:dyDescent="0.35">
      <c r="A8867">
        <v>1223</v>
      </c>
      <c r="B8867" t="s">
        <v>39666</v>
      </c>
      <c r="C8867" t="s">
        <v>42</v>
      </c>
      <c r="D8867" t="s">
        <v>39667</v>
      </c>
      <c r="E8867" t="e" cm="1">
        <f t="array" ref="E8867">- AMBROXOL HYDROCHLORIDE</f>
        <v>#NAME?</v>
      </c>
      <c r="F8867" t="s">
        <v>39668</v>
      </c>
      <c r="G8867" t="s">
        <v>3774</v>
      </c>
      <c r="H8867" t="s">
        <v>39669</v>
      </c>
      <c r="I8867" t="s">
        <v>39294</v>
      </c>
      <c r="J8867" t="s">
        <v>334</v>
      </c>
      <c r="M8867" t="s">
        <v>271</v>
      </c>
      <c r="N8867" t="s">
        <v>1800</v>
      </c>
      <c r="O8867" t="s">
        <v>39295</v>
      </c>
      <c r="P8867" t="s">
        <v>39670</v>
      </c>
      <c r="Q8867" t="s">
        <v>39671</v>
      </c>
      <c r="R8867">
        <v>28</v>
      </c>
      <c r="S8867">
        <v>32</v>
      </c>
    </row>
    <row r="8868" spans="1:19" x14ac:dyDescent="0.35">
      <c r="A8868">
        <v>2734</v>
      </c>
      <c r="B8868" t="s">
        <v>39658</v>
      </c>
      <c r="C8868" t="s">
        <v>42</v>
      </c>
      <c r="D8868" t="s">
        <v>39659</v>
      </c>
      <c r="E8868" t="e" cm="1">
        <f t="array" ref="E8868">- IBUPROFEN</f>
        <v>#NAME?</v>
      </c>
      <c r="F8868" t="s">
        <v>39660</v>
      </c>
      <c r="G8868" t="s">
        <v>39661</v>
      </c>
      <c r="H8868" t="s">
        <v>39662</v>
      </c>
      <c r="I8868" t="s">
        <v>39560</v>
      </c>
      <c r="J8868" t="s">
        <v>39663</v>
      </c>
      <c r="K8868" t="s">
        <v>39561</v>
      </c>
      <c r="L8868" t="s">
        <v>39664</v>
      </c>
      <c r="M8868" t="s">
        <v>17667</v>
      </c>
      <c r="N8868" t="s">
        <v>383</v>
      </c>
      <c r="O8868" t="s">
        <v>39563</v>
      </c>
      <c r="P8868" t="s">
        <v>39564</v>
      </c>
      <c r="Q8868" t="s">
        <v>39665</v>
      </c>
      <c r="R8868">
        <v>28</v>
      </c>
      <c r="S8868">
        <v>32</v>
      </c>
    </row>
    <row r="8869" spans="1:19" x14ac:dyDescent="0.35">
      <c r="A8869">
        <v>2425</v>
      </c>
      <c r="B8869" t="s">
        <v>39672</v>
      </c>
      <c r="C8869" t="s">
        <v>42</v>
      </c>
      <c r="D8869" t="s">
        <v>39673</v>
      </c>
      <c r="E8869" t="e" cm="1">
        <f t="array" ref="E8869">- FLUNARIZINE DIHYDROCHLORIDE</f>
        <v>#NAME?</v>
      </c>
      <c r="F8869" t="s">
        <v>39674</v>
      </c>
      <c r="G8869" t="s">
        <v>60</v>
      </c>
      <c r="H8869" t="s">
        <v>39675</v>
      </c>
      <c r="I8869" t="s">
        <v>39676</v>
      </c>
      <c r="J8869" t="s">
        <v>16804</v>
      </c>
      <c r="K8869" t="s">
        <v>39677</v>
      </c>
      <c r="L8869" t="s">
        <v>39678</v>
      </c>
      <c r="M8869" t="s">
        <v>46</v>
      </c>
      <c r="N8869" t="s">
        <v>39679</v>
      </c>
      <c r="O8869" t="s">
        <v>39680</v>
      </c>
      <c r="P8869" t="s">
        <v>39681</v>
      </c>
      <c r="Q8869" t="s">
        <v>39682</v>
      </c>
      <c r="R8869">
        <v>28</v>
      </c>
      <c r="S8869">
        <v>32</v>
      </c>
    </row>
    <row r="8870" spans="1:19" x14ac:dyDescent="0.35">
      <c r="A8870">
        <v>2424</v>
      </c>
      <c r="B8870" t="s">
        <v>39672</v>
      </c>
      <c r="C8870" t="s">
        <v>42</v>
      </c>
      <c r="D8870" t="s">
        <v>39673</v>
      </c>
      <c r="E8870" t="e" cm="1">
        <f t="array" ref="E8870">- FLUNARIZINE HYDROCHLORIDE</f>
        <v>#NAME?</v>
      </c>
      <c r="F8870" t="s">
        <v>39674</v>
      </c>
      <c r="G8870" t="s">
        <v>60</v>
      </c>
      <c r="H8870" t="s">
        <v>39675</v>
      </c>
      <c r="I8870" t="s">
        <v>39676</v>
      </c>
      <c r="J8870" t="s">
        <v>16804</v>
      </c>
      <c r="K8870" t="s">
        <v>39677</v>
      </c>
      <c r="L8870" t="s">
        <v>39678</v>
      </c>
      <c r="M8870" t="s">
        <v>46</v>
      </c>
      <c r="N8870" t="s">
        <v>4516</v>
      </c>
      <c r="O8870" t="s">
        <v>39680</v>
      </c>
      <c r="P8870" t="s">
        <v>39681</v>
      </c>
      <c r="Q8870" t="s">
        <v>39683</v>
      </c>
      <c r="R8870">
        <v>28</v>
      </c>
      <c r="S8870">
        <v>32</v>
      </c>
    </row>
    <row r="8871" spans="1:19" x14ac:dyDescent="0.35">
      <c r="A8871">
        <v>9784</v>
      </c>
      <c r="B8871" t="s">
        <v>39684</v>
      </c>
      <c r="C8871" t="s">
        <v>42</v>
      </c>
      <c r="D8871" t="s">
        <v>39685</v>
      </c>
      <c r="E8871" t="e" cm="1">
        <f t="array" ref="E8871">- PRAVASTATIN SODIUM</f>
        <v>#NAME?</v>
      </c>
      <c r="F8871" t="s">
        <v>39686</v>
      </c>
      <c r="G8871" t="s">
        <v>21657</v>
      </c>
      <c r="H8871" t="s">
        <v>39687</v>
      </c>
      <c r="I8871" t="s">
        <v>39688</v>
      </c>
      <c r="J8871" t="s">
        <v>9486</v>
      </c>
      <c r="K8871" t="s">
        <v>39689</v>
      </c>
      <c r="L8871" t="s">
        <v>39690</v>
      </c>
      <c r="M8871" t="s">
        <v>46</v>
      </c>
      <c r="N8871" t="s">
        <v>2396</v>
      </c>
      <c r="O8871" t="s">
        <v>39691</v>
      </c>
      <c r="P8871" t="s">
        <v>39692</v>
      </c>
      <c r="Q8871" t="s">
        <v>39693</v>
      </c>
      <c r="R8871">
        <v>28</v>
      </c>
      <c r="S8871">
        <v>32</v>
      </c>
    </row>
    <row r="8872" spans="1:19" x14ac:dyDescent="0.35">
      <c r="A8872">
        <v>3914</v>
      </c>
      <c r="B8872" t="s">
        <v>33851</v>
      </c>
      <c r="C8872" t="s">
        <v>42</v>
      </c>
      <c r="D8872" t="s">
        <v>33852</v>
      </c>
      <c r="E8872" t="s">
        <v>39694</v>
      </c>
      <c r="F8872" t="s">
        <v>33853</v>
      </c>
      <c r="G8872" t="s">
        <v>33854</v>
      </c>
      <c r="H8872" t="s">
        <v>33855</v>
      </c>
      <c r="I8872" t="s">
        <v>33856</v>
      </c>
      <c r="J8872" t="s">
        <v>33857</v>
      </c>
      <c r="K8872" t="s">
        <v>33858</v>
      </c>
      <c r="L8872" t="s">
        <v>33859</v>
      </c>
      <c r="M8872" t="s">
        <v>12262</v>
      </c>
      <c r="N8872" t="s">
        <v>39695</v>
      </c>
      <c r="O8872" t="s">
        <v>33860</v>
      </c>
      <c r="P8872" t="s">
        <v>33861</v>
      </c>
      <c r="Q8872" t="s">
        <v>39696</v>
      </c>
      <c r="R8872">
        <v>28</v>
      </c>
      <c r="S8872">
        <v>32</v>
      </c>
    </row>
    <row r="8873" spans="1:19" x14ac:dyDescent="0.35">
      <c r="A8873">
        <v>3912</v>
      </c>
      <c r="B8873" t="s">
        <v>33851</v>
      </c>
      <c r="C8873" t="s">
        <v>42</v>
      </c>
      <c r="D8873" t="s">
        <v>33852</v>
      </c>
      <c r="E8873" t="s">
        <v>39694</v>
      </c>
      <c r="F8873" t="s">
        <v>33853</v>
      </c>
      <c r="G8873" t="s">
        <v>33854</v>
      </c>
      <c r="H8873" t="s">
        <v>33855</v>
      </c>
      <c r="I8873" t="s">
        <v>33856</v>
      </c>
      <c r="J8873" t="s">
        <v>33857</v>
      </c>
      <c r="K8873" t="s">
        <v>33858</v>
      </c>
      <c r="L8873" t="s">
        <v>33859</v>
      </c>
      <c r="M8873" t="s">
        <v>12262</v>
      </c>
      <c r="N8873" t="s">
        <v>39695</v>
      </c>
      <c r="O8873" t="s">
        <v>33860</v>
      </c>
      <c r="P8873" t="s">
        <v>33861</v>
      </c>
      <c r="Q8873" t="s">
        <v>39696</v>
      </c>
      <c r="R8873">
        <v>28</v>
      </c>
      <c r="S8873">
        <v>32</v>
      </c>
    </row>
    <row r="8874" spans="1:19" x14ac:dyDescent="0.35">
      <c r="A8874">
        <v>8585</v>
      </c>
      <c r="B8874" t="s">
        <v>39697</v>
      </c>
      <c r="C8874" t="s">
        <v>42</v>
      </c>
      <c r="D8874" t="s">
        <v>39698</v>
      </c>
      <c r="E8874" t="e" cm="1">
        <f t="array" ref="E8874">- GLIMEPIRIDE</f>
        <v>#NAME?</v>
      </c>
      <c r="F8874" t="s">
        <v>39699</v>
      </c>
      <c r="G8874" t="s">
        <v>8973</v>
      </c>
      <c r="H8874" t="s">
        <v>38731</v>
      </c>
      <c r="I8874" t="s">
        <v>38732</v>
      </c>
      <c r="J8874" t="s">
        <v>39700</v>
      </c>
      <c r="K8874" t="s">
        <v>8974</v>
      </c>
      <c r="L8874" t="s">
        <v>38733</v>
      </c>
      <c r="M8874" t="s">
        <v>291</v>
      </c>
      <c r="N8874" t="s">
        <v>34927</v>
      </c>
      <c r="O8874" t="s">
        <v>38734</v>
      </c>
      <c r="P8874" t="s">
        <v>39701</v>
      </c>
      <c r="Q8874" t="s">
        <v>39702</v>
      </c>
      <c r="R8874">
        <v>28</v>
      </c>
      <c r="S8874">
        <v>32</v>
      </c>
    </row>
    <row r="8875" spans="1:19" x14ac:dyDescent="0.35">
      <c r="A8875">
        <v>3911</v>
      </c>
      <c r="B8875" t="s">
        <v>33851</v>
      </c>
      <c r="C8875" t="s">
        <v>42</v>
      </c>
      <c r="D8875" t="s">
        <v>33852</v>
      </c>
      <c r="E8875" t="s">
        <v>39703</v>
      </c>
      <c r="F8875" t="s">
        <v>33853</v>
      </c>
      <c r="G8875" t="s">
        <v>33854</v>
      </c>
      <c r="H8875" t="s">
        <v>33855</v>
      </c>
      <c r="I8875" t="s">
        <v>33856</v>
      </c>
      <c r="J8875" t="s">
        <v>33857</v>
      </c>
      <c r="K8875" t="s">
        <v>33858</v>
      </c>
      <c r="L8875" t="s">
        <v>33859</v>
      </c>
      <c r="M8875" t="s">
        <v>12262</v>
      </c>
      <c r="N8875" t="s">
        <v>39704</v>
      </c>
      <c r="O8875" t="s">
        <v>33860</v>
      </c>
      <c r="P8875" t="s">
        <v>33861</v>
      </c>
      <c r="Q8875" t="s">
        <v>39705</v>
      </c>
      <c r="R8875">
        <v>28</v>
      </c>
      <c r="S8875">
        <v>32</v>
      </c>
    </row>
    <row r="8876" spans="1:19" x14ac:dyDescent="0.35">
      <c r="A8876">
        <v>2719</v>
      </c>
      <c r="B8876" t="s">
        <v>39641</v>
      </c>
      <c r="C8876" t="s">
        <v>42</v>
      </c>
      <c r="D8876" t="s">
        <v>39642</v>
      </c>
      <c r="E8876" t="e" cm="1">
        <f t="array" ref="E8876">- FLUNARIZINE HYDROCHLORIDE</f>
        <v>#NAME?</v>
      </c>
      <c r="F8876" s="1">
        <v>41900</v>
      </c>
      <c r="G8876" t="s">
        <v>2266</v>
      </c>
      <c r="H8876" t="s">
        <v>39643</v>
      </c>
      <c r="I8876" t="s">
        <v>39644</v>
      </c>
      <c r="J8876" t="s">
        <v>381</v>
      </c>
      <c r="K8876" t="s">
        <v>39645</v>
      </c>
      <c r="L8876" t="s">
        <v>39646</v>
      </c>
      <c r="M8876" t="s">
        <v>46</v>
      </c>
      <c r="N8876" t="s">
        <v>4516</v>
      </c>
      <c r="O8876" t="s">
        <v>39647</v>
      </c>
      <c r="P8876" t="s">
        <v>39648</v>
      </c>
      <c r="Q8876" t="s">
        <v>39649</v>
      </c>
      <c r="R8876">
        <v>28</v>
      </c>
      <c r="S8876">
        <v>32</v>
      </c>
    </row>
    <row r="8877" spans="1:19" x14ac:dyDescent="0.35">
      <c r="A8877">
        <v>3909</v>
      </c>
      <c r="B8877" t="s">
        <v>32857</v>
      </c>
      <c r="C8877" t="s">
        <v>42</v>
      </c>
      <c r="D8877" t="s">
        <v>32858</v>
      </c>
      <c r="E8877" t="e" cm="1">
        <f t="array" ref="E8877">- BENZOCAINE. PREDNISOLONE. LIDOCAINE HYDROCHLORIDE. CETRIMONIUM BROMIDE. LITHOSPERMI Radix Extract</f>
        <v>#NAME?</v>
      </c>
      <c r="F8877" t="s">
        <v>32859</v>
      </c>
      <c r="G8877" t="s">
        <v>16413</v>
      </c>
      <c r="H8877" t="s">
        <v>32860</v>
      </c>
      <c r="I8877" t="s">
        <v>32861</v>
      </c>
      <c r="J8877" t="s">
        <v>4783</v>
      </c>
      <c r="K8877" t="s">
        <v>3473</v>
      </c>
      <c r="L8877" t="s">
        <v>32862</v>
      </c>
      <c r="M8877" t="s">
        <v>720</v>
      </c>
      <c r="N8877" t="s">
        <v>39706</v>
      </c>
      <c r="O8877" t="s">
        <v>32863</v>
      </c>
      <c r="P8877" t="s">
        <v>32864</v>
      </c>
      <c r="Q8877" t="s">
        <v>39707</v>
      </c>
      <c r="R8877">
        <v>28</v>
      </c>
      <c r="S8877">
        <v>32</v>
      </c>
    </row>
    <row r="8878" spans="1:19" x14ac:dyDescent="0.35">
      <c r="A8878">
        <v>6617</v>
      </c>
      <c r="B8878" t="s">
        <v>39708</v>
      </c>
      <c r="C8878" t="s">
        <v>42</v>
      </c>
      <c r="D8878" t="s">
        <v>39709</v>
      </c>
      <c r="E8878" t="e" cm="1">
        <f t="array" ref="E8878">- ACICLOVIR</f>
        <v>#NAME?</v>
      </c>
      <c r="F8878" t="s">
        <v>39710</v>
      </c>
      <c r="G8878" t="s">
        <v>39711</v>
      </c>
      <c r="H8878" t="s">
        <v>39571</v>
      </c>
      <c r="I8878" t="s">
        <v>39572</v>
      </c>
      <c r="J8878" t="s">
        <v>28245</v>
      </c>
      <c r="K8878" t="s">
        <v>2726</v>
      </c>
      <c r="L8878" t="s">
        <v>39573</v>
      </c>
      <c r="M8878" t="s">
        <v>46</v>
      </c>
      <c r="N8878" t="s">
        <v>1685</v>
      </c>
      <c r="O8878" t="s">
        <v>39574</v>
      </c>
      <c r="P8878" t="s">
        <v>39575</v>
      </c>
      <c r="Q8878" t="s">
        <v>39576</v>
      </c>
      <c r="R8878">
        <v>28</v>
      </c>
      <c r="S8878">
        <v>32</v>
      </c>
    </row>
    <row r="8879" spans="1:19" x14ac:dyDescent="0.35">
      <c r="A8879">
        <v>3913</v>
      </c>
      <c r="B8879" t="s">
        <v>33851</v>
      </c>
      <c r="C8879" t="s">
        <v>42</v>
      </c>
      <c r="D8879" t="s">
        <v>33852</v>
      </c>
      <c r="E8879" t="s">
        <v>39703</v>
      </c>
      <c r="F8879" t="s">
        <v>33853</v>
      </c>
      <c r="G8879" t="s">
        <v>33854</v>
      </c>
      <c r="H8879" t="s">
        <v>33855</v>
      </c>
      <c r="I8879" t="s">
        <v>33856</v>
      </c>
      <c r="J8879" t="s">
        <v>33857</v>
      </c>
      <c r="K8879" t="s">
        <v>33858</v>
      </c>
      <c r="L8879" t="s">
        <v>33859</v>
      </c>
      <c r="M8879" t="s">
        <v>12262</v>
      </c>
      <c r="N8879" t="s">
        <v>39704</v>
      </c>
      <c r="O8879" t="s">
        <v>33860</v>
      </c>
      <c r="P8879" t="s">
        <v>33861</v>
      </c>
      <c r="Q8879" t="s">
        <v>39705</v>
      </c>
      <c r="R8879">
        <v>28</v>
      </c>
      <c r="S8879">
        <v>32</v>
      </c>
    </row>
    <row r="8880" spans="1:19" x14ac:dyDescent="0.35">
      <c r="A8880">
        <v>5240</v>
      </c>
      <c r="B8880" t="s">
        <v>39712</v>
      </c>
      <c r="C8880" t="s">
        <v>42</v>
      </c>
      <c r="D8880" t="s">
        <v>39713</v>
      </c>
      <c r="E8880" t="e" cm="1">
        <f t="array" ref="E8880">- KETOCONAZOLE</f>
        <v>#NAME?</v>
      </c>
      <c r="F8880" t="s">
        <v>39714</v>
      </c>
      <c r="G8880" t="s">
        <v>15085</v>
      </c>
      <c r="H8880" t="s">
        <v>39234</v>
      </c>
      <c r="I8880" t="s">
        <v>39235</v>
      </c>
      <c r="J8880" t="s">
        <v>2040</v>
      </c>
      <c r="K8880" t="s">
        <v>26789</v>
      </c>
      <c r="L8880" t="s">
        <v>39236</v>
      </c>
      <c r="M8880" t="s">
        <v>1289</v>
      </c>
      <c r="N8880" t="s">
        <v>533</v>
      </c>
      <c r="O8880" t="s">
        <v>39237</v>
      </c>
      <c r="P8880" t="s">
        <v>39715</v>
      </c>
      <c r="Q8880" t="s">
        <v>39716</v>
      </c>
      <c r="R8880">
        <v>28</v>
      </c>
      <c r="S8880">
        <v>32</v>
      </c>
    </row>
    <row r="8881" spans="1:19" x14ac:dyDescent="0.35">
      <c r="A8881">
        <v>6392</v>
      </c>
      <c r="B8881" t="s">
        <v>39717</v>
      </c>
      <c r="C8881" t="s">
        <v>42</v>
      </c>
      <c r="D8881" t="s">
        <v>39718</v>
      </c>
      <c r="E8881" t="e" cm="1">
        <f t="array" ref="E8881">- CEFUROXIME</f>
        <v>#NAME?</v>
      </c>
      <c r="F8881" t="s">
        <v>39719</v>
      </c>
      <c r="G8881" t="s">
        <v>4649</v>
      </c>
      <c r="H8881" t="s">
        <v>39720</v>
      </c>
      <c r="I8881" t="s">
        <v>39721</v>
      </c>
      <c r="J8881" t="s">
        <v>15345</v>
      </c>
      <c r="L8881" t="s">
        <v>270</v>
      </c>
      <c r="M8881" t="s">
        <v>46</v>
      </c>
      <c r="N8881" t="s">
        <v>39722</v>
      </c>
      <c r="O8881" t="s">
        <v>39723</v>
      </c>
      <c r="P8881" t="s">
        <v>39724</v>
      </c>
      <c r="Q8881" t="s">
        <v>39725</v>
      </c>
      <c r="R8881">
        <v>28</v>
      </c>
      <c r="S8881">
        <v>32</v>
      </c>
    </row>
    <row r="8882" spans="1:19" x14ac:dyDescent="0.35">
      <c r="A8882">
        <v>6634</v>
      </c>
      <c r="B8882" t="s">
        <v>39726</v>
      </c>
      <c r="C8882" t="s">
        <v>42</v>
      </c>
      <c r="D8882" t="s">
        <v>39727</v>
      </c>
      <c r="E8882" t="e" cm="1">
        <f t="array" ref="E8882">- METHISOPRINOL</f>
        <v>#NAME?</v>
      </c>
      <c r="F8882" t="s">
        <v>39728</v>
      </c>
      <c r="G8882" t="s">
        <v>2453</v>
      </c>
      <c r="H8882" t="s">
        <v>39729</v>
      </c>
      <c r="I8882" t="s">
        <v>39462</v>
      </c>
      <c r="J8882" t="s">
        <v>14940</v>
      </c>
      <c r="K8882" t="s">
        <v>39730</v>
      </c>
      <c r="L8882" t="s">
        <v>39463</v>
      </c>
      <c r="M8882" t="s">
        <v>46</v>
      </c>
      <c r="N8882" t="s">
        <v>322</v>
      </c>
      <c r="O8882" t="s">
        <v>39464</v>
      </c>
      <c r="P8882" t="s">
        <v>17523</v>
      </c>
      <c r="Q8882" t="s">
        <v>39731</v>
      </c>
      <c r="R8882">
        <v>28</v>
      </c>
      <c r="S8882">
        <v>32</v>
      </c>
    </row>
    <row r="8883" spans="1:19" x14ac:dyDescent="0.35">
      <c r="A8883">
        <v>7986</v>
      </c>
      <c r="B8883" t="s">
        <v>25416</v>
      </c>
      <c r="C8883" t="s">
        <v>20</v>
      </c>
      <c r="D8883" t="s">
        <v>39732</v>
      </c>
      <c r="E8883" t="s">
        <v>25418</v>
      </c>
      <c r="F8883" t="s">
        <v>39733</v>
      </c>
      <c r="H8883" t="s">
        <v>39734</v>
      </c>
      <c r="I8883" t="s">
        <v>39735</v>
      </c>
      <c r="J8883" t="s">
        <v>39736</v>
      </c>
      <c r="M8883" t="s">
        <v>2374</v>
      </c>
      <c r="N8883" t="s">
        <v>39737</v>
      </c>
      <c r="O8883" t="s">
        <v>39738</v>
      </c>
      <c r="P8883" t="s">
        <v>39739</v>
      </c>
      <c r="Q8883" t="s">
        <v>39740</v>
      </c>
      <c r="R8883">
        <v>28</v>
      </c>
      <c r="S8883">
        <v>32</v>
      </c>
    </row>
    <row r="8884" spans="1:19" x14ac:dyDescent="0.35">
      <c r="A8884">
        <v>3059</v>
      </c>
      <c r="B8884" t="s">
        <v>39741</v>
      </c>
      <c r="C8884" t="s">
        <v>42</v>
      </c>
      <c r="D8884" t="s">
        <v>39742</v>
      </c>
      <c r="E8884" t="e" cm="1">
        <f t="array" ref="E8884">- HYDROTALCITE</f>
        <v>#NAME?</v>
      </c>
      <c r="F8884" t="s">
        <v>39743</v>
      </c>
      <c r="G8884" t="s">
        <v>39744</v>
      </c>
      <c r="H8884" t="s">
        <v>39745</v>
      </c>
      <c r="I8884" t="s">
        <v>39746</v>
      </c>
      <c r="J8884" t="s">
        <v>39747</v>
      </c>
      <c r="K8884" t="s">
        <v>8963</v>
      </c>
      <c r="L8884" t="s">
        <v>39748</v>
      </c>
      <c r="M8884" t="s">
        <v>46</v>
      </c>
      <c r="N8884" t="s">
        <v>39749</v>
      </c>
      <c r="O8884" t="s">
        <v>39750</v>
      </c>
      <c r="P8884" t="s">
        <v>39751</v>
      </c>
      <c r="Q8884" t="s">
        <v>39752</v>
      </c>
      <c r="R8884">
        <v>28</v>
      </c>
      <c r="S8884">
        <v>32</v>
      </c>
    </row>
    <row r="8885" spans="1:19" x14ac:dyDescent="0.35">
      <c r="A8885">
        <v>4191</v>
      </c>
      <c r="B8885" t="s">
        <v>39753</v>
      </c>
      <c r="C8885" t="s">
        <v>42</v>
      </c>
      <c r="D8885" t="s">
        <v>39754</v>
      </c>
      <c r="E8885" t="e" cm="1">
        <f t="array" ref="E8885">- DESLORATADINE</f>
        <v>#NAME?</v>
      </c>
      <c r="F8885" t="s">
        <v>39755</v>
      </c>
      <c r="G8885" t="s">
        <v>60</v>
      </c>
      <c r="H8885" t="s">
        <v>39756</v>
      </c>
      <c r="I8885" t="s">
        <v>39757</v>
      </c>
      <c r="J8885" t="s">
        <v>45</v>
      </c>
      <c r="K8885" t="s">
        <v>3952</v>
      </c>
      <c r="L8885" t="s">
        <v>39758</v>
      </c>
      <c r="M8885" t="s">
        <v>46</v>
      </c>
      <c r="N8885" t="s">
        <v>1107</v>
      </c>
      <c r="O8885" t="s">
        <v>39759</v>
      </c>
      <c r="P8885" t="s">
        <v>1107</v>
      </c>
      <c r="Q8885" t="s">
        <v>39760</v>
      </c>
      <c r="R8885">
        <v>28</v>
      </c>
      <c r="S8885">
        <v>32</v>
      </c>
    </row>
    <row r="8886" spans="1:19" x14ac:dyDescent="0.35">
      <c r="A8886">
        <v>4192</v>
      </c>
      <c r="B8886" t="s">
        <v>39753</v>
      </c>
      <c r="C8886" t="s">
        <v>42</v>
      </c>
      <c r="D8886" t="s">
        <v>39754</v>
      </c>
      <c r="E8886" t="e" cm="1">
        <f t="array" ref="E8886">- DESLORATADINE</f>
        <v>#NAME?</v>
      </c>
      <c r="F8886" t="s">
        <v>39755</v>
      </c>
      <c r="G8886" t="s">
        <v>60</v>
      </c>
      <c r="H8886" t="s">
        <v>39756</v>
      </c>
      <c r="I8886" t="s">
        <v>39757</v>
      </c>
      <c r="J8886" t="s">
        <v>45</v>
      </c>
      <c r="K8886" t="s">
        <v>3952</v>
      </c>
      <c r="L8886" t="s">
        <v>39758</v>
      </c>
      <c r="M8886" t="s">
        <v>46</v>
      </c>
      <c r="N8886" t="s">
        <v>1107</v>
      </c>
      <c r="O8886" t="s">
        <v>39759</v>
      </c>
      <c r="P8886" t="s">
        <v>1107</v>
      </c>
      <c r="Q8886" t="s">
        <v>39760</v>
      </c>
      <c r="R8886">
        <v>28</v>
      </c>
      <c r="S8886">
        <v>32</v>
      </c>
    </row>
    <row r="8887" spans="1:19" x14ac:dyDescent="0.35">
      <c r="A8887">
        <v>7033</v>
      </c>
      <c r="B8887" t="s">
        <v>1803</v>
      </c>
      <c r="C8887" t="s">
        <v>42</v>
      </c>
      <c r="D8887" t="s">
        <v>39761</v>
      </c>
      <c r="E8887" t="e" cm="1">
        <f t="array" ref="E8887">- TIZANIDINE HYDROCHLORIDE</f>
        <v>#NAME?</v>
      </c>
      <c r="F8887" t="s">
        <v>39762</v>
      </c>
      <c r="G8887" t="s">
        <v>8125</v>
      </c>
      <c r="H8887" t="s">
        <v>1322</v>
      </c>
      <c r="I8887" t="s">
        <v>39763</v>
      </c>
      <c r="J8887" t="s">
        <v>39764</v>
      </c>
      <c r="M8887" t="s">
        <v>46</v>
      </c>
      <c r="N8887" t="s">
        <v>1806</v>
      </c>
      <c r="O8887" t="s">
        <v>39765</v>
      </c>
      <c r="P8887" t="s">
        <v>39766</v>
      </c>
      <c r="Q8887" t="s">
        <v>39767</v>
      </c>
      <c r="R8887">
        <v>28</v>
      </c>
      <c r="S8887">
        <v>32</v>
      </c>
    </row>
    <row r="8888" spans="1:19" x14ac:dyDescent="0.35">
      <c r="A8888">
        <v>711</v>
      </c>
      <c r="B8888" t="s">
        <v>39130</v>
      </c>
      <c r="C8888" t="s">
        <v>20</v>
      </c>
      <c r="D8888" t="s">
        <v>39159</v>
      </c>
      <c r="E8888" t="s">
        <v>39267</v>
      </c>
      <c r="F8888" t="s">
        <v>39160</v>
      </c>
      <c r="G8888" t="s">
        <v>39134</v>
      </c>
      <c r="H8888" t="s">
        <v>1322</v>
      </c>
      <c r="I8888" t="s">
        <v>39135</v>
      </c>
      <c r="J8888" t="s">
        <v>334</v>
      </c>
      <c r="K8888" t="s">
        <v>2726</v>
      </c>
      <c r="L8888" t="s">
        <v>39161</v>
      </c>
      <c r="M8888" t="s">
        <v>2115</v>
      </c>
      <c r="N8888" t="s">
        <v>39268</v>
      </c>
      <c r="O8888" t="s">
        <v>39138</v>
      </c>
      <c r="P8888" t="s">
        <v>39139</v>
      </c>
      <c r="Q8888" t="s">
        <v>39269</v>
      </c>
      <c r="R8888">
        <v>28</v>
      </c>
      <c r="S8888">
        <v>32</v>
      </c>
    </row>
    <row r="8889" spans="1:19" x14ac:dyDescent="0.35">
      <c r="A8889">
        <v>3215</v>
      </c>
      <c r="B8889" t="s">
        <v>39768</v>
      </c>
      <c r="C8889" t="s">
        <v>42</v>
      </c>
      <c r="D8889" t="s">
        <v>39769</v>
      </c>
      <c r="E8889" t="e" cm="1">
        <f t="array" ref="E8889">- PANTOPRAZOLE SODIUM</f>
        <v>#NAME?</v>
      </c>
      <c r="F8889" s="1">
        <v>260500</v>
      </c>
      <c r="G8889" t="s">
        <v>39770</v>
      </c>
      <c r="H8889" t="s">
        <v>39771</v>
      </c>
      <c r="I8889" t="s">
        <v>39772</v>
      </c>
      <c r="J8889" t="s">
        <v>1756</v>
      </c>
      <c r="K8889" t="s">
        <v>3952</v>
      </c>
      <c r="L8889" t="s">
        <v>39773</v>
      </c>
      <c r="M8889" t="s">
        <v>46</v>
      </c>
      <c r="N8889" t="s">
        <v>1757</v>
      </c>
      <c r="O8889" t="s">
        <v>39774</v>
      </c>
      <c r="P8889" t="s">
        <v>1758</v>
      </c>
      <c r="Q8889" t="s">
        <v>39775</v>
      </c>
      <c r="R8889">
        <v>28</v>
      </c>
      <c r="S8889">
        <v>32</v>
      </c>
    </row>
    <row r="8890" spans="1:19" x14ac:dyDescent="0.35">
      <c r="A8890">
        <v>713</v>
      </c>
      <c r="B8890" t="s">
        <v>39130</v>
      </c>
      <c r="C8890" t="s">
        <v>20</v>
      </c>
      <c r="D8890" t="s">
        <v>39206</v>
      </c>
      <c r="E8890" t="s">
        <v>39267</v>
      </c>
      <c r="F8890" t="s">
        <v>39207</v>
      </c>
      <c r="G8890" t="s">
        <v>39134</v>
      </c>
      <c r="H8890" t="s">
        <v>1322</v>
      </c>
      <c r="I8890" t="s">
        <v>39135</v>
      </c>
      <c r="J8890" t="s">
        <v>35328</v>
      </c>
      <c r="L8890" t="s">
        <v>39136</v>
      </c>
      <c r="M8890" t="s">
        <v>2115</v>
      </c>
      <c r="N8890" t="s">
        <v>39268</v>
      </c>
      <c r="O8890" t="s">
        <v>39138</v>
      </c>
      <c r="P8890" t="s">
        <v>39139</v>
      </c>
      <c r="Q8890" t="s">
        <v>39269</v>
      </c>
      <c r="R8890">
        <v>28</v>
      </c>
      <c r="S8890">
        <v>32</v>
      </c>
    </row>
    <row r="8891" spans="1:19" x14ac:dyDescent="0.35">
      <c r="A8891">
        <v>2451</v>
      </c>
      <c r="B8891" t="s">
        <v>39776</v>
      </c>
      <c r="C8891" t="s">
        <v>42</v>
      </c>
      <c r="D8891" t="s">
        <v>39777</v>
      </c>
      <c r="E8891" t="e" cm="1">
        <f t="array" ref="E8891">- IBUPROFEN</f>
        <v>#NAME?</v>
      </c>
      <c r="F8891" t="s">
        <v>39778</v>
      </c>
      <c r="G8891" t="s">
        <v>835</v>
      </c>
      <c r="H8891" t="s">
        <v>39779</v>
      </c>
      <c r="I8891" t="s">
        <v>39251</v>
      </c>
      <c r="J8891" t="s">
        <v>334</v>
      </c>
      <c r="M8891" t="s">
        <v>340</v>
      </c>
      <c r="N8891" t="s">
        <v>383</v>
      </c>
      <c r="O8891" t="s">
        <v>39254</v>
      </c>
      <c r="P8891" t="s">
        <v>38975</v>
      </c>
      <c r="Q8891" t="s">
        <v>39780</v>
      </c>
      <c r="R8891">
        <v>28</v>
      </c>
      <c r="S8891">
        <v>32</v>
      </c>
    </row>
    <row r="8892" spans="1:19" x14ac:dyDescent="0.35">
      <c r="A8892">
        <v>5243</v>
      </c>
      <c r="B8892" t="s">
        <v>39536</v>
      </c>
      <c r="C8892" t="s">
        <v>42</v>
      </c>
      <c r="D8892" t="s">
        <v>39537</v>
      </c>
      <c r="E8892" t="e" cm="1">
        <f t="array" ref="E8892">- KETOCONAZOLE</f>
        <v>#NAME?</v>
      </c>
      <c r="F8892" t="s">
        <v>39538</v>
      </c>
      <c r="G8892" t="s">
        <v>15085</v>
      </c>
      <c r="H8892" t="s">
        <v>39234</v>
      </c>
      <c r="I8892" t="s">
        <v>39235</v>
      </c>
      <c r="J8892" t="s">
        <v>2040</v>
      </c>
      <c r="K8892" t="s">
        <v>26789</v>
      </c>
      <c r="L8892" t="s">
        <v>39236</v>
      </c>
      <c r="M8892" t="s">
        <v>1289</v>
      </c>
      <c r="N8892" t="s">
        <v>533</v>
      </c>
      <c r="O8892" t="s">
        <v>39237</v>
      </c>
      <c r="P8892" t="s">
        <v>39539</v>
      </c>
      <c r="Q8892" t="s">
        <v>39540</v>
      </c>
      <c r="R8892">
        <v>28</v>
      </c>
      <c r="S8892">
        <v>32</v>
      </c>
    </row>
    <row r="8893" spans="1:19" x14ac:dyDescent="0.35">
      <c r="A8893">
        <v>5241</v>
      </c>
      <c r="B8893" t="s">
        <v>39712</v>
      </c>
      <c r="C8893" t="s">
        <v>42</v>
      </c>
      <c r="D8893" t="s">
        <v>39713</v>
      </c>
      <c r="E8893" t="e" cm="1">
        <f t="array" ref="E8893">- KETOCONAZOLE</f>
        <v>#NAME?</v>
      </c>
      <c r="F8893" t="s">
        <v>39714</v>
      </c>
      <c r="G8893" t="s">
        <v>15085</v>
      </c>
      <c r="H8893" t="s">
        <v>39234</v>
      </c>
      <c r="I8893" t="s">
        <v>39235</v>
      </c>
      <c r="J8893" t="s">
        <v>2040</v>
      </c>
      <c r="K8893" t="s">
        <v>26789</v>
      </c>
      <c r="L8893" t="s">
        <v>39236</v>
      </c>
      <c r="M8893" t="s">
        <v>1289</v>
      </c>
      <c r="N8893" t="s">
        <v>533</v>
      </c>
      <c r="O8893" t="s">
        <v>39237</v>
      </c>
      <c r="P8893" t="s">
        <v>39715</v>
      </c>
      <c r="Q8893" t="s">
        <v>39716</v>
      </c>
      <c r="R8893">
        <v>28</v>
      </c>
      <c r="S8893">
        <v>32</v>
      </c>
    </row>
    <row r="8894" spans="1:19" x14ac:dyDescent="0.35">
      <c r="A8894">
        <v>6687</v>
      </c>
      <c r="B8894" t="s">
        <v>39781</v>
      </c>
      <c r="C8894" t="s">
        <v>42</v>
      </c>
      <c r="D8894" t="s">
        <v>39782</v>
      </c>
      <c r="E8894" t="e" cm="1">
        <f t="array" ref="E8894">- METHISOPRINOL</f>
        <v>#NAME?</v>
      </c>
      <c r="F8894" t="s">
        <v>39783</v>
      </c>
      <c r="G8894" t="s">
        <v>2453</v>
      </c>
      <c r="H8894" t="s">
        <v>39461</v>
      </c>
      <c r="I8894" t="s">
        <v>39462</v>
      </c>
      <c r="J8894" t="s">
        <v>13002</v>
      </c>
      <c r="K8894" t="s">
        <v>39784</v>
      </c>
      <c r="L8894" t="s">
        <v>39785</v>
      </c>
      <c r="M8894" t="s">
        <v>291</v>
      </c>
      <c r="N8894" t="s">
        <v>322</v>
      </c>
      <c r="O8894" t="s">
        <v>39464</v>
      </c>
      <c r="P8894" t="s">
        <v>39786</v>
      </c>
      <c r="Q8894" t="s">
        <v>39787</v>
      </c>
      <c r="R8894">
        <v>28</v>
      </c>
      <c r="S8894">
        <v>32</v>
      </c>
    </row>
    <row r="8895" spans="1:19" x14ac:dyDescent="0.35">
      <c r="A8895">
        <v>6635</v>
      </c>
      <c r="B8895" t="s">
        <v>39726</v>
      </c>
      <c r="C8895" t="s">
        <v>42</v>
      </c>
      <c r="D8895" t="s">
        <v>39727</v>
      </c>
      <c r="E8895" t="e" cm="1">
        <f t="array" ref="E8895">- METHISOPRINOL</f>
        <v>#NAME?</v>
      </c>
      <c r="F8895" t="s">
        <v>39728</v>
      </c>
      <c r="G8895" t="s">
        <v>2453</v>
      </c>
      <c r="H8895" t="s">
        <v>39729</v>
      </c>
      <c r="I8895" t="s">
        <v>39462</v>
      </c>
      <c r="J8895" t="s">
        <v>14940</v>
      </c>
      <c r="K8895" t="s">
        <v>39730</v>
      </c>
      <c r="L8895" t="s">
        <v>39463</v>
      </c>
      <c r="M8895" t="s">
        <v>46</v>
      </c>
      <c r="N8895" t="s">
        <v>322</v>
      </c>
      <c r="O8895" t="s">
        <v>39464</v>
      </c>
      <c r="P8895" t="s">
        <v>17523</v>
      </c>
      <c r="Q8895" t="s">
        <v>39731</v>
      </c>
      <c r="R8895">
        <v>28</v>
      </c>
      <c r="S8895">
        <v>32</v>
      </c>
    </row>
    <row r="8896" spans="1:19" x14ac:dyDescent="0.35">
      <c r="A8896">
        <v>2308</v>
      </c>
      <c r="B8896" t="s">
        <v>39637</v>
      </c>
      <c r="C8896" t="s">
        <v>42</v>
      </c>
      <c r="D8896" t="s">
        <v>39638</v>
      </c>
      <c r="E8896" t="e" cm="1">
        <f t="array" ref="E8896">- METAMIZOLE SODIUM</f>
        <v>#NAME?</v>
      </c>
      <c r="F8896" t="s">
        <v>39639</v>
      </c>
      <c r="H8896" t="s">
        <v>39640</v>
      </c>
    </row>
    <row r="8897" spans="1:19" x14ac:dyDescent="0.35">
      <c r="A8897">
        <v>6594</v>
      </c>
      <c r="B8897" t="s">
        <v>39788</v>
      </c>
      <c r="C8897" t="s">
        <v>42</v>
      </c>
      <c r="D8897" t="s">
        <v>39789</v>
      </c>
      <c r="E8897" t="e" cm="1">
        <f t="array" ref="E8897">- KETOCONAZOLE</f>
        <v>#NAME?</v>
      </c>
      <c r="F8897" t="s">
        <v>39790</v>
      </c>
      <c r="G8897" t="s">
        <v>2241</v>
      </c>
      <c r="H8897" t="s">
        <v>39791</v>
      </c>
      <c r="I8897" t="s">
        <v>39550</v>
      </c>
      <c r="J8897" t="s">
        <v>16804</v>
      </c>
      <c r="K8897" t="s">
        <v>39792</v>
      </c>
      <c r="L8897" t="s">
        <v>39793</v>
      </c>
      <c r="M8897" t="s">
        <v>46</v>
      </c>
      <c r="N8897" t="s">
        <v>533</v>
      </c>
      <c r="O8897" t="s">
        <v>39552</v>
      </c>
      <c r="P8897" t="s">
        <v>39794</v>
      </c>
      <c r="Q8897" t="s">
        <v>39795</v>
      </c>
      <c r="R8897">
        <v>28</v>
      </c>
      <c r="S8897">
        <v>32</v>
      </c>
    </row>
    <row r="8898" spans="1:19" x14ac:dyDescent="0.35">
      <c r="A8898">
        <v>195</v>
      </c>
      <c r="B8898" t="s">
        <v>2902</v>
      </c>
      <c r="C8898" t="s">
        <v>42</v>
      </c>
      <c r="D8898" t="s">
        <v>39761</v>
      </c>
      <c r="E8898" t="e" cm="1">
        <f t="array" ref="E8898">- SILDENAFIL CITRATE</f>
        <v>#NAME?</v>
      </c>
      <c r="F8898" t="s">
        <v>39762</v>
      </c>
      <c r="G8898" t="s">
        <v>8125</v>
      </c>
      <c r="H8898" t="s">
        <v>1322</v>
      </c>
      <c r="I8898" t="s">
        <v>39763</v>
      </c>
      <c r="J8898" t="s">
        <v>39764</v>
      </c>
      <c r="M8898" t="s">
        <v>46</v>
      </c>
      <c r="N8898" t="s">
        <v>2519</v>
      </c>
      <c r="O8898" t="s">
        <v>39765</v>
      </c>
      <c r="P8898" t="s">
        <v>39766</v>
      </c>
      <c r="Q8898" t="s">
        <v>39796</v>
      </c>
      <c r="R8898">
        <v>28</v>
      </c>
      <c r="S8898">
        <v>32</v>
      </c>
    </row>
    <row r="8899" spans="1:19" x14ac:dyDescent="0.35">
      <c r="A8899">
        <v>2108</v>
      </c>
      <c r="B8899" t="s">
        <v>39797</v>
      </c>
      <c r="C8899" t="s">
        <v>42</v>
      </c>
      <c r="D8899" t="s">
        <v>39798</v>
      </c>
      <c r="E8899" t="e" cm="1">
        <f t="array" ref="E8899">- IBUPROFEN</f>
        <v>#NAME?</v>
      </c>
      <c r="F8899" t="s">
        <v>39799</v>
      </c>
      <c r="G8899" t="s">
        <v>2241</v>
      </c>
      <c r="H8899" t="s">
        <v>39800</v>
      </c>
      <c r="I8899" t="s">
        <v>38291</v>
      </c>
      <c r="J8899" t="s">
        <v>6679</v>
      </c>
      <c r="K8899" t="s">
        <v>37900</v>
      </c>
      <c r="L8899" t="s">
        <v>38292</v>
      </c>
      <c r="M8899" t="s">
        <v>340</v>
      </c>
      <c r="N8899" t="s">
        <v>383</v>
      </c>
      <c r="O8899" t="s">
        <v>37902</v>
      </c>
      <c r="P8899" t="s">
        <v>39801</v>
      </c>
      <c r="Q8899" t="s">
        <v>39802</v>
      </c>
      <c r="R8899">
        <v>28</v>
      </c>
      <c r="S8899">
        <v>32</v>
      </c>
    </row>
    <row r="8900" spans="1:19" x14ac:dyDescent="0.35">
      <c r="A8900">
        <v>9632</v>
      </c>
      <c r="B8900" t="s">
        <v>6301</v>
      </c>
      <c r="C8900" t="s">
        <v>42</v>
      </c>
      <c r="D8900" t="s">
        <v>39803</v>
      </c>
      <c r="E8900" t="s">
        <v>6303</v>
      </c>
      <c r="F8900" s="1">
        <v>98000</v>
      </c>
      <c r="G8900" t="s">
        <v>39512</v>
      </c>
      <c r="I8900" t="s">
        <v>39804</v>
      </c>
      <c r="J8900" t="s">
        <v>39805</v>
      </c>
      <c r="M8900" t="s">
        <v>46</v>
      </c>
      <c r="N8900" t="s">
        <v>6304</v>
      </c>
      <c r="O8900" t="s">
        <v>39806</v>
      </c>
      <c r="P8900" t="s">
        <v>39807</v>
      </c>
      <c r="Q8900" t="s">
        <v>39808</v>
      </c>
      <c r="R8900">
        <v>29</v>
      </c>
      <c r="S8900">
        <v>32</v>
      </c>
    </row>
    <row r="8901" spans="1:19" x14ac:dyDescent="0.35">
      <c r="A8901">
        <v>9635</v>
      </c>
      <c r="B8901" t="s">
        <v>6301</v>
      </c>
      <c r="C8901" t="s">
        <v>42</v>
      </c>
      <c r="D8901" t="s">
        <v>39809</v>
      </c>
      <c r="E8901" t="s">
        <v>6303</v>
      </c>
      <c r="F8901" t="s">
        <v>39810</v>
      </c>
      <c r="G8901" t="s">
        <v>39512</v>
      </c>
      <c r="H8901" t="s">
        <v>1322</v>
      </c>
      <c r="I8901" t="s">
        <v>39811</v>
      </c>
      <c r="J8901" t="s">
        <v>636</v>
      </c>
      <c r="L8901" t="s">
        <v>34021</v>
      </c>
      <c r="M8901" t="s">
        <v>46</v>
      </c>
      <c r="N8901" t="s">
        <v>6304</v>
      </c>
      <c r="O8901" t="s">
        <v>39515</v>
      </c>
      <c r="P8901" t="s">
        <v>39812</v>
      </c>
      <c r="Q8901" t="s">
        <v>39813</v>
      </c>
      <c r="R8901">
        <v>29</v>
      </c>
      <c r="S8901">
        <v>32</v>
      </c>
    </row>
    <row r="8902" spans="1:19" x14ac:dyDescent="0.35">
      <c r="A8902">
        <v>5766</v>
      </c>
      <c r="B8902" t="s">
        <v>28715</v>
      </c>
      <c r="C8902" t="s">
        <v>42</v>
      </c>
      <c r="D8902" t="s">
        <v>39814</v>
      </c>
      <c r="E8902" t="e" cm="1">
        <f t="array" ref="E8902">- CHLORAMPHENICOL</f>
        <v>#NAME?</v>
      </c>
      <c r="F8902" t="s">
        <v>39815</v>
      </c>
      <c r="G8902" t="s">
        <v>32716</v>
      </c>
      <c r="H8902" t="s">
        <v>39816</v>
      </c>
      <c r="I8902" t="s">
        <v>39817</v>
      </c>
      <c r="J8902" t="s">
        <v>381</v>
      </c>
      <c r="K8902" t="s">
        <v>39818</v>
      </c>
      <c r="L8902" t="s">
        <v>39819</v>
      </c>
      <c r="M8902" t="s">
        <v>38</v>
      </c>
      <c r="N8902" t="s">
        <v>1188</v>
      </c>
      <c r="O8902" t="s">
        <v>39820</v>
      </c>
      <c r="P8902" t="s">
        <v>1188</v>
      </c>
      <c r="Q8902" t="s">
        <v>39821</v>
      </c>
      <c r="R8902">
        <v>29</v>
      </c>
      <c r="S8902">
        <v>32</v>
      </c>
    </row>
    <row r="8903" spans="1:19" x14ac:dyDescent="0.35">
      <c r="A8903">
        <v>2773</v>
      </c>
      <c r="B8903" t="s">
        <v>39822</v>
      </c>
      <c r="C8903" t="s">
        <v>42</v>
      </c>
      <c r="D8903" t="s">
        <v>39823</v>
      </c>
      <c r="E8903" t="e" cm="1">
        <f t="array" ref="E8903">- DICLOFENAC SODIUM</f>
        <v>#NAME?</v>
      </c>
      <c r="F8903" s="1">
        <v>24200</v>
      </c>
      <c r="G8903" t="s">
        <v>2241</v>
      </c>
      <c r="H8903" t="s">
        <v>39824</v>
      </c>
      <c r="I8903" t="s">
        <v>39825</v>
      </c>
      <c r="J8903" t="s">
        <v>34906</v>
      </c>
      <c r="K8903" t="s">
        <v>36607</v>
      </c>
      <c r="L8903" t="s">
        <v>36608</v>
      </c>
      <c r="M8903" t="s">
        <v>46</v>
      </c>
      <c r="N8903" t="s">
        <v>2597</v>
      </c>
      <c r="O8903" t="s">
        <v>39826</v>
      </c>
      <c r="P8903" t="s">
        <v>39827</v>
      </c>
      <c r="Q8903" t="s">
        <v>39828</v>
      </c>
      <c r="R8903">
        <v>29</v>
      </c>
      <c r="S8903">
        <v>32</v>
      </c>
    </row>
    <row r="8904" spans="1:19" x14ac:dyDescent="0.35">
      <c r="A8904">
        <v>9034</v>
      </c>
      <c r="B8904" t="s">
        <v>38672</v>
      </c>
      <c r="C8904" t="s">
        <v>42</v>
      </c>
      <c r="D8904" t="s">
        <v>38673</v>
      </c>
      <c r="E8904" t="e" cm="1">
        <f t="array" ref="E8904">- ATORVASTATIN CALCIUM. AMLODIPINE BESILATE</f>
        <v>#NAME?</v>
      </c>
      <c r="F8904" t="s">
        <v>38674</v>
      </c>
      <c r="G8904" t="s">
        <v>3098</v>
      </c>
      <c r="H8904" t="s">
        <v>38628</v>
      </c>
      <c r="I8904" t="s">
        <v>38675</v>
      </c>
      <c r="J8904" t="s">
        <v>2100</v>
      </c>
      <c r="K8904" t="s">
        <v>38631</v>
      </c>
      <c r="L8904" t="s">
        <v>32377</v>
      </c>
      <c r="M8904" t="s">
        <v>46</v>
      </c>
      <c r="N8904" t="s">
        <v>39829</v>
      </c>
      <c r="O8904" t="s">
        <v>38676</v>
      </c>
      <c r="P8904" t="s">
        <v>38633</v>
      </c>
      <c r="Q8904" t="s">
        <v>39830</v>
      </c>
      <c r="R8904">
        <v>29</v>
      </c>
      <c r="S8904">
        <v>32</v>
      </c>
    </row>
    <row r="8905" spans="1:19" x14ac:dyDescent="0.35">
      <c r="A8905">
        <v>2114</v>
      </c>
      <c r="B8905" t="s">
        <v>39831</v>
      </c>
      <c r="C8905" t="s">
        <v>42</v>
      </c>
      <c r="D8905" t="s">
        <v>39832</v>
      </c>
      <c r="E8905" t="e" cm="1">
        <f t="array" ref="E8905">- DICLOFENAC SODIUM</f>
        <v>#NAME?</v>
      </c>
      <c r="F8905" t="s">
        <v>39833</v>
      </c>
      <c r="G8905" t="s">
        <v>39834</v>
      </c>
      <c r="H8905" t="s">
        <v>39824</v>
      </c>
      <c r="I8905" t="s">
        <v>39825</v>
      </c>
      <c r="J8905" t="s">
        <v>34906</v>
      </c>
      <c r="K8905" t="s">
        <v>36607</v>
      </c>
      <c r="L8905" t="s">
        <v>36608</v>
      </c>
      <c r="M8905" t="s">
        <v>46</v>
      </c>
      <c r="N8905" t="s">
        <v>2597</v>
      </c>
      <c r="O8905" t="s">
        <v>39826</v>
      </c>
      <c r="P8905" t="s">
        <v>34910</v>
      </c>
      <c r="Q8905" t="s">
        <v>39835</v>
      </c>
      <c r="R8905">
        <v>29</v>
      </c>
      <c r="S8905">
        <v>32</v>
      </c>
    </row>
    <row r="8906" spans="1:19" x14ac:dyDescent="0.35">
      <c r="A8906">
        <v>6250</v>
      </c>
      <c r="B8906" t="s">
        <v>39836</v>
      </c>
      <c r="C8906" t="s">
        <v>42</v>
      </c>
      <c r="D8906" t="s">
        <v>39837</v>
      </c>
      <c r="E8906" t="e" cm="1">
        <f t="array" ref="E8906">- AMOXICILLIN TRIHYDRATE</f>
        <v>#NAME?</v>
      </c>
      <c r="F8906" t="s">
        <v>39838</v>
      </c>
      <c r="G8906" t="s">
        <v>1258</v>
      </c>
      <c r="H8906" t="s">
        <v>39839</v>
      </c>
      <c r="I8906" t="s">
        <v>39840</v>
      </c>
      <c r="J8906" t="s">
        <v>39841</v>
      </c>
      <c r="K8906" t="s">
        <v>39842</v>
      </c>
      <c r="L8906" t="s">
        <v>39843</v>
      </c>
      <c r="M8906" t="s">
        <v>291</v>
      </c>
      <c r="N8906" t="s">
        <v>1523</v>
      </c>
      <c r="O8906" t="s">
        <v>39844</v>
      </c>
      <c r="P8906" t="s">
        <v>2162</v>
      </c>
      <c r="Q8906" t="s">
        <v>39845</v>
      </c>
      <c r="R8906">
        <v>29</v>
      </c>
      <c r="S8906">
        <v>32</v>
      </c>
    </row>
    <row r="8907" spans="1:19" x14ac:dyDescent="0.35">
      <c r="A8907">
        <v>6175</v>
      </c>
      <c r="B8907" t="s">
        <v>39846</v>
      </c>
      <c r="C8907" t="s">
        <v>42</v>
      </c>
      <c r="D8907" t="s">
        <v>39847</v>
      </c>
      <c r="E8907" t="e" cm="1">
        <f t="array" ref="E8907">- MOXIFLOXACIN HYDROCHLORIDE</f>
        <v>#NAME?</v>
      </c>
      <c r="F8907" t="s">
        <v>39848</v>
      </c>
      <c r="G8907" t="s">
        <v>39849</v>
      </c>
      <c r="H8907" t="s">
        <v>39850</v>
      </c>
      <c r="I8907" t="s">
        <v>39851</v>
      </c>
      <c r="J8907" t="s">
        <v>9215</v>
      </c>
      <c r="K8907" t="s">
        <v>39852</v>
      </c>
      <c r="L8907" t="s">
        <v>39853</v>
      </c>
    </row>
    <row r="8908" spans="1:19" x14ac:dyDescent="0.35">
      <c r="A8908">
        <v>2115</v>
      </c>
      <c r="B8908" t="s">
        <v>39831</v>
      </c>
      <c r="C8908" t="s">
        <v>42</v>
      </c>
      <c r="D8908" t="s">
        <v>39832</v>
      </c>
      <c r="E8908" t="e" cm="1">
        <f t="array" ref="E8908">- DICLOFENAC SODIUM</f>
        <v>#NAME?</v>
      </c>
      <c r="F8908" t="s">
        <v>39833</v>
      </c>
      <c r="G8908" t="s">
        <v>39834</v>
      </c>
      <c r="H8908" t="s">
        <v>39824</v>
      </c>
      <c r="I8908" t="s">
        <v>39825</v>
      </c>
      <c r="J8908" t="s">
        <v>34906</v>
      </c>
      <c r="K8908" t="s">
        <v>36607</v>
      </c>
      <c r="L8908" t="s">
        <v>36608</v>
      </c>
      <c r="M8908" t="s">
        <v>46</v>
      </c>
      <c r="N8908" t="s">
        <v>2597</v>
      </c>
      <c r="O8908" t="s">
        <v>39826</v>
      </c>
      <c r="P8908" t="s">
        <v>34910</v>
      </c>
      <c r="Q8908" t="s">
        <v>39835</v>
      </c>
      <c r="R8908">
        <v>29</v>
      </c>
      <c r="S8908">
        <v>32</v>
      </c>
    </row>
    <row r="8909" spans="1:19" x14ac:dyDescent="0.35">
      <c r="A8909">
        <v>9030</v>
      </c>
      <c r="B8909" t="s">
        <v>38744</v>
      </c>
      <c r="C8909" t="s">
        <v>42</v>
      </c>
      <c r="D8909" t="s">
        <v>38745</v>
      </c>
      <c r="E8909" t="e" cm="1">
        <f t="array" ref="E8909">- ATORVASTATIN CALCIUM. AMLODIPINE BESILATE</f>
        <v>#NAME?</v>
      </c>
      <c r="F8909" t="s">
        <v>38746</v>
      </c>
      <c r="G8909" t="s">
        <v>3098</v>
      </c>
      <c r="H8909" t="s">
        <v>38628</v>
      </c>
      <c r="I8909" t="s">
        <v>38629</v>
      </c>
      <c r="J8909" t="s">
        <v>2100</v>
      </c>
      <c r="K8909" t="s">
        <v>38631</v>
      </c>
      <c r="L8909" t="s">
        <v>32377</v>
      </c>
      <c r="M8909" t="s">
        <v>46</v>
      </c>
      <c r="N8909" t="s">
        <v>39829</v>
      </c>
      <c r="O8909" t="s">
        <v>38632</v>
      </c>
      <c r="P8909" t="s">
        <v>38633</v>
      </c>
      <c r="Q8909" t="s">
        <v>39854</v>
      </c>
      <c r="R8909">
        <v>29</v>
      </c>
      <c r="S8909">
        <v>32</v>
      </c>
    </row>
    <row r="8910" spans="1:19" x14ac:dyDescent="0.35">
      <c r="A8910">
        <v>2292</v>
      </c>
      <c r="B8910" t="s">
        <v>39855</v>
      </c>
      <c r="C8910" t="s">
        <v>42</v>
      </c>
      <c r="D8910" t="s">
        <v>39856</v>
      </c>
      <c r="E8910" t="e" cm="1">
        <f t="array" ref="E8910">- DICLOFENAC POTASSIUM</f>
        <v>#NAME?</v>
      </c>
      <c r="F8910" t="s">
        <v>39857</v>
      </c>
      <c r="G8910" t="s">
        <v>9583</v>
      </c>
      <c r="H8910" t="s">
        <v>2596</v>
      </c>
      <c r="I8910" t="s">
        <v>39858</v>
      </c>
      <c r="J8910" t="s">
        <v>1093</v>
      </c>
      <c r="K8910" t="s">
        <v>39859</v>
      </c>
      <c r="L8910" t="s">
        <v>39860</v>
      </c>
      <c r="M8910" t="s">
        <v>46</v>
      </c>
      <c r="N8910" t="s">
        <v>2637</v>
      </c>
      <c r="O8910" t="s">
        <v>39861</v>
      </c>
      <c r="P8910" t="s">
        <v>20207</v>
      </c>
      <c r="Q8910" t="s">
        <v>39862</v>
      </c>
      <c r="R8910">
        <v>29</v>
      </c>
      <c r="S8910">
        <v>32</v>
      </c>
    </row>
    <row r="8911" spans="1:19" x14ac:dyDescent="0.35">
      <c r="A8911">
        <v>2291</v>
      </c>
      <c r="B8911" t="s">
        <v>39855</v>
      </c>
      <c r="C8911" t="s">
        <v>42</v>
      </c>
      <c r="D8911" t="s">
        <v>39856</v>
      </c>
      <c r="E8911" t="e" cm="1">
        <f t="array" ref="E8911">- DICLOFENAC POTASSIUM</f>
        <v>#NAME?</v>
      </c>
      <c r="F8911" t="s">
        <v>39857</v>
      </c>
      <c r="G8911" t="s">
        <v>9583</v>
      </c>
      <c r="H8911" t="s">
        <v>2596</v>
      </c>
      <c r="I8911" t="s">
        <v>39858</v>
      </c>
      <c r="J8911" t="s">
        <v>1093</v>
      </c>
      <c r="K8911" t="s">
        <v>39859</v>
      </c>
      <c r="L8911" t="s">
        <v>39860</v>
      </c>
      <c r="M8911" t="s">
        <v>46</v>
      </c>
      <c r="N8911" t="s">
        <v>2637</v>
      </c>
      <c r="O8911" t="s">
        <v>39861</v>
      </c>
      <c r="P8911" t="s">
        <v>20207</v>
      </c>
      <c r="Q8911" t="s">
        <v>39862</v>
      </c>
      <c r="R8911">
        <v>29</v>
      </c>
      <c r="S8911">
        <v>32</v>
      </c>
    </row>
    <row r="8912" spans="1:19" x14ac:dyDescent="0.35">
      <c r="A8912">
        <v>9950</v>
      </c>
      <c r="B8912" t="s">
        <v>39863</v>
      </c>
      <c r="C8912" t="s">
        <v>42</v>
      </c>
      <c r="D8912" t="s">
        <v>39864</v>
      </c>
      <c r="E8912" t="e" cm="1">
        <f t="array" ref="E8912">- IVABRADINE HYDROCHLORIDE</f>
        <v>#NAME?</v>
      </c>
      <c r="F8912" t="s">
        <v>39865</v>
      </c>
      <c r="G8912" t="s">
        <v>39866</v>
      </c>
      <c r="H8912" t="s">
        <v>39867</v>
      </c>
      <c r="I8912" t="s">
        <v>39868</v>
      </c>
      <c r="J8912" t="s">
        <v>39869</v>
      </c>
      <c r="K8912" t="s">
        <v>39870</v>
      </c>
      <c r="L8912" t="s">
        <v>39871</v>
      </c>
      <c r="M8912" t="s">
        <v>46</v>
      </c>
      <c r="N8912" t="s">
        <v>39872</v>
      </c>
      <c r="O8912" t="s">
        <v>39873</v>
      </c>
      <c r="P8912" t="s">
        <v>39874</v>
      </c>
      <c r="Q8912" t="s">
        <v>39875</v>
      </c>
      <c r="R8912">
        <v>29</v>
      </c>
      <c r="S8912">
        <v>32</v>
      </c>
    </row>
    <row r="8913" spans="1:19" x14ac:dyDescent="0.35">
      <c r="A8913">
        <v>6221</v>
      </c>
      <c r="B8913" t="s">
        <v>39876</v>
      </c>
      <c r="C8913" t="s">
        <v>42</v>
      </c>
      <c r="D8913" t="s">
        <v>39877</v>
      </c>
      <c r="E8913" t="e" cm="1">
        <f t="array" ref="E8913">- MOXIFLOXACIN HYDROCHLORIDE</f>
        <v>#NAME?</v>
      </c>
      <c r="F8913" t="s">
        <v>39878</v>
      </c>
      <c r="G8913" t="s">
        <v>39849</v>
      </c>
      <c r="H8913" t="s">
        <v>39850</v>
      </c>
      <c r="I8913" t="s">
        <v>39851</v>
      </c>
      <c r="J8913" t="s">
        <v>39879</v>
      </c>
      <c r="K8913" t="s">
        <v>39852</v>
      </c>
      <c r="L8913" t="s">
        <v>39853</v>
      </c>
    </row>
    <row r="8914" spans="1:19" x14ac:dyDescent="0.35">
      <c r="A8914">
        <v>9343</v>
      </c>
      <c r="B8914" t="s">
        <v>6301</v>
      </c>
      <c r="C8914" t="s">
        <v>42</v>
      </c>
      <c r="D8914" t="s">
        <v>39880</v>
      </c>
      <c r="E8914" t="s">
        <v>6303</v>
      </c>
      <c r="F8914" t="s">
        <v>39881</v>
      </c>
      <c r="G8914" t="s">
        <v>39882</v>
      </c>
      <c r="H8914" t="s">
        <v>1322</v>
      </c>
      <c r="I8914" t="s">
        <v>39883</v>
      </c>
      <c r="J8914" t="s">
        <v>12671</v>
      </c>
      <c r="L8914" t="s">
        <v>39884</v>
      </c>
      <c r="M8914" t="s">
        <v>46</v>
      </c>
      <c r="N8914" t="s">
        <v>6304</v>
      </c>
      <c r="O8914" t="s">
        <v>39885</v>
      </c>
      <c r="P8914" t="s">
        <v>9321</v>
      </c>
      <c r="Q8914" t="s">
        <v>39886</v>
      </c>
      <c r="R8914">
        <v>29</v>
      </c>
      <c r="S8914">
        <v>32</v>
      </c>
    </row>
    <row r="8915" spans="1:19" x14ac:dyDescent="0.35">
      <c r="A8915">
        <v>5742</v>
      </c>
      <c r="B8915" t="s">
        <v>39887</v>
      </c>
      <c r="C8915" t="s">
        <v>42</v>
      </c>
      <c r="D8915" t="s">
        <v>39888</v>
      </c>
      <c r="E8915" t="e" cm="1">
        <f t="array" ref="E8915">- MOXIFLOXACIN HYDROCHLORIDE</f>
        <v>#NAME?</v>
      </c>
      <c r="F8915" t="s">
        <v>39889</v>
      </c>
      <c r="G8915" t="s">
        <v>39849</v>
      </c>
      <c r="H8915" t="s">
        <v>39850</v>
      </c>
      <c r="I8915" t="s">
        <v>39851</v>
      </c>
      <c r="J8915" t="s">
        <v>39879</v>
      </c>
      <c r="K8915" t="s">
        <v>39852</v>
      </c>
      <c r="L8915" t="s">
        <v>39853</v>
      </c>
    </row>
    <row r="8916" spans="1:19" x14ac:dyDescent="0.35">
      <c r="A8916">
        <v>703</v>
      </c>
      <c r="B8916" t="s">
        <v>39890</v>
      </c>
      <c r="C8916" t="s">
        <v>20</v>
      </c>
      <c r="D8916" t="s">
        <v>39891</v>
      </c>
      <c r="E8916" t="s">
        <v>39892</v>
      </c>
      <c r="F8916" t="s">
        <v>39893</v>
      </c>
      <c r="G8916" t="s">
        <v>39894</v>
      </c>
      <c r="I8916" t="s">
        <v>39895</v>
      </c>
      <c r="J8916" t="s">
        <v>846</v>
      </c>
      <c r="M8916" t="s">
        <v>2115</v>
      </c>
      <c r="N8916" t="s">
        <v>39896</v>
      </c>
      <c r="O8916" t="s">
        <v>39897</v>
      </c>
      <c r="P8916" t="s">
        <v>39898</v>
      </c>
      <c r="Q8916" t="s">
        <v>39899</v>
      </c>
      <c r="R8916">
        <v>29</v>
      </c>
      <c r="S8916">
        <v>32</v>
      </c>
    </row>
    <row r="8917" spans="1:19" x14ac:dyDescent="0.35">
      <c r="A8917">
        <v>2068</v>
      </c>
      <c r="B8917" t="s">
        <v>39900</v>
      </c>
      <c r="C8917" t="s">
        <v>42</v>
      </c>
      <c r="D8917" t="s">
        <v>39901</v>
      </c>
      <c r="E8917" t="e" cm="1">
        <f t="array" ref="E8917">- DICLOFENAC SODIUM</f>
        <v>#NAME?</v>
      </c>
      <c r="F8917" t="s">
        <v>39902</v>
      </c>
      <c r="G8917" t="s">
        <v>2241</v>
      </c>
      <c r="H8917" t="s">
        <v>39824</v>
      </c>
      <c r="I8917" t="s">
        <v>39825</v>
      </c>
      <c r="J8917" t="s">
        <v>39903</v>
      </c>
      <c r="K8917" t="s">
        <v>36607</v>
      </c>
      <c r="L8917" t="s">
        <v>36608</v>
      </c>
      <c r="M8917" t="s">
        <v>46</v>
      </c>
      <c r="N8917" t="s">
        <v>2597</v>
      </c>
      <c r="O8917" t="s">
        <v>39826</v>
      </c>
      <c r="P8917" t="s">
        <v>25490</v>
      </c>
      <c r="Q8917" t="s">
        <v>39904</v>
      </c>
      <c r="R8917">
        <v>29</v>
      </c>
      <c r="S8917">
        <v>32</v>
      </c>
    </row>
    <row r="8918" spans="1:19" x14ac:dyDescent="0.35">
      <c r="A8918">
        <v>702</v>
      </c>
      <c r="B8918" t="s">
        <v>39890</v>
      </c>
      <c r="C8918" t="s">
        <v>20</v>
      </c>
      <c r="D8918" t="s">
        <v>39905</v>
      </c>
      <c r="E8918" t="s">
        <v>39892</v>
      </c>
      <c r="F8918" t="s">
        <v>39906</v>
      </c>
      <c r="G8918" t="s">
        <v>39894</v>
      </c>
      <c r="I8918" t="s">
        <v>39895</v>
      </c>
      <c r="J8918" t="s">
        <v>39907</v>
      </c>
      <c r="M8918" t="s">
        <v>2115</v>
      </c>
      <c r="N8918" t="s">
        <v>39896</v>
      </c>
      <c r="O8918" t="s">
        <v>39897</v>
      </c>
      <c r="P8918" t="s">
        <v>39898</v>
      </c>
      <c r="Q8918" t="s">
        <v>39899</v>
      </c>
      <c r="R8918">
        <v>29</v>
      </c>
      <c r="S8918">
        <v>32</v>
      </c>
    </row>
    <row r="8919" spans="1:19" x14ac:dyDescent="0.35">
      <c r="A8919">
        <v>2067</v>
      </c>
      <c r="B8919" t="s">
        <v>39900</v>
      </c>
      <c r="C8919" t="s">
        <v>42</v>
      </c>
      <c r="D8919" t="s">
        <v>39901</v>
      </c>
      <c r="E8919" t="e" cm="1">
        <f t="array" ref="E8919">- DICLOFENAC SODIUM</f>
        <v>#NAME?</v>
      </c>
      <c r="F8919" t="s">
        <v>39902</v>
      </c>
      <c r="G8919" t="s">
        <v>2241</v>
      </c>
      <c r="H8919" t="s">
        <v>39824</v>
      </c>
      <c r="I8919" t="s">
        <v>39825</v>
      </c>
      <c r="J8919" t="s">
        <v>39903</v>
      </c>
      <c r="K8919" t="s">
        <v>36607</v>
      </c>
      <c r="L8919" t="s">
        <v>36608</v>
      </c>
      <c r="M8919" t="s">
        <v>46</v>
      </c>
      <c r="N8919" t="s">
        <v>2597</v>
      </c>
      <c r="O8919" t="s">
        <v>39826</v>
      </c>
      <c r="P8919" t="s">
        <v>25490</v>
      </c>
      <c r="Q8919" t="s">
        <v>39904</v>
      </c>
      <c r="R8919">
        <v>29</v>
      </c>
      <c r="S8919">
        <v>32</v>
      </c>
    </row>
    <row r="8920" spans="1:19" x14ac:dyDescent="0.35">
      <c r="A8920">
        <v>6176</v>
      </c>
      <c r="B8920" t="s">
        <v>39846</v>
      </c>
      <c r="C8920" t="s">
        <v>42</v>
      </c>
      <c r="D8920" t="s">
        <v>39847</v>
      </c>
      <c r="E8920" t="e" cm="1">
        <f t="array" ref="E8920">- MOXIFLOXACIN HYDROCHLORIDE</f>
        <v>#NAME?</v>
      </c>
      <c r="F8920" t="s">
        <v>39848</v>
      </c>
      <c r="G8920" t="s">
        <v>39849</v>
      </c>
      <c r="H8920" t="s">
        <v>39850</v>
      </c>
      <c r="I8920" t="s">
        <v>39851</v>
      </c>
      <c r="J8920" t="s">
        <v>9215</v>
      </c>
      <c r="K8920" t="s">
        <v>39852</v>
      </c>
      <c r="L8920" t="s">
        <v>39853</v>
      </c>
    </row>
    <row r="8921" spans="1:19" x14ac:dyDescent="0.35">
      <c r="A8921">
        <v>1820</v>
      </c>
      <c r="B8921" t="s">
        <v>39908</v>
      </c>
      <c r="C8921" t="s">
        <v>850</v>
      </c>
      <c r="D8921" t="s">
        <v>39909</v>
      </c>
      <c r="E8921" t="e" cm="1">
        <f t="array" ref="E8921">- Camphora</f>
        <v>#NAME?</v>
      </c>
      <c r="F8921" t="s">
        <v>39910</v>
      </c>
      <c r="G8921" t="s">
        <v>39911</v>
      </c>
      <c r="H8921" t="s">
        <v>39912</v>
      </c>
      <c r="I8921" t="s">
        <v>39913</v>
      </c>
      <c r="J8921" t="s">
        <v>16037</v>
      </c>
      <c r="L8921" t="s">
        <v>39914</v>
      </c>
      <c r="M8921" t="s">
        <v>2115</v>
      </c>
      <c r="N8921" t="s">
        <v>3633</v>
      </c>
      <c r="O8921" t="s">
        <v>39915</v>
      </c>
      <c r="P8921" t="s">
        <v>39916</v>
      </c>
      <c r="Q8921" t="s">
        <v>39917</v>
      </c>
      <c r="R8921">
        <v>29</v>
      </c>
      <c r="S8921">
        <v>32</v>
      </c>
    </row>
    <row r="8922" spans="1:19" x14ac:dyDescent="0.35">
      <c r="A8922">
        <v>2903</v>
      </c>
      <c r="B8922" t="s">
        <v>39918</v>
      </c>
      <c r="C8922" t="s">
        <v>42</v>
      </c>
      <c r="D8922" t="s">
        <v>39919</v>
      </c>
      <c r="E8922" t="e" cm="1">
        <f t="array" ref="E8922">- IBUPROFEN</f>
        <v>#NAME?</v>
      </c>
      <c r="F8922" t="s">
        <v>39920</v>
      </c>
      <c r="G8922" t="s">
        <v>539</v>
      </c>
      <c r="H8922" t="s">
        <v>39779</v>
      </c>
      <c r="I8922" t="s">
        <v>39251</v>
      </c>
      <c r="M8922" t="s">
        <v>340</v>
      </c>
      <c r="N8922" t="s">
        <v>383</v>
      </c>
      <c r="O8922" t="s">
        <v>39254</v>
      </c>
      <c r="P8922" t="s">
        <v>39921</v>
      </c>
      <c r="Q8922" t="s">
        <v>39922</v>
      </c>
      <c r="R8922">
        <v>29</v>
      </c>
      <c r="S8922">
        <v>32</v>
      </c>
    </row>
    <row r="8923" spans="1:19" x14ac:dyDescent="0.35">
      <c r="A8923">
        <v>1822</v>
      </c>
      <c r="B8923" t="s">
        <v>39908</v>
      </c>
      <c r="C8923" t="s">
        <v>850</v>
      </c>
      <c r="D8923" t="s">
        <v>39923</v>
      </c>
      <c r="E8923" t="e" cm="1">
        <f t="array" ref="E8923">- Camphora</f>
        <v>#NAME?</v>
      </c>
      <c r="F8923" t="s">
        <v>39924</v>
      </c>
      <c r="G8923" t="s">
        <v>39911</v>
      </c>
      <c r="H8923" t="s">
        <v>39912</v>
      </c>
      <c r="I8923" t="s">
        <v>39913</v>
      </c>
      <c r="J8923" t="s">
        <v>3786</v>
      </c>
      <c r="L8923" t="s">
        <v>39914</v>
      </c>
      <c r="M8923" t="s">
        <v>2115</v>
      </c>
      <c r="N8923" t="s">
        <v>3633</v>
      </c>
      <c r="O8923" t="s">
        <v>39915</v>
      </c>
      <c r="P8923" t="s">
        <v>39916</v>
      </c>
      <c r="Q8923" t="s">
        <v>39917</v>
      </c>
      <c r="R8923">
        <v>29</v>
      </c>
      <c r="S8923">
        <v>32</v>
      </c>
    </row>
    <row r="8924" spans="1:19" x14ac:dyDescent="0.35">
      <c r="A8924">
        <v>9036</v>
      </c>
      <c r="B8924" t="s">
        <v>38625</v>
      </c>
      <c r="C8924" t="s">
        <v>42</v>
      </c>
      <c r="D8924" t="s">
        <v>38626</v>
      </c>
      <c r="E8924" t="e" cm="1">
        <f t="array" ref="E8924">- ATORVASTATIN CALCIUM. AMLODIPINE BESILATE</f>
        <v>#NAME?</v>
      </c>
      <c r="F8924" t="s">
        <v>38627</v>
      </c>
      <c r="G8924" t="s">
        <v>3098</v>
      </c>
      <c r="H8924" t="s">
        <v>38628</v>
      </c>
      <c r="I8924" t="s">
        <v>38629</v>
      </c>
      <c r="J8924" t="s">
        <v>38630</v>
      </c>
      <c r="K8924" t="s">
        <v>38631</v>
      </c>
      <c r="L8924" t="s">
        <v>32377</v>
      </c>
      <c r="M8924" t="s">
        <v>46</v>
      </c>
      <c r="N8924" t="s">
        <v>39829</v>
      </c>
      <c r="O8924" t="s">
        <v>38632</v>
      </c>
      <c r="P8924" t="s">
        <v>38633</v>
      </c>
      <c r="Q8924" t="s">
        <v>39854</v>
      </c>
      <c r="R8924">
        <v>29</v>
      </c>
      <c r="S8924">
        <v>32</v>
      </c>
    </row>
    <row r="8925" spans="1:19" x14ac:dyDescent="0.35">
      <c r="A8925">
        <v>1827</v>
      </c>
      <c r="B8925" t="s">
        <v>39925</v>
      </c>
      <c r="C8925" t="s">
        <v>42</v>
      </c>
      <c r="D8925" t="s">
        <v>39926</v>
      </c>
      <c r="E8925" t="e" cm="1">
        <f t="array" ref="E8925">- AMBROXOL HYDROCHLORIDE</f>
        <v>#NAME?</v>
      </c>
      <c r="F8925" t="s">
        <v>39927</v>
      </c>
      <c r="G8925" t="s">
        <v>4649</v>
      </c>
      <c r="H8925" t="s">
        <v>33038</v>
      </c>
      <c r="I8925" t="s">
        <v>39928</v>
      </c>
      <c r="J8925" t="s">
        <v>18410</v>
      </c>
      <c r="K8925" t="s">
        <v>39929</v>
      </c>
      <c r="L8925" t="s">
        <v>38765</v>
      </c>
      <c r="M8925" t="s">
        <v>824</v>
      </c>
      <c r="N8925" t="s">
        <v>1800</v>
      </c>
      <c r="O8925" t="s">
        <v>39930</v>
      </c>
      <c r="P8925" t="s">
        <v>29057</v>
      </c>
      <c r="Q8925" t="s">
        <v>39931</v>
      </c>
      <c r="R8925">
        <v>29</v>
      </c>
      <c r="S8925">
        <v>32</v>
      </c>
    </row>
    <row r="8926" spans="1:19" x14ac:dyDescent="0.35">
      <c r="A8926">
        <v>2852</v>
      </c>
      <c r="B8926" t="s">
        <v>39932</v>
      </c>
      <c r="C8926" t="s">
        <v>42</v>
      </c>
      <c r="D8926" t="s">
        <v>39933</v>
      </c>
      <c r="E8926" t="e" cm="1">
        <f t="array" ref="E8926">- PARACETAMOL</f>
        <v>#NAME?</v>
      </c>
      <c r="F8926" t="s">
        <v>39934</v>
      </c>
      <c r="G8926" t="s">
        <v>2241</v>
      </c>
      <c r="H8926" t="s">
        <v>39935</v>
      </c>
      <c r="I8926" t="s">
        <v>39936</v>
      </c>
      <c r="J8926" t="s">
        <v>334</v>
      </c>
      <c r="K8926" t="s">
        <v>22974</v>
      </c>
      <c r="L8926" t="s">
        <v>39937</v>
      </c>
      <c r="M8926" t="s">
        <v>340</v>
      </c>
      <c r="N8926" t="s">
        <v>584</v>
      </c>
      <c r="O8926" t="s">
        <v>39938</v>
      </c>
      <c r="P8926" t="s">
        <v>39939</v>
      </c>
      <c r="Q8926" t="s">
        <v>39940</v>
      </c>
      <c r="R8926">
        <v>29</v>
      </c>
      <c r="S8926">
        <v>32</v>
      </c>
    </row>
    <row r="8927" spans="1:19" x14ac:dyDescent="0.35">
      <c r="A8927">
        <v>9630</v>
      </c>
      <c r="B8927" t="s">
        <v>6301</v>
      </c>
      <c r="C8927" t="s">
        <v>42</v>
      </c>
      <c r="D8927" t="s">
        <v>39941</v>
      </c>
      <c r="E8927" t="s">
        <v>6303</v>
      </c>
      <c r="F8927" t="s">
        <v>25323</v>
      </c>
      <c r="G8927" t="s">
        <v>39512</v>
      </c>
      <c r="I8927" t="s">
        <v>39804</v>
      </c>
      <c r="J8927" t="s">
        <v>39942</v>
      </c>
      <c r="M8927" t="s">
        <v>46</v>
      </c>
      <c r="N8927" t="s">
        <v>6304</v>
      </c>
      <c r="O8927" t="s">
        <v>39806</v>
      </c>
      <c r="P8927" t="s">
        <v>39943</v>
      </c>
      <c r="Q8927" t="s">
        <v>39944</v>
      </c>
      <c r="R8927">
        <v>29</v>
      </c>
      <c r="S8927">
        <v>32</v>
      </c>
    </row>
    <row r="8928" spans="1:19" x14ac:dyDescent="0.35">
      <c r="A8928">
        <v>1833</v>
      </c>
      <c r="B8928" t="s">
        <v>34790</v>
      </c>
      <c r="C8928" t="s">
        <v>42</v>
      </c>
      <c r="D8928" t="s">
        <v>34791</v>
      </c>
      <c r="E8928" t="e" cm="1">
        <f t="array" ref="E8928">- AMMONIUM CHLORIDE. CHLORPHENAMINE MALEATE. PSEUDOEPHEDRINE HYDROCHLORIDE. PARACETAMOL. SUCCUS LIQUIRITIAE</f>
        <v>#NAME?</v>
      </c>
      <c r="F8928" t="s">
        <v>34792</v>
      </c>
      <c r="G8928" t="s">
        <v>60</v>
      </c>
      <c r="H8928" t="s">
        <v>34793</v>
      </c>
      <c r="I8928" t="s">
        <v>34794</v>
      </c>
      <c r="J8928" t="s">
        <v>630</v>
      </c>
      <c r="K8928" t="s">
        <v>34795</v>
      </c>
      <c r="L8928" t="s">
        <v>34796</v>
      </c>
      <c r="M8928" t="s">
        <v>271</v>
      </c>
      <c r="N8928" t="s">
        <v>39945</v>
      </c>
      <c r="O8928" t="s">
        <v>34797</v>
      </c>
      <c r="P8928" t="s">
        <v>34798</v>
      </c>
      <c r="Q8928" t="s">
        <v>39946</v>
      </c>
      <c r="R8928">
        <v>29</v>
      </c>
      <c r="S8928">
        <v>32</v>
      </c>
    </row>
    <row r="8929" spans="1:19" x14ac:dyDescent="0.35">
      <c r="A8929">
        <v>2069</v>
      </c>
      <c r="B8929" t="s">
        <v>39900</v>
      </c>
      <c r="C8929" t="s">
        <v>42</v>
      </c>
      <c r="D8929" t="s">
        <v>39901</v>
      </c>
      <c r="E8929" t="e" cm="1">
        <f t="array" ref="E8929">- DICLOFENAC SODIUM</f>
        <v>#NAME?</v>
      </c>
      <c r="F8929" t="s">
        <v>39902</v>
      </c>
      <c r="G8929" t="s">
        <v>2241</v>
      </c>
      <c r="H8929" t="s">
        <v>39824</v>
      </c>
      <c r="I8929" t="s">
        <v>39825</v>
      </c>
      <c r="J8929" t="s">
        <v>39903</v>
      </c>
      <c r="K8929" t="s">
        <v>36607</v>
      </c>
      <c r="L8929" t="s">
        <v>36608</v>
      </c>
      <c r="M8929" t="s">
        <v>46</v>
      </c>
      <c r="N8929" t="s">
        <v>2597</v>
      </c>
      <c r="O8929" t="s">
        <v>39826</v>
      </c>
      <c r="P8929" t="s">
        <v>25490</v>
      </c>
      <c r="Q8929" t="s">
        <v>39904</v>
      </c>
      <c r="R8929">
        <v>29</v>
      </c>
      <c r="S8929">
        <v>32</v>
      </c>
    </row>
    <row r="8930" spans="1:19" x14ac:dyDescent="0.35">
      <c r="A8930">
        <v>2070</v>
      </c>
      <c r="B8930" t="s">
        <v>39900</v>
      </c>
      <c r="C8930" t="s">
        <v>42</v>
      </c>
      <c r="D8930" t="s">
        <v>39901</v>
      </c>
      <c r="E8930" t="e" cm="1">
        <f t="array" ref="E8930">- DICLOFENAC SODIUM</f>
        <v>#NAME?</v>
      </c>
      <c r="F8930" t="s">
        <v>39902</v>
      </c>
      <c r="G8930" t="s">
        <v>2241</v>
      </c>
      <c r="H8930" t="s">
        <v>39824</v>
      </c>
      <c r="I8930" t="s">
        <v>39825</v>
      </c>
      <c r="J8930" t="s">
        <v>39903</v>
      </c>
      <c r="K8930" t="s">
        <v>36607</v>
      </c>
      <c r="L8930" t="s">
        <v>36608</v>
      </c>
      <c r="M8930" t="s">
        <v>46</v>
      </c>
      <c r="N8930" t="s">
        <v>2597</v>
      </c>
      <c r="O8930" t="s">
        <v>39826</v>
      </c>
      <c r="P8930" t="s">
        <v>25490</v>
      </c>
      <c r="Q8930" t="s">
        <v>39904</v>
      </c>
      <c r="R8930">
        <v>29</v>
      </c>
      <c r="S8930">
        <v>32</v>
      </c>
    </row>
    <row r="8931" spans="1:19" x14ac:dyDescent="0.35">
      <c r="A8931">
        <v>1828</v>
      </c>
      <c r="B8931" t="s">
        <v>39925</v>
      </c>
      <c r="C8931" t="s">
        <v>42</v>
      </c>
      <c r="D8931" t="s">
        <v>39926</v>
      </c>
      <c r="E8931" t="e" cm="1">
        <f t="array" ref="E8931">- AMBROXOL HYDROCHLORIDE</f>
        <v>#NAME?</v>
      </c>
      <c r="F8931" t="s">
        <v>39927</v>
      </c>
      <c r="G8931" t="s">
        <v>4649</v>
      </c>
      <c r="H8931" t="s">
        <v>33038</v>
      </c>
      <c r="I8931" t="s">
        <v>39928</v>
      </c>
      <c r="J8931" t="s">
        <v>18410</v>
      </c>
      <c r="K8931" t="s">
        <v>39929</v>
      </c>
      <c r="L8931" t="s">
        <v>38765</v>
      </c>
      <c r="M8931" t="s">
        <v>824</v>
      </c>
      <c r="N8931" t="s">
        <v>1800</v>
      </c>
      <c r="O8931" t="s">
        <v>39930</v>
      </c>
      <c r="P8931" t="s">
        <v>29057</v>
      </c>
      <c r="Q8931" t="s">
        <v>39931</v>
      </c>
      <c r="R8931">
        <v>29</v>
      </c>
      <c r="S8931">
        <v>32</v>
      </c>
    </row>
    <row r="8932" spans="1:19" x14ac:dyDescent="0.35">
      <c r="A8932">
        <v>2066</v>
      </c>
      <c r="B8932" t="s">
        <v>39900</v>
      </c>
      <c r="C8932" t="s">
        <v>42</v>
      </c>
      <c r="D8932" t="s">
        <v>39901</v>
      </c>
      <c r="E8932" t="e" cm="1">
        <f t="array" ref="E8932">- DICLOFENAC SODIUM</f>
        <v>#NAME?</v>
      </c>
      <c r="F8932" t="s">
        <v>39902</v>
      </c>
      <c r="G8932" t="s">
        <v>2241</v>
      </c>
      <c r="H8932" t="s">
        <v>39824</v>
      </c>
      <c r="I8932" t="s">
        <v>39825</v>
      </c>
      <c r="J8932" t="s">
        <v>39903</v>
      </c>
      <c r="K8932" t="s">
        <v>36607</v>
      </c>
      <c r="L8932" t="s">
        <v>36608</v>
      </c>
      <c r="M8932" t="s">
        <v>46</v>
      </c>
      <c r="N8932" t="s">
        <v>2597</v>
      </c>
      <c r="O8932" t="s">
        <v>39826</v>
      </c>
      <c r="P8932" t="s">
        <v>25490</v>
      </c>
      <c r="Q8932" t="s">
        <v>39904</v>
      </c>
      <c r="R8932">
        <v>29</v>
      </c>
      <c r="S8932">
        <v>32</v>
      </c>
    </row>
    <row r="8933" spans="1:19" x14ac:dyDescent="0.35">
      <c r="A8933">
        <v>2065</v>
      </c>
      <c r="B8933" t="s">
        <v>39900</v>
      </c>
      <c r="C8933" t="s">
        <v>42</v>
      </c>
      <c r="D8933" t="s">
        <v>39901</v>
      </c>
      <c r="E8933" t="e" cm="1">
        <f t="array" ref="E8933">- DICLOFENAC SODIUM</f>
        <v>#NAME?</v>
      </c>
      <c r="F8933" t="s">
        <v>39902</v>
      </c>
      <c r="G8933" t="s">
        <v>2241</v>
      </c>
      <c r="H8933" t="s">
        <v>39824</v>
      </c>
      <c r="I8933" t="s">
        <v>39825</v>
      </c>
      <c r="J8933" t="s">
        <v>39903</v>
      </c>
      <c r="K8933" t="s">
        <v>36607</v>
      </c>
      <c r="L8933" t="s">
        <v>36608</v>
      </c>
      <c r="M8933" t="s">
        <v>46</v>
      </c>
      <c r="N8933" t="s">
        <v>2597</v>
      </c>
      <c r="O8933" t="s">
        <v>39826</v>
      </c>
      <c r="P8933" t="s">
        <v>25490</v>
      </c>
      <c r="Q8933" t="s">
        <v>39904</v>
      </c>
      <c r="R8933">
        <v>29</v>
      </c>
      <c r="S8933">
        <v>32</v>
      </c>
    </row>
    <row r="8934" spans="1:19" x14ac:dyDescent="0.35">
      <c r="A8934">
        <v>2064</v>
      </c>
      <c r="B8934" t="s">
        <v>39900</v>
      </c>
      <c r="C8934" t="s">
        <v>42</v>
      </c>
      <c r="D8934" t="s">
        <v>39901</v>
      </c>
      <c r="E8934" t="e" cm="1">
        <f t="array" ref="E8934">- DICLOFENAC SODIUM</f>
        <v>#NAME?</v>
      </c>
      <c r="F8934" t="s">
        <v>39902</v>
      </c>
      <c r="G8934" t="s">
        <v>2241</v>
      </c>
      <c r="H8934" t="s">
        <v>39824</v>
      </c>
      <c r="I8934" t="s">
        <v>39825</v>
      </c>
      <c r="J8934" t="s">
        <v>39903</v>
      </c>
      <c r="K8934" t="s">
        <v>36607</v>
      </c>
      <c r="L8934" t="s">
        <v>36608</v>
      </c>
      <c r="M8934" t="s">
        <v>46</v>
      </c>
      <c r="N8934" t="s">
        <v>2597</v>
      </c>
      <c r="O8934" t="s">
        <v>39826</v>
      </c>
      <c r="P8934" t="s">
        <v>25490</v>
      </c>
      <c r="Q8934" t="s">
        <v>39904</v>
      </c>
      <c r="R8934">
        <v>29</v>
      </c>
      <c r="S8934">
        <v>32</v>
      </c>
    </row>
    <row r="8935" spans="1:19" x14ac:dyDescent="0.35">
      <c r="A8935">
        <v>9949</v>
      </c>
      <c r="B8935" t="s">
        <v>39863</v>
      </c>
      <c r="C8935" t="s">
        <v>42</v>
      </c>
      <c r="D8935" t="s">
        <v>39864</v>
      </c>
      <c r="E8935" t="e" cm="1">
        <f t="array" ref="E8935">- IVABRADINE HYDROCHLORIDE</f>
        <v>#NAME?</v>
      </c>
      <c r="F8935" t="s">
        <v>39865</v>
      </c>
      <c r="G8935" t="s">
        <v>39866</v>
      </c>
      <c r="H8935" t="s">
        <v>39867</v>
      </c>
      <c r="I8935" t="s">
        <v>39868</v>
      </c>
      <c r="J8935" t="s">
        <v>39869</v>
      </c>
      <c r="K8935" t="s">
        <v>39870</v>
      </c>
      <c r="L8935" t="s">
        <v>39871</v>
      </c>
      <c r="M8935" t="s">
        <v>46</v>
      </c>
      <c r="N8935" t="s">
        <v>39872</v>
      </c>
      <c r="O8935" t="s">
        <v>39873</v>
      </c>
      <c r="P8935" t="s">
        <v>39874</v>
      </c>
      <c r="Q8935" t="s">
        <v>39875</v>
      </c>
      <c r="R8935">
        <v>29</v>
      </c>
      <c r="S8935">
        <v>32</v>
      </c>
    </row>
    <row r="8936" spans="1:19" x14ac:dyDescent="0.35">
      <c r="A8936">
        <v>6890</v>
      </c>
      <c r="B8936" t="s">
        <v>37614</v>
      </c>
      <c r="C8936" t="s">
        <v>850</v>
      </c>
      <c r="D8936" t="s">
        <v>39947</v>
      </c>
      <c r="E8936" t="e" cm="1">
        <f t="array" ref="E8936">- Camphor</f>
        <v>#NAME?</v>
      </c>
      <c r="F8936" s="1">
        <v>12800</v>
      </c>
      <c r="G8936" t="s">
        <v>12560</v>
      </c>
      <c r="H8936" t="s">
        <v>1322</v>
      </c>
      <c r="I8936" t="s">
        <v>39948</v>
      </c>
      <c r="J8936" t="s">
        <v>5793</v>
      </c>
      <c r="K8936" t="s">
        <v>39949</v>
      </c>
      <c r="L8936" t="s">
        <v>39950</v>
      </c>
      <c r="N8936" t="s">
        <v>853</v>
      </c>
      <c r="O8936" t="s">
        <v>39951</v>
      </c>
      <c r="P8936" t="s">
        <v>39952</v>
      </c>
      <c r="Q8936" t="s">
        <v>39953</v>
      </c>
      <c r="R8936">
        <v>29</v>
      </c>
      <c r="S8936">
        <v>32</v>
      </c>
    </row>
    <row r="8937" spans="1:19" x14ac:dyDescent="0.35">
      <c r="A8937">
        <v>5740</v>
      </c>
      <c r="B8937" t="s">
        <v>39887</v>
      </c>
      <c r="C8937" t="s">
        <v>42</v>
      </c>
      <c r="D8937" t="s">
        <v>39888</v>
      </c>
      <c r="E8937" t="e" cm="1">
        <f t="array" ref="E8937">- MOXIFLOXACIN HYDROCHLORIDE</f>
        <v>#NAME?</v>
      </c>
      <c r="F8937" t="s">
        <v>39889</v>
      </c>
      <c r="G8937" t="s">
        <v>39849</v>
      </c>
      <c r="H8937" t="s">
        <v>39850</v>
      </c>
      <c r="I8937" t="s">
        <v>39851</v>
      </c>
      <c r="J8937" t="s">
        <v>39879</v>
      </c>
      <c r="K8937" t="s">
        <v>39852</v>
      </c>
      <c r="L8937" t="s">
        <v>39853</v>
      </c>
    </row>
    <row r="8938" spans="1:19" x14ac:dyDescent="0.35">
      <c r="A8938">
        <v>2071</v>
      </c>
      <c r="B8938" t="s">
        <v>39900</v>
      </c>
      <c r="C8938" t="s">
        <v>42</v>
      </c>
      <c r="D8938" t="s">
        <v>39901</v>
      </c>
      <c r="E8938" t="e" cm="1">
        <f t="array" ref="E8938">- DICLOFENAC SODIUM</f>
        <v>#NAME?</v>
      </c>
      <c r="F8938" t="s">
        <v>39902</v>
      </c>
      <c r="G8938" t="s">
        <v>2241</v>
      </c>
      <c r="H8938" t="s">
        <v>39824</v>
      </c>
      <c r="I8938" t="s">
        <v>39825</v>
      </c>
      <c r="J8938" t="s">
        <v>39903</v>
      </c>
      <c r="K8938" t="s">
        <v>36607</v>
      </c>
      <c r="L8938" t="s">
        <v>36608</v>
      </c>
      <c r="M8938" t="s">
        <v>46</v>
      </c>
      <c r="N8938" t="s">
        <v>2597</v>
      </c>
      <c r="O8938" t="s">
        <v>39826</v>
      </c>
      <c r="P8938" t="s">
        <v>25490</v>
      </c>
      <c r="Q8938" t="s">
        <v>39904</v>
      </c>
      <c r="R8938">
        <v>29</v>
      </c>
      <c r="S8938">
        <v>32</v>
      </c>
    </row>
    <row r="8939" spans="1:19" x14ac:dyDescent="0.35">
      <c r="A8939">
        <v>9631</v>
      </c>
      <c r="B8939" t="s">
        <v>6301</v>
      </c>
      <c r="C8939" t="s">
        <v>42</v>
      </c>
      <c r="D8939" t="s">
        <v>39954</v>
      </c>
      <c r="E8939" t="s">
        <v>6303</v>
      </c>
      <c r="F8939" s="1">
        <v>50000</v>
      </c>
      <c r="G8939" t="s">
        <v>39955</v>
      </c>
      <c r="H8939" t="s">
        <v>1322</v>
      </c>
      <c r="I8939" t="s">
        <v>39804</v>
      </c>
      <c r="J8939" t="s">
        <v>31157</v>
      </c>
      <c r="L8939" t="s">
        <v>39956</v>
      </c>
      <c r="M8939" t="s">
        <v>46</v>
      </c>
      <c r="N8939" t="s">
        <v>6304</v>
      </c>
      <c r="O8939" t="s">
        <v>39806</v>
      </c>
      <c r="P8939" t="s">
        <v>39807</v>
      </c>
      <c r="Q8939" t="s">
        <v>39808</v>
      </c>
      <c r="R8939">
        <v>29</v>
      </c>
      <c r="S8939">
        <v>32</v>
      </c>
    </row>
    <row r="8940" spans="1:19" x14ac:dyDescent="0.35">
      <c r="A8940">
        <v>2216</v>
      </c>
      <c r="B8940" t="s">
        <v>39957</v>
      </c>
      <c r="C8940" t="s">
        <v>42</v>
      </c>
      <c r="D8940" t="s">
        <v>39958</v>
      </c>
      <c r="E8940" t="e" cm="1">
        <f t="array" ref="E8940">- DICLOFENAC SODIUM</f>
        <v>#NAME?</v>
      </c>
      <c r="F8940" t="s">
        <v>39959</v>
      </c>
      <c r="G8940" t="s">
        <v>2241</v>
      </c>
      <c r="H8940" t="s">
        <v>39824</v>
      </c>
      <c r="I8940" t="s">
        <v>39825</v>
      </c>
      <c r="J8940" t="s">
        <v>13151</v>
      </c>
      <c r="K8940" t="s">
        <v>36607</v>
      </c>
      <c r="L8940" t="s">
        <v>39960</v>
      </c>
      <c r="M8940" t="s">
        <v>46</v>
      </c>
      <c r="N8940" t="s">
        <v>2597</v>
      </c>
      <c r="O8940" t="s">
        <v>39826</v>
      </c>
      <c r="P8940" t="s">
        <v>28956</v>
      </c>
      <c r="Q8940" t="s">
        <v>39961</v>
      </c>
      <c r="R8940">
        <v>29</v>
      </c>
      <c r="S8940">
        <v>32</v>
      </c>
    </row>
    <row r="8941" spans="1:19" x14ac:dyDescent="0.35">
      <c r="A8941">
        <v>5741</v>
      </c>
      <c r="B8941" t="s">
        <v>39887</v>
      </c>
      <c r="C8941" t="s">
        <v>42</v>
      </c>
      <c r="D8941" t="s">
        <v>39888</v>
      </c>
      <c r="E8941" t="e" cm="1">
        <f t="array" ref="E8941">- MOXIFLOXACIN HYDROCHLORIDE</f>
        <v>#NAME?</v>
      </c>
      <c r="F8941" t="s">
        <v>39889</v>
      </c>
      <c r="G8941" t="s">
        <v>39849</v>
      </c>
      <c r="H8941" t="s">
        <v>39850</v>
      </c>
      <c r="I8941" t="s">
        <v>39851</v>
      </c>
      <c r="J8941" t="s">
        <v>39879</v>
      </c>
      <c r="K8941" t="s">
        <v>39852</v>
      </c>
      <c r="L8941" t="s">
        <v>39853</v>
      </c>
    </row>
    <row r="8942" spans="1:19" x14ac:dyDescent="0.35">
      <c r="A8942">
        <v>2769</v>
      </c>
      <c r="B8942" t="s">
        <v>39962</v>
      </c>
      <c r="C8942" t="s">
        <v>42</v>
      </c>
      <c r="D8942" t="s">
        <v>39963</v>
      </c>
      <c r="E8942" t="e" cm="1">
        <f t="array" ref="E8942">- DICLOFENAC SODIUM</f>
        <v>#NAME?</v>
      </c>
      <c r="F8942" s="1">
        <v>29500</v>
      </c>
      <c r="G8942" t="s">
        <v>39964</v>
      </c>
      <c r="H8942" t="s">
        <v>39965</v>
      </c>
      <c r="I8942" t="s">
        <v>39966</v>
      </c>
      <c r="J8942" t="s">
        <v>4783</v>
      </c>
      <c r="K8942" t="s">
        <v>39967</v>
      </c>
      <c r="L8942" t="s">
        <v>38740</v>
      </c>
      <c r="M8942" t="s">
        <v>720</v>
      </c>
      <c r="N8942" t="s">
        <v>2597</v>
      </c>
      <c r="O8942" t="s">
        <v>39968</v>
      </c>
      <c r="P8942" t="s">
        <v>34910</v>
      </c>
      <c r="Q8942" t="s">
        <v>39969</v>
      </c>
      <c r="R8942">
        <v>29</v>
      </c>
      <c r="S8942">
        <v>32</v>
      </c>
    </row>
    <row r="8943" spans="1:19" x14ac:dyDescent="0.35">
      <c r="A8943">
        <v>1875</v>
      </c>
      <c r="B8943" t="s">
        <v>34679</v>
      </c>
      <c r="C8943" t="s">
        <v>42</v>
      </c>
      <c r="D8943" t="s">
        <v>34680</v>
      </c>
      <c r="E8943" t="e" cm="1">
        <f t="array" ref="E8943">- SUCCUS LIQUIRITIAE. AMMONIUM CHLORIDE. PARACETAMOL. PSEUDOEPHEDRINE HYDROCHLORIDE. CHLORPHENAMINE MALEATE</f>
        <v>#NAME?</v>
      </c>
      <c r="F8943" t="s">
        <v>34681</v>
      </c>
      <c r="G8943" t="s">
        <v>2241</v>
      </c>
      <c r="H8943" t="s">
        <v>34630</v>
      </c>
      <c r="I8943" t="s">
        <v>34631</v>
      </c>
      <c r="J8943" t="s">
        <v>334</v>
      </c>
      <c r="K8943" t="s">
        <v>34632</v>
      </c>
      <c r="L8943" t="s">
        <v>34682</v>
      </c>
      <c r="M8943" t="s">
        <v>271</v>
      </c>
      <c r="N8943" t="s">
        <v>39970</v>
      </c>
      <c r="O8943" t="s">
        <v>34634</v>
      </c>
      <c r="P8943" t="s">
        <v>34683</v>
      </c>
      <c r="Q8943" t="s">
        <v>39971</v>
      </c>
      <c r="R8943">
        <v>29</v>
      </c>
      <c r="S8943">
        <v>32</v>
      </c>
    </row>
    <row r="8944" spans="1:19" x14ac:dyDescent="0.35">
      <c r="A8944">
        <v>6880</v>
      </c>
      <c r="B8944" t="s">
        <v>12557</v>
      </c>
      <c r="C8944" t="s">
        <v>850</v>
      </c>
      <c r="D8944" t="s">
        <v>39972</v>
      </c>
      <c r="E8944" t="e" cm="1">
        <f t="array" ref="E8944">- Camphor</f>
        <v>#NAME?</v>
      </c>
      <c r="F8944" t="s">
        <v>15055</v>
      </c>
      <c r="G8944" t="s">
        <v>12560</v>
      </c>
      <c r="H8944" t="s">
        <v>1322</v>
      </c>
      <c r="I8944" t="s">
        <v>39948</v>
      </c>
      <c r="J8944" t="s">
        <v>39973</v>
      </c>
      <c r="K8944" t="s">
        <v>39949</v>
      </c>
      <c r="L8944" t="s">
        <v>39974</v>
      </c>
      <c r="N8944" t="s">
        <v>853</v>
      </c>
      <c r="O8944" t="s">
        <v>39951</v>
      </c>
      <c r="P8944" t="s">
        <v>39975</v>
      </c>
      <c r="Q8944" t="s">
        <v>39976</v>
      </c>
      <c r="R8944">
        <v>29</v>
      </c>
      <c r="S8944">
        <v>32</v>
      </c>
    </row>
    <row r="8945" spans="1:19" x14ac:dyDescent="0.35">
      <c r="A8945">
        <v>2770</v>
      </c>
      <c r="B8945" t="s">
        <v>39962</v>
      </c>
      <c r="C8945" t="s">
        <v>42</v>
      </c>
      <c r="D8945" t="s">
        <v>39963</v>
      </c>
      <c r="E8945" t="e" cm="1">
        <f t="array" ref="E8945">- DICLOFENAC SODIUM</f>
        <v>#NAME?</v>
      </c>
      <c r="F8945" s="1">
        <v>29500</v>
      </c>
      <c r="G8945" t="s">
        <v>39964</v>
      </c>
      <c r="H8945" t="s">
        <v>39965</v>
      </c>
      <c r="I8945" t="s">
        <v>39966</v>
      </c>
      <c r="J8945" t="s">
        <v>4783</v>
      </c>
      <c r="K8945" t="s">
        <v>39967</v>
      </c>
      <c r="L8945" t="s">
        <v>38740</v>
      </c>
      <c r="M8945" t="s">
        <v>720</v>
      </c>
      <c r="N8945" t="s">
        <v>2597</v>
      </c>
      <c r="O8945" t="s">
        <v>39968</v>
      </c>
      <c r="P8945" t="s">
        <v>34910</v>
      </c>
      <c r="Q8945" t="s">
        <v>39969</v>
      </c>
      <c r="R8945">
        <v>29</v>
      </c>
      <c r="S8945">
        <v>32</v>
      </c>
    </row>
    <row r="8946" spans="1:19" x14ac:dyDescent="0.35">
      <c r="A8946">
        <v>2771</v>
      </c>
      <c r="B8946" t="s">
        <v>39962</v>
      </c>
      <c r="C8946" t="s">
        <v>42</v>
      </c>
      <c r="D8946" t="s">
        <v>39963</v>
      </c>
      <c r="E8946" t="e" cm="1">
        <f t="array" ref="E8946">- DICLOFENAC SODIUM</f>
        <v>#NAME?</v>
      </c>
      <c r="F8946" s="1">
        <v>29500</v>
      </c>
      <c r="G8946" t="s">
        <v>39964</v>
      </c>
      <c r="H8946" t="s">
        <v>39965</v>
      </c>
      <c r="I8946" t="s">
        <v>39966</v>
      </c>
      <c r="J8946" t="s">
        <v>4783</v>
      </c>
      <c r="K8946" t="s">
        <v>39967</v>
      </c>
      <c r="L8946" t="s">
        <v>38740</v>
      </c>
      <c r="M8946" t="s">
        <v>720</v>
      </c>
      <c r="N8946" t="s">
        <v>2597</v>
      </c>
      <c r="O8946" t="s">
        <v>39968</v>
      </c>
      <c r="P8946" t="s">
        <v>34910</v>
      </c>
      <c r="Q8946" t="s">
        <v>39969</v>
      </c>
      <c r="R8946">
        <v>29</v>
      </c>
      <c r="S8946">
        <v>32</v>
      </c>
    </row>
    <row r="8947" spans="1:19" x14ac:dyDescent="0.35">
      <c r="A8947">
        <v>2772</v>
      </c>
      <c r="B8947" t="s">
        <v>39822</v>
      </c>
      <c r="C8947" t="s">
        <v>42</v>
      </c>
      <c r="D8947" t="s">
        <v>39823</v>
      </c>
      <c r="E8947" t="e" cm="1">
        <f t="array" ref="E8947">- DICLOFENAC SODIUM</f>
        <v>#NAME?</v>
      </c>
      <c r="F8947" s="1">
        <v>24200</v>
      </c>
      <c r="G8947" t="s">
        <v>2241</v>
      </c>
      <c r="H8947" t="s">
        <v>39824</v>
      </c>
      <c r="I8947" t="s">
        <v>39825</v>
      </c>
      <c r="J8947" t="s">
        <v>34906</v>
      </c>
      <c r="K8947" t="s">
        <v>36607</v>
      </c>
      <c r="L8947" t="s">
        <v>36608</v>
      </c>
      <c r="M8947" t="s">
        <v>46</v>
      </c>
      <c r="N8947" t="s">
        <v>2597</v>
      </c>
      <c r="O8947" t="s">
        <v>39826</v>
      </c>
      <c r="P8947" t="s">
        <v>39827</v>
      </c>
      <c r="Q8947" t="s">
        <v>39828</v>
      </c>
      <c r="R8947">
        <v>29</v>
      </c>
      <c r="S8947">
        <v>32</v>
      </c>
    </row>
    <row r="8948" spans="1:19" x14ac:dyDescent="0.35">
      <c r="A8948">
        <v>2215</v>
      </c>
      <c r="B8948" t="s">
        <v>39957</v>
      </c>
      <c r="C8948" t="s">
        <v>42</v>
      </c>
      <c r="D8948" t="s">
        <v>39958</v>
      </c>
      <c r="E8948" t="e" cm="1">
        <f t="array" ref="E8948">- DICLOFENAC SODIUM</f>
        <v>#NAME?</v>
      </c>
      <c r="F8948" t="s">
        <v>39959</v>
      </c>
      <c r="G8948" t="s">
        <v>2241</v>
      </c>
      <c r="H8948" t="s">
        <v>39824</v>
      </c>
      <c r="I8948" t="s">
        <v>39825</v>
      </c>
      <c r="J8948" t="s">
        <v>13151</v>
      </c>
      <c r="K8948" t="s">
        <v>36607</v>
      </c>
      <c r="L8948" t="s">
        <v>39960</v>
      </c>
      <c r="M8948" t="s">
        <v>46</v>
      </c>
      <c r="N8948" t="s">
        <v>2597</v>
      </c>
      <c r="O8948" t="s">
        <v>39826</v>
      </c>
      <c r="P8948" t="s">
        <v>28956</v>
      </c>
      <c r="Q8948" t="s">
        <v>39961</v>
      </c>
      <c r="R8948">
        <v>29</v>
      </c>
      <c r="S8948">
        <v>32</v>
      </c>
    </row>
    <row r="8949" spans="1:19" x14ac:dyDescent="0.35">
      <c r="A8949">
        <v>9628</v>
      </c>
      <c r="B8949" t="s">
        <v>6301</v>
      </c>
      <c r="C8949" t="s">
        <v>42</v>
      </c>
      <c r="D8949" t="s">
        <v>39977</v>
      </c>
      <c r="E8949" t="s">
        <v>6303</v>
      </c>
      <c r="F8949" t="s">
        <v>39978</v>
      </c>
      <c r="G8949" t="s">
        <v>39512</v>
      </c>
      <c r="I8949" t="s">
        <v>39804</v>
      </c>
      <c r="J8949" t="s">
        <v>636</v>
      </c>
      <c r="M8949" t="s">
        <v>46</v>
      </c>
      <c r="N8949" t="s">
        <v>6304</v>
      </c>
      <c r="O8949" t="s">
        <v>39806</v>
      </c>
      <c r="P8949" t="s">
        <v>39943</v>
      </c>
      <c r="Q8949" t="s">
        <v>39944</v>
      </c>
      <c r="R8949">
        <v>29</v>
      </c>
      <c r="S8949">
        <v>32</v>
      </c>
    </row>
    <row r="8950" spans="1:19" x14ac:dyDescent="0.35">
      <c r="A8950">
        <v>9629</v>
      </c>
      <c r="B8950" t="s">
        <v>6301</v>
      </c>
      <c r="C8950" t="s">
        <v>42</v>
      </c>
      <c r="D8950" t="s">
        <v>39979</v>
      </c>
      <c r="E8950" t="s">
        <v>6303</v>
      </c>
      <c r="F8950" t="s">
        <v>39980</v>
      </c>
      <c r="G8950" t="s">
        <v>39512</v>
      </c>
      <c r="I8950" t="s">
        <v>39804</v>
      </c>
      <c r="J8950" t="s">
        <v>39805</v>
      </c>
      <c r="M8950" t="s">
        <v>46</v>
      </c>
      <c r="N8950" t="s">
        <v>6304</v>
      </c>
      <c r="O8950" t="s">
        <v>39806</v>
      </c>
      <c r="P8950" t="s">
        <v>39943</v>
      </c>
      <c r="Q8950" t="s">
        <v>39944</v>
      </c>
      <c r="R8950">
        <v>29</v>
      </c>
      <c r="S8950">
        <v>32</v>
      </c>
    </row>
    <row r="8951" spans="1:19" x14ac:dyDescent="0.35">
      <c r="A8951">
        <v>2150</v>
      </c>
      <c r="B8951" t="s">
        <v>36430</v>
      </c>
      <c r="C8951" t="s">
        <v>42</v>
      </c>
      <c r="D8951" t="s">
        <v>36431</v>
      </c>
      <c r="E8951" t="e" cm="1">
        <f t="array" ref="E8951">- DICLOFENAC SODIUM. THIAMINE MONONITRATE. PYRIDOXINE HYDROCHLORIDE. CYANOCOBALAMIN</f>
        <v>#NAME?</v>
      </c>
      <c r="F8951" t="s">
        <v>36432</v>
      </c>
      <c r="G8951" t="s">
        <v>5923</v>
      </c>
      <c r="H8951" t="s">
        <v>36433</v>
      </c>
      <c r="I8951" t="s">
        <v>36434</v>
      </c>
      <c r="J8951" t="s">
        <v>36435</v>
      </c>
      <c r="K8951" t="s">
        <v>36436</v>
      </c>
      <c r="L8951" t="s">
        <v>36437</v>
      </c>
      <c r="M8951" t="s">
        <v>291</v>
      </c>
      <c r="N8951" t="s">
        <v>25689</v>
      </c>
      <c r="O8951" t="s">
        <v>36438</v>
      </c>
      <c r="P8951" t="s">
        <v>36439</v>
      </c>
      <c r="Q8951" t="s">
        <v>39981</v>
      </c>
      <c r="R8951">
        <v>29</v>
      </c>
      <c r="S8951">
        <v>32</v>
      </c>
    </row>
    <row r="8952" spans="1:19" x14ac:dyDescent="0.35">
      <c r="A8952">
        <v>1873</v>
      </c>
      <c r="B8952" t="s">
        <v>34627</v>
      </c>
      <c r="C8952" t="s">
        <v>42</v>
      </c>
      <c r="D8952" t="s">
        <v>34628</v>
      </c>
      <c r="E8952" t="e" cm="1">
        <f t="array" ref="E8952">- SUCCUS LIQUIRITIAE. AMMONIUM CHLORIDE. PARACETAMOL. PSEUDOEPHEDRINE HYDROCHLORIDE. CHLORPHENAMINE MALEATE</f>
        <v>#NAME?</v>
      </c>
      <c r="F8952" t="s">
        <v>34629</v>
      </c>
      <c r="G8952" t="s">
        <v>539</v>
      </c>
      <c r="H8952" t="s">
        <v>34630</v>
      </c>
      <c r="I8952" t="s">
        <v>34631</v>
      </c>
      <c r="J8952" t="s">
        <v>334</v>
      </c>
      <c r="K8952" t="s">
        <v>34632</v>
      </c>
      <c r="L8952" t="s">
        <v>34633</v>
      </c>
      <c r="M8952" t="s">
        <v>271</v>
      </c>
      <c r="N8952" t="s">
        <v>39970</v>
      </c>
      <c r="O8952" t="s">
        <v>34634</v>
      </c>
      <c r="P8952" t="s">
        <v>34635</v>
      </c>
      <c r="Q8952" t="s">
        <v>39982</v>
      </c>
      <c r="R8952">
        <v>29</v>
      </c>
      <c r="S8952">
        <v>32</v>
      </c>
    </row>
    <row r="8953" spans="1:19" x14ac:dyDescent="0.35">
      <c r="A8953">
        <v>6251</v>
      </c>
      <c r="B8953" t="s">
        <v>39836</v>
      </c>
      <c r="C8953" t="s">
        <v>42</v>
      </c>
      <c r="D8953" t="s">
        <v>39837</v>
      </c>
      <c r="E8953" t="e" cm="1">
        <f t="array" ref="E8953">- AMOXICILLIN TRIHYDRATE</f>
        <v>#NAME?</v>
      </c>
      <c r="F8953" t="s">
        <v>39838</v>
      </c>
      <c r="G8953" t="s">
        <v>1258</v>
      </c>
      <c r="H8953" t="s">
        <v>39839</v>
      </c>
      <c r="I8953" t="s">
        <v>39840</v>
      </c>
      <c r="J8953" t="s">
        <v>39841</v>
      </c>
      <c r="K8953" t="s">
        <v>39842</v>
      </c>
      <c r="L8953" t="s">
        <v>39843</v>
      </c>
      <c r="M8953" t="s">
        <v>291</v>
      </c>
      <c r="N8953" t="s">
        <v>1523</v>
      </c>
      <c r="O8953" t="s">
        <v>39844</v>
      </c>
      <c r="P8953" t="s">
        <v>2162</v>
      </c>
      <c r="Q8953" t="s">
        <v>39845</v>
      </c>
      <c r="R8953">
        <v>29</v>
      </c>
      <c r="S8953">
        <v>32</v>
      </c>
    </row>
    <row r="8954" spans="1:19" x14ac:dyDescent="0.35">
      <c r="A8954">
        <v>3279</v>
      </c>
      <c r="B8954" t="s">
        <v>39983</v>
      </c>
      <c r="C8954" t="s">
        <v>42</v>
      </c>
      <c r="D8954" t="s">
        <v>39984</v>
      </c>
      <c r="E8954" t="e" cm="1">
        <f t="array" ref="E8954">- FAMOTIDINE</f>
        <v>#NAME?</v>
      </c>
      <c r="F8954" t="s">
        <v>39985</v>
      </c>
      <c r="G8954" t="s">
        <v>8512</v>
      </c>
      <c r="H8954" t="s">
        <v>39986</v>
      </c>
      <c r="I8954" t="s">
        <v>39987</v>
      </c>
      <c r="J8954" t="s">
        <v>4095</v>
      </c>
      <c r="L8954" t="s">
        <v>39988</v>
      </c>
      <c r="M8954" t="s">
        <v>291</v>
      </c>
      <c r="N8954" t="s">
        <v>10675</v>
      </c>
      <c r="O8954" t="s">
        <v>39989</v>
      </c>
      <c r="P8954" t="s">
        <v>39990</v>
      </c>
      <c r="Q8954" t="s">
        <v>39991</v>
      </c>
      <c r="R8954">
        <v>29</v>
      </c>
      <c r="S8954">
        <v>32</v>
      </c>
    </row>
    <row r="8955" spans="1:19" x14ac:dyDescent="0.35">
      <c r="A8955">
        <v>5191</v>
      </c>
      <c r="B8955" t="s">
        <v>39992</v>
      </c>
      <c r="C8955" t="s">
        <v>42</v>
      </c>
      <c r="D8955" t="s">
        <v>39993</v>
      </c>
      <c r="E8955" t="e" cm="1">
        <f t="array" ref="E8955">- ACICLOVIR</f>
        <v>#NAME?</v>
      </c>
      <c r="F8955" t="s">
        <v>39994</v>
      </c>
      <c r="G8955" t="s">
        <v>30654</v>
      </c>
      <c r="H8955" t="s">
        <v>39995</v>
      </c>
      <c r="I8955" t="s">
        <v>39572</v>
      </c>
      <c r="J8955" t="s">
        <v>7123</v>
      </c>
      <c r="K8955" t="s">
        <v>2726</v>
      </c>
      <c r="L8955" t="s">
        <v>39573</v>
      </c>
      <c r="M8955" t="s">
        <v>1289</v>
      </c>
      <c r="N8955" t="s">
        <v>1685</v>
      </c>
      <c r="O8955" t="s">
        <v>39574</v>
      </c>
      <c r="P8955" t="s">
        <v>39996</v>
      </c>
      <c r="Q8955" t="s">
        <v>39997</v>
      </c>
      <c r="R8955">
        <v>29</v>
      </c>
      <c r="S8955">
        <v>32</v>
      </c>
    </row>
    <row r="8956" spans="1:19" x14ac:dyDescent="0.35">
      <c r="A8956">
        <v>5160</v>
      </c>
      <c r="B8956" t="s">
        <v>39998</v>
      </c>
      <c r="C8956" t="s">
        <v>42</v>
      </c>
      <c r="D8956" t="s">
        <v>39999</v>
      </c>
      <c r="E8956" t="e" cm="1">
        <f t="array" ref="E8956">- ACICLOVIR</f>
        <v>#NAME?</v>
      </c>
      <c r="F8956" t="s">
        <v>37224</v>
      </c>
      <c r="G8956" t="s">
        <v>40000</v>
      </c>
      <c r="H8956" t="s">
        <v>39995</v>
      </c>
      <c r="I8956" t="s">
        <v>39572</v>
      </c>
      <c r="J8956" t="s">
        <v>15910</v>
      </c>
      <c r="K8956" t="s">
        <v>2726</v>
      </c>
      <c r="L8956" t="s">
        <v>39573</v>
      </c>
      <c r="M8956" t="s">
        <v>1289</v>
      </c>
      <c r="N8956" t="s">
        <v>1685</v>
      </c>
      <c r="O8956" t="s">
        <v>39574</v>
      </c>
      <c r="P8956" t="s">
        <v>40001</v>
      </c>
      <c r="Q8956" t="s">
        <v>40002</v>
      </c>
      <c r="R8956">
        <v>29</v>
      </c>
      <c r="S8956">
        <v>32</v>
      </c>
    </row>
    <row r="8957" spans="1:19" x14ac:dyDescent="0.35">
      <c r="A8957">
        <v>5518</v>
      </c>
      <c r="B8957" t="s">
        <v>40003</v>
      </c>
      <c r="C8957" t="s">
        <v>42</v>
      </c>
      <c r="D8957" t="s">
        <v>40004</v>
      </c>
      <c r="E8957" t="e" cm="1">
        <f t="array" ref="E8957">- KETOCONAZOLE</f>
        <v>#NAME?</v>
      </c>
      <c r="F8957" t="s">
        <v>40005</v>
      </c>
      <c r="G8957" t="s">
        <v>26797</v>
      </c>
      <c r="H8957" t="s">
        <v>40006</v>
      </c>
      <c r="I8957" t="s">
        <v>40007</v>
      </c>
      <c r="J8957" t="s">
        <v>1367</v>
      </c>
      <c r="K8957" t="s">
        <v>26800</v>
      </c>
      <c r="L8957" t="s">
        <v>39263</v>
      </c>
      <c r="M8957" t="s">
        <v>1289</v>
      </c>
      <c r="N8957" t="s">
        <v>533</v>
      </c>
      <c r="O8957" t="s">
        <v>40008</v>
      </c>
      <c r="P8957" t="s">
        <v>40009</v>
      </c>
      <c r="Q8957" t="s">
        <v>40010</v>
      </c>
      <c r="R8957">
        <v>29</v>
      </c>
      <c r="S8957">
        <v>32</v>
      </c>
    </row>
    <row r="8958" spans="1:19" x14ac:dyDescent="0.35">
      <c r="A8958">
        <v>8872</v>
      </c>
      <c r="B8958" t="s">
        <v>40011</v>
      </c>
      <c r="C8958" t="s">
        <v>20</v>
      </c>
      <c r="D8958" t="s">
        <v>40012</v>
      </c>
      <c r="E8958" t="s">
        <v>40013</v>
      </c>
      <c r="F8958" t="s">
        <v>40014</v>
      </c>
      <c r="H8958" t="s">
        <v>40015</v>
      </c>
      <c r="I8958" t="s">
        <v>40016</v>
      </c>
      <c r="J8958" t="s">
        <v>8233</v>
      </c>
      <c r="L8958" t="s">
        <v>16529</v>
      </c>
      <c r="M8958" t="s">
        <v>38</v>
      </c>
      <c r="N8958" t="s">
        <v>40017</v>
      </c>
      <c r="O8958" t="s">
        <v>40018</v>
      </c>
      <c r="P8958" t="s">
        <v>40019</v>
      </c>
      <c r="Q8958" t="s">
        <v>40020</v>
      </c>
      <c r="R8958">
        <v>29</v>
      </c>
      <c r="S8958">
        <v>32</v>
      </c>
    </row>
    <row r="8959" spans="1:19" x14ac:dyDescent="0.35">
      <c r="A8959">
        <v>5159</v>
      </c>
      <c r="B8959" t="s">
        <v>39998</v>
      </c>
      <c r="C8959" t="s">
        <v>42</v>
      </c>
      <c r="D8959" t="s">
        <v>39999</v>
      </c>
      <c r="E8959" t="e" cm="1">
        <f t="array" ref="E8959">- ACICLOVIR</f>
        <v>#NAME?</v>
      </c>
      <c r="F8959" t="s">
        <v>37224</v>
      </c>
      <c r="G8959" t="s">
        <v>40000</v>
      </c>
      <c r="H8959" t="s">
        <v>39995</v>
      </c>
      <c r="I8959" t="s">
        <v>39572</v>
      </c>
      <c r="J8959" t="s">
        <v>15910</v>
      </c>
      <c r="K8959" t="s">
        <v>2726</v>
      </c>
      <c r="L8959" t="s">
        <v>39573</v>
      </c>
      <c r="M8959" t="s">
        <v>1289</v>
      </c>
      <c r="N8959" t="s">
        <v>1685</v>
      </c>
      <c r="O8959" t="s">
        <v>39574</v>
      </c>
      <c r="P8959" t="s">
        <v>40001</v>
      </c>
      <c r="Q8959" t="s">
        <v>40002</v>
      </c>
      <c r="R8959">
        <v>29</v>
      </c>
      <c r="S8959">
        <v>32</v>
      </c>
    </row>
    <row r="8960" spans="1:19" x14ac:dyDescent="0.35">
      <c r="A8960">
        <v>3173</v>
      </c>
      <c r="B8960" t="s">
        <v>40021</v>
      </c>
      <c r="C8960" t="s">
        <v>42</v>
      </c>
      <c r="D8960" t="s">
        <v>40022</v>
      </c>
      <c r="E8960" t="e" cm="1">
        <f t="array" ref="E8960">- PANTOPRAZOLE SODIUM SESQUIHYDRATE</f>
        <v>#NAME?</v>
      </c>
      <c r="F8960" t="s">
        <v>40023</v>
      </c>
      <c r="G8960" t="s">
        <v>39770</v>
      </c>
      <c r="H8960" t="s">
        <v>39771</v>
      </c>
      <c r="I8960" t="s">
        <v>39772</v>
      </c>
      <c r="J8960" t="s">
        <v>40024</v>
      </c>
      <c r="K8960" t="s">
        <v>3952</v>
      </c>
      <c r="L8960" t="s">
        <v>39773</v>
      </c>
      <c r="M8960" t="s">
        <v>291</v>
      </c>
      <c r="N8960" t="s">
        <v>14942</v>
      </c>
      <c r="O8960" t="s">
        <v>39774</v>
      </c>
      <c r="P8960" t="s">
        <v>40025</v>
      </c>
      <c r="Q8960" t="s">
        <v>40026</v>
      </c>
      <c r="R8960">
        <v>29</v>
      </c>
      <c r="S8960">
        <v>32</v>
      </c>
    </row>
    <row r="8961" spans="1:19" x14ac:dyDescent="0.35">
      <c r="A8961">
        <v>3172</v>
      </c>
      <c r="B8961" t="s">
        <v>40021</v>
      </c>
      <c r="C8961" t="s">
        <v>42</v>
      </c>
      <c r="D8961" t="s">
        <v>40022</v>
      </c>
      <c r="E8961" t="e" cm="1">
        <f t="array" ref="E8961">- PANTOPRAZOLE SODIUM SESQUIHYDRATE</f>
        <v>#NAME?</v>
      </c>
      <c r="F8961" t="s">
        <v>40023</v>
      </c>
      <c r="G8961" t="s">
        <v>39770</v>
      </c>
      <c r="H8961" t="s">
        <v>39771</v>
      </c>
      <c r="I8961" t="s">
        <v>39772</v>
      </c>
      <c r="J8961" t="s">
        <v>40024</v>
      </c>
      <c r="K8961" t="s">
        <v>3952</v>
      </c>
      <c r="L8961" t="s">
        <v>39773</v>
      </c>
      <c r="M8961" t="s">
        <v>291</v>
      </c>
      <c r="N8961" t="s">
        <v>14942</v>
      </c>
      <c r="O8961" t="s">
        <v>39774</v>
      </c>
      <c r="P8961" t="s">
        <v>40025</v>
      </c>
      <c r="Q8961" t="s">
        <v>40026</v>
      </c>
      <c r="R8961">
        <v>29</v>
      </c>
      <c r="S8961">
        <v>32</v>
      </c>
    </row>
    <row r="8962" spans="1:19" x14ac:dyDescent="0.35">
      <c r="A8962">
        <v>6027</v>
      </c>
      <c r="B8962" t="s">
        <v>40027</v>
      </c>
      <c r="C8962" t="s">
        <v>42</v>
      </c>
      <c r="D8962" t="s">
        <v>40028</v>
      </c>
      <c r="E8962" t="e" cm="1">
        <f t="array" ref="E8962">- CIPROFLOXACIN HYDROCHLORIDE</f>
        <v>#NAME?</v>
      </c>
      <c r="F8962" t="s">
        <v>40029</v>
      </c>
      <c r="G8962" t="s">
        <v>1691</v>
      </c>
      <c r="H8962" t="s">
        <v>40030</v>
      </c>
    </row>
    <row r="8963" spans="1:19" x14ac:dyDescent="0.35">
      <c r="A8963">
        <v>8360</v>
      </c>
      <c r="B8963" t="s">
        <v>551</v>
      </c>
      <c r="C8963" t="s">
        <v>42</v>
      </c>
      <c r="D8963" t="s">
        <v>40031</v>
      </c>
      <c r="E8963" t="e" cm="1">
        <f t="array" ref="E8963">- POVIDONE-IODINE</f>
        <v>#NAME?</v>
      </c>
      <c r="F8963" t="s">
        <v>40032</v>
      </c>
      <c r="G8963" t="s">
        <v>40033</v>
      </c>
      <c r="H8963" t="s">
        <v>40034</v>
      </c>
      <c r="I8963" t="s">
        <v>40035</v>
      </c>
      <c r="J8963" t="s">
        <v>40036</v>
      </c>
      <c r="L8963" t="s">
        <v>40037</v>
      </c>
      <c r="M8963" t="s">
        <v>554</v>
      </c>
      <c r="N8963" t="s">
        <v>555</v>
      </c>
      <c r="O8963" t="s">
        <v>40038</v>
      </c>
      <c r="P8963" t="s">
        <v>40039</v>
      </c>
      <c r="Q8963" t="s">
        <v>40040</v>
      </c>
      <c r="R8963">
        <v>29</v>
      </c>
      <c r="S8963">
        <v>32</v>
      </c>
    </row>
    <row r="8964" spans="1:19" x14ac:dyDescent="0.35">
      <c r="A8964">
        <v>8361</v>
      </c>
      <c r="B8964" t="s">
        <v>551</v>
      </c>
      <c r="C8964" t="s">
        <v>42</v>
      </c>
      <c r="D8964" t="s">
        <v>40031</v>
      </c>
      <c r="E8964" t="e" cm="1">
        <f t="array" ref="E8964">- POVIDONE-IODINE</f>
        <v>#NAME?</v>
      </c>
      <c r="F8964" t="s">
        <v>40032</v>
      </c>
      <c r="G8964" t="s">
        <v>40033</v>
      </c>
      <c r="H8964" t="s">
        <v>40034</v>
      </c>
      <c r="I8964" t="s">
        <v>40035</v>
      </c>
      <c r="J8964" t="s">
        <v>40036</v>
      </c>
      <c r="L8964" t="s">
        <v>40037</v>
      </c>
      <c r="M8964" t="s">
        <v>554</v>
      </c>
      <c r="N8964" t="s">
        <v>555</v>
      </c>
      <c r="O8964" t="s">
        <v>40038</v>
      </c>
      <c r="P8964" t="s">
        <v>40039</v>
      </c>
      <c r="Q8964" t="s">
        <v>40040</v>
      </c>
      <c r="R8964">
        <v>29</v>
      </c>
      <c r="S8964">
        <v>32</v>
      </c>
    </row>
    <row r="8965" spans="1:19" x14ac:dyDescent="0.35">
      <c r="A8965">
        <v>3937</v>
      </c>
      <c r="B8965" t="s">
        <v>33993</v>
      </c>
      <c r="C8965" t="s">
        <v>42</v>
      </c>
      <c r="D8965" t="s">
        <v>33994</v>
      </c>
      <c r="E8965" t="e" cm="1">
        <f t="array" ref="E8965">- LITHOSPERMI Radix EXTRACT. CETRIMIDE. BENZOCAINE. CINCHOCAINE HYDROCHLORIDE. DIPHENHYDRAMINE HYDROCHLORIDE</f>
        <v>#NAME?</v>
      </c>
      <c r="F8965" t="s">
        <v>33995</v>
      </c>
      <c r="G8965" t="s">
        <v>16413</v>
      </c>
      <c r="H8965" t="s">
        <v>32860</v>
      </c>
      <c r="I8965" t="s">
        <v>33996</v>
      </c>
      <c r="J8965" t="s">
        <v>33997</v>
      </c>
      <c r="K8965" t="s">
        <v>3473</v>
      </c>
      <c r="L8965" t="s">
        <v>33998</v>
      </c>
      <c r="M8965" t="s">
        <v>720</v>
      </c>
      <c r="N8965" t="s">
        <v>39566</v>
      </c>
      <c r="O8965" t="s">
        <v>33999</v>
      </c>
      <c r="P8965" t="s">
        <v>34000</v>
      </c>
      <c r="Q8965" t="s">
        <v>40041</v>
      </c>
      <c r="R8965">
        <v>29</v>
      </c>
      <c r="S8965">
        <v>32</v>
      </c>
    </row>
    <row r="8966" spans="1:19" x14ac:dyDescent="0.35">
      <c r="A8966">
        <v>3408</v>
      </c>
      <c r="B8966" t="s">
        <v>40042</v>
      </c>
      <c r="C8966" t="s">
        <v>42</v>
      </c>
      <c r="D8966" t="s">
        <v>40043</v>
      </c>
      <c r="E8966" t="e" cm="1">
        <f t="array" ref="E8966">- TIMEPIDIUM BROMIDE</f>
        <v>#NAME?</v>
      </c>
      <c r="F8966" t="s">
        <v>40044</v>
      </c>
      <c r="G8966" t="s">
        <v>3098</v>
      </c>
      <c r="H8966" t="s">
        <v>40045</v>
      </c>
      <c r="I8966" t="s">
        <v>40046</v>
      </c>
      <c r="J8966" t="s">
        <v>40047</v>
      </c>
      <c r="K8966" t="s">
        <v>40048</v>
      </c>
      <c r="L8966" t="s">
        <v>40049</v>
      </c>
      <c r="M8966" t="s">
        <v>38</v>
      </c>
      <c r="N8966" t="s">
        <v>40050</v>
      </c>
      <c r="O8966" t="s">
        <v>40051</v>
      </c>
      <c r="P8966" t="s">
        <v>40052</v>
      </c>
      <c r="Q8966" t="s">
        <v>40053</v>
      </c>
      <c r="R8966">
        <v>29</v>
      </c>
      <c r="S8966">
        <v>32</v>
      </c>
    </row>
    <row r="8967" spans="1:19" x14ac:dyDescent="0.35">
      <c r="A8967">
        <v>6026</v>
      </c>
      <c r="B8967" t="s">
        <v>40027</v>
      </c>
      <c r="C8967" t="s">
        <v>42</v>
      </c>
      <c r="D8967" t="s">
        <v>40028</v>
      </c>
      <c r="E8967" t="e" cm="1">
        <f t="array" ref="E8967">- CIPROFLOXACIN HYDROCHLORIDE</f>
        <v>#NAME?</v>
      </c>
      <c r="F8967" t="s">
        <v>40029</v>
      </c>
      <c r="G8967" t="s">
        <v>1691</v>
      </c>
      <c r="H8967" t="s">
        <v>40030</v>
      </c>
    </row>
    <row r="8968" spans="1:19" x14ac:dyDescent="0.35">
      <c r="A8968">
        <v>8743</v>
      </c>
      <c r="B8968" t="s">
        <v>40054</v>
      </c>
      <c r="C8968" t="s">
        <v>42</v>
      </c>
      <c r="D8968" t="s">
        <v>40055</v>
      </c>
      <c r="E8968" t="e" cm="1">
        <f t="array" ref="E8968">- EMPAGLIFLOZIN</f>
        <v>#NAME?</v>
      </c>
      <c r="F8968" t="s">
        <v>40056</v>
      </c>
      <c r="G8968" t="s">
        <v>40057</v>
      </c>
      <c r="H8968" t="s">
        <v>40058</v>
      </c>
      <c r="I8968" t="s">
        <v>40059</v>
      </c>
      <c r="J8968" t="s">
        <v>12887</v>
      </c>
      <c r="K8968" t="s">
        <v>40060</v>
      </c>
      <c r="M8968" t="s">
        <v>46</v>
      </c>
      <c r="N8968" t="s">
        <v>957</v>
      </c>
      <c r="O8968" t="s">
        <v>40061</v>
      </c>
      <c r="P8968" t="s">
        <v>40062</v>
      </c>
      <c r="Q8968" t="s">
        <v>40063</v>
      </c>
      <c r="R8968">
        <v>29</v>
      </c>
      <c r="S8968">
        <v>32</v>
      </c>
    </row>
    <row r="8969" spans="1:19" x14ac:dyDescent="0.35">
      <c r="A8969">
        <v>3407</v>
      </c>
      <c r="B8969" t="s">
        <v>40042</v>
      </c>
      <c r="C8969" t="s">
        <v>42</v>
      </c>
      <c r="D8969" t="s">
        <v>40043</v>
      </c>
      <c r="E8969" t="e" cm="1">
        <f t="array" ref="E8969">- TIMEPIDIUM BROMIDE</f>
        <v>#NAME?</v>
      </c>
      <c r="F8969" t="s">
        <v>40044</v>
      </c>
      <c r="G8969" t="s">
        <v>3098</v>
      </c>
      <c r="H8969" t="s">
        <v>40045</v>
      </c>
      <c r="I8969" t="s">
        <v>40046</v>
      </c>
      <c r="J8969" t="s">
        <v>40047</v>
      </c>
      <c r="K8969" t="s">
        <v>40048</v>
      </c>
      <c r="L8969" t="s">
        <v>40049</v>
      </c>
      <c r="M8969" t="s">
        <v>38</v>
      </c>
      <c r="N8969" t="s">
        <v>40050</v>
      </c>
      <c r="O8969" t="s">
        <v>40051</v>
      </c>
      <c r="P8969" t="s">
        <v>40052</v>
      </c>
      <c r="Q8969" t="s">
        <v>40053</v>
      </c>
      <c r="R8969">
        <v>29</v>
      </c>
      <c r="S8969">
        <v>32</v>
      </c>
    </row>
    <row r="8970" spans="1:19" x14ac:dyDescent="0.35">
      <c r="A8970">
        <v>3125</v>
      </c>
      <c r="B8970" t="s">
        <v>40064</v>
      </c>
      <c r="C8970" t="s">
        <v>42</v>
      </c>
      <c r="D8970" t="s">
        <v>40065</v>
      </c>
      <c r="E8970" t="e" cm="1">
        <f t="array" ref="E8970">- PANTOPRAZOLE SODIUM SESQUIHYDRATE</f>
        <v>#NAME?</v>
      </c>
      <c r="F8970" t="s">
        <v>40066</v>
      </c>
      <c r="G8970" t="s">
        <v>40067</v>
      </c>
      <c r="H8970" t="s">
        <v>40068</v>
      </c>
      <c r="I8970" t="s">
        <v>40069</v>
      </c>
      <c r="J8970" t="s">
        <v>40070</v>
      </c>
      <c r="K8970" t="s">
        <v>40071</v>
      </c>
      <c r="L8970" t="s">
        <v>40072</v>
      </c>
      <c r="M8970" t="s">
        <v>46</v>
      </c>
      <c r="N8970" t="s">
        <v>14942</v>
      </c>
      <c r="O8970" t="s">
        <v>40073</v>
      </c>
      <c r="P8970" t="s">
        <v>34917</v>
      </c>
      <c r="Q8970" t="s">
        <v>40074</v>
      </c>
      <c r="R8970">
        <v>29</v>
      </c>
      <c r="S8970">
        <v>32</v>
      </c>
    </row>
    <row r="8971" spans="1:19" x14ac:dyDescent="0.35">
      <c r="A8971">
        <v>4016</v>
      </c>
      <c r="B8971" t="s">
        <v>40075</v>
      </c>
      <c r="C8971" t="s">
        <v>42</v>
      </c>
      <c r="D8971" t="s">
        <v>40076</v>
      </c>
      <c r="E8971" t="s">
        <v>40077</v>
      </c>
      <c r="F8971" t="s">
        <v>40078</v>
      </c>
      <c r="G8971" t="s">
        <v>40079</v>
      </c>
      <c r="H8971" t="s">
        <v>40080</v>
      </c>
      <c r="I8971" t="s">
        <v>33856</v>
      </c>
      <c r="J8971" t="s">
        <v>33857</v>
      </c>
      <c r="M8971" t="s">
        <v>12262</v>
      </c>
      <c r="N8971" t="s">
        <v>40081</v>
      </c>
      <c r="O8971" t="s">
        <v>33860</v>
      </c>
      <c r="P8971" t="s">
        <v>40082</v>
      </c>
      <c r="Q8971" t="s">
        <v>40083</v>
      </c>
      <c r="R8971">
        <v>29</v>
      </c>
      <c r="S8971">
        <v>32</v>
      </c>
    </row>
    <row r="8972" spans="1:19" x14ac:dyDescent="0.35">
      <c r="A8972">
        <v>1230</v>
      </c>
      <c r="B8972" t="s">
        <v>40084</v>
      </c>
      <c r="C8972" t="s">
        <v>42</v>
      </c>
      <c r="D8972" t="s">
        <v>40085</v>
      </c>
      <c r="E8972" t="e" cm="1">
        <f t="array" ref="E8972">- PARACETAMOL. CHLORPHENAMINE MALEATE. DIPHENHYDRAMINE HYDROCHLORIDE. PHENYLEPHRINE HYDROCHLORIDE</f>
        <v>#NAME?</v>
      </c>
      <c r="F8972" s="1">
        <v>13300</v>
      </c>
      <c r="G8972" t="s">
        <v>2241</v>
      </c>
      <c r="H8972" t="s">
        <v>40086</v>
      </c>
      <c r="I8972" t="s">
        <v>40087</v>
      </c>
      <c r="J8972" t="s">
        <v>40088</v>
      </c>
      <c r="K8972" t="s">
        <v>40089</v>
      </c>
      <c r="L8972" t="s">
        <v>40090</v>
      </c>
      <c r="M8972" t="s">
        <v>271</v>
      </c>
      <c r="N8972" t="s">
        <v>40091</v>
      </c>
      <c r="O8972" t="s">
        <v>40092</v>
      </c>
      <c r="P8972" t="s">
        <v>40093</v>
      </c>
      <c r="Q8972" t="s">
        <v>40094</v>
      </c>
      <c r="R8972">
        <v>29</v>
      </c>
      <c r="S8972">
        <v>32</v>
      </c>
    </row>
    <row r="8973" spans="1:19" x14ac:dyDescent="0.35">
      <c r="A8973">
        <v>3566</v>
      </c>
      <c r="B8973" t="s">
        <v>40095</v>
      </c>
      <c r="C8973" t="s">
        <v>42</v>
      </c>
      <c r="D8973" t="s">
        <v>40096</v>
      </c>
      <c r="E8973" t="e" cm="1">
        <f t="array" ref="E8973">- METOCLOPRAMIDE HYDROCHLORIDE</f>
        <v>#NAME?</v>
      </c>
      <c r="F8973" t="s">
        <v>40097</v>
      </c>
      <c r="G8973" t="s">
        <v>40098</v>
      </c>
      <c r="H8973" t="s">
        <v>40099</v>
      </c>
      <c r="I8973" t="s">
        <v>40100</v>
      </c>
      <c r="J8973" t="s">
        <v>5221</v>
      </c>
      <c r="K8973" t="s">
        <v>40101</v>
      </c>
      <c r="L8973" t="s">
        <v>40102</v>
      </c>
      <c r="M8973" t="s">
        <v>46</v>
      </c>
      <c r="N8973" t="s">
        <v>1876</v>
      </c>
      <c r="O8973" t="s">
        <v>40103</v>
      </c>
      <c r="P8973" t="s">
        <v>40104</v>
      </c>
      <c r="Q8973" t="s">
        <v>40105</v>
      </c>
      <c r="R8973">
        <v>29</v>
      </c>
      <c r="S8973">
        <v>32</v>
      </c>
    </row>
    <row r="8974" spans="1:19" x14ac:dyDescent="0.35">
      <c r="A8974">
        <v>4598</v>
      </c>
      <c r="B8974" t="s">
        <v>40106</v>
      </c>
      <c r="C8974" t="s">
        <v>42</v>
      </c>
      <c r="D8974" t="s">
        <v>40107</v>
      </c>
      <c r="E8974" t="e" cm="1">
        <f t="array" ref="E8974">- HYPROMELLOSE</f>
        <v>#NAME?</v>
      </c>
      <c r="F8974" t="s">
        <v>40108</v>
      </c>
      <c r="G8974" t="s">
        <v>40109</v>
      </c>
      <c r="H8974" t="s">
        <v>40110</v>
      </c>
      <c r="I8974" t="s">
        <v>40111</v>
      </c>
      <c r="J8974" t="s">
        <v>3504</v>
      </c>
      <c r="K8974" t="s">
        <v>40112</v>
      </c>
      <c r="L8974" t="s">
        <v>40113</v>
      </c>
      <c r="M8974" t="s">
        <v>824</v>
      </c>
      <c r="N8974" t="s">
        <v>6336</v>
      </c>
      <c r="O8974" t="s">
        <v>40114</v>
      </c>
      <c r="P8974" t="s">
        <v>40115</v>
      </c>
      <c r="Q8974" t="s">
        <v>40116</v>
      </c>
      <c r="R8974">
        <v>29</v>
      </c>
      <c r="S8974">
        <v>32</v>
      </c>
    </row>
    <row r="8975" spans="1:19" x14ac:dyDescent="0.35">
      <c r="A8975">
        <v>780</v>
      </c>
      <c r="B8975" t="s">
        <v>40117</v>
      </c>
      <c r="C8975" t="s">
        <v>42</v>
      </c>
      <c r="D8975" t="s">
        <v>40118</v>
      </c>
      <c r="E8975" t="e" cm="1">
        <f t="array" ref="E8975">- AMMONIUM CHLORIDE. PARACETAMOL. EPHEDRINE HYDROCHLORIDE. CHLORPHENAMINE MALEATE. SUCCUS LIQUIRITIAE</f>
        <v>#NAME?</v>
      </c>
      <c r="F8975" t="s">
        <v>40119</v>
      </c>
      <c r="G8975" t="s">
        <v>2241</v>
      </c>
      <c r="H8975" t="s">
        <v>40120</v>
      </c>
      <c r="I8975" t="s">
        <v>40121</v>
      </c>
      <c r="J8975" t="s">
        <v>334</v>
      </c>
      <c r="K8975" t="s">
        <v>40122</v>
      </c>
      <c r="L8975" t="s">
        <v>40123</v>
      </c>
      <c r="M8975" t="s">
        <v>271</v>
      </c>
      <c r="N8975" t="s">
        <v>40124</v>
      </c>
      <c r="O8975" t="s">
        <v>35102</v>
      </c>
      <c r="P8975" t="s">
        <v>40125</v>
      </c>
      <c r="Q8975" t="s">
        <v>40126</v>
      </c>
      <c r="R8975">
        <v>29</v>
      </c>
      <c r="S8975">
        <v>32</v>
      </c>
    </row>
    <row r="8976" spans="1:19" x14ac:dyDescent="0.35">
      <c r="A8976">
        <v>5336</v>
      </c>
      <c r="B8976" t="s">
        <v>7148</v>
      </c>
      <c r="C8976" t="s">
        <v>42</v>
      </c>
      <c r="D8976" t="s">
        <v>40127</v>
      </c>
      <c r="E8976" t="e" cm="1">
        <f t="array" ref="E8976">- SULFADIAZINE SILVER</f>
        <v>#NAME?</v>
      </c>
      <c r="F8976" s="1">
        <v>155400</v>
      </c>
      <c r="H8976" t="s">
        <v>40128</v>
      </c>
      <c r="I8976" t="s">
        <v>40129</v>
      </c>
      <c r="J8976" t="s">
        <v>40130</v>
      </c>
      <c r="K8976" t="s">
        <v>40131</v>
      </c>
      <c r="M8976" t="s">
        <v>1289</v>
      </c>
      <c r="N8976" t="s">
        <v>2849</v>
      </c>
      <c r="O8976" t="s">
        <v>40132</v>
      </c>
      <c r="P8976" t="s">
        <v>40133</v>
      </c>
      <c r="Q8976" t="s">
        <v>40134</v>
      </c>
      <c r="R8976">
        <v>29</v>
      </c>
      <c r="S8976">
        <v>32</v>
      </c>
    </row>
    <row r="8977" spans="1:19" x14ac:dyDescent="0.35">
      <c r="A8977">
        <v>781</v>
      </c>
      <c r="B8977" t="s">
        <v>40117</v>
      </c>
      <c r="C8977" t="s">
        <v>42</v>
      </c>
      <c r="D8977" t="s">
        <v>40118</v>
      </c>
      <c r="E8977" t="e" cm="1">
        <f t="array" ref="E8977">- SUCCUS LIQUIRITIAE. PARACETAMOL. AMMONIUM CHLORIDE. EPHEDRINE HYDROCHLORIDE. CHLORPHENAMINE MALEATE</f>
        <v>#NAME?</v>
      </c>
      <c r="F8977" t="s">
        <v>40119</v>
      </c>
      <c r="G8977" t="s">
        <v>2241</v>
      </c>
      <c r="H8977" t="s">
        <v>40120</v>
      </c>
      <c r="I8977" t="s">
        <v>40121</v>
      </c>
      <c r="J8977" t="s">
        <v>334</v>
      </c>
      <c r="K8977" t="s">
        <v>40122</v>
      </c>
      <c r="L8977" t="s">
        <v>40123</v>
      </c>
      <c r="M8977" t="s">
        <v>271</v>
      </c>
      <c r="N8977" t="s">
        <v>40135</v>
      </c>
      <c r="O8977" t="s">
        <v>35102</v>
      </c>
      <c r="P8977" t="s">
        <v>40125</v>
      </c>
      <c r="Q8977" t="s">
        <v>40136</v>
      </c>
      <c r="R8977">
        <v>29</v>
      </c>
      <c r="S8977">
        <v>32</v>
      </c>
    </row>
    <row r="8978" spans="1:19" x14ac:dyDescent="0.35">
      <c r="A8978">
        <v>3264</v>
      </c>
      <c r="B8978" t="s">
        <v>40137</v>
      </c>
      <c r="C8978" t="s">
        <v>42</v>
      </c>
      <c r="D8978" t="s">
        <v>40138</v>
      </c>
      <c r="E8978" t="e" cm="1">
        <f t="array" ref="E8978">- ALUMINIUM HYDROXIDE-MAGNESIUM CARBONATE</f>
        <v>#NAME?</v>
      </c>
      <c r="F8978" t="s">
        <v>40139</v>
      </c>
      <c r="G8978" t="s">
        <v>40140</v>
      </c>
      <c r="H8978" t="s">
        <v>40141</v>
      </c>
    </row>
    <row r="8979" spans="1:19" x14ac:dyDescent="0.35">
      <c r="A8979">
        <v>3261</v>
      </c>
      <c r="B8979" t="s">
        <v>40142</v>
      </c>
      <c r="C8979" t="s">
        <v>42</v>
      </c>
      <c r="D8979" t="s">
        <v>40143</v>
      </c>
      <c r="E8979" t="e" cm="1">
        <f t="array" ref="E8979">- RANITIDINE HYDROCHLORIDE</f>
        <v>#NAME?</v>
      </c>
      <c r="F8979" t="s">
        <v>40144</v>
      </c>
      <c r="G8979" t="s">
        <v>20347</v>
      </c>
      <c r="H8979" t="s">
        <v>40145</v>
      </c>
      <c r="I8979" t="s">
        <v>40146</v>
      </c>
      <c r="J8979" t="s">
        <v>2928</v>
      </c>
      <c r="L8979" t="s">
        <v>40147</v>
      </c>
      <c r="M8979" t="s">
        <v>46</v>
      </c>
      <c r="N8979" t="s">
        <v>1985</v>
      </c>
      <c r="O8979" t="s">
        <v>40148</v>
      </c>
      <c r="P8979" t="s">
        <v>40149</v>
      </c>
      <c r="Q8979" t="s">
        <v>40150</v>
      </c>
      <c r="R8979">
        <v>29</v>
      </c>
      <c r="S8979">
        <v>32</v>
      </c>
    </row>
    <row r="8980" spans="1:19" x14ac:dyDescent="0.35">
      <c r="A8980">
        <v>3260</v>
      </c>
      <c r="B8980" t="s">
        <v>40142</v>
      </c>
      <c r="C8980" t="s">
        <v>42</v>
      </c>
      <c r="D8980" t="s">
        <v>40143</v>
      </c>
      <c r="E8980" t="e" cm="1">
        <f t="array" ref="E8980">- RANITIDINE HYDROCHLORIDE</f>
        <v>#NAME?</v>
      </c>
      <c r="F8980" t="s">
        <v>40144</v>
      </c>
      <c r="G8980" t="s">
        <v>20347</v>
      </c>
      <c r="H8980" t="s">
        <v>40145</v>
      </c>
      <c r="I8980" t="s">
        <v>40146</v>
      </c>
      <c r="J8980" t="s">
        <v>2928</v>
      </c>
      <c r="L8980" t="s">
        <v>40147</v>
      </c>
      <c r="M8980" t="s">
        <v>46</v>
      </c>
      <c r="N8980" t="s">
        <v>1985</v>
      </c>
      <c r="O8980" t="s">
        <v>40148</v>
      </c>
      <c r="P8980" t="s">
        <v>40149</v>
      </c>
      <c r="Q8980" t="s">
        <v>40150</v>
      </c>
      <c r="R8980">
        <v>29</v>
      </c>
      <c r="S8980">
        <v>32</v>
      </c>
    </row>
    <row r="8981" spans="1:19" x14ac:dyDescent="0.35">
      <c r="A8981">
        <v>5937</v>
      </c>
      <c r="B8981" t="s">
        <v>40151</v>
      </c>
      <c r="C8981" t="s">
        <v>42</v>
      </c>
      <c r="D8981" t="s">
        <v>40152</v>
      </c>
      <c r="E8981" t="e" cm="1">
        <f t="array" ref="E8981">- AMOXICILLIN TRIHYDRATE. POTASSIUM CLAVULANATE WITH MICROCRYSTALLINE CELLULOSE</f>
        <v>#NAME?</v>
      </c>
      <c r="F8981" s="1">
        <v>128000</v>
      </c>
      <c r="G8981" t="s">
        <v>2241</v>
      </c>
      <c r="H8981" t="s">
        <v>40153</v>
      </c>
      <c r="I8981" t="s">
        <v>40154</v>
      </c>
      <c r="J8981" t="s">
        <v>284</v>
      </c>
      <c r="K8981" t="s">
        <v>19724</v>
      </c>
      <c r="L8981" t="s">
        <v>40155</v>
      </c>
      <c r="M8981" t="s">
        <v>46</v>
      </c>
      <c r="N8981" t="s">
        <v>11276</v>
      </c>
      <c r="O8981" t="s">
        <v>40156</v>
      </c>
      <c r="P8981" t="s">
        <v>35413</v>
      </c>
      <c r="Q8981" t="s">
        <v>40157</v>
      </c>
      <c r="R8981">
        <v>29</v>
      </c>
      <c r="S8981">
        <v>32</v>
      </c>
    </row>
    <row r="8982" spans="1:19" x14ac:dyDescent="0.35">
      <c r="A8982">
        <v>5164</v>
      </c>
      <c r="B8982" t="s">
        <v>40158</v>
      </c>
      <c r="C8982" t="s">
        <v>42</v>
      </c>
      <c r="D8982" t="s">
        <v>40159</v>
      </c>
      <c r="E8982" t="e" cm="1">
        <f t="array" ref="E8982">- GENTAMICIN</f>
        <v>#NAME?</v>
      </c>
      <c r="F8982" t="s">
        <v>40160</v>
      </c>
      <c r="G8982" t="s">
        <v>37941</v>
      </c>
      <c r="H8982" t="s">
        <v>40161</v>
      </c>
      <c r="I8982" t="s">
        <v>40162</v>
      </c>
      <c r="J8982" t="s">
        <v>2049</v>
      </c>
      <c r="K8982" t="s">
        <v>34175</v>
      </c>
      <c r="L8982" t="s">
        <v>40163</v>
      </c>
      <c r="M8982" t="s">
        <v>1289</v>
      </c>
      <c r="N8982" t="s">
        <v>3913</v>
      </c>
      <c r="O8982" t="s">
        <v>40164</v>
      </c>
      <c r="P8982" t="s">
        <v>40165</v>
      </c>
      <c r="Q8982" t="s">
        <v>40166</v>
      </c>
      <c r="R8982">
        <v>29</v>
      </c>
      <c r="S8982">
        <v>32</v>
      </c>
    </row>
    <row r="8983" spans="1:19" x14ac:dyDescent="0.35">
      <c r="A8983">
        <v>4381</v>
      </c>
      <c r="B8983" t="s">
        <v>1637</v>
      </c>
      <c r="C8983" t="s">
        <v>42</v>
      </c>
      <c r="D8983" t="s">
        <v>40167</v>
      </c>
      <c r="E8983" t="e" cm="1">
        <f t="array" ref="E8983">- OFLOXACIN</f>
        <v>#NAME?</v>
      </c>
      <c r="F8983" s="1">
        <v>46400</v>
      </c>
      <c r="H8983" t="s">
        <v>40168</v>
      </c>
      <c r="I8983" t="s">
        <v>40169</v>
      </c>
      <c r="J8983" t="s">
        <v>40170</v>
      </c>
      <c r="M8983" t="s">
        <v>824</v>
      </c>
      <c r="N8983" t="s">
        <v>1640</v>
      </c>
      <c r="O8983" t="s">
        <v>40171</v>
      </c>
      <c r="P8983" t="s">
        <v>40172</v>
      </c>
      <c r="Q8983" t="s">
        <v>40173</v>
      </c>
      <c r="R8983">
        <v>29</v>
      </c>
      <c r="S8983">
        <v>32</v>
      </c>
    </row>
    <row r="8984" spans="1:19" x14ac:dyDescent="0.35">
      <c r="A8984">
        <v>3041</v>
      </c>
      <c r="B8984" t="s">
        <v>36758</v>
      </c>
      <c r="C8984" t="s">
        <v>42</v>
      </c>
      <c r="D8984" t="s">
        <v>36759</v>
      </c>
      <c r="E8984" t="e" cm="1">
        <f t="array" ref="E8984">- SIMETHICONE. ALUMINIUM HYDROXIDE GEL. MAGNESIUM HYDROXIDE PASTE</f>
        <v>#NAME?</v>
      </c>
      <c r="F8984" t="s">
        <v>36760</v>
      </c>
      <c r="G8984" t="s">
        <v>36761</v>
      </c>
      <c r="H8984" t="s">
        <v>36762</v>
      </c>
      <c r="I8984" t="s">
        <v>36763</v>
      </c>
      <c r="J8984" t="s">
        <v>36170</v>
      </c>
      <c r="K8984" t="s">
        <v>21928</v>
      </c>
      <c r="L8984" t="s">
        <v>36764</v>
      </c>
      <c r="M8984" t="s">
        <v>340</v>
      </c>
      <c r="N8984" t="s">
        <v>40174</v>
      </c>
      <c r="O8984" t="s">
        <v>36765</v>
      </c>
      <c r="P8984" t="s">
        <v>23220</v>
      </c>
      <c r="Q8984" t="s">
        <v>40175</v>
      </c>
      <c r="R8984">
        <v>29</v>
      </c>
      <c r="S8984">
        <v>32</v>
      </c>
    </row>
    <row r="8985" spans="1:19" x14ac:dyDescent="0.35">
      <c r="A8985">
        <v>3040</v>
      </c>
      <c r="B8985" t="s">
        <v>36758</v>
      </c>
      <c r="C8985" t="s">
        <v>42</v>
      </c>
      <c r="D8985" t="s">
        <v>36759</v>
      </c>
      <c r="E8985" t="e" cm="1">
        <f t="array" ref="E8985">- SIMETHICONE. ALUMINIUM HYDROXIDE GEL. MAGNESIUM HYDROXIDE PASTE</f>
        <v>#NAME?</v>
      </c>
      <c r="F8985" t="s">
        <v>36760</v>
      </c>
      <c r="G8985" t="s">
        <v>36761</v>
      </c>
      <c r="H8985" t="s">
        <v>36762</v>
      </c>
      <c r="I8985" t="s">
        <v>36763</v>
      </c>
      <c r="J8985" t="s">
        <v>36170</v>
      </c>
      <c r="K8985" t="s">
        <v>21928</v>
      </c>
      <c r="L8985" t="s">
        <v>36764</v>
      </c>
      <c r="M8985" t="s">
        <v>340</v>
      </c>
      <c r="N8985" t="s">
        <v>40174</v>
      </c>
      <c r="O8985" t="s">
        <v>36765</v>
      </c>
      <c r="P8985" t="s">
        <v>23220</v>
      </c>
      <c r="Q8985" t="s">
        <v>40175</v>
      </c>
      <c r="R8985">
        <v>29</v>
      </c>
      <c r="S8985">
        <v>32</v>
      </c>
    </row>
    <row r="8986" spans="1:19" x14ac:dyDescent="0.35">
      <c r="A8986">
        <v>6631</v>
      </c>
      <c r="B8986" t="s">
        <v>40176</v>
      </c>
      <c r="C8986" t="s">
        <v>42</v>
      </c>
      <c r="D8986" t="s">
        <v>40177</v>
      </c>
      <c r="E8986" t="e" cm="1">
        <f t="array" ref="E8986">- ACICLOVIR</f>
        <v>#NAME?</v>
      </c>
      <c r="F8986" t="s">
        <v>40178</v>
      </c>
      <c r="H8986" t="s">
        <v>40179</v>
      </c>
      <c r="I8986" t="s">
        <v>40180</v>
      </c>
      <c r="J8986" t="s">
        <v>40181</v>
      </c>
      <c r="L8986" t="s">
        <v>40182</v>
      </c>
      <c r="M8986" t="s">
        <v>46</v>
      </c>
      <c r="N8986" t="s">
        <v>1685</v>
      </c>
      <c r="O8986" t="s">
        <v>40183</v>
      </c>
      <c r="P8986" t="s">
        <v>40184</v>
      </c>
      <c r="Q8986" t="s">
        <v>40185</v>
      </c>
      <c r="R8986">
        <v>29</v>
      </c>
      <c r="S8986">
        <v>32</v>
      </c>
    </row>
    <row r="8987" spans="1:19" x14ac:dyDescent="0.35">
      <c r="A8987">
        <v>7820</v>
      </c>
      <c r="B8987" t="s">
        <v>32619</v>
      </c>
      <c r="C8987" t="s">
        <v>20</v>
      </c>
      <c r="D8987" t="s">
        <v>40186</v>
      </c>
      <c r="E8987" t="s">
        <v>32621</v>
      </c>
      <c r="F8987" t="s">
        <v>40187</v>
      </c>
      <c r="G8987" t="s">
        <v>38536</v>
      </c>
      <c r="H8987" t="s">
        <v>38537</v>
      </c>
      <c r="I8987" t="s">
        <v>40188</v>
      </c>
      <c r="J8987" t="s">
        <v>38539</v>
      </c>
      <c r="N8987" t="s">
        <v>32623</v>
      </c>
      <c r="O8987" t="s">
        <v>40189</v>
      </c>
      <c r="P8987" t="s">
        <v>40190</v>
      </c>
      <c r="Q8987" t="s">
        <v>40191</v>
      </c>
      <c r="R8987">
        <v>29</v>
      </c>
      <c r="S8987">
        <v>32</v>
      </c>
    </row>
    <row r="8988" spans="1:19" x14ac:dyDescent="0.35">
      <c r="A8988">
        <v>6630</v>
      </c>
      <c r="B8988" t="s">
        <v>40176</v>
      </c>
      <c r="C8988" t="s">
        <v>42</v>
      </c>
      <c r="D8988" t="s">
        <v>40177</v>
      </c>
      <c r="E8988" t="e" cm="1">
        <f t="array" ref="E8988">- ACICLOVIR</f>
        <v>#NAME?</v>
      </c>
      <c r="F8988" t="s">
        <v>40178</v>
      </c>
      <c r="H8988" t="s">
        <v>40179</v>
      </c>
      <c r="I8988" t="s">
        <v>40180</v>
      </c>
      <c r="J8988" t="s">
        <v>40181</v>
      </c>
      <c r="L8988" t="s">
        <v>40182</v>
      </c>
      <c r="M8988" t="s">
        <v>46</v>
      </c>
      <c r="N8988" t="s">
        <v>1685</v>
      </c>
      <c r="O8988" t="s">
        <v>40183</v>
      </c>
      <c r="P8988" t="s">
        <v>40184</v>
      </c>
      <c r="Q8988" t="s">
        <v>40185</v>
      </c>
      <c r="R8988">
        <v>29</v>
      </c>
      <c r="S8988">
        <v>32</v>
      </c>
    </row>
    <row r="8989" spans="1:19" x14ac:dyDescent="0.35">
      <c r="A8989">
        <v>3071</v>
      </c>
      <c r="B8989" t="s">
        <v>40192</v>
      </c>
      <c r="C8989" t="s">
        <v>42</v>
      </c>
      <c r="D8989" t="s">
        <v>40193</v>
      </c>
      <c r="E8989" t="e" cm="1">
        <f t="array" ref="E8989">- DRIED ALUMINIUM HYDROXIDE GEL</f>
        <v>#NAME?</v>
      </c>
      <c r="F8989" t="s">
        <v>23133</v>
      </c>
      <c r="G8989" t="s">
        <v>40194</v>
      </c>
      <c r="H8989" t="s">
        <v>40195</v>
      </c>
      <c r="I8989" t="s">
        <v>40196</v>
      </c>
      <c r="J8989" t="s">
        <v>6679</v>
      </c>
      <c r="K8989" t="s">
        <v>40197</v>
      </c>
      <c r="L8989" t="s">
        <v>40198</v>
      </c>
      <c r="M8989" t="s">
        <v>340</v>
      </c>
      <c r="N8989" t="s">
        <v>4172</v>
      </c>
      <c r="O8989" t="s">
        <v>40199</v>
      </c>
      <c r="P8989" t="s">
        <v>37348</v>
      </c>
      <c r="Q8989" t="s">
        <v>40200</v>
      </c>
      <c r="R8989">
        <v>29</v>
      </c>
      <c r="S8989">
        <v>32</v>
      </c>
    </row>
    <row r="8990" spans="1:19" x14ac:dyDescent="0.35">
      <c r="A8990">
        <v>5335</v>
      </c>
      <c r="B8990" t="s">
        <v>7148</v>
      </c>
      <c r="C8990" t="s">
        <v>42</v>
      </c>
      <c r="D8990" t="s">
        <v>40127</v>
      </c>
      <c r="E8990" t="e" cm="1">
        <f t="array" ref="E8990">- SULFADIAZINE SILVER</f>
        <v>#NAME?</v>
      </c>
      <c r="F8990" s="1">
        <v>155400</v>
      </c>
      <c r="H8990" t="s">
        <v>40128</v>
      </c>
      <c r="I8990" t="s">
        <v>40129</v>
      </c>
      <c r="J8990" t="s">
        <v>40130</v>
      </c>
      <c r="K8990" t="s">
        <v>40131</v>
      </c>
      <c r="M8990" t="s">
        <v>1289</v>
      </c>
      <c r="N8990" t="s">
        <v>2849</v>
      </c>
      <c r="O8990" t="s">
        <v>40132</v>
      </c>
      <c r="P8990" t="s">
        <v>40133</v>
      </c>
      <c r="Q8990" t="s">
        <v>40134</v>
      </c>
      <c r="R8990">
        <v>29</v>
      </c>
      <c r="S8990">
        <v>32</v>
      </c>
    </row>
    <row r="8991" spans="1:19" x14ac:dyDescent="0.35">
      <c r="A8991">
        <v>3280</v>
      </c>
      <c r="B8991" t="s">
        <v>39983</v>
      </c>
      <c r="C8991" t="s">
        <v>42</v>
      </c>
      <c r="D8991" t="s">
        <v>39984</v>
      </c>
      <c r="E8991" t="e" cm="1">
        <f t="array" ref="E8991">- FAMOTIDINE</f>
        <v>#NAME?</v>
      </c>
      <c r="F8991" t="s">
        <v>39985</v>
      </c>
      <c r="G8991" t="s">
        <v>8512</v>
      </c>
      <c r="H8991" t="s">
        <v>39986</v>
      </c>
      <c r="I8991" t="s">
        <v>39987</v>
      </c>
      <c r="J8991" t="s">
        <v>4095</v>
      </c>
      <c r="L8991" t="s">
        <v>39988</v>
      </c>
      <c r="M8991" t="s">
        <v>291</v>
      </c>
      <c r="N8991" t="s">
        <v>10675</v>
      </c>
      <c r="O8991" t="s">
        <v>39989</v>
      </c>
      <c r="P8991" t="s">
        <v>39990</v>
      </c>
      <c r="Q8991" t="s">
        <v>39991</v>
      </c>
      <c r="R8991">
        <v>29</v>
      </c>
      <c r="S8991">
        <v>32</v>
      </c>
    </row>
    <row r="8992" spans="1:19" x14ac:dyDescent="0.35">
      <c r="A8992">
        <v>3126</v>
      </c>
      <c r="B8992" t="s">
        <v>40064</v>
      </c>
      <c r="C8992" t="s">
        <v>42</v>
      </c>
      <c r="D8992" t="s">
        <v>40065</v>
      </c>
      <c r="E8992" t="e" cm="1">
        <f t="array" ref="E8992">- PANTOPRAZOLE SODIUM SESQUIHYDRATE</f>
        <v>#NAME?</v>
      </c>
      <c r="F8992" t="s">
        <v>40066</v>
      </c>
      <c r="G8992" t="s">
        <v>40067</v>
      </c>
      <c r="H8992" t="s">
        <v>40068</v>
      </c>
      <c r="I8992" t="s">
        <v>40069</v>
      </c>
      <c r="J8992" t="s">
        <v>40070</v>
      </c>
      <c r="K8992" t="s">
        <v>40071</v>
      </c>
      <c r="L8992" t="s">
        <v>40072</v>
      </c>
      <c r="M8992" t="s">
        <v>46</v>
      </c>
      <c r="N8992" t="s">
        <v>14942</v>
      </c>
      <c r="O8992" t="s">
        <v>40073</v>
      </c>
      <c r="P8992" t="s">
        <v>34917</v>
      </c>
      <c r="Q8992" t="s">
        <v>40074</v>
      </c>
      <c r="R8992">
        <v>29</v>
      </c>
      <c r="S8992">
        <v>32</v>
      </c>
    </row>
    <row r="8993" spans="1:19" x14ac:dyDescent="0.35">
      <c r="A8993">
        <v>3406</v>
      </c>
      <c r="B8993" t="s">
        <v>40042</v>
      </c>
      <c r="C8993" t="s">
        <v>42</v>
      </c>
      <c r="D8993" t="s">
        <v>40043</v>
      </c>
      <c r="E8993" t="e" cm="1">
        <f t="array" ref="E8993">- TIMEPIDIUM BROMIDE</f>
        <v>#NAME?</v>
      </c>
      <c r="F8993" t="s">
        <v>40044</v>
      </c>
      <c r="G8993" t="s">
        <v>3098</v>
      </c>
      <c r="H8993" t="s">
        <v>40045</v>
      </c>
      <c r="I8993" t="s">
        <v>40046</v>
      </c>
      <c r="J8993" t="s">
        <v>40047</v>
      </c>
      <c r="K8993" t="s">
        <v>40048</v>
      </c>
      <c r="L8993" t="s">
        <v>40049</v>
      </c>
      <c r="M8993" t="s">
        <v>38</v>
      </c>
      <c r="N8993" t="s">
        <v>40050</v>
      </c>
      <c r="O8993" t="s">
        <v>40051</v>
      </c>
      <c r="P8993" t="s">
        <v>40052</v>
      </c>
      <c r="Q8993" t="s">
        <v>40053</v>
      </c>
      <c r="R8993">
        <v>29</v>
      </c>
      <c r="S8993">
        <v>32</v>
      </c>
    </row>
    <row r="8994" spans="1:19" x14ac:dyDescent="0.35">
      <c r="A8994">
        <v>3165</v>
      </c>
      <c r="B8994" t="s">
        <v>40201</v>
      </c>
      <c r="C8994" t="s">
        <v>42</v>
      </c>
      <c r="D8994" t="s">
        <v>40202</v>
      </c>
      <c r="E8994" t="e" cm="1">
        <f t="array" ref="E8994">- ALUMINIUM HYDROXIDE</f>
        <v>#NAME?</v>
      </c>
      <c r="F8994" t="s">
        <v>40203</v>
      </c>
      <c r="G8994" t="s">
        <v>40204</v>
      </c>
      <c r="H8994" t="s">
        <v>40205</v>
      </c>
      <c r="I8994" t="s">
        <v>40206</v>
      </c>
      <c r="J8994" t="s">
        <v>1144</v>
      </c>
      <c r="K8994" t="s">
        <v>27097</v>
      </c>
      <c r="L8994" t="s">
        <v>40207</v>
      </c>
      <c r="M8994" t="s">
        <v>340</v>
      </c>
      <c r="N8994" t="s">
        <v>1771</v>
      </c>
      <c r="O8994" t="s">
        <v>40208</v>
      </c>
      <c r="P8994" t="s">
        <v>40209</v>
      </c>
      <c r="Q8994" t="s">
        <v>40210</v>
      </c>
      <c r="R8994">
        <v>29</v>
      </c>
      <c r="S8994">
        <v>32</v>
      </c>
    </row>
    <row r="8995" spans="1:19" x14ac:dyDescent="0.35">
      <c r="A8995">
        <v>3389</v>
      </c>
      <c r="B8995" t="s">
        <v>40211</v>
      </c>
      <c r="C8995" t="s">
        <v>42</v>
      </c>
      <c r="D8995" t="s">
        <v>40212</v>
      </c>
      <c r="E8995" t="e" cm="1">
        <f t="array" ref="E8995">- RANITIDINE</f>
        <v>#NAME?</v>
      </c>
      <c r="F8995" t="s">
        <v>40213</v>
      </c>
      <c r="G8995" t="s">
        <v>737</v>
      </c>
      <c r="H8995" t="s">
        <v>1984</v>
      </c>
      <c r="I8995" t="s">
        <v>40214</v>
      </c>
      <c r="J8995" t="s">
        <v>381</v>
      </c>
      <c r="K8995" t="s">
        <v>2726</v>
      </c>
      <c r="L8995" t="s">
        <v>40215</v>
      </c>
      <c r="M8995" t="s">
        <v>46</v>
      </c>
      <c r="N8995" t="s">
        <v>34588</v>
      </c>
      <c r="O8995" t="s">
        <v>40216</v>
      </c>
      <c r="P8995" t="s">
        <v>40217</v>
      </c>
      <c r="Q8995" t="s">
        <v>40218</v>
      </c>
      <c r="R8995">
        <v>29</v>
      </c>
      <c r="S8995">
        <v>32</v>
      </c>
    </row>
    <row r="8996" spans="1:19" x14ac:dyDescent="0.35">
      <c r="A8996">
        <v>7435</v>
      </c>
      <c r="B8996" t="s">
        <v>40219</v>
      </c>
      <c r="C8996" t="s">
        <v>42</v>
      </c>
      <c r="D8996" t="s">
        <v>40220</v>
      </c>
      <c r="E8996" t="s">
        <v>40221</v>
      </c>
      <c r="F8996" s="1">
        <v>32600</v>
      </c>
      <c r="G8996" t="s">
        <v>40222</v>
      </c>
      <c r="H8996" t="s">
        <v>40223</v>
      </c>
      <c r="I8996" t="s">
        <v>40224</v>
      </c>
      <c r="J8996" t="s">
        <v>599</v>
      </c>
      <c r="K8996" t="s">
        <v>40225</v>
      </c>
      <c r="L8996" t="s">
        <v>40226</v>
      </c>
      <c r="M8996" t="s">
        <v>46</v>
      </c>
      <c r="N8996" t="s">
        <v>40227</v>
      </c>
      <c r="O8996" t="s">
        <v>40228</v>
      </c>
      <c r="P8996" t="s">
        <v>40229</v>
      </c>
      <c r="Q8996" t="s">
        <v>40230</v>
      </c>
      <c r="R8996">
        <v>29</v>
      </c>
      <c r="S8996">
        <v>32</v>
      </c>
    </row>
    <row r="8997" spans="1:19" x14ac:dyDescent="0.35">
      <c r="A8997">
        <v>3696</v>
      </c>
      <c r="B8997" t="s">
        <v>40231</v>
      </c>
      <c r="C8997" t="s">
        <v>42</v>
      </c>
      <c r="D8997" t="s">
        <v>40232</v>
      </c>
      <c r="E8997" t="e" cm="1">
        <f t="array" ref="E8997">- DOMPERIDONE</f>
        <v>#NAME?</v>
      </c>
      <c r="F8997" t="s">
        <v>40233</v>
      </c>
      <c r="G8997" t="s">
        <v>2706</v>
      </c>
      <c r="H8997" t="s">
        <v>40234</v>
      </c>
      <c r="I8997" t="s">
        <v>40235</v>
      </c>
      <c r="J8997" t="s">
        <v>532</v>
      </c>
      <c r="K8997" t="s">
        <v>40236</v>
      </c>
      <c r="L8997" t="s">
        <v>2711</v>
      </c>
      <c r="M8997" t="s">
        <v>46</v>
      </c>
      <c r="N8997" t="s">
        <v>341</v>
      </c>
      <c r="O8997" t="s">
        <v>40237</v>
      </c>
      <c r="P8997" t="s">
        <v>40238</v>
      </c>
      <c r="Q8997" t="s">
        <v>40239</v>
      </c>
      <c r="R8997">
        <v>29</v>
      </c>
      <c r="S8997">
        <v>32</v>
      </c>
    </row>
    <row r="8998" spans="1:19" x14ac:dyDescent="0.35">
      <c r="A8998">
        <v>779</v>
      </c>
      <c r="B8998" t="s">
        <v>40117</v>
      </c>
      <c r="C8998" t="s">
        <v>42</v>
      </c>
      <c r="D8998" t="s">
        <v>40118</v>
      </c>
      <c r="E8998" t="e" cm="1">
        <f t="array" ref="E8998">- PARACETAMOL. AMMONIUM CHLORIDE. PSEUDOEPHEDRINE HYDROCHLORIDE. CHLORPHENAMINE MALEATE. SUCCUS LIQUIRITIAE</f>
        <v>#NAME?</v>
      </c>
      <c r="F8998" t="s">
        <v>40119</v>
      </c>
      <c r="G8998" t="s">
        <v>2241</v>
      </c>
      <c r="H8998" t="s">
        <v>40120</v>
      </c>
      <c r="I8998" t="s">
        <v>40121</v>
      </c>
      <c r="J8998" t="s">
        <v>334</v>
      </c>
      <c r="K8998" t="s">
        <v>40122</v>
      </c>
      <c r="L8998" t="s">
        <v>40123</v>
      </c>
      <c r="M8998" t="s">
        <v>271</v>
      </c>
      <c r="N8998" t="s">
        <v>17299</v>
      </c>
      <c r="O8998" t="s">
        <v>35102</v>
      </c>
      <c r="P8998" t="s">
        <v>40125</v>
      </c>
      <c r="Q8998" t="s">
        <v>40240</v>
      </c>
      <c r="R8998">
        <v>29</v>
      </c>
      <c r="S8998">
        <v>32</v>
      </c>
    </row>
    <row r="8999" spans="1:19" x14ac:dyDescent="0.35">
      <c r="A8999">
        <v>5394</v>
      </c>
      <c r="B8999" t="s">
        <v>39067</v>
      </c>
      <c r="C8999" t="s">
        <v>42</v>
      </c>
      <c r="D8999" t="s">
        <v>39068</v>
      </c>
      <c r="E8999" t="e" cm="1">
        <f t="array" ref="E8999">- BACITRACIN ZINC. NEOMYCIN SULFATE</f>
        <v>#NAME?</v>
      </c>
      <c r="F8999" t="s">
        <v>39069</v>
      </c>
      <c r="G8999" t="s">
        <v>39070</v>
      </c>
      <c r="H8999" t="s">
        <v>39071</v>
      </c>
      <c r="I8999" t="s">
        <v>39072</v>
      </c>
      <c r="J8999" t="s">
        <v>2049</v>
      </c>
      <c r="K8999" t="s">
        <v>7294</v>
      </c>
      <c r="L8999" t="s">
        <v>39073</v>
      </c>
      <c r="M8999" t="s">
        <v>1029</v>
      </c>
      <c r="N8999" t="s">
        <v>11741</v>
      </c>
      <c r="O8999" t="s">
        <v>39074</v>
      </c>
      <c r="P8999" t="s">
        <v>39075</v>
      </c>
      <c r="Q8999" t="s">
        <v>40241</v>
      </c>
      <c r="R8999">
        <v>29</v>
      </c>
      <c r="S8999">
        <v>32</v>
      </c>
    </row>
    <row r="9000" spans="1:19" x14ac:dyDescent="0.35">
      <c r="A9000">
        <v>1129</v>
      </c>
      <c r="B9000" t="s">
        <v>35096</v>
      </c>
      <c r="C9000" t="s">
        <v>42</v>
      </c>
      <c r="D9000" t="s">
        <v>35097</v>
      </c>
      <c r="E9000" t="e" cm="1">
        <f t="array" ref="E9000">- SUCCUS LIQUIRITIAE. AMMONIUM CHLORIDE. PARACETAMOL. EPHEDRINE HYDROCHLORIDE. CHLORPHENAMINE MALEATE</f>
        <v>#NAME?</v>
      </c>
      <c r="F9000" t="s">
        <v>35098</v>
      </c>
      <c r="G9000" t="s">
        <v>4649</v>
      </c>
      <c r="H9000" t="s">
        <v>35099</v>
      </c>
      <c r="I9000" t="s">
        <v>35100</v>
      </c>
      <c r="J9000" t="s">
        <v>374</v>
      </c>
      <c r="K9000" t="s">
        <v>35101</v>
      </c>
      <c r="L9000" t="s">
        <v>2726</v>
      </c>
      <c r="M9000" t="s">
        <v>271</v>
      </c>
      <c r="N9000" t="s">
        <v>35709</v>
      </c>
      <c r="O9000" t="s">
        <v>35102</v>
      </c>
      <c r="P9000" t="s">
        <v>35103</v>
      </c>
      <c r="Q9000" t="s">
        <v>40242</v>
      </c>
      <c r="R9000">
        <v>29</v>
      </c>
      <c r="S9000">
        <v>32</v>
      </c>
    </row>
    <row r="9001" spans="1:19" x14ac:dyDescent="0.35">
      <c r="A9001">
        <v>3087</v>
      </c>
      <c r="B9001" t="s">
        <v>40243</v>
      </c>
      <c r="C9001" t="s">
        <v>42</v>
      </c>
      <c r="D9001" t="s">
        <v>40244</v>
      </c>
      <c r="E9001" t="e" cm="1">
        <f t="array" ref="E9001">- ESOMEPRAZOLE MAGNESIUM</f>
        <v>#NAME?</v>
      </c>
      <c r="F9001" t="s">
        <v>40245</v>
      </c>
      <c r="G9001" t="s">
        <v>40246</v>
      </c>
      <c r="H9001" t="s">
        <v>40247</v>
      </c>
      <c r="I9001" t="s">
        <v>40248</v>
      </c>
      <c r="J9001" t="s">
        <v>599</v>
      </c>
      <c r="K9001" t="s">
        <v>4677</v>
      </c>
      <c r="L9001" t="s">
        <v>40249</v>
      </c>
      <c r="M9001" t="s">
        <v>46</v>
      </c>
      <c r="N9001" t="s">
        <v>1978</v>
      </c>
      <c r="O9001" t="s">
        <v>40250</v>
      </c>
      <c r="P9001" t="s">
        <v>40251</v>
      </c>
      <c r="Q9001" t="s">
        <v>40252</v>
      </c>
      <c r="R9001">
        <v>29</v>
      </c>
      <c r="S9001">
        <v>32</v>
      </c>
    </row>
    <row r="9002" spans="1:19" x14ac:dyDescent="0.35">
      <c r="A9002">
        <v>3075</v>
      </c>
      <c r="B9002" t="s">
        <v>40192</v>
      </c>
      <c r="C9002" t="s">
        <v>42</v>
      </c>
      <c r="D9002" t="s">
        <v>40253</v>
      </c>
      <c r="E9002" t="e" cm="1">
        <f t="array" ref="E9002">- DRIED ALUMINIUM HYDROXIDE GEL</f>
        <v>#NAME?</v>
      </c>
      <c r="F9002" t="s">
        <v>40254</v>
      </c>
      <c r="G9002" t="s">
        <v>40255</v>
      </c>
      <c r="H9002" t="s">
        <v>40256</v>
      </c>
      <c r="I9002" t="s">
        <v>40196</v>
      </c>
      <c r="J9002" t="s">
        <v>1162</v>
      </c>
      <c r="K9002" t="s">
        <v>40197</v>
      </c>
      <c r="L9002" t="s">
        <v>40257</v>
      </c>
      <c r="M9002" t="s">
        <v>340</v>
      </c>
      <c r="N9002" t="s">
        <v>4172</v>
      </c>
      <c r="O9002" t="s">
        <v>40199</v>
      </c>
      <c r="P9002" t="s">
        <v>37348</v>
      </c>
      <c r="Q9002" t="s">
        <v>40200</v>
      </c>
      <c r="R9002">
        <v>29</v>
      </c>
      <c r="S9002">
        <v>32</v>
      </c>
    </row>
    <row r="9003" spans="1:19" x14ac:dyDescent="0.35">
      <c r="A9003">
        <v>5190</v>
      </c>
      <c r="B9003" t="s">
        <v>39992</v>
      </c>
      <c r="C9003" t="s">
        <v>42</v>
      </c>
      <c r="D9003" t="s">
        <v>39993</v>
      </c>
      <c r="E9003" t="e" cm="1">
        <f t="array" ref="E9003">- ACICLOVIR</f>
        <v>#NAME?</v>
      </c>
      <c r="F9003" t="s">
        <v>39994</v>
      </c>
      <c r="G9003" t="s">
        <v>30654</v>
      </c>
      <c r="H9003" t="s">
        <v>39995</v>
      </c>
      <c r="I9003" t="s">
        <v>39572</v>
      </c>
      <c r="J9003" t="s">
        <v>7123</v>
      </c>
      <c r="K9003" t="s">
        <v>2726</v>
      </c>
      <c r="L9003" t="s">
        <v>39573</v>
      </c>
      <c r="M9003" t="s">
        <v>1289</v>
      </c>
      <c r="N9003" t="s">
        <v>1685</v>
      </c>
      <c r="O9003" t="s">
        <v>39574</v>
      </c>
      <c r="P9003" t="s">
        <v>39996</v>
      </c>
      <c r="Q9003" t="s">
        <v>39997</v>
      </c>
      <c r="R9003">
        <v>29</v>
      </c>
      <c r="S9003">
        <v>32</v>
      </c>
    </row>
    <row r="9004" spans="1:19" x14ac:dyDescent="0.35">
      <c r="A9004">
        <v>3072</v>
      </c>
      <c r="B9004" t="s">
        <v>40192</v>
      </c>
      <c r="C9004" t="s">
        <v>42</v>
      </c>
      <c r="D9004" t="s">
        <v>40193</v>
      </c>
      <c r="E9004" t="e" cm="1">
        <f t="array" ref="E9004">- DRIED ALUMINIUM HYDROXIDE GEL</f>
        <v>#NAME?</v>
      </c>
      <c r="F9004" t="s">
        <v>23133</v>
      </c>
      <c r="G9004" t="s">
        <v>40194</v>
      </c>
      <c r="H9004" t="s">
        <v>40195</v>
      </c>
      <c r="I9004" t="s">
        <v>40196</v>
      </c>
      <c r="J9004" t="s">
        <v>6679</v>
      </c>
      <c r="K9004" t="s">
        <v>40197</v>
      </c>
      <c r="L9004" t="s">
        <v>40198</v>
      </c>
      <c r="M9004" t="s">
        <v>340</v>
      </c>
      <c r="N9004" t="s">
        <v>4172</v>
      </c>
      <c r="O9004" t="s">
        <v>40199</v>
      </c>
      <c r="P9004" t="s">
        <v>37348</v>
      </c>
      <c r="Q9004" t="s">
        <v>40200</v>
      </c>
      <c r="R9004">
        <v>29</v>
      </c>
      <c r="S9004">
        <v>32</v>
      </c>
    </row>
    <row r="9005" spans="1:19" x14ac:dyDescent="0.35">
      <c r="A9005">
        <v>613</v>
      </c>
      <c r="B9005" t="s">
        <v>37947</v>
      </c>
      <c r="C9005" t="s">
        <v>42</v>
      </c>
      <c r="D9005" t="s">
        <v>40258</v>
      </c>
      <c r="E9005" t="e" cm="1">
        <f t="array" ref="E9005">- FORMOTEROL FUMARATE DIHYDRATE. BECLOMETASONE DIPROPIONATE</f>
        <v>#NAME?</v>
      </c>
      <c r="F9005" s="1">
        <v>701800</v>
      </c>
      <c r="G9005" t="s">
        <v>40259</v>
      </c>
      <c r="H9005" t="s">
        <v>40260</v>
      </c>
      <c r="I9005" t="s">
        <v>40261</v>
      </c>
      <c r="J9005" t="s">
        <v>40262</v>
      </c>
      <c r="K9005" t="s">
        <v>40263</v>
      </c>
      <c r="L9005" t="s">
        <v>40264</v>
      </c>
      <c r="M9005" t="s">
        <v>3423</v>
      </c>
      <c r="N9005" t="s">
        <v>37955</v>
      </c>
      <c r="O9005" t="s">
        <v>40265</v>
      </c>
      <c r="P9005" t="s">
        <v>40266</v>
      </c>
      <c r="Q9005" t="s">
        <v>40267</v>
      </c>
      <c r="R9005">
        <v>29</v>
      </c>
      <c r="S9005">
        <v>32</v>
      </c>
    </row>
    <row r="9006" spans="1:19" x14ac:dyDescent="0.35">
      <c r="A9006">
        <v>3325</v>
      </c>
      <c r="B9006" t="s">
        <v>40268</v>
      </c>
      <c r="C9006" t="s">
        <v>42</v>
      </c>
      <c r="D9006" t="s">
        <v>40269</v>
      </c>
      <c r="E9006" t="e" cm="1">
        <f t="array" ref="E9006">- ALUMINIUM HYDROXIDE</f>
        <v>#NAME?</v>
      </c>
      <c r="F9006" s="1">
        <v>13600</v>
      </c>
      <c r="G9006" t="s">
        <v>40270</v>
      </c>
      <c r="H9006" t="s">
        <v>40271</v>
      </c>
      <c r="I9006" t="s">
        <v>40272</v>
      </c>
      <c r="J9006" t="s">
        <v>40273</v>
      </c>
      <c r="K9006" t="s">
        <v>11904</v>
      </c>
      <c r="L9006" t="s">
        <v>11905</v>
      </c>
      <c r="M9006" t="s">
        <v>46</v>
      </c>
      <c r="N9006" t="s">
        <v>1771</v>
      </c>
      <c r="O9006" t="s">
        <v>40274</v>
      </c>
      <c r="P9006" t="s">
        <v>40275</v>
      </c>
      <c r="Q9006" t="s">
        <v>40276</v>
      </c>
      <c r="R9006">
        <v>29</v>
      </c>
      <c r="S9006">
        <v>32</v>
      </c>
    </row>
    <row r="9007" spans="1:19" x14ac:dyDescent="0.35">
      <c r="A9007">
        <v>3306</v>
      </c>
      <c r="B9007" t="s">
        <v>11897</v>
      </c>
      <c r="C9007" t="s">
        <v>42</v>
      </c>
      <c r="D9007" t="s">
        <v>36660</v>
      </c>
      <c r="E9007" t="s">
        <v>24549</v>
      </c>
      <c r="F9007" t="s">
        <v>36661</v>
      </c>
      <c r="G9007" t="s">
        <v>36662</v>
      </c>
      <c r="H9007" t="s">
        <v>36663</v>
      </c>
      <c r="I9007" t="s">
        <v>36664</v>
      </c>
    </row>
    <row r="9008" spans="1:19" x14ac:dyDescent="0.35">
      <c r="A9008">
        <v>3076</v>
      </c>
      <c r="B9008" t="s">
        <v>40192</v>
      </c>
      <c r="C9008" t="s">
        <v>42</v>
      </c>
      <c r="D9008" t="s">
        <v>40253</v>
      </c>
      <c r="E9008" t="e" cm="1">
        <f t="array" ref="E9008">- DRIED ALUMINIUM HYDROXIDE GEL</f>
        <v>#NAME?</v>
      </c>
      <c r="F9008" t="s">
        <v>40254</v>
      </c>
      <c r="G9008" t="s">
        <v>40255</v>
      </c>
      <c r="H9008" t="s">
        <v>40256</v>
      </c>
      <c r="I9008" t="s">
        <v>40196</v>
      </c>
      <c r="J9008" t="s">
        <v>1162</v>
      </c>
      <c r="K9008" t="s">
        <v>40197</v>
      </c>
      <c r="L9008" t="s">
        <v>40257</v>
      </c>
      <c r="M9008" t="s">
        <v>340</v>
      </c>
      <c r="N9008" t="s">
        <v>4172</v>
      </c>
      <c r="O9008" t="s">
        <v>40199</v>
      </c>
      <c r="P9008" t="s">
        <v>37348</v>
      </c>
      <c r="Q9008" t="s">
        <v>40200</v>
      </c>
      <c r="R9008">
        <v>29</v>
      </c>
      <c r="S9008">
        <v>32</v>
      </c>
    </row>
    <row r="9009" spans="1:19" x14ac:dyDescent="0.35">
      <c r="A9009">
        <v>1128</v>
      </c>
      <c r="B9009" t="s">
        <v>35096</v>
      </c>
      <c r="C9009" t="s">
        <v>42</v>
      </c>
      <c r="D9009" t="s">
        <v>35097</v>
      </c>
      <c r="E9009" t="e" cm="1">
        <f t="array" ref="E9009">- SUCCUS LIQUIRITIAE. PARACETAMOL. AMMONIUM CHLORIDE. PSEUDOEPHEDRINE HYDROCHLORIDE. CHLORPHENAMINE MALEATE</f>
        <v>#NAME?</v>
      </c>
      <c r="F9009" t="s">
        <v>35098</v>
      </c>
      <c r="G9009" t="s">
        <v>4649</v>
      </c>
      <c r="H9009" t="s">
        <v>35099</v>
      </c>
      <c r="I9009" t="s">
        <v>35100</v>
      </c>
      <c r="J9009" t="s">
        <v>374</v>
      </c>
      <c r="K9009" t="s">
        <v>35101</v>
      </c>
      <c r="L9009" t="s">
        <v>2726</v>
      </c>
      <c r="M9009" t="s">
        <v>271</v>
      </c>
      <c r="N9009" t="s">
        <v>38013</v>
      </c>
      <c r="O9009" t="s">
        <v>35102</v>
      </c>
      <c r="P9009" t="s">
        <v>35103</v>
      </c>
      <c r="Q9009" t="s">
        <v>40277</v>
      </c>
      <c r="R9009">
        <v>29</v>
      </c>
      <c r="S9009">
        <v>32</v>
      </c>
    </row>
    <row r="9010" spans="1:19" x14ac:dyDescent="0.35">
      <c r="A9010">
        <v>1130</v>
      </c>
      <c r="B9010" t="s">
        <v>35096</v>
      </c>
      <c r="C9010" t="s">
        <v>42</v>
      </c>
      <c r="D9010" t="s">
        <v>35097</v>
      </c>
      <c r="E9010" t="e" cm="1">
        <f t="array" ref="E9010">- SUCCUS LIQUIRITIAE. AMMONIUM CHLORIDE. PARACETAMOL. EPHEDRINE HYDROCHLORIDE. CHLORPHENAMINE MALEATE</f>
        <v>#NAME?</v>
      </c>
      <c r="F9010" t="s">
        <v>35098</v>
      </c>
      <c r="G9010" t="s">
        <v>4649</v>
      </c>
      <c r="H9010" t="s">
        <v>35099</v>
      </c>
      <c r="I9010" t="s">
        <v>35100</v>
      </c>
      <c r="J9010" t="s">
        <v>374</v>
      </c>
      <c r="K9010" t="s">
        <v>35101</v>
      </c>
      <c r="L9010" t="s">
        <v>2726</v>
      </c>
      <c r="M9010" t="s">
        <v>271</v>
      </c>
      <c r="N9010" t="s">
        <v>35709</v>
      </c>
      <c r="O9010" t="s">
        <v>35102</v>
      </c>
      <c r="P9010" t="s">
        <v>35103</v>
      </c>
      <c r="Q9010" t="s">
        <v>40242</v>
      </c>
      <c r="R9010">
        <v>29</v>
      </c>
      <c r="S9010">
        <v>32</v>
      </c>
    </row>
    <row r="9011" spans="1:19" x14ac:dyDescent="0.35">
      <c r="A9011">
        <v>4299</v>
      </c>
      <c r="B9011" t="s">
        <v>40278</v>
      </c>
      <c r="C9011" t="s">
        <v>42</v>
      </c>
      <c r="D9011" t="s">
        <v>40279</v>
      </c>
      <c r="E9011" t="e" cm="1">
        <f t="array" ref="E9011">- TRIAMCINOLONE</f>
        <v>#NAME?</v>
      </c>
      <c r="F9011" s="1">
        <v>1600</v>
      </c>
      <c r="G9011" t="s">
        <v>4045</v>
      </c>
      <c r="H9011" t="s">
        <v>40280</v>
      </c>
      <c r="I9011" t="s">
        <v>40281</v>
      </c>
    </row>
    <row r="9012" spans="1:19" x14ac:dyDescent="0.35">
      <c r="A9012">
        <v>3877</v>
      </c>
      <c r="B9012" t="s">
        <v>40282</v>
      </c>
      <c r="C9012" t="s">
        <v>42</v>
      </c>
      <c r="D9012" t="s">
        <v>40283</v>
      </c>
      <c r="E9012" t="e" cm="1">
        <f t="array" ref="E9012">- PYRANTEL PAMOATE</f>
        <v>#NAME?</v>
      </c>
      <c r="F9012" t="s">
        <v>40284</v>
      </c>
      <c r="G9012" t="s">
        <v>10857</v>
      </c>
      <c r="H9012" t="s">
        <v>40285</v>
      </c>
      <c r="I9012" t="s">
        <v>40286</v>
      </c>
      <c r="J9012" t="s">
        <v>40287</v>
      </c>
      <c r="K9012" t="s">
        <v>40288</v>
      </c>
      <c r="L9012" t="s">
        <v>40289</v>
      </c>
      <c r="M9012" t="s">
        <v>46</v>
      </c>
      <c r="N9012" t="s">
        <v>1335</v>
      </c>
      <c r="O9012" t="s">
        <v>40290</v>
      </c>
      <c r="P9012" t="s">
        <v>40291</v>
      </c>
      <c r="Q9012" t="s">
        <v>40292</v>
      </c>
      <c r="R9012">
        <v>29</v>
      </c>
      <c r="S9012">
        <v>32</v>
      </c>
    </row>
    <row r="9013" spans="1:19" x14ac:dyDescent="0.35">
      <c r="A9013">
        <v>3400</v>
      </c>
      <c r="B9013" t="s">
        <v>40293</v>
      </c>
      <c r="C9013" t="s">
        <v>42</v>
      </c>
      <c r="D9013" t="s">
        <v>40294</v>
      </c>
      <c r="E9013" t="e" cm="1">
        <f t="array" ref="E9013">- ESOMEPRAZOLE MAGNESIUM</f>
        <v>#NAME?</v>
      </c>
      <c r="F9013" t="s">
        <v>40295</v>
      </c>
      <c r="G9013" t="s">
        <v>40246</v>
      </c>
      <c r="H9013" t="s">
        <v>40247</v>
      </c>
      <c r="I9013" t="s">
        <v>40248</v>
      </c>
      <c r="J9013" t="s">
        <v>20799</v>
      </c>
      <c r="K9013" t="s">
        <v>4677</v>
      </c>
      <c r="L9013" t="s">
        <v>40249</v>
      </c>
      <c r="M9013" t="s">
        <v>46</v>
      </c>
      <c r="N9013" t="s">
        <v>1978</v>
      </c>
      <c r="O9013" t="s">
        <v>40250</v>
      </c>
      <c r="P9013" t="s">
        <v>37436</v>
      </c>
      <c r="Q9013" t="s">
        <v>40296</v>
      </c>
      <c r="R9013">
        <v>29</v>
      </c>
      <c r="S9013">
        <v>32</v>
      </c>
    </row>
    <row r="9014" spans="1:19" x14ac:dyDescent="0.35">
      <c r="A9014">
        <v>5975</v>
      </c>
      <c r="B9014" t="s">
        <v>40297</v>
      </c>
      <c r="C9014" t="s">
        <v>42</v>
      </c>
      <c r="D9014" t="s">
        <v>40298</v>
      </c>
      <c r="E9014" t="e" cm="1">
        <f t="array" ref="E9014">- SULFAMETHOXAZOLE</f>
        <v>#NAME?</v>
      </c>
      <c r="F9014" s="1">
        <v>20400</v>
      </c>
      <c r="G9014" t="s">
        <v>2241</v>
      </c>
      <c r="H9014" t="s">
        <v>40299</v>
      </c>
      <c r="I9014" t="s">
        <v>40300</v>
      </c>
      <c r="J9014" t="s">
        <v>727</v>
      </c>
      <c r="K9014" t="s">
        <v>40301</v>
      </c>
    </row>
    <row r="9015" spans="1:19" x14ac:dyDescent="0.35">
      <c r="A9015">
        <v>1127</v>
      </c>
      <c r="B9015" t="s">
        <v>35096</v>
      </c>
      <c r="C9015" t="s">
        <v>42</v>
      </c>
      <c r="D9015" t="s">
        <v>35097</v>
      </c>
      <c r="E9015" t="e" cm="1">
        <f t="array" ref="E9015">- SUCCUS LIQUIRITIAE. PARACETAMOL. AMMONIUM CHLORIDE. PSEUDOEPHEDRINE HYDROCHLORIDE. CHLORPHENAMINE MALEATE</f>
        <v>#NAME?</v>
      </c>
      <c r="F9015" t="s">
        <v>35098</v>
      </c>
      <c r="G9015" t="s">
        <v>4649</v>
      </c>
      <c r="H9015" t="s">
        <v>35099</v>
      </c>
      <c r="I9015" t="s">
        <v>35100</v>
      </c>
      <c r="J9015" t="s">
        <v>374</v>
      </c>
      <c r="K9015" t="s">
        <v>35101</v>
      </c>
      <c r="L9015" t="s">
        <v>2726</v>
      </c>
      <c r="M9015" t="s">
        <v>271</v>
      </c>
      <c r="N9015" t="s">
        <v>38013</v>
      </c>
      <c r="O9015" t="s">
        <v>35102</v>
      </c>
      <c r="P9015" t="s">
        <v>35103</v>
      </c>
      <c r="Q9015" t="s">
        <v>40277</v>
      </c>
      <c r="R9015">
        <v>29</v>
      </c>
      <c r="S9015">
        <v>32</v>
      </c>
    </row>
    <row r="9016" spans="1:19" x14ac:dyDescent="0.35">
      <c r="A9016">
        <v>3145</v>
      </c>
      <c r="B9016" t="s">
        <v>40302</v>
      </c>
      <c r="C9016" t="s">
        <v>42</v>
      </c>
      <c r="D9016" t="s">
        <v>40303</v>
      </c>
      <c r="E9016" t="e" cm="1">
        <f t="array" ref="E9016">- ESOMEPRAZOLE MAGNESIUM</f>
        <v>#NAME?</v>
      </c>
      <c r="F9016" t="s">
        <v>40304</v>
      </c>
      <c r="G9016" t="s">
        <v>40246</v>
      </c>
      <c r="H9016" t="s">
        <v>40247</v>
      </c>
      <c r="I9016" t="s">
        <v>40248</v>
      </c>
      <c r="J9016" t="s">
        <v>599</v>
      </c>
      <c r="K9016" t="s">
        <v>4677</v>
      </c>
      <c r="L9016" t="s">
        <v>40249</v>
      </c>
      <c r="M9016" t="s">
        <v>46</v>
      </c>
      <c r="N9016" t="s">
        <v>1978</v>
      </c>
      <c r="O9016" t="s">
        <v>40250</v>
      </c>
      <c r="P9016" t="s">
        <v>40251</v>
      </c>
      <c r="Q9016" t="s">
        <v>40252</v>
      </c>
      <c r="R9016">
        <v>29</v>
      </c>
      <c r="S9016">
        <v>32</v>
      </c>
    </row>
    <row r="9017" spans="1:19" x14ac:dyDescent="0.35">
      <c r="A9017">
        <v>3876</v>
      </c>
      <c r="B9017" t="s">
        <v>40282</v>
      </c>
      <c r="C9017" t="s">
        <v>42</v>
      </c>
      <c r="D9017" t="s">
        <v>40283</v>
      </c>
      <c r="E9017" t="e" cm="1">
        <f t="array" ref="E9017">- PYRANTEL PAMOATE</f>
        <v>#NAME?</v>
      </c>
      <c r="F9017" t="s">
        <v>40284</v>
      </c>
      <c r="G9017" t="s">
        <v>10857</v>
      </c>
      <c r="H9017" t="s">
        <v>40285</v>
      </c>
      <c r="I9017" t="s">
        <v>40286</v>
      </c>
      <c r="J9017" t="s">
        <v>40287</v>
      </c>
      <c r="K9017" t="s">
        <v>40288</v>
      </c>
      <c r="L9017" t="s">
        <v>40289</v>
      </c>
      <c r="M9017" t="s">
        <v>46</v>
      </c>
      <c r="N9017" t="s">
        <v>1335</v>
      </c>
      <c r="O9017" t="s">
        <v>40290</v>
      </c>
      <c r="P9017" t="s">
        <v>40291</v>
      </c>
      <c r="Q9017" t="s">
        <v>40292</v>
      </c>
      <c r="R9017">
        <v>29</v>
      </c>
      <c r="S9017">
        <v>32</v>
      </c>
    </row>
    <row r="9018" spans="1:19" x14ac:dyDescent="0.35">
      <c r="A9018">
        <v>3599</v>
      </c>
      <c r="B9018" t="s">
        <v>39526</v>
      </c>
      <c r="C9018" t="s">
        <v>42</v>
      </c>
      <c r="D9018" t="s">
        <v>39527</v>
      </c>
      <c r="E9018" t="e" cm="1">
        <f t="array" ref="E9018">- METOCLOPRAMIDE HYDROCHLORIDE MONOHYDRATE</f>
        <v>#NAME?</v>
      </c>
      <c r="F9018" t="s">
        <v>39528</v>
      </c>
      <c r="G9018" t="s">
        <v>26259</v>
      </c>
      <c r="H9018" t="s">
        <v>39529</v>
      </c>
      <c r="I9018" t="s">
        <v>39530</v>
      </c>
      <c r="J9018" t="s">
        <v>39531</v>
      </c>
      <c r="K9018" t="s">
        <v>39532</v>
      </c>
      <c r="L9018" t="s">
        <v>39533</v>
      </c>
      <c r="M9018" t="s">
        <v>271</v>
      </c>
      <c r="N9018" t="s">
        <v>2774</v>
      </c>
      <c r="O9018" t="s">
        <v>39534</v>
      </c>
      <c r="P9018" t="s">
        <v>31424</v>
      </c>
      <c r="Q9018" t="s">
        <v>40305</v>
      </c>
      <c r="R9018">
        <v>29</v>
      </c>
      <c r="S9018">
        <v>32</v>
      </c>
    </row>
    <row r="9019" spans="1:19" x14ac:dyDescent="0.35">
      <c r="A9019">
        <v>7259</v>
      </c>
      <c r="B9019" t="s">
        <v>40306</v>
      </c>
      <c r="C9019" t="s">
        <v>850</v>
      </c>
      <c r="D9019" t="s">
        <v>40307</v>
      </c>
      <c r="E9019" t="e" cm="1">
        <f t="array" ref="E9019">- CAMPHOR.  USP Synthetic</f>
        <v>#NAME?</v>
      </c>
      <c r="F9019" t="s">
        <v>40308</v>
      </c>
      <c r="G9019" t="s">
        <v>40309</v>
      </c>
      <c r="H9019" t="s">
        <v>40310</v>
      </c>
      <c r="I9019" t="s">
        <v>40311</v>
      </c>
      <c r="J9019" t="s">
        <v>40312</v>
      </c>
      <c r="K9019" t="s">
        <v>40313</v>
      </c>
      <c r="L9019" t="s">
        <v>40314</v>
      </c>
      <c r="M9019" t="s">
        <v>1289</v>
      </c>
      <c r="N9019" t="s">
        <v>40315</v>
      </c>
      <c r="O9019" t="s">
        <v>40316</v>
      </c>
      <c r="P9019" t="s">
        <v>40317</v>
      </c>
      <c r="Q9019" t="s">
        <v>40318</v>
      </c>
      <c r="R9019">
        <v>29</v>
      </c>
      <c r="S9019">
        <v>32</v>
      </c>
    </row>
    <row r="9020" spans="1:19" x14ac:dyDescent="0.35">
      <c r="A9020">
        <v>6705</v>
      </c>
      <c r="B9020" t="s">
        <v>40319</v>
      </c>
      <c r="C9020" t="s">
        <v>42</v>
      </c>
      <c r="D9020" t="s">
        <v>40320</v>
      </c>
      <c r="E9020" t="e" cm="1">
        <f t="array" ref="E9020">- IBANDRONIC ACID</f>
        <v>#NAME?</v>
      </c>
      <c r="F9020" s="1">
        <v>623300</v>
      </c>
      <c r="G9020" t="s">
        <v>40321</v>
      </c>
      <c r="H9020" t="s">
        <v>40322</v>
      </c>
      <c r="I9020" t="s">
        <v>40323</v>
      </c>
      <c r="J9020" t="s">
        <v>40324</v>
      </c>
      <c r="K9020" t="s">
        <v>40325</v>
      </c>
      <c r="L9020" t="s">
        <v>40326</v>
      </c>
      <c r="M9020" t="s">
        <v>46</v>
      </c>
      <c r="N9020" t="s">
        <v>40327</v>
      </c>
      <c r="O9020" t="s">
        <v>40328</v>
      </c>
      <c r="P9020" t="s">
        <v>40329</v>
      </c>
      <c r="Q9020" t="s">
        <v>40330</v>
      </c>
      <c r="R9020">
        <v>29</v>
      </c>
      <c r="S9020">
        <v>32</v>
      </c>
    </row>
    <row r="9021" spans="1:19" x14ac:dyDescent="0.35">
      <c r="A9021">
        <v>3305</v>
      </c>
      <c r="B9021" t="s">
        <v>11897</v>
      </c>
      <c r="C9021" t="s">
        <v>42</v>
      </c>
      <c r="D9021" t="s">
        <v>36660</v>
      </c>
      <c r="E9021" t="s">
        <v>24549</v>
      </c>
      <c r="F9021" t="s">
        <v>36661</v>
      </c>
      <c r="G9021" t="s">
        <v>36662</v>
      </c>
      <c r="H9021" t="s">
        <v>36663</v>
      </c>
      <c r="I9021" t="s">
        <v>36664</v>
      </c>
    </row>
    <row r="9022" spans="1:19" x14ac:dyDescent="0.35">
      <c r="A9022">
        <v>3875</v>
      </c>
      <c r="B9022" t="s">
        <v>40331</v>
      </c>
      <c r="C9022" t="s">
        <v>42</v>
      </c>
      <c r="D9022" t="s">
        <v>40332</v>
      </c>
      <c r="E9022" t="e" cm="1">
        <f t="array" ref="E9022">- PYRANTEL PAMOATE</f>
        <v>#NAME?</v>
      </c>
      <c r="F9022" t="s">
        <v>33765</v>
      </c>
      <c r="G9022" t="s">
        <v>10857</v>
      </c>
      <c r="H9022" t="s">
        <v>40333</v>
      </c>
      <c r="I9022" t="s">
        <v>40286</v>
      </c>
      <c r="J9022" t="s">
        <v>40334</v>
      </c>
      <c r="K9022" t="s">
        <v>40288</v>
      </c>
      <c r="L9022" t="s">
        <v>40289</v>
      </c>
      <c r="M9022" t="s">
        <v>46</v>
      </c>
      <c r="N9022" t="s">
        <v>1335</v>
      </c>
      <c r="O9022" t="s">
        <v>40290</v>
      </c>
      <c r="P9022" t="s">
        <v>40291</v>
      </c>
      <c r="Q9022" t="s">
        <v>40292</v>
      </c>
      <c r="R9022">
        <v>29</v>
      </c>
      <c r="S9022">
        <v>32</v>
      </c>
    </row>
    <row r="9023" spans="1:19" x14ac:dyDescent="0.35">
      <c r="A9023">
        <v>3873</v>
      </c>
      <c r="B9023" t="s">
        <v>40335</v>
      </c>
      <c r="C9023" t="s">
        <v>42</v>
      </c>
      <c r="D9023" t="s">
        <v>40336</v>
      </c>
      <c r="E9023" t="e" cm="1">
        <f t="array" ref="E9023">- PYRANTEL PAMOATE</f>
        <v>#NAME?</v>
      </c>
      <c r="F9023" t="s">
        <v>15614</v>
      </c>
      <c r="G9023" t="s">
        <v>10857</v>
      </c>
      <c r="H9023" t="s">
        <v>40337</v>
      </c>
      <c r="I9023" t="s">
        <v>40286</v>
      </c>
      <c r="J9023" t="s">
        <v>1647</v>
      </c>
      <c r="K9023" t="s">
        <v>40288</v>
      </c>
      <c r="L9023" t="s">
        <v>40289</v>
      </c>
      <c r="M9023" t="s">
        <v>340</v>
      </c>
      <c r="N9023" t="s">
        <v>1335</v>
      </c>
      <c r="O9023" t="s">
        <v>40290</v>
      </c>
      <c r="P9023" t="s">
        <v>40338</v>
      </c>
      <c r="Q9023" t="s">
        <v>40339</v>
      </c>
      <c r="R9023">
        <v>30</v>
      </c>
      <c r="S9023">
        <v>32</v>
      </c>
    </row>
    <row r="9024" spans="1:19" x14ac:dyDescent="0.35">
      <c r="A9024">
        <v>3093</v>
      </c>
      <c r="B9024" t="s">
        <v>40340</v>
      </c>
      <c r="C9024" t="s">
        <v>42</v>
      </c>
      <c r="D9024" t="s">
        <v>40341</v>
      </c>
      <c r="E9024" t="e" cm="1">
        <f t="array" ref="E9024">- MAGNESIUM HYDROXIDE. HYDROTALCITE. SIMETHICONE</f>
        <v>#NAME?</v>
      </c>
      <c r="F9024" t="s">
        <v>40342</v>
      </c>
      <c r="G9024" t="s">
        <v>40343</v>
      </c>
      <c r="H9024" t="s">
        <v>40344</v>
      </c>
      <c r="I9024" t="s">
        <v>40345</v>
      </c>
      <c r="J9024" t="s">
        <v>577</v>
      </c>
      <c r="K9024" t="s">
        <v>34155</v>
      </c>
      <c r="L9024" t="s">
        <v>40346</v>
      </c>
      <c r="M9024" t="s">
        <v>340</v>
      </c>
      <c r="N9024" t="s">
        <v>40347</v>
      </c>
      <c r="O9024" t="s">
        <v>40348</v>
      </c>
      <c r="P9024" t="s">
        <v>39751</v>
      </c>
      <c r="Q9024" t="s">
        <v>40349</v>
      </c>
      <c r="R9024">
        <v>30</v>
      </c>
      <c r="S9024">
        <v>32</v>
      </c>
    </row>
    <row r="9025" spans="1:19" x14ac:dyDescent="0.35">
      <c r="A9025">
        <v>1019</v>
      </c>
      <c r="B9025" t="s">
        <v>37983</v>
      </c>
      <c r="C9025" t="s">
        <v>42</v>
      </c>
      <c r="D9025" t="s">
        <v>40350</v>
      </c>
      <c r="E9025" t="e" cm="1">
        <f t="array" ref="E9025">- AMMONIUM CHLORIDE. PARACETAMOL. CHLORPHENAMINE MALEATE. EPHEDRINE HYDROCHLORIDE. SUCCUS LIQUIRITIAE</f>
        <v>#NAME?</v>
      </c>
      <c r="F9025" t="s">
        <v>40351</v>
      </c>
      <c r="G9025" t="s">
        <v>2453</v>
      </c>
      <c r="H9025" t="s">
        <v>40352</v>
      </c>
      <c r="I9025" t="s">
        <v>30131</v>
      </c>
      <c r="J9025" t="s">
        <v>16407</v>
      </c>
      <c r="K9025" t="s">
        <v>35663</v>
      </c>
      <c r="L9025" t="s">
        <v>40353</v>
      </c>
      <c r="M9025" t="s">
        <v>271</v>
      </c>
      <c r="N9025" t="s">
        <v>37987</v>
      </c>
      <c r="O9025" t="s">
        <v>30135</v>
      </c>
      <c r="P9025" t="s">
        <v>37989</v>
      </c>
      <c r="Q9025" t="s">
        <v>40354</v>
      </c>
      <c r="R9025">
        <v>30</v>
      </c>
      <c r="S9025">
        <v>32</v>
      </c>
    </row>
    <row r="9026" spans="1:19" x14ac:dyDescent="0.35">
      <c r="A9026">
        <v>7600</v>
      </c>
      <c r="B9026" t="s">
        <v>40355</v>
      </c>
      <c r="C9026" t="s">
        <v>20</v>
      </c>
      <c r="D9026" t="s">
        <v>40356</v>
      </c>
      <c r="E9026" t="s">
        <v>36812</v>
      </c>
      <c r="F9026" t="s">
        <v>40357</v>
      </c>
      <c r="G9026" t="s">
        <v>2241</v>
      </c>
      <c r="H9026" t="s">
        <v>36138</v>
      </c>
      <c r="I9026" t="s">
        <v>35420</v>
      </c>
      <c r="J9026" t="s">
        <v>40358</v>
      </c>
      <c r="K9026" t="s">
        <v>36139</v>
      </c>
      <c r="L9026" t="s">
        <v>36140</v>
      </c>
      <c r="M9026" t="s">
        <v>63</v>
      </c>
      <c r="N9026" t="s">
        <v>36814</v>
      </c>
      <c r="O9026" t="s">
        <v>35423</v>
      </c>
      <c r="P9026" t="s">
        <v>40359</v>
      </c>
      <c r="Q9026" t="s">
        <v>40360</v>
      </c>
      <c r="R9026">
        <v>30</v>
      </c>
      <c r="S9026">
        <v>32</v>
      </c>
    </row>
    <row r="9027" spans="1:19" x14ac:dyDescent="0.35">
      <c r="A9027">
        <v>7601</v>
      </c>
      <c r="B9027" t="s">
        <v>40355</v>
      </c>
      <c r="C9027" t="s">
        <v>20</v>
      </c>
      <c r="D9027" t="s">
        <v>40356</v>
      </c>
      <c r="E9027" t="s">
        <v>36812</v>
      </c>
      <c r="F9027" t="s">
        <v>40357</v>
      </c>
      <c r="G9027" t="s">
        <v>2241</v>
      </c>
      <c r="H9027" t="s">
        <v>36138</v>
      </c>
      <c r="I9027" t="s">
        <v>35420</v>
      </c>
      <c r="J9027" t="s">
        <v>40358</v>
      </c>
      <c r="K9027" t="s">
        <v>36139</v>
      </c>
      <c r="L9027" t="s">
        <v>36140</v>
      </c>
      <c r="M9027" t="s">
        <v>63</v>
      </c>
      <c r="N9027" t="s">
        <v>36814</v>
      </c>
      <c r="O9027" t="s">
        <v>35423</v>
      </c>
      <c r="P9027" t="s">
        <v>40359</v>
      </c>
      <c r="Q9027" t="s">
        <v>40360</v>
      </c>
      <c r="R9027">
        <v>30</v>
      </c>
      <c r="S9027">
        <v>32</v>
      </c>
    </row>
    <row r="9028" spans="1:19" x14ac:dyDescent="0.35">
      <c r="A9028">
        <v>3088</v>
      </c>
      <c r="B9028" t="s">
        <v>40361</v>
      </c>
      <c r="C9028" t="s">
        <v>42</v>
      </c>
      <c r="D9028" t="s">
        <v>40362</v>
      </c>
      <c r="E9028" t="e" cm="1">
        <f t="array" ref="E9028">- OMEPRAZOLE PELLET</f>
        <v>#NAME?</v>
      </c>
      <c r="F9028" t="s">
        <v>40363</v>
      </c>
      <c r="G9028" t="s">
        <v>737</v>
      </c>
      <c r="H9028" t="s">
        <v>2724</v>
      </c>
      <c r="I9028" t="s">
        <v>39331</v>
      </c>
      <c r="J9028" t="s">
        <v>20737</v>
      </c>
      <c r="K9028" t="s">
        <v>39333</v>
      </c>
      <c r="L9028" t="s">
        <v>40364</v>
      </c>
    </row>
    <row r="9029" spans="1:19" x14ac:dyDescent="0.35">
      <c r="A9029">
        <v>7881</v>
      </c>
      <c r="B9029" t="s">
        <v>19692</v>
      </c>
      <c r="C9029" t="s">
        <v>20</v>
      </c>
      <c r="D9029" t="s">
        <v>40365</v>
      </c>
      <c r="E9029" t="s">
        <v>19694</v>
      </c>
      <c r="F9029" t="s">
        <v>40366</v>
      </c>
      <c r="H9029" t="s">
        <v>14102</v>
      </c>
      <c r="I9029" t="s">
        <v>40367</v>
      </c>
      <c r="J9029" t="s">
        <v>40368</v>
      </c>
      <c r="L9029" t="s">
        <v>40369</v>
      </c>
      <c r="M9029" t="s">
        <v>38</v>
      </c>
      <c r="N9029" t="s">
        <v>19697</v>
      </c>
      <c r="O9029" t="s">
        <v>40370</v>
      </c>
      <c r="P9029" t="s">
        <v>40371</v>
      </c>
      <c r="Q9029" t="s">
        <v>40372</v>
      </c>
      <c r="R9029">
        <v>30</v>
      </c>
      <c r="S9029">
        <v>32</v>
      </c>
    </row>
    <row r="9030" spans="1:19" x14ac:dyDescent="0.35">
      <c r="A9030">
        <v>7836</v>
      </c>
      <c r="B9030" t="s">
        <v>40373</v>
      </c>
      <c r="C9030" t="s">
        <v>20</v>
      </c>
      <c r="D9030" t="s">
        <v>40374</v>
      </c>
      <c r="E9030" t="s">
        <v>40375</v>
      </c>
      <c r="F9030" t="s">
        <v>40376</v>
      </c>
      <c r="G9030" t="s">
        <v>2241</v>
      </c>
      <c r="H9030" t="s">
        <v>6956</v>
      </c>
      <c r="I9030" t="s">
        <v>40377</v>
      </c>
      <c r="J9030" t="s">
        <v>355</v>
      </c>
      <c r="M9030" t="s">
        <v>38</v>
      </c>
      <c r="N9030" t="s">
        <v>40378</v>
      </c>
      <c r="O9030" t="s">
        <v>40379</v>
      </c>
      <c r="P9030" t="s">
        <v>40378</v>
      </c>
      <c r="Q9030" t="s">
        <v>40380</v>
      </c>
      <c r="R9030">
        <v>30</v>
      </c>
      <c r="S9030">
        <v>32</v>
      </c>
    </row>
    <row r="9031" spans="1:19" x14ac:dyDescent="0.35">
      <c r="A9031">
        <v>5163</v>
      </c>
      <c r="B9031" t="s">
        <v>40158</v>
      </c>
      <c r="C9031" t="s">
        <v>42</v>
      </c>
      <c r="D9031" t="s">
        <v>40159</v>
      </c>
      <c r="E9031" t="e" cm="1">
        <f t="array" ref="E9031">- GENTAMICIN SULFATE</f>
        <v>#NAME?</v>
      </c>
      <c r="F9031" t="s">
        <v>40160</v>
      </c>
      <c r="G9031" t="s">
        <v>37941</v>
      </c>
      <c r="H9031" t="s">
        <v>40161</v>
      </c>
      <c r="I9031" t="s">
        <v>40162</v>
      </c>
      <c r="J9031" t="s">
        <v>2049</v>
      </c>
      <c r="K9031" t="s">
        <v>34175</v>
      </c>
      <c r="L9031" t="s">
        <v>40163</v>
      </c>
      <c r="M9031" t="s">
        <v>1289</v>
      </c>
      <c r="N9031" t="s">
        <v>6119</v>
      </c>
      <c r="O9031" t="s">
        <v>40164</v>
      </c>
      <c r="P9031" t="s">
        <v>40165</v>
      </c>
      <c r="Q9031" t="s">
        <v>40381</v>
      </c>
      <c r="R9031">
        <v>30</v>
      </c>
      <c r="S9031">
        <v>32</v>
      </c>
    </row>
    <row r="9032" spans="1:19" x14ac:dyDescent="0.35">
      <c r="A9032">
        <v>7886</v>
      </c>
      <c r="B9032" t="s">
        <v>40382</v>
      </c>
      <c r="C9032" t="s">
        <v>20</v>
      </c>
      <c r="D9032" t="s">
        <v>40383</v>
      </c>
      <c r="E9032" t="s">
        <v>40384</v>
      </c>
      <c r="F9032" t="s">
        <v>40385</v>
      </c>
      <c r="I9032" t="s">
        <v>40386</v>
      </c>
      <c r="J9032" t="s">
        <v>28050</v>
      </c>
      <c r="L9032" t="s">
        <v>40387</v>
      </c>
      <c r="M9032" t="s">
        <v>63</v>
      </c>
      <c r="N9032" t="s">
        <v>40388</v>
      </c>
      <c r="O9032" t="s">
        <v>40389</v>
      </c>
      <c r="P9032" t="s">
        <v>40390</v>
      </c>
      <c r="Q9032" t="s">
        <v>40391</v>
      </c>
      <c r="R9032">
        <v>30</v>
      </c>
      <c r="S9032">
        <v>32</v>
      </c>
    </row>
    <row r="9033" spans="1:19" x14ac:dyDescent="0.35">
      <c r="A9033">
        <v>3032</v>
      </c>
      <c r="B9033" t="s">
        <v>36758</v>
      </c>
      <c r="C9033" t="s">
        <v>42</v>
      </c>
      <c r="D9033" t="s">
        <v>40392</v>
      </c>
      <c r="E9033" t="e" cm="1">
        <f t="array" ref="E9033">- ALUMINIUM HYDROXIDE</f>
        <v>#NAME?</v>
      </c>
      <c r="F9033" t="s">
        <v>40393</v>
      </c>
      <c r="G9033" t="s">
        <v>39452</v>
      </c>
      <c r="H9033" t="s">
        <v>39453</v>
      </c>
      <c r="I9033" t="s">
        <v>40394</v>
      </c>
      <c r="J9033" t="s">
        <v>374</v>
      </c>
      <c r="K9033" t="s">
        <v>40395</v>
      </c>
      <c r="L9033" t="s">
        <v>40396</v>
      </c>
      <c r="M9033" t="s">
        <v>340</v>
      </c>
      <c r="N9033" t="s">
        <v>1771</v>
      </c>
      <c r="O9033" t="s">
        <v>40397</v>
      </c>
      <c r="P9033" t="s">
        <v>23220</v>
      </c>
      <c r="Q9033" t="s">
        <v>40398</v>
      </c>
      <c r="R9033">
        <v>30</v>
      </c>
      <c r="S9033">
        <v>32</v>
      </c>
    </row>
    <row r="9034" spans="1:19" x14ac:dyDescent="0.35">
      <c r="A9034">
        <v>1865</v>
      </c>
      <c r="B9034" t="s">
        <v>36447</v>
      </c>
      <c r="C9034" t="s">
        <v>42</v>
      </c>
      <c r="D9034" t="s">
        <v>36448</v>
      </c>
      <c r="E9034" t="e" cm="1">
        <f t="array" ref="E9034">- AMMONIUM CHLORIDE. SUCCUS LIQUIRITIAE. EPHEDRINE HYDROCHLORIDE. CHLORPHENAMINE MALEATE. PARACETAMOL</f>
        <v>#NAME?</v>
      </c>
      <c r="F9034" t="s">
        <v>36449</v>
      </c>
      <c r="G9034" t="s">
        <v>2241</v>
      </c>
      <c r="H9034" t="s">
        <v>36450</v>
      </c>
      <c r="I9034" t="s">
        <v>29641</v>
      </c>
      <c r="J9034" t="s">
        <v>17181</v>
      </c>
      <c r="K9034" t="s">
        <v>36451</v>
      </c>
      <c r="L9034" t="s">
        <v>36452</v>
      </c>
      <c r="M9034" t="s">
        <v>271</v>
      </c>
      <c r="N9034" t="s">
        <v>40399</v>
      </c>
      <c r="O9034" t="s">
        <v>29642</v>
      </c>
      <c r="P9034" t="s">
        <v>36453</v>
      </c>
      <c r="Q9034" t="s">
        <v>40400</v>
      </c>
      <c r="R9034">
        <v>30</v>
      </c>
      <c r="S9034">
        <v>32</v>
      </c>
    </row>
    <row r="9035" spans="1:19" x14ac:dyDescent="0.35">
      <c r="A9035">
        <v>6661</v>
      </c>
      <c r="B9035" t="s">
        <v>40401</v>
      </c>
      <c r="C9035" t="s">
        <v>42</v>
      </c>
      <c r="D9035" t="s">
        <v>40402</v>
      </c>
      <c r="E9035" t="e" cm="1">
        <f t="array" ref="E9035">- FAVIPIRAVIR</f>
        <v>#NAME?</v>
      </c>
      <c r="F9035" s="1">
        <v>225000</v>
      </c>
      <c r="G9035" t="s">
        <v>40403</v>
      </c>
      <c r="H9035" t="s">
        <v>40404</v>
      </c>
      <c r="I9035" t="s">
        <v>40405</v>
      </c>
      <c r="J9035" t="s">
        <v>40406</v>
      </c>
      <c r="K9035" t="s">
        <v>40407</v>
      </c>
      <c r="L9035" t="s">
        <v>40408</v>
      </c>
      <c r="M9035" t="s">
        <v>46</v>
      </c>
      <c r="N9035" t="s">
        <v>33679</v>
      </c>
      <c r="O9035" t="s">
        <v>40409</v>
      </c>
      <c r="P9035" t="s">
        <v>40410</v>
      </c>
      <c r="Q9035" t="s">
        <v>40411</v>
      </c>
      <c r="R9035">
        <v>30</v>
      </c>
      <c r="S9035">
        <v>32</v>
      </c>
    </row>
    <row r="9036" spans="1:19" x14ac:dyDescent="0.35">
      <c r="A9036">
        <v>3155</v>
      </c>
      <c r="B9036" t="s">
        <v>40412</v>
      </c>
      <c r="C9036" t="s">
        <v>42</v>
      </c>
      <c r="D9036" t="s">
        <v>40413</v>
      </c>
      <c r="E9036" t="e" cm="1">
        <f t="array" ref="E9036">- DRIED ALUMINIUM HYDROXIDE GEL</f>
        <v>#NAME?</v>
      </c>
      <c r="F9036" t="s">
        <v>40414</v>
      </c>
      <c r="G9036" t="s">
        <v>4545</v>
      </c>
      <c r="H9036" t="s">
        <v>37524</v>
      </c>
      <c r="I9036" t="s">
        <v>40415</v>
      </c>
      <c r="J9036" t="s">
        <v>40273</v>
      </c>
      <c r="K9036" t="s">
        <v>11904</v>
      </c>
      <c r="L9036" t="s">
        <v>11905</v>
      </c>
      <c r="M9036" t="s">
        <v>46</v>
      </c>
      <c r="N9036" t="s">
        <v>4172</v>
      </c>
      <c r="O9036" t="s">
        <v>40416</v>
      </c>
      <c r="P9036" t="s">
        <v>40417</v>
      </c>
      <c r="Q9036" t="s">
        <v>40418</v>
      </c>
      <c r="R9036">
        <v>30</v>
      </c>
      <c r="S9036">
        <v>32</v>
      </c>
    </row>
    <row r="9037" spans="1:19" x14ac:dyDescent="0.35">
      <c r="A9037">
        <v>8561</v>
      </c>
      <c r="B9037" t="s">
        <v>40419</v>
      </c>
      <c r="C9037" t="s">
        <v>42</v>
      </c>
      <c r="D9037" t="s">
        <v>40420</v>
      </c>
      <c r="E9037" t="e" cm="1">
        <f t="array" ref="E9037">- METFORMIN HYDROCHLORIDE</f>
        <v>#NAME?</v>
      </c>
      <c r="F9037" t="s">
        <v>40421</v>
      </c>
      <c r="G9037" t="s">
        <v>40422</v>
      </c>
      <c r="H9037" t="s">
        <v>40423</v>
      </c>
      <c r="I9037" t="s">
        <v>40424</v>
      </c>
      <c r="J9037" t="s">
        <v>45</v>
      </c>
      <c r="K9037" t="s">
        <v>40425</v>
      </c>
      <c r="L9037" t="s">
        <v>40426</v>
      </c>
      <c r="M9037" t="s">
        <v>46</v>
      </c>
      <c r="N9037" t="s">
        <v>30728</v>
      </c>
      <c r="O9037" t="s">
        <v>40427</v>
      </c>
      <c r="P9037" t="s">
        <v>38082</v>
      </c>
      <c r="Q9037" t="s">
        <v>40428</v>
      </c>
      <c r="R9037">
        <v>30</v>
      </c>
      <c r="S9037">
        <v>32</v>
      </c>
    </row>
    <row r="9038" spans="1:19" x14ac:dyDescent="0.35">
      <c r="A9038">
        <v>8562</v>
      </c>
      <c r="B9038" t="s">
        <v>40419</v>
      </c>
      <c r="C9038" t="s">
        <v>42</v>
      </c>
      <c r="D9038" t="s">
        <v>40420</v>
      </c>
      <c r="E9038" t="e" cm="1">
        <f t="array" ref="E9038">- METFORMIN HYDROCHLORIDE</f>
        <v>#NAME?</v>
      </c>
      <c r="F9038" t="s">
        <v>40421</v>
      </c>
      <c r="G9038" t="s">
        <v>40422</v>
      </c>
      <c r="H9038" t="s">
        <v>40423</v>
      </c>
      <c r="I9038" t="s">
        <v>40424</v>
      </c>
      <c r="J9038" t="s">
        <v>45</v>
      </c>
      <c r="K9038" t="s">
        <v>40425</v>
      </c>
      <c r="L9038" t="s">
        <v>40426</v>
      </c>
      <c r="M9038" t="s">
        <v>46</v>
      </c>
      <c r="N9038" t="s">
        <v>30728</v>
      </c>
      <c r="O9038" t="s">
        <v>40427</v>
      </c>
      <c r="P9038" t="s">
        <v>38082</v>
      </c>
      <c r="Q9038" t="s">
        <v>40428</v>
      </c>
      <c r="R9038">
        <v>30</v>
      </c>
      <c r="S9038">
        <v>32</v>
      </c>
    </row>
    <row r="9039" spans="1:19" x14ac:dyDescent="0.35">
      <c r="A9039">
        <v>1016</v>
      </c>
      <c r="B9039" t="s">
        <v>37983</v>
      </c>
      <c r="C9039" t="s">
        <v>42</v>
      </c>
      <c r="D9039" t="s">
        <v>40350</v>
      </c>
      <c r="E9039" t="e" cm="1">
        <f t="array" ref="E9039">- SUCCUS LIQUIRITIAE. PARACETAMOL. AMMONIUM CHLORIDE. PSEUDOEPHEDRINE HYDROCHLORIDE. CHLORPHENAMINE MALEATE</f>
        <v>#NAME?</v>
      </c>
      <c r="F9039" t="s">
        <v>40351</v>
      </c>
      <c r="G9039" t="s">
        <v>2453</v>
      </c>
      <c r="H9039" t="s">
        <v>40352</v>
      </c>
      <c r="I9039" t="s">
        <v>30131</v>
      </c>
      <c r="J9039" t="s">
        <v>16407</v>
      </c>
      <c r="K9039" t="s">
        <v>35663</v>
      </c>
      <c r="L9039" t="s">
        <v>40353</v>
      </c>
      <c r="M9039" t="s">
        <v>271</v>
      </c>
      <c r="N9039" t="s">
        <v>38013</v>
      </c>
      <c r="O9039" t="s">
        <v>30135</v>
      </c>
      <c r="P9039" t="s">
        <v>37989</v>
      </c>
      <c r="Q9039" t="s">
        <v>40429</v>
      </c>
      <c r="R9039">
        <v>30</v>
      </c>
      <c r="S9039">
        <v>32</v>
      </c>
    </row>
    <row r="9040" spans="1:19" x14ac:dyDescent="0.35">
      <c r="A9040">
        <v>5695</v>
      </c>
      <c r="B9040" t="s">
        <v>40430</v>
      </c>
      <c r="C9040" t="s">
        <v>42</v>
      </c>
      <c r="D9040" t="s">
        <v>40431</v>
      </c>
      <c r="E9040" t="e" cm="1">
        <f t="array" ref="E9040">- SULFAMETHOXAZOLE</f>
        <v>#NAME?</v>
      </c>
      <c r="F9040" t="s">
        <v>40432</v>
      </c>
      <c r="G9040" t="s">
        <v>2241</v>
      </c>
      <c r="H9040" t="s">
        <v>40433</v>
      </c>
      <c r="I9040" t="s">
        <v>40434</v>
      </c>
      <c r="J9040" t="s">
        <v>381</v>
      </c>
      <c r="K9040" t="s">
        <v>40435</v>
      </c>
      <c r="L9040" t="s">
        <v>40436</v>
      </c>
      <c r="M9040" t="s">
        <v>46</v>
      </c>
      <c r="N9040" t="s">
        <v>478</v>
      </c>
      <c r="O9040" t="s">
        <v>40437</v>
      </c>
      <c r="P9040" t="s">
        <v>40438</v>
      </c>
      <c r="Q9040" t="s">
        <v>40439</v>
      </c>
      <c r="R9040">
        <v>30</v>
      </c>
      <c r="S9040">
        <v>32</v>
      </c>
    </row>
    <row r="9041" spans="1:19" x14ac:dyDescent="0.35">
      <c r="A9041">
        <v>6662</v>
      </c>
      <c r="B9041" t="s">
        <v>40401</v>
      </c>
      <c r="C9041" t="s">
        <v>42</v>
      </c>
      <c r="D9041" t="s">
        <v>40402</v>
      </c>
      <c r="E9041" t="e" cm="1">
        <f t="array" ref="E9041">- FAVIPIRAVIR</f>
        <v>#NAME?</v>
      </c>
      <c r="F9041" s="1">
        <v>225000</v>
      </c>
      <c r="G9041" t="s">
        <v>40403</v>
      </c>
      <c r="H9041" t="s">
        <v>40404</v>
      </c>
      <c r="I9041" t="s">
        <v>40405</v>
      </c>
      <c r="J9041" t="s">
        <v>40406</v>
      </c>
      <c r="K9041" t="s">
        <v>40407</v>
      </c>
      <c r="L9041" t="s">
        <v>40408</v>
      </c>
      <c r="M9041" t="s">
        <v>46</v>
      </c>
      <c r="N9041" t="s">
        <v>33679</v>
      </c>
      <c r="O9041" t="s">
        <v>40409</v>
      </c>
      <c r="P9041" t="s">
        <v>40410</v>
      </c>
      <c r="Q9041" t="s">
        <v>40411</v>
      </c>
      <c r="R9041">
        <v>30</v>
      </c>
      <c r="S9041">
        <v>32</v>
      </c>
    </row>
    <row r="9042" spans="1:19" x14ac:dyDescent="0.35">
      <c r="A9042">
        <v>2518</v>
      </c>
      <c r="B9042" t="s">
        <v>40440</v>
      </c>
      <c r="C9042" t="s">
        <v>42</v>
      </c>
      <c r="D9042" t="s">
        <v>40441</v>
      </c>
      <c r="E9042" t="e" cm="1">
        <f t="array" ref="E9042">- DICLOFENAC POTASSIUM</f>
        <v>#NAME?</v>
      </c>
      <c r="F9042" t="s">
        <v>40442</v>
      </c>
      <c r="G9042" t="s">
        <v>6166</v>
      </c>
      <c r="H9042" t="s">
        <v>2596</v>
      </c>
      <c r="I9042" t="s">
        <v>40443</v>
      </c>
      <c r="J9042" t="s">
        <v>12241</v>
      </c>
      <c r="L9042" t="s">
        <v>40444</v>
      </c>
      <c r="M9042" t="s">
        <v>46</v>
      </c>
      <c r="N9042" t="s">
        <v>2637</v>
      </c>
      <c r="O9042" t="s">
        <v>40445</v>
      </c>
      <c r="P9042" t="s">
        <v>40446</v>
      </c>
      <c r="Q9042" t="s">
        <v>40447</v>
      </c>
      <c r="R9042">
        <v>30</v>
      </c>
      <c r="S9042">
        <v>32</v>
      </c>
    </row>
    <row r="9043" spans="1:19" x14ac:dyDescent="0.35">
      <c r="A9043">
        <v>2517</v>
      </c>
      <c r="B9043" t="s">
        <v>40440</v>
      </c>
      <c r="C9043" t="s">
        <v>42</v>
      </c>
      <c r="D9043" t="s">
        <v>40441</v>
      </c>
      <c r="E9043" t="e" cm="1">
        <f t="array" ref="E9043">- DICLOFENAC POTASSIUM</f>
        <v>#NAME?</v>
      </c>
      <c r="F9043" t="s">
        <v>40442</v>
      </c>
      <c r="G9043" t="s">
        <v>6166</v>
      </c>
      <c r="H9043" t="s">
        <v>2596</v>
      </c>
      <c r="I9043" t="s">
        <v>40443</v>
      </c>
      <c r="J9043" t="s">
        <v>12241</v>
      </c>
      <c r="L9043" t="s">
        <v>40444</v>
      </c>
      <c r="M9043" t="s">
        <v>46</v>
      </c>
      <c r="N9043" t="s">
        <v>2637</v>
      </c>
      <c r="O9043" t="s">
        <v>40445</v>
      </c>
      <c r="P9043" t="s">
        <v>40446</v>
      </c>
      <c r="Q9043" t="s">
        <v>40447</v>
      </c>
      <c r="R9043">
        <v>30</v>
      </c>
      <c r="S9043">
        <v>32</v>
      </c>
    </row>
    <row r="9044" spans="1:19" x14ac:dyDescent="0.35">
      <c r="A9044">
        <v>1133</v>
      </c>
      <c r="B9044" t="s">
        <v>35096</v>
      </c>
      <c r="C9044" t="s">
        <v>42</v>
      </c>
      <c r="D9044" t="s">
        <v>35660</v>
      </c>
      <c r="E9044" t="e" cm="1">
        <f t="array" ref="E9044">- SUCCUS LIQUIRITIAE. PARACETAMOL. AMMONIUM CHLORIDE. PSEUDOEPHEDRINE HYDROCHLORIDE. CHLORPHENAMINE MALEATE</f>
        <v>#NAME?</v>
      </c>
      <c r="F9044" t="s">
        <v>35661</v>
      </c>
      <c r="G9044" t="s">
        <v>4649</v>
      </c>
      <c r="H9044" t="s">
        <v>35662</v>
      </c>
      <c r="I9044" t="s">
        <v>30300</v>
      </c>
      <c r="J9044" t="s">
        <v>21307</v>
      </c>
      <c r="K9044" t="s">
        <v>35663</v>
      </c>
      <c r="L9044" t="s">
        <v>35664</v>
      </c>
      <c r="M9044" t="s">
        <v>271</v>
      </c>
      <c r="N9044" t="s">
        <v>38013</v>
      </c>
      <c r="O9044" t="s">
        <v>35665</v>
      </c>
      <c r="P9044" t="s">
        <v>35103</v>
      </c>
      <c r="Q9044" t="s">
        <v>40448</v>
      </c>
      <c r="R9044">
        <v>30</v>
      </c>
      <c r="S9044">
        <v>32</v>
      </c>
    </row>
    <row r="9045" spans="1:19" x14ac:dyDescent="0.35">
      <c r="A9045">
        <v>718</v>
      </c>
      <c r="B9045" t="s">
        <v>40449</v>
      </c>
      <c r="C9045" t="s">
        <v>20</v>
      </c>
      <c r="D9045" t="s">
        <v>40450</v>
      </c>
      <c r="E9045" t="s">
        <v>40451</v>
      </c>
      <c r="F9045" t="s">
        <v>40452</v>
      </c>
      <c r="G9045" t="s">
        <v>40453</v>
      </c>
      <c r="H9045" t="s">
        <v>40454</v>
      </c>
      <c r="I9045" t="s">
        <v>40455</v>
      </c>
      <c r="J9045" t="s">
        <v>19180</v>
      </c>
      <c r="M9045" t="s">
        <v>2115</v>
      </c>
      <c r="N9045" t="s">
        <v>40456</v>
      </c>
      <c r="O9045" t="s">
        <v>40457</v>
      </c>
      <c r="P9045" t="s">
        <v>40458</v>
      </c>
      <c r="Q9045" t="s">
        <v>40459</v>
      </c>
      <c r="R9045">
        <v>30</v>
      </c>
      <c r="S9045">
        <v>32</v>
      </c>
    </row>
    <row r="9046" spans="1:19" x14ac:dyDescent="0.35">
      <c r="A9046">
        <v>1139</v>
      </c>
      <c r="B9046" t="s">
        <v>40460</v>
      </c>
      <c r="C9046" t="s">
        <v>42</v>
      </c>
      <c r="D9046" t="s">
        <v>40461</v>
      </c>
      <c r="E9046" t="e" cm="1">
        <f t="array" ref="E9046">- PARACETAMOL. CHLORPHENAMINE MALEATE. PHENYLEPHRINE HYDROCHLORIDE. SUCCUS LIQUIRITIAE. AMMONIUM CHLORIDE</f>
        <v>#NAME?</v>
      </c>
      <c r="F9046" t="s">
        <v>40462</v>
      </c>
      <c r="G9046" t="s">
        <v>2241</v>
      </c>
      <c r="H9046" t="s">
        <v>36450</v>
      </c>
      <c r="I9046" t="s">
        <v>29641</v>
      </c>
      <c r="J9046" t="s">
        <v>17181</v>
      </c>
      <c r="K9046" t="e" cm="1">
        <f t="array" ref="K9046">- penderita dengan gangguan jantung dan diabetes mellitus. - penderita dengan gangguan fungsi hati yang berat. - penderita hipersensitif terhadap komponen obat ini.</f>
        <v>#NAME?</v>
      </c>
      <c r="L9046" t="s">
        <v>40463</v>
      </c>
      <c r="M9046" t="s">
        <v>271</v>
      </c>
      <c r="N9046" t="s">
        <v>40464</v>
      </c>
      <c r="O9046" t="s">
        <v>29642</v>
      </c>
      <c r="P9046" t="s">
        <v>40465</v>
      </c>
      <c r="Q9046" t="s">
        <v>40466</v>
      </c>
      <c r="R9046">
        <v>30</v>
      </c>
      <c r="S9046">
        <v>32</v>
      </c>
    </row>
    <row r="9047" spans="1:19" x14ac:dyDescent="0.35">
      <c r="A9047">
        <v>4262</v>
      </c>
      <c r="B9047" t="s">
        <v>40467</v>
      </c>
      <c r="C9047" t="s">
        <v>42</v>
      </c>
      <c r="D9047" t="s">
        <v>40468</v>
      </c>
      <c r="E9047" t="e" cm="1">
        <f t="array" ref="E9047">- RAMIPRIL</f>
        <v>#NAME?</v>
      </c>
      <c r="F9047" t="s">
        <v>40469</v>
      </c>
      <c r="G9047" t="s">
        <v>737</v>
      </c>
      <c r="H9047" t="s">
        <v>9221</v>
      </c>
      <c r="I9047" t="s">
        <v>40470</v>
      </c>
      <c r="J9047" t="s">
        <v>40471</v>
      </c>
      <c r="K9047" t="s">
        <v>40472</v>
      </c>
      <c r="L9047" t="s">
        <v>40473</v>
      </c>
      <c r="M9047" t="s">
        <v>46</v>
      </c>
      <c r="N9047" t="s">
        <v>2222</v>
      </c>
      <c r="O9047" t="s">
        <v>40474</v>
      </c>
      <c r="P9047" t="s">
        <v>40475</v>
      </c>
      <c r="Q9047" t="s">
        <v>40476</v>
      </c>
      <c r="R9047">
        <v>30</v>
      </c>
      <c r="S9047">
        <v>32</v>
      </c>
    </row>
    <row r="9048" spans="1:19" x14ac:dyDescent="0.35">
      <c r="A9048">
        <v>1134</v>
      </c>
      <c r="B9048" t="s">
        <v>35096</v>
      </c>
      <c r="C9048" t="s">
        <v>42</v>
      </c>
      <c r="D9048" t="s">
        <v>35660</v>
      </c>
      <c r="E9048" t="e" cm="1">
        <f t="array" ref="E9048">- SUCCUS LIQUIRITIAE. PARACETAMOL. AMMONIUM CHLORIDE. PSEUDOEPHEDRINE HYDROCHLORIDE. CHLORPHENAMINE MALEATE</f>
        <v>#NAME?</v>
      </c>
      <c r="F9048" t="s">
        <v>35661</v>
      </c>
      <c r="G9048" t="s">
        <v>4649</v>
      </c>
      <c r="H9048" t="s">
        <v>35662</v>
      </c>
      <c r="I9048" t="s">
        <v>30300</v>
      </c>
      <c r="J9048" t="s">
        <v>21307</v>
      </c>
      <c r="K9048" t="s">
        <v>35663</v>
      </c>
      <c r="L9048" t="s">
        <v>35664</v>
      </c>
      <c r="M9048" t="s">
        <v>271</v>
      </c>
      <c r="N9048" t="s">
        <v>38013</v>
      </c>
      <c r="O9048" t="s">
        <v>35665</v>
      </c>
      <c r="P9048" t="s">
        <v>35103</v>
      </c>
      <c r="Q9048" t="s">
        <v>40448</v>
      </c>
      <c r="R9048">
        <v>30</v>
      </c>
      <c r="S9048">
        <v>32</v>
      </c>
    </row>
    <row r="9049" spans="1:19" x14ac:dyDescent="0.35">
      <c r="A9049">
        <v>1136</v>
      </c>
      <c r="B9049" t="s">
        <v>35096</v>
      </c>
      <c r="C9049" t="s">
        <v>42</v>
      </c>
      <c r="D9049" t="s">
        <v>35660</v>
      </c>
      <c r="E9049" t="e" cm="1">
        <f t="array" ref="E9049">- SUCCUS LIQUIRITIAE. AMMONIUM CHLORIDE. PARACETAMOL. EPHEDRINE HYDROCHLORIDE. CHLORPHENAMINE MALEATE</f>
        <v>#NAME?</v>
      </c>
      <c r="F9049" t="s">
        <v>35661</v>
      </c>
      <c r="G9049" t="s">
        <v>4649</v>
      </c>
      <c r="H9049" t="s">
        <v>35662</v>
      </c>
      <c r="I9049" t="s">
        <v>30300</v>
      </c>
      <c r="J9049" t="s">
        <v>21307</v>
      </c>
      <c r="K9049" t="s">
        <v>35663</v>
      </c>
      <c r="L9049" t="s">
        <v>35664</v>
      </c>
      <c r="M9049" t="s">
        <v>271</v>
      </c>
      <c r="N9049" t="s">
        <v>35709</v>
      </c>
      <c r="O9049" t="s">
        <v>35665</v>
      </c>
      <c r="P9049" t="s">
        <v>35103</v>
      </c>
      <c r="Q9049" t="s">
        <v>40477</v>
      </c>
      <c r="R9049">
        <v>30</v>
      </c>
      <c r="S9049">
        <v>32</v>
      </c>
    </row>
    <row r="9050" spans="1:19" x14ac:dyDescent="0.35">
      <c r="A9050">
        <v>1135</v>
      </c>
      <c r="B9050" t="s">
        <v>35096</v>
      </c>
      <c r="C9050" t="s">
        <v>42</v>
      </c>
      <c r="D9050" t="s">
        <v>35660</v>
      </c>
      <c r="E9050" t="e" cm="1">
        <f t="array" ref="E9050">- SUCCUS LIQUIRITIAE. AMMONIUM CHLORIDE. PARACETAMOL. EPHEDRINE HYDROCHLORIDE. CHLORPHENAMINE MALEATE</f>
        <v>#NAME?</v>
      </c>
      <c r="F9050" t="s">
        <v>35661</v>
      </c>
      <c r="G9050" t="s">
        <v>4649</v>
      </c>
      <c r="H9050" t="s">
        <v>35662</v>
      </c>
      <c r="I9050" t="s">
        <v>30300</v>
      </c>
      <c r="J9050" t="s">
        <v>21307</v>
      </c>
      <c r="K9050" t="s">
        <v>35663</v>
      </c>
      <c r="L9050" t="s">
        <v>35664</v>
      </c>
      <c r="M9050" t="s">
        <v>271</v>
      </c>
      <c r="N9050" t="s">
        <v>35709</v>
      </c>
      <c r="O9050" t="s">
        <v>35665</v>
      </c>
      <c r="P9050" t="s">
        <v>35103</v>
      </c>
      <c r="Q9050" t="s">
        <v>40477</v>
      </c>
      <c r="R9050">
        <v>30</v>
      </c>
      <c r="S9050">
        <v>32</v>
      </c>
    </row>
    <row r="9051" spans="1:19" x14ac:dyDescent="0.35">
      <c r="A9051">
        <v>8609</v>
      </c>
      <c r="B9051" t="s">
        <v>40478</v>
      </c>
      <c r="C9051" t="s">
        <v>42</v>
      </c>
      <c r="D9051" t="s">
        <v>40479</v>
      </c>
      <c r="E9051" t="e" cm="1">
        <f t="array" ref="E9051">- GLIMEPIRIDE. METFORMIN HYDROCHLORIDE</f>
        <v>#NAME?</v>
      </c>
      <c r="F9051" t="s">
        <v>40480</v>
      </c>
      <c r="G9051" t="s">
        <v>35812</v>
      </c>
      <c r="H9051" t="s">
        <v>40481</v>
      </c>
      <c r="I9051" t="s">
        <v>38732</v>
      </c>
      <c r="J9051" t="s">
        <v>2100</v>
      </c>
      <c r="K9051" t="s">
        <v>35815</v>
      </c>
      <c r="L9051" t="s">
        <v>40482</v>
      </c>
      <c r="M9051" t="s">
        <v>46</v>
      </c>
      <c r="N9051" t="s">
        <v>40483</v>
      </c>
      <c r="O9051" t="s">
        <v>38734</v>
      </c>
      <c r="P9051" t="s">
        <v>40484</v>
      </c>
      <c r="Q9051" t="s">
        <v>40485</v>
      </c>
      <c r="R9051">
        <v>30</v>
      </c>
      <c r="S9051">
        <v>32</v>
      </c>
    </row>
    <row r="9052" spans="1:19" x14ac:dyDescent="0.35">
      <c r="A9052">
        <v>3144</v>
      </c>
      <c r="B9052" t="s">
        <v>40486</v>
      </c>
      <c r="C9052" t="s">
        <v>42</v>
      </c>
      <c r="D9052" t="s">
        <v>40487</v>
      </c>
      <c r="E9052" t="e" cm="1">
        <f t="array" ref="E9052">- ESOMEPRAZOLE MAGNESIUM TRIHYDRATE</f>
        <v>#NAME?</v>
      </c>
      <c r="F9052" t="s">
        <v>40488</v>
      </c>
      <c r="G9052" t="s">
        <v>40246</v>
      </c>
      <c r="H9052" t="s">
        <v>40247</v>
      </c>
      <c r="I9052" t="s">
        <v>40248</v>
      </c>
      <c r="J9052" t="s">
        <v>347</v>
      </c>
      <c r="K9052" t="s">
        <v>4677</v>
      </c>
      <c r="L9052" t="s">
        <v>40249</v>
      </c>
      <c r="M9052" t="s">
        <v>38</v>
      </c>
      <c r="N9052" t="s">
        <v>40489</v>
      </c>
      <c r="O9052" t="s">
        <v>40250</v>
      </c>
      <c r="P9052" t="s">
        <v>40490</v>
      </c>
      <c r="Q9052" t="s">
        <v>40491</v>
      </c>
      <c r="R9052">
        <v>30</v>
      </c>
      <c r="S9052">
        <v>32</v>
      </c>
    </row>
    <row r="9053" spans="1:19" x14ac:dyDescent="0.35">
      <c r="A9053">
        <v>1018</v>
      </c>
      <c r="B9053" t="s">
        <v>37983</v>
      </c>
      <c r="C9053" t="s">
        <v>42</v>
      </c>
      <c r="D9053" t="s">
        <v>40350</v>
      </c>
      <c r="E9053" t="e" cm="1">
        <f t="array" ref="E9053">- AMMONIUM CHLORIDE. PARACETAMOL. CHLORPHENAMINE MALEATE. EPHEDRINE HYDROCHLORIDE. SUCCUS LIQUIRITIAE</f>
        <v>#NAME?</v>
      </c>
      <c r="F9053" t="s">
        <v>40351</v>
      </c>
      <c r="G9053" t="s">
        <v>2453</v>
      </c>
      <c r="H9053" t="s">
        <v>40352</v>
      </c>
      <c r="I9053" t="s">
        <v>30131</v>
      </c>
      <c r="J9053" t="s">
        <v>16407</v>
      </c>
      <c r="K9053" t="s">
        <v>35663</v>
      </c>
      <c r="L9053" t="s">
        <v>40353</v>
      </c>
      <c r="M9053" t="s">
        <v>271</v>
      </c>
      <c r="N9053" t="s">
        <v>37987</v>
      </c>
      <c r="O9053" t="s">
        <v>30135</v>
      </c>
      <c r="P9053" t="s">
        <v>37989</v>
      </c>
      <c r="Q9053" t="s">
        <v>40354</v>
      </c>
      <c r="R9053">
        <v>30</v>
      </c>
      <c r="S9053">
        <v>32</v>
      </c>
    </row>
    <row r="9054" spans="1:19" x14ac:dyDescent="0.35">
      <c r="A9054">
        <v>8554</v>
      </c>
      <c r="B9054" t="s">
        <v>40492</v>
      </c>
      <c r="C9054" t="s">
        <v>42</v>
      </c>
      <c r="D9054" t="s">
        <v>40493</v>
      </c>
      <c r="E9054" t="e" cm="1">
        <f t="array" ref="E9054">- GLIMEPIRIDE. METFORMIN HYDROCHLORIDE</f>
        <v>#NAME?</v>
      </c>
      <c r="F9054" t="s">
        <v>40494</v>
      </c>
      <c r="G9054" t="s">
        <v>35812</v>
      </c>
      <c r="H9054" t="s">
        <v>40481</v>
      </c>
      <c r="I9054" t="s">
        <v>38732</v>
      </c>
      <c r="J9054" t="s">
        <v>2100</v>
      </c>
      <c r="K9054" t="s">
        <v>35815</v>
      </c>
      <c r="L9054" t="s">
        <v>40482</v>
      </c>
      <c r="M9054" t="s">
        <v>46</v>
      </c>
      <c r="N9054" t="s">
        <v>40483</v>
      </c>
      <c r="O9054" t="s">
        <v>38734</v>
      </c>
      <c r="P9054" t="s">
        <v>40484</v>
      </c>
      <c r="Q9054" t="s">
        <v>40485</v>
      </c>
      <c r="R9054">
        <v>30</v>
      </c>
      <c r="S9054">
        <v>32</v>
      </c>
    </row>
    <row r="9055" spans="1:19" x14ac:dyDescent="0.35">
      <c r="A9055">
        <v>642</v>
      </c>
      <c r="B9055" t="s">
        <v>17277</v>
      </c>
      <c r="C9055" t="s">
        <v>850</v>
      </c>
      <c r="D9055" t="s">
        <v>40495</v>
      </c>
      <c r="E9055" t="e" cm="1">
        <f t="array" ref="E9055">- Anethole</f>
        <v>#NAME?</v>
      </c>
      <c r="F9055" t="s">
        <v>40496</v>
      </c>
      <c r="G9055" t="s">
        <v>40497</v>
      </c>
      <c r="H9055" t="s">
        <v>1322</v>
      </c>
      <c r="I9055" t="s">
        <v>40498</v>
      </c>
      <c r="J9055" t="s">
        <v>40499</v>
      </c>
      <c r="M9055" t="s">
        <v>3632</v>
      </c>
      <c r="N9055" t="s">
        <v>17283</v>
      </c>
      <c r="O9055" t="s">
        <v>40500</v>
      </c>
      <c r="P9055" t="s">
        <v>17285</v>
      </c>
      <c r="Q9055" t="s">
        <v>40501</v>
      </c>
      <c r="R9055">
        <v>30</v>
      </c>
      <c r="S9055">
        <v>32</v>
      </c>
    </row>
    <row r="9056" spans="1:19" x14ac:dyDescent="0.35">
      <c r="A9056">
        <v>3277</v>
      </c>
      <c r="B9056" t="s">
        <v>40502</v>
      </c>
      <c r="C9056" t="s">
        <v>42</v>
      </c>
      <c r="D9056" t="s">
        <v>40503</v>
      </c>
      <c r="E9056" t="e" cm="1">
        <f t="array" ref="E9056">- DRIED ALUMINIUM HYDROXIDE GEL</f>
        <v>#NAME?</v>
      </c>
      <c r="F9056" t="s">
        <v>40504</v>
      </c>
      <c r="G9056" t="s">
        <v>40505</v>
      </c>
      <c r="H9056" t="s">
        <v>40506</v>
      </c>
      <c r="I9056" t="s">
        <v>40415</v>
      </c>
      <c r="J9056" t="s">
        <v>21307</v>
      </c>
      <c r="K9056" t="s">
        <v>11904</v>
      </c>
      <c r="L9056" t="s">
        <v>11905</v>
      </c>
      <c r="M9056" t="s">
        <v>340</v>
      </c>
      <c r="N9056" t="s">
        <v>4172</v>
      </c>
      <c r="O9056" t="s">
        <v>40416</v>
      </c>
      <c r="P9056" t="s">
        <v>40417</v>
      </c>
      <c r="Q9056" t="s">
        <v>40507</v>
      </c>
      <c r="R9056">
        <v>30</v>
      </c>
      <c r="S9056">
        <v>32</v>
      </c>
    </row>
    <row r="9057" spans="1:19" x14ac:dyDescent="0.35">
      <c r="A9057">
        <v>9350</v>
      </c>
      <c r="B9057" t="s">
        <v>6301</v>
      </c>
      <c r="C9057" t="s">
        <v>42</v>
      </c>
      <c r="D9057" t="s">
        <v>40508</v>
      </c>
      <c r="E9057" t="s">
        <v>6303</v>
      </c>
      <c r="F9057" t="s">
        <v>40509</v>
      </c>
      <c r="G9057" t="s">
        <v>40510</v>
      </c>
      <c r="H9057" t="s">
        <v>1322</v>
      </c>
      <c r="I9057" t="s">
        <v>40511</v>
      </c>
      <c r="J9057" t="s">
        <v>12671</v>
      </c>
      <c r="L9057" t="s">
        <v>39884</v>
      </c>
      <c r="M9057" t="s">
        <v>46</v>
      </c>
      <c r="N9057" t="s">
        <v>6304</v>
      </c>
      <c r="O9057" t="s">
        <v>40512</v>
      </c>
      <c r="P9057" t="s">
        <v>40513</v>
      </c>
      <c r="Q9057" t="s">
        <v>40514</v>
      </c>
      <c r="R9057">
        <v>30</v>
      </c>
      <c r="S9057">
        <v>32</v>
      </c>
    </row>
    <row r="9058" spans="1:19" x14ac:dyDescent="0.35">
      <c r="A9058">
        <v>3252</v>
      </c>
      <c r="B9058" t="s">
        <v>40515</v>
      </c>
      <c r="C9058" t="s">
        <v>42</v>
      </c>
      <c r="D9058" t="s">
        <v>40516</v>
      </c>
      <c r="E9058" t="e" cm="1">
        <f t="array" ref="E9058">- ESOMEPRAZOLE MAGNESIUM TRIHYDRATE</f>
        <v>#NAME?</v>
      </c>
      <c r="F9058" t="s">
        <v>40517</v>
      </c>
      <c r="G9058" t="s">
        <v>40246</v>
      </c>
      <c r="H9058" t="s">
        <v>40247</v>
      </c>
      <c r="I9058" t="s">
        <v>40248</v>
      </c>
      <c r="J9058" t="s">
        <v>347</v>
      </c>
      <c r="K9058" t="s">
        <v>4677</v>
      </c>
      <c r="L9058" t="s">
        <v>40249</v>
      </c>
      <c r="M9058" t="s">
        <v>38</v>
      </c>
      <c r="N9058" t="s">
        <v>40489</v>
      </c>
      <c r="O9058" t="s">
        <v>40250</v>
      </c>
      <c r="P9058" t="s">
        <v>40490</v>
      </c>
      <c r="Q9058" t="s">
        <v>40491</v>
      </c>
      <c r="R9058">
        <v>30</v>
      </c>
      <c r="S9058">
        <v>32</v>
      </c>
    </row>
    <row r="9059" spans="1:19" x14ac:dyDescent="0.35">
      <c r="A9059">
        <v>3245</v>
      </c>
      <c r="B9059" t="s">
        <v>40518</v>
      </c>
      <c r="C9059" t="s">
        <v>42</v>
      </c>
      <c r="D9059" t="s">
        <v>40519</v>
      </c>
      <c r="E9059" t="e" cm="1">
        <f t="array" ref="E9059">- CLEBOPRIDE</f>
        <v>#NAME?</v>
      </c>
      <c r="F9059" s="1">
        <v>29500</v>
      </c>
      <c r="G9059" t="s">
        <v>40520</v>
      </c>
      <c r="H9059" t="s">
        <v>40521</v>
      </c>
      <c r="I9059" t="s">
        <v>40522</v>
      </c>
      <c r="J9059" t="s">
        <v>6476</v>
      </c>
      <c r="K9059" t="s">
        <v>40523</v>
      </c>
      <c r="L9059" t="s">
        <v>40524</v>
      </c>
      <c r="M9059" t="s">
        <v>46</v>
      </c>
      <c r="N9059" t="s">
        <v>40525</v>
      </c>
      <c r="O9059" t="s">
        <v>40526</v>
      </c>
      <c r="P9059" t="s">
        <v>40527</v>
      </c>
      <c r="Q9059" t="s">
        <v>40528</v>
      </c>
      <c r="R9059">
        <v>30</v>
      </c>
      <c r="S9059">
        <v>32</v>
      </c>
    </row>
    <row r="9060" spans="1:19" x14ac:dyDescent="0.35">
      <c r="A9060">
        <v>2648</v>
      </c>
      <c r="B9060" t="s">
        <v>14705</v>
      </c>
      <c r="C9060" t="s">
        <v>42</v>
      </c>
      <c r="D9060" t="s">
        <v>14706</v>
      </c>
      <c r="E9060" t="s">
        <v>40529</v>
      </c>
      <c r="F9060" t="s">
        <v>14707</v>
      </c>
      <c r="H9060" t="s">
        <v>269</v>
      </c>
      <c r="I9060" t="s">
        <v>14708</v>
      </c>
      <c r="L9060" t="s">
        <v>270</v>
      </c>
      <c r="M9060" t="s">
        <v>291</v>
      </c>
      <c r="N9060" t="s">
        <v>40530</v>
      </c>
      <c r="O9060" t="s">
        <v>14709</v>
      </c>
      <c r="P9060" t="s">
        <v>14710</v>
      </c>
      <c r="Q9060" t="s">
        <v>40531</v>
      </c>
      <c r="R9060">
        <v>30</v>
      </c>
      <c r="S9060">
        <v>32</v>
      </c>
    </row>
    <row r="9061" spans="1:19" x14ac:dyDescent="0.35">
      <c r="A9061">
        <v>1866</v>
      </c>
      <c r="B9061" t="s">
        <v>36447</v>
      </c>
      <c r="C9061" t="s">
        <v>42</v>
      </c>
      <c r="D9061" t="s">
        <v>36448</v>
      </c>
      <c r="E9061" t="e" cm="1">
        <f t="array" ref="E9061">- AMMONIUM CHLORIDE. SUCCUS LIQUIRITIAE. EPHEDRINE HYDROCHLORIDE. CHLORPHENAMINE MALEATE. PARACETAMOL</f>
        <v>#NAME?</v>
      </c>
      <c r="F9061" t="s">
        <v>36449</v>
      </c>
      <c r="G9061" t="s">
        <v>2241</v>
      </c>
      <c r="H9061" t="s">
        <v>36450</v>
      </c>
      <c r="I9061" t="s">
        <v>29641</v>
      </c>
      <c r="J9061" t="s">
        <v>17181</v>
      </c>
      <c r="K9061" t="s">
        <v>36451</v>
      </c>
      <c r="L9061" t="s">
        <v>36452</v>
      </c>
      <c r="M9061" t="s">
        <v>271</v>
      </c>
      <c r="N9061" t="s">
        <v>40399</v>
      </c>
      <c r="O9061" t="s">
        <v>29642</v>
      </c>
      <c r="P9061" t="s">
        <v>36453</v>
      </c>
      <c r="Q9061" t="s">
        <v>40400</v>
      </c>
      <c r="R9061">
        <v>30</v>
      </c>
      <c r="S9061">
        <v>32</v>
      </c>
    </row>
    <row r="9062" spans="1:19" x14ac:dyDescent="0.35">
      <c r="A9062">
        <v>1017</v>
      </c>
      <c r="B9062" t="s">
        <v>37983</v>
      </c>
      <c r="C9062" t="s">
        <v>42</v>
      </c>
      <c r="D9062" t="s">
        <v>40350</v>
      </c>
      <c r="E9062" t="e" cm="1">
        <f t="array" ref="E9062">- SUCCUS LIQUIRITIAE. PARACETAMOL. AMMONIUM CHLORIDE. PSEUDOEPHEDRINE HYDROCHLORIDE. CHLORPHENAMINE MALEATE</f>
        <v>#NAME?</v>
      </c>
      <c r="F9062" t="s">
        <v>40351</v>
      </c>
      <c r="G9062" t="s">
        <v>2453</v>
      </c>
      <c r="H9062" t="s">
        <v>40352</v>
      </c>
      <c r="I9062" t="s">
        <v>30131</v>
      </c>
      <c r="J9062" t="s">
        <v>16407</v>
      </c>
      <c r="K9062" t="s">
        <v>35663</v>
      </c>
      <c r="L9062" t="s">
        <v>40353</v>
      </c>
      <c r="M9062" t="s">
        <v>271</v>
      </c>
      <c r="N9062" t="s">
        <v>38013</v>
      </c>
      <c r="O9062" t="s">
        <v>30135</v>
      </c>
      <c r="P9062" t="s">
        <v>37989</v>
      </c>
      <c r="Q9062" t="s">
        <v>40429</v>
      </c>
      <c r="R9062">
        <v>30</v>
      </c>
      <c r="S9062">
        <v>32</v>
      </c>
    </row>
    <row r="9063" spans="1:19" x14ac:dyDescent="0.35">
      <c r="A9063">
        <v>7302</v>
      </c>
      <c r="B9063" t="s">
        <v>40532</v>
      </c>
      <c r="C9063" t="s">
        <v>42</v>
      </c>
      <c r="D9063" t="s">
        <v>40533</v>
      </c>
      <c r="E9063" t="e" cm="1">
        <f t="array" ref="E9063">- FLAVOXATE HYDROCHLORIDE</f>
        <v>#NAME?</v>
      </c>
      <c r="F9063" t="s">
        <v>40534</v>
      </c>
      <c r="G9063" t="s">
        <v>8205</v>
      </c>
      <c r="H9063" t="s">
        <v>40535</v>
      </c>
      <c r="I9063" t="s">
        <v>40536</v>
      </c>
      <c r="J9063" t="s">
        <v>2100</v>
      </c>
      <c r="K9063" t="s">
        <v>40537</v>
      </c>
      <c r="L9063" t="s">
        <v>40538</v>
      </c>
      <c r="M9063" t="s">
        <v>46</v>
      </c>
      <c r="N9063" t="s">
        <v>40539</v>
      </c>
      <c r="O9063" t="s">
        <v>40540</v>
      </c>
      <c r="P9063" t="s">
        <v>40541</v>
      </c>
      <c r="Q9063" t="s">
        <v>40542</v>
      </c>
      <c r="R9063">
        <v>30</v>
      </c>
      <c r="S9063">
        <v>32</v>
      </c>
    </row>
    <row r="9064" spans="1:19" x14ac:dyDescent="0.35">
      <c r="A9064">
        <v>3202</v>
      </c>
      <c r="B9064" t="s">
        <v>40543</v>
      </c>
      <c r="C9064" t="s">
        <v>42</v>
      </c>
      <c r="D9064" t="s">
        <v>40544</v>
      </c>
      <c r="E9064" t="e" cm="1">
        <f t="array" ref="E9064">- RANITIDINE HYDROCHLORIDE</f>
        <v>#NAME?</v>
      </c>
      <c r="F9064" t="s">
        <v>12481</v>
      </c>
      <c r="G9064" t="s">
        <v>40545</v>
      </c>
      <c r="H9064" t="s">
        <v>40546</v>
      </c>
      <c r="I9064" t="s">
        <v>40547</v>
      </c>
      <c r="J9064" t="s">
        <v>846</v>
      </c>
      <c r="L9064" t="s">
        <v>40548</v>
      </c>
      <c r="M9064" t="s">
        <v>271</v>
      </c>
      <c r="N9064" t="s">
        <v>1985</v>
      </c>
      <c r="O9064" t="s">
        <v>40549</v>
      </c>
      <c r="P9064" t="s">
        <v>40550</v>
      </c>
      <c r="Q9064" t="s">
        <v>40551</v>
      </c>
      <c r="R9064">
        <v>30</v>
      </c>
      <c r="S9064">
        <v>32</v>
      </c>
    </row>
    <row r="9065" spans="1:19" x14ac:dyDescent="0.35">
      <c r="A9065">
        <v>3201</v>
      </c>
      <c r="B9065" t="s">
        <v>40543</v>
      </c>
      <c r="C9065" t="s">
        <v>42</v>
      </c>
      <c r="D9065" t="s">
        <v>40544</v>
      </c>
      <c r="E9065" t="e" cm="1">
        <f t="array" ref="E9065">- RANITIDINE HYDROCHLORIDE</f>
        <v>#NAME?</v>
      </c>
      <c r="F9065" t="s">
        <v>12481</v>
      </c>
      <c r="G9065" t="s">
        <v>40545</v>
      </c>
      <c r="H9065" t="s">
        <v>40546</v>
      </c>
      <c r="I9065" t="s">
        <v>40547</v>
      </c>
      <c r="J9065" t="s">
        <v>846</v>
      </c>
      <c r="L9065" t="s">
        <v>40548</v>
      </c>
      <c r="M9065" t="s">
        <v>271</v>
      </c>
      <c r="N9065" t="s">
        <v>1985</v>
      </c>
      <c r="O9065" t="s">
        <v>40549</v>
      </c>
      <c r="P9065" t="s">
        <v>40550</v>
      </c>
      <c r="Q9065" t="s">
        <v>40551</v>
      </c>
      <c r="R9065">
        <v>30</v>
      </c>
      <c r="S9065">
        <v>32</v>
      </c>
    </row>
    <row r="9066" spans="1:19" x14ac:dyDescent="0.35">
      <c r="A9066">
        <v>3196</v>
      </c>
      <c r="B9066" t="s">
        <v>40552</v>
      </c>
      <c r="C9066" t="s">
        <v>42</v>
      </c>
      <c r="D9066" t="s">
        <v>40553</v>
      </c>
      <c r="E9066" t="e" cm="1">
        <f t="array" ref="E9066">- HYDROTALCITE. MAGNESIUM HYDROXIDE. SIMETHICONE</f>
        <v>#NAME?</v>
      </c>
      <c r="F9066" t="s">
        <v>40554</v>
      </c>
      <c r="G9066" t="s">
        <v>40555</v>
      </c>
      <c r="H9066" t="s">
        <v>40556</v>
      </c>
      <c r="I9066" t="s">
        <v>40345</v>
      </c>
      <c r="J9066" t="s">
        <v>40557</v>
      </c>
      <c r="K9066" t="s">
        <v>34155</v>
      </c>
      <c r="L9066" t="s">
        <v>40558</v>
      </c>
      <c r="M9066" t="s">
        <v>340</v>
      </c>
      <c r="N9066" t="s">
        <v>40559</v>
      </c>
      <c r="O9066" t="s">
        <v>40348</v>
      </c>
      <c r="P9066" t="s">
        <v>39751</v>
      </c>
      <c r="Q9066" t="s">
        <v>40560</v>
      </c>
      <c r="R9066">
        <v>30</v>
      </c>
      <c r="S9066">
        <v>32</v>
      </c>
    </row>
    <row r="9067" spans="1:19" x14ac:dyDescent="0.35">
      <c r="A9067">
        <v>6517</v>
      </c>
      <c r="B9067" t="s">
        <v>38110</v>
      </c>
      <c r="C9067" t="s">
        <v>42</v>
      </c>
      <c r="D9067" t="s">
        <v>38111</v>
      </c>
      <c r="E9067" t="s">
        <v>40561</v>
      </c>
      <c r="F9067" t="s">
        <v>38112</v>
      </c>
      <c r="G9067" t="s">
        <v>11423</v>
      </c>
      <c r="H9067" t="s">
        <v>38113</v>
      </c>
      <c r="I9067" t="s">
        <v>38114</v>
      </c>
      <c r="J9067" t="s">
        <v>38115</v>
      </c>
      <c r="K9067" t="s">
        <v>13003</v>
      </c>
      <c r="L9067" t="s">
        <v>13004</v>
      </c>
      <c r="M9067" t="s">
        <v>271</v>
      </c>
      <c r="N9067" t="s">
        <v>40562</v>
      </c>
      <c r="O9067" t="s">
        <v>38116</v>
      </c>
      <c r="P9067" t="s">
        <v>13007</v>
      </c>
      <c r="Q9067" t="s">
        <v>40563</v>
      </c>
      <c r="R9067">
        <v>30</v>
      </c>
      <c r="S9067">
        <v>32</v>
      </c>
    </row>
    <row r="9068" spans="1:19" x14ac:dyDescent="0.35">
      <c r="A9068">
        <v>6025</v>
      </c>
      <c r="B9068" t="s">
        <v>40027</v>
      </c>
      <c r="C9068" t="s">
        <v>42</v>
      </c>
      <c r="D9068" t="s">
        <v>40028</v>
      </c>
      <c r="E9068" t="e" cm="1">
        <f t="array" ref="E9068">- CIPROFLOXACIN HCL MONOHYDRATE</f>
        <v>#NAME?</v>
      </c>
      <c r="F9068" t="s">
        <v>40029</v>
      </c>
      <c r="G9068" t="s">
        <v>1691</v>
      </c>
      <c r="H9068" t="s">
        <v>40030</v>
      </c>
    </row>
    <row r="9069" spans="1:19" x14ac:dyDescent="0.35">
      <c r="A9069">
        <v>6518</v>
      </c>
      <c r="B9069" t="s">
        <v>38110</v>
      </c>
      <c r="C9069" t="s">
        <v>42</v>
      </c>
      <c r="D9069" t="s">
        <v>38111</v>
      </c>
      <c r="E9069" t="s">
        <v>40561</v>
      </c>
      <c r="F9069" t="s">
        <v>38112</v>
      </c>
      <c r="G9069" t="s">
        <v>11423</v>
      </c>
      <c r="H9069" t="s">
        <v>38113</v>
      </c>
      <c r="I9069" t="s">
        <v>38114</v>
      </c>
      <c r="J9069" t="s">
        <v>38115</v>
      </c>
      <c r="K9069" t="s">
        <v>13003</v>
      </c>
      <c r="L9069" t="s">
        <v>13004</v>
      </c>
      <c r="M9069" t="s">
        <v>271</v>
      </c>
      <c r="N9069" t="s">
        <v>40562</v>
      </c>
      <c r="O9069" t="s">
        <v>38116</v>
      </c>
      <c r="P9069" t="s">
        <v>13007</v>
      </c>
      <c r="Q9069" t="s">
        <v>40563</v>
      </c>
      <c r="R9069">
        <v>30</v>
      </c>
      <c r="S9069">
        <v>32</v>
      </c>
    </row>
    <row r="9070" spans="1:19" x14ac:dyDescent="0.35">
      <c r="A9070">
        <v>5739</v>
      </c>
      <c r="B9070" t="s">
        <v>40564</v>
      </c>
      <c r="C9070" t="s">
        <v>42</v>
      </c>
      <c r="D9070" t="s">
        <v>40565</v>
      </c>
      <c r="E9070" t="e" cm="1">
        <f t="array" ref="E9070">- CEFUROXIME AXETIL</f>
        <v>#NAME?</v>
      </c>
      <c r="F9070" t="s">
        <v>40566</v>
      </c>
      <c r="G9070" t="s">
        <v>4649</v>
      </c>
      <c r="H9070" t="s">
        <v>40567</v>
      </c>
      <c r="I9070" t="s">
        <v>40568</v>
      </c>
      <c r="J9070" t="s">
        <v>40569</v>
      </c>
      <c r="K9070" t="s">
        <v>19599</v>
      </c>
      <c r="L9070" t="s">
        <v>40570</v>
      </c>
      <c r="M9070" t="s">
        <v>291</v>
      </c>
      <c r="N9070" t="s">
        <v>1862</v>
      </c>
      <c r="O9070" t="s">
        <v>40571</v>
      </c>
      <c r="P9070" t="s">
        <v>40572</v>
      </c>
      <c r="Q9070" t="s">
        <v>40573</v>
      </c>
      <c r="R9070">
        <v>30</v>
      </c>
      <c r="S9070">
        <v>32</v>
      </c>
    </row>
    <row r="9071" spans="1:19" x14ac:dyDescent="0.35">
      <c r="A9071">
        <v>2364</v>
      </c>
      <c r="B9071" t="s">
        <v>40574</v>
      </c>
      <c r="C9071" t="s">
        <v>42</v>
      </c>
      <c r="D9071" t="s">
        <v>40575</v>
      </c>
      <c r="E9071" t="e" cm="1">
        <f t="array" ref="E9071">- DICLOFENAC</f>
        <v>#NAME?</v>
      </c>
      <c r="F9071" t="s">
        <v>40576</v>
      </c>
      <c r="G9071" t="s">
        <v>40577</v>
      </c>
      <c r="H9071" t="s">
        <v>2596</v>
      </c>
      <c r="I9071" t="s">
        <v>40578</v>
      </c>
      <c r="J9071" t="s">
        <v>33198</v>
      </c>
      <c r="K9071" t="s">
        <v>40579</v>
      </c>
    </row>
    <row r="9072" spans="1:19" x14ac:dyDescent="0.35">
      <c r="A9072">
        <v>641</v>
      </c>
      <c r="B9072" t="s">
        <v>17277</v>
      </c>
      <c r="C9072" t="s">
        <v>850</v>
      </c>
      <c r="D9072" t="s">
        <v>40495</v>
      </c>
      <c r="E9072" t="e" cm="1">
        <f t="array" ref="E9072">- Anethole</f>
        <v>#NAME?</v>
      </c>
      <c r="F9072" t="s">
        <v>40496</v>
      </c>
      <c r="G9072" t="s">
        <v>40497</v>
      </c>
      <c r="H9072" t="s">
        <v>1322</v>
      </c>
      <c r="I9072" t="s">
        <v>40498</v>
      </c>
      <c r="J9072" t="s">
        <v>40499</v>
      </c>
      <c r="M9072" t="s">
        <v>3632</v>
      </c>
      <c r="N9072" t="s">
        <v>17283</v>
      </c>
      <c r="O9072" t="s">
        <v>40500</v>
      </c>
      <c r="P9072" t="s">
        <v>17285</v>
      </c>
      <c r="Q9072" t="s">
        <v>40501</v>
      </c>
      <c r="R9072">
        <v>30</v>
      </c>
      <c r="S9072">
        <v>32</v>
      </c>
    </row>
    <row r="9073" spans="1:19" x14ac:dyDescent="0.35">
      <c r="A9073">
        <v>8553</v>
      </c>
      <c r="B9073" t="s">
        <v>40492</v>
      </c>
      <c r="C9073" t="s">
        <v>42</v>
      </c>
      <c r="D9073" t="s">
        <v>40493</v>
      </c>
      <c r="E9073" t="e" cm="1">
        <f t="array" ref="E9073">- GLIMEPIRIDE. METFORMIN HYDROCHLORIDE</f>
        <v>#NAME?</v>
      </c>
      <c r="F9073" t="s">
        <v>40494</v>
      </c>
      <c r="G9073" t="s">
        <v>35812</v>
      </c>
      <c r="H9073" t="s">
        <v>40481</v>
      </c>
      <c r="I9073" t="s">
        <v>38732</v>
      </c>
      <c r="J9073" t="s">
        <v>2100</v>
      </c>
      <c r="K9073" t="s">
        <v>35815</v>
      </c>
      <c r="L9073" t="s">
        <v>40482</v>
      </c>
      <c r="M9073" t="s">
        <v>46</v>
      </c>
      <c r="N9073" t="s">
        <v>40483</v>
      </c>
      <c r="O9073" t="s">
        <v>38734</v>
      </c>
      <c r="P9073" t="s">
        <v>40484</v>
      </c>
      <c r="Q9073" t="s">
        <v>40485</v>
      </c>
      <c r="R9073">
        <v>30</v>
      </c>
      <c r="S9073">
        <v>32</v>
      </c>
    </row>
    <row r="9074" spans="1:19" x14ac:dyDescent="0.35">
      <c r="A9074">
        <v>3214</v>
      </c>
      <c r="B9074" t="s">
        <v>39768</v>
      </c>
      <c r="C9074" t="s">
        <v>42</v>
      </c>
      <c r="D9074" t="s">
        <v>39769</v>
      </c>
      <c r="E9074" t="s">
        <v>4857</v>
      </c>
      <c r="F9074" s="1">
        <v>260500</v>
      </c>
      <c r="G9074" t="s">
        <v>39770</v>
      </c>
      <c r="H9074" t="s">
        <v>39771</v>
      </c>
      <c r="I9074" t="s">
        <v>39772</v>
      </c>
      <c r="J9074" t="s">
        <v>1756</v>
      </c>
      <c r="K9074" t="s">
        <v>3952</v>
      </c>
      <c r="L9074" t="s">
        <v>39773</v>
      </c>
      <c r="M9074" t="s">
        <v>46</v>
      </c>
      <c r="N9074" t="s">
        <v>4858</v>
      </c>
      <c r="O9074" t="s">
        <v>39774</v>
      </c>
      <c r="P9074" t="s">
        <v>1758</v>
      </c>
      <c r="Q9074" t="s">
        <v>40580</v>
      </c>
      <c r="R9074">
        <v>30</v>
      </c>
      <c r="S9074">
        <v>32</v>
      </c>
    </row>
    <row r="9075" spans="1:19" x14ac:dyDescent="0.35">
      <c r="A9075">
        <v>3874</v>
      </c>
      <c r="B9075" t="s">
        <v>40335</v>
      </c>
      <c r="C9075" t="s">
        <v>42</v>
      </c>
      <c r="D9075" t="s">
        <v>40336</v>
      </c>
      <c r="E9075" t="e" cm="1">
        <f t="array" ref="E9075">- PYRANTEL PAMOATE</f>
        <v>#NAME?</v>
      </c>
      <c r="F9075" t="s">
        <v>15614</v>
      </c>
      <c r="G9075" t="s">
        <v>10857</v>
      </c>
      <c r="H9075" t="s">
        <v>40337</v>
      </c>
      <c r="I9075" t="s">
        <v>40286</v>
      </c>
      <c r="J9075" t="s">
        <v>1647</v>
      </c>
      <c r="K9075" t="s">
        <v>40288</v>
      </c>
      <c r="L9075" t="s">
        <v>40289</v>
      </c>
      <c r="M9075" t="s">
        <v>340</v>
      </c>
      <c r="N9075" t="s">
        <v>1335</v>
      </c>
      <c r="O9075" t="s">
        <v>40290</v>
      </c>
      <c r="P9075" t="s">
        <v>40338</v>
      </c>
      <c r="Q9075" t="s">
        <v>40339</v>
      </c>
      <c r="R9075">
        <v>30</v>
      </c>
      <c r="S9075">
        <v>32</v>
      </c>
    </row>
    <row r="9076" spans="1:19" x14ac:dyDescent="0.35">
      <c r="A9076">
        <v>7168</v>
      </c>
      <c r="B9076" t="s">
        <v>35323</v>
      </c>
      <c r="C9076" t="s">
        <v>850</v>
      </c>
      <c r="D9076" t="s">
        <v>40581</v>
      </c>
      <c r="E9076" t="e" cm="1">
        <f t="array" ref="E9076">- Achyrantes Bidentata Radix</f>
        <v>#NAME?</v>
      </c>
      <c r="F9076" t="s">
        <v>40582</v>
      </c>
      <c r="G9076" t="s">
        <v>40583</v>
      </c>
      <c r="H9076" t="s">
        <v>9172</v>
      </c>
      <c r="I9076" t="s">
        <v>40584</v>
      </c>
      <c r="J9076" t="s">
        <v>4010</v>
      </c>
      <c r="K9076" t="s">
        <v>2726</v>
      </c>
      <c r="L9076" t="s">
        <v>40585</v>
      </c>
      <c r="M9076" t="s">
        <v>2115</v>
      </c>
      <c r="N9076" t="s">
        <v>35330</v>
      </c>
      <c r="O9076" t="s">
        <v>40586</v>
      </c>
      <c r="P9076" t="s">
        <v>40587</v>
      </c>
      <c r="Q9076" t="s">
        <v>40588</v>
      </c>
      <c r="R9076">
        <v>30</v>
      </c>
      <c r="S9076">
        <v>32</v>
      </c>
    </row>
    <row r="9077" spans="1:19" x14ac:dyDescent="0.35">
      <c r="A9077">
        <v>7765</v>
      </c>
      <c r="B9077" t="s">
        <v>16534</v>
      </c>
      <c r="C9077" t="s">
        <v>20</v>
      </c>
      <c r="D9077" t="s">
        <v>40589</v>
      </c>
      <c r="E9077" t="s">
        <v>16536</v>
      </c>
      <c r="F9077" t="s">
        <v>40590</v>
      </c>
      <c r="I9077" t="s">
        <v>40591</v>
      </c>
      <c r="J9077" t="s">
        <v>334</v>
      </c>
      <c r="M9077" t="s">
        <v>2374</v>
      </c>
      <c r="N9077" t="s">
        <v>16542</v>
      </c>
      <c r="O9077" t="s">
        <v>40592</v>
      </c>
      <c r="P9077" t="s">
        <v>16542</v>
      </c>
      <c r="Q9077" t="s">
        <v>40593</v>
      </c>
      <c r="R9077">
        <v>30</v>
      </c>
      <c r="S9077">
        <v>32</v>
      </c>
    </row>
    <row r="9078" spans="1:19" x14ac:dyDescent="0.35">
      <c r="A9078">
        <v>3007</v>
      </c>
      <c r="B9078" t="s">
        <v>39328</v>
      </c>
      <c r="C9078" t="s">
        <v>42</v>
      </c>
      <c r="D9078" t="s">
        <v>39329</v>
      </c>
      <c r="E9078" t="e" cm="1">
        <f t="array" ref="E9078">- OMEPRAZOLE PELLET</f>
        <v>#NAME?</v>
      </c>
      <c r="F9078" t="s">
        <v>39330</v>
      </c>
      <c r="G9078" t="s">
        <v>18116</v>
      </c>
      <c r="H9078" t="s">
        <v>2724</v>
      </c>
      <c r="I9078" t="s">
        <v>39331</v>
      </c>
      <c r="J9078" t="s">
        <v>39332</v>
      </c>
      <c r="K9078" t="s">
        <v>39333</v>
      </c>
      <c r="L9078" t="s">
        <v>39334</v>
      </c>
    </row>
    <row r="9079" spans="1:19" x14ac:dyDescent="0.35">
      <c r="A9079">
        <v>3033</v>
      </c>
      <c r="B9079" t="s">
        <v>36758</v>
      </c>
      <c r="C9079" t="s">
        <v>42</v>
      </c>
      <c r="D9079" t="s">
        <v>40392</v>
      </c>
      <c r="E9079" t="e" cm="1">
        <f t="array" ref="E9079">- ALUMINIUM HYDROXIDE</f>
        <v>#NAME?</v>
      </c>
      <c r="F9079" t="s">
        <v>40393</v>
      </c>
      <c r="G9079" t="s">
        <v>39452</v>
      </c>
      <c r="H9079" t="s">
        <v>39453</v>
      </c>
      <c r="I9079" t="s">
        <v>40394</v>
      </c>
      <c r="J9079" t="s">
        <v>374</v>
      </c>
      <c r="K9079" t="s">
        <v>40395</v>
      </c>
      <c r="L9079" t="s">
        <v>40396</v>
      </c>
      <c r="M9079" t="s">
        <v>340</v>
      </c>
      <c r="N9079" t="s">
        <v>1771</v>
      </c>
      <c r="O9079" t="s">
        <v>40397</v>
      </c>
      <c r="P9079" t="s">
        <v>23220</v>
      </c>
      <c r="Q9079" t="s">
        <v>40398</v>
      </c>
      <c r="R9079">
        <v>30</v>
      </c>
      <c r="S9079">
        <v>32</v>
      </c>
    </row>
    <row r="9080" spans="1:19" x14ac:dyDescent="0.35">
      <c r="A9080">
        <v>3443</v>
      </c>
      <c r="B9080" t="s">
        <v>40594</v>
      </c>
      <c r="C9080" t="s">
        <v>42</v>
      </c>
      <c r="D9080" t="s">
        <v>40595</v>
      </c>
      <c r="E9080" t="e" cm="1">
        <f t="array" ref="E9080">- RANITIDINE HYDROCHLORIDE</f>
        <v>#NAME?</v>
      </c>
      <c r="F9080" s="1">
        <v>76000</v>
      </c>
      <c r="G9080" t="s">
        <v>20347</v>
      </c>
      <c r="H9080" t="s">
        <v>40596</v>
      </c>
      <c r="I9080" t="s">
        <v>40597</v>
      </c>
      <c r="J9080" t="s">
        <v>40598</v>
      </c>
      <c r="L9080" t="s">
        <v>40599</v>
      </c>
      <c r="M9080" t="s">
        <v>46</v>
      </c>
      <c r="N9080" t="s">
        <v>1985</v>
      </c>
      <c r="O9080" t="s">
        <v>40600</v>
      </c>
      <c r="P9080" t="s">
        <v>40601</v>
      </c>
      <c r="Q9080" t="s">
        <v>40602</v>
      </c>
      <c r="R9080">
        <v>30</v>
      </c>
      <c r="S9080">
        <v>32</v>
      </c>
    </row>
    <row r="9081" spans="1:19" x14ac:dyDescent="0.35">
      <c r="A9081">
        <v>3036</v>
      </c>
      <c r="B9081" t="s">
        <v>36758</v>
      </c>
      <c r="C9081" t="s">
        <v>42</v>
      </c>
      <c r="D9081" t="s">
        <v>40392</v>
      </c>
      <c r="E9081" t="e" cm="1">
        <f t="array" ref="E9081">- ALUMINIUM HYDROXIDE</f>
        <v>#NAME?</v>
      </c>
      <c r="F9081" t="s">
        <v>40393</v>
      </c>
      <c r="G9081" t="s">
        <v>39452</v>
      </c>
      <c r="H9081" t="s">
        <v>39453</v>
      </c>
      <c r="I9081" t="s">
        <v>40394</v>
      </c>
      <c r="J9081" t="s">
        <v>374</v>
      </c>
      <c r="K9081" t="s">
        <v>40395</v>
      </c>
      <c r="L9081" t="s">
        <v>40396</v>
      </c>
      <c r="M9081" t="s">
        <v>340</v>
      </c>
      <c r="N9081" t="s">
        <v>1771</v>
      </c>
      <c r="O9081" t="s">
        <v>40397</v>
      </c>
      <c r="P9081" t="s">
        <v>23220</v>
      </c>
      <c r="Q9081" t="s">
        <v>40398</v>
      </c>
      <c r="R9081">
        <v>30</v>
      </c>
      <c r="S9081">
        <v>32</v>
      </c>
    </row>
    <row r="9082" spans="1:19" x14ac:dyDescent="0.35">
      <c r="A9082">
        <v>3037</v>
      </c>
      <c r="B9082" t="s">
        <v>36758</v>
      </c>
      <c r="C9082" t="s">
        <v>42</v>
      </c>
      <c r="D9082" t="s">
        <v>40392</v>
      </c>
      <c r="E9082" t="e" cm="1">
        <f t="array" ref="E9082">- ALUMINIUM HYDROXIDE</f>
        <v>#NAME?</v>
      </c>
      <c r="F9082" t="s">
        <v>40393</v>
      </c>
      <c r="G9082" t="s">
        <v>39452</v>
      </c>
      <c r="H9082" t="s">
        <v>39453</v>
      </c>
      <c r="I9082" t="s">
        <v>40394</v>
      </c>
      <c r="J9082" t="s">
        <v>374</v>
      </c>
      <c r="K9082" t="s">
        <v>40395</v>
      </c>
      <c r="L9082" t="s">
        <v>40396</v>
      </c>
      <c r="M9082" t="s">
        <v>340</v>
      </c>
      <c r="N9082" t="s">
        <v>1771</v>
      </c>
      <c r="O9082" t="s">
        <v>40397</v>
      </c>
      <c r="P9082" t="s">
        <v>23220</v>
      </c>
      <c r="Q9082" t="s">
        <v>40398</v>
      </c>
      <c r="R9082">
        <v>30</v>
      </c>
      <c r="S9082">
        <v>32</v>
      </c>
    </row>
    <row r="9083" spans="1:19" x14ac:dyDescent="0.35">
      <c r="A9083">
        <v>8803</v>
      </c>
      <c r="B9083" t="s">
        <v>2388</v>
      </c>
      <c r="C9083" t="s">
        <v>42</v>
      </c>
      <c r="D9083" t="s">
        <v>40031</v>
      </c>
      <c r="E9083" t="e" cm="1">
        <f t="array" ref="E9083">- PIOGLITAZONE HYDROCHLORIDE</f>
        <v>#NAME?</v>
      </c>
      <c r="F9083" t="s">
        <v>40032</v>
      </c>
      <c r="G9083" t="s">
        <v>40033</v>
      </c>
      <c r="H9083" t="s">
        <v>40034</v>
      </c>
      <c r="I9083" t="s">
        <v>40035</v>
      </c>
      <c r="J9083" t="s">
        <v>40036</v>
      </c>
      <c r="L9083" t="s">
        <v>40037</v>
      </c>
      <c r="M9083" t="s">
        <v>46</v>
      </c>
      <c r="N9083" t="s">
        <v>2389</v>
      </c>
      <c r="O9083" t="s">
        <v>40038</v>
      </c>
      <c r="P9083" t="s">
        <v>40039</v>
      </c>
      <c r="Q9083" t="s">
        <v>40603</v>
      </c>
      <c r="R9083">
        <v>30</v>
      </c>
      <c r="S9083">
        <v>32</v>
      </c>
    </row>
    <row r="9084" spans="1:19" x14ac:dyDescent="0.35">
      <c r="A9084">
        <v>7167</v>
      </c>
      <c r="B9084" t="s">
        <v>35323</v>
      </c>
      <c r="C9084" t="s">
        <v>850</v>
      </c>
      <c r="D9084" t="s">
        <v>40604</v>
      </c>
      <c r="E9084" t="e" cm="1">
        <f t="array" ref="E9084">- Achyrantes Bidentata Radix</f>
        <v>#NAME?</v>
      </c>
      <c r="F9084" t="s">
        <v>40605</v>
      </c>
      <c r="G9084" t="s">
        <v>35326</v>
      </c>
      <c r="H9084" t="s">
        <v>9172</v>
      </c>
      <c r="I9084" t="s">
        <v>40584</v>
      </c>
      <c r="J9084" t="s">
        <v>3275</v>
      </c>
      <c r="K9084" t="s">
        <v>2858</v>
      </c>
      <c r="L9084" t="s">
        <v>20261</v>
      </c>
      <c r="M9084" t="s">
        <v>2115</v>
      </c>
      <c r="N9084" t="s">
        <v>35330</v>
      </c>
      <c r="O9084" t="s">
        <v>40586</v>
      </c>
      <c r="P9084" t="s">
        <v>40606</v>
      </c>
      <c r="Q9084" t="s">
        <v>40607</v>
      </c>
      <c r="R9084">
        <v>30</v>
      </c>
      <c r="S9084">
        <v>32</v>
      </c>
    </row>
    <row r="9085" spans="1:19" x14ac:dyDescent="0.35">
      <c r="A9085">
        <v>4879</v>
      </c>
      <c r="B9085" t="s">
        <v>40608</v>
      </c>
      <c r="C9085" t="s">
        <v>42</v>
      </c>
      <c r="D9085" t="s">
        <v>40609</v>
      </c>
      <c r="E9085" t="e" cm="1">
        <f t="array" ref="E9085">- POLYMYXIN B SULFATE. NEOMYCIN SULFATE. PHENYLEPHRINE HYDROCHLORIDE</f>
        <v>#NAME?</v>
      </c>
      <c r="F9085" t="s">
        <v>14648</v>
      </c>
      <c r="G9085" t="s">
        <v>7569</v>
      </c>
      <c r="H9085" t="s">
        <v>40610</v>
      </c>
      <c r="I9085" t="s">
        <v>40611</v>
      </c>
      <c r="J9085" t="s">
        <v>9310</v>
      </c>
      <c r="L9085" t="s">
        <v>40612</v>
      </c>
      <c r="M9085" t="s">
        <v>824</v>
      </c>
      <c r="N9085" t="s">
        <v>30785</v>
      </c>
      <c r="O9085" t="s">
        <v>40613</v>
      </c>
      <c r="P9085" t="s">
        <v>40614</v>
      </c>
      <c r="Q9085" t="s">
        <v>40615</v>
      </c>
      <c r="R9085">
        <v>30</v>
      </c>
      <c r="S9085">
        <v>32</v>
      </c>
    </row>
    <row r="9086" spans="1:19" x14ac:dyDescent="0.35">
      <c r="A9086">
        <v>3055</v>
      </c>
      <c r="B9086" t="s">
        <v>40616</v>
      </c>
      <c r="C9086" t="s">
        <v>42</v>
      </c>
      <c r="D9086" t="s">
        <v>40617</v>
      </c>
      <c r="E9086" t="e" cm="1">
        <f t="array" ref="E9086">- ESOMEPRAZOLE MAGNESIUM</f>
        <v>#NAME?</v>
      </c>
      <c r="F9086" t="s">
        <v>40618</v>
      </c>
      <c r="G9086" t="s">
        <v>40619</v>
      </c>
      <c r="H9086" t="s">
        <v>40247</v>
      </c>
      <c r="I9086" t="s">
        <v>40248</v>
      </c>
      <c r="J9086" t="s">
        <v>2478</v>
      </c>
      <c r="K9086" t="s">
        <v>2146</v>
      </c>
      <c r="L9086" t="s">
        <v>40249</v>
      </c>
      <c r="M9086" t="s">
        <v>46</v>
      </c>
      <c r="N9086" t="s">
        <v>1978</v>
      </c>
      <c r="O9086" t="s">
        <v>40250</v>
      </c>
      <c r="P9086" t="s">
        <v>40620</v>
      </c>
      <c r="Q9086" t="s">
        <v>40621</v>
      </c>
      <c r="R9086">
        <v>30</v>
      </c>
      <c r="S9086">
        <v>32</v>
      </c>
    </row>
    <row r="9087" spans="1:19" x14ac:dyDescent="0.35">
      <c r="A9087">
        <v>3056</v>
      </c>
      <c r="B9087" t="s">
        <v>40616</v>
      </c>
      <c r="C9087" t="s">
        <v>42</v>
      </c>
      <c r="D9087" t="s">
        <v>40617</v>
      </c>
      <c r="E9087" t="e" cm="1">
        <f t="array" ref="E9087">- ESOMEPRAZOLE MAGNESIUM</f>
        <v>#NAME?</v>
      </c>
      <c r="F9087" t="s">
        <v>40618</v>
      </c>
      <c r="G9087" t="s">
        <v>40619</v>
      </c>
      <c r="H9087" t="s">
        <v>40247</v>
      </c>
      <c r="I9087" t="s">
        <v>40248</v>
      </c>
      <c r="J9087" t="s">
        <v>2478</v>
      </c>
      <c r="K9087" t="s">
        <v>2146</v>
      </c>
      <c r="L9087" t="s">
        <v>40249</v>
      </c>
      <c r="M9087" t="s">
        <v>46</v>
      </c>
      <c r="N9087" t="s">
        <v>1978</v>
      </c>
      <c r="O9087" t="s">
        <v>40250</v>
      </c>
      <c r="P9087" t="s">
        <v>40620</v>
      </c>
      <c r="Q9087" t="s">
        <v>40621</v>
      </c>
      <c r="R9087">
        <v>30</v>
      </c>
      <c r="S9087">
        <v>32</v>
      </c>
    </row>
    <row r="9088" spans="1:19" x14ac:dyDescent="0.35">
      <c r="A9088">
        <v>4561</v>
      </c>
      <c r="B9088" t="s">
        <v>39297</v>
      </c>
      <c r="C9088" t="s">
        <v>42</v>
      </c>
      <c r="D9088" t="s">
        <v>39298</v>
      </c>
      <c r="E9088" t="e" cm="1">
        <f t="array" ref="E9088">- SODIUM CHLORIDE. POTASSIUM CHLORIDE</f>
        <v>#NAME?</v>
      </c>
      <c r="F9088" t="s">
        <v>39299</v>
      </c>
      <c r="G9088" t="s">
        <v>7569</v>
      </c>
      <c r="H9088" t="s">
        <v>39300</v>
      </c>
      <c r="I9088" t="s">
        <v>39301</v>
      </c>
      <c r="J9088" t="s">
        <v>16097</v>
      </c>
      <c r="K9088" t="s">
        <v>39302</v>
      </c>
      <c r="L9088" t="s">
        <v>39303</v>
      </c>
      <c r="M9088" t="s">
        <v>824</v>
      </c>
      <c r="N9088" t="s">
        <v>40622</v>
      </c>
      <c r="O9088" t="s">
        <v>39305</v>
      </c>
      <c r="P9088" t="s">
        <v>39306</v>
      </c>
      <c r="Q9088" t="s">
        <v>40623</v>
      </c>
      <c r="R9088">
        <v>30</v>
      </c>
      <c r="S9088">
        <v>32</v>
      </c>
    </row>
    <row r="9089" spans="1:19" x14ac:dyDescent="0.35">
      <c r="A9089">
        <v>5938</v>
      </c>
      <c r="B9089" t="s">
        <v>40151</v>
      </c>
      <c r="C9089" t="s">
        <v>42</v>
      </c>
      <c r="D9089" t="s">
        <v>40152</v>
      </c>
      <c r="E9089" t="s">
        <v>40624</v>
      </c>
      <c r="F9089" s="1">
        <v>128000</v>
      </c>
      <c r="G9089" t="s">
        <v>2241</v>
      </c>
      <c r="H9089" t="s">
        <v>40153</v>
      </c>
      <c r="I9089" t="s">
        <v>40154</v>
      </c>
      <c r="J9089" t="s">
        <v>284</v>
      </c>
      <c r="K9089" t="s">
        <v>19724</v>
      </c>
      <c r="L9089" t="s">
        <v>40155</v>
      </c>
      <c r="M9089" t="s">
        <v>46</v>
      </c>
      <c r="N9089" t="s">
        <v>40625</v>
      </c>
      <c r="O9089" t="s">
        <v>40156</v>
      </c>
      <c r="P9089" t="s">
        <v>35413</v>
      </c>
      <c r="Q9089" t="s">
        <v>40626</v>
      </c>
      <c r="R9089">
        <v>30</v>
      </c>
      <c r="S9089">
        <v>32</v>
      </c>
    </row>
    <row r="9090" spans="1:19" x14ac:dyDescent="0.35">
      <c r="A9090">
        <v>4560</v>
      </c>
      <c r="B9090" t="s">
        <v>39297</v>
      </c>
      <c r="C9090" t="s">
        <v>42</v>
      </c>
      <c r="D9090" t="s">
        <v>39298</v>
      </c>
      <c r="E9090" t="e" cm="1">
        <f t="array" ref="E9090">- SODIUM CHLORIDE. POTASSIUM CHLORIDE</f>
        <v>#NAME?</v>
      </c>
      <c r="F9090" t="s">
        <v>39299</v>
      </c>
      <c r="G9090" t="s">
        <v>7569</v>
      </c>
      <c r="H9090" t="s">
        <v>39300</v>
      </c>
      <c r="I9090" t="s">
        <v>39301</v>
      </c>
      <c r="J9090" t="s">
        <v>16097</v>
      </c>
      <c r="K9090" t="s">
        <v>39302</v>
      </c>
      <c r="L9090" t="s">
        <v>39303</v>
      </c>
      <c r="M9090" t="s">
        <v>824</v>
      </c>
      <c r="N9090" t="s">
        <v>40622</v>
      </c>
      <c r="O9090" t="s">
        <v>39305</v>
      </c>
      <c r="P9090" t="s">
        <v>39306</v>
      </c>
      <c r="Q9090" t="s">
        <v>40623</v>
      </c>
      <c r="R9090">
        <v>30</v>
      </c>
      <c r="S9090">
        <v>32</v>
      </c>
    </row>
    <row r="9091" spans="1:19" x14ac:dyDescent="0.35">
      <c r="A9091">
        <v>4559</v>
      </c>
      <c r="B9091" t="s">
        <v>39297</v>
      </c>
      <c r="C9091" t="s">
        <v>42</v>
      </c>
      <c r="D9091" t="s">
        <v>39298</v>
      </c>
      <c r="E9091" t="e" cm="1">
        <f t="array" ref="E9091">- SODIUM CHLORIDE. POTASSIUM CHLORIDE</f>
        <v>#NAME?</v>
      </c>
      <c r="F9091" t="s">
        <v>39299</v>
      </c>
      <c r="G9091" t="s">
        <v>7569</v>
      </c>
      <c r="H9091" t="s">
        <v>39300</v>
      </c>
      <c r="I9091" t="s">
        <v>39301</v>
      </c>
      <c r="J9091" t="s">
        <v>16097</v>
      </c>
      <c r="K9091" t="s">
        <v>39302</v>
      </c>
      <c r="L9091" t="s">
        <v>39303</v>
      </c>
      <c r="M9091" t="s">
        <v>824</v>
      </c>
      <c r="N9091" t="s">
        <v>40622</v>
      </c>
      <c r="O9091" t="s">
        <v>39305</v>
      </c>
      <c r="P9091" t="s">
        <v>39306</v>
      </c>
      <c r="Q9091" t="s">
        <v>40623</v>
      </c>
      <c r="R9091">
        <v>30</v>
      </c>
      <c r="S9091">
        <v>32</v>
      </c>
    </row>
    <row r="9092" spans="1:19" x14ac:dyDescent="0.35">
      <c r="A9092">
        <v>7764</v>
      </c>
      <c r="B9092" t="s">
        <v>16534</v>
      </c>
      <c r="C9092" t="s">
        <v>20</v>
      </c>
      <c r="D9092" t="s">
        <v>40589</v>
      </c>
      <c r="E9092" t="s">
        <v>16536</v>
      </c>
      <c r="F9092" t="s">
        <v>40590</v>
      </c>
      <c r="I9092" t="s">
        <v>40591</v>
      </c>
      <c r="J9092" t="s">
        <v>334</v>
      </c>
      <c r="M9092" t="s">
        <v>2374</v>
      </c>
      <c r="N9092" t="s">
        <v>16542</v>
      </c>
      <c r="O9092" t="s">
        <v>40592</v>
      </c>
      <c r="P9092" t="s">
        <v>16542</v>
      </c>
      <c r="Q9092" t="s">
        <v>40593</v>
      </c>
      <c r="R9092">
        <v>30</v>
      </c>
      <c r="S9092">
        <v>32</v>
      </c>
    </row>
    <row r="9093" spans="1:19" x14ac:dyDescent="0.35">
      <c r="A9093">
        <v>6201</v>
      </c>
      <c r="B9093" t="s">
        <v>38845</v>
      </c>
      <c r="C9093" t="s">
        <v>42</v>
      </c>
      <c r="D9093" t="s">
        <v>38846</v>
      </c>
      <c r="E9093" t="e" cm="1">
        <f t="array" ref="E9093">- ETHAMBUTOL HYDROCHLORIDE. ISONIAZID. PYRIDOXINE HYDROCHLORIDE</f>
        <v>#NAME?</v>
      </c>
      <c r="F9093" s="1">
        <v>51900</v>
      </c>
      <c r="G9093" t="s">
        <v>737</v>
      </c>
      <c r="H9093" t="s">
        <v>38847</v>
      </c>
      <c r="I9093" t="s">
        <v>38848</v>
      </c>
      <c r="J9093" t="s">
        <v>28291</v>
      </c>
      <c r="K9093" t="s">
        <v>38849</v>
      </c>
      <c r="L9093" t="s">
        <v>38850</v>
      </c>
      <c r="M9093" t="s">
        <v>291</v>
      </c>
      <c r="N9093" t="s">
        <v>40627</v>
      </c>
      <c r="O9093" t="s">
        <v>38851</v>
      </c>
      <c r="P9093" t="s">
        <v>38852</v>
      </c>
      <c r="Q9093" t="s">
        <v>40628</v>
      </c>
      <c r="R9093">
        <v>30</v>
      </c>
      <c r="S9093">
        <v>32</v>
      </c>
    </row>
    <row r="9094" spans="1:19" x14ac:dyDescent="0.35">
      <c r="A9094">
        <v>776</v>
      </c>
      <c r="B9094" t="s">
        <v>40117</v>
      </c>
      <c r="C9094" t="s">
        <v>42</v>
      </c>
      <c r="D9094" t="s">
        <v>40629</v>
      </c>
      <c r="E9094" t="e" cm="1">
        <f t="array" ref="E9094">- PARACETAMOL. AMMONIUM CHLORIDE. PSEUDOEPHEDRINE HYDROCHLORIDE. CHLORPHENAMINE MALEATE. SUCCUS LIQUIRITIAE</f>
        <v>#NAME?</v>
      </c>
      <c r="F9094" t="s">
        <v>40630</v>
      </c>
      <c r="G9094" t="s">
        <v>2453</v>
      </c>
      <c r="H9094" t="s">
        <v>40352</v>
      </c>
      <c r="I9094" t="s">
        <v>30131</v>
      </c>
      <c r="J9094" t="s">
        <v>374</v>
      </c>
      <c r="K9094" t="s">
        <v>34795</v>
      </c>
      <c r="L9094" t="s">
        <v>40631</v>
      </c>
      <c r="M9094" t="s">
        <v>271</v>
      </c>
      <c r="N9094" t="s">
        <v>17299</v>
      </c>
      <c r="O9094" t="s">
        <v>30135</v>
      </c>
      <c r="P9094" t="s">
        <v>40125</v>
      </c>
      <c r="Q9094" t="s">
        <v>40632</v>
      </c>
      <c r="R9094">
        <v>30</v>
      </c>
      <c r="S9094">
        <v>32</v>
      </c>
    </row>
    <row r="9095" spans="1:19" x14ac:dyDescent="0.35">
      <c r="A9095">
        <v>2205</v>
      </c>
      <c r="B9095" t="s">
        <v>40633</v>
      </c>
      <c r="C9095" t="s">
        <v>42</v>
      </c>
      <c r="D9095" t="s">
        <v>40634</v>
      </c>
      <c r="E9095" t="e" cm="1">
        <f t="array" ref="E9095">- DICLOFENAC SODIUM</f>
        <v>#NAME?</v>
      </c>
      <c r="F9095" t="s">
        <v>40635</v>
      </c>
      <c r="G9095" t="s">
        <v>2241</v>
      </c>
      <c r="H9095" t="s">
        <v>39824</v>
      </c>
      <c r="I9095" t="s">
        <v>39825</v>
      </c>
      <c r="J9095" t="s">
        <v>33178</v>
      </c>
      <c r="K9095" t="s">
        <v>36607</v>
      </c>
      <c r="L9095" t="s">
        <v>36608</v>
      </c>
      <c r="M9095" t="s">
        <v>46</v>
      </c>
      <c r="N9095" t="s">
        <v>2597</v>
      </c>
      <c r="O9095" t="s">
        <v>39826</v>
      </c>
      <c r="P9095" t="s">
        <v>40636</v>
      </c>
      <c r="Q9095" t="s">
        <v>40637</v>
      </c>
      <c r="R9095">
        <v>30</v>
      </c>
      <c r="S9095">
        <v>32</v>
      </c>
    </row>
    <row r="9096" spans="1:19" x14ac:dyDescent="0.35">
      <c r="A9096">
        <v>9611</v>
      </c>
      <c r="B9096" t="s">
        <v>6301</v>
      </c>
      <c r="C9096" t="s">
        <v>42</v>
      </c>
      <c r="D9096" t="s">
        <v>40638</v>
      </c>
      <c r="E9096" t="s">
        <v>6303</v>
      </c>
      <c r="F9096" t="s">
        <v>40639</v>
      </c>
      <c r="G9096" t="s">
        <v>31602</v>
      </c>
      <c r="I9096" t="s">
        <v>40640</v>
      </c>
      <c r="J9096" t="s">
        <v>17714</v>
      </c>
      <c r="L9096" t="s">
        <v>40641</v>
      </c>
      <c r="M9096" t="s">
        <v>46</v>
      </c>
      <c r="N9096" t="s">
        <v>6304</v>
      </c>
      <c r="O9096" t="s">
        <v>40642</v>
      </c>
      <c r="P9096" t="s">
        <v>40643</v>
      </c>
      <c r="Q9096" t="s">
        <v>40644</v>
      </c>
      <c r="R9096">
        <v>30</v>
      </c>
      <c r="S9096">
        <v>32</v>
      </c>
    </row>
    <row r="9097" spans="1:19" x14ac:dyDescent="0.35">
      <c r="A9097">
        <v>9613</v>
      </c>
      <c r="B9097" t="s">
        <v>6301</v>
      </c>
      <c r="C9097" t="s">
        <v>42</v>
      </c>
      <c r="D9097" t="s">
        <v>40645</v>
      </c>
      <c r="E9097" t="s">
        <v>6303</v>
      </c>
      <c r="F9097" t="s">
        <v>40646</v>
      </c>
      <c r="G9097" t="s">
        <v>31602</v>
      </c>
      <c r="I9097" t="s">
        <v>40640</v>
      </c>
      <c r="J9097" t="s">
        <v>636</v>
      </c>
      <c r="L9097" t="s">
        <v>40641</v>
      </c>
      <c r="M9097" t="s">
        <v>46</v>
      </c>
      <c r="N9097" t="s">
        <v>6304</v>
      </c>
      <c r="O9097" t="s">
        <v>40642</v>
      </c>
      <c r="P9097" t="s">
        <v>40643</v>
      </c>
      <c r="Q9097" t="s">
        <v>40644</v>
      </c>
      <c r="R9097">
        <v>30</v>
      </c>
      <c r="S9097">
        <v>32</v>
      </c>
    </row>
    <row r="9098" spans="1:19" x14ac:dyDescent="0.35">
      <c r="A9098">
        <v>9614</v>
      </c>
      <c r="B9098" t="s">
        <v>6301</v>
      </c>
      <c r="C9098" t="s">
        <v>42</v>
      </c>
      <c r="D9098" t="s">
        <v>40647</v>
      </c>
      <c r="E9098" t="s">
        <v>6303</v>
      </c>
      <c r="F9098" t="s">
        <v>40648</v>
      </c>
      <c r="G9098" t="s">
        <v>31602</v>
      </c>
      <c r="I9098" t="s">
        <v>40640</v>
      </c>
      <c r="J9098" t="s">
        <v>38237</v>
      </c>
      <c r="L9098" t="s">
        <v>40641</v>
      </c>
      <c r="M9098" t="s">
        <v>46</v>
      </c>
      <c r="N9098" t="s">
        <v>6304</v>
      </c>
      <c r="O9098" t="s">
        <v>40642</v>
      </c>
      <c r="P9098" t="s">
        <v>40643</v>
      </c>
      <c r="Q9098" t="s">
        <v>40644</v>
      </c>
      <c r="R9098">
        <v>30</v>
      </c>
      <c r="S9098">
        <v>32</v>
      </c>
    </row>
    <row r="9099" spans="1:19" x14ac:dyDescent="0.35">
      <c r="A9099">
        <v>696</v>
      </c>
      <c r="B9099" t="s">
        <v>40649</v>
      </c>
      <c r="C9099" t="s">
        <v>20</v>
      </c>
      <c r="D9099" t="s">
        <v>40650</v>
      </c>
      <c r="E9099" t="s">
        <v>40651</v>
      </c>
      <c r="F9099" t="s">
        <v>40652</v>
      </c>
      <c r="G9099" t="s">
        <v>25779</v>
      </c>
      <c r="H9099" t="s">
        <v>16968</v>
      </c>
      <c r="I9099" t="s">
        <v>40653</v>
      </c>
      <c r="J9099" t="s">
        <v>21644</v>
      </c>
      <c r="L9099" t="s">
        <v>26620</v>
      </c>
      <c r="M9099" t="s">
        <v>2115</v>
      </c>
      <c r="N9099" t="s">
        <v>40654</v>
      </c>
      <c r="O9099" t="s">
        <v>40655</v>
      </c>
      <c r="P9099" t="s">
        <v>40656</v>
      </c>
      <c r="Q9099" t="s">
        <v>40657</v>
      </c>
      <c r="R9099">
        <v>30</v>
      </c>
      <c r="S9099">
        <v>32</v>
      </c>
    </row>
    <row r="9100" spans="1:19" x14ac:dyDescent="0.35">
      <c r="A9100">
        <v>697</v>
      </c>
      <c r="B9100" t="s">
        <v>40649</v>
      </c>
      <c r="C9100" t="s">
        <v>20</v>
      </c>
      <c r="D9100" t="s">
        <v>40658</v>
      </c>
      <c r="E9100" t="s">
        <v>40651</v>
      </c>
      <c r="F9100" t="s">
        <v>40659</v>
      </c>
      <c r="G9100" t="s">
        <v>25779</v>
      </c>
      <c r="H9100" t="s">
        <v>16968</v>
      </c>
      <c r="I9100" t="s">
        <v>40653</v>
      </c>
      <c r="J9100" t="s">
        <v>19180</v>
      </c>
      <c r="L9100" t="s">
        <v>26620</v>
      </c>
      <c r="M9100" t="s">
        <v>2115</v>
      </c>
      <c r="N9100" t="s">
        <v>40654</v>
      </c>
      <c r="O9100" t="s">
        <v>40655</v>
      </c>
      <c r="P9100" t="s">
        <v>40656</v>
      </c>
      <c r="Q9100" t="s">
        <v>40657</v>
      </c>
      <c r="R9100">
        <v>30</v>
      </c>
      <c r="S9100">
        <v>32</v>
      </c>
    </row>
    <row r="9101" spans="1:19" x14ac:dyDescent="0.35">
      <c r="A9101">
        <v>698</v>
      </c>
      <c r="B9101" t="s">
        <v>40649</v>
      </c>
      <c r="C9101" t="s">
        <v>20</v>
      </c>
      <c r="D9101" t="s">
        <v>40660</v>
      </c>
      <c r="E9101" t="s">
        <v>40651</v>
      </c>
      <c r="F9101" t="s">
        <v>40661</v>
      </c>
      <c r="G9101" t="s">
        <v>25779</v>
      </c>
      <c r="H9101" t="s">
        <v>16968</v>
      </c>
      <c r="I9101" t="s">
        <v>40653</v>
      </c>
      <c r="J9101" t="s">
        <v>846</v>
      </c>
      <c r="L9101" t="s">
        <v>26620</v>
      </c>
      <c r="M9101" t="s">
        <v>2115</v>
      </c>
      <c r="N9101" t="s">
        <v>40654</v>
      </c>
      <c r="O9101" t="s">
        <v>40655</v>
      </c>
      <c r="P9101" t="s">
        <v>40656</v>
      </c>
      <c r="Q9101" t="s">
        <v>40657</v>
      </c>
      <c r="R9101">
        <v>30</v>
      </c>
      <c r="S9101">
        <v>32</v>
      </c>
    </row>
    <row r="9102" spans="1:19" x14ac:dyDescent="0.35">
      <c r="A9102">
        <v>778</v>
      </c>
      <c r="B9102" t="s">
        <v>40117</v>
      </c>
      <c r="C9102" t="s">
        <v>42</v>
      </c>
      <c r="D9102" t="s">
        <v>40629</v>
      </c>
      <c r="E9102" t="e" cm="1">
        <f t="array" ref="E9102">- SUCCUS LIQUIRITIAE. PARACETAMOL. AMMONIUM CHLORIDE. EPHEDRINE HYDROCHLORIDE. CHLORPHENAMINE MALEATE</f>
        <v>#NAME?</v>
      </c>
      <c r="F9102" t="s">
        <v>40630</v>
      </c>
      <c r="G9102" t="s">
        <v>2453</v>
      </c>
      <c r="H9102" t="s">
        <v>40352</v>
      </c>
      <c r="I9102" t="s">
        <v>30131</v>
      </c>
      <c r="J9102" t="s">
        <v>374</v>
      </c>
      <c r="K9102" t="s">
        <v>34795</v>
      </c>
      <c r="L9102" t="s">
        <v>40631</v>
      </c>
      <c r="M9102" t="s">
        <v>271</v>
      </c>
      <c r="N9102" t="s">
        <v>40135</v>
      </c>
      <c r="O9102" t="s">
        <v>30135</v>
      </c>
      <c r="P9102" t="s">
        <v>40125</v>
      </c>
      <c r="Q9102" t="s">
        <v>40662</v>
      </c>
      <c r="R9102">
        <v>30</v>
      </c>
      <c r="S9102">
        <v>32</v>
      </c>
    </row>
    <row r="9103" spans="1:19" x14ac:dyDescent="0.35">
      <c r="A9103">
        <v>4558</v>
      </c>
      <c r="B9103" t="s">
        <v>39297</v>
      </c>
      <c r="C9103" t="s">
        <v>42</v>
      </c>
      <c r="D9103" t="s">
        <v>39298</v>
      </c>
      <c r="E9103" t="e" cm="1">
        <f t="array" ref="E9103">- SODIUM CHLORIDE. POTASSIUM CHLORIDE</f>
        <v>#NAME?</v>
      </c>
      <c r="F9103" t="s">
        <v>39299</v>
      </c>
      <c r="G9103" t="s">
        <v>7569</v>
      </c>
      <c r="H9103" t="s">
        <v>39300</v>
      </c>
      <c r="I9103" t="s">
        <v>39301</v>
      </c>
      <c r="J9103" t="s">
        <v>16097</v>
      </c>
      <c r="K9103" t="s">
        <v>39302</v>
      </c>
      <c r="L9103" t="s">
        <v>39303</v>
      </c>
      <c r="M9103" t="s">
        <v>824</v>
      </c>
      <c r="N9103" t="s">
        <v>40622</v>
      </c>
      <c r="O9103" t="s">
        <v>39305</v>
      </c>
      <c r="P9103" t="s">
        <v>39306</v>
      </c>
      <c r="Q9103" t="s">
        <v>40623</v>
      </c>
      <c r="R9103">
        <v>30</v>
      </c>
      <c r="S9103">
        <v>32</v>
      </c>
    </row>
    <row r="9104" spans="1:19" x14ac:dyDescent="0.35">
      <c r="A9104">
        <v>9634</v>
      </c>
      <c r="B9104" t="s">
        <v>6301</v>
      </c>
      <c r="C9104" t="s">
        <v>42</v>
      </c>
      <c r="D9104" t="s">
        <v>40663</v>
      </c>
      <c r="E9104" t="s">
        <v>6303</v>
      </c>
      <c r="F9104" t="s">
        <v>40664</v>
      </c>
      <c r="G9104" t="s">
        <v>39512</v>
      </c>
      <c r="H9104" t="s">
        <v>1322</v>
      </c>
      <c r="I9104" t="s">
        <v>39811</v>
      </c>
      <c r="J9104" t="s">
        <v>334</v>
      </c>
      <c r="L9104" t="s">
        <v>34021</v>
      </c>
      <c r="M9104" t="s">
        <v>46</v>
      </c>
      <c r="N9104" t="s">
        <v>6304</v>
      </c>
      <c r="O9104" t="s">
        <v>39515</v>
      </c>
      <c r="P9104" t="s">
        <v>40665</v>
      </c>
      <c r="Q9104" t="s">
        <v>40666</v>
      </c>
      <c r="R9104">
        <v>30</v>
      </c>
      <c r="S9104">
        <v>32</v>
      </c>
    </row>
    <row r="9105" spans="1:19" x14ac:dyDescent="0.35">
      <c r="A9105">
        <v>9640</v>
      </c>
      <c r="B9105" t="s">
        <v>6301</v>
      </c>
      <c r="C9105" t="s">
        <v>42</v>
      </c>
      <c r="D9105" t="s">
        <v>40667</v>
      </c>
      <c r="E9105" t="s">
        <v>6303</v>
      </c>
      <c r="F9105" t="s">
        <v>40668</v>
      </c>
      <c r="G9105" t="s">
        <v>39512</v>
      </c>
      <c r="I9105" t="s">
        <v>39804</v>
      </c>
      <c r="J9105" t="s">
        <v>17718</v>
      </c>
      <c r="M9105" t="s">
        <v>46</v>
      </c>
      <c r="N9105" t="s">
        <v>6304</v>
      </c>
      <c r="O9105" t="s">
        <v>39806</v>
      </c>
      <c r="P9105" t="s">
        <v>40669</v>
      </c>
      <c r="Q9105" t="s">
        <v>40670</v>
      </c>
      <c r="R9105">
        <v>30</v>
      </c>
      <c r="S9105">
        <v>32</v>
      </c>
    </row>
    <row r="9106" spans="1:19" x14ac:dyDescent="0.35">
      <c r="A9106">
        <v>4782</v>
      </c>
      <c r="B9106" t="s">
        <v>40671</v>
      </c>
      <c r="C9106" t="s">
        <v>42</v>
      </c>
      <c r="D9106" t="s">
        <v>40672</v>
      </c>
      <c r="E9106" t="e" cm="1">
        <f t="array" ref="E9106">- CIPROFLOXACIN HYDROCHLORIDE</f>
        <v>#NAME?</v>
      </c>
      <c r="F9106" t="s">
        <v>40673</v>
      </c>
      <c r="G9106" t="s">
        <v>40674</v>
      </c>
      <c r="H9106" t="s">
        <v>40675</v>
      </c>
      <c r="I9106" t="s">
        <v>40676</v>
      </c>
      <c r="J9106" t="s">
        <v>14533</v>
      </c>
      <c r="K9106" t="s">
        <v>40677</v>
      </c>
      <c r="L9106" t="s">
        <v>40678</v>
      </c>
      <c r="M9106" t="s">
        <v>824</v>
      </c>
      <c r="N9106" t="s">
        <v>1624</v>
      </c>
      <c r="O9106" t="s">
        <v>40679</v>
      </c>
      <c r="P9106" t="s">
        <v>40680</v>
      </c>
      <c r="Q9106" t="s">
        <v>40681</v>
      </c>
      <c r="R9106">
        <v>30</v>
      </c>
      <c r="S9106">
        <v>32</v>
      </c>
    </row>
    <row r="9107" spans="1:19" x14ac:dyDescent="0.35">
      <c r="A9107">
        <v>9641</v>
      </c>
      <c r="B9107" t="s">
        <v>6301</v>
      </c>
      <c r="C9107" t="s">
        <v>42</v>
      </c>
      <c r="D9107" t="s">
        <v>40682</v>
      </c>
      <c r="E9107" t="s">
        <v>6303</v>
      </c>
      <c r="F9107" t="s">
        <v>40683</v>
      </c>
      <c r="G9107" t="s">
        <v>39512</v>
      </c>
      <c r="I9107" t="s">
        <v>39804</v>
      </c>
      <c r="J9107" t="s">
        <v>38237</v>
      </c>
      <c r="M9107" t="s">
        <v>46</v>
      </c>
      <c r="N9107" t="s">
        <v>6304</v>
      </c>
      <c r="O9107" t="s">
        <v>39806</v>
      </c>
      <c r="P9107" t="s">
        <v>40669</v>
      </c>
      <c r="Q9107" t="s">
        <v>40670</v>
      </c>
      <c r="R9107">
        <v>30</v>
      </c>
      <c r="S9107">
        <v>32</v>
      </c>
    </row>
    <row r="9108" spans="1:19" x14ac:dyDescent="0.35">
      <c r="A9108">
        <v>777</v>
      </c>
      <c r="B9108" t="s">
        <v>40117</v>
      </c>
      <c r="C9108" t="s">
        <v>42</v>
      </c>
      <c r="D9108" t="s">
        <v>40629</v>
      </c>
      <c r="E9108" t="e" cm="1">
        <f t="array" ref="E9108">- AMMONIUM CHLORIDE. PARACETAMOL. EPHEDRINE HYDROCHLORIDE. CHLORPHENAMINE MALEATE. SUCCUS LIQUIRITIAE</f>
        <v>#NAME?</v>
      </c>
      <c r="F9108" t="s">
        <v>40630</v>
      </c>
      <c r="G9108" t="s">
        <v>2453</v>
      </c>
      <c r="H9108" t="s">
        <v>40352</v>
      </c>
      <c r="I9108" t="s">
        <v>30131</v>
      </c>
      <c r="J9108" t="s">
        <v>374</v>
      </c>
      <c r="K9108" t="s">
        <v>34795</v>
      </c>
      <c r="L9108" t="s">
        <v>40631</v>
      </c>
      <c r="M9108" t="s">
        <v>271</v>
      </c>
      <c r="N9108" t="s">
        <v>40124</v>
      </c>
      <c r="O9108" t="s">
        <v>30135</v>
      </c>
      <c r="P9108" t="s">
        <v>40125</v>
      </c>
      <c r="Q9108" t="s">
        <v>40684</v>
      </c>
      <c r="R9108">
        <v>30</v>
      </c>
      <c r="S9108">
        <v>32</v>
      </c>
    </row>
    <row r="9109" spans="1:19" x14ac:dyDescent="0.35">
      <c r="A9109">
        <v>4735</v>
      </c>
      <c r="B9109" t="s">
        <v>40685</v>
      </c>
      <c r="C9109" t="s">
        <v>42</v>
      </c>
      <c r="D9109" t="s">
        <v>40686</v>
      </c>
      <c r="E9109" t="e" cm="1">
        <f t="array" ref="E9109">- SODIUM CHLORIDE. POTASSIUM CHLORIDE</f>
        <v>#NAME?</v>
      </c>
      <c r="F9109" t="s">
        <v>40687</v>
      </c>
      <c r="G9109" t="s">
        <v>40688</v>
      </c>
      <c r="H9109" t="s">
        <v>8263</v>
      </c>
      <c r="I9109" t="s">
        <v>40689</v>
      </c>
      <c r="J9109" t="s">
        <v>9310</v>
      </c>
      <c r="L9109" t="s">
        <v>40690</v>
      </c>
      <c r="M9109" t="s">
        <v>824</v>
      </c>
      <c r="N9109" t="s">
        <v>40622</v>
      </c>
      <c r="O9109" t="s">
        <v>40691</v>
      </c>
      <c r="P9109" t="s">
        <v>40692</v>
      </c>
      <c r="Q9109" t="s">
        <v>40693</v>
      </c>
      <c r="R9109">
        <v>30</v>
      </c>
      <c r="S9109">
        <v>32</v>
      </c>
    </row>
    <row r="9110" spans="1:19" x14ac:dyDescent="0.35">
      <c r="A9110">
        <v>2206</v>
      </c>
      <c r="B9110" t="s">
        <v>40633</v>
      </c>
      <c r="C9110" t="s">
        <v>42</v>
      </c>
      <c r="D9110" t="s">
        <v>40634</v>
      </c>
      <c r="E9110" t="e" cm="1">
        <f t="array" ref="E9110">- DICLOFENAC SODIUM</f>
        <v>#NAME?</v>
      </c>
      <c r="F9110" t="s">
        <v>40635</v>
      </c>
      <c r="G9110" t="s">
        <v>2241</v>
      </c>
      <c r="H9110" t="s">
        <v>39824</v>
      </c>
      <c r="I9110" t="s">
        <v>39825</v>
      </c>
      <c r="J9110" t="s">
        <v>33178</v>
      </c>
      <c r="K9110" t="s">
        <v>36607</v>
      </c>
      <c r="L9110" t="s">
        <v>36608</v>
      </c>
      <c r="M9110" t="s">
        <v>46</v>
      </c>
      <c r="N9110" t="s">
        <v>2597</v>
      </c>
      <c r="O9110" t="s">
        <v>39826</v>
      </c>
      <c r="P9110" t="s">
        <v>40636</v>
      </c>
      <c r="Q9110" t="s">
        <v>40637</v>
      </c>
      <c r="R9110">
        <v>30</v>
      </c>
      <c r="S9110">
        <v>32</v>
      </c>
    </row>
    <row r="9111" spans="1:19" x14ac:dyDescent="0.35">
      <c r="A9111">
        <v>6733</v>
      </c>
      <c r="B9111" t="s">
        <v>40694</v>
      </c>
      <c r="C9111" t="s">
        <v>42</v>
      </c>
      <c r="D9111" t="s">
        <v>40695</v>
      </c>
      <c r="E9111" t="e" cm="1">
        <f t="array" ref="E9111">- Ossein hydroxyapatite compound</f>
        <v>#NAME?</v>
      </c>
      <c r="F9111" t="s">
        <v>40696</v>
      </c>
      <c r="G9111" t="s">
        <v>737</v>
      </c>
      <c r="H9111" t="s">
        <v>21785</v>
      </c>
      <c r="I9111" t="s">
        <v>40697</v>
      </c>
      <c r="J9111" t="s">
        <v>5934</v>
      </c>
      <c r="K9111" t="s">
        <v>40698</v>
      </c>
      <c r="L9111" t="s">
        <v>40699</v>
      </c>
      <c r="M9111" t="s">
        <v>46</v>
      </c>
      <c r="N9111" t="s">
        <v>15809</v>
      </c>
      <c r="O9111" t="s">
        <v>40700</v>
      </c>
      <c r="P9111" t="s">
        <v>40701</v>
      </c>
      <c r="Q9111" t="s">
        <v>40702</v>
      </c>
      <c r="R9111">
        <v>30</v>
      </c>
      <c r="S9111">
        <v>32</v>
      </c>
    </row>
    <row r="9112" spans="1:19" x14ac:dyDescent="0.35">
      <c r="A9112">
        <v>3388</v>
      </c>
      <c r="B9112" t="s">
        <v>40211</v>
      </c>
      <c r="C9112" t="s">
        <v>42</v>
      </c>
      <c r="D9112" t="s">
        <v>40212</v>
      </c>
      <c r="E9112" t="e" cm="1">
        <f t="array" ref="E9112">- RANITIDINE HYDROCHLORIDE</f>
        <v>#NAME?</v>
      </c>
      <c r="F9112" t="s">
        <v>40213</v>
      </c>
      <c r="G9112" t="s">
        <v>737</v>
      </c>
      <c r="H9112" t="s">
        <v>1984</v>
      </c>
      <c r="I9112" t="s">
        <v>40214</v>
      </c>
      <c r="J9112" t="s">
        <v>381</v>
      </c>
      <c r="K9112" t="s">
        <v>2726</v>
      </c>
      <c r="L9112" t="s">
        <v>40215</v>
      </c>
      <c r="M9112" t="s">
        <v>46</v>
      </c>
      <c r="N9112" t="s">
        <v>1985</v>
      </c>
      <c r="O9112" t="s">
        <v>40216</v>
      </c>
      <c r="P9112" t="s">
        <v>40217</v>
      </c>
      <c r="Q9112" t="s">
        <v>40703</v>
      </c>
      <c r="R9112">
        <v>30</v>
      </c>
      <c r="S9112">
        <v>32</v>
      </c>
    </row>
    <row r="9113" spans="1:19" x14ac:dyDescent="0.35">
      <c r="A9113">
        <v>6267</v>
      </c>
      <c r="B9113" t="s">
        <v>40704</v>
      </c>
      <c r="C9113" t="s">
        <v>42</v>
      </c>
      <c r="D9113" t="s">
        <v>40705</v>
      </c>
      <c r="E9113" t="e" cm="1">
        <f t="array" ref="E9113">- OFLOXACIN</f>
        <v>#NAME?</v>
      </c>
      <c r="F9113" t="s">
        <v>40706</v>
      </c>
      <c r="G9113" t="s">
        <v>40707</v>
      </c>
      <c r="H9113" t="s">
        <v>40708</v>
      </c>
      <c r="I9113" t="s">
        <v>40709</v>
      </c>
      <c r="J9113" t="s">
        <v>12241</v>
      </c>
      <c r="K9113" t="s">
        <v>40710</v>
      </c>
      <c r="L9113" t="s">
        <v>13087</v>
      </c>
      <c r="M9113" t="s">
        <v>46</v>
      </c>
      <c r="N9113" t="s">
        <v>1640</v>
      </c>
      <c r="O9113" t="s">
        <v>40711</v>
      </c>
      <c r="P9113" t="s">
        <v>1640</v>
      </c>
      <c r="Q9113" t="s">
        <v>40712</v>
      </c>
      <c r="R9113">
        <v>30</v>
      </c>
      <c r="S9113">
        <v>32</v>
      </c>
    </row>
    <row r="9114" spans="1:19" x14ac:dyDescent="0.35">
      <c r="A9114">
        <v>7069</v>
      </c>
      <c r="B9114" t="s">
        <v>1803</v>
      </c>
      <c r="C9114" t="s">
        <v>42</v>
      </c>
      <c r="D9114" t="s">
        <v>40713</v>
      </c>
      <c r="E9114" t="e" cm="1">
        <f t="array" ref="E9114">- TIZANIDINE HYDROCHLORIDE</f>
        <v>#NAME?</v>
      </c>
      <c r="F9114" t="s">
        <v>40714</v>
      </c>
      <c r="G9114" t="s">
        <v>40715</v>
      </c>
      <c r="H9114" t="s">
        <v>1322</v>
      </c>
      <c r="I9114" t="s">
        <v>40716</v>
      </c>
      <c r="J9114" t="s">
        <v>9479</v>
      </c>
      <c r="M9114" t="s">
        <v>46</v>
      </c>
      <c r="N9114" t="s">
        <v>1806</v>
      </c>
      <c r="O9114" t="s">
        <v>40717</v>
      </c>
      <c r="P9114" t="s">
        <v>40718</v>
      </c>
      <c r="Q9114" t="s">
        <v>40719</v>
      </c>
      <c r="R9114">
        <v>30</v>
      </c>
      <c r="S9114">
        <v>32</v>
      </c>
    </row>
    <row r="9115" spans="1:19" x14ac:dyDescent="0.35">
      <c r="A9115">
        <v>9724</v>
      </c>
      <c r="B9115" t="s">
        <v>40720</v>
      </c>
      <c r="C9115" t="s">
        <v>42</v>
      </c>
      <c r="D9115" t="s">
        <v>40721</v>
      </c>
      <c r="E9115" t="e" cm="1">
        <f t="array" ref="E9115">- SIMVASTATIN</f>
        <v>#NAME?</v>
      </c>
      <c r="F9115" t="s">
        <v>40722</v>
      </c>
      <c r="G9115" t="s">
        <v>6717</v>
      </c>
      <c r="H9115" t="s">
        <v>6718</v>
      </c>
      <c r="I9115" t="s">
        <v>40723</v>
      </c>
      <c r="J9115" t="s">
        <v>40724</v>
      </c>
      <c r="K9115" t="s">
        <v>40725</v>
      </c>
      <c r="L9115" t="s">
        <v>40726</v>
      </c>
      <c r="M9115" t="s">
        <v>291</v>
      </c>
      <c r="N9115" t="s">
        <v>1150</v>
      </c>
      <c r="O9115" t="s">
        <v>40727</v>
      </c>
      <c r="P9115" t="s">
        <v>12774</v>
      </c>
      <c r="Q9115" t="s">
        <v>40728</v>
      </c>
      <c r="R9115">
        <v>30</v>
      </c>
      <c r="S9115">
        <v>32</v>
      </c>
    </row>
    <row r="9116" spans="1:19" x14ac:dyDescent="0.35">
      <c r="A9116">
        <v>5261</v>
      </c>
      <c r="B9116" t="s">
        <v>40729</v>
      </c>
      <c r="C9116" t="s">
        <v>42</v>
      </c>
      <c r="D9116" t="s">
        <v>40730</v>
      </c>
      <c r="E9116" t="e" cm="1">
        <f t="array" ref="E9116">- DESONIDE</f>
        <v>#NAME?</v>
      </c>
      <c r="F9116" t="s">
        <v>40731</v>
      </c>
      <c r="G9116" t="s">
        <v>21834</v>
      </c>
      <c r="H9116" t="s">
        <v>40732</v>
      </c>
      <c r="I9116" t="s">
        <v>40733</v>
      </c>
      <c r="J9116" t="s">
        <v>2167</v>
      </c>
      <c r="K9116" t="s">
        <v>21837</v>
      </c>
      <c r="L9116" t="s">
        <v>21838</v>
      </c>
      <c r="M9116" t="s">
        <v>1289</v>
      </c>
      <c r="N9116" t="s">
        <v>1297</v>
      </c>
      <c r="O9116" t="s">
        <v>40734</v>
      </c>
      <c r="P9116" t="s">
        <v>40735</v>
      </c>
      <c r="Q9116" t="s">
        <v>40736</v>
      </c>
      <c r="R9116">
        <v>30</v>
      </c>
      <c r="S9116">
        <v>32</v>
      </c>
    </row>
    <row r="9117" spans="1:19" x14ac:dyDescent="0.35">
      <c r="A9117">
        <v>3655</v>
      </c>
      <c r="B9117" t="s">
        <v>39282</v>
      </c>
      <c r="C9117" t="s">
        <v>42</v>
      </c>
      <c r="D9117" t="s">
        <v>39283</v>
      </c>
      <c r="E9117" t="e" cm="1">
        <f t="array" ref="E9117">- METOCLOPRAMIDE HYDROCHLORIDE MONOHYDRATE</f>
        <v>#NAME?</v>
      </c>
      <c r="F9117" t="s">
        <v>39284</v>
      </c>
      <c r="G9117" t="s">
        <v>6774</v>
      </c>
      <c r="H9117" t="s">
        <v>39285</v>
      </c>
      <c r="I9117" t="s">
        <v>39286</v>
      </c>
      <c r="J9117" t="s">
        <v>381</v>
      </c>
      <c r="K9117" t="s">
        <v>39287</v>
      </c>
      <c r="L9117" t="s">
        <v>39288</v>
      </c>
      <c r="M9117" t="s">
        <v>46</v>
      </c>
      <c r="N9117" t="s">
        <v>2774</v>
      </c>
      <c r="O9117" t="s">
        <v>39289</v>
      </c>
      <c r="P9117" t="s">
        <v>39290</v>
      </c>
      <c r="Q9117" t="s">
        <v>40737</v>
      </c>
      <c r="R9117">
        <v>30</v>
      </c>
      <c r="S9117">
        <v>32</v>
      </c>
    </row>
    <row r="9118" spans="1:19" x14ac:dyDescent="0.35">
      <c r="A9118">
        <v>3065</v>
      </c>
      <c r="B9118" t="s">
        <v>40738</v>
      </c>
      <c r="C9118" t="s">
        <v>42</v>
      </c>
      <c r="D9118" t="s">
        <v>40739</v>
      </c>
      <c r="E9118" t="e" cm="1">
        <f t="array" ref="E9118">- ESOMEPRAZOLE MAGNESIUM</f>
        <v>#NAME?</v>
      </c>
      <c r="F9118" t="s">
        <v>40740</v>
      </c>
      <c r="G9118" t="s">
        <v>40619</v>
      </c>
      <c r="H9118" t="s">
        <v>40247</v>
      </c>
      <c r="I9118" t="s">
        <v>40248</v>
      </c>
      <c r="J9118" t="s">
        <v>40741</v>
      </c>
      <c r="K9118" t="s">
        <v>2146</v>
      </c>
      <c r="L9118" t="s">
        <v>40249</v>
      </c>
      <c r="M9118" t="s">
        <v>46</v>
      </c>
      <c r="N9118" t="s">
        <v>1978</v>
      </c>
      <c r="O9118" t="s">
        <v>40250</v>
      </c>
      <c r="P9118" t="s">
        <v>40620</v>
      </c>
      <c r="Q9118" t="s">
        <v>40621</v>
      </c>
      <c r="R9118">
        <v>30</v>
      </c>
      <c r="S9118">
        <v>32</v>
      </c>
    </row>
    <row r="9119" spans="1:19" x14ac:dyDescent="0.35">
      <c r="A9119">
        <v>3066</v>
      </c>
      <c r="B9119" t="s">
        <v>40738</v>
      </c>
      <c r="C9119" t="s">
        <v>42</v>
      </c>
      <c r="D9119" t="s">
        <v>40739</v>
      </c>
      <c r="E9119" t="e" cm="1">
        <f t="array" ref="E9119">- ESOMEPRAZOLE MAGNESIUM</f>
        <v>#NAME?</v>
      </c>
      <c r="F9119" t="s">
        <v>40740</v>
      </c>
      <c r="G9119" t="s">
        <v>40619</v>
      </c>
      <c r="H9119" t="s">
        <v>40247</v>
      </c>
      <c r="I9119" t="s">
        <v>40248</v>
      </c>
      <c r="J9119" t="s">
        <v>40741</v>
      </c>
      <c r="K9119" t="s">
        <v>2146</v>
      </c>
      <c r="L9119" t="s">
        <v>40249</v>
      </c>
      <c r="M9119" t="s">
        <v>46</v>
      </c>
      <c r="N9119" t="s">
        <v>1978</v>
      </c>
      <c r="O9119" t="s">
        <v>40250</v>
      </c>
      <c r="P9119" t="s">
        <v>40620</v>
      </c>
      <c r="Q9119" t="s">
        <v>40621</v>
      </c>
      <c r="R9119">
        <v>30</v>
      </c>
      <c r="S9119">
        <v>32</v>
      </c>
    </row>
    <row r="9120" spans="1:19" x14ac:dyDescent="0.35">
      <c r="A9120">
        <v>6708</v>
      </c>
      <c r="B9120" t="s">
        <v>40742</v>
      </c>
      <c r="C9120" t="s">
        <v>42</v>
      </c>
      <c r="D9120" t="s">
        <v>40743</v>
      </c>
      <c r="E9120" t="e" cm="1">
        <f t="array" ref="E9120">- Ossein hydroxyapatite compound</f>
        <v>#NAME?</v>
      </c>
      <c r="F9120" t="s">
        <v>40744</v>
      </c>
      <c r="G9120" t="s">
        <v>737</v>
      </c>
      <c r="H9120" t="s">
        <v>40745</v>
      </c>
      <c r="I9120" t="s">
        <v>40697</v>
      </c>
      <c r="J9120" t="s">
        <v>17887</v>
      </c>
      <c r="K9120" t="s">
        <v>40698</v>
      </c>
      <c r="L9120" t="s">
        <v>40699</v>
      </c>
      <c r="M9120" t="s">
        <v>291</v>
      </c>
      <c r="N9120" t="s">
        <v>15809</v>
      </c>
      <c r="O9120" t="s">
        <v>40700</v>
      </c>
      <c r="P9120" t="s">
        <v>40701</v>
      </c>
      <c r="Q9120" t="s">
        <v>40746</v>
      </c>
      <c r="R9120">
        <v>30</v>
      </c>
      <c r="S9120">
        <v>32</v>
      </c>
    </row>
    <row r="9121" spans="1:19" x14ac:dyDescent="0.35">
      <c r="A9121">
        <v>3067</v>
      </c>
      <c r="B9121" t="s">
        <v>40738</v>
      </c>
      <c r="C9121" t="s">
        <v>42</v>
      </c>
      <c r="D9121" t="s">
        <v>40739</v>
      </c>
      <c r="E9121" t="e" cm="1">
        <f t="array" ref="E9121">- ESOMEPRAZOLE MAGNESIUM</f>
        <v>#NAME?</v>
      </c>
      <c r="F9121" t="s">
        <v>40740</v>
      </c>
      <c r="G9121" t="s">
        <v>40619</v>
      </c>
      <c r="H9121" t="s">
        <v>40247</v>
      </c>
      <c r="I9121" t="s">
        <v>40248</v>
      </c>
      <c r="J9121" t="s">
        <v>40741</v>
      </c>
      <c r="K9121" t="s">
        <v>2146</v>
      </c>
      <c r="L9121" t="s">
        <v>40249</v>
      </c>
      <c r="M9121" t="s">
        <v>46</v>
      </c>
      <c r="N9121" t="s">
        <v>1978</v>
      </c>
      <c r="O9121" t="s">
        <v>40250</v>
      </c>
      <c r="P9121" t="s">
        <v>40620</v>
      </c>
      <c r="Q9121" t="s">
        <v>40621</v>
      </c>
      <c r="R9121">
        <v>30</v>
      </c>
      <c r="S9121">
        <v>32</v>
      </c>
    </row>
    <row r="9122" spans="1:19" x14ac:dyDescent="0.35">
      <c r="A9122">
        <v>5309</v>
      </c>
      <c r="B9122" t="s">
        <v>40747</v>
      </c>
      <c r="C9122" t="s">
        <v>42</v>
      </c>
      <c r="D9122" t="s">
        <v>40748</v>
      </c>
      <c r="E9122" t="e" cm="1">
        <f t="array" ref="E9122">- DIPHENHYDRAMINE HYDROCHLORIDE</f>
        <v>#NAME?</v>
      </c>
      <c r="F9122" t="s">
        <v>40749</v>
      </c>
      <c r="G9122" t="s">
        <v>40750</v>
      </c>
      <c r="H9122" t="s">
        <v>40751</v>
      </c>
      <c r="I9122" t="s">
        <v>40752</v>
      </c>
      <c r="J9122" t="s">
        <v>40753</v>
      </c>
      <c r="K9122" t="s">
        <v>40754</v>
      </c>
      <c r="L9122" t="s">
        <v>40755</v>
      </c>
      <c r="M9122" t="s">
        <v>1289</v>
      </c>
      <c r="N9122" t="s">
        <v>16004</v>
      </c>
      <c r="O9122" t="s">
        <v>40756</v>
      </c>
      <c r="P9122" t="s">
        <v>40757</v>
      </c>
      <c r="Q9122" t="s">
        <v>40758</v>
      </c>
      <c r="R9122">
        <v>30</v>
      </c>
      <c r="S9122">
        <v>32</v>
      </c>
    </row>
    <row r="9123" spans="1:19" x14ac:dyDescent="0.35">
      <c r="A9123">
        <v>2102</v>
      </c>
      <c r="B9123" t="s">
        <v>40759</v>
      </c>
      <c r="C9123" t="s">
        <v>42</v>
      </c>
      <c r="D9123" t="s">
        <v>40760</v>
      </c>
      <c r="E9123" t="e" cm="1">
        <f t="array" ref="E9123">- DICLOFENAC SODIUM</f>
        <v>#NAME?</v>
      </c>
      <c r="F9123" t="s">
        <v>40761</v>
      </c>
      <c r="G9123" t="s">
        <v>2241</v>
      </c>
      <c r="H9123" t="s">
        <v>2596</v>
      </c>
      <c r="I9123" t="s">
        <v>39825</v>
      </c>
      <c r="J9123" t="s">
        <v>40762</v>
      </c>
      <c r="K9123" t="s">
        <v>36607</v>
      </c>
      <c r="L9123" t="s">
        <v>36608</v>
      </c>
      <c r="M9123" t="s">
        <v>46</v>
      </c>
      <c r="N9123" t="s">
        <v>2597</v>
      </c>
      <c r="O9123" t="s">
        <v>39826</v>
      </c>
      <c r="P9123" t="s">
        <v>36684</v>
      </c>
      <c r="Q9123" t="s">
        <v>40763</v>
      </c>
      <c r="R9123">
        <v>30</v>
      </c>
      <c r="S9123">
        <v>32</v>
      </c>
    </row>
    <row r="9124" spans="1:19" x14ac:dyDescent="0.35">
      <c r="A9124">
        <v>7533</v>
      </c>
      <c r="B9124" t="s">
        <v>29351</v>
      </c>
      <c r="C9124" t="s">
        <v>42</v>
      </c>
      <c r="D9124" t="s">
        <v>29352</v>
      </c>
      <c r="E9124" t="e" cm="1">
        <f t="array" ref="E9124">- NICOTINAMIDE. RIBOFLAVIN. ASCORBIC ACID. FOLIC ACID. THIAMINE MONONITRATE. PYRIDOXINE HYDROCHLORIDE. CALCIUM PANTOTHENATE. FERROUS SULFATE. CYANOCOBALAMIN</f>
        <v>#NAME?</v>
      </c>
      <c r="F9124" t="s">
        <v>29353</v>
      </c>
      <c r="G9124" t="s">
        <v>29354</v>
      </c>
      <c r="H9124" t="s">
        <v>29355</v>
      </c>
      <c r="I9124" t="s">
        <v>29356</v>
      </c>
      <c r="J9124" t="s">
        <v>25332</v>
      </c>
      <c r="K9124" t="s">
        <v>17933</v>
      </c>
      <c r="L9124" t="s">
        <v>29122</v>
      </c>
      <c r="M9124" t="s">
        <v>46</v>
      </c>
      <c r="N9124" t="s">
        <v>40764</v>
      </c>
      <c r="O9124" t="s">
        <v>29357</v>
      </c>
      <c r="P9124" t="s">
        <v>29358</v>
      </c>
      <c r="Q9124" t="s">
        <v>40765</v>
      </c>
      <c r="R9124">
        <v>31</v>
      </c>
      <c r="S9124">
        <v>32</v>
      </c>
    </row>
    <row r="9125" spans="1:19" x14ac:dyDescent="0.35">
      <c r="A9125">
        <v>3124</v>
      </c>
      <c r="B9125" t="s">
        <v>40766</v>
      </c>
      <c r="C9125" t="s">
        <v>42</v>
      </c>
      <c r="D9125" t="s">
        <v>40767</v>
      </c>
      <c r="E9125" t="s">
        <v>2722</v>
      </c>
      <c r="F9125" t="s">
        <v>40768</v>
      </c>
      <c r="G9125" t="s">
        <v>737</v>
      </c>
      <c r="H9125" t="s">
        <v>2724</v>
      </c>
      <c r="I9125" t="s">
        <v>39331</v>
      </c>
      <c r="J9125" t="s">
        <v>40769</v>
      </c>
      <c r="K9125" t="s">
        <v>39333</v>
      </c>
      <c r="L9125" t="s">
        <v>39334</v>
      </c>
    </row>
    <row r="9126" spans="1:19" x14ac:dyDescent="0.35">
      <c r="A9126">
        <v>7989</v>
      </c>
      <c r="B9126" t="s">
        <v>40770</v>
      </c>
      <c r="C9126" t="s">
        <v>20</v>
      </c>
      <c r="D9126" t="s">
        <v>40771</v>
      </c>
      <c r="E9126" t="s">
        <v>40772</v>
      </c>
      <c r="F9126" s="1">
        <v>28200</v>
      </c>
      <c r="G9126" t="s">
        <v>40773</v>
      </c>
      <c r="H9126" t="s">
        <v>1322</v>
      </c>
      <c r="I9126" t="s">
        <v>40774</v>
      </c>
      <c r="J9126" t="s">
        <v>40775</v>
      </c>
      <c r="L9126" t="s">
        <v>40776</v>
      </c>
      <c r="M9126" t="s">
        <v>2374</v>
      </c>
      <c r="N9126" t="s">
        <v>40777</v>
      </c>
      <c r="O9126" t="s">
        <v>40778</v>
      </c>
      <c r="P9126" t="s">
        <v>40779</v>
      </c>
      <c r="Q9126" t="s">
        <v>40780</v>
      </c>
      <c r="R9126">
        <v>31</v>
      </c>
      <c r="S9126">
        <v>32</v>
      </c>
    </row>
    <row r="9127" spans="1:19" x14ac:dyDescent="0.35">
      <c r="A9127">
        <v>7011</v>
      </c>
      <c r="B9127" t="s">
        <v>1803</v>
      </c>
      <c r="C9127" t="s">
        <v>42</v>
      </c>
      <c r="D9127" t="s">
        <v>40781</v>
      </c>
      <c r="E9127" t="e" cm="1">
        <f t="array" ref="E9127">- TIZANIDINE HYDROCHLORIDE</f>
        <v>#NAME?</v>
      </c>
      <c r="F9127" t="s">
        <v>28708</v>
      </c>
      <c r="H9127" t="s">
        <v>1322</v>
      </c>
      <c r="I9127" t="s">
        <v>40782</v>
      </c>
      <c r="J9127" t="s">
        <v>8106</v>
      </c>
      <c r="L9127" t="s">
        <v>27410</v>
      </c>
      <c r="M9127" t="s">
        <v>46</v>
      </c>
      <c r="N9127" t="s">
        <v>1806</v>
      </c>
      <c r="O9127" t="s">
        <v>40783</v>
      </c>
      <c r="P9127" t="s">
        <v>40784</v>
      </c>
      <c r="Q9127" t="s">
        <v>40785</v>
      </c>
      <c r="R9127">
        <v>31</v>
      </c>
      <c r="S9127">
        <v>32</v>
      </c>
    </row>
    <row r="9128" spans="1:19" x14ac:dyDescent="0.35">
      <c r="A9128">
        <v>4332</v>
      </c>
      <c r="B9128" t="s">
        <v>40786</v>
      </c>
      <c r="C9128" t="s">
        <v>42</v>
      </c>
      <c r="D9128" t="s">
        <v>40787</v>
      </c>
      <c r="E9128" t="e" cm="1">
        <f t="array" ref="E9128">- TRIAMCINOLONE ACETONIDE</f>
        <v>#NAME?</v>
      </c>
      <c r="F9128" t="s">
        <v>40788</v>
      </c>
      <c r="G9128" t="s">
        <v>40789</v>
      </c>
      <c r="H9128" t="s">
        <v>40790</v>
      </c>
      <c r="I9128" t="s">
        <v>40791</v>
      </c>
      <c r="J9128" t="s">
        <v>2040</v>
      </c>
      <c r="K9128" t="s">
        <v>40792</v>
      </c>
      <c r="L9128" t="s">
        <v>40793</v>
      </c>
      <c r="M9128" t="s">
        <v>1029</v>
      </c>
      <c r="N9128" t="s">
        <v>11859</v>
      </c>
      <c r="O9128" t="s">
        <v>40794</v>
      </c>
      <c r="P9128" t="s">
        <v>40795</v>
      </c>
      <c r="Q9128" t="s">
        <v>40796</v>
      </c>
      <c r="R9128">
        <v>31</v>
      </c>
      <c r="S9128">
        <v>32</v>
      </c>
    </row>
    <row r="9129" spans="1:19" x14ac:dyDescent="0.35">
      <c r="A9129">
        <v>7741</v>
      </c>
      <c r="B9129" t="s">
        <v>40797</v>
      </c>
      <c r="C9129" t="s">
        <v>42</v>
      </c>
      <c r="D9129" t="s">
        <v>40798</v>
      </c>
      <c r="E9129" t="e" cm="1">
        <f t="array" ref="E9129">- CYANOCOBALAMIN</f>
        <v>#NAME?</v>
      </c>
      <c r="F9129" t="s">
        <v>40799</v>
      </c>
      <c r="G9129" t="s">
        <v>5746</v>
      </c>
      <c r="H9129" t="s">
        <v>40800</v>
      </c>
      <c r="I9129" t="s">
        <v>40801</v>
      </c>
      <c r="J9129" t="s">
        <v>40802</v>
      </c>
      <c r="K9129" t="s">
        <v>40803</v>
      </c>
      <c r="L9129" t="s">
        <v>40804</v>
      </c>
      <c r="M9129" t="s">
        <v>291</v>
      </c>
      <c r="N9129" t="s">
        <v>677</v>
      </c>
      <c r="O9129" t="s">
        <v>40805</v>
      </c>
      <c r="P9129" t="s">
        <v>40806</v>
      </c>
      <c r="Q9129" t="s">
        <v>40807</v>
      </c>
      <c r="R9129">
        <v>31</v>
      </c>
      <c r="S9129">
        <v>32</v>
      </c>
    </row>
    <row r="9130" spans="1:19" x14ac:dyDescent="0.35">
      <c r="A9130">
        <v>8545</v>
      </c>
      <c r="B9130" t="s">
        <v>40808</v>
      </c>
      <c r="C9130" t="s">
        <v>42</v>
      </c>
      <c r="D9130" t="s">
        <v>40809</v>
      </c>
      <c r="E9130" t="e" cm="1">
        <f t="array" ref="E9130">- SITAGLIPTIN PHOSPHATE. METFORMIN HYDROCHLORIDE</f>
        <v>#NAME?</v>
      </c>
      <c r="F9130" t="s">
        <v>40810</v>
      </c>
      <c r="G9130" t="s">
        <v>4045</v>
      </c>
      <c r="H9130" t="s">
        <v>40811</v>
      </c>
      <c r="I9130" t="s">
        <v>40812</v>
      </c>
      <c r="J9130" t="s">
        <v>40813</v>
      </c>
      <c r="K9130" t="s">
        <v>40814</v>
      </c>
    </row>
    <row r="9131" spans="1:19" x14ac:dyDescent="0.35">
      <c r="A9131">
        <v>8544</v>
      </c>
      <c r="B9131" t="s">
        <v>40808</v>
      </c>
      <c r="C9131" t="s">
        <v>42</v>
      </c>
      <c r="D9131" t="s">
        <v>40809</v>
      </c>
      <c r="E9131" t="e" cm="1">
        <f t="array" ref="E9131">- SITAGLIPTIN PHOSPHATE. METFORMIN HYDROCHLORIDE</f>
        <v>#NAME?</v>
      </c>
      <c r="F9131" t="s">
        <v>40810</v>
      </c>
      <c r="G9131" t="s">
        <v>4045</v>
      </c>
      <c r="H9131" t="s">
        <v>40811</v>
      </c>
      <c r="I9131" t="s">
        <v>40812</v>
      </c>
      <c r="J9131" t="s">
        <v>40813</v>
      </c>
      <c r="K9131" t="s">
        <v>40814</v>
      </c>
    </row>
    <row r="9132" spans="1:19" x14ac:dyDescent="0.35">
      <c r="A9132">
        <v>7531</v>
      </c>
      <c r="B9132" t="s">
        <v>29351</v>
      </c>
      <c r="C9132" t="s">
        <v>42</v>
      </c>
      <c r="D9132" t="s">
        <v>29352</v>
      </c>
      <c r="E9132" t="e" cm="1">
        <f t="array" ref="E9132">- NICOTINAMIDE. RIBOFLAVIN. THIAMINE MONONITRATE. FOLIC ACID. CYANOCOBALAMIN. PYRIDOXINE HYDROCHLORIDE. ASCORBIC ACID. CALCIUM PANTOTHENATE. FERROUS SULFATE</f>
        <v>#NAME?</v>
      </c>
      <c r="F9132" t="s">
        <v>29353</v>
      </c>
      <c r="G9132" t="s">
        <v>29354</v>
      </c>
      <c r="H9132" t="s">
        <v>29355</v>
      </c>
      <c r="I9132" t="s">
        <v>29356</v>
      </c>
      <c r="J9132" t="s">
        <v>25332</v>
      </c>
      <c r="K9132" t="s">
        <v>17933</v>
      </c>
      <c r="L9132" t="s">
        <v>29122</v>
      </c>
      <c r="M9132" t="s">
        <v>46</v>
      </c>
      <c r="N9132" t="s">
        <v>40815</v>
      </c>
      <c r="O9132" t="s">
        <v>29357</v>
      </c>
      <c r="P9132" t="s">
        <v>29358</v>
      </c>
      <c r="Q9132" t="s">
        <v>40816</v>
      </c>
      <c r="R9132">
        <v>31</v>
      </c>
      <c r="S9132">
        <v>32</v>
      </c>
    </row>
    <row r="9133" spans="1:19" x14ac:dyDescent="0.35">
      <c r="A9133">
        <v>7534</v>
      </c>
      <c r="B9133" t="s">
        <v>29351</v>
      </c>
      <c r="C9133" t="s">
        <v>42</v>
      </c>
      <c r="D9133" t="s">
        <v>29352</v>
      </c>
      <c r="E9133" t="e" cm="1">
        <f t="array" ref="E9133">- NICOTINAMIDE. RIBOFLAVIN. THIAMINE MONONITRATE. FOLIC ACID. CYANOCOBALAMIN. PYRIDOXINE HYDROCHLORIDE. ASCORBIC ACID. CALCIUM PANTOTHENATE. FERROUS SULFATE</f>
        <v>#NAME?</v>
      </c>
      <c r="F9133" t="s">
        <v>29353</v>
      </c>
      <c r="G9133" t="s">
        <v>29354</v>
      </c>
      <c r="H9133" t="s">
        <v>29355</v>
      </c>
      <c r="I9133" t="s">
        <v>29356</v>
      </c>
      <c r="J9133" t="s">
        <v>25332</v>
      </c>
      <c r="K9133" t="s">
        <v>17933</v>
      </c>
      <c r="L9133" t="s">
        <v>29122</v>
      </c>
      <c r="M9133" t="s">
        <v>46</v>
      </c>
      <c r="N9133" t="s">
        <v>40815</v>
      </c>
      <c r="O9133" t="s">
        <v>29357</v>
      </c>
      <c r="P9133" t="s">
        <v>29358</v>
      </c>
      <c r="Q9133" t="s">
        <v>40816</v>
      </c>
      <c r="R9133">
        <v>31</v>
      </c>
      <c r="S9133">
        <v>32</v>
      </c>
    </row>
    <row r="9134" spans="1:19" x14ac:dyDescent="0.35">
      <c r="A9134">
        <v>7742</v>
      </c>
      <c r="B9134" t="s">
        <v>40797</v>
      </c>
      <c r="C9134" t="s">
        <v>42</v>
      </c>
      <c r="D9134" t="s">
        <v>40798</v>
      </c>
      <c r="E9134" t="e" cm="1">
        <f t="array" ref="E9134">- CYANOCOBALAMIN</f>
        <v>#NAME?</v>
      </c>
      <c r="F9134" t="s">
        <v>40799</v>
      </c>
      <c r="G9134" t="s">
        <v>5746</v>
      </c>
      <c r="H9134" t="s">
        <v>40800</v>
      </c>
      <c r="I9134" t="s">
        <v>40801</v>
      </c>
      <c r="J9134" t="s">
        <v>40802</v>
      </c>
      <c r="K9134" t="s">
        <v>40803</v>
      </c>
      <c r="L9134" t="s">
        <v>40804</v>
      </c>
      <c r="M9134" t="s">
        <v>291</v>
      </c>
      <c r="N9134" t="s">
        <v>677</v>
      </c>
      <c r="O9134" t="s">
        <v>40805</v>
      </c>
      <c r="P9134" t="s">
        <v>40806</v>
      </c>
      <c r="Q9134" t="s">
        <v>40807</v>
      </c>
      <c r="R9134">
        <v>31</v>
      </c>
      <c r="S9134">
        <v>32</v>
      </c>
    </row>
    <row r="9135" spans="1:19" x14ac:dyDescent="0.35">
      <c r="A9135">
        <v>7530</v>
      </c>
      <c r="B9135" t="s">
        <v>29351</v>
      </c>
      <c r="C9135" t="s">
        <v>42</v>
      </c>
      <c r="D9135" t="s">
        <v>29352</v>
      </c>
      <c r="E9135" t="e" cm="1">
        <f t="array" ref="E9135">- NICOTINAMIDE. RIBOFLAVIN. THIAMINE MONONITRATE. FOLIC ACID. CYANOCOBALAMIN. PYRIDOXINE HYDROCHLORIDE. ASCORBIC ACID. CALCIUM PANTOTHENATE. FERROUS SULFATE</f>
        <v>#NAME?</v>
      </c>
      <c r="F9135" t="s">
        <v>29353</v>
      </c>
      <c r="G9135" t="s">
        <v>29354</v>
      </c>
      <c r="H9135" t="s">
        <v>29355</v>
      </c>
      <c r="I9135" t="s">
        <v>29356</v>
      </c>
      <c r="J9135" t="s">
        <v>25332</v>
      </c>
      <c r="K9135" t="s">
        <v>17933</v>
      </c>
      <c r="L9135" t="s">
        <v>29122</v>
      </c>
      <c r="M9135" t="s">
        <v>46</v>
      </c>
      <c r="N9135" t="s">
        <v>40815</v>
      </c>
      <c r="O9135" t="s">
        <v>29357</v>
      </c>
      <c r="P9135" t="s">
        <v>29358</v>
      </c>
      <c r="Q9135" t="s">
        <v>40816</v>
      </c>
      <c r="R9135">
        <v>31</v>
      </c>
      <c r="S9135">
        <v>32</v>
      </c>
    </row>
    <row r="9136" spans="1:19" x14ac:dyDescent="0.35">
      <c r="A9136">
        <v>9807</v>
      </c>
      <c r="B9136" t="s">
        <v>40817</v>
      </c>
      <c r="C9136" t="s">
        <v>42</v>
      </c>
      <c r="D9136" t="s">
        <v>40818</v>
      </c>
      <c r="E9136" t="e" cm="1">
        <f t="array" ref="E9136">- ROSUVASTATIN CALCIUM</f>
        <v>#NAME?</v>
      </c>
      <c r="F9136" s="1">
        <v>180500</v>
      </c>
      <c r="G9136" t="s">
        <v>2734</v>
      </c>
      <c r="H9136" t="s">
        <v>2643</v>
      </c>
      <c r="I9136" t="s">
        <v>40819</v>
      </c>
      <c r="J9136" t="s">
        <v>2100</v>
      </c>
      <c r="K9136" t="s">
        <v>40820</v>
      </c>
      <c r="L9136" t="s">
        <v>40821</v>
      </c>
      <c r="M9136" t="s">
        <v>46</v>
      </c>
      <c r="N9136" t="s">
        <v>2308</v>
      </c>
      <c r="O9136" t="s">
        <v>40822</v>
      </c>
      <c r="P9136" t="s">
        <v>40823</v>
      </c>
      <c r="Q9136" t="s">
        <v>40824</v>
      </c>
      <c r="R9136">
        <v>31</v>
      </c>
      <c r="S9136">
        <v>32</v>
      </c>
    </row>
    <row r="9137" spans="1:19" x14ac:dyDescent="0.35">
      <c r="A9137">
        <v>7529</v>
      </c>
      <c r="B9137" t="s">
        <v>29351</v>
      </c>
      <c r="C9137" t="s">
        <v>42</v>
      </c>
      <c r="D9137" t="s">
        <v>29352</v>
      </c>
      <c r="E9137" t="e" cm="1">
        <f t="array" ref="E9137">- NICOTINAMIDE. RIBOFLAVIN. ASCORBIC ACID. FOLIC ACID. THIAMINE MONONITRATE. PYRIDOXINE HYDROCHLORIDE. CALCIUM PANTOTHENATE. FERROUS SULFATE. CYANOCOBALAMIN</f>
        <v>#NAME?</v>
      </c>
      <c r="F9137" t="s">
        <v>29353</v>
      </c>
      <c r="G9137" t="s">
        <v>29354</v>
      </c>
      <c r="H9137" t="s">
        <v>29355</v>
      </c>
      <c r="I9137" t="s">
        <v>29356</v>
      </c>
      <c r="J9137" t="s">
        <v>25332</v>
      </c>
      <c r="K9137" t="s">
        <v>17933</v>
      </c>
      <c r="L9137" t="s">
        <v>29122</v>
      </c>
      <c r="M9137" t="s">
        <v>46</v>
      </c>
      <c r="N9137" t="s">
        <v>40764</v>
      </c>
      <c r="O9137" t="s">
        <v>29357</v>
      </c>
      <c r="P9137" t="s">
        <v>29358</v>
      </c>
      <c r="Q9137" t="s">
        <v>40765</v>
      </c>
      <c r="R9137">
        <v>31</v>
      </c>
      <c r="S9137">
        <v>32</v>
      </c>
    </row>
    <row r="9138" spans="1:19" x14ac:dyDescent="0.35">
      <c r="A9138">
        <v>3123</v>
      </c>
      <c r="B9138" t="s">
        <v>40766</v>
      </c>
      <c r="C9138" t="s">
        <v>42</v>
      </c>
      <c r="D9138" t="s">
        <v>40767</v>
      </c>
      <c r="E9138" t="s">
        <v>39352</v>
      </c>
      <c r="F9138" t="s">
        <v>40768</v>
      </c>
      <c r="G9138" t="s">
        <v>737</v>
      </c>
      <c r="H9138" t="s">
        <v>2724</v>
      </c>
      <c r="I9138" t="s">
        <v>39331</v>
      </c>
      <c r="J9138" t="s">
        <v>40769</v>
      </c>
      <c r="K9138" t="s">
        <v>39333</v>
      </c>
      <c r="L9138" t="s">
        <v>39334</v>
      </c>
    </row>
    <row r="9139" spans="1:19" x14ac:dyDescent="0.35">
      <c r="A9139">
        <v>9806</v>
      </c>
      <c r="B9139" t="s">
        <v>40825</v>
      </c>
      <c r="C9139" t="s">
        <v>42</v>
      </c>
      <c r="D9139" t="s">
        <v>40826</v>
      </c>
      <c r="E9139" t="e" cm="1">
        <f t="array" ref="E9139">- ROSUVASTATIN CALCIUM</f>
        <v>#NAME?</v>
      </c>
      <c r="F9139" s="1">
        <v>129100</v>
      </c>
      <c r="G9139" t="s">
        <v>2734</v>
      </c>
      <c r="H9139" t="s">
        <v>2643</v>
      </c>
      <c r="I9139" t="s">
        <v>40819</v>
      </c>
      <c r="J9139" t="s">
        <v>2100</v>
      </c>
      <c r="K9139" t="s">
        <v>40820</v>
      </c>
      <c r="L9139" t="s">
        <v>40821</v>
      </c>
      <c r="M9139" t="s">
        <v>46</v>
      </c>
      <c r="N9139" t="s">
        <v>2308</v>
      </c>
      <c r="O9139" t="s">
        <v>40822</v>
      </c>
      <c r="P9139" t="s">
        <v>40823</v>
      </c>
      <c r="Q9139" t="s">
        <v>40824</v>
      </c>
      <c r="R9139">
        <v>31</v>
      </c>
      <c r="S9139">
        <v>32</v>
      </c>
    </row>
    <row r="9140" spans="1:19" x14ac:dyDescent="0.35">
      <c r="A9140">
        <v>6154</v>
      </c>
      <c r="B9140" t="s">
        <v>40827</v>
      </c>
      <c r="C9140" t="s">
        <v>42</v>
      </c>
      <c r="D9140" t="s">
        <v>40828</v>
      </c>
      <c r="E9140" t="e" cm="1">
        <f t="array" ref="E9140">- LEVOFLOXACIN HEMIHYDRATE</f>
        <v>#NAME?</v>
      </c>
      <c r="F9140" t="s">
        <v>40829</v>
      </c>
      <c r="G9140" t="s">
        <v>2266</v>
      </c>
      <c r="H9140" t="s">
        <v>40830</v>
      </c>
      <c r="I9140" t="s">
        <v>40831</v>
      </c>
      <c r="J9140" t="s">
        <v>31873</v>
      </c>
      <c r="K9140" t="s">
        <v>40832</v>
      </c>
      <c r="L9140" t="s">
        <v>40833</v>
      </c>
      <c r="M9140" t="s">
        <v>46</v>
      </c>
      <c r="N9140" t="s">
        <v>1784</v>
      </c>
      <c r="O9140" t="s">
        <v>40834</v>
      </c>
      <c r="P9140" t="s">
        <v>1924</v>
      </c>
      <c r="Q9140" t="s">
        <v>40835</v>
      </c>
      <c r="R9140">
        <v>31</v>
      </c>
      <c r="S9140">
        <v>32</v>
      </c>
    </row>
    <row r="9141" spans="1:19" x14ac:dyDescent="0.35">
      <c r="A9141">
        <v>7066</v>
      </c>
      <c r="B9141" t="s">
        <v>1803</v>
      </c>
      <c r="C9141" t="s">
        <v>42</v>
      </c>
      <c r="D9141" t="s">
        <v>40836</v>
      </c>
      <c r="E9141" t="e" cm="1">
        <f t="array" ref="E9141">- TIZANIDINE HYDROCHLORIDE</f>
        <v>#NAME?</v>
      </c>
      <c r="F9141" t="s">
        <v>40837</v>
      </c>
      <c r="I9141" t="s">
        <v>40838</v>
      </c>
      <c r="J9141" t="s">
        <v>11975</v>
      </c>
      <c r="M9141" t="s">
        <v>46</v>
      </c>
      <c r="N9141" t="s">
        <v>1806</v>
      </c>
      <c r="O9141" t="s">
        <v>40839</v>
      </c>
      <c r="P9141" t="s">
        <v>40840</v>
      </c>
      <c r="Q9141" t="s">
        <v>40841</v>
      </c>
      <c r="R9141">
        <v>31</v>
      </c>
      <c r="S9141">
        <v>32</v>
      </c>
    </row>
    <row r="9142" spans="1:19" x14ac:dyDescent="0.35">
      <c r="A9142">
        <v>4245</v>
      </c>
      <c r="B9142" t="s">
        <v>40842</v>
      </c>
      <c r="C9142" t="s">
        <v>42</v>
      </c>
      <c r="D9142" t="s">
        <v>40843</v>
      </c>
      <c r="E9142" t="e" cm="1">
        <f t="array" ref="E9142">- LORATADINE</f>
        <v>#NAME?</v>
      </c>
      <c r="F9142" s="1">
        <v>7500</v>
      </c>
      <c r="G9142" t="s">
        <v>2241</v>
      </c>
      <c r="H9142" t="s">
        <v>40844</v>
      </c>
      <c r="I9142" t="s">
        <v>40845</v>
      </c>
      <c r="J9142" t="s">
        <v>334</v>
      </c>
      <c r="M9142" t="s">
        <v>271</v>
      </c>
      <c r="N9142" t="s">
        <v>9225</v>
      </c>
      <c r="O9142" t="s">
        <v>40846</v>
      </c>
      <c r="P9142" t="s">
        <v>40847</v>
      </c>
      <c r="Q9142" t="s">
        <v>40848</v>
      </c>
      <c r="R9142">
        <v>31</v>
      </c>
      <c r="S9142">
        <v>32</v>
      </c>
    </row>
    <row r="9143" spans="1:19" x14ac:dyDescent="0.35">
      <c r="A9143">
        <v>8586</v>
      </c>
      <c r="B9143" t="s">
        <v>40849</v>
      </c>
      <c r="C9143" t="s">
        <v>42</v>
      </c>
      <c r="D9143" t="s">
        <v>40850</v>
      </c>
      <c r="E9143" t="e" cm="1">
        <f t="array" ref="E9143">- VILDAGLIPTIN</f>
        <v>#NAME?</v>
      </c>
      <c r="F9143" t="s">
        <v>40851</v>
      </c>
      <c r="G9143" t="s">
        <v>40852</v>
      </c>
      <c r="H9143" t="s">
        <v>40853</v>
      </c>
      <c r="I9143" t="s">
        <v>40854</v>
      </c>
      <c r="J9143" t="s">
        <v>13933</v>
      </c>
      <c r="K9143" t="s">
        <v>40855</v>
      </c>
      <c r="L9143" t="s">
        <v>40856</v>
      </c>
      <c r="M9143" t="s">
        <v>46</v>
      </c>
      <c r="N9143" t="s">
        <v>40857</v>
      </c>
      <c r="O9143" t="s">
        <v>40858</v>
      </c>
      <c r="P9143" t="s">
        <v>40859</v>
      </c>
      <c r="Q9143" t="s">
        <v>40860</v>
      </c>
      <c r="R9143">
        <v>31</v>
      </c>
      <c r="S9143">
        <v>32</v>
      </c>
    </row>
    <row r="9144" spans="1:19" x14ac:dyDescent="0.35">
      <c r="A9144">
        <v>9637</v>
      </c>
      <c r="B9144" t="s">
        <v>6301</v>
      </c>
      <c r="C9144" t="s">
        <v>42</v>
      </c>
      <c r="D9144" t="s">
        <v>40861</v>
      </c>
      <c r="E9144" t="s">
        <v>6303</v>
      </c>
      <c r="F9144" t="s">
        <v>40862</v>
      </c>
      <c r="G9144" t="s">
        <v>39512</v>
      </c>
      <c r="I9144" t="s">
        <v>39804</v>
      </c>
      <c r="J9144" t="s">
        <v>17718</v>
      </c>
      <c r="M9144" t="s">
        <v>46</v>
      </c>
      <c r="N9144" t="s">
        <v>6304</v>
      </c>
      <c r="O9144" t="s">
        <v>39806</v>
      </c>
      <c r="P9144" t="s">
        <v>40863</v>
      </c>
      <c r="Q9144" t="s">
        <v>40864</v>
      </c>
      <c r="R9144">
        <v>31</v>
      </c>
      <c r="S9144">
        <v>32</v>
      </c>
    </row>
    <row r="9145" spans="1:19" x14ac:dyDescent="0.35">
      <c r="A9145">
        <v>3064</v>
      </c>
      <c r="B9145" t="s">
        <v>40738</v>
      </c>
      <c r="C9145" t="s">
        <v>42</v>
      </c>
      <c r="D9145" t="s">
        <v>40739</v>
      </c>
      <c r="E9145" t="e" cm="1">
        <f t="array" ref="E9145">- ESOMEPRAZOLE MAGNESIUM TRIHYDRATE</f>
        <v>#NAME?</v>
      </c>
      <c r="F9145" t="s">
        <v>40740</v>
      </c>
      <c r="G9145" t="s">
        <v>40619</v>
      </c>
      <c r="H9145" t="s">
        <v>40247</v>
      </c>
      <c r="I9145" t="s">
        <v>40248</v>
      </c>
      <c r="J9145" t="s">
        <v>40741</v>
      </c>
      <c r="K9145" t="s">
        <v>2146</v>
      </c>
      <c r="L9145" t="s">
        <v>40249</v>
      </c>
      <c r="M9145" t="s">
        <v>46</v>
      </c>
      <c r="N9145" t="s">
        <v>40489</v>
      </c>
      <c r="O9145" t="s">
        <v>40250</v>
      </c>
      <c r="P9145" t="s">
        <v>40620</v>
      </c>
      <c r="Q9145" t="s">
        <v>40865</v>
      </c>
      <c r="R9145">
        <v>31</v>
      </c>
      <c r="S9145">
        <v>32</v>
      </c>
    </row>
    <row r="9146" spans="1:19" x14ac:dyDescent="0.35">
      <c r="A9146">
        <v>8581</v>
      </c>
      <c r="B9146" t="s">
        <v>40866</v>
      </c>
      <c r="C9146" t="s">
        <v>42</v>
      </c>
      <c r="D9146" t="s">
        <v>40867</v>
      </c>
      <c r="E9146" t="e" cm="1">
        <f t="array" ref="E9146">- EMPAGLIFLOZIN. METFORMIN HYDROCHLORIDE</f>
        <v>#NAME?</v>
      </c>
      <c r="F9146" t="s">
        <v>40868</v>
      </c>
      <c r="G9146" t="s">
        <v>40057</v>
      </c>
      <c r="H9146" t="s">
        <v>40058</v>
      </c>
      <c r="I9146" t="s">
        <v>40059</v>
      </c>
      <c r="J9146" t="s">
        <v>12887</v>
      </c>
      <c r="K9146" t="s">
        <v>40060</v>
      </c>
      <c r="M9146" t="s">
        <v>46</v>
      </c>
      <c r="N9146" t="s">
        <v>40869</v>
      </c>
      <c r="O9146" t="s">
        <v>40061</v>
      </c>
      <c r="P9146" t="s">
        <v>40062</v>
      </c>
      <c r="Q9146" t="s">
        <v>40870</v>
      </c>
      <c r="R9146">
        <v>31</v>
      </c>
      <c r="S9146">
        <v>32</v>
      </c>
    </row>
    <row r="9147" spans="1:19" x14ac:dyDescent="0.35">
      <c r="A9147">
        <v>9642</v>
      </c>
      <c r="B9147" t="s">
        <v>6301</v>
      </c>
      <c r="C9147" t="s">
        <v>42</v>
      </c>
      <c r="D9147" t="s">
        <v>40871</v>
      </c>
      <c r="E9147" t="s">
        <v>6303</v>
      </c>
      <c r="F9147" t="s">
        <v>40872</v>
      </c>
      <c r="G9147" t="s">
        <v>31602</v>
      </c>
      <c r="H9147" t="s">
        <v>1322</v>
      </c>
      <c r="I9147" t="s">
        <v>40873</v>
      </c>
      <c r="J9147" t="s">
        <v>374</v>
      </c>
      <c r="K9147" t="s">
        <v>31604</v>
      </c>
      <c r="L9147" t="s">
        <v>34021</v>
      </c>
      <c r="M9147" t="s">
        <v>46</v>
      </c>
      <c r="N9147" t="s">
        <v>6304</v>
      </c>
      <c r="O9147" t="s">
        <v>40874</v>
      </c>
      <c r="P9147" t="s">
        <v>40875</v>
      </c>
      <c r="Q9147" t="s">
        <v>40876</v>
      </c>
      <c r="R9147">
        <v>31</v>
      </c>
      <c r="S9147">
        <v>32</v>
      </c>
    </row>
    <row r="9148" spans="1:19" x14ac:dyDescent="0.35">
      <c r="A9148">
        <v>7535</v>
      </c>
      <c r="B9148" t="s">
        <v>29351</v>
      </c>
      <c r="C9148" t="s">
        <v>42</v>
      </c>
      <c r="D9148" t="s">
        <v>29352</v>
      </c>
      <c r="E9148" t="e" cm="1">
        <f t="array" ref="E9148">- NICOTINAMIDE. RIBOFLAVIN. THIAMINE MONONITRATE. FOLIC ACID. CYANOCOBALAMIN. PYRIDOXINE HYDROCHLORIDE. ASCORBIC ACID. CALCIUM PANTOTHENATE. FERROUS SULFATE</f>
        <v>#NAME?</v>
      </c>
      <c r="F9148" t="s">
        <v>29353</v>
      </c>
      <c r="G9148" t="s">
        <v>29354</v>
      </c>
      <c r="H9148" t="s">
        <v>29355</v>
      </c>
      <c r="I9148" t="s">
        <v>29356</v>
      </c>
      <c r="J9148" t="s">
        <v>25332</v>
      </c>
      <c r="K9148" t="s">
        <v>17933</v>
      </c>
      <c r="L9148" t="s">
        <v>29122</v>
      </c>
      <c r="M9148" t="s">
        <v>46</v>
      </c>
      <c r="N9148" t="s">
        <v>40815</v>
      </c>
      <c r="O9148" t="s">
        <v>29357</v>
      </c>
      <c r="P9148" t="s">
        <v>29358</v>
      </c>
      <c r="Q9148" t="s">
        <v>40816</v>
      </c>
      <c r="R9148">
        <v>31</v>
      </c>
      <c r="S9148">
        <v>32</v>
      </c>
    </row>
    <row r="9149" spans="1:19" x14ac:dyDescent="0.35">
      <c r="A9149">
        <v>9643</v>
      </c>
      <c r="B9149" t="s">
        <v>6301</v>
      </c>
      <c r="C9149" t="s">
        <v>42</v>
      </c>
      <c r="D9149" t="s">
        <v>40877</v>
      </c>
      <c r="E9149" t="s">
        <v>6303</v>
      </c>
      <c r="F9149" t="s">
        <v>40878</v>
      </c>
      <c r="G9149" t="s">
        <v>31602</v>
      </c>
      <c r="H9149" t="s">
        <v>1322</v>
      </c>
      <c r="I9149" t="s">
        <v>40873</v>
      </c>
      <c r="J9149" t="s">
        <v>28348</v>
      </c>
      <c r="K9149" t="s">
        <v>31604</v>
      </c>
      <c r="L9149" t="s">
        <v>34021</v>
      </c>
      <c r="M9149" t="s">
        <v>46</v>
      </c>
      <c r="N9149" t="s">
        <v>6304</v>
      </c>
      <c r="O9149" t="s">
        <v>40874</v>
      </c>
      <c r="P9149" t="s">
        <v>40875</v>
      </c>
      <c r="Q9149" t="s">
        <v>40876</v>
      </c>
      <c r="R9149">
        <v>31</v>
      </c>
      <c r="S9149">
        <v>32</v>
      </c>
    </row>
    <row r="9150" spans="1:19" x14ac:dyDescent="0.35">
      <c r="A9150">
        <v>6887</v>
      </c>
      <c r="B9150" t="s">
        <v>40879</v>
      </c>
      <c r="C9150" t="s">
        <v>42</v>
      </c>
      <c r="D9150" t="s">
        <v>40880</v>
      </c>
      <c r="E9150" t="e" cm="1">
        <f t="array" ref="E9150">- PIROXICAM. Methyl SALICYLATE. MENTHOL. eugenol</f>
        <v>#NAME?</v>
      </c>
      <c r="F9150" t="s">
        <v>40881</v>
      </c>
      <c r="G9150" t="s">
        <v>40882</v>
      </c>
      <c r="H9150" t="s">
        <v>40883</v>
      </c>
      <c r="I9150" t="s">
        <v>40884</v>
      </c>
      <c r="J9150" t="s">
        <v>40885</v>
      </c>
      <c r="K9150" t="s">
        <v>3952</v>
      </c>
      <c r="L9150" t="s">
        <v>40886</v>
      </c>
      <c r="M9150" t="s">
        <v>87</v>
      </c>
      <c r="N9150" t="s">
        <v>40887</v>
      </c>
      <c r="O9150" t="s">
        <v>40888</v>
      </c>
      <c r="P9150" t="s">
        <v>40889</v>
      </c>
      <c r="Q9150" t="s">
        <v>40890</v>
      </c>
      <c r="R9150">
        <v>31</v>
      </c>
      <c r="S9150">
        <v>32</v>
      </c>
    </row>
    <row r="9151" spans="1:19" x14ac:dyDescent="0.35">
      <c r="A9151">
        <v>8560</v>
      </c>
      <c r="B9151" t="s">
        <v>40419</v>
      </c>
      <c r="C9151" t="s">
        <v>42</v>
      </c>
      <c r="D9151" t="s">
        <v>40420</v>
      </c>
      <c r="E9151" t="e" cm="1">
        <f t="array" ref="E9151">- VILDAGLIPTIN. METFORMIN HYDROCHLORIDE</f>
        <v>#NAME?</v>
      </c>
      <c r="F9151" t="s">
        <v>40421</v>
      </c>
      <c r="G9151" t="s">
        <v>40422</v>
      </c>
      <c r="H9151" t="s">
        <v>40423</v>
      </c>
      <c r="I9151" t="s">
        <v>40424</v>
      </c>
      <c r="J9151" t="s">
        <v>45</v>
      </c>
      <c r="K9151" t="s">
        <v>40425</v>
      </c>
      <c r="L9151" t="s">
        <v>40426</v>
      </c>
      <c r="M9151" t="s">
        <v>46</v>
      </c>
      <c r="N9151" t="s">
        <v>39204</v>
      </c>
      <c r="O9151" t="s">
        <v>40427</v>
      </c>
      <c r="P9151" t="s">
        <v>38082</v>
      </c>
      <c r="Q9151" t="s">
        <v>40891</v>
      </c>
      <c r="R9151">
        <v>31</v>
      </c>
      <c r="S9151">
        <v>32</v>
      </c>
    </row>
    <row r="9152" spans="1:19" x14ac:dyDescent="0.35">
      <c r="A9152">
        <v>3152</v>
      </c>
      <c r="B9152" t="s">
        <v>40892</v>
      </c>
      <c r="C9152" t="s">
        <v>42</v>
      </c>
      <c r="D9152" t="s">
        <v>40893</v>
      </c>
      <c r="E9152" t="e" cm="1">
        <f t="array" ref="E9152">- HYDROTALCITE</f>
        <v>#NAME?</v>
      </c>
      <c r="F9152" s="1">
        <v>34400</v>
      </c>
      <c r="G9152" t="s">
        <v>40894</v>
      </c>
      <c r="H9152" t="s">
        <v>40895</v>
      </c>
      <c r="I9152" t="s">
        <v>40896</v>
      </c>
      <c r="J9152" t="s">
        <v>4985</v>
      </c>
      <c r="K9152" t="s">
        <v>40897</v>
      </c>
      <c r="L9152" t="s">
        <v>40898</v>
      </c>
      <c r="M9152" t="s">
        <v>340</v>
      </c>
      <c r="N9152" t="s">
        <v>39749</v>
      </c>
      <c r="O9152" t="s">
        <v>40899</v>
      </c>
      <c r="P9152" t="s">
        <v>40900</v>
      </c>
      <c r="Q9152" t="s">
        <v>40901</v>
      </c>
      <c r="R9152">
        <v>31</v>
      </c>
      <c r="S9152">
        <v>32</v>
      </c>
    </row>
    <row r="9153" spans="1:19" x14ac:dyDescent="0.35">
      <c r="A9153">
        <v>8654</v>
      </c>
      <c r="B9153" t="s">
        <v>40902</v>
      </c>
      <c r="C9153" t="s">
        <v>42</v>
      </c>
      <c r="D9153" t="s">
        <v>40903</v>
      </c>
      <c r="E9153" t="e" cm="1">
        <f t="array" ref="E9153">- VILDAGLIPTIN</f>
        <v>#NAME?</v>
      </c>
      <c r="F9153" t="s">
        <v>40904</v>
      </c>
      <c r="G9153" t="s">
        <v>40852</v>
      </c>
      <c r="H9153" t="s">
        <v>40853</v>
      </c>
      <c r="I9153" t="s">
        <v>40905</v>
      </c>
      <c r="J9153" t="s">
        <v>2644</v>
      </c>
      <c r="K9153" t="s">
        <v>40855</v>
      </c>
      <c r="L9153" t="s">
        <v>40856</v>
      </c>
      <c r="M9153" t="s">
        <v>46</v>
      </c>
      <c r="N9153" t="s">
        <v>40857</v>
      </c>
      <c r="O9153" t="s">
        <v>40858</v>
      </c>
      <c r="P9153" t="s">
        <v>40906</v>
      </c>
      <c r="Q9153" t="s">
        <v>40907</v>
      </c>
      <c r="R9153">
        <v>31</v>
      </c>
      <c r="S9153">
        <v>32</v>
      </c>
    </row>
    <row r="9154" spans="1:19" x14ac:dyDescent="0.35">
      <c r="A9154">
        <v>8655</v>
      </c>
      <c r="B9154" t="s">
        <v>40902</v>
      </c>
      <c r="C9154" t="s">
        <v>42</v>
      </c>
      <c r="D9154" t="s">
        <v>40903</v>
      </c>
      <c r="E9154" t="e" cm="1">
        <f t="array" ref="E9154">- VILDAGLIPTIN</f>
        <v>#NAME?</v>
      </c>
      <c r="F9154" t="s">
        <v>40904</v>
      </c>
      <c r="G9154" t="s">
        <v>40852</v>
      </c>
      <c r="H9154" t="s">
        <v>40853</v>
      </c>
      <c r="I9154" t="s">
        <v>40905</v>
      </c>
      <c r="J9154" t="s">
        <v>2644</v>
      </c>
      <c r="K9154" t="s">
        <v>40855</v>
      </c>
      <c r="L9154" t="s">
        <v>40856</v>
      </c>
      <c r="M9154" t="s">
        <v>46</v>
      </c>
      <c r="N9154" t="s">
        <v>40857</v>
      </c>
      <c r="O9154" t="s">
        <v>40858</v>
      </c>
      <c r="P9154" t="s">
        <v>40906</v>
      </c>
      <c r="Q9154" t="s">
        <v>40907</v>
      </c>
      <c r="R9154">
        <v>31</v>
      </c>
      <c r="S9154">
        <v>32</v>
      </c>
    </row>
    <row r="9155" spans="1:19" x14ac:dyDescent="0.35">
      <c r="A9155">
        <v>173</v>
      </c>
      <c r="B9155" t="s">
        <v>2902</v>
      </c>
      <c r="C9155" t="s">
        <v>42</v>
      </c>
      <c r="D9155" t="s">
        <v>40781</v>
      </c>
      <c r="E9155" t="e" cm="1">
        <f t="array" ref="E9155">- SILDENAFIL CITRATE</f>
        <v>#NAME?</v>
      </c>
      <c r="F9155" t="s">
        <v>27408</v>
      </c>
      <c r="H9155" t="s">
        <v>1322</v>
      </c>
      <c r="I9155" t="s">
        <v>40782</v>
      </c>
      <c r="J9155" t="s">
        <v>8106</v>
      </c>
      <c r="L9155" t="s">
        <v>27410</v>
      </c>
      <c r="M9155" t="s">
        <v>46</v>
      </c>
      <c r="N9155" t="s">
        <v>2519</v>
      </c>
      <c r="O9155" t="s">
        <v>40783</v>
      </c>
      <c r="P9155" t="s">
        <v>40784</v>
      </c>
      <c r="Q9155" t="s">
        <v>40908</v>
      </c>
      <c r="R9155">
        <v>31</v>
      </c>
      <c r="S9155">
        <v>32</v>
      </c>
    </row>
    <row r="9156" spans="1:19" x14ac:dyDescent="0.35">
      <c r="A9156">
        <v>6155</v>
      </c>
      <c r="B9156" t="s">
        <v>40827</v>
      </c>
      <c r="C9156" t="s">
        <v>42</v>
      </c>
      <c r="D9156" t="s">
        <v>40828</v>
      </c>
      <c r="E9156" t="e" cm="1">
        <f t="array" ref="E9156">- LEVOFLOXACIN HEMIHYDRATE</f>
        <v>#NAME?</v>
      </c>
      <c r="F9156" t="s">
        <v>40829</v>
      </c>
      <c r="G9156" t="s">
        <v>2266</v>
      </c>
      <c r="H9156" t="s">
        <v>40830</v>
      </c>
      <c r="I9156" t="s">
        <v>40831</v>
      </c>
      <c r="J9156" t="s">
        <v>31873</v>
      </c>
      <c r="K9156" t="s">
        <v>40832</v>
      </c>
      <c r="L9156" t="s">
        <v>40833</v>
      </c>
      <c r="M9156" t="s">
        <v>46</v>
      </c>
      <c r="N9156" t="s">
        <v>1784</v>
      </c>
      <c r="O9156" t="s">
        <v>40834</v>
      </c>
      <c r="P9156" t="s">
        <v>1924</v>
      </c>
      <c r="Q9156" t="s">
        <v>40835</v>
      </c>
      <c r="R9156">
        <v>31</v>
      </c>
      <c r="S9156">
        <v>32</v>
      </c>
    </row>
    <row r="9157" spans="1:19" x14ac:dyDescent="0.35">
      <c r="A9157">
        <v>4756</v>
      </c>
      <c r="B9157" t="s">
        <v>40909</v>
      </c>
      <c r="C9157" t="s">
        <v>42</v>
      </c>
      <c r="D9157" t="s">
        <v>40910</v>
      </c>
      <c r="E9157" t="e" cm="1">
        <f t="array" ref="E9157">- CHLORAMPHENICOL</f>
        <v>#NAME?</v>
      </c>
      <c r="F9157" t="s">
        <v>40911</v>
      </c>
      <c r="G9157" t="s">
        <v>40912</v>
      </c>
      <c r="H9157" t="s">
        <v>40913</v>
      </c>
      <c r="I9157" t="s">
        <v>40914</v>
      </c>
      <c r="J9157" t="s">
        <v>11321</v>
      </c>
      <c r="K9157" t="s">
        <v>40915</v>
      </c>
      <c r="L9157" t="s">
        <v>40916</v>
      </c>
      <c r="M9157" t="s">
        <v>824</v>
      </c>
      <c r="N9157" t="s">
        <v>1188</v>
      </c>
      <c r="O9157" t="s">
        <v>40917</v>
      </c>
      <c r="P9157" t="s">
        <v>40918</v>
      </c>
      <c r="Q9157" t="s">
        <v>40919</v>
      </c>
      <c r="R9157">
        <v>31</v>
      </c>
      <c r="S9157">
        <v>32</v>
      </c>
    </row>
    <row r="9158" spans="1:19" x14ac:dyDescent="0.35">
      <c r="A9158">
        <v>8656</v>
      </c>
      <c r="B9158" t="s">
        <v>40902</v>
      </c>
      <c r="C9158" t="s">
        <v>42</v>
      </c>
      <c r="D9158" t="s">
        <v>40903</v>
      </c>
      <c r="E9158" t="e" cm="1">
        <f t="array" ref="E9158">- VILDAGLIPTIN</f>
        <v>#NAME?</v>
      </c>
      <c r="F9158" t="s">
        <v>40904</v>
      </c>
      <c r="G9158" t="s">
        <v>40852</v>
      </c>
      <c r="H9158" t="s">
        <v>40853</v>
      </c>
      <c r="I9158" t="s">
        <v>40905</v>
      </c>
      <c r="J9158" t="s">
        <v>2644</v>
      </c>
      <c r="K9158" t="s">
        <v>40855</v>
      </c>
      <c r="L9158" t="s">
        <v>40856</v>
      </c>
      <c r="M9158" t="s">
        <v>46</v>
      </c>
      <c r="N9158" t="s">
        <v>40857</v>
      </c>
      <c r="O9158" t="s">
        <v>40858</v>
      </c>
      <c r="P9158" t="s">
        <v>40906</v>
      </c>
      <c r="Q9158" t="s">
        <v>40907</v>
      </c>
      <c r="R9158">
        <v>31</v>
      </c>
      <c r="S9158">
        <v>32</v>
      </c>
    </row>
    <row r="9159" spans="1:19" x14ac:dyDescent="0.35">
      <c r="A9159">
        <v>7743</v>
      </c>
      <c r="B9159" t="s">
        <v>40797</v>
      </c>
      <c r="C9159" t="s">
        <v>42</v>
      </c>
      <c r="D9159" t="s">
        <v>40798</v>
      </c>
      <c r="E9159" t="e" cm="1">
        <f t="array" ref="E9159">- CYANOCOBALAMIN</f>
        <v>#NAME?</v>
      </c>
      <c r="F9159" t="s">
        <v>40799</v>
      </c>
      <c r="G9159" t="s">
        <v>5746</v>
      </c>
      <c r="H9159" t="s">
        <v>40800</v>
      </c>
      <c r="I9159" t="s">
        <v>40801</v>
      </c>
      <c r="J9159" t="s">
        <v>40802</v>
      </c>
      <c r="K9159" t="s">
        <v>40803</v>
      </c>
      <c r="L9159" t="s">
        <v>40804</v>
      </c>
      <c r="M9159" t="s">
        <v>291</v>
      </c>
      <c r="N9159" t="s">
        <v>677</v>
      </c>
      <c r="O9159" t="s">
        <v>40805</v>
      </c>
      <c r="P9159" t="s">
        <v>40806</v>
      </c>
      <c r="Q9159" t="s">
        <v>40807</v>
      </c>
      <c r="R9159">
        <v>31</v>
      </c>
      <c r="S9159">
        <v>32</v>
      </c>
    </row>
    <row r="9160" spans="1:19" x14ac:dyDescent="0.35">
      <c r="A9160">
        <v>2252</v>
      </c>
      <c r="B9160" t="s">
        <v>40920</v>
      </c>
      <c r="C9160" t="s">
        <v>42</v>
      </c>
      <c r="D9160" t="s">
        <v>40921</v>
      </c>
      <c r="E9160" t="e" cm="1">
        <f t="array" ref="E9160">- IBUPROFEN</f>
        <v>#NAME?</v>
      </c>
      <c r="F9160" t="s">
        <v>40922</v>
      </c>
      <c r="G9160" t="s">
        <v>5033</v>
      </c>
      <c r="H9160" t="s">
        <v>40923</v>
      </c>
      <c r="I9160" t="s">
        <v>40924</v>
      </c>
      <c r="J9160" t="s">
        <v>6679</v>
      </c>
      <c r="K9160" t="s">
        <v>40925</v>
      </c>
      <c r="L9160" t="s">
        <v>40926</v>
      </c>
    </row>
    <row r="9161" spans="1:19" x14ac:dyDescent="0.35">
      <c r="A9161">
        <v>3053</v>
      </c>
      <c r="B9161" t="s">
        <v>40616</v>
      </c>
      <c r="C9161" t="s">
        <v>42</v>
      </c>
      <c r="D9161" t="s">
        <v>40617</v>
      </c>
      <c r="E9161" t="e" cm="1">
        <f t="array" ref="E9161">- ESOMEPRAZOLE MAGNESIUM TRIHYDRATE</f>
        <v>#NAME?</v>
      </c>
      <c r="F9161" t="s">
        <v>40618</v>
      </c>
      <c r="G9161" t="s">
        <v>40619</v>
      </c>
      <c r="H9161" t="s">
        <v>40247</v>
      </c>
      <c r="I9161" t="s">
        <v>40248</v>
      </c>
      <c r="J9161" t="s">
        <v>2478</v>
      </c>
      <c r="K9161" t="s">
        <v>2146</v>
      </c>
      <c r="L9161" t="s">
        <v>40249</v>
      </c>
      <c r="M9161" t="s">
        <v>46</v>
      </c>
      <c r="N9161" t="s">
        <v>40489</v>
      </c>
      <c r="O9161" t="s">
        <v>40250</v>
      </c>
      <c r="P9161" t="s">
        <v>40620</v>
      </c>
      <c r="Q9161" t="s">
        <v>40865</v>
      </c>
      <c r="R9161">
        <v>31</v>
      </c>
      <c r="S9161">
        <v>32</v>
      </c>
    </row>
    <row r="9162" spans="1:19" x14ac:dyDescent="0.35">
      <c r="A9162">
        <v>3054</v>
      </c>
      <c r="B9162" t="s">
        <v>40616</v>
      </c>
      <c r="C9162" t="s">
        <v>42</v>
      </c>
      <c r="D9162" t="s">
        <v>40617</v>
      </c>
      <c r="E9162" t="e" cm="1">
        <f t="array" ref="E9162">- ESOMEPRAZOLE MAGNESIUM TRIHYDRATE</f>
        <v>#NAME?</v>
      </c>
      <c r="F9162" t="s">
        <v>40618</v>
      </c>
      <c r="G9162" t="s">
        <v>40619</v>
      </c>
      <c r="H9162" t="s">
        <v>40247</v>
      </c>
      <c r="I9162" t="s">
        <v>40248</v>
      </c>
      <c r="J9162" t="s">
        <v>2478</v>
      </c>
      <c r="K9162" t="s">
        <v>2146</v>
      </c>
      <c r="L9162" t="s">
        <v>40249</v>
      </c>
      <c r="M9162" t="s">
        <v>46</v>
      </c>
      <c r="N9162" t="s">
        <v>40489</v>
      </c>
      <c r="O9162" t="s">
        <v>40250</v>
      </c>
      <c r="P9162" t="s">
        <v>40620</v>
      </c>
      <c r="Q9162" t="s">
        <v>40865</v>
      </c>
      <c r="R9162">
        <v>31</v>
      </c>
      <c r="S9162">
        <v>32</v>
      </c>
    </row>
    <row r="9163" spans="1:19" x14ac:dyDescent="0.35">
      <c r="A9163">
        <v>3058</v>
      </c>
      <c r="B9163" t="s">
        <v>39741</v>
      </c>
      <c r="C9163" t="s">
        <v>42</v>
      </c>
      <c r="D9163" t="s">
        <v>39742</v>
      </c>
      <c r="E9163" t="e" cm="1">
        <f t="array" ref="E9163">- HYDROTALCITE. MAGNESIUM HYDROXIDE. SIMETHICONE</f>
        <v>#NAME?</v>
      </c>
      <c r="F9163" t="s">
        <v>39743</v>
      </c>
      <c r="G9163" t="s">
        <v>39744</v>
      </c>
      <c r="H9163" t="s">
        <v>39745</v>
      </c>
      <c r="I9163" t="s">
        <v>39746</v>
      </c>
      <c r="J9163" t="s">
        <v>39747</v>
      </c>
      <c r="K9163" t="s">
        <v>8963</v>
      </c>
      <c r="L9163" t="s">
        <v>39748</v>
      </c>
      <c r="M9163" t="s">
        <v>46</v>
      </c>
      <c r="N9163" t="s">
        <v>40559</v>
      </c>
      <c r="O9163" t="s">
        <v>39750</v>
      </c>
      <c r="P9163" t="s">
        <v>39751</v>
      </c>
      <c r="Q9163" t="s">
        <v>40927</v>
      </c>
      <c r="R9163">
        <v>31</v>
      </c>
      <c r="S9163">
        <v>32</v>
      </c>
    </row>
    <row r="9164" spans="1:19" x14ac:dyDescent="0.35">
      <c r="A9164">
        <v>5327</v>
      </c>
      <c r="B9164" t="s">
        <v>7148</v>
      </c>
      <c r="C9164" t="s">
        <v>42</v>
      </c>
      <c r="D9164" t="s">
        <v>40928</v>
      </c>
      <c r="E9164" t="e" cm="1">
        <f t="array" ref="E9164">- SULFADIAZINE SILVER</f>
        <v>#NAME?</v>
      </c>
      <c r="F9164" t="s">
        <v>40929</v>
      </c>
      <c r="G9164" t="s">
        <v>40930</v>
      </c>
      <c r="H9164" t="s">
        <v>40931</v>
      </c>
      <c r="I9164" t="s">
        <v>40932</v>
      </c>
      <c r="J9164" t="s">
        <v>25209</v>
      </c>
      <c r="K9164" t="s">
        <v>40933</v>
      </c>
      <c r="L9164" t="s">
        <v>40934</v>
      </c>
      <c r="M9164" t="s">
        <v>1289</v>
      </c>
      <c r="N9164" t="s">
        <v>2849</v>
      </c>
      <c r="O9164" t="s">
        <v>40935</v>
      </c>
      <c r="P9164" t="s">
        <v>40936</v>
      </c>
      <c r="Q9164" t="s">
        <v>40937</v>
      </c>
      <c r="R9164">
        <v>31</v>
      </c>
      <c r="S9164">
        <v>32</v>
      </c>
    </row>
    <row r="9165" spans="1:19" x14ac:dyDescent="0.35">
      <c r="A9165">
        <v>290</v>
      </c>
      <c r="B9165" t="s">
        <v>40938</v>
      </c>
      <c r="C9165" t="s">
        <v>42</v>
      </c>
      <c r="D9165" t="s">
        <v>40939</v>
      </c>
      <c r="E9165" t="e" cm="1">
        <f t="array" ref="E9165">- PROGESTERONE</f>
        <v>#NAME?</v>
      </c>
      <c r="F9165" t="s">
        <v>40940</v>
      </c>
      <c r="G9165" t="s">
        <v>40941</v>
      </c>
      <c r="H9165" t="s">
        <v>40942</v>
      </c>
      <c r="I9165" t="s">
        <v>40943</v>
      </c>
      <c r="J9165" t="s">
        <v>40944</v>
      </c>
      <c r="K9165" t="s">
        <v>40945</v>
      </c>
      <c r="L9165" t="s">
        <v>40946</v>
      </c>
      <c r="M9165" t="s">
        <v>38</v>
      </c>
      <c r="N9165" t="s">
        <v>8537</v>
      </c>
      <c r="O9165" t="s">
        <v>40947</v>
      </c>
      <c r="P9165" t="s">
        <v>40948</v>
      </c>
      <c r="Q9165" t="s">
        <v>40949</v>
      </c>
      <c r="R9165">
        <v>31</v>
      </c>
      <c r="S9165">
        <v>32</v>
      </c>
    </row>
    <row r="9166" spans="1:19" x14ac:dyDescent="0.35">
      <c r="A9166">
        <v>2253</v>
      </c>
      <c r="B9166" t="s">
        <v>40920</v>
      </c>
      <c r="C9166" t="s">
        <v>42</v>
      </c>
      <c r="D9166" t="s">
        <v>40921</v>
      </c>
      <c r="E9166" t="e" cm="1">
        <f t="array" ref="E9166">- IBUPROFEN</f>
        <v>#NAME?</v>
      </c>
      <c r="F9166" t="s">
        <v>40922</v>
      </c>
      <c r="G9166" t="s">
        <v>5033</v>
      </c>
      <c r="H9166" t="s">
        <v>40923</v>
      </c>
      <c r="I9166" t="s">
        <v>40924</v>
      </c>
      <c r="J9166" t="s">
        <v>6679</v>
      </c>
      <c r="K9166" t="s">
        <v>40925</v>
      </c>
      <c r="L9166" t="s">
        <v>40926</v>
      </c>
    </row>
    <row r="9167" spans="1:19" x14ac:dyDescent="0.35">
      <c r="A9167">
        <v>291</v>
      </c>
      <c r="B9167" t="s">
        <v>40938</v>
      </c>
      <c r="C9167" t="s">
        <v>42</v>
      </c>
      <c r="D9167" t="s">
        <v>40939</v>
      </c>
      <c r="E9167" t="e" cm="1">
        <f t="array" ref="E9167">- PROGESTERONE</f>
        <v>#NAME?</v>
      </c>
      <c r="F9167" t="s">
        <v>40940</v>
      </c>
      <c r="G9167" t="s">
        <v>40941</v>
      </c>
      <c r="H9167" t="s">
        <v>40942</v>
      </c>
      <c r="I9167" t="s">
        <v>40943</v>
      </c>
      <c r="J9167" t="s">
        <v>40944</v>
      </c>
      <c r="K9167" t="s">
        <v>40945</v>
      </c>
      <c r="L9167" t="s">
        <v>40946</v>
      </c>
      <c r="M9167" t="s">
        <v>38</v>
      </c>
      <c r="N9167" t="s">
        <v>8537</v>
      </c>
      <c r="O9167" t="s">
        <v>40947</v>
      </c>
      <c r="P9167" t="s">
        <v>40948</v>
      </c>
      <c r="Q9167" t="s">
        <v>40949</v>
      </c>
      <c r="R9167">
        <v>31</v>
      </c>
      <c r="S9167">
        <v>32</v>
      </c>
    </row>
    <row r="9168" spans="1:19" x14ac:dyDescent="0.35">
      <c r="A9168">
        <v>8742</v>
      </c>
      <c r="B9168" t="s">
        <v>40054</v>
      </c>
      <c r="C9168" t="s">
        <v>42</v>
      </c>
      <c r="D9168" t="s">
        <v>40055</v>
      </c>
      <c r="E9168" t="e" cm="1">
        <f t="array" ref="E9168">- METFORMIN HYDROCHLORIDE. EMPAGLIFLOZIN</f>
        <v>#NAME?</v>
      </c>
      <c r="F9168" t="s">
        <v>40056</v>
      </c>
      <c r="G9168" t="s">
        <v>40057</v>
      </c>
      <c r="H9168" t="s">
        <v>40058</v>
      </c>
      <c r="I9168" t="s">
        <v>40059</v>
      </c>
      <c r="J9168" t="s">
        <v>12887</v>
      </c>
      <c r="K9168" t="s">
        <v>40060</v>
      </c>
      <c r="M9168" t="s">
        <v>46</v>
      </c>
      <c r="N9168" t="s">
        <v>40950</v>
      </c>
      <c r="O9168" t="s">
        <v>40061</v>
      </c>
      <c r="P9168" t="s">
        <v>40062</v>
      </c>
      <c r="Q9168" t="s">
        <v>40951</v>
      </c>
      <c r="R9168">
        <v>31</v>
      </c>
      <c r="S9168">
        <v>32</v>
      </c>
    </row>
    <row r="9169" spans="1:19" x14ac:dyDescent="0.35">
      <c r="A9169">
        <v>289</v>
      </c>
      <c r="B9169" t="s">
        <v>40938</v>
      </c>
      <c r="C9169" t="s">
        <v>42</v>
      </c>
      <c r="D9169" t="s">
        <v>40939</v>
      </c>
      <c r="E9169" t="e" cm="1">
        <f t="array" ref="E9169">- PROGESTERONE</f>
        <v>#NAME?</v>
      </c>
      <c r="F9169" t="s">
        <v>40940</v>
      </c>
      <c r="G9169" t="s">
        <v>40941</v>
      </c>
      <c r="H9169" t="s">
        <v>40942</v>
      </c>
      <c r="I9169" t="s">
        <v>40943</v>
      </c>
      <c r="J9169" t="s">
        <v>40944</v>
      </c>
      <c r="K9169" t="s">
        <v>40945</v>
      </c>
      <c r="L9169" t="s">
        <v>40946</v>
      </c>
      <c r="M9169" t="s">
        <v>38</v>
      </c>
      <c r="N9169" t="s">
        <v>8537</v>
      </c>
      <c r="O9169" t="s">
        <v>40947</v>
      </c>
      <c r="P9169" t="s">
        <v>40948</v>
      </c>
      <c r="Q9169" t="s">
        <v>40949</v>
      </c>
      <c r="R9169">
        <v>31</v>
      </c>
      <c r="S9169">
        <v>32</v>
      </c>
    </row>
    <row r="9170" spans="1:19" x14ac:dyDescent="0.35">
      <c r="A9170">
        <v>5328</v>
      </c>
      <c r="B9170" t="s">
        <v>7148</v>
      </c>
      <c r="C9170" t="s">
        <v>42</v>
      </c>
      <c r="D9170" t="s">
        <v>40928</v>
      </c>
      <c r="E9170" t="e" cm="1">
        <f t="array" ref="E9170">- SULFADIAZINE SILVER</f>
        <v>#NAME?</v>
      </c>
      <c r="F9170" t="s">
        <v>40929</v>
      </c>
      <c r="G9170" t="s">
        <v>40930</v>
      </c>
      <c r="H9170" t="s">
        <v>40931</v>
      </c>
      <c r="I9170" t="s">
        <v>40932</v>
      </c>
      <c r="J9170" t="s">
        <v>25209</v>
      </c>
      <c r="K9170" t="s">
        <v>40933</v>
      </c>
      <c r="L9170" t="s">
        <v>40934</v>
      </c>
      <c r="M9170" t="s">
        <v>1289</v>
      </c>
      <c r="N9170" t="s">
        <v>2849</v>
      </c>
      <c r="O9170" t="s">
        <v>40935</v>
      </c>
      <c r="P9170" t="s">
        <v>40936</v>
      </c>
      <c r="Q9170" t="s">
        <v>40937</v>
      </c>
      <c r="R9170">
        <v>31</v>
      </c>
      <c r="S9170">
        <v>32</v>
      </c>
    </row>
    <row r="9171" spans="1:19" x14ac:dyDescent="0.35">
      <c r="A9171">
        <v>8734</v>
      </c>
      <c r="B9171" t="s">
        <v>40952</v>
      </c>
      <c r="C9171" t="s">
        <v>42</v>
      </c>
      <c r="D9171" t="s">
        <v>40953</v>
      </c>
      <c r="E9171" t="e" cm="1">
        <f t="array" ref="E9171">- SITAGLIPTIN PHOSPHATE. METFORMIN HYDROCHLORIDE</f>
        <v>#NAME?</v>
      </c>
      <c r="F9171" t="s">
        <v>40954</v>
      </c>
      <c r="G9171" t="s">
        <v>4045</v>
      </c>
      <c r="H9171" t="s">
        <v>40811</v>
      </c>
      <c r="I9171" t="s">
        <v>40812</v>
      </c>
      <c r="J9171" t="s">
        <v>40813</v>
      </c>
      <c r="K9171" t="s">
        <v>40814</v>
      </c>
    </row>
    <row r="9172" spans="1:19" x14ac:dyDescent="0.35">
      <c r="A9172">
        <v>8735</v>
      </c>
      <c r="B9172" t="s">
        <v>40952</v>
      </c>
      <c r="C9172" t="s">
        <v>42</v>
      </c>
      <c r="D9172" t="s">
        <v>40953</v>
      </c>
      <c r="E9172" t="e" cm="1">
        <f t="array" ref="E9172">- SITAGLIPTIN PHOSPHATE. METFORMIN HYDROCHLORIDE</f>
        <v>#NAME?</v>
      </c>
      <c r="F9172" t="s">
        <v>40954</v>
      </c>
      <c r="G9172" t="s">
        <v>4045</v>
      </c>
      <c r="H9172" t="s">
        <v>40811</v>
      </c>
      <c r="I9172" t="s">
        <v>40812</v>
      </c>
      <c r="J9172" t="s">
        <v>40813</v>
      </c>
      <c r="K9172" t="s">
        <v>40814</v>
      </c>
    </row>
    <row r="9173" spans="1:19" x14ac:dyDescent="0.35">
      <c r="A9173">
        <v>8736</v>
      </c>
      <c r="B9173" t="s">
        <v>40955</v>
      </c>
      <c r="C9173" t="s">
        <v>42</v>
      </c>
      <c r="D9173" t="s">
        <v>40956</v>
      </c>
      <c r="E9173" t="e" cm="1">
        <f t="array" ref="E9173">- SITAGLIPTIN PHOSPHATE. METFORMIN HYDROCHLORIDE</f>
        <v>#NAME?</v>
      </c>
      <c r="F9173" t="s">
        <v>40957</v>
      </c>
      <c r="G9173" t="s">
        <v>4045</v>
      </c>
      <c r="H9173" t="s">
        <v>40811</v>
      </c>
      <c r="I9173" t="s">
        <v>40812</v>
      </c>
      <c r="J9173" t="s">
        <v>40813</v>
      </c>
      <c r="K9173" t="s">
        <v>40814</v>
      </c>
    </row>
    <row r="9174" spans="1:19" x14ac:dyDescent="0.35">
      <c r="A9174">
        <v>8737</v>
      </c>
      <c r="B9174" t="s">
        <v>40955</v>
      </c>
      <c r="C9174" t="s">
        <v>42</v>
      </c>
      <c r="D9174" t="s">
        <v>40956</v>
      </c>
      <c r="E9174" t="e" cm="1">
        <f t="array" ref="E9174">- SITAGLIPTIN PHOSPHATE. METFORMIN HYDROCHLORIDE</f>
        <v>#NAME?</v>
      </c>
      <c r="F9174" t="s">
        <v>40957</v>
      </c>
      <c r="G9174" t="s">
        <v>4045</v>
      </c>
      <c r="H9174" t="s">
        <v>40811</v>
      </c>
      <c r="I9174" t="s">
        <v>40812</v>
      </c>
      <c r="J9174" t="s">
        <v>40813</v>
      </c>
      <c r="K9174" t="s">
        <v>40814</v>
      </c>
    </row>
    <row r="9175" spans="1:19" x14ac:dyDescent="0.35">
      <c r="A9175">
        <v>5166</v>
      </c>
      <c r="B9175" t="s">
        <v>40958</v>
      </c>
      <c r="C9175" t="s">
        <v>42</v>
      </c>
      <c r="D9175" t="s">
        <v>40959</v>
      </c>
      <c r="E9175" t="e" cm="1">
        <f t="array" ref="E9175">- DESONIDE</f>
        <v>#NAME?</v>
      </c>
      <c r="F9175" t="s">
        <v>40960</v>
      </c>
      <c r="G9175" t="s">
        <v>21834</v>
      </c>
      <c r="H9175" t="s">
        <v>40961</v>
      </c>
      <c r="I9175" t="s">
        <v>40733</v>
      </c>
      <c r="J9175" t="s">
        <v>2167</v>
      </c>
      <c r="K9175" t="s">
        <v>21837</v>
      </c>
      <c r="L9175" t="s">
        <v>21838</v>
      </c>
      <c r="M9175" t="s">
        <v>1289</v>
      </c>
      <c r="N9175" t="s">
        <v>1297</v>
      </c>
      <c r="O9175" t="s">
        <v>40734</v>
      </c>
      <c r="P9175" t="s">
        <v>40962</v>
      </c>
      <c r="Q9175" t="s">
        <v>40963</v>
      </c>
      <c r="R9175">
        <v>31</v>
      </c>
      <c r="S9175">
        <v>32</v>
      </c>
    </row>
    <row r="9176" spans="1:19" x14ac:dyDescent="0.35">
      <c r="A9176">
        <v>8740</v>
      </c>
      <c r="B9176" t="s">
        <v>40964</v>
      </c>
      <c r="C9176" t="s">
        <v>42</v>
      </c>
      <c r="D9176" t="s">
        <v>40965</v>
      </c>
      <c r="E9176" t="e" cm="1">
        <f t="array" ref="E9176">- EMPAGLIFLOZIN. METFORMIN HYDROCHLORIDE</f>
        <v>#NAME?</v>
      </c>
      <c r="F9176" t="s">
        <v>40966</v>
      </c>
      <c r="G9176" t="s">
        <v>40057</v>
      </c>
      <c r="H9176">
        <v>0</v>
      </c>
      <c r="I9176" t="s">
        <v>40059</v>
      </c>
      <c r="J9176" t="s">
        <v>12887</v>
      </c>
      <c r="M9176" t="s">
        <v>46</v>
      </c>
      <c r="N9176" t="s">
        <v>40869</v>
      </c>
      <c r="O9176" t="s">
        <v>40061</v>
      </c>
      <c r="P9176" t="s">
        <v>40062</v>
      </c>
      <c r="Q9176" t="s">
        <v>40870</v>
      </c>
      <c r="R9176">
        <v>31</v>
      </c>
      <c r="S9176">
        <v>32</v>
      </c>
    </row>
    <row r="9177" spans="1:19" x14ac:dyDescent="0.35">
      <c r="A9177">
        <v>8741</v>
      </c>
      <c r="B9177" t="s">
        <v>40054</v>
      </c>
      <c r="C9177" t="s">
        <v>42</v>
      </c>
      <c r="D9177" t="s">
        <v>40055</v>
      </c>
      <c r="E9177" t="e" cm="1">
        <f t="array" ref="E9177">- EMPAGLIFLOZIN. METFORMIN HYDROCHLORIDE</f>
        <v>#NAME?</v>
      </c>
      <c r="F9177" t="s">
        <v>40056</v>
      </c>
      <c r="G9177" t="s">
        <v>40057</v>
      </c>
      <c r="H9177" t="s">
        <v>40058</v>
      </c>
      <c r="I9177" t="s">
        <v>40059</v>
      </c>
      <c r="J9177" t="s">
        <v>12887</v>
      </c>
      <c r="K9177" t="s">
        <v>40060</v>
      </c>
      <c r="M9177" t="s">
        <v>46</v>
      </c>
      <c r="N9177" t="s">
        <v>40869</v>
      </c>
      <c r="O9177" t="s">
        <v>40061</v>
      </c>
      <c r="P9177" t="s">
        <v>40062</v>
      </c>
      <c r="Q9177" t="s">
        <v>40870</v>
      </c>
      <c r="R9177">
        <v>31</v>
      </c>
      <c r="S9177">
        <v>32</v>
      </c>
    </row>
    <row r="9178" spans="1:19" x14ac:dyDescent="0.35">
      <c r="A9178">
        <v>34</v>
      </c>
      <c r="B9178" t="s">
        <v>2902</v>
      </c>
      <c r="C9178" t="s">
        <v>42</v>
      </c>
      <c r="D9178" t="s">
        <v>40967</v>
      </c>
      <c r="E9178" t="e" cm="1">
        <f t="array" ref="E9178">- SILDENAFIL CITRATE</f>
        <v>#NAME?</v>
      </c>
      <c r="F9178" t="s">
        <v>40968</v>
      </c>
      <c r="G9178" t="s">
        <v>40969</v>
      </c>
      <c r="H9178" t="s">
        <v>22186</v>
      </c>
      <c r="I9178" t="s">
        <v>40970</v>
      </c>
      <c r="J9178" t="s">
        <v>40971</v>
      </c>
      <c r="L9178" t="s">
        <v>3921</v>
      </c>
      <c r="M9178" t="s">
        <v>46</v>
      </c>
      <c r="N9178" t="s">
        <v>2519</v>
      </c>
      <c r="O9178" t="s">
        <v>40972</v>
      </c>
      <c r="P9178" t="s">
        <v>40973</v>
      </c>
      <c r="Q9178" t="s">
        <v>40974</v>
      </c>
      <c r="R9178">
        <v>31</v>
      </c>
      <c r="S9178">
        <v>32</v>
      </c>
    </row>
    <row r="9179" spans="1:19" x14ac:dyDescent="0.35">
      <c r="A9179">
        <v>1863</v>
      </c>
      <c r="B9179" t="s">
        <v>36993</v>
      </c>
      <c r="C9179" t="s">
        <v>42</v>
      </c>
      <c r="D9179" t="s">
        <v>36994</v>
      </c>
      <c r="E9179" t="e" cm="1">
        <f t="array" ref="E9179">- SUCCUS LIQUIRITIAE. AMMONIUM CHLORIDE. PARACETAMOL. CHLORPHENAMINE MALEATE. PSEUDOEPHEDRINE HYDROCHLORIDE</f>
        <v>#NAME?</v>
      </c>
      <c r="F9179" t="s">
        <v>36995</v>
      </c>
      <c r="G9179" t="s">
        <v>4649</v>
      </c>
      <c r="H9179" t="s">
        <v>36996</v>
      </c>
      <c r="I9179" t="s">
        <v>36997</v>
      </c>
      <c r="J9179" t="s">
        <v>334</v>
      </c>
      <c r="K9179" t="s">
        <v>36998</v>
      </c>
      <c r="L9179" t="s">
        <v>36999</v>
      </c>
      <c r="M9179" t="s">
        <v>271</v>
      </c>
      <c r="N9179" t="s">
        <v>40975</v>
      </c>
      <c r="O9179" t="s">
        <v>37000</v>
      </c>
      <c r="P9179" t="s">
        <v>37001</v>
      </c>
      <c r="Q9179" t="s">
        <v>40976</v>
      </c>
      <c r="R9179">
        <v>31</v>
      </c>
      <c r="S9179">
        <v>32</v>
      </c>
    </row>
    <row r="9180" spans="1:19" x14ac:dyDescent="0.35">
      <c r="A9180">
        <v>3052</v>
      </c>
      <c r="B9180" t="s">
        <v>40616</v>
      </c>
      <c r="C9180" t="s">
        <v>42</v>
      </c>
      <c r="D9180" t="s">
        <v>40617</v>
      </c>
      <c r="E9180" t="e" cm="1">
        <f t="array" ref="E9180">- ESOMEPRAZOLE MAGNESIUM TRIHYDRATE</f>
        <v>#NAME?</v>
      </c>
      <c r="F9180" t="s">
        <v>40618</v>
      </c>
      <c r="G9180" t="s">
        <v>40619</v>
      </c>
      <c r="H9180" t="s">
        <v>40247</v>
      </c>
      <c r="I9180" t="s">
        <v>40248</v>
      </c>
      <c r="J9180" t="s">
        <v>2478</v>
      </c>
      <c r="K9180" t="s">
        <v>2146</v>
      </c>
      <c r="L9180" t="s">
        <v>40249</v>
      </c>
      <c r="M9180" t="s">
        <v>46</v>
      </c>
      <c r="N9180" t="s">
        <v>40489</v>
      </c>
      <c r="O9180" t="s">
        <v>40250</v>
      </c>
      <c r="P9180" t="s">
        <v>40620</v>
      </c>
      <c r="Q9180" t="s">
        <v>40865</v>
      </c>
      <c r="R9180">
        <v>31</v>
      </c>
      <c r="S9180">
        <v>32</v>
      </c>
    </row>
    <row r="9181" spans="1:19" x14ac:dyDescent="0.35">
      <c r="A9181">
        <v>7451</v>
      </c>
      <c r="B9181" t="s">
        <v>40977</v>
      </c>
      <c r="C9181" t="s">
        <v>20</v>
      </c>
      <c r="D9181" t="s">
        <v>40978</v>
      </c>
      <c r="E9181" t="s">
        <v>40979</v>
      </c>
      <c r="F9181" t="s">
        <v>40980</v>
      </c>
      <c r="H9181" t="s">
        <v>40981</v>
      </c>
      <c r="I9181" t="s">
        <v>40982</v>
      </c>
      <c r="J9181" t="s">
        <v>21445</v>
      </c>
      <c r="N9181" t="s">
        <v>40983</v>
      </c>
      <c r="O9181" t="s">
        <v>40984</v>
      </c>
      <c r="P9181" t="s">
        <v>40983</v>
      </c>
      <c r="Q9181" t="s">
        <v>40985</v>
      </c>
      <c r="R9181">
        <v>31</v>
      </c>
      <c r="S9181">
        <v>32</v>
      </c>
    </row>
    <row r="9182" spans="1:19" x14ac:dyDescent="0.35">
      <c r="A9182">
        <v>288</v>
      </c>
      <c r="B9182" t="s">
        <v>40986</v>
      </c>
      <c r="C9182" t="s">
        <v>42</v>
      </c>
      <c r="D9182" t="s">
        <v>40987</v>
      </c>
      <c r="E9182" t="e" cm="1">
        <f t="array" ref="E9182">- PROGESTERONE</f>
        <v>#NAME?</v>
      </c>
      <c r="F9182" t="s">
        <v>40988</v>
      </c>
      <c r="G9182" t="s">
        <v>40941</v>
      </c>
      <c r="H9182" t="s">
        <v>40989</v>
      </c>
      <c r="I9182" t="s">
        <v>40943</v>
      </c>
      <c r="J9182" t="s">
        <v>8534</v>
      </c>
      <c r="K9182" t="s">
        <v>40945</v>
      </c>
      <c r="L9182" t="s">
        <v>40946</v>
      </c>
      <c r="M9182" t="s">
        <v>38</v>
      </c>
      <c r="N9182" t="s">
        <v>8537</v>
      </c>
      <c r="O9182" t="s">
        <v>40947</v>
      </c>
      <c r="P9182" t="s">
        <v>40948</v>
      </c>
      <c r="Q9182" t="s">
        <v>40949</v>
      </c>
      <c r="R9182">
        <v>31</v>
      </c>
      <c r="S9182">
        <v>32</v>
      </c>
    </row>
    <row r="9183" spans="1:19" x14ac:dyDescent="0.35">
      <c r="A9183">
        <v>286</v>
      </c>
      <c r="B9183" t="s">
        <v>40986</v>
      </c>
      <c r="C9183" t="s">
        <v>42</v>
      </c>
      <c r="D9183" t="s">
        <v>40987</v>
      </c>
      <c r="E9183" t="e" cm="1">
        <f t="array" ref="E9183">- PROGESTERONE</f>
        <v>#NAME?</v>
      </c>
      <c r="F9183" t="s">
        <v>40988</v>
      </c>
      <c r="G9183" t="s">
        <v>40941</v>
      </c>
      <c r="H9183" t="s">
        <v>40989</v>
      </c>
      <c r="I9183" t="s">
        <v>40943</v>
      </c>
      <c r="J9183" t="s">
        <v>8534</v>
      </c>
      <c r="K9183" t="s">
        <v>40945</v>
      </c>
      <c r="L9183" t="s">
        <v>40946</v>
      </c>
      <c r="M9183" t="s">
        <v>38</v>
      </c>
      <c r="N9183" t="s">
        <v>8537</v>
      </c>
      <c r="O9183" t="s">
        <v>40947</v>
      </c>
      <c r="P9183" t="s">
        <v>40948</v>
      </c>
      <c r="Q9183" t="s">
        <v>40949</v>
      </c>
      <c r="R9183">
        <v>31</v>
      </c>
      <c r="S9183">
        <v>32</v>
      </c>
    </row>
    <row r="9184" spans="1:19" x14ac:dyDescent="0.35">
      <c r="A9184">
        <v>287</v>
      </c>
      <c r="B9184" t="s">
        <v>40986</v>
      </c>
      <c r="C9184" t="s">
        <v>42</v>
      </c>
      <c r="D9184" t="s">
        <v>40987</v>
      </c>
      <c r="E9184" t="e" cm="1">
        <f t="array" ref="E9184">- PROGESTERONE</f>
        <v>#NAME?</v>
      </c>
      <c r="F9184" t="s">
        <v>40988</v>
      </c>
      <c r="G9184" t="s">
        <v>40941</v>
      </c>
      <c r="H9184" t="s">
        <v>40989</v>
      </c>
      <c r="I9184" t="s">
        <v>40943</v>
      </c>
      <c r="J9184" t="s">
        <v>8534</v>
      </c>
      <c r="K9184" t="s">
        <v>40945</v>
      </c>
      <c r="L9184" t="s">
        <v>40946</v>
      </c>
      <c r="M9184" t="s">
        <v>38</v>
      </c>
      <c r="N9184" t="s">
        <v>8537</v>
      </c>
      <c r="O9184" t="s">
        <v>40947</v>
      </c>
      <c r="P9184" t="s">
        <v>40948</v>
      </c>
      <c r="Q9184" t="s">
        <v>40949</v>
      </c>
      <c r="R9184">
        <v>31</v>
      </c>
      <c r="S9184">
        <v>32</v>
      </c>
    </row>
    <row r="9185" spans="1:19" x14ac:dyDescent="0.35">
      <c r="A9185">
        <v>3244</v>
      </c>
      <c r="B9185" t="s">
        <v>40518</v>
      </c>
      <c r="C9185" t="s">
        <v>42</v>
      </c>
      <c r="D9185" t="s">
        <v>40519</v>
      </c>
      <c r="E9185" t="e" cm="1">
        <f t="array" ref="E9185">- CLEBOPRIDE MALATE</f>
        <v>#NAME?</v>
      </c>
      <c r="F9185" s="1">
        <v>29500</v>
      </c>
      <c r="G9185" t="s">
        <v>40520</v>
      </c>
      <c r="H9185" t="s">
        <v>40521</v>
      </c>
      <c r="I9185" t="s">
        <v>40522</v>
      </c>
      <c r="J9185" t="s">
        <v>6476</v>
      </c>
      <c r="K9185" t="s">
        <v>40523</v>
      </c>
      <c r="L9185" t="s">
        <v>40524</v>
      </c>
      <c r="M9185" t="s">
        <v>46</v>
      </c>
      <c r="N9185" t="s">
        <v>40990</v>
      </c>
      <c r="O9185" t="s">
        <v>40526</v>
      </c>
      <c r="P9185" t="s">
        <v>40527</v>
      </c>
      <c r="Q9185" t="s">
        <v>40991</v>
      </c>
      <c r="R9185">
        <v>31</v>
      </c>
      <c r="S9185">
        <v>32</v>
      </c>
    </row>
    <row r="9186" spans="1:19" x14ac:dyDescent="0.35">
      <c r="A9186">
        <v>1830</v>
      </c>
      <c r="B9186" t="s">
        <v>40992</v>
      </c>
      <c r="C9186" t="s">
        <v>42</v>
      </c>
      <c r="D9186" t="s">
        <v>40993</v>
      </c>
      <c r="E9186" t="e" cm="1">
        <f t="array" ref="E9186">- SUCCUS LIQUIRITIAE. AMMONIUM CHLORIDE. PARACETAMOL. PSEUDOEPHEDRINE HYDROCHLORIDE. CHLORPHENAMINE MALEATE</f>
        <v>#NAME?</v>
      </c>
      <c r="F9186" t="s">
        <v>40994</v>
      </c>
      <c r="G9186" t="s">
        <v>2453</v>
      </c>
      <c r="H9186" t="s">
        <v>40995</v>
      </c>
      <c r="I9186" t="s">
        <v>40996</v>
      </c>
      <c r="J9186" t="s">
        <v>334</v>
      </c>
      <c r="K9186" t="s">
        <v>35101</v>
      </c>
      <c r="L9186" t="s">
        <v>40997</v>
      </c>
      <c r="M9186" t="s">
        <v>271</v>
      </c>
      <c r="N9186" t="s">
        <v>39970</v>
      </c>
      <c r="O9186" t="s">
        <v>37000</v>
      </c>
      <c r="P9186" t="s">
        <v>40998</v>
      </c>
      <c r="Q9186" t="s">
        <v>40999</v>
      </c>
      <c r="R9186">
        <v>31</v>
      </c>
      <c r="S9186">
        <v>32</v>
      </c>
    </row>
    <row r="9187" spans="1:19" x14ac:dyDescent="0.35">
      <c r="A9187">
        <v>1847</v>
      </c>
      <c r="B9187" t="s">
        <v>41000</v>
      </c>
      <c r="C9187" t="s">
        <v>42</v>
      </c>
      <c r="D9187" t="s">
        <v>41001</v>
      </c>
      <c r="E9187" t="e" cm="1">
        <f t="array" ref="E9187">- SUCCUS LIQUIRITIAE. AMMONIUM CHLORIDE. PARACETAMOL. CHLORPHENAMINE MALEATE. PSEUDOEPHEDRINE HYDROCHLORIDE</f>
        <v>#NAME?</v>
      </c>
      <c r="F9187" t="s">
        <v>41002</v>
      </c>
      <c r="G9187" t="s">
        <v>2241</v>
      </c>
      <c r="H9187" t="s">
        <v>36996</v>
      </c>
      <c r="I9187" t="s">
        <v>41003</v>
      </c>
      <c r="J9187" t="s">
        <v>334</v>
      </c>
      <c r="K9187" t="s">
        <v>36998</v>
      </c>
      <c r="L9187" t="s">
        <v>36999</v>
      </c>
      <c r="M9187" t="s">
        <v>271</v>
      </c>
      <c r="N9187" t="s">
        <v>40975</v>
      </c>
      <c r="O9187" t="s">
        <v>41004</v>
      </c>
      <c r="P9187" t="s">
        <v>41005</v>
      </c>
      <c r="Q9187" t="s">
        <v>41006</v>
      </c>
      <c r="R9187">
        <v>31</v>
      </c>
      <c r="S9187">
        <v>32</v>
      </c>
    </row>
    <row r="9188" spans="1:19" x14ac:dyDescent="0.35">
      <c r="A9188">
        <v>1831</v>
      </c>
      <c r="B9188" t="s">
        <v>40992</v>
      </c>
      <c r="C9188" t="s">
        <v>42</v>
      </c>
      <c r="D9188" t="s">
        <v>40993</v>
      </c>
      <c r="E9188" t="e" cm="1">
        <f t="array" ref="E9188">- SUCCUS LIQUIRITIAE. PARACETAMOL. AMMONIUM CHLORIDE. CHLORPHENAMINE MALEATE. PSEUDOEPHEDRINE HYDROCHLORIDE</f>
        <v>#NAME?</v>
      </c>
      <c r="F9188" t="s">
        <v>40994</v>
      </c>
      <c r="G9188" t="s">
        <v>2453</v>
      </c>
      <c r="H9188" t="s">
        <v>40995</v>
      </c>
      <c r="I9188" t="s">
        <v>40996</v>
      </c>
      <c r="J9188" t="s">
        <v>334</v>
      </c>
      <c r="K9188" t="s">
        <v>35101</v>
      </c>
      <c r="L9188" t="s">
        <v>40997</v>
      </c>
      <c r="M9188" t="s">
        <v>271</v>
      </c>
      <c r="N9188" t="s">
        <v>41007</v>
      </c>
      <c r="O9188" t="s">
        <v>37000</v>
      </c>
      <c r="P9188" t="s">
        <v>40998</v>
      </c>
      <c r="Q9188" t="s">
        <v>41008</v>
      </c>
      <c r="R9188">
        <v>31</v>
      </c>
      <c r="S9188">
        <v>32</v>
      </c>
    </row>
    <row r="9189" spans="1:19" x14ac:dyDescent="0.35">
      <c r="A9189">
        <v>9698</v>
      </c>
      <c r="B9189" t="s">
        <v>41009</v>
      </c>
      <c r="C9189" t="s">
        <v>42</v>
      </c>
      <c r="D9189" t="s">
        <v>41010</v>
      </c>
      <c r="E9189" t="e" cm="1">
        <f t="array" ref="E9189">- ATORVASTATIN</f>
        <v>#NAME?</v>
      </c>
      <c r="F9189" t="s">
        <v>41011</v>
      </c>
      <c r="G9189" t="s">
        <v>7219</v>
      </c>
      <c r="H9189" t="s">
        <v>41012</v>
      </c>
      <c r="I9189" t="s">
        <v>41013</v>
      </c>
      <c r="J9189" t="s">
        <v>20983</v>
      </c>
      <c r="K9189" t="s">
        <v>41014</v>
      </c>
      <c r="L9189" t="s">
        <v>41015</v>
      </c>
      <c r="M9189" t="s">
        <v>46</v>
      </c>
      <c r="N9189" t="s">
        <v>41016</v>
      </c>
      <c r="O9189" t="s">
        <v>41017</v>
      </c>
      <c r="P9189" t="s">
        <v>41018</v>
      </c>
      <c r="Q9189" t="s">
        <v>41019</v>
      </c>
      <c r="R9189">
        <v>32</v>
      </c>
      <c r="S9189">
        <v>32</v>
      </c>
    </row>
    <row r="9190" spans="1:19" x14ac:dyDescent="0.35">
      <c r="A9190">
        <v>3415</v>
      </c>
      <c r="B9190" t="s">
        <v>39057</v>
      </c>
      <c r="C9190" t="s">
        <v>42</v>
      </c>
      <c r="D9190" t="s">
        <v>39058</v>
      </c>
      <c r="E9190" t="e" cm="1">
        <f t="array" ref="E9190">- DRIED ALUMINIUM HYDROXIDE GEL. MAGNESIUM HYDROXIDE. SIMETHICONE</f>
        <v>#NAME?</v>
      </c>
      <c r="F9190" s="1">
        <v>12100</v>
      </c>
      <c r="G9190" t="s">
        <v>39059</v>
      </c>
      <c r="H9190" t="s">
        <v>39060</v>
      </c>
      <c r="I9190" t="s">
        <v>39061</v>
      </c>
      <c r="J9190" t="s">
        <v>846</v>
      </c>
      <c r="M9190" t="s">
        <v>340</v>
      </c>
      <c r="N9190" t="s">
        <v>14839</v>
      </c>
      <c r="O9190" t="s">
        <v>39062</v>
      </c>
      <c r="P9190" t="s">
        <v>39063</v>
      </c>
      <c r="Q9190" t="s">
        <v>41020</v>
      </c>
      <c r="R9190">
        <v>32</v>
      </c>
      <c r="S9190">
        <v>32</v>
      </c>
    </row>
    <row r="9191" spans="1:19" x14ac:dyDescent="0.35">
      <c r="A9191">
        <v>1249</v>
      </c>
      <c r="B9191" t="s">
        <v>41021</v>
      </c>
      <c r="C9191" t="s">
        <v>42</v>
      </c>
      <c r="D9191" t="s">
        <v>41022</v>
      </c>
      <c r="E9191" t="e" cm="1">
        <f t="array" ref="E9191">- AMBROXOL HYDROCHLORIDE</f>
        <v>#NAME?</v>
      </c>
      <c r="F9191" t="s">
        <v>41023</v>
      </c>
      <c r="G9191" t="s">
        <v>539</v>
      </c>
      <c r="H9191" t="s">
        <v>41024</v>
      </c>
      <c r="I9191" t="s">
        <v>41025</v>
      </c>
      <c r="J9191" t="s">
        <v>334</v>
      </c>
      <c r="L9191" t="s">
        <v>270</v>
      </c>
      <c r="M9191" t="s">
        <v>554</v>
      </c>
      <c r="N9191" t="s">
        <v>1800</v>
      </c>
      <c r="O9191" t="s">
        <v>41026</v>
      </c>
      <c r="P9191" t="s">
        <v>3193</v>
      </c>
      <c r="Q9191" t="s">
        <v>41027</v>
      </c>
      <c r="R9191">
        <v>32</v>
      </c>
      <c r="S9191">
        <v>32</v>
      </c>
    </row>
    <row r="9192" spans="1:19" x14ac:dyDescent="0.35">
      <c r="A9192">
        <v>9701</v>
      </c>
      <c r="B9192" t="s">
        <v>41028</v>
      </c>
      <c r="C9192" t="s">
        <v>42</v>
      </c>
      <c r="D9192" t="s">
        <v>41029</v>
      </c>
      <c r="E9192" t="e" cm="1">
        <f t="array" ref="E9192">- ATORVASTATIN</f>
        <v>#NAME?</v>
      </c>
      <c r="F9192" t="s">
        <v>41030</v>
      </c>
      <c r="G9192" t="s">
        <v>7219</v>
      </c>
      <c r="H9192" t="s">
        <v>41012</v>
      </c>
      <c r="I9192" t="s">
        <v>41013</v>
      </c>
      <c r="J9192" t="s">
        <v>20983</v>
      </c>
      <c r="K9192" t="s">
        <v>41014</v>
      </c>
      <c r="L9192" t="s">
        <v>41015</v>
      </c>
      <c r="M9192" t="s">
        <v>46</v>
      </c>
      <c r="N9192" t="s">
        <v>41016</v>
      </c>
      <c r="O9192" t="s">
        <v>41017</v>
      </c>
      <c r="P9192" t="s">
        <v>41018</v>
      </c>
      <c r="Q9192" t="s">
        <v>41019</v>
      </c>
      <c r="R9192">
        <v>32</v>
      </c>
      <c r="S9192">
        <v>32</v>
      </c>
    </row>
    <row r="9193" spans="1:19" x14ac:dyDescent="0.35">
      <c r="A9193">
        <v>1366</v>
      </c>
      <c r="B9193" t="s">
        <v>2074</v>
      </c>
      <c r="C9193" t="s">
        <v>42</v>
      </c>
      <c r="D9193" t="s">
        <v>41031</v>
      </c>
      <c r="E9193" t="e" cm="1">
        <f t="array" ref="E9193">- GUAIFENESIN</f>
        <v>#NAME?</v>
      </c>
      <c r="F9193" s="1">
        <v>205000</v>
      </c>
      <c r="G9193" t="s">
        <v>41032</v>
      </c>
      <c r="H9193" t="s">
        <v>41033</v>
      </c>
      <c r="I9193" t="s">
        <v>41034</v>
      </c>
      <c r="J9193" t="s">
        <v>41035</v>
      </c>
      <c r="L9193" t="s">
        <v>41036</v>
      </c>
      <c r="M9193" t="s">
        <v>46</v>
      </c>
      <c r="N9193" t="s">
        <v>361</v>
      </c>
      <c r="O9193" t="s">
        <v>41037</v>
      </c>
      <c r="P9193" t="s">
        <v>41038</v>
      </c>
      <c r="Q9193" t="s">
        <v>41039</v>
      </c>
      <c r="R9193">
        <v>32</v>
      </c>
      <c r="S9193">
        <v>32</v>
      </c>
    </row>
    <row r="9194" spans="1:19" x14ac:dyDescent="0.35">
      <c r="A9194">
        <v>9675</v>
      </c>
      <c r="B9194" t="s">
        <v>41040</v>
      </c>
      <c r="C9194" t="s">
        <v>42</v>
      </c>
      <c r="D9194" t="s">
        <v>41041</v>
      </c>
      <c r="E9194" t="e" cm="1">
        <f t="array" ref="E9194">- ATORVASTATIN</f>
        <v>#NAME?</v>
      </c>
      <c r="F9194" t="s">
        <v>41042</v>
      </c>
      <c r="G9194" t="s">
        <v>7219</v>
      </c>
      <c r="H9194" t="s">
        <v>41012</v>
      </c>
      <c r="I9194" t="s">
        <v>41013</v>
      </c>
      <c r="J9194" t="s">
        <v>20983</v>
      </c>
      <c r="K9194" t="s">
        <v>41014</v>
      </c>
      <c r="L9194" t="s">
        <v>41015</v>
      </c>
      <c r="M9194" t="s">
        <v>46</v>
      </c>
      <c r="N9194" t="s">
        <v>41016</v>
      </c>
      <c r="O9194" t="s">
        <v>41017</v>
      </c>
      <c r="P9194" t="s">
        <v>41018</v>
      </c>
      <c r="Q9194" t="s">
        <v>41019</v>
      </c>
      <c r="R9194">
        <v>32</v>
      </c>
      <c r="S9194">
        <v>32</v>
      </c>
    </row>
    <row r="9195" spans="1:19" x14ac:dyDescent="0.35">
      <c r="A9195">
        <v>9639</v>
      </c>
      <c r="B9195" t="s">
        <v>6301</v>
      </c>
      <c r="C9195" t="s">
        <v>42</v>
      </c>
      <c r="D9195" t="s">
        <v>41043</v>
      </c>
      <c r="E9195" t="s">
        <v>6303</v>
      </c>
      <c r="F9195" t="s">
        <v>41044</v>
      </c>
      <c r="G9195" t="s">
        <v>39512</v>
      </c>
      <c r="I9195" t="s">
        <v>39804</v>
      </c>
      <c r="J9195" t="s">
        <v>20229</v>
      </c>
      <c r="M9195" t="s">
        <v>46</v>
      </c>
      <c r="N9195" t="s">
        <v>6304</v>
      </c>
      <c r="O9195" t="s">
        <v>39806</v>
      </c>
      <c r="P9195" t="s">
        <v>41045</v>
      </c>
      <c r="Q9195" t="s">
        <v>41046</v>
      </c>
      <c r="R9195">
        <v>32</v>
      </c>
      <c r="S9195">
        <v>32</v>
      </c>
    </row>
    <row r="9196" spans="1:19" x14ac:dyDescent="0.35">
      <c r="A9196">
        <v>1250</v>
      </c>
      <c r="B9196" t="s">
        <v>41021</v>
      </c>
      <c r="C9196" t="s">
        <v>42</v>
      </c>
      <c r="D9196" t="s">
        <v>41022</v>
      </c>
      <c r="E9196" t="e" cm="1">
        <f t="array" ref="E9196">- AMBROXOL HYDROCHLORIDE</f>
        <v>#NAME?</v>
      </c>
      <c r="F9196" t="s">
        <v>41023</v>
      </c>
      <c r="G9196" t="s">
        <v>539</v>
      </c>
      <c r="H9196" t="s">
        <v>41024</v>
      </c>
      <c r="I9196" t="s">
        <v>41025</v>
      </c>
      <c r="J9196" t="s">
        <v>334</v>
      </c>
      <c r="L9196" t="s">
        <v>270</v>
      </c>
      <c r="M9196" t="s">
        <v>554</v>
      </c>
      <c r="N9196" t="s">
        <v>1800</v>
      </c>
      <c r="O9196" t="s">
        <v>41026</v>
      </c>
      <c r="P9196" t="s">
        <v>3193</v>
      </c>
      <c r="Q9196" t="s">
        <v>41027</v>
      </c>
      <c r="R9196">
        <v>32</v>
      </c>
      <c r="S9196">
        <v>32</v>
      </c>
    </row>
    <row r="9197" spans="1:19" x14ac:dyDescent="0.35">
      <c r="A9197">
        <v>9702</v>
      </c>
      <c r="B9197" t="s">
        <v>41028</v>
      </c>
      <c r="C9197" t="s">
        <v>42</v>
      </c>
      <c r="D9197" t="s">
        <v>41029</v>
      </c>
      <c r="E9197" t="e" cm="1">
        <f t="array" ref="E9197">- ATORVASTATIN</f>
        <v>#NAME?</v>
      </c>
      <c r="F9197" t="s">
        <v>41030</v>
      </c>
      <c r="G9197" t="s">
        <v>7219</v>
      </c>
      <c r="H9197" t="s">
        <v>41012</v>
      </c>
      <c r="I9197" t="s">
        <v>41013</v>
      </c>
      <c r="J9197" t="s">
        <v>20983</v>
      </c>
      <c r="K9197" t="s">
        <v>41014</v>
      </c>
      <c r="L9197" t="s">
        <v>41015</v>
      </c>
      <c r="M9197" t="s">
        <v>46</v>
      </c>
      <c r="N9197" t="s">
        <v>41016</v>
      </c>
      <c r="O9197" t="s">
        <v>41017</v>
      </c>
      <c r="P9197" t="s">
        <v>41018</v>
      </c>
      <c r="Q9197" t="s">
        <v>41019</v>
      </c>
      <c r="R9197">
        <v>32</v>
      </c>
      <c r="S9197">
        <v>32</v>
      </c>
    </row>
    <row r="9198" spans="1:19" x14ac:dyDescent="0.35">
      <c r="A9198">
        <v>7438</v>
      </c>
      <c r="B9198" t="s">
        <v>12504</v>
      </c>
      <c r="C9198" t="s">
        <v>42</v>
      </c>
      <c r="D9198" t="s">
        <v>12505</v>
      </c>
      <c r="E9198" t="e" cm="1">
        <f t="array" ref="E9198">- RETINOL ACETATE. CHOLECALCIFEROL. THIAMINE MONONITRATE. RIBOFLAVIN. PYRIDOXINE HYDROCHLORIDE. CYANOCOBALAMIN. NICOTINAMIDE. CALCIUM PANTOTHENATE. SODIUM ASCORBATE. TOCOPHERYL ACETATE. POTASSIUM IODIDE. FERROUS FUMARATE. COPPER SULFATE. MANGANESE SULFATE.</f>
        <v>#NAME?</v>
      </c>
      <c r="F9198" t="s">
        <v>12506</v>
      </c>
      <c r="G9198" t="s">
        <v>12507</v>
      </c>
      <c r="H9198" t="s">
        <v>12508</v>
      </c>
      <c r="I9198" t="s">
        <v>12509</v>
      </c>
      <c r="J9198" t="s">
        <v>12510</v>
      </c>
      <c r="K9198" t="s">
        <v>4677</v>
      </c>
      <c r="L9198" t="s">
        <v>12511</v>
      </c>
      <c r="M9198" t="s">
        <v>46</v>
      </c>
      <c r="N9198" t="s">
        <v>41047</v>
      </c>
      <c r="O9198" t="s">
        <v>12513</v>
      </c>
      <c r="P9198" t="s">
        <v>12514</v>
      </c>
      <c r="Q9198" t="s">
        <v>41048</v>
      </c>
      <c r="R9198">
        <v>32</v>
      </c>
      <c r="S9198">
        <v>32</v>
      </c>
    </row>
    <row r="9199" spans="1:19" x14ac:dyDescent="0.35">
      <c r="A9199">
        <v>3334</v>
      </c>
      <c r="B9199" t="s">
        <v>41049</v>
      </c>
      <c r="C9199" t="s">
        <v>42</v>
      </c>
      <c r="D9199" t="s">
        <v>41050</v>
      </c>
      <c r="E9199" t="e" cm="1">
        <f t="array" ref="E9199">- MAGNESIUM HYDROXIDE. SIMETHICONE. DRIED ALUMINIUM HYDROXIDE GEL</f>
        <v>#NAME?</v>
      </c>
      <c r="F9199" t="s">
        <v>41051</v>
      </c>
      <c r="G9199" t="s">
        <v>737</v>
      </c>
      <c r="H9199" t="s">
        <v>41052</v>
      </c>
      <c r="I9199" t="s">
        <v>40415</v>
      </c>
      <c r="J9199" t="s">
        <v>754</v>
      </c>
      <c r="K9199" t="s">
        <v>41053</v>
      </c>
      <c r="L9199" t="s">
        <v>41054</v>
      </c>
      <c r="M9199" t="s">
        <v>46</v>
      </c>
      <c r="N9199" t="s">
        <v>10430</v>
      </c>
      <c r="O9199" t="s">
        <v>40416</v>
      </c>
      <c r="P9199" t="s">
        <v>41055</v>
      </c>
      <c r="Q9199" t="s">
        <v>41056</v>
      </c>
      <c r="R9199">
        <v>32</v>
      </c>
      <c r="S9199">
        <v>32</v>
      </c>
    </row>
    <row r="9200" spans="1:19" x14ac:dyDescent="0.35">
      <c r="A9200">
        <v>7439</v>
      </c>
      <c r="B9200" t="s">
        <v>12504</v>
      </c>
      <c r="C9200" t="s">
        <v>42</v>
      </c>
      <c r="D9200" t="s">
        <v>12505</v>
      </c>
      <c r="E9200" t="e" cm="1">
        <f t="array" ref="E9200">- RETINOL ACETATE. CHOLECALCIFEROL. TOCOPHERYL ACETATE. THIAMINE MONONITRATE. RIBOFLAVIN. PYRIDOXINE HYDROCHLORIDE. CYANOCOBALAMIN. NICOTINAMIDE. CALCIUM PANTOTHENATE. SODIUM ASCORBATE. POTASSIUM IODIDE. FERROUS FUMARATE. COPPER SULFATE. MANGANESE SULFATE.</f>
        <v>#NAME?</v>
      </c>
      <c r="F9200" t="s">
        <v>12506</v>
      </c>
      <c r="G9200" t="s">
        <v>12507</v>
      </c>
      <c r="H9200" t="s">
        <v>12508</v>
      </c>
      <c r="I9200" t="s">
        <v>12509</v>
      </c>
      <c r="J9200" t="s">
        <v>12510</v>
      </c>
      <c r="K9200" t="s">
        <v>4677</v>
      </c>
      <c r="L9200" t="s">
        <v>12511</v>
      </c>
      <c r="M9200" t="s">
        <v>46</v>
      </c>
      <c r="N9200" t="s">
        <v>41057</v>
      </c>
      <c r="O9200" t="s">
        <v>12513</v>
      </c>
      <c r="P9200" t="s">
        <v>12514</v>
      </c>
      <c r="Q9200" t="s">
        <v>41058</v>
      </c>
      <c r="R9200">
        <v>32</v>
      </c>
      <c r="S9200">
        <v>32</v>
      </c>
    </row>
    <row r="9201" spans="1:19" x14ac:dyDescent="0.35">
      <c r="A9201">
        <v>7440</v>
      </c>
      <c r="B9201" t="s">
        <v>12504</v>
      </c>
      <c r="C9201" t="s">
        <v>42</v>
      </c>
      <c r="D9201" t="s">
        <v>12505</v>
      </c>
      <c r="E9201" t="s">
        <v>41059</v>
      </c>
      <c r="F9201" t="s">
        <v>12506</v>
      </c>
      <c r="G9201" t="s">
        <v>12507</v>
      </c>
      <c r="H9201" t="s">
        <v>12508</v>
      </c>
      <c r="I9201" t="s">
        <v>12509</v>
      </c>
      <c r="J9201" t="s">
        <v>12510</v>
      </c>
      <c r="K9201" t="s">
        <v>4677</v>
      </c>
      <c r="L9201" t="s">
        <v>12511</v>
      </c>
      <c r="M9201" t="s">
        <v>46</v>
      </c>
      <c r="N9201" t="s">
        <v>41060</v>
      </c>
      <c r="O9201" t="s">
        <v>12513</v>
      </c>
      <c r="P9201" t="s">
        <v>12514</v>
      </c>
      <c r="Q9201" t="s">
        <v>41061</v>
      </c>
      <c r="R9201">
        <v>32</v>
      </c>
      <c r="S9201">
        <v>32</v>
      </c>
    </row>
    <row r="9202" spans="1:19" x14ac:dyDescent="0.35">
      <c r="A9202">
        <v>9676</v>
      </c>
      <c r="B9202" t="s">
        <v>41040</v>
      </c>
      <c r="C9202" t="s">
        <v>42</v>
      </c>
      <c r="D9202" t="s">
        <v>41041</v>
      </c>
      <c r="E9202" t="e" cm="1">
        <f t="array" ref="E9202">- ATORVASTATIN</f>
        <v>#NAME?</v>
      </c>
      <c r="F9202" t="s">
        <v>41042</v>
      </c>
      <c r="G9202" t="s">
        <v>7219</v>
      </c>
      <c r="H9202" t="s">
        <v>41012</v>
      </c>
      <c r="I9202" t="s">
        <v>41013</v>
      </c>
      <c r="J9202" t="s">
        <v>20983</v>
      </c>
      <c r="K9202" t="s">
        <v>41014</v>
      </c>
      <c r="L9202" t="s">
        <v>41015</v>
      </c>
      <c r="M9202" t="s">
        <v>46</v>
      </c>
      <c r="N9202" t="s">
        <v>41016</v>
      </c>
      <c r="O9202" t="s">
        <v>41017</v>
      </c>
      <c r="P9202" t="s">
        <v>41018</v>
      </c>
      <c r="Q9202" t="s">
        <v>41019</v>
      </c>
      <c r="R9202">
        <v>32</v>
      </c>
      <c r="S9202">
        <v>32</v>
      </c>
    </row>
    <row r="9203" spans="1:19" x14ac:dyDescent="0.35">
      <c r="A9203">
        <v>9607</v>
      </c>
      <c r="B9203" t="s">
        <v>6301</v>
      </c>
      <c r="C9203" t="s">
        <v>42</v>
      </c>
      <c r="D9203" t="s">
        <v>41062</v>
      </c>
      <c r="E9203" t="s">
        <v>6303</v>
      </c>
      <c r="F9203" t="s">
        <v>41063</v>
      </c>
      <c r="G9203" t="s">
        <v>39512</v>
      </c>
      <c r="I9203" t="s">
        <v>39804</v>
      </c>
      <c r="J9203" t="s">
        <v>41064</v>
      </c>
      <c r="M9203" t="s">
        <v>46</v>
      </c>
      <c r="N9203" t="s">
        <v>6304</v>
      </c>
      <c r="O9203" t="s">
        <v>39806</v>
      </c>
      <c r="P9203" t="s">
        <v>41065</v>
      </c>
      <c r="Q9203" t="s">
        <v>41066</v>
      </c>
      <c r="R9203">
        <v>32</v>
      </c>
      <c r="S9203">
        <v>32</v>
      </c>
    </row>
    <row r="9204" spans="1:19" x14ac:dyDescent="0.35">
      <c r="A9204">
        <v>7967</v>
      </c>
      <c r="B9204" t="s">
        <v>11152</v>
      </c>
      <c r="C9204" t="s">
        <v>20</v>
      </c>
      <c r="D9204" t="s">
        <v>41067</v>
      </c>
      <c r="E9204" t="s">
        <v>11154</v>
      </c>
      <c r="F9204" s="1">
        <v>42700</v>
      </c>
      <c r="H9204" t="s">
        <v>41068</v>
      </c>
      <c r="I9204" t="s">
        <v>41069</v>
      </c>
      <c r="J9204" t="s">
        <v>374</v>
      </c>
      <c r="N9204" t="s">
        <v>11159</v>
      </c>
      <c r="O9204" t="s">
        <v>41070</v>
      </c>
      <c r="P9204" t="s">
        <v>11160</v>
      </c>
      <c r="Q9204" t="s">
        <v>41071</v>
      </c>
      <c r="R9204">
        <v>32</v>
      </c>
      <c r="S9204">
        <v>32</v>
      </c>
    </row>
    <row r="9205" spans="1:19" x14ac:dyDescent="0.35">
      <c r="A9205">
        <v>3596</v>
      </c>
      <c r="B9205" t="s">
        <v>41072</v>
      </c>
      <c r="C9205" t="s">
        <v>42</v>
      </c>
      <c r="D9205" t="s">
        <v>41073</v>
      </c>
      <c r="E9205" t="e" cm="1">
        <f t="array" ref="E9205">- DOMPERIDONE MALEATE</f>
        <v>#NAME?</v>
      </c>
      <c r="F9205" t="s">
        <v>41074</v>
      </c>
      <c r="G9205" t="s">
        <v>1724</v>
      </c>
      <c r="H9205" t="s">
        <v>269</v>
      </c>
      <c r="I9205" t="s">
        <v>41075</v>
      </c>
      <c r="L9205" t="s">
        <v>270</v>
      </c>
      <c r="M9205" t="s">
        <v>46</v>
      </c>
      <c r="N9205" t="s">
        <v>1609</v>
      </c>
      <c r="O9205" t="s">
        <v>41076</v>
      </c>
      <c r="P9205" t="s">
        <v>41077</v>
      </c>
      <c r="Q9205" t="s">
        <v>41078</v>
      </c>
      <c r="R9205">
        <v>32</v>
      </c>
      <c r="S9205">
        <v>32</v>
      </c>
    </row>
    <row r="9206" spans="1:19" x14ac:dyDescent="0.35">
      <c r="A9206">
        <v>9697</v>
      </c>
      <c r="B9206" t="s">
        <v>41009</v>
      </c>
      <c r="C9206" t="s">
        <v>42</v>
      </c>
      <c r="D9206" t="s">
        <v>41010</v>
      </c>
      <c r="E9206" t="e" cm="1">
        <f t="array" ref="E9206">- ATORVASTATIN</f>
        <v>#NAME?</v>
      </c>
      <c r="F9206" t="s">
        <v>41011</v>
      </c>
      <c r="G9206" t="s">
        <v>7219</v>
      </c>
      <c r="H9206" t="s">
        <v>41012</v>
      </c>
      <c r="I9206" t="s">
        <v>41013</v>
      </c>
      <c r="J9206" t="s">
        <v>20983</v>
      </c>
      <c r="K9206" t="s">
        <v>41014</v>
      </c>
      <c r="L9206" t="s">
        <v>41015</v>
      </c>
      <c r="M9206" t="s">
        <v>46</v>
      </c>
      <c r="N9206" t="s">
        <v>41016</v>
      </c>
      <c r="O9206" t="s">
        <v>41017</v>
      </c>
      <c r="P9206" t="s">
        <v>41018</v>
      </c>
      <c r="Q9206" t="s">
        <v>41019</v>
      </c>
      <c r="R9206">
        <v>32</v>
      </c>
      <c r="S9206">
        <v>32</v>
      </c>
    </row>
    <row r="9207" spans="1:19" x14ac:dyDescent="0.35">
      <c r="A9207">
        <v>8019</v>
      </c>
      <c r="B9207" t="s">
        <v>41079</v>
      </c>
      <c r="C9207" t="s">
        <v>20</v>
      </c>
      <c r="D9207" t="s">
        <v>41080</v>
      </c>
      <c r="E9207" t="s">
        <v>41081</v>
      </c>
      <c r="F9207" t="s">
        <v>41082</v>
      </c>
      <c r="G9207" t="s">
        <v>13300</v>
      </c>
      <c r="H9207" t="s">
        <v>13301</v>
      </c>
      <c r="I9207" t="s">
        <v>41083</v>
      </c>
      <c r="J9207" t="s">
        <v>13302</v>
      </c>
      <c r="L9207" t="s">
        <v>13303</v>
      </c>
      <c r="M9207" t="s">
        <v>2374</v>
      </c>
      <c r="N9207" t="s">
        <v>41084</v>
      </c>
      <c r="O9207" t="s">
        <v>41085</v>
      </c>
      <c r="P9207" t="s">
        <v>41086</v>
      </c>
      <c r="Q9207" t="s">
        <v>41087</v>
      </c>
      <c r="R9207">
        <v>32</v>
      </c>
      <c r="S9207">
        <v>32</v>
      </c>
    </row>
    <row r="9208" spans="1:19" x14ac:dyDescent="0.35">
      <c r="A9208">
        <v>3597</v>
      </c>
      <c r="B9208" t="s">
        <v>41072</v>
      </c>
      <c r="C9208" t="s">
        <v>42</v>
      </c>
      <c r="D9208" t="s">
        <v>41073</v>
      </c>
      <c r="E9208" t="e" cm="1">
        <f t="array" ref="E9208">- DOMPERIDONE MALEATE</f>
        <v>#NAME?</v>
      </c>
      <c r="F9208" t="s">
        <v>41074</v>
      </c>
      <c r="G9208" t="s">
        <v>1724</v>
      </c>
      <c r="H9208" t="s">
        <v>269</v>
      </c>
      <c r="I9208" t="s">
        <v>41075</v>
      </c>
      <c r="L9208" t="s">
        <v>270</v>
      </c>
      <c r="M9208" t="s">
        <v>46</v>
      </c>
      <c r="N9208" t="s">
        <v>1609</v>
      </c>
      <c r="O9208" t="s">
        <v>41076</v>
      </c>
      <c r="P9208" t="s">
        <v>41077</v>
      </c>
      <c r="Q9208" t="s">
        <v>41078</v>
      </c>
      <c r="R9208">
        <v>32</v>
      </c>
      <c r="S9208">
        <v>32</v>
      </c>
    </row>
    <row r="9209" spans="1:19" x14ac:dyDescent="0.35">
      <c r="A9209">
        <v>5260</v>
      </c>
      <c r="B9209" t="s">
        <v>40729</v>
      </c>
      <c r="C9209" t="s">
        <v>42</v>
      </c>
      <c r="D9209" t="s">
        <v>40730</v>
      </c>
      <c r="E9209" t="e" cm="1">
        <f t="array" ref="E9209">- DESONIDE. NEOMYCIN SULFATE</f>
        <v>#NAME?</v>
      </c>
      <c r="F9209" t="s">
        <v>40731</v>
      </c>
      <c r="G9209" t="s">
        <v>21834</v>
      </c>
      <c r="H9209" t="s">
        <v>40732</v>
      </c>
      <c r="I9209" t="s">
        <v>40733</v>
      </c>
      <c r="J9209" t="s">
        <v>2167</v>
      </c>
      <c r="K9209" t="s">
        <v>21837</v>
      </c>
      <c r="L9209" t="s">
        <v>21838</v>
      </c>
      <c r="M9209" t="s">
        <v>1289</v>
      </c>
      <c r="N9209" t="s">
        <v>41088</v>
      </c>
      <c r="O9209" t="s">
        <v>40734</v>
      </c>
      <c r="P9209" t="s">
        <v>40735</v>
      </c>
      <c r="Q9209" t="s">
        <v>41089</v>
      </c>
      <c r="R9209">
        <v>32</v>
      </c>
      <c r="S9209">
        <v>32</v>
      </c>
    </row>
    <row r="9210" spans="1:19" x14ac:dyDescent="0.35">
      <c r="A9210">
        <v>9712</v>
      </c>
      <c r="B9210" t="s">
        <v>41090</v>
      </c>
      <c r="C9210" t="s">
        <v>42</v>
      </c>
      <c r="D9210" t="s">
        <v>41091</v>
      </c>
      <c r="E9210" t="e" cm="1">
        <f t="array" ref="E9210">- ATORVASTATIN</f>
        <v>#NAME?</v>
      </c>
      <c r="F9210" t="s">
        <v>41092</v>
      </c>
      <c r="G9210" t="s">
        <v>4420</v>
      </c>
      <c r="H9210" t="s">
        <v>41012</v>
      </c>
      <c r="I9210" t="s">
        <v>41013</v>
      </c>
      <c r="J9210" t="s">
        <v>41093</v>
      </c>
      <c r="K9210" t="s">
        <v>41014</v>
      </c>
      <c r="L9210" t="s">
        <v>41015</v>
      </c>
      <c r="M9210" t="s">
        <v>46</v>
      </c>
      <c r="N9210" t="s">
        <v>41016</v>
      </c>
      <c r="O9210" t="s">
        <v>41017</v>
      </c>
      <c r="P9210" t="s">
        <v>41094</v>
      </c>
      <c r="Q9210" t="s">
        <v>41095</v>
      </c>
      <c r="R9210">
        <v>32</v>
      </c>
      <c r="S9210">
        <v>32</v>
      </c>
    </row>
    <row r="9211" spans="1:19" x14ac:dyDescent="0.35">
      <c r="A9211">
        <v>5750</v>
      </c>
      <c r="B9211" t="s">
        <v>41096</v>
      </c>
      <c r="C9211" t="s">
        <v>42</v>
      </c>
      <c r="D9211" t="s">
        <v>41097</v>
      </c>
      <c r="E9211" t="e" cm="1">
        <f t="array" ref="E9211">- CIPROFLOXACIN HYDROCHLORIDE</f>
        <v>#NAME?</v>
      </c>
      <c r="F9211" t="s">
        <v>41098</v>
      </c>
      <c r="G9211" t="s">
        <v>3083</v>
      </c>
      <c r="H9211" t="s">
        <v>1055</v>
      </c>
      <c r="I9211" t="s">
        <v>41099</v>
      </c>
      <c r="J9211" t="s">
        <v>13361</v>
      </c>
      <c r="K9211" t="s">
        <v>41100</v>
      </c>
      <c r="L9211" t="s">
        <v>41101</v>
      </c>
      <c r="M9211" t="s">
        <v>46</v>
      </c>
      <c r="N9211" t="s">
        <v>1624</v>
      </c>
      <c r="O9211" t="s">
        <v>41102</v>
      </c>
      <c r="P9211" t="s">
        <v>41103</v>
      </c>
      <c r="Q9211" t="s">
        <v>41104</v>
      </c>
      <c r="R9211">
        <v>32</v>
      </c>
      <c r="S9211">
        <v>32</v>
      </c>
    </row>
    <row r="9212" spans="1:19" x14ac:dyDescent="0.35">
      <c r="A9212">
        <v>6399</v>
      </c>
      <c r="B9212" t="s">
        <v>41105</v>
      </c>
      <c r="C9212" t="s">
        <v>42</v>
      </c>
      <c r="D9212" t="s">
        <v>41106</v>
      </c>
      <c r="E9212" t="e" cm="1">
        <f t="array" ref="E9212">- CEFUROXIME AXETIL</f>
        <v>#NAME?</v>
      </c>
      <c r="F9212" t="s">
        <v>41107</v>
      </c>
      <c r="G9212" t="s">
        <v>6135</v>
      </c>
      <c r="H9212" t="s">
        <v>41108</v>
      </c>
      <c r="I9212" t="s">
        <v>41109</v>
      </c>
    </row>
    <row r="9213" spans="1:19" x14ac:dyDescent="0.35">
      <c r="A9213">
        <v>2339</v>
      </c>
      <c r="B9213" t="s">
        <v>41110</v>
      </c>
      <c r="C9213" t="s">
        <v>42</v>
      </c>
      <c r="D9213" t="s">
        <v>41111</v>
      </c>
      <c r="E9213" t="e" cm="1">
        <f t="array" ref="E9213">- FLUNARIZINE HYDROCHLORIDE</f>
        <v>#NAME?</v>
      </c>
      <c r="F9213" t="s">
        <v>41112</v>
      </c>
      <c r="G9213" t="s">
        <v>2241</v>
      </c>
      <c r="H9213" t="s">
        <v>3084</v>
      </c>
      <c r="I9213" t="s">
        <v>41113</v>
      </c>
      <c r="J9213" t="s">
        <v>532</v>
      </c>
      <c r="K9213" t="s">
        <v>3473</v>
      </c>
      <c r="L9213" t="s">
        <v>41114</v>
      </c>
      <c r="M9213" t="s">
        <v>291</v>
      </c>
      <c r="N9213" t="s">
        <v>4516</v>
      </c>
      <c r="O9213" t="s">
        <v>41115</v>
      </c>
      <c r="P9213" t="s">
        <v>41116</v>
      </c>
      <c r="Q9213" t="s">
        <v>41117</v>
      </c>
      <c r="R9213">
        <v>32</v>
      </c>
      <c r="S9213">
        <v>32</v>
      </c>
    </row>
    <row r="9214" spans="1:19" x14ac:dyDescent="0.35">
      <c r="A9214">
        <v>716</v>
      </c>
      <c r="B9214" t="s">
        <v>41118</v>
      </c>
      <c r="C9214" t="s">
        <v>20</v>
      </c>
      <c r="D9214" t="s">
        <v>41119</v>
      </c>
      <c r="E9214" t="s">
        <v>41120</v>
      </c>
      <c r="F9214" t="s">
        <v>41121</v>
      </c>
      <c r="G9214" t="s">
        <v>41122</v>
      </c>
      <c r="H9214" t="s">
        <v>1322</v>
      </c>
      <c r="I9214" t="s">
        <v>41123</v>
      </c>
      <c r="J9214" t="s">
        <v>41124</v>
      </c>
      <c r="K9214" t="s">
        <v>2726</v>
      </c>
      <c r="L9214" t="s">
        <v>39161</v>
      </c>
      <c r="M9214" t="s">
        <v>2115</v>
      </c>
      <c r="N9214" t="s">
        <v>41125</v>
      </c>
      <c r="O9214" t="s">
        <v>41126</v>
      </c>
      <c r="P9214" t="s">
        <v>41127</v>
      </c>
      <c r="Q9214" t="s">
        <v>41128</v>
      </c>
      <c r="R9214">
        <v>32</v>
      </c>
      <c r="S9214">
        <v>32</v>
      </c>
    </row>
    <row r="9215" spans="1:19" x14ac:dyDescent="0.35">
      <c r="A9215">
        <v>6081</v>
      </c>
      <c r="B9215" t="s">
        <v>41129</v>
      </c>
      <c r="C9215" t="s">
        <v>42</v>
      </c>
      <c r="D9215" t="s">
        <v>41130</v>
      </c>
      <c r="E9215" t="e" cm="1">
        <f t="array" ref="E9215">- CIPROFLOXACIN HYDROCHLORIDE</f>
        <v>#NAME?</v>
      </c>
      <c r="F9215" t="s">
        <v>5567</v>
      </c>
      <c r="G9215" t="s">
        <v>3083</v>
      </c>
      <c r="H9215" t="s">
        <v>1055</v>
      </c>
      <c r="I9215" t="s">
        <v>41099</v>
      </c>
      <c r="J9215" t="s">
        <v>4095</v>
      </c>
      <c r="L9215" t="s">
        <v>41131</v>
      </c>
      <c r="M9215" t="s">
        <v>46</v>
      </c>
      <c r="N9215" t="s">
        <v>1624</v>
      </c>
      <c r="O9215" t="s">
        <v>41102</v>
      </c>
      <c r="P9215" t="s">
        <v>41132</v>
      </c>
      <c r="Q9215" t="s">
        <v>41133</v>
      </c>
      <c r="R9215">
        <v>32</v>
      </c>
      <c r="S9215">
        <v>32</v>
      </c>
    </row>
    <row r="9216" spans="1:19" x14ac:dyDescent="0.35">
      <c r="A9216">
        <v>9780</v>
      </c>
      <c r="B9216" t="s">
        <v>41134</v>
      </c>
      <c r="C9216" t="s">
        <v>42</v>
      </c>
      <c r="D9216" t="s">
        <v>41135</v>
      </c>
      <c r="E9216" t="e" cm="1">
        <f t="array" ref="E9216">- ATORVASTATIN</f>
        <v>#NAME?</v>
      </c>
      <c r="F9216" t="s">
        <v>41136</v>
      </c>
      <c r="G9216" t="s">
        <v>10857</v>
      </c>
      <c r="H9216" t="s">
        <v>41137</v>
      </c>
      <c r="I9216" t="s">
        <v>41013</v>
      </c>
      <c r="J9216" t="s">
        <v>45</v>
      </c>
      <c r="K9216" t="s">
        <v>41138</v>
      </c>
      <c r="L9216" t="s">
        <v>41015</v>
      </c>
      <c r="M9216" t="s">
        <v>46</v>
      </c>
      <c r="N9216" t="s">
        <v>41016</v>
      </c>
      <c r="O9216" t="s">
        <v>41017</v>
      </c>
      <c r="P9216" t="s">
        <v>41139</v>
      </c>
      <c r="Q9216" t="s">
        <v>41140</v>
      </c>
      <c r="R9216">
        <v>32</v>
      </c>
      <c r="S9216">
        <v>32</v>
      </c>
    </row>
    <row r="9217" spans="1:19" x14ac:dyDescent="0.35">
      <c r="A9217">
        <v>5754</v>
      </c>
      <c r="B9217" t="s">
        <v>41141</v>
      </c>
      <c r="C9217" t="s">
        <v>42</v>
      </c>
      <c r="D9217" t="s">
        <v>41142</v>
      </c>
      <c r="E9217" t="e" cm="1">
        <f t="array" ref="E9217">- CIPROFLOXACIN HYDROCHLORIDE</f>
        <v>#NAME?</v>
      </c>
      <c r="F9217" t="s">
        <v>41143</v>
      </c>
      <c r="G9217" t="s">
        <v>60</v>
      </c>
      <c r="H9217" t="s">
        <v>1055</v>
      </c>
      <c r="I9217" t="s">
        <v>41144</v>
      </c>
      <c r="J9217" t="s">
        <v>727</v>
      </c>
      <c r="K9217" t="s">
        <v>31021</v>
      </c>
      <c r="L9217" t="s">
        <v>41145</v>
      </c>
      <c r="M9217" t="s">
        <v>291</v>
      </c>
      <c r="N9217" t="s">
        <v>1624</v>
      </c>
      <c r="O9217" t="s">
        <v>41102</v>
      </c>
      <c r="P9217" t="s">
        <v>41146</v>
      </c>
      <c r="Q9217" t="s">
        <v>41147</v>
      </c>
      <c r="R9217">
        <v>32</v>
      </c>
      <c r="S9217">
        <v>32</v>
      </c>
    </row>
    <row r="9218" spans="1:19" x14ac:dyDescent="0.35">
      <c r="A9218">
        <v>715</v>
      </c>
      <c r="B9218" t="s">
        <v>41118</v>
      </c>
      <c r="C9218" t="s">
        <v>20</v>
      </c>
      <c r="D9218" t="s">
        <v>41148</v>
      </c>
      <c r="E9218" t="s">
        <v>41120</v>
      </c>
      <c r="F9218" t="s">
        <v>41149</v>
      </c>
      <c r="G9218" t="s">
        <v>41122</v>
      </c>
      <c r="H9218" t="s">
        <v>1322</v>
      </c>
      <c r="I9218" t="s">
        <v>41123</v>
      </c>
      <c r="J9218" t="s">
        <v>334</v>
      </c>
      <c r="K9218" t="s">
        <v>2726</v>
      </c>
      <c r="L9218" t="s">
        <v>39161</v>
      </c>
      <c r="M9218" t="s">
        <v>2115</v>
      </c>
      <c r="N9218" t="s">
        <v>41125</v>
      </c>
      <c r="O9218" t="s">
        <v>41126</v>
      </c>
      <c r="P9218" t="s">
        <v>41127</v>
      </c>
      <c r="Q9218" t="s">
        <v>41128</v>
      </c>
      <c r="R9218">
        <v>32</v>
      </c>
      <c r="S9218">
        <v>32</v>
      </c>
    </row>
    <row r="9219" spans="1:19" x14ac:dyDescent="0.35">
      <c r="A9219">
        <v>3233</v>
      </c>
      <c r="B9219" t="s">
        <v>41150</v>
      </c>
      <c r="C9219" t="s">
        <v>42</v>
      </c>
      <c r="D9219" t="s">
        <v>41151</v>
      </c>
      <c r="E9219" t="e" cm="1">
        <f t="array" ref="E9219">- DRIED ALUMINIUM HYDROXIDE GEL. MAGNESIUM TRISILICATE. SIMETHICONE</f>
        <v>#NAME?</v>
      </c>
      <c r="F9219" s="1">
        <v>7000</v>
      </c>
      <c r="G9219" t="s">
        <v>41152</v>
      </c>
      <c r="H9219" t="s">
        <v>41153</v>
      </c>
      <c r="I9219" t="s">
        <v>40196</v>
      </c>
      <c r="J9219" t="s">
        <v>885</v>
      </c>
      <c r="K9219" t="s">
        <v>40197</v>
      </c>
      <c r="L9219" t="s">
        <v>40198</v>
      </c>
      <c r="M9219" t="s">
        <v>46</v>
      </c>
      <c r="N9219" t="s">
        <v>41154</v>
      </c>
      <c r="O9219" t="s">
        <v>40199</v>
      </c>
      <c r="P9219" t="s">
        <v>41155</v>
      </c>
      <c r="Q9219" t="s">
        <v>41156</v>
      </c>
      <c r="R9219">
        <v>32</v>
      </c>
      <c r="S9219">
        <v>32</v>
      </c>
    </row>
    <row r="9220" spans="1:19" x14ac:dyDescent="0.35">
      <c r="A9220">
        <v>3647</v>
      </c>
      <c r="B9220" t="s">
        <v>41157</v>
      </c>
      <c r="C9220" t="s">
        <v>42</v>
      </c>
      <c r="D9220" t="s">
        <v>41158</v>
      </c>
      <c r="E9220" t="e" cm="1">
        <f t="array" ref="E9220">- METOCLOPRAMIDE HYDROCHLORIDE</f>
        <v>#NAME?</v>
      </c>
      <c r="F9220" t="s">
        <v>41159</v>
      </c>
      <c r="G9220" t="s">
        <v>41160</v>
      </c>
      <c r="H9220" t="s">
        <v>41161</v>
      </c>
      <c r="I9220" t="s">
        <v>41162</v>
      </c>
      <c r="J9220" t="s">
        <v>25209</v>
      </c>
      <c r="K9220" t="s">
        <v>41163</v>
      </c>
      <c r="L9220" t="s">
        <v>41164</v>
      </c>
      <c r="M9220" t="s">
        <v>824</v>
      </c>
      <c r="N9220" t="s">
        <v>1876</v>
      </c>
      <c r="O9220" t="s">
        <v>41165</v>
      </c>
      <c r="P9220" t="s">
        <v>37801</v>
      </c>
      <c r="Q9220" t="s">
        <v>41166</v>
      </c>
      <c r="R9220">
        <v>32</v>
      </c>
      <c r="S9220">
        <v>32</v>
      </c>
    </row>
    <row r="9221" spans="1:19" x14ac:dyDescent="0.35">
      <c r="A9221">
        <v>9645</v>
      </c>
      <c r="B9221" t="s">
        <v>6301</v>
      </c>
      <c r="C9221" t="s">
        <v>42</v>
      </c>
      <c r="D9221" t="s">
        <v>41167</v>
      </c>
      <c r="E9221" t="s">
        <v>6303</v>
      </c>
      <c r="F9221" t="s">
        <v>41168</v>
      </c>
      <c r="G9221" t="s">
        <v>31602</v>
      </c>
      <c r="H9221" t="s">
        <v>1322</v>
      </c>
      <c r="I9221" t="s">
        <v>41169</v>
      </c>
      <c r="J9221" t="s">
        <v>374</v>
      </c>
      <c r="K9221" t="s">
        <v>31604</v>
      </c>
      <c r="L9221" t="s">
        <v>34021</v>
      </c>
      <c r="M9221" t="s">
        <v>46</v>
      </c>
      <c r="N9221" t="s">
        <v>6304</v>
      </c>
      <c r="O9221" t="s">
        <v>41170</v>
      </c>
      <c r="P9221" t="s">
        <v>41171</v>
      </c>
      <c r="Q9221" t="s">
        <v>41172</v>
      </c>
      <c r="R9221">
        <v>32</v>
      </c>
      <c r="S9221">
        <v>32</v>
      </c>
    </row>
    <row r="9222" spans="1:19" x14ac:dyDescent="0.35">
      <c r="A9222">
        <v>6398</v>
      </c>
      <c r="B9222" t="s">
        <v>41105</v>
      </c>
      <c r="C9222" t="s">
        <v>42</v>
      </c>
      <c r="D9222" t="s">
        <v>41106</v>
      </c>
      <c r="E9222" t="e" cm="1">
        <f t="array" ref="E9222">- CEFUROXIME AXETIL</f>
        <v>#NAME?</v>
      </c>
      <c r="F9222" t="s">
        <v>41107</v>
      </c>
      <c r="G9222" t="s">
        <v>6135</v>
      </c>
      <c r="H9222" t="s">
        <v>41108</v>
      </c>
      <c r="I9222" t="s">
        <v>41109</v>
      </c>
    </row>
    <row r="9223" spans="1:19" x14ac:dyDescent="0.35">
      <c r="A9223">
        <v>3154</v>
      </c>
      <c r="B9223" t="s">
        <v>41173</v>
      </c>
      <c r="C9223" t="s">
        <v>42</v>
      </c>
      <c r="D9223" t="s">
        <v>41174</v>
      </c>
      <c r="E9223" t="e" cm="1">
        <f t="array" ref="E9223">- ALUMINIUM HYDROXIDE GEL</f>
        <v>#NAME?</v>
      </c>
      <c r="F9223" t="s">
        <v>41175</v>
      </c>
      <c r="G9223" t="s">
        <v>36662</v>
      </c>
      <c r="H9223" t="s">
        <v>41176</v>
      </c>
      <c r="I9223" t="s">
        <v>41177</v>
      </c>
      <c r="J9223" t="s">
        <v>41178</v>
      </c>
      <c r="K9223" t="s">
        <v>34155</v>
      </c>
      <c r="L9223" t="s">
        <v>40558</v>
      </c>
      <c r="M9223" t="s">
        <v>340</v>
      </c>
      <c r="N9223" t="s">
        <v>15939</v>
      </c>
      <c r="O9223" t="s">
        <v>41179</v>
      </c>
      <c r="P9223" t="s">
        <v>32084</v>
      </c>
      <c r="Q9223" t="s">
        <v>41180</v>
      </c>
      <c r="R9223">
        <v>32</v>
      </c>
      <c r="S9223">
        <v>32</v>
      </c>
    </row>
    <row r="9224" spans="1:19" x14ac:dyDescent="0.35">
      <c r="A9224">
        <v>9717</v>
      </c>
      <c r="B9224" t="s">
        <v>41181</v>
      </c>
      <c r="C9224" t="s">
        <v>42</v>
      </c>
      <c r="D9224" t="s">
        <v>41182</v>
      </c>
      <c r="E9224" t="e" cm="1">
        <f t="array" ref="E9224">- ATORVASTATIN</f>
        <v>#NAME?</v>
      </c>
      <c r="F9224" t="s">
        <v>41183</v>
      </c>
      <c r="G9224" t="s">
        <v>4420</v>
      </c>
      <c r="H9224" t="s">
        <v>41012</v>
      </c>
      <c r="I9224" t="s">
        <v>41013</v>
      </c>
      <c r="J9224" t="s">
        <v>3761</v>
      </c>
      <c r="K9224" t="s">
        <v>41014</v>
      </c>
      <c r="L9224" t="s">
        <v>41015</v>
      </c>
      <c r="M9224" t="s">
        <v>291</v>
      </c>
      <c r="N9224" t="s">
        <v>41016</v>
      </c>
      <c r="O9224" t="s">
        <v>41017</v>
      </c>
      <c r="P9224" t="s">
        <v>41184</v>
      </c>
      <c r="Q9224" t="s">
        <v>41185</v>
      </c>
      <c r="R9224">
        <v>32</v>
      </c>
      <c r="S9224">
        <v>32</v>
      </c>
    </row>
    <row r="9225" spans="1:19" x14ac:dyDescent="0.35">
      <c r="A9225">
        <v>8020</v>
      </c>
      <c r="B9225" t="s">
        <v>41079</v>
      </c>
      <c r="C9225" t="s">
        <v>20</v>
      </c>
      <c r="D9225" t="s">
        <v>41186</v>
      </c>
      <c r="E9225" t="s">
        <v>41081</v>
      </c>
      <c r="F9225" t="s">
        <v>41187</v>
      </c>
      <c r="G9225" t="s">
        <v>13300</v>
      </c>
      <c r="H9225" t="s">
        <v>13301</v>
      </c>
      <c r="I9225" t="s">
        <v>41083</v>
      </c>
      <c r="J9225" t="s">
        <v>7072</v>
      </c>
      <c r="L9225" t="s">
        <v>13303</v>
      </c>
      <c r="M9225" t="s">
        <v>2374</v>
      </c>
      <c r="N9225" t="s">
        <v>41084</v>
      </c>
      <c r="O9225" t="s">
        <v>41085</v>
      </c>
      <c r="P9225" t="s">
        <v>41086</v>
      </c>
      <c r="Q9225" t="s">
        <v>41087</v>
      </c>
      <c r="R9225">
        <v>32</v>
      </c>
      <c r="S9225">
        <v>32</v>
      </c>
    </row>
    <row r="9226" spans="1:19" x14ac:dyDescent="0.35">
      <c r="A9226">
        <v>9783</v>
      </c>
      <c r="B9226" t="s">
        <v>41188</v>
      </c>
      <c r="C9226" t="s">
        <v>42</v>
      </c>
      <c r="D9226" t="s">
        <v>41189</v>
      </c>
      <c r="E9226" t="e" cm="1">
        <f t="array" ref="E9226">- ATORVASTATIN</f>
        <v>#NAME?</v>
      </c>
      <c r="F9226" t="s">
        <v>41190</v>
      </c>
      <c r="G9226" t="s">
        <v>41191</v>
      </c>
      <c r="H9226" t="s">
        <v>41137</v>
      </c>
      <c r="I9226" t="s">
        <v>41013</v>
      </c>
      <c r="J9226" t="s">
        <v>45</v>
      </c>
      <c r="K9226" t="s">
        <v>41138</v>
      </c>
      <c r="L9226" t="s">
        <v>41015</v>
      </c>
      <c r="M9226" t="s">
        <v>46</v>
      </c>
      <c r="N9226" t="s">
        <v>41016</v>
      </c>
      <c r="O9226" t="s">
        <v>41017</v>
      </c>
      <c r="P9226" t="s">
        <v>41139</v>
      </c>
      <c r="Q9226" t="s">
        <v>41140</v>
      </c>
      <c r="R9226">
        <v>32</v>
      </c>
      <c r="S9226">
        <v>32</v>
      </c>
    </row>
    <row r="9227" spans="1:19" x14ac:dyDescent="0.35">
      <c r="A9227">
        <v>6113</v>
      </c>
      <c r="B9227" t="s">
        <v>41192</v>
      </c>
      <c r="C9227" t="s">
        <v>42</v>
      </c>
      <c r="D9227" t="s">
        <v>41193</v>
      </c>
      <c r="E9227" t="e" cm="1">
        <f t="array" ref="E9227">- CIPROFLOXACIN HYDROCHLORIDE</f>
        <v>#NAME?</v>
      </c>
      <c r="F9227" t="s">
        <v>41194</v>
      </c>
      <c r="G9227" t="s">
        <v>3083</v>
      </c>
      <c r="H9227" t="s">
        <v>1055</v>
      </c>
      <c r="I9227" t="s">
        <v>41099</v>
      </c>
      <c r="J9227" t="s">
        <v>41195</v>
      </c>
      <c r="K9227" t="s">
        <v>41196</v>
      </c>
      <c r="L9227" t="s">
        <v>41101</v>
      </c>
      <c r="M9227" t="s">
        <v>291</v>
      </c>
      <c r="N9227" t="s">
        <v>1624</v>
      </c>
      <c r="O9227" t="s">
        <v>41102</v>
      </c>
      <c r="P9227" t="s">
        <v>41197</v>
      </c>
      <c r="Q9227" t="s">
        <v>41198</v>
      </c>
      <c r="R9227">
        <v>32</v>
      </c>
      <c r="S9227">
        <v>32</v>
      </c>
    </row>
    <row r="9228" spans="1:19" x14ac:dyDescent="0.35">
      <c r="A9228">
        <v>146</v>
      </c>
      <c r="B9228" t="s">
        <v>2902</v>
      </c>
      <c r="C9228" t="s">
        <v>42</v>
      </c>
      <c r="D9228" t="s">
        <v>41199</v>
      </c>
      <c r="E9228" t="e" cm="1">
        <f t="array" ref="E9228">- SILDENAFIL CITRATE</f>
        <v>#NAME?</v>
      </c>
      <c r="F9228" t="s">
        <v>41200</v>
      </c>
      <c r="G9228" t="s">
        <v>41201</v>
      </c>
      <c r="H9228" t="s">
        <v>1322</v>
      </c>
      <c r="I9228" t="s">
        <v>41202</v>
      </c>
      <c r="J9228" t="s">
        <v>9507</v>
      </c>
      <c r="L9228" t="s">
        <v>11662</v>
      </c>
      <c r="M9228" t="s">
        <v>46</v>
      </c>
      <c r="N9228" t="s">
        <v>2519</v>
      </c>
      <c r="O9228" t="s">
        <v>41203</v>
      </c>
      <c r="P9228" t="s">
        <v>41204</v>
      </c>
      <c r="Q9228" t="s">
        <v>41205</v>
      </c>
      <c r="R9228">
        <v>32</v>
      </c>
      <c r="S9228">
        <v>32</v>
      </c>
    </row>
    <row r="9229" spans="1:19" x14ac:dyDescent="0.35">
      <c r="A9229">
        <v>1803</v>
      </c>
      <c r="B9229" t="s">
        <v>41206</v>
      </c>
      <c r="C9229" t="s">
        <v>850</v>
      </c>
      <c r="D9229" t="s">
        <v>41207</v>
      </c>
      <c r="E9229" t="e" cm="1">
        <f t="array" ref="E9229">- Camphor</f>
        <v>#NAME?</v>
      </c>
      <c r="F9229" t="s">
        <v>41208</v>
      </c>
      <c r="I9229" t="s">
        <v>41209</v>
      </c>
      <c r="J9229" t="s">
        <v>41210</v>
      </c>
      <c r="M9229" t="s">
        <v>3338</v>
      </c>
      <c r="N9229" t="s">
        <v>853</v>
      </c>
      <c r="O9229" t="s">
        <v>41211</v>
      </c>
      <c r="P9229" t="s">
        <v>41212</v>
      </c>
      <c r="Q9229" t="s">
        <v>41213</v>
      </c>
      <c r="R9229">
        <v>32</v>
      </c>
      <c r="S9229">
        <v>32</v>
      </c>
    </row>
    <row r="9230" spans="1:19" x14ac:dyDescent="0.35">
      <c r="A9230">
        <v>1802</v>
      </c>
      <c r="B9230" t="s">
        <v>41206</v>
      </c>
      <c r="C9230" t="s">
        <v>850</v>
      </c>
      <c r="D9230" t="s">
        <v>41207</v>
      </c>
      <c r="E9230" t="e" cm="1">
        <f t="array" ref="E9230">- Camphor</f>
        <v>#NAME?</v>
      </c>
      <c r="F9230" t="s">
        <v>41208</v>
      </c>
      <c r="I9230" t="s">
        <v>41209</v>
      </c>
      <c r="J9230" t="s">
        <v>41210</v>
      </c>
      <c r="M9230" t="s">
        <v>3338</v>
      </c>
      <c r="N9230" t="s">
        <v>853</v>
      </c>
      <c r="O9230" t="s">
        <v>41211</v>
      </c>
      <c r="P9230" t="s">
        <v>41212</v>
      </c>
      <c r="Q9230" t="s">
        <v>41213</v>
      </c>
      <c r="R9230">
        <v>32</v>
      </c>
      <c r="S9230">
        <v>32</v>
      </c>
    </row>
    <row r="9231" spans="1:19" x14ac:dyDescent="0.35">
      <c r="A9231">
        <v>145</v>
      </c>
      <c r="B9231" t="s">
        <v>2902</v>
      </c>
      <c r="C9231" t="s">
        <v>42</v>
      </c>
      <c r="D9231" t="s">
        <v>41214</v>
      </c>
      <c r="E9231" t="e" cm="1">
        <f t="array" ref="E9231">- SILDENAFIL CITRATE</f>
        <v>#NAME?</v>
      </c>
      <c r="F9231" t="s">
        <v>41215</v>
      </c>
      <c r="G9231" t="s">
        <v>41201</v>
      </c>
      <c r="H9231" t="s">
        <v>1322</v>
      </c>
      <c r="I9231" t="s">
        <v>41202</v>
      </c>
      <c r="J9231" t="s">
        <v>11661</v>
      </c>
      <c r="L9231" t="s">
        <v>11662</v>
      </c>
      <c r="M9231" t="s">
        <v>46</v>
      </c>
      <c r="N9231" t="s">
        <v>2519</v>
      </c>
      <c r="O9231" t="s">
        <v>41203</v>
      </c>
      <c r="P9231" t="s">
        <v>41204</v>
      </c>
      <c r="Q9231" t="s">
        <v>41205</v>
      </c>
      <c r="R9231">
        <v>32</v>
      </c>
      <c r="S9231">
        <v>32</v>
      </c>
    </row>
    <row r="9232" spans="1:19" x14ac:dyDescent="0.35">
      <c r="A9232">
        <v>9948</v>
      </c>
      <c r="B9232" t="s">
        <v>41216</v>
      </c>
      <c r="C9232" t="s">
        <v>42</v>
      </c>
      <c r="D9232" t="s">
        <v>41217</v>
      </c>
      <c r="E9232" t="e" cm="1">
        <f t="array" ref="E9232">- IVABRADINE HYDROCHLORIDE</f>
        <v>#NAME?</v>
      </c>
      <c r="F9232" t="s">
        <v>41218</v>
      </c>
      <c r="G9232" t="s">
        <v>2241</v>
      </c>
      <c r="H9232" t="s">
        <v>41219</v>
      </c>
      <c r="I9232" t="s">
        <v>41220</v>
      </c>
      <c r="J9232" t="s">
        <v>41221</v>
      </c>
      <c r="K9232" t="s">
        <v>41222</v>
      </c>
      <c r="L9232" t="s">
        <v>41223</v>
      </c>
      <c r="M9232" t="s">
        <v>46</v>
      </c>
      <c r="N9232" t="s">
        <v>39872</v>
      </c>
      <c r="O9232" t="s">
        <v>41224</v>
      </c>
      <c r="P9232" t="s">
        <v>39874</v>
      </c>
      <c r="Q9232" t="s">
        <v>41225</v>
      </c>
      <c r="R9232">
        <v>32</v>
      </c>
      <c r="S9232">
        <v>32</v>
      </c>
    </row>
    <row r="9233" spans="1:19" x14ac:dyDescent="0.35">
      <c r="A9233">
        <v>6345</v>
      </c>
      <c r="B9233" t="s">
        <v>41226</v>
      </c>
      <c r="C9233" t="s">
        <v>42</v>
      </c>
      <c r="D9233" t="s">
        <v>41227</v>
      </c>
      <c r="E9233" t="e" cm="1">
        <f t="array" ref="E9233">- CIPROFLOXACIN HYDROCHLORIDE</f>
        <v>#NAME?</v>
      </c>
      <c r="F9233" t="s">
        <v>41228</v>
      </c>
      <c r="G9233" t="s">
        <v>3083</v>
      </c>
      <c r="H9233" t="s">
        <v>1055</v>
      </c>
      <c r="I9233" t="s">
        <v>41099</v>
      </c>
      <c r="J9233" t="s">
        <v>41229</v>
      </c>
      <c r="K9233" t="s">
        <v>41230</v>
      </c>
      <c r="L9233" t="s">
        <v>41131</v>
      </c>
      <c r="M9233" t="s">
        <v>46</v>
      </c>
      <c r="N9233" t="s">
        <v>1624</v>
      </c>
      <c r="O9233" t="s">
        <v>41102</v>
      </c>
      <c r="P9233" t="s">
        <v>41231</v>
      </c>
      <c r="Q9233" t="s">
        <v>41232</v>
      </c>
      <c r="R9233">
        <v>32</v>
      </c>
      <c r="S9233">
        <v>32</v>
      </c>
    </row>
    <row r="9234" spans="1:19" x14ac:dyDescent="0.35">
      <c r="A9234">
        <v>9947</v>
      </c>
      <c r="B9234" t="s">
        <v>41216</v>
      </c>
      <c r="C9234" t="s">
        <v>42</v>
      </c>
      <c r="D9234" t="s">
        <v>41217</v>
      </c>
      <c r="E9234" t="e" cm="1">
        <f t="array" ref="E9234">- IVABRADINE HYDROCHLORIDE</f>
        <v>#NAME?</v>
      </c>
      <c r="F9234" t="s">
        <v>41218</v>
      </c>
      <c r="G9234" t="s">
        <v>2241</v>
      </c>
      <c r="H9234" t="s">
        <v>41219</v>
      </c>
      <c r="I9234" t="s">
        <v>41220</v>
      </c>
      <c r="J9234" t="s">
        <v>41221</v>
      </c>
      <c r="K9234" t="s">
        <v>41222</v>
      </c>
      <c r="L9234" t="s">
        <v>41223</v>
      </c>
      <c r="M9234" t="s">
        <v>46</v>
      </c>
      <c r="N9234" t="s">
        <v>39872</v>
      </c>
      <c r="O9234" t="s">
        <v>41224</v>
      </c>
      <c r="P9234" t="s">
        <v>39874</v>
      </c>
      <c r="Q9234" t="s">
        <v>41225</v>
      </c>
      <c r="R9234">
        <v>32</v>
      </c>
      <c r="S9234">
        <v>32</v>
      </c>
    </row>
    <row r="9235" spans="1:19" x14ac:dyDescent="0.35">
      <c r="A9235">
        <v>7562</v>
      </c>
      <c r="B9235" t="s">
        <v>39588</v>
      </c>
      <c r="C9235" t="s">
        <v>42</v>
      </c>
      <c r="D9235" t="s">
        <v>39589</v>
      </c>
      <c r="E9235" t="e" cm="1">
        <f t="array" ref="E9235">- FERRIC HYDROXIDE POLYMALTOSE COMPLEX. FOLIC ACID</f>
        <v>#NAME?</v>
      </c>
      <c r="F9235" t="s">
        <v>39590</v>
      </c>
      <c r="G9235" t="s">
        <v>39591</v>
      </c>
      <c r="H9235" t="s">
        <v>39592</v>
      </c>
      <c r="I9235" t="s">
        <v>39593</v>
      </c>
      <c r="J9235" t="s">
        <v>39594</v>
      </c>
      <c r="K9235" t="s">
        <v>39595</v>
      </c>
      <c r="L9235" t="s">
        <v>39596</v>
      </c>
      <c r="M9235" t="s">
        <v>46</v>
      </c>
      <c r="N9235" t="s">
        <v>41233</v>
      </c>
      <c r="O9235" t="s">
        <v>39597</v>
      </c>
      <c r="P9235" t="s">
        <v>39598</v>
      </c>
      <c r="Q9235" t="s">
        <v>41234</v>
      </c>
      <c r="R9235">
        <v>32</v>
      </c>
      <c r="S9235">
        <v>32</v>
      </c>
    </row>
    <row r="9236" spans="1:19" x14ac:dyDescent="0.35">
      <c r="A9236">
        <v>6346</v>
      </c>
      <c r="B9236" t="s">
        <v>41235</v>
      </c>
      <c r="C9236" t="s">
        <v>42</v>
      </c>
      <c r="D9236" t="s">
        <v>41236</v>
      </c>
      <c r="E9236" t="e" cm="1">
        <f t="array" ref="E9236">- CIPROFLOXACIN HYDROCHLORIDE</f>
        <v>#NAME?</v>
      </c>
      <c r="F9236" s="1">
        <v>164800</v>
      </c>
      <c r="G9236" t="s">
        <v>3083</v>
      </c>
      <c r="H9236" t="s">
        <v>1055</v>
      </c>
      <c r="I9236" t="s">
        <v>41099</v>
      </c>
      <c r="J9236" t="s">
        <v>26233</v>
      </c>
      <c r="K9236" t="s">
        <v>41237</v>
      </c>
      <c r="L9236" t="s">
        <v>41131</v>
      </c>
      <c r="M9236" t="s">
        <v>291</v>
      </c>
      <c r="N9236" t="s">
        <v>1624</v>
      </c>
      <c r="O9236" t="s">
        <v>41102</v>
      </c>
      <c r="P9236" t="s">
        <v>41238</v>
      </c>
      <c r="Q9236" t="s">
        <v>41239</v>
      </c>
      <c r="R9236">
        <v>32</v>
      </c>
      <c r="S9236">
        <v>32</v>
      </c>
    </row>
    <row r="9237" spans="1:19" x14ac:dyDescent="0.35">
      <c r="A9237">
        <v>6347</v>
      </c>
      <c r="B9237" t="s">
        <v>41235</v>
      </c>
      <c r="C9237" t="s">
        <v>42</v>
      </c>
      <c r="D9237" t="s">
        <v>41236</v>
      </c>
      <c r="E9237" t="e" cm="1">
        <f t="array" ref="E9237">- CIPROFLOXACIN HYDROCHLORIDE</f>
        <v>#NAME?</v>
      </c>
      <c r="F9237" s="1">
        <v>164800</v>
      </c>
      <c r="G9237" t="s">
        <v>3083</v>
      </c>
      <c r="H9237" t="s">
        <v>1055</v>
      </c>
      <c r="I9237" t="s">
        <v>41099</v>
      </c>
      <c r="J9237" t="s">
        <v>26233</v>
      </c>
      <c r="K9237" t="s">
        <v>41237</v>
      </c>
      <c r="L9237" t="s">
        <v>41131</v>
      </c>
      <c r="M9237" t="s">
        <v>291</v>
      </c>
      <c r="N9237" t="s">
        <v>1624</v>
      </c>
      <c r="O9237" t="s">
        <v>41102</v>
      </c>
      <c r="P9237" t="s">
        <v>41238</v>
      </c>
      <c r="Q9237" t="s">
        <v>41239</v>
      </c>
      <c r="R9237">
        <v>32</v>
      </c>
      <c r="S9237">
        <v>32</v>
      </c>
    </row>
    <row r="9238" spans="1:19" x14ac:dyDescent="0.35">
      <c r="A9238">
        <v>4364</v>
      </c>
      <c r="B9238" t="s">
        <v>1637</v>
      </c>
      <c r="C9238" t="s">
        <v>42</v>
      </c>
      <c r="D9238" t="s">
        <v>41031</v>
      </c>
      <c r="E9238" t="e" cm="1">
        <f t="array" ref="E9238">- OFLOXACIN</f>
        <v>#NAME?</v>
      </c>
      <c r="F9238" s="1">
        <v>205000</v>
      </c>
      <c r="G9238" t="s">
        <v>41032</v>
      </c>
      <c r="H9238" t="s">
        <v>41033</v>
      </c>
      <c r="I9238" t="s">
        <v>41034</v>
      </c>
      <c r="J9238" t="s">
        <v>41035</v>
      </c>
      <c r="L9238" t="s">
        <v>41036</v>
      </c>
      <c r="M9238" t="s">
        <v>824</v>
      </c>
      <c r="N9238" t="s">
        <v>1640</v>
      </c>
      <c r="O9238" t="s">
        <v>41037</v>
      </c>
      <c r="P9238" t="s">
        <v>41038</v>
      </c>
      <c r="Q9238" t="s">
        <v>41240</v>
      </c>
      <c r="R9238">
        <v>32</v>
      </c>
      <c r="S9238">
        <v>32</v>
      </c>
    </row>
    <row r="9239" spans="1:19" x14ac:dyDescent="0.35">
      <c r="A9239">
        <v>7939</v>
      </c>
      <c r="B9239" t="s">
        <v>41241</v>
      </c>
      <c r="C9239" t="s">
        <v>20</v>
      </c>
      <c r="D9239" t="s">
        <v>41242</v>
      </c>
      <c r="E9239" t="s">
        <v>41243</v>
      </c>
      <c r="F9239" t="s">
        <v>41244</v>
      </c>
      <c r="G9239" t="s">
        <v>3970</v>
      </c>
      <c r="H9239" t="s">
        <v>39359</v>
      </c>
      <c r="I9239" t="s">
        <v>39360</v>
      </c>
      <c r="J9239" t="s">
        <v>197</v>
      </c>
      <c r="L9239" t="s">
        <v>39361</v>
      </c>
      <c r="M9239" t="s">
        <v>38</v>
      </c>
      <c r="N9239" t="s">
        <v>41245</v>
      </c>
      <c r="O9239" t="s">
        <v>39363</v>
      </c>
      <c r="P9239" t="s">
        <v>41246</v>
      </c>
      <c r="Q9239" t="s">
        <v>41247</v>
      </c>
      <c r="R9239">
        <v>32</v>
      </c>
      <c r="S9239">
        <v>32</v>
      </c>
    </row>
    <row r="9240" spans="1:19" x14ac:dyDescent="0.35">
      <c r="A9240">
        <v>8840</v>
      </c>
      <c r="B9240" t="s">
        <v>41248</v>
      </c>
      <c r="C9240" t="s">
        <v>42</v>
      </c>
      <c r="D9240" t="s">
        <v>41249</v>
      </c>
      <c r="E9240" t="e" cm="1">
        <f t="array" ref="E9240">- LIRAGLUTIDE</f>
        <v>#NAME?</v>
      </c>
      <c r="F9240" t="s">
        <v>41250</v>
      </c>
      <c r="G9240" t="s">
        <v>18396</v>
      </c>
      <c r="H9240" t="s">
        <v>41251</v>
      </c>
      <c r="I9240" t="s">
        <v>41252</v>
      </c>
      <c r="J9240" t="s">
        <v>41253</v>
      </c>
      <c r="K9240" t="s">
        <v>4677</v>
      </c>
      <c r="L9240" t="s">
        <v>41254</v>
      </c>
    </row>
    <row r="9241" spans="1:19" x14ac:dyDescent="0.35">
      <c r="A9241">
        <v>7563</v>
      </c>
      <c r="B9241" t="s">
        <v>39588</v>
      </c>
      <c r="C9241" t="s">
        <v>42</v>
      </c>
      <c r="D9241" t="s">
        <v>39589</v>
      </c>
      <c r="E9241" t="e" cm="1">
        <f t="array" ref="E9241">- FERRIC HYDROXIDE POLYMALTOSE COMPLEX. FOLIC ACID</f>
        <v>#NAME?</v>
      </c>
      <c r="F9241" t="s">
        <v>39590</v>
      </c>
      <c r="G9241" t="s">
        <v>39591</v>
      </c>
      <c r="H9241" t="s">
        <v>39592</v>
      </c>
      <c r="I9241" t="s">
        <v>39593</v>
      </c>
      <c r="J9241" t="s">
        <v>39594</v>
      </c>
      <c r="K9241" t="s">
        <v>39595</v>
      </c>
      <c r="L9241" t="s">
        <v>39596</v>
      </c>
      <c r="M9241" t="s">
        <v>46</v>
      </c>
      <c r="N9241" t="s">
        <v>41233</v>
      </c>
      <c r="O9241" t="s">
        <v>39597</v>
      </c>
      <c r="P9241" t="s">
        <v>39598</v>
      </c>
      <c r="Q9241" t="s">
        <v>41234</v>
      </c>
      <c r="R9241">
        <v>32</v>
      </c>
      <c r="S9241">
        <v>32</v>
      </c>
    </row>
    <row r="9242" spans="1:19" x14ac:dyDescent="0.35">
      <c r="A9242">
        <v>7651</v>
      </c>
      <c r="B9242" t="s">
        <v>41255</v>
      </c>
      <c r="C9242" t="s">
        <v>20</v>
      </c>
      <c r="D9242" t="s">
        <v>41256</v>
      </c>
      <c r="E9242" t="s">
        <v>41257</v>
      </c>
      <c r="F9242" t="s">
        <v>41258</v>
      </c>
      <c r="G9242" t="s">
        <v>41259</v>
      </c>
      <c r="H9242" t="s">
        <v>41260</v>
      </c>
      <c r="I9242" t="s">
        <v>41261</v>
      </c>
      <c r="J9242" t="s">
        <v>41262</v>
      </c>
      <c r="L9242" t="s">
        <v>25188</v>
      </c>
      <c r="M9242" t="s">
        <v>63</v>
      </c>
      <c r="N9242" t="s">
        <v>41263</v>
      </c>
      <c r="O9242" t="s">
        <v>41264</v>
      </c>
      <c r="P9242" t="s">
        <v>41265</v>
      </c>
      <c r="Q9242" t="s">
        <v>41266</v>
      </c>
      <c r="R9242">
        <v>32</v>
      </c>
      <c r="S9242">
        <v>32</v>
      </c>
    </row>
    <row r="9243" spans="1:19" x14ac:dyDescent="0.35">
      <c r="A9243">
        <v>6144</v>
      </c>
      <c r="B9243" t="s">
        <v>41267</v>
      </c>
      <c r="C9243" t="s">
        <v>42</v>
      </c>
      <c r="D9243" t="s">
        <v>41268</v>
      </c>
      <c r="E9243" t="e" cm="1">
        <f t="array" ref="E9243">- CIPROFLOXACIN HYDROCHLORIDE</f>
        <v>#NAME?</v>
      </c>
      <c r="F9243" t="s">
        <v>41269</v>
      </c>
      <c r="G9243" t="s">
        <v>3083</v>
      </c>
      <c r="H9243" t="s">
        <v>1055</v>
      </c>
      <c r="I9243" t="s">
        <v>41099</v>
      </c>
      <c r="J9243" t="s">
        <v>284</v>
      </c>
      <c r="K9243" t="s">
        <v>41196</v>
      </c>
      <c r="L9243" t="s">
        <v>41101</v>
      </c>
      <c r="M9243" t="s">
        <v>291</v>
      </c>
      <c r="N9243" t="s">
        <v>1624</v>
      </c>
      <c r="O9243" t="s">
        <v>41102</v>
      </c>
      <c r="P9243" t="s">
        <v>41270</v>
      </c>
      <c r="Q9243" t="s">
        <v>41271</v>
      </c>
      <c r="R9243">
        <v>32</v>
      </c>
      <c r="S9243">
        <v>32</v>
      </c>
    </row>
    <row r="9244" spans="1:19" x14ac:dyDescent="0.35">
      <c r="A9244">
        <v>4863</v>
      </c>
      <c r="B9244" t="s">
        <v>41272</v>
      </c>
      <c r="C9244" t="s">
        <v>42</v>
      </c>
      <c r="D9244" t="s">
        <v>41273</v>
      </c>
      <c r="E9244" t="e" cm="1">
        <f t="array" ref="E9244">- LATANOPROST</f>
        <v>#NAME?</v>
      </c>
      <c r="F9244" s="1">
        <v>130700</v>
      </c>
      <c r="G9244" t="s">
        <v>7569</v>
      </c>
      <c r="H9244" t="s">
        <v>41274</v>
      </c>
      <c r="I9244" t="s">
        <v>41275</v>
      </c>
      <c r="J9244" t="s">
        <v>18074</v>
      </c>
      <c r="K9244" t="s">
        <v>41276</v>
      </c>
      <c r="L9244" t="s">
        <v>41277</v>
      </c>
      <c r="M9244" t="s">
        <v>824</v>
      </c>
      <c r="N9244" t="s">
        <v>14727</v>
      </c>
      <c r="O9244" t="s">
        <v>41278</v>
      </c>
      <c r="P9244" t="s">
        <v>41279</v>
      </c>
      <c r="Q9244" t="s">
        <v>41280</v>
      </c>
      <c r="R9244">
        <v>32</v>
      </c>
      <c r="S9244">
        <v>32</v>
      </c>
    </row>
    <row r="9245" spans="1:19" x14ac:dyDescent="0.35">
      <c r="A9245">
        <v>6351</v>
      </c>
      <c r="B9245" t="s">
        <v>41281</v>
      </c>
      <c r="C9245" t="s">
        <v>42</v>
      </c>
      <c r="D9245" t="s">
        <v>41282</v>
      </c>
      <c r="E9245" t="e" cm="1">
        <f t="array" ref="E9245">- CIPROFLOXACIN HYDROCHLORIDE</f>
        <v>#NAME?</v>
      </c>
      <c r="F9245" t="s">
        <v>41283</v>
      </c>
      <c r="G9245" t="s">
        <v>3083</v>
      </c>
      <c r="H9245" t="s">
        <v>1055</v>
      </c>
      <c r="I9245" t="s">
        <v>41099</v>
      </c>
      <c r="J9245" t="s">
        <v>41284</v>
      </c>
      <c r="K9245" t="s">
        <v>41285</v>
      </c>
      <c r="L9245" t="s">
        <v>41131</v>
      </c>
      <c r="M9245" t="s">
        <v>291</v>
      </c>
      <c r="N9245" t="s">
        <v>1624</v>
      </c>
      <c r="O9245" t="s">
        <v>41102</v>
      </c>
      <c r="P9245" t="s">
        <v>41286</v>
      </c>
      <c r="Q9245" t="s">
        <v>41287</v>
      </c>
      <c r="R9245">
        <v>32</v>
      </c>
      <c r="S9245">
        <v>32</v>
      </c>
    </row>
    <row r="9246" spans="1:19" x14ac:dyDescent="0.35">
      <c r="A9246">
        <v>9857</v>
      </c>
      <c r="B9246" t="s">
        <v>41288</v>
      </c>
      <c r="C9246" t="s">
        <v>42</v>
      </c>
      <c r="D9246" t="s">
        <v>41289</v>
      </c>
      <c r="E9246" t="e" cm="1">
        <f t="array" ref="E9246">- ATORVASTATIN CALCIUM</f>
        <v>#NAME?</v>
      </c>
      <c r="F9246" t="s">
        <v>41290</v>
      </c>
      <c r="G9246" t="s">
        <v>2241</v>
      </c>
      <c r="H9246" t="s">
        <v>41012</v>
      </c>
      <c r="I9246" t="s">
        <v>41013</v>
      </c>
      <c r="J9246" t="s">
        <v>2100</v>
      </c>
      <c r="K9246" t="s">
        <v>41014</v>
      </c>
      <c r="L9246" t="s">
        <v>41015</v>
      </c>
      <c r="M9246" t="s">
        <v>46</v>
      </c>
      <c r="N9246" t="s">
        <v>41291</v>
      </c>
      <c r="O9246" t="s">
        <v>41017</v>
      </c>
      <c r="P9246" t="s">
        <v>41292</v>
      </c>
      <c r="Q9246" t="s">
        <v>41293</v>
      </c>
      <c r="R9246">
        <v>33</v>
      </c>
      <c r="S9246">
        <v>64</v>
      </c>
    </row>
    <row r="9247" spans="1:19" x14ac:dyDescent="0.35">
      <c r="A9247">
        <v>9856</v>
      </c>
      <c r="B9247" t="s">
        <v>41294</v>
      </c>
      <c r="C9247" t="s">
        <v>42</v>
      </c>
      <c r="D9247" t="s">
        <v>41295</v>
      </c>
      <c r="E9247" t="e" cm="1">
        <f t="array" ref="E9247">- ATORVASTATIN CALCIUM</f>
        <v>#NAME?</v>
      </c>
      <c r="F9247" t="s">
        <v>41296</v>
      </c>
      <c r="G9247" t="s">
        <v>4420</v>
      </c>
      <c r="H9247" t="s">
        <v>41012</v>
      </c>
      <c r="I9247" t="s">
        <v>41013</v>
      </c>
      <c r="J9247" t="s">
        <v>2478</v>
      </c>
      <c r="K9247" t="s">
        <v>41014</v>
      </c>
      <c r="L9247" t="s">
        <v>41015</v>
      </c>
      <c r="M9247" t="s">
        <v>46</v>
      </c>
      <c r="N9247" t="s">
        <v>41291</v>
      </c>
      <c r="O9247" t="s">
        <v>41017</v>
      </c>
      <c r="P9247" t="s">
        <v>41292</v>
      </c>
      <c r="Q9247" t="s">
        <v>41293</v>
      </c>
      <c r="R9247">
        <v>33</v>
      </c>
      <c r="S9247">
        <v>64</v>
      </c>
    </row>
    <row r="9248" spans="1:19" x14ac:dyDescent="0.35">
      <c r="A9248">
        <v>9838</v>
      </c>
      <c r="B9248" t="s">
        <v>41297</v>
      </c>
      <c r="C9248" t="s">
        <v>42</v>
      </c>
      <c r="D9248" t="s">
        <v>41298</v>
      </c>
      <c r="E9248" t="e" cm="1">
        <f t="array" ref="E9248">- ATORVASTATIN CALCIUM</f>
        <v>#NAME?</v>
      </c>
      <c r="F9248" t="s">
        <v>41299</v>
      </c>
      <c r="G9248" t="s">
        <v>6310</v>
      </c>
      <c r="H9248" t="s">
        <v>41012</v>
      </c>
      <c r="I9248" t="s">
        <v>41013</v>
      </c>
      <c r="J9248" t="s">
        <v>2100</v>
      </c>
      <c r="K9248" t="s">
        <v>41014</v>
      </c>
      <c r="L9248" t="s">
        <v>41015</v>
      </c>
      <c r="M9248" t="s">
        <v>46</v>
      </c>
      <c r="N9248" t="s">
        <v>41291</v>
      </c>
      <c r="O9248" t="s">
        <v>41017</v>
      </c>
      <c r="P9248" t="s">
        <v>41300</v>
      </c>
      <c r="Q9248" t="s">
        <v>41301</v>
      </c>
      <c r="R9248">
        <v>33</v>
      </c>
      <c r="S9248">
        <v>64</v>
      </c>
    </row>
    <row r="9249" spans="1:19" x14ac:dyDescent="0.35">
      <c r="A9249">
        <v>9696</v>
      </c>
      <c r="B9249" t="s">
        <v>41009</v>
      </c>
      <c r="C9249" t="s">
        <v>42</v>
      </c>
      <c r="D9249" t="s">
        <v>41010</v>
      </c>
      <c r="E9249" t="e" cm="1">
        <f t="array" ref="E9249">- ATORVASTATIN CALCIUM</f>
        <v>#NAME?</v>
      </c>
      <c r="F9249" t="s">
        <v>41011</v>
      </c>
      <c r="G9249" t="s">
        <v>7219</v>
      </c>
      <c r="H9249" t="s">
        <v>41012</v>
      </c>
      <c r="I9249" t="s">
        <v>41013</v>
      </c>
      <c r="J9249" t="s">
        <v>20983</v>
      </c>
      <c r="K9249" t="s">
        <v>41014</v>
      </c>
      <c r="L9249" t="s">
        <v>41015</v>
      </c>
      <c r="M9249" t="s">
        <v>46</v>
      </c>
      <c r="N9249" t="s">
        <v>41291</v>
      </c>
      <c r="O9249" t="s">
        <v>41017</v>
      </c>
      <c r="P9249" t="s">
        <v>41018</v>
      </c>
      <c r="Q9249" t="s">
        <v>41302</v>
      </c>
      <c r="R9249">
        <v>33</v>
      </c>
      <c r="S9249">
        <v>64</v>
      </c>
    </row>
    <row r="9250" spans="1:19" x14ac:dyDescent="0.35">
      <c r="A9250">
        <v>3523</v>
      </c>
      <c r="B9250" t="s">
        <v>41303</v>
      </c>
      <c r="C9250" t="s">
        <v>42</v>
      </c>
      <c r="D9250" t="s">
        <v>41304</v>
      </c>
      <c r="E9250" t="e" cm="1">
        <f t="array" ref="E9250">- METOCLOPRAMIDE HYDROCHLORIDE MONOHYDRATE</f>
        <v>#NAME?</v>
      </c>
      <c r="F9250" t="s">
        <v>29727</v>
      </c>
      <c r="G9250" t="s">
        <v>26259</v>
      </c>
      <c r="H9250" t="s">
        <v>41305</v>
      </c>
      <c r="I9250" t="s">
        <v>41306</v>
      </c>
      <c r="J9250" t="s">
        <v>8086</v>
      </c>
      <c r="K9250" t="s">
        <v>41307</v>
      </c>
      <c r="L9250" t="s">
        <v>41308</v>
      </c>
      <c r="M9250" t="s">
        <v>46</v>
      </c>
      <c r="N9250" t="s">
        <v>2774</v>
      </c>
      <c r="O9250" t="s">
        <v>41165</v>
      </c>
      <c r="P9250" t="s">
        <v>37801</v>
      </c>
      <c r="Q9250" t="s">
        <v>41309</v>
      </c>
      <c r="R9250">
        <v>33</v>
      </c>
      <c r="S9250">
        <v>64</v>
      </c>
    </row>
    <row r="9251" spans="1:19" x14ac:dyDescent="0.35">
      <c r="A9251">
        <v>9674</v>
      </c>
      <c r="B9251" t="s">
        <v>41040</v>
      </c>
      <c r="C9251" t="s">
        <v>42</v>
      </c>
      <c r="D9251" t="s">
        <v>41041</v>
      </c>
      <c r="E9251" t="e" cm="1">
        <f t="array" ref="E9251">- ATORVASTATIN CALCIUM</f>
        <v>#NAME?</v>
      </c>
      <c r="F9251" t="s">
        <v>41042</v>
      </c>
      <c r="G9251" t="s">
        <v>7219</v>
      </c>
      <c r="H9251" t="s">
        <v>41012</v>
      </c>
      <c r="I9251" t="s">
        <v>41013</v>
      </c>
      <c r="J9251" t="s">
        <v>20983</v>
      </c>
      <c r="K9251" t="s">
        <v>41014</v>
      </c>
      <c r="L9251" t="s">
        <v>41015</v>
      </c>
      <c r="M9251" t="s">
        <v>46</v>
      </c>
      <c r="N9251" t="s">
        <v>41291</v>
      </c>
      <c r="O9251" t="s">
        <v>41017</v>
      </c>
      <c r="P9251" t="s">
        <v>41018</v>
      </c>
      <c r="Q9251" t="s">
        <v>41302</v>
      </c>
      <c r="R9251">
        <v>33</v>
      </c>
      <c r="S9251">
        <v>64</v>
      </c>
    </row>
    <row r="9252" spans="1:19" x14ac:dyDescent="0.35">
      <c r="A9252">
        <v>9673</v>
      </c>
      <c r="B9252" t="s">
        <v>41040</v>
      </c>
      <c r="C9252" t="s">
        <v>42</v>
      </c>
      <c r="D9252" t="s">
        <v>41041</v>
      </c>
      <c r="E9252" t="e" cm="1">
        <f t="array" ref="E9252">- ATORVASTATIN CALCIUM</f>
        <v>#NAME?</v>
      </c>
      <c r="F9252" t="s">
        <v>41042</v>
      </c>
      <c r="G9252" t="s">
        <v>7219</v>
      </c>
      <c r="H9252" t="s">
        <v>41012</v>
      </c>
      <c r="I9252" t="s">
        <v>41013</v>
      </c>
      <c r="J9252" t="s">
        <v>20983</v>
      </c>
      <c r="K9252" t="s">
        <v>41014</v>
      </c>
      <c r="L9252" t="s">
        <v>41015</v>
      </c>
      <c r="M9252" t="s">
        <v>46</v>
      </c>
      <c r="N9252" t="s">
        <v>41291</v>
      </c>
      <c r="O9252" t="s">
        <v>41017</v>
      </c>
      <c r="P9252" t="s">
        <v>41018</v>
      </c>
      <c r="Q9252" t="s">
        <v>41302</v>
      </c>
      <c r="R9252">
        <v>33</v>
      </c>
      <c r="S9252">
        <v>64</v>
      </c>
    </row>
    <row r="9253" spans="1:19" x14ac:dyDescent="0.35">
      <c r="A9253">
        <v>7883</v>
      </c>
      <c r="B9253" t="s">
        <v>41310</v>
      </c>
      <c r="C9253" t="s">
        <v>20</v>
      </c>
      <c r="D9253" t="s">
        <v>41311</v>
      </c>
      <c r="E9253" t="s">
        <v>41312</v>
      </c>
      <c r="F9253" t="s">
        <v>41313</v>
      </c>
      <c r="H9253" t="s">
        <v>41314</v>
      </c>
      <c r="I9253" t="s">
        <v>41315</v>
      </c>
      <c r="J9253" t="s">
        <v>107</v>
      </c>
      <c r="M9253" t="s">
        <v>38</v>
      </c>
      <c r="N9253" t="s">
        <v>41316</v>
      </c>
      <c r="O9253" t="s">
        <v>41317</v>
      </c>
      <c r="P9253" t="s">
        <v>41316</v>
      </c>
      <c r="Q9253" t="s">
        <v>41318</v>
      </c>
      <c r="R9253">
        <v>33</v>
      </c>
      <c r="S9253">
        <v>64</v>
      </c>
    </row>
    <row r="9254" spans="1:19" x14ac:dyDescent="0.35">
      <c r="A9254">
        <v>3524</v>
      </c>
      <c r="B9254" t="s">
        <v>41303</v>
      </c>
      <c r="C9254" t="s">
        <v>42</v>
      </c>
      <c r="D9254" t="s">
        <v>41304</v>
      </c>
      <c r="E9254" t="e" cm="1">
        <f t="array" ref="E9254">- METOCLOPRAMIDE HYDROCHLORIDE MONOHYDRATE</f>
        <v>#NAME?</v>
      </c>
      <c r="F9254" t="s">
        <v>29727</v>
      </c>
      <c r="G9254" t="s">
        <v>26259</v>
      </c>
      <c r="H9254" t="s">
        <v>41305</v>
      </c>
      <c r="I9254" t="s">
        <v>41306</v>
      </c>
      <c r="J9254" t="s">
        <v>8086</v>
      </c>
      <c r="K9254" t="s">
        <v>41307</v>
      </c>
      <c r="L9254" t="s">
        <v>41308</v>
      </c>
      <c r="M9254" t="s">
        <v>46</v>
      </c>
      <c r="N9254" t="s">
        <v>2774</v>
      </c>
      <c r="O9254" t="s">
        <v>41165</v>
      </c>
      <c r="P9254" t="s">
        <v>37801</v>
      </c>
      <c r="Q9254" t="s">
        <v>41309</v>
      </c>
      <c r="R9254">
        <v>33</v>
      </c>
      <c r="S9254">
        <v>64</v>
      </c>
    </row>
    <row r="9255" spans="1:19" x14ac:dyDescent="0.35">
      <c r="A9255">
        <v>9672</v>
      </c>
      <c r="B9255" t="s">
        <v>41040</v>
      </c>
      <c r="C9255" t="s">
        <v>42</v>
      </c>
      <c r="D9255" t="s">
        <v>41041</v>
      </c>
      <c r="E9255" t="e" cm="1">
        <f t="array" ref="E9255">- ATORVASTATIN CALCIUM</f>
        <v>#NAME?</v>
      </c>
      <c r="F9255" t="s">
        <v>41042</v>
      </c>
      <c r="G9255" t="s">
        <v>7219</v>
      </c>
      <c r="H9255" t="s">
        <v>41012</v>
      </c>
      <c r="I9255" t="s">
        <v>41013</v>
      </c>
      <c r="J9255" t="s">
        <v>20983</v>
      </c>
      <c r="K9255" t="s">
        <v>41014</v>
      </c>
      <c r="L9255" t="s">
        <v>41015</v>
      </c>
      <c r="M9255" t="s">
        <v>46</v>
      </c>
      <c r="N9255" t="s">
        <v>41291</v>
      </c>
      <c r="O9255" t="s">
        <v>41017</v>
      </c>
      <c r="P9255" t="s">
        <v>41018</v>
      </c>
      <c r="Q9255" t="s">
        <v>41302</v>
      </c>
      <c r="R9255">
        <v>33</v>
      </c>
      <c r="S9255">
        <v>64</v>
      </c>
    </row>
    <row r="9256" spans="1:19" x14ac:dyDescent="0.35">
      <c r="A9256">
        <v>9695</v>
      </c>
      <c r="B9256" t="s">
        <v>41009</v>
      </c>
      <c r="C9256" t="s">
        <v>42</v>
      </c>
      <c r="D9256" t="s">
        <v>41010</v>
      </c>
      <c r="E9256" t="e" cm="1">
        <f t="array" ref="E9256">- ATORVASTATIN CALCIUM</f>
        <v>#NAME?</v>
      </c>
      <c r="F9256" t="s">
        <v>41011</v>
      </c>
      <c r="G9256" t="s">
        <v>7219</v>
      </c>
      <c r="H9256" t="s">
        <v>41012</v>
      </c>
      <c r="I9256" t="s">
        <v>41013</v>
      </c>
      <c r="J9256" t="s">
        <v>20983</v>
      </c>
      <c r="K9256" t="s">
        <v>41014</v>
      </c>
      <c r="L9256" t="s">
        <v>41015</v>
      </c>
      <c r="M9256" t="s">
        <v>46</v>
      </c>
      <c r="N9256" t="s">
        <v>41291</v>
      </c>
      <c r="O9256" t="s">
        <v>41017</v>
      </c>
      <c r="P9256" t="s">
        <v>41018</v>
      </c>
      <c r="Q9256" t="s">
        <v>41302</v>
      </c>
      <c r="R9256">
        <v>33</v>
      </c>
      <c r="S9256">
        <v>64</v>
      </c>
    </row>
    <row r="9257" spans="1:19" x14ac:dyDescent="0.35">
      <c r="A9257">
        <v>1821</v>
      </c>
      <c r="B9257" t="s">
        <v>39908</v>
      </c>
      <c r="C9257" t="s">
        <v>850</v>
      </c>
      <c r="D9257" t="s">
        <v>41319</v>
      </c>
      <c r="E9257" t="e" cm="1">
        <f t="array" ref="E9257">- Camphora</f>
        <v>#NAME?</v>
      </c>
      <c r="F9257" t="s">
        <v>41320</v>
      </c>
      <c r="G9257" t="s">
        <v>22320</v>
      </c>
      <c r="H9257" t="s">
        <v>16824</v>
      </c>
      <c r="I9257" t="s">
        <v>41321</v>
      </c>
      <c r="J9257" t="s">
        <v>41322</v>
      </c>
      <c r="L9257" t="s">
        <v>41323</v>
      </c>
      <c r="M9257" t="s">
        <v>2115</v>
      </c>
      <c r="N9257" t="s">
        <v>3633</v>
      </c>
      <c r="O9257" t="s">
        <v>41324</v>
      </c>
      <c r="P9257" t="s">
        <v>39916</v>
      </c>
      <c r="Q9257" t="s">
        <v>41325</v>
      </c>
      <c r="R9257">
        <v>33</v>
      </c>
      <c r="S9257">
        <v>64</v>
      </c>
    </row>
    <row r="9258" spans="1:19" x14ac:dyDescent="0.35">
      <c r="A9258">
        <v>9109</v>
      </c>
      <c r="B9258" t="s">
        <v>41326</v>
      </c>
      <c r="C9258" t="s">
        <v>42</v>
      </c>
      <c r="D9258" t="s">
        <v>41327</v>
      </c>
      <c r="E9258" t="e" cm="1">
        <f t="array" ref="E9258">- NIFEDIPINE</f>
        <v>#NAME?</v>
      </c>
      <c r="F9258" t="s">
        <v>41328</v>
      </c>
      <c r="G9258" t="s">
        <v>41329</v>
      </c>
      <c r="H9258" t="s">
        <v>41330</v>
      </c>
      <c r="I9258" t="s">
        <v>41331</v>
      </c>
      <c r="J9258" t="s">
        <v>1093</v>
      </c>
      <c r="K9258" t="s">
        <v>21998</v>
      </c>
      <c r="L9258" t="s">
        <v>41332</v>
      </c>
      <c r="M9258" t="s">
        <v>46</v>
      </c>
      <c r="N9258" t="s">
        <v>22000</v>
      </c>
      <c r="O9258" t="s">
        <v>41333</v>
      </c>
      <c r="P9258" t="s">
        <v>41334</v>
      </c>
      <c r="Q9258" t="s">
        <v>41335</v>
      </c>
      <c r="R9258">
        <v>33</v>
      </c>
      <c r="S9258">
        <v>64</v>
      </c>
    </row>
    <row r="9259" spans="1:19" x14ac:dyDescent="0.35">
      <c r="A9259">
        <v>9108</v>
      </c>
      <c r="B9259" t="s">
        <v>41326</v>
      </c>
      <c r="C9259" t="s">
        <v>42</v>
      </c>
      <c r="D9259" t="s">
        <v>41336</v>
      </c>
      <c r="E9259" t="e" cm="1">
        <f t="array" ref="E9259">- NIFEDIPINE</f>
        <v>#NAME?</v>
      </c>
      <c r="F9259" t="s">
        <v>41337</v>
      </c>
      <c r="G9259" t="s">
        <v>41329</v>
      </c>
      <c r="H9259" t="s">
        <v>41338</v>
      </c>
      <c r="I9259" t="s">
        <v>41339</v>
      </c>
      <c r="J9259" t="s">
        <v>1093</v>
      </c>
      <c r="K9259" t="s">
        <v>21998</v>
      </c>
      <c r="L9259" t="s">
        <v>41332</v>
      </c>
      <c r="M9259" t="s">
        <v>46</v>
      </c>
      <c r="N9259" t="s">
        <v>22000</v>
      </c>
      <c r="O9259" t="s">
        <v>41340</v>
      </c>
      <c r="P9259" t="s">
        <v>41341</v>
      </c>
      <c r="Q9259" t="s">
        <v>41342</v>
      </c>
      <c r="R9259">
        <v>33</v>
      </c>
      <c r="S9259">
        <v>64</v>
      </c>
    </row>
    <row r="9260" spans="1:19" x14ac:dyDescent="0.35">
      <c r="A9260">
        <v>9839</v>
      </c>
      <c r="B9260" t="s">
        <v>41297</v>
      </c>
      <c r="C9260" t="s">
        <v>42</v>
      </c>
      <c r="D9260" t="s">
        <v>41298</v>
      </c>
      <c r="E9260" t="e" cm="1">
        <f t="array" ref="E9260">- ATORVASTATIN CALCIUM</f>
        <v>#NAME?</v>
      </c>
      <c r="F9260" t="s">
        <v>41299</v>
      </c>
      <c r="G9260" t="s">
        <v>6310</v>
      </c>
      <c r="H9260" t="s">
        <v>41012</v>
      </c>
      <c r="I9260" t="s">
        <v>41013</v>
      </c>
      <c r="J9260" t="s">
        <v>2100</v>
      </c>
      <c r="K9260" t="s">
        <v>41014</v>
      </c>
      <c r="L9260" t="s">
        <v>41015</v>
      </c>
      <c r="M9260" t="s">
        <v>46</v>
      </c>
      <c r="N9260" t="s">
        <v>41291</v>
      </c>
      <c r="O9260" t="s">
        <v>41017</v>
      </c>
      <c r="P9260" t="s">
        <v>41300</v>
      </c>
      <c r="Q9260" t="s">
        <v>41301</v>
      </c>
      <c r="R9260">
        <v>33</v>
      </c>
      <c r="S9260">
        <v>64</v>
      </c>
    </row>
    <row r="9261" spans="1:19" x14ac:dyDescent="0.35">
      <c r="A9261">
        <v>9836</v>
      </c>
      <c r="B9261" t="s">
        <v>41343</v>
      </c>
      <c r="C9261" t="s">
        <v>42</v>
      </c>
      <c r="D9261" t="s">
        <v>41344</v>
      </c>
      <c r="E9261" t="e" cm="1">
        <f t="array" ref="E9261">- ATORVASTATIN CALCIUM</f>
        <v>#NAME?</v>
      </c>
      <c r="F9261" t="s">
        <v>41345</v>
      </c>
      <c r="G9261" t="s">
        <v>4420</v>
      </c>
      <c r="H9261" t="s">
        <v>41012</v>
      </c>
      <c r="I9261" t="s">
        <v>41013</v>
      </c>
      <c r="J9261" t="s">
        <v>2100</v>
      </c>
      <c r="K9261" t="s">
        <v>41014</v>
      </c>
      <c r="L9261" t="s">
        <v>41015</v>
      </c>
      <c r="M9261" t="s">
        <v>46</v>
      </c>
      <c r="N9261" t="s">
        <v>41291</v>
      </c>
      <c r="O9261" t="s">
        <v>41017</v>
      </c>
      <c r="P9261" t="s">
        <v>41300</v>
      </c>
      <c r="Q9261" t="s">
        <v>41301</v>
      </c>
      <c r="R9261">
        <v>33</v>
      </c>
      <c r="S9261">
        <v>64</v>
      </c>
    </row>
    <row r="9262" spans="1:19" x14ac:dyDescent="0.35">
      <c r="A9262">
        <v>9835</v>
      </c>
      <c r="B9262" t="s">
        <v>41346</v>
      </c>
      <c r="C9262" t="s">
        <v>42</v>
      </c>
      <c r="D9262" t="s">
        <v>41347</v>
      </c>
      <c r="E9262" t="e" cm="1">
        <f t="array" ref="E9262">- ATORVASTATIN CALCIUM</f>
        <v>#NAME?</v>
      </c>
      <c r="F9262" t="s">
        <v>41348</v>
      </c>
      <c r="G9262" t="s">
        <v>4420</v>
      </c>
      <c r="H9262" t="s">
        <v>41012</v>
      </c>
      <c r="I9262" t="s">
        <v>41013</v>
      </c>
      <c r="J9262" t="s">
        <v>2100</v>
      </c>
      <c r="K9262" t="s">
        <v>41014</v>
      </c>
      <c r="L9262" t="s">
        <v>41015</v>
      </c>
      <c r="M9262" t="s">
        <v>46</v>
      </c>
      <c r="N9262" t="s">
        <v>41291</v>
      </c>
      <c r="O9262" t="s">
        <v>41017</v>
      </c>
      <c r="P9262" t="s">
        <v>41300</v>
      </c>
      <c r="Q9262" t="s">
        <v>41301</v>
      </c>
      <c r="R9262">
        <v>33</v>
      </c>
      <c r="S9262">
        <v>64</v>
      </c>
    </row>
    <row r="9263" spans="1:19" x14ac:dyDescent="0.35">
      <c r="A9263">
        <v>5753</v>
      </c>
      <c r="B9263" t="s">
        <v>41141</v>
      </c>
      <c r="C9263" t="s">
        <v>42</v>
      </c>
      <c r="D9263" t="s">
        <v>41142</v>
      </c>
      <c r="E9263" t="e" cm="1">
        <f t="array" ref="E9263">- CIPROFLOXACIN HYDROCHLORIDE MONOHYDRATE</f>
        <v>#NAME?</v>
      </c>
      <c r="F9263" t="s">
        <v>41143</v>
      </c>
      <c r="G9263" t="s">
        <v>60</v>
      </c>
      <c r="H9263" t="s">
        <v>1055</v>
      </c>
      <c r="I9263" t="s">
        <v>41144</v>
      </c>
      <c r="J9263" t="s">
        <v>727</v>
      </c>
      <c r="K9263" t="s">
        <v>31021</v>
      </c>
      <c r="L9263" t="s">
        <v>41145</v>
      </c>
      <c r="M9263" t="s">
        <v>291</v>
      </c>
      <c r="N9263" t="s">
        <v>10679</v>
      </c>
      <c r="O9263" t="s">
        <v>41102</v>
      </c>
      <c r="P9263" t="s">
        <v>41146</v>
      </c>
      <c r="Q9263" t="s">
        <v>41349</v>
      </c>
      <c r="R9263">
        <v>33</v>
      </c>
      <c r="S9263">
        <v>64</v>
      </c>
    </row>
    <row r="9264" spans="1:19" x14ac:dyDescent="0.35">
      <c r="A9264">
        <v>3127</v>
      </c>
      <c r="B9264" t="s">
        <v>41350</v>
      </c>
      <c r="C9264" t="s">
        <v>42</v>
      </c>
      <c r="D9264" t="s">
        <v>41351</v>
      </c>
      <c r="E9264" t="s">
        <v>41352</v>
      </c>
      <c r="F9264" t="s">
        <v>41353</v>
      </c>
      <c r="G9264" t="s">
        <v>737</v>
      </c>
      <c r="H9264" t="s">
        <v>2724</v>
      </c>
      <c r="I9264" t="s">
        <v>39331</v>
      </c>
      <c r="J9264" t="s">
        <v>1181</v>
      </c>
      <c r="K9264" t="s">
        <v>39333</v>
      </c>
      <c r="L9264" t="s">
        <v>39334</v>
      </c>
    </row>
    <row r="9265" spans="1:19" x14ac:dyDescent="0.35">
      <c r="A9265">
        <v>3278</v>
      </c>
      <c r="B9265" t="s">
        <v>40502</v>
      </c>
      <c r="C9265" t="s">
        <v>42</v>
      </c>
      <c r="D9265" t="s">
        <v>40503</v>
      </c>
      <c r="E9265" t="e" cm="1">
        <f t="array" ref="E9265">- SIMETHICONE. DRIED ALUMINIUM HYDROXIDE GEL. MAGNESIUM HYDROXIDE</f>
        <v>#NAME?</v>
      </c>
      <c r="F9265" t="s">
        <v>40504</v>
      </c>
      <c r="G9265" t="s">
        <v>40505</v>
      </c>
      <c r="H9265" t="s">
        <v>40506</v>
      </c>
      <c r="I9265" t="s">
        <v>40415</v>
      </c>
      <c r="J9265" t="s">
        <v>21307</v>
      </c>
      <c r="K9265" t="s">
        <v>11904</v>
      </c>
      <c r="L9265" t="s">
        <v>11905</v>
      </c>
      <c r="M9265" t="s">
        <v>340</v>
      </c>
      <c r="N9265" t="s">
        <v>31821</v>
      </c>
      <c r="O9265" t="s">
        <v>40416</v>
      </c>
      <c r="P9265" t="s">
        <v>40417</v>
      </c>
      <c r="Q9265" t="s">
        <v>41354</v>
      </c>
      <c r="R9265">
        <v>33</v>
      </c>
      <c r="S9265">
        <v>64</v>
      </c>
    </row>
    <row r="9266" spans="1:19" x14ac:dyDescent="0.35">
      <c r="A9266">
        <v>9358</v>
      </c>
      <c r="B9266" t="s">
        <v>6301</v>
      </c>
      <c r="C9266" t="s">
        <v>42</v>
      </c>
      <c r="D9266" t="s">
        <v>41355</v>
      </c>
      <c r="E9266" t="s">
        <v>6303</v>
      </c>
      <c r="F9266" t="s">
        <v>41356</v>
      </c>
      <c r="G9266" t="s">
        <v>40510</v>
      </c>
      <c r="H9266" t="s">
        <v>1322</v>
      </c>
      <c r="I9266" t="s">
        <v>41357</v>
      </c>
      <c r="J9266" t="s">
        <v>12671</v>
      </c>
      <c r="L9266" t="s">
        <v>39884</v>
      </c>
      <c r="M9266" t="s">
        <v>46</v>
      </c>
      <c r="N9266" t="s">
        <v>6304</v>
      </c>
      <c r="O9266" t="s">
        <v>41358</v>
      </c>
      <c r="P9266" t="s">
        <v>9317</v>
      </c>
      <c r="Q9266" t="s">
        <v>41359</v>
      </c>
      <c r="R9266">
        <v>33</v>
      </c>
      <c r="S9266">
        <v>64</v>
      </c>
    </row>
    <row r="9267" spans="1:19" x14ac:dyDescent="0.35">
      <c r="A9267">
        <v>9357</v>
      </c>
      <c r="B9267" t="s">
        <v>6301</v>
      </c>
      <c r="C9267" t="s">
        <v>42</v>
      </c>
      <c r="D9267" t="s">
        <v>41360</v>
      </c>
      <c r="E9267" t="s">
        <v>6303</v>
      </c>
      <c r="F9267" t="s">
        <v>41361</v>
      </c>
      <c r="G9267" t="s">
        <v>40510</v>
      </c>
      <c r="H9267" t="s">
        <v>1322</v>
      </c>
      <c r="I9267" t="s">
        <v>41357</v>
      </c>
      <c r="J9267" t="s">
        <v>12671</v>
      </c>
      <c r="L9267" t="s">
        <v>39884</v>
      </c>
      <c r="M9267" t="s">
        <v>46</v>
      </c>
      <c r="N9267" t="s">
        <v>6304</v>
      </c>
      <c r="O9267" t="s">
        <v>41358</v>
      </c>
      <c r="P9267" t="s">
        <v>9317</v>
      </c>
      <c r="Q9267" t="s">
        <v>41359</v>
      </c>
      <c r="R9267">
        <v>33</v>
      </c>
      <c r="S9267">
        <v>64</v>
      </c>
    </row>
    <row r="9268" spans="1:19" x14ac:dyDescent="0.35">
      <c r="A9268">
        <v>9356</v>
      </c>
      <c r="B9268" t="s">
        <v>6301</v>
      </c>
      <c r="C9268" t="s">
        <v>42</v>
      </c>
      <c r="D9268" t="s">
        <v>41362</v>
      </c>
      <c r="E9268" t="s">
        <v>6303</v>
      </c>
      <c r="F9268" t="s">
        <v>41363</v>
      </c>
      <c r="G9268" t="s">
        <v>40510</v>
      </c>
      <c r="H9268" t="s">
        <v>1322</v>
      </c>
      <c r="I9268" t="s">
        <v>41357</v>
      </c>
      <c r="J9268" t="s">
        <v>12671</v>
      </c>
      <c r="L9268" t="s">
        <v>39884</v>
      </c>
      <c r="M9268" t="s">
        <v>46</v>
      </c>
      <c r="N9268" t="s">
        <v>6304</v>
      </c>
      <c r="O9268" t="s">
        <v>41358</v>
      </c>
      <c r="P9268" t="s">
        <v>41364</v>
      </c>
      <c r="Q9268" t="s">
        <v>41365</v>
      </c>
      <c r="R9268">
        <v>33</v>
      </c>
      <c r="S9268">
        <v>64</v>
      </c>
    </row>
    <row r="9269" spans="1:19" x14ac:dyDescent="0.35">
      <c r="A9269">
        <v>2047</v>
      </c>
      <c r="B9269" t="s">
        <v>41366</v>
      </c>
      <c r="C9269" t="s">
        <v>20</v>
      </c>
      <c r="D9269" t="s">
        <v>41367</v>
      </c>
      <c r="E9269" t="s">
        <v>41368</v>
      </c>
      <c r="F9269" t="s">
        <v>41369</v>
      </c>
      <c r="G9269" t="s">
        <v>6663</v>
      </c>
      <c r="I9269" t="s">
        <v>41370</v>
      </c>
      <c r="J9269" t="s">
        <v>41371</v>
      </c>
      <c r="M9269" t="s">
        <v>271</v>
      </c>
      <c r="N9269" t="s">
        <v>41372</v>
      </c>
      <c r="O9269" t="s">
        <v>41373</v>
      </c>
      <c r="P9269" t="s">
        <v>41374</v>
      </c>
      <c r="Q9269" t="s">
        <v>41375</v>
      </c>
      <c r="R9269">
        <v>33</v>
      </c>
      <c r="S9269">
        <v>64</v>
      </c>
    </row>
    <row r="9270" spans="1:19" x14ac:dyDescent="0.35">
      <c r="A9270">
        <v>2048</v>
      </c>
      <c r="B9270" t="s">
        <v>41366</v>
      </c>
      <c r="C9270" t="s">
        <v>20</v>
      </c>
      <c r="D9270" t="s">
        <v>41367</v>
      </c>
      <c r="E9270" t="s">
        <v>41368</v>
      </c>
      <c r="F9270" t="s">
        <v>41369</v>
      </c>
      <c r="G9270" t="s">
        <v>6663</v>
      </c>
      <c r="I9270" t="s">
        <v>41370</v>
      </c>
      <c r="J9270" t="s">
        <v>41371</v>
      </c>
      <c r="M9270" t="s">
        <v>271</v>
      </c>
      <c r="N9270" t="s">
        <v>41372</v>
      </c>
      <c r="O9270" t="s">
        <v>41373</v>
      </c>
      <c r="P9270" t="s">
        <v>41374</v>
      </c>
      <c r="Q9270" t="s">
        <v>41375</v>
      </c>
      <c r="R9270">
        <v>33</v>
      </c>
      <c r="S9270">
        <v>64</v>
      </c>
    </row>
    <row r="9271" spans="1:19" x14ac:dyDescent="0.35">
      <c r="A9271">
        <v>3263</v>
      </c>
      <c r="B9271" t="s">
        <v>41376</v>
      </c>
      <c r="C9271" t="s">
        <v>42</v>
      </c>
      <c r="D9271" t="s">
        <v>41377</v>
      </c>
      <c r="E9271" t="e" cm="1">
        <f t="array" ref="E9271">- DRIED ALUMINIUM HYDROXIDE GEL. MAGNESIUM HYDROXIDE. SIMETHICONE</f>
        <v>#NAME?</v>
      </c>
      <c r="F9271" t="s">
        <v>41378</v>
      </c>
      <c r="G9271" t="s">
        <v>40140</v>
      </c>
      <c r="H9271" t="s">
        <v>40141</v>
      </c>
    </row>
    <row r="9272" spans="1:19" x14ac:dyDescent="0.35">
      <c r="A9272">
        <v>9708</v>
      </c>
      <c r="B9272" t="s">
        <v>41379</v>
      </c>
      <c r="C9272" t="s">
        <v>42</v>
      </c>
      <c r="D9272" t="s">
        <v>41380</v>
      </c>
      <c r="E9272" t="e" cm="1">
        <f t="array" ref="E9272">- ATORVASTATIN CALCIUM</f>
        <v>#NAME?</v>
      </c>
      <c r="F9272" t="s">
        <v>41381</v>
      </c>
      <c r="G9272" t="s">
        <v>7219</v>
      </c>
      <c r="H9272" t="s">
        <v>41012</v>
      </c>
      <c r="I9272" t="s">
        <v>41013</v>
      </c>
      <c r="J9272" t="s">
        <v>2100</v>
      </c>
      <c r="K9272" t="s">
        <v>41014</v>
      </c>
      <c r="L9272" t="s">
        <v>41015</v>
      </c>
      <c r="M9272" t="s">
        <v>46</v>
      </c>
      <c r="N9272" t="s">
        <v>41291</v>
      </c>
      <c r="O9272" t="s">
        <v>41017</v>
      </c>
      <c r="P9272" t="s">
        <v>41292</v>
      </c>
      <c r="Q9272" t="s">
        <v>41293</v>
      </c>
      <c r="R9272">
        <v>33</v>
      </c>
      <c r="S9272">
        <v>64</v>
      </c>
    </row>
    <row r="9273" spans="1:19" x14ac:dyDescent="0.35">
      <c r="A9273">
        <v>9822</v>
      </c>
      <c r="B9273" t="s">
        <v>41382</v>
      </c>
      <c r="C9273" t="s">
        <v>42</v>
      </c>
      <c r="D9273" t="s">
        <v>41383</v>
      </c>
      <c r="E9273" t="e" cm="1">
        <f t="array" ref="E9273">- ATORVASTATIN CALCIUM</f>
        <v>#NAME?</v>
      </c>
      <c r="F9273" t="s">
        <v>41384</v>
      </c>
      <c r="G9273" t="s">
        <v>4420</v>
      </c>
      <c r="H9273" t="s">
        <v>41012</v>
      </c>
      <c r="I9273" t="s">
        <v>41013</v>
      </c>
      <c r="J9273" t="s">
        <v>27449</v>
      </c>
      <c r="K9273" t="s">
        <v>41014</v>
      </c>
      <c r="L9273" t="s">
        <v>41015</v>
      </c>
      <c r="M9273" t="s">
        <v>291</v>
      </c>
      <c r="N9273" t="s">
        <v>41291</v>
      </c>
      <c r="O9273" t="s">
        <v>41017</v>
      </c>
      <c r="P9273" t="s">
        <v>41385</v>
      </c>
      <c r="Q9273" t="s">
        <v>41386</v>
      </c>
      <c r="R9273">
        <v>33</v>
      </c>
      <c r="S9273">
        <v>64</v>
      </c>
    </row>
    <row r="9274" spans="1:19" x14ac:dyDescent="0.35">
      <c r="A9274">
        <v>3205</v>
      </c>
      <c r="B9274" t="s">
        <v>41387</v>
      </c>
      <c r="C9274" t="s">
        <v>42</v>
      </c>
      <c r="D9274" t="s">
        <v>41388</v>
      </c>
      <c r="E9274" t="e" cm="1">
        <f t="array" ref="E9274">- DRIED ALUMINIUM HYDROXIDE GEL. MAGNESIUM HYDROXIDE. SIMETHICONE</f>
        <v>#NAME?</v>
      </c>
      <c r="F9274" t="s">
        <v>41389</v>
      </c>
      <c r="G9274" t="s">
        <v>737</v>
      </c>
      <c r="H9274" t="s">
        <v>41390</v>
      </c>
      <c r="I9274" t="s">
        <v>41391</v>
      </c>
      <c r="J9274" t="s">
        <v>34947</v>
      </c>
      <c r="K9274" t="s">
        <v>34948</v>
      </c>
      <c r="L9274" t="s">
        <v>41392</v>
      </c>
      <c r="M9274" t="s">
        <v>46</v>
      </c>
      <c r="N9274" t="s">
        <v>14839</v>
      </c>
      <c r="O9274" t="s">
        <v>41393</v>
      </c>
      <c r="P9274" t="s">
        <v>10617</v>
      </c>
      <c r="Q9274" t="s">
        <v>41394</v>
      </c>
      <c r="R9274">
        <v>33</v>
      </c>
      <c r="S9274">
        <v>64</v>
      </c>
    </row>
    <row r="9275" spans="1:19" x14ac:dyDescent="0.35">
      <c r="A9275">
        <v>8881</v>
      </c>
      <c r="B9275" t="s">
        <v>41395</v>
      </c>
      <c r="C9275" t="s">
        <v>42</v>
      </c>
      <c r="D9275" t="s">
        <v>41396</v>
      </c>
      <c r="E9275" t="e" cm="1">
        <f t="array" ref="E9275">- INSULIN GLARGINE. LIXISENATIDE</f>
        <v>#NAME?</v>
      </c>
      <c r="F9275" t="s">
        <v>41397</v>
      </c>
      <c r="G9275" t="s">
        <v>41398</v>
      </c>
      <c r="H9275" t="s">
        <v>41399</v>
      </c>
      <c r="I9275" t="s">
        <v>41400</v>
      </c>
      <c r="J9275" t="s">
        <v>41401</v>
      </c>
      <c r="K9275" t="s">
        <v>21503</v>
      </c>
      <c r="L9275" t="s">
        <v>41402</v>
      </c>
      <c r="M9275" t="s">
        <v>2403</v>
      </c>
      <c r="N9275" t="s">
        <v>41403</v>
      </c>
      <c r="O9275" t="s">
        <v>41404</v>
      </c>
      <c r="P9275" t="s">
        <v>41405</v>
      </c>
      <c r="Q9275" t="s">
        <v>41406</v>
      </c>
      <c r="R9275">
        <v>33</v>
      </c>
      <c r="S9275">
        <v>64</v>
      </c>
    </row>
    <row r="9276" spans="1:19" x14ac:dyDescent="0.35">
      <c r="A9276">
        <v>9700</v>
      </c>
      <c r="B9276" t="s">
        <v>41028</v>
      </c>
      <c r="C9276" t="s">
        <v>42</v>
      </c>
      <c r="D9276" t="s">
        <v>41029</v>
      </c>
      <c r="E9276" t="e" cm="1">
        <f t="array" ref="E9276">- ATORVASTATIN CALCIUM</f>
        <v>#NAME?</v>
      </c>
      <c r="F9276" t="s">
        <v>41030</v>
      </c>
      <c r="G9276" t="s">
        <v>7219</v>
      </c>
      <c r="H9276" t="s">
        <v>41012</v>
      </c>
      <c r="I9276" t="s">
        <v>41013</v>
      </c>
      <c r="J9276" t="s">
        <v>20983</v>
      </c>
      <c r="K9276" t="s">
        <v>41014</v>
      </c>
      <c r="L9276" t="s">
        <v>41015</v>
      </c>
      <c r="M9276" t="s">
        <v>46</v>
      </c>
      <c r="N9276" t="s">
        <v>41291</v>
      </c>
      <c r="O9276" t="s">
        <v>41017</v>
      </c>
      <c r="P9276" t="s">
        <v>41018</v>
      </c>
      <c r="Q9276" t="s">
        <v>41302</v>
      </c>
      <c r="R9276">
        <v>33</v>
      </c>
      <c r="S9276">
        <v>64</v>
      </c>
    </row>
    <row r="9277" spans="1:19" x14ac:dyDescent="0.35">
      <c r="A9277">
        <v>9699</v>
      </c>
      <c r="B9277" t="s">
        <v>41028</v>
      </c>
      <c r="C9277" t="s">
        <v>42</v>
      </c>
      <c r="D9277" t="s">
        <v>41029</v>
      </c>
      <c r="E9277" t="e" cm="1">
        <f t="array" ref="E9277">- ATORVASTATIN CALCIUM</f>
        <v>#NAME?</v>
      </c>
      <c r="F9277" t="s">
        <v>41030</v>
      </c>
      <c r="G9277" t="s">
        <v>7219</v>
      </c>
      <c r="H9277" t="s">
        <v>41012</v>
      </c>
      <c r="I9277" t="s">
        <v>41013</v>
      </c>
      <c r="J9277" t="s">
        <v>20983</v>
      </c>
      <c r="K9277" t="s">
        <v>41014</v>
      </c>
      <c r="L9277" t="s">
        <v>41015</v>
      </c>
      <c r="M9277" t="s">
        <v>46</v>
      </c>
      <c r="N9277" t="s">
        <v>41291</v>
      </c>
      <c r="O9277" t="s">
        <v>41017</v>
      </c>
      <c r="P9277" t="s">
        <v>41018</v>
      </c>
      <c r="Q9277" t="s">
        <v>41302</v>
      </c>
      <c r="R9277">
        <v>33</v>
      </c>
      <c r="S9277">
        <v>64</v>
      </c>
    </row>
    <row r="9278" spans="1:19" x14ac:dyDescent="0.35">
      <c r="A9278">
        <v>8882</v>
      </c>
      <c r="B9278" t="s">
        <v>41395</v>
      </c>
      <c r="C9278" t="s">
        <v>42</v>
      </c>
      <c r="D9278" t="s">
        <v>41396</v>
      </c>
      <c r="E9278" t="e" cm="1">
        <f t="array" ref="E9278">- INSULIN GLARGINE. LIXISENATIDE</f>
        <v>#NAME?</v>
      </c>
      <c r="F9278" t="s">
        <v>41397</v>
      </c>
      <c r="G9278" t="s">
        <v>41398</v>
      </c>
      <c r="H9278" t="s">
        <v>41399</v>
      </c>
      <c r="I9278" t="s">
        <v>41400</v>
      </c>
      <c r="J9278" t="s">
        <v>41401</v>
      </c>
      <c r="K9278" t="s">
        <v>21503</v>
      </c>
      <c r="L9278" t="s">
        <v>41402</v>
      </c>
      <c r="M9278" t="s">
        <v>2403</v>
      </c>
      <c r="N9278" t="s">
        <v>41403</v>
      </c>
      <c r="O9278" t="s">
        <v>41404</v>
      </c>
      <c r="P9278" t="s">
        <v>41405</v>
      </c>
      <c r="Q9278" t="s">
        <v>41406</v>
      </c>
      <c r="R9278">
        <v>33</v>
      </c>
      <c r="S9278">
        <v>64</v>
      </c>
    </row>
    <row r="9279" spans="1:19" x14ac:dyDescent="0.35">
      <c r="A9279">
        <v>9837</v>
      </c>
      <c r="B9279" t="s">
        <v>41343</v>
      </c>
      <c r="C9279" t="s">
        <v>42</v>
      </c>
      <c r="D9279" t="s">
        <v>41344</v>
      </c>
      <c r="E9279" t="e" cm="1">
        <f t="array" ref="E9279">- ATORVASTATIN CALCIUM</f>
        <v>#NAME?</v>
      </c>
      <c r="F9279" t="s">
        <v>41345</v>
      </c>
      <c r="G9279" t="s">
        <v>4420</v>
      </c>
      <c r="H9279" t="s">
        <v>41012</v>
      </c>
      <c r="I9279" t="s">
        <v>41013</v>
      </c>
      <c r="J9279" t="s">
        <v>2100</v>
      </c>
      <c r="K9279" t="s">
        <v>41014</v>
      </c>
      <c r="L9279" t="s">
        <v>41015</v>
      </c>
      <c r="M9279" t="s">
        <v>46</v>
      </c>
      <c r="N9279" t="s">
        <v>41291</v>
      </c>
      <c r="O9279" t="s">
        <v>41017</v>
      </c>
      <c r="P9279" t="s">
        <v>41300</v>
      </c>
      <c r="Q9279" t="s">
        <v>41301</v>
      </c>
      <c r="R9279">
        <v>33</v>
      </c>
      <c r="S9279">
        <v>64</v>
      </c>
    </row>
    <row r="9280" spans="1:19" x14ac:dyDescent="0.35">
      <c r="A9280">
        <v>5628</v>
      </c>
      <c r="B9280" t="s">
        <v>41407</v>
      </c>
      <c r="C9280" t="s">
        <v>42</v>
      </c>
      <c r="D9280" t="s">
        <v>41408</v>
      </c>
      <c r="E9280" t="e" cm="1">
        <f t="array" ref="E9280">- CIPROFLOXACIN HYDROCHLORIDE</f>
        <v>#NAME?</v>
      </c>
      <c r="F9280" t="s">
        <v>41409</v>
      </c>
      <c r="G9280" t="s">
        <v>3083</v>
      </c>
      <c r="H9280" t="s">
        <v>1055</v>
      </c>
      <c r="I9280" t="s">
        <v>41144</v>
      </c>
      <c r="J9280" t="s">
        <v>1087</v>
      </c>
      <c r="K9280" t="s">
        <v>41410</v>
      </c>
      <c r="L9280" t="s">
        <v>41101</v>
      </c>
      <c r="M9280" t="s">
        <v>291</v>
      </c>
      <c r="N9280" t="s">
        <v>1624</v>
      </c>
      <c r="O9280" t="s">
        <v>41102</v>
      </c>
      <c r="P9280" t="s">
        <v>41411</v>
      </c>
      <c r="Q9280" t="s">
        <v>41412</v>
      </c>
      <c r="R9280">
        <v>33</v>
      </c>
      <c r="S9280">
        <v>64</v>
      </c>
    </row>
    <row r="9281" spans="1:19" x14ac:dyDescent="0.35">
      <c r="A9281">
        <v>5415</v>
      </c>
      <c r="B9281" t="s">
        <v>41413</v>
      </c>
      <c r="C9281" t="s">
        <v>42</v>
      </c>
      <c r="D9281" t="s">
        <v>41414</v>
      </c>
      <c r="E9281" t="e" cm="1">
        <f t="array" ref="E9281">- KETOCONAZOLE</f>
        <v>#NAME?</v>
      </c>
      <c r="F9281" t="s">
        <v>41415</v>
      </c>
      <c r="G9281" t="s">
        <v>41416</v>
      </c>
      <c r="H9281" t="s">
        <v>41417</v>
      </c>
      <c r="I9281" t="s">
        <v>41418</v>
      </c>
      <c r="J9281" t="s">
        <v>9720</v>
      </c>
      <c r="K9281" t="s">
        <v>3952</v>
      </c>
      <c r="L9281" t="s">
        <v>41419</v>
      </c>
      <c r="M9281" t="s">
        <v>1289</v>
      </c>
      <c r="N9281" t="s">
        <v>533</v>
      </c>
      <c r="O9281" t="s">
        <v>41420</v>
      </c>
      <c r="P9281" t="s">
        <v>41421</v>
      </c>
      <c r="Q9281" t="s">
        <v>41422</v>
      </c>
      <c r="R9281">
        <v>33</v>
      </c>
      <c r="S9281">
        <v>64</v>
      </c>
    </row>
    <row r="9282" spans="1:19" x14ac:dyDescent="0.35">
      <c r="A9282">
        <v>7142</v>
      </c>
      <c r="B9282" t="s">
        <v>2067</v>
      </c>
      <c r="C9282" t="s">
        <v>850</v>
      </c>
      <c r="D9282" t="s">
        <v>41423</v>
      </c>
      <c r="E9282" t="s">
        <v>2069</v>
      </c>
      <c r="F9282" t="s">
        <v>41424</v>
      </c>
      <c r="H9282" t="s">
        <v>41425</v>
      </c>
      <c r="I9282" t="s">
        <v>41426</v>
      </c>
      <c r="J9282" t="s">
        <v>24155</v>
      </c>
      <c r="M9282" t="s">
        <v>1289</v>
      </c>
      <c r="N9282" t="s">
        <v>2071</v>
      </c>
      <c r="O9282" t="s">
        <v>41427</v>
      </c>
      <c r="P9282" t="s">
        <v>2072</v>
      </c>
      <c r="Q9282" t="s">
        <v>41428</v>
      </c>
      <c r="R9282">
        <v>33</v>
      </c>
      <c r="S9282">
        <v>64</v>
      </c>
    </row>
    <row r="9283" spans="1:19" x14ac:dyDescent="0.35">
      <c r="A9283">
        <v>9638</v>
      </c>
      <c r="B9283" t="s">
        <v>6301</v>
      </c>
      <c r="C9283" t="s">
        <v>42</v>
      </c>
      <c r="D9283" t="s">
        <v>41429</v>
      </c>
      <c r="E9283" t="s">
        <v>6303</v>
      </c>
      <c r="F9283" t="s">
        <v>41430</v>
      </c>
      <c r="G9283" t="s">
        <v>39512</v>
      </c>
      <c r="I9283" t="s">
        <v>39804</v>
      </c>
      <c r="J9283" t="s">
        <v>20229</v>
      </c>
      <c r="M9283" t="s">
        <v>46</v>
      </c>
      <c r="N9283" t="s">
        <v>6304</v>
      </c>
      <c r="O9283" t="s">
        <v>39806</v>
      </c>
      <c r="P9283" t="s">
        <v>41431</v>
      </c>
      <c r="Q9283" t="s">
        <v>41432</v>
      </c>
      <c r="R9283">
        <v>33</v>
      </c>
      <c r="S9283">
        <v>64</v>
      </c>
    </row>
    <row r="9284" spans="1:19" x14ac:dyDescent="0.35">
      <c r="A9284">
        <v>9644</v>
      </c>
      <c r="B9284" t="s">
        <v>6301</v>
      </c>
      <c r="C9284" t="s">
        <v>42</v>
      </c>
      <c r="D9284" t="s">
        <v>41433</v>
      </c>
      <c r="E9284" t="s">
        <v>6303</v>
      </c>
      <c r="F9284" t="s">
        <v>41434</v>
      </c>
      <c r="G9284" t="s">
        <v>31602</v>
      </c>
      <c r="I9284" t="s">
        <v>41435</v>
      </c>
      <c r="J9284" t="s">
        <v>334</v>
      </c>
      <c r="L9284" t="s">
        <v>34021</v>
      </c>
      <c r="M9284" t="s">
        <v>46</v>
      </c>
      <c r="N9284" t="s">
        <v>6304</v>
      </c>
      <c r="O9284" t="s">
        <v>41436</v>
      </c>
      <c r="P9284" t="s">
        <v>41437</v>
      </c>
      <c r="Q9284" t="s">
        <v>41438</v>
      </c>
      <c r="R9284">
        <v>33</v>
      </c>
      <c r="S9284">
        <v>64</v>
      </c>
    </row>
    <row r="9285" spans="1:19" x14ac:dyDescent="0.35">
      <c r="A9285">
        <v>2984</v>
      </c>
      <c r="B9285" t="s">
        <v>41439</v>
      </c>
      <c r="C9285" t="s">
        <v>42</v>
      </c>
      <c r="D9285" t="s">
        <v>41440</v>
      </c>
      <c r="E9285" t="e" cm="1">
        <f t="array" ref="E9285">- IBUPROFEN</f>
        <v>#NAME?</v>
      </c>
      <c r="F9285" t="s">
        <v>41441</v>
      </c>
      <c r="G9285" t="s">
        <v>3083</v>
      </c>
      <c r="H9285" t="s">
        <v>38980</v>
      </c>
      <c r="I9285" t="s">
        <v>41442</v>
      </c>
      <c r="J9285" t="s">
        <v>334</v>
      </c>
      <c r="M9285" t="s">
        <v>340</v>
      </c>
      <c r="N9285" t="s">
        <v>383</v>
      </c>
      <c r="O9285" t="s">
        <v>41443</v>
      </c>
      <c r="P9285" t="s">
        <v>5296</v>
      </c>
      <c r="Q9285" t="s">
        <v>41444</v>
      </c>
      <c r="R9285">
        <v>33</v>
      </c>
      <c r="S9285">
        <v>64</v>
      </c>
    </row>
    <row r="9286" spans="1:19" x14ac:dyDescent="0.35">
      <c r="A9286">
        <v>5627</v>
      </c>
      <c r="B9286" t="s">
        <v>41407</v>
      </c>
      <c r="C9286" t="s">
        <v>42</v>
      </c>
      <c r="D9286" t="s">
        <v>41408</v>
      </c>
      <c r="E9286" t="e" cm="1">
        <f t="array" ref="E9286">- CIPROFLOXACIN HYDROCHLORIDE</f>
        <v>#NAME?</v>
      </c>
      <c r="F9286" t="s">
        <v>41409</v>
      </c>
      <c r="G9286" t="s">
        <v>3083</v>
      </c>
      <c r="H9286" t="s">
        <v>1055</v>
      </c>
      <c r="I9286" t="s">
        <v>41144</v>
      </c>
      <c r="J9286" t="s">
        <v>1087</v>
      </c>
      <c r="K9286" t="s">
        <v>41410</v>
      </c>
      <c r="L9286" t="s">
        <v>41101</v>
      </c>
      <c r="M9286" t="s">
        <v>291</v>
      </c>
      <c r="N9286" t="s">
        <v>1624</v>
      </c>
      <c r="O9286" t="s">
        <v>41102</v>
      </c>
      <c r="P9286" t="s">
        <v>41411</v>
      </c>
      <c r="Q9286" t="s">
        <v>41412</v>
      </c>
      <c r="R9286">
        <v>33</v>
      </c>
      <c r="S9286">
        <v>64</v>
      </c>
    </row>
    <row r="9287" spans="1:19" x14ac:dyDescent="0.35">
      <c r="A9287">
        <v>9666</v>
      </c>
      <c r="B9287" t="s">
        <v>41445</v>
      </c>
      <c r="C9287" t="s">
        <v>42</v>
      </c>
      <c r="D9287" t="s">
        <v>41446</v>
      </c>
      <c r="E9287" t="e" cm="1">
        <f t="array" ref="E9287">- ATORVASTATIN CALCIUM</f>
        <v>#NAME?</v>
      </c>
      <c r="F9287" t="s">
        <v>41447</v>
      </c>
      <c r="G9287" t="s">
        <v>7219</v>
      </c>
      <c r="H9287" t="s">
        <v>41012</v>
      </c>
      <c r="I9287" t="s">
        <v>41013</v>
      </c>
      <c r="J9287" t="s">
        <v>45</v>
      </c>
      <c r="K9287" t="s">
        <v>41014</v>
      </c>
      <c r="L9287" t="s">
        <v>41015</v>
      </c>
      <c r="M9287" t="s">
        <v>46</v>
      </c>
      <c r="N9287" t="s">
        <v>41291</v>
      </c>
      <c r="O9287" t="s">
        <v>41017</v>
      </c>
      <c r="P9287" t="s">
        <v>41016</v>
      </c>
      <c r="Q9287" t="s">
        <v>41448</v>
      </c>
      <c r="R9287">
        <v>33</v>
      </c>
      <c r="S9287">
        <v>64</v>
      </c>
    </row>
    <row r="9288" spans="1:19" x14ac:dyDescent="0.35">
      <c r="A9288">
        <v>9665</v>
      </c>
      <c r="B9288" t="s">
        <v>41445</v>
      </c>
      <c r="C9288" t="s">
        <v>42</v>
      </c>
      <c r="D9288" t="s">
        <v>41446</v>
      </c>
      <c r="E9288" t="e" cm="1">
        <f t="array" ref="E9288">- ATORVASTATIN CALCIUM</f>
        <v>#NAME?</v>
      </c>
      <c r="F9288" t="s">
        <v>41447</v>
      </c>
      <c r="G9288" t="s">
        <v>7219</v>
      </c>
      <c r="H9288" t="s">
        <v>41012</v>
      </c>
      <c r="I9288" t="s">
        <v>41013</v>
      </c>
      <c r="J9288" t="s">
        <v>45</v>
      </c>
      <c r="K9288" t="s">
        <v>41014</v>
      </c>
      <c r="L9288" t="s">
        <v>41015</v>
      </c>
      <c r="M9288" t="s">
        <v>46</v>
      </c>
      <c r="N9288" t="s">
        <v>41291</v>
      </c>
      <c r="O9288" t="s">
        <v>41017</v>
      </c>
      <c r="P9288" t="s">
        <v>41016</v>
      </c>
      <c r="Q9288" t="s">
        <v>41448</v>
      </c>
      <c r="R9288">
        <v>33</v>
      </c>
      <c r="S9288">
        <v>64</v>
      </c>
    </row>
    <row r="9289" spans="1:19" x14ac:dyDescent="0.35">
      <c r="A9289">
        <v>9633</v>
      </c>
      <c r="B9289" t="s">
        <v>6301</v>
      </c>
      <c r="C9289" t="s">
        <v>42</v>
      </c>
      <c r="D9289" t="s">
        <v>41449</v>
      </c>
      <c r="E9289" t="s">
        <v>6303</v>
      </c>
      <c r="F9289" t="s">
        <v>41450</v>
      </c>
      <c r="G9289" t="s">
        <v>31602</v>
      </c>
      <c r="I9289" t="s">
        <v>41435</v>
      </c>
      <c r="J9289" t="s">
        <v>334</v>
      </c>
      <c r="L9289" t="s">
        <v>34021</v>
      </c>
      <c r="M9289" t="s">
        <v>46</v>
      </c>
      <c r="N9289" t="s">
        <v>6304</v>
      </c>
      <c r="O9289" t="s">
        <v>41436</v>
      </c>
      <c r="P9289" t="s">
        <v>41451</v>
      </c>
      <c r="Q9289" t="s">
        <v>41452</v>
      </c>
      <c r="R9289">
        <v>33</v>
      </c>
      <c r="S9289">
        <v>64</v>
      </c>
    </row>
    <row r="9290" spans="1:19" x14ac:dyDescent="0.35">
      <c r="A9290">
        <v>9660</v>
      </c>
      <c r="B9290" t="s">
        <v>41453</v>
      </c>
      <c r="C9290" t="s">
        <v>42</v>
      </c>
      <c r="D9290" t="s">
        <v>41454</v>
      </c>
      <c r="E9290" t="e" cm="1">
        <f t="array" ref="E9290">- ATORVASTATIN CALCIUM</f>
        <v>#NAME?</v>
      </c>
      <c r="F9290" t="s">
        <v>41455</v>
      </c>
      <c r="G9290" t="s">
        <v>7219</v>
      </c>
      <c r="H9290" t="s">
        <v>41012</v>
      </c>
      <c r="I9290" t="s">
        <v>41013</v>
      </c>
      <c r="J9290" t="s">
        <v>45</v>
      </c>
      <c r="K9290" t="s">
        <v>41014</v>
      </c>
      <c r="L9290" t="s">
        <v>41015</v>
      </c>
      <c r="M9290" t="s">
        <v>46</v>
      </c>
      <c r="N9290" t="s">
        <v>41291</v>
      </c>
      <c r="O9290" t="s">
        <v>41017</v>
      </c>
      <c r="P9290" t="s">
        <v>41016</v>
      </c>
      <c r="Q9290" t="s">
        <v>41448</v>
      </c>
      <c r="R9290">
        <v>33</v>
      </c>
      <c r="S9290">
        <v>64</v>
      </c>
    </row>
    <row r="9291" spans="1:19" x14ac:dyDescent="0.35">
      <c r="A9291">
        <v>6508</v>
      </c>
      <c r="B9291" t="s">
        <v>41456</v>
      </c>
      <c r="C9291" t="s">
        <v>42</v>
      </c>
      <c r="D9291" t="s">
        <v>41457</v>
      </c>
      <c r="E9291" t="e" cm="1">
        <f t="array" ref="E9291">- AMOXICILLIN TRIHYDRATE</f>
        <v>#NAME?</v>
      </c>
      <c r="F9291" t="s">
        <v>41458</v>
      </c>
      <c r="H9291" t="s">
        <v>41459</v>
      </c>
      <c r="I9291" t="s">
        <v>41460</v>
      </c>
      <c r="J9291" t="s">
        <v>334</v>
      </c>
      <c r="K9291" t="s">
        <v>41461</v>
      </c>
      <c r="L9291" t="s">
        <v>31963</v>
      </c>
      <c r="M9291" t="s">
        <v>271</v>
      </c>
      <c r="N9291" t="s">
        <v>1523</v>
      </c>
      <c r="O9291" t="s">
        <v>41462</v>
      </c>
      <c r="P9291" t="s">
        <v>31965</v>
      </c>
      <c r="Q9291" t="s">
        <v>41463</v>
      </c>
      <c r="R9291">
        <v>33</v>
      </c>
      <c r="S9291">
        <v>64</v>
      </c>
    </row>
    <row r="9292" spans="1:19" x14ac:dyDescent="0.35">
      <c r="A9292">
        <v>5308</v>
      </c>
      <c r="B9292" t="s">
        <v>40747</v>
      </c>
      <c r="C9292" t="s">
        <v>42</v>
      </c>
      <c r="D9292" t="s">
        <v>40748</v>
      </c>
      <c r="E9292" t="e" cm="1">
        <f t="array" ref="E9292">- DIPHENHYDRAMINE HYDROCHLORIDE. UNDECYLENIC ACID. SULFUR</f>
        <v>#NAME?</v>
      </c>
      <c r="F9292" t="s">
        <v>40749</v>
      </c>
      <c r="G9292" t="s">
        <v>40750</v>
      </c>
      <c r="H9292" t="s">
        <v>40751</v>
      </c>
      <c r="I9292" t="s">
        <v>40752</v>
      </c>
      <c r="J9292" t="s">
        <v>40753</v>
      </c>
      <c r="K9292" t="s">
        <v>40754</v>
      </c>
      <c r="L9292" t="s">
        <v>40755</v>
      </c>
      <c r="M9292" t="s">
        <v>1289</v>
      </c>
      <c r="N9292" t="s">
        <v>41464</v>
      </c>
      <c r="O9292" t="s">
        <v>40756</v>
      </c>
      <c r="P9292" t="s">
        <v>40757</v>
      </c>
      <c r="Q9292" t="s">
        <v>41465</v>
      </c>
      <c r="R9292">
        <v>33</v>
      </c>
      <c r="S9292">
        <v>64</v>
      </c>
    </row>
    <row r="9293" spans="1:19" x14ac:dyDescent="0.35">
      <c r="A9293">
        <v>9621</v>
      </c>
      <c r="B9293" t="s">
        <v>6301</v>
      </c>
      <c r="C9293" t="s">
        <v>42</v>
      </c>
      <c r="D9293" t="s">
        <v>41466</v>
      </c>
      <c r="E9293" t="s">
        <v>6303</v>
      </c>
      <c r="F9293" t="s">
        <v>41467</v>
      </c>
      <c r="G9293" t="s">
        <v>41468</v>
      </c>
      <c r="I9293" t="s">
        <v>41469</v>
      </c>
      <c r="J9293" t="s">
        <v>41470</v>
      </c>
      <c r="L9293" t="s">
        <v>34021</v>
      </c>
      <c r="M9293" t="s">
        <v>46</v>
      </c>
      <c r="N9293" t="s">
        <v>6304</v>
      </c>
      <c r="O9293" t="s">
        <v>41471</v>
      </c>
      <c r="P9293" t="s">
        <v>41472</v>
      </c>
      <c r="Q9293" t="s">
        <v>41473</v>
      </c>
      <c r="R9293">
        <v>33</v>
      </c>
      <c r="S9293">
        <v>64</v>
      </c>
    </row>
    <row r="9294" spans="1:19" x14ac:dyDescent="0.35">
      <c r="A9294">
        <v>6143</v>
      </c>
      <c r="B9294" t="s">
        <v>41267</v>
      </c>
      <c r="C9294" t="s">
        <v>42</v>
      </c>
      <c r="D9294" t="s">
        <v>41268</v>
      </c>
      <c r="E9294" t="e" cm="1">
        <f t="array" ref="E9294">- CIPROFLOXACIN HCL MONOHYDRATE</f>
        <v>#NAME?</v>
      </c>
      <c r="F9294" t="s">
        <v>41269</v>
      </c>
      <c r="G9294" t="s">
        <v>3083</v>
      </c>
      <c r="H9294" t="s">
        <v>1055</v>
      </c>
      <c r="I9294" t="s">
        <v>41099</v>
      </c>
      <c r="J9294" t="s">
        <v>284</v>
      </c>
      <c r="K9294" t="s">
        <v>41196</v>
      </c>
      <c r="L9294" t="s">
        <v>41101</v>
      </c>
      <c r="M9294" t="s">
        <v>291</v>
      </c>
      <c r="N9294" t="s">
        <v>38551</v>
      </c>
      <c r="O9294" t="s">
        <v>41102</v>
      </c>
      <c r="P9294" t="s">
        <v>41270</v>
      </c>
      <c r="Q9294" t="s">
        <v>41474</v>
      </c>
      <c r="R9294">
        <v>33</v>
      </c>
      <c r="S9294">
        <v>64</v>
      </c>
    </row>
    <row r="9295" spans="1:19" x14ac:dyDescent="0.35">
      <c r="A9295">
        <v>9661</v>
      </c>
      <c r="B9295" t="s">
        <v>41453</v>
      </c>
      <c r="C9295" t="s">
        <v>42</v>
      </c>
      <c r="D9295" t="s">
        <v>41454</v>
      </c>
      <c r="E9295" t="e" cm="1">
        <f t="array" ref="E9295">- ATORVASTATIN CALCIUM</f>
        <v>#NAME?</v>
      </c>
      <c r="F9295" t="s">
        <v>41455</v>
      </c>
      <c r="G9295" t="s">
        <v>7219</v>
      </c>
      <c r="H9295" t="s">
        <v>41012</v>
      </c>
      <c r="I9295" t="s">
        <v>41013</v>
      </c>
      <c r="J9295" t="s">
        <v>45</v>
      </c>
      <c r="K9295" t="s">
        <v>41014</v>
      </c>
      <c r="L9295" t="s">
        <v>41015</v>
      </c>
      <c r="M9295" t="s">
        <v>46</v>
      </c>
      <c r="N9295" t="s">
        <v>41291</v>
      </c>
      <c r="O9295" t="s">
        <v>41017</v>
      </c>
      <c r="P9295" t="s">
        <v>41016</v>
      </c>
      <c r="Q9295" t="s">
        <v>41448</v>
      </c>
      <c r="R9295">
        <v>33</v>
      </c>
      <c r="S9295">
        <v>64</v>
      </c>
    </row>
    <row r="9296" spans="1:19" x14ac:dyDescent="0.35">
      <c r="A9296">
        <v>7401</v>
      </c>
      <c r="B9296" t="s">
        <v>41475</v>
      </c>
      <c r="C9296" t="s">
        <v>42</v>
      </c>
      <c r="D9296" t="s">
        <v>41476</v>
      </c>
      <c r="E9296" t="e" cm="1">
        <f t="array" ref="E9296">- THIAMINE NITRATE. PYRIDOXINE HYDROCHLORIDE. KOMBINASI-CYANOCOBALAMIN</f>
        <v>#NAME?</v>
      </c>
      <c r="F9296" t="s">
        <v>41477</v>
      </c>
      <c r="G9296" t="s">
        <v>1258</v>
      </c>
      <c r="H9296" t="s">
        <v>9899</v>
      </c>
      <c r="I9296" t="s">
        <v>41478</v>
      </c>
      <c r="J9296" t="s">
        <v>41479</v>
      </c>
      <c r="K9296" t="s">
        <v>3952</v>
      </c>
      <c r="L9296" t="s">
        <v>9901</v>
      </c>
      <c r="M9296" t="s">
        <v>46</v>
      </c>
      <c r="N9296" t="s">
        <v>41480</v>
      </c>
      <c r="O9296" t="s">
        <v>41481</v>
      </c>
      <c r="P9296" t="s">
        <v>41482</v>
      </c>
      <c r="Q9296" t="s">
        <v>41483</v>
      </c>
      <c r="R9296">
        <v>34</v>
      </c>
      <c r="S9296">
        <v>64</v>
      </c>
    </row>
    <row r="9297" spans="1:19" x14ac:dyDescent="0.35">
      <c r="A9297">
        <v>9710</v>
      </c>
      <c r="B9297" t="s">
        <v>41484</v>
      </c>
      <c r="C9297" t="s">
        <v>42</v>
      </c>
      <c r="D9297" t="s">
        <v>41485</v>
      </c>
      <c r="E9297" t="e" cm="1">
        <f t="array" ref="E9297">- ATORVASTATIN CALCIUM TRIHYDRATE</f>
        <v>#NAME?</v>
      </c>
      <c r="F9297" t="s">
        <v>41486</v>
      </c>
      <c r="G9297" t="s">
        <v>4420</v>
      </c>
      <c r="H9297" t="s">
        <v>41012</v>
      </c>
      <c r="I9297" t="s">
        <v>41013</v>
      </c>
      <c r="J9297" t="s">
        <v>45</v>
      </c>
      <c r="K9297" t="s">
        <v>41014</v>
      </c>
      <c r="L9297" t="s">
        <v>41015</v>
      </c>
      <c r="M9297" t="s">
        <v>46</v>
      </c>
      <c r="N9297" t="s">
        <v>23115</v>
      </c>
      <c r="O9297" t="s">
        <v>41017</v>
      </c>
      <c r="P9297" t="s">
        <v>41094</v>
      </c>
      <c r="Q9297" t="s">
        <v>41487</v>
      </c>
      <c r="R9297">
        <v>34</v>
      </c>
      <c r="S9297">
        <v>64</v>
      </c>
    </row>
    <row r="9298" spans="1:19" x14ac:dyDescent="0.35">
      <c r="A9298">
        <v>9344</v>
      </c>
      <c r="B9298" t="s">
        <v>6301</v>
      </c>
      <c r="C9298" t="s">
        <v>42</v>
      </c>
      <c r="D9298" t="s">
        <v>41488</v>
      </c>
      <c r="E9298" t="s">
        <v>6303</v>
      </c>
      <c r="F9298" t="s">
        <v>41489</v>
      </c>
      <c r="G9298" t="s">
        <v>40510</v>
      </c>
      <c r="H9298" t="s">
        <v>1322</v>
      </c>
      <c r="I9298" t="s">
        <v>41357</v>
      </c>
      <c r="J9298" t="s">
        <v>12671</v>
      </c>
      <c r="L9298" t="s">
        <v>39884</v>
      </c>
      <c r="M9298" t="s">
        <v>46</v>
      </c>
      <c r="N9298" t="s">
        <v>6304</v>
      </c>
      <c r="O9298" t="s">
        <v>41358</v>
      </c>
      <c r="P9298" t="s">
        <v>41490</v>
      </c>
      <c r="Q9298" t="s">
        <v>41491</v>
      </c>
      <c r="R9298">
        <v>34</v>
      </c>
      <c r="S9298">
        <v>64</v>
      </c>
    </row>
    <row r="9299" spans="1:19" x14ac:dyDescent="0.35">
      <c r="A9299">
        <v>9716</v>
      </c>
      <c r="B9299" t="s">
        <v>41492</v>
      </c>
      <c r="C9299" t="s">
        <v>42</v>
      </c>
      <c r="D9299" t="s">
        <v>41493</v>
      </c>
      <c r="E9299" t="e" cm="1">
        <f t="array" ref="E9299">- ATORVASTATIN CALCIUM TRIHYDRATE</f>
        <v>#NAME?</v>
      </c>
      <c r="F9299" t="s">
        <v>41494</v>
      </c>
      <c r="H9299" t="s">
        <v>41012</v>
      </c>
      <c r="I9299" t="s">
        <v>41013</v>
      </c>
      <c r="J9299" t="s">
        <v>1136</v>
      </c>
      <c r="K9299" t="s">
        <v>41014</v>
      </c>
      <c r="L9299" t="s">
        <v>41015</v>
      </c>
      <c r="M9299" t="s">
        <v>46</v>
      </c>
      <c r="N9299" t="s">
        <v>23115</v>
      </c>
      <c r="O9299" t="s">
        <v>41017</v>
      </c>
      <c r="P9299" t="s">
        <v>41016</v>
      </c>
      <c r="Q9299" t="s">
        <v>41495</v>
      </c>
      <c r="R9299">
        <v>34</v>
      </c>
      <c r="S9299">
        <v>64</v>
      </c>
    </row>
    <row r="9300" spans="1:19" x14ac:dyDescent="0.35">
      <c r="A9300">
        <v>9718</v>
      </c>
      <c r="B9300" t="s">
        <v>41496</v>
      </c>
      <c r="C9300" t="s">
        <v>42</v>
      </c>
      <c r="D9300" t="s">
        <v>41497</v>
      </c>
      <c r="E9300" t="e" cm="1">
        <f t="array" ref="E9300">- ATORVASTATIN CALCIUM TRIHYDRATE</f>
        <v>#NAME?</v>
      </c>
      <c r="F9300" t="s">
        <v>41498</v>
      </c>
      <c r="G9300" t="s">
        <v>4420</v>
      </c>
      <c r="H9300" t="s">
        <v>41012</v>
      </c>
      <c r="I9300" t="s">
        <v>41013</v>
      </c>
      <c r="J9300" t="s">
        <v>599</v>
      </c>
      <c r="K9300" t="s">
        <v>41014</v>
      </c>
      <c r="L9300" t="s">
        <v>41015</v>
      </c>
      <c r="M9300" t="s">
        <v>291</v>
      </c>
      <c r="N9300" t="s">
        <v>23115</v>
      </c>
      <c r="O9300" t="s">
        <v>41017</v>
      </c>
      <c r="P9300" t="s">
        <v>41184</v>
      </c>
      <c r="Q9300" t="s">
        <v>41499</v>
      </c>
      <c r="R9300">
        <v>34</v>
      </c>
      <c r="S9300">
        <v>64</v>
      </c>
    </row>
    <row r="9301" spans="1:19" x14ac:dyDescent="0.35">
      <c r="A9301">
        <v>5659</v>
      </c>
      <c r="B9301" t="s">
        <v>41500</v>
      </c>
      <c r="C9301" t="s">
        <v>42</v>
      </c>
      <c r="D9301" t="s">
        <v>41501</v>
      </c>
      <c r="E9301" t="e" cm="1">
        <f t="array" ref="E9301">- CIPROFLOXACIN HYDROCHLORIDE</f>
        <v>#NAME?</v>
      </c>
      <c r="F9301" t="s">
        <v>41502</v>
      </c>
      <c r="G9301" t="s">
        <v>3083</v>
      </c>
      <c r="H9301" t="s">
        <v>1055</v>
      </c>
      <c r="I9301" t="s">
        <v>41503</v>
      </c>
      <c r="J9301" t="s">
        <v>515</v>
      </c>
      <c r="K9301" t="s">
        <v>41504</v>
      </c>
      <c r="L9301" t="s">
        <v>41131</v>
      </c>
      <c r="M9301" t="s">
        <v>291</v>
      </c>
      <c r="N9301" t="s">
        <v>1624</v>
      </c>
      <c r="O9301" t="s">
        <v>41505</v>
      </c>
      <c r="P9301" t="s">
        <v>41506</v>
      </c>
      <c r="Q9301" t="s">
        <v>41507</v>
      </c>
      <c r="R9301">
        <v>34</v>
      </c>
      <c r="S9301">
        <v>64</v>
      </c>
    </row>
    <row r="9302" spans="1:19" x14ac:dyDescent="0.35">
      <c r="A9302">
        <v>9817</v>
      </c>
      <c r="B9302" t="s">
        <v>41508</v>
      </c>
      <c r="C9302" t="s">
        <v>42</v>
      </c>
      <c r="D9302" t="s">
        <v>41509</v>
      </c>
      <c r="E9302" t="e" cm="1">
        <f t="array" ref="E9302">- ROSUVASTATIN CALCIUM</f>
        <v>#NAME?</v>
      </c>
      <c r="F9302" t="s">
        <v>41510</v>
      </c>
      <c r="G9302" t="s">
        <v>60</v>
      </c>
      <c r="H9302" t="s">
        <v>41511</v>
      </c>
      <c r="I9302" t="s">
        <v>41512</v>
      </c>
      <c r="J9302" t="s">
        <v>45</v>
      </c>
      <c r="K9302" t="s">
        <v>34829</v>
      </c>
      <c r="L9302" t="s">
        <v>41513</v>
      </c>
      <c r="M9302" t="s">
        <v>46</v>
      </c>
      <c r="N9302" t="s">
        <v>2308</v>
      </c>
      <c r="O9302" t="s">
        <v>41514</v>
      </c>
      <c r="P9302" t="s">
        <v>41515</v>
      </c>
      <c r="Q9302" t="s">
        <v>41516</v>
      </c>
      <c r="R9302">
        <v>34</v>
      </c>
      <c r="S9302">
        <v>64</v>
      </c>
    </row>
    <row r="9303" spans="1:19" x14ac:dyDescent="0.35">
      <c r="A9303">
        <v>7303</v>
      </c>
      <c r="B9303" t="s">
        <v>41517</v>
      </c>
      <c r="C9303" t="s">
        <v>42</v>
      </c>
      <c r="D9303" t="s">
        <v>41518</v>
      </c>
      <c r="E9303" t="e" cm="1">
        <f t="array" ref="E9303">- ALPHA-KETO-ISOLEUCIN CALCIUM. ALPHA-KETO-LEUCINE CALCIUM. ALPHA-KETO-PHENYLALANINE CALCIUM. ALPHA-KETO-VALINE CALCIUM. TRYPTOPHAN. ALPHA-HYDROXY METHIONINE CALCIUM. HISTIDINE. TYROSINE. LYSINE ACETATE. THREONINE</f>
        <v>#NAME?</v>
      </c>
      <c r="F9303" t="s">
        <v>41519</v>
      </c>
      <c r="G9303" t="s">
        <v>41520</v>
      </c>
      <c r="H9303" t="s">
        <v>41521</v>
      </c>
      <c r="I9303" t="s">
        <v>41522</v>
      </c>
      <c r="J9303" t="s">
        <v>908</v>
      </c>
      <c r="K9303" t="s">
        <v>41523</v>
      </c>
      <c r="L9303" t="s">
        <v>41524</v>
      </c>
      <c r="M9303" t="s">
        <v>291</v>
      </c>
      <c r="N9303" t="s">
        <v>41525</v>
      </c>
      <c r="O9303" t="s">
        <v>41526</v>
      </c>
      <c r="P9303" t="s">
        <v>41527</v>
      </c>
      <c r="Q9303" t="s">
        <v>41528</v>
      </c>
      <c r="R9303">
        <v>34</v>
      </c>
      <c r="S9303">
        <v>64</v>
      </c>
    </row>
    <row r="9304" spans="1:19" x14ac:dyDescent="0.35">
      <c r="A9304">
        <v>9816</v>
      </c>
      <c r="B9304" t="s">
        <v>41529</v>
      </c>
      <c r="C9304" t="s">
        <v>42</v>
      </c>
      <c r="D9304" t="s">
        <v>41530</v>
      </c>
      <c r="E9304" t="e" cm="1">
        <f t="array" ref="E9304">- ROSUVASTATIN CALCIUM</f>
        <v>#NAME?</v>
      </c>
      <c r="F9304" t="s">
        <v>41510</v>
      </c>
      <c r="G9304" t="s">
        <v>60</v>
      </c>
      <c r="H9304" t="s">
        <v>41511</v>
      </c>
      <c r="I9304" t="s">
        <v>41512</v>
      </c>
      <c r="J9304" t="s">
        <v>45</v>
      </c>
      <c r="K9304" t="s">
        <v>34829</v>
      </c>
      <c r="L9304" t="s">
        <v>41513</v>
      </c>
      <c r="M9304" t="s">
        <v>46</v>
      </c>
      <c r="N9304" t="s">
        <v>2308</v>
      </c>
      <c r="O9304" t="s">
        <v>41514</v>
      </c>
      <c r="P9304" t="s">
        <v>41515</v>
      </c>
      <c r="Q9304" t="s">
        <v>41516</v>
      </c>
      <c r="R9304">
        <v>34</v>
      </c>
      <c r="S9304">
        <v>64</v>
      </c>
    </row>
    <row r="9305" spans="1:19" x14ac:dyDescent="0.35">
      <c r="A9305">
        <v>5856</v>
      </c>
      <c r="B9305" t="s">
        <v>41531</v>
      </c>
      <c r="C9305" t="s">
        <v>42</v>
      </c>
      <c r="D9305" t="s">
        <v>41532</v>
      </c>
      <c r="E9305" t="e" cm="1">
        <f t="array" ref="E9305">- AMOXICILLIN TRIHYDRATE</f>
        <v>#NAME?</v>
      </c>
      <c r="F9305" t="s">
        <v>41533</v>
      </c>
      <c r="G9305" t="s">
        <v>2241</v>
      </c>
      <c r="H9305" t="s">
        <v>33147</v>
      </c>
      <c r="I9305" t="s">
        <v>41534</v>
      </c>
      <c r="J9305" t="s">
        <v>20350</v>
      </c>
      <c r="K9305" t="s">
        <v>41535</v>
      </c>
      <c r="L9305" t="s">
        <v>41536</v>
      </c>
      <c r="M9305" t="s">
        <v>46</v>
      </c>
      <c r="N9305" t="s">
        <v>1523</v>
      </c>
      <c r="O9305" t="s">
        <v>41537</v>
      </c>
      <c r="P9305" t="s">
        <v>41538</v>
      </c>
      <c r="Q9305" t="s">
        <v>41539</v>
      </c>
      <c r="R9305">
        <v>34</v>
      </c>
      <c r="S9305">
        <v>64</v>
      </c>
    </row>
    <row r="9306" spans="1:19" x14ac:dyDescent="0.35">
      <c r="A9306">
        <v>9743</v>
      </c>
      <c r="B9306" t="s">
        <v>41540</v>
      </c>
      <c r="C9306" t="s">
        <v>42</v>
      </c>
      <c r="D9306" t="s">
        <v>41541</v>
      </c>
      <c r="E9306" t="e" cm="1">
        <f t="array" ref="E9306">- ATORVASTATIN CALCIUM TRIHYDRATE</f>
        <v>#NAME?</v>
      </c>
      <c r="F9306" s="1">
        <v>231200</v>
      </c>
      <c r="G9306" t="s">
        <v>4420</v>
      </c>
      <c r="H9306" t="s">
        <v>41012</v>
      </c>
      <c r="I9306" t="s">
        <v>41013</v>
      </c>
      <c r="J9306" t="s">
        <v>14381</v>
      </c>
      <c r="K9306" t="s">
        <v>41014</v>
      </c>
      <c r="L9306" t="s">
        <v>41015</v>
      </c>
      <c r="M9306" t="s">
        <v>291</v>
      </c>
      <c r="N9306" t="s">
        <v>23115</v>
      </c>
      <c r="O9306" t="s">
        <v>41017</v>
      </c>
      <c r="P9306" t="s">
        <v>41542</v>
      </c>
      <c r="Q9306" t="s">
        <v>41543</v>
      </c>
      <c r="R9306">
        <v>34</v>
      </c>
      <c r="S9306">
        <v>64</v>
      </c>
    </row>
    <row r="9307" spans="1:19" x14ac:dyDescent="0.35">
      <c r="A9307">
        <v>9715</v>
      </c>
      <c r="B9307" t="s">
        <v>41492</v>
      </c>
      <c r="C9307" t="s">
        <v>42</v>
      </c>
      <c r="D9307" t="s">
        <v>41493</v>
      </c>
      <c r="E9307" t="e" cm="1">
        <f t="array" ref="E9307">- ATORVASTATIN CALCIUM TRIHYDRATE</f>
        <v>#NAME?</v>
      </c>
      <c r="F9307" t="s">
        <v>41494</v>
      </c>
      <c r="H9307" t="s">
        <v>41012</v>
      </c>
      <c r="I9307" t="s">
        <v>41013</v>
      </c>
      <c r="J9307" t="s">
        <v>1136</v>
      </c>
      <c r="K9307" t="s">
        <v>41014</v>
      </c>
      <c r="L9307" t="s">
        <v>41015</v>
      </c>
      <c r="M9307" t="s">
        <v>46</v>
      </c>
      <c r="N9307" t="s">
        <v>23115</v>
      </c>
      <c r="O9307" t="s">
        <v>41017</v>
      </c>
      <c r="P9307" t="s">
        <v>41016</v>
      </c>
      <c r="Q9307" t="s">
        <v>41495</v>
      </c>
      <c r="R9307">
        <v>34</v>
      </c>
      <c r="S9307">
        <v>64</v>
      </c>
    </row>
    <row r="9308" spans="1:19" x14ac:dyDescent="0.35">
      <c r="A9308">
        <v>9831</v>
      </c>
      <c r="B9308" t="s">
        <v>41544</v>
      </c>
      <c r="C9308" t="s">
        <v>42</v>
      </c>
      <c r="D9308" t="s">
        <v>41545</v>
      </c>
      <c r="E9308" t="e" cm="1">
        <f t="array" ref="E9308">- ATORVASTATIN CALCIUM TRIHYDRATE</f>
        <v>#NAME?</v>
      </c>
      <c r="F9308" t="s">
        <v>41546</v>
      </c>
      <c r="G9308" t="s">
        <v>4420</v>
      </c>
      <c r="H9308" t="s">
        <v>41012</v>
      </c>
      <c r="I9308" t="s">
        <v>41013</v>
      </c>
      <c r="J9308" t="s">
        <v>41547</v>
      </c>
      <c r="K9308" t="s">
        <v>41014</v>
      </c>
      <c r="L9308" t="s">
        <v>41015</v>
      </c>
      <c r="M9308" t="s">
        <v>46</v>
      </c>
      <c r="N9308" t="s">
        <v>23115</v>
      </c>
      <c r="O9308" t="s">
        <v>41017</v>
      </c>
      <c r="P9308" t="s">
        <v>41548</v>
      </c>
      <c r="Q9308" t="s">
        <v>41549</v>
      </c>
      <c r="R9308">
        <v>34</v>
      </c>
      <c r="S9308">
        <v>64</v>
      </c>
    </row>
    <row r="9309" spans="1:19" x14ac:dyDescent="0.35">
      <c r="A9309">
        <v>8046</v>
      </c>
      <c r="B9309" t="s">
        <v>41550</v>
      </c>
      <c r="C9309" t="s">
        <v>42</v>
      </c>
      <c r="D9309" t="s">
        <v>41551</v>
      </c>
      <c r="E9309" t="e" cm="1">
        <f t="array" ref="E9309">- TETRACHLORODECAOXYGEN</f>
        <v>#NAME?</v>
      </c>
      <c r="F9309" t="s">
        <v>41552</v>
      </c>
      <c r="G9309" t="s">
        <v>41553</v>
      </c>
      <c r="H9309" t="s">
        <v>41554</v>
      </c>
      <c r="I9309" t="s">
        <v>41555</v>
      </c>
      <c r="J9309" t="s">
        <v>829</v>
      </c>
      <c r="K9309" t="s">
        <v>41556</v>
      </c>
      <c r="L9309" t="s">
        <v>41557</v>
      </c>
      <c r="M9309" t="s">
        <v>554</v>
      </c>
      <c r="N9309" t="s">
        <v>41558</v>
      </c>
      <c r="O9309" t="s">
        <v>41559</v>
      </c>
      <c r="P9309" t="s">
        <v>41560</v>
      </c>
      <c r="Q9309" t="s">
        <v>41561</v>
      </c>
      <c r="R9309">
        <v>34</v>
      </c>
      <c r="S9309">
        <v>64</v>
      </c>
    </row>
    <row r="9310" spans="1:19" x14ac:dyDescent="0.35">
      <c r="A9310">
        <v>8048</v>
      </c>
      <c r="B9310" t="s">
        <v>41550</v>
      </c>
      <c r="C9310" t="s">
        <v>42</v>
      </c>
      <c r="D9310" t="s">
        <v>41551</v>
      </c>
      <c r="E9310" t="e" cm="1">
        <f t="array" ref="E9310">- TETRACHLORODECAOXYGEN</f>
        <v>#NAME?</v>
      </c>
      <c r="F9310" t="s">
        <v>41562</v>
      </c>
      <c r="G9310" t="s">
        <v>41553</v>
      </c>
      <c r="H9310" t="s">
        <v>41554</v>
      </c>
      <c r="I9310" t="s">
        <v>41555</v>
      </c>
      <c r="J9310" t="s">
        <v>829</v>
      </c>
      <c r="K9310" t="s">
        <v>41556</v>
      </c>
      <c r="L9310" t="s">
        <v>41557</v>
      </c>
      <c r="M9310" t="s">
        <v>554</v>
      </c>
      <c r="N9310" t="s">
        <v>41558</v>
      </c>
      <c r="O9310" t="s">
        <v>41559</v>
      </c>
      <c r="P9310" t="s">
        <v>41560</v>
      </c>
      <c r="Q9310" t="s">
        <v>41561</v>
      </c>
      <c r="R9310">
        <v>34</v>
      </c>
      <c r="S9310">
        <v>64</v>
      </c>
    </row>
    <row r="9311" spans="1:19" x14ac:dyDescent="0.35">
      <c r="A9311">
        <v>7074</v>
      </c>
      <c r="B9311" t="s">
        <v>41563</v>
      </c>
      <c r="C9311" t="s">
        <v>850</v>
      </c>
      <c r="D9311" t="s">
        <v>41564</v>
      </c>
      <c r="E9311" t="e" cm="1">
        <f t="array" ref="E9311">- Black Seed Oil</f>
        <v>#NAME?</v>
      </c>
      <c r="F9311" t="s">
        <v>41565</v>
      </c>
      <c r="G9311" t="s">
        <v>41566</v>
      </c>
      <c r="I9311" t="s">
        <v>41567</v>
      </c>
      <c r="J9311" t="s">
        <v>41568</v>
      </c>
      <c r="L9311" t="s">
        <v>41569</v>
      </c>
      <c r="M9311" t="s">
        <v>3632</v>
      </c>
      <c r="N9311" t="s">
        <v>41570</v>
      </c>
      <c r="O9311" t="s">
        <v>41571</v>
      </c>
      <c r="P9311" t="s">
        <v>41572</v>
      </c>
      <c r="Q9311" t="s">
        <v>41573</v>
      </c>
      <c r="R9311">
        <v>34</v>
      </c>
      <c r="S9311">
        <v>64</v>
      </c>
    </row>
    <row r="9312" spans="1:19" x14ac:dyDescent="0.35">
      <c r="A9312">
        <v>3618</v>
      </c>
      <c r="B9312" t="s">
        <v>41574</v>
      </c>
      <c r="C9312" t="s">
        <v>42</v>
      </c>
      <c r="D9312" t="s">
        <v>41575</v>
      </c>
      <c r="E9312" t="e" cm="1">
        <f t="array" ref="E9312">- METOCLOPRAMIDE HYDROCHLORIDE</f>
        <v>#NAME?</v>
      </c>
      <c r="F9312" t="s">
        <v>41576</v>
      </c>
      <c r="G9312" t="s">
        <v>39405</v>
      </c>
      <c r="H9312" t="s">
        <v>41577</v>
      </c>
      <c r="I9312" t="s">
        <v>41578</v>
      </c>
      <c r="J9312" t="s">
        <v>334</v>
      </c>
      <c r="M9312" t="s">
        <v>271</v>
      </c>
      <c r="N9312" t="s">
        <v>1876</v>
      </c>
      <c r="O9312" t="s">
        <v>41579</v>
      </c>
      <c r="P9312" t="s">
        <v>1886</v>
      </c>
      <c r="Q9312" t="s">
        <v>41580</v>
      </c>
      <c r="R9312">
        <v>34</v>
      </c>
      <c r="S9312">
        <v>64</v>
      </c>
    </row>
    <row r="9313" spans="1:19" x14ac:dyDescent="0.35">
      <c r="A9313">
        <v>3151</v>
      </c>
      <c r="B9313" t="s">
        <v>40892</v>
      </c>
      <c r="C9313" t="s">
        <v>42</v>
      </c>
      <c r="D9313" t="s">
        <v>40893</v>
      </c>
      <c r="E9313" t="e" cm="1">
        <f t="array" ref="E9313">- HYDROTALCITE. MAGNESIUM HYDROXIDE. SIMETHICONE</f>
        <v>#NAME?</v>
      </c>
      <c r="F9313" s="1">
        <v>34400</v>
      </c>
      <c r="G9313" t="s">
        <v>40894</v>
      </c>
      <c r="H9313" t="s">
        <v>40895</v>
      </c>
      <c r="I9313" t="s">
        <v>40896</v>
      </c>
      <c r="J9313" t="s">
        <v>4985</v>
      </c>
      <c r="K9313" t="s">
        <v>40897</v>
      </c>
      <c r="L9313" t="s">
        <v>40898</v>
      </c>
      <c r="M9313" t="s">
        <v>340</v>
      </c>
      <c r="N9313" t="s">
        <v>40559</v>
      </c>
      <c r="O9313" t="s">
        <v>40899</v>
      </c>
      <c r="P9313" t="s">
        <v>40900</v>
      </c>
      <c r="Q9313" t="s">
        <v>41581</v>
      </c>
      <c r="R9313">
        <v>34</v>
      </c>
      <c r="S9313">
        <v>64</v>
      </c>
    </row>
    <row r="9314" spans="1:19" x14ac:dyDescent="0.35">
      <c r="A9314">
        <v>9834</v>
      </c>
      <c r="B9314" t="s">
        <v>41582</v>
      </c>
      <c r="C9314" t="s">
        <v>42</v>
      </c>
      <c r="D9314" t="s">
        <v>41583</v>
      </c>
      <c r="E9314" t="e" cm="1">
        <f t="array" ref="E9314">- ATORVASTATIN CALCIUM TRIHYDRATE</f>
        <v>#NAME?</v>
      </c>
      <c r="F9314" t="s">
        <v>41584</v>
      </c>
      <c r="G9314" t="s">
        <v>4420</v>
      </c>
      <c r="H9314" t="s">
        <v>41012</v>
      </c>
      <c r="I9314" t="s">
        <v>41013</v>
      </c>
      <c r="J9314" t="s">
        <v>2100</v>
      </c>
      <c r="M9314" t="s">
        <v>46</v>
      </c>
      <c r="N9314" t="s">
        <v>23115</v>
      </c>
      <c r="O9314" t="s">
        <v>41017</v>
      </c>
      <c r="P9314" t="s">
        <v>41548</v>
      </c>
      <c r="Q9314" t="s">
        <v>41549</v>
      </c>
      <c r="R9314">
        <v>34</v>
      </c>
      <c r="S9314">
        <v>64</v>
      </c>
    </row>
    <row r="9315" spans="1:19" x14ac:dyDescent="0.35">
      <c r="A9315">
        <v>3645</v>
      </c>
      <c r="B9315" t="s">
        <v>41585</v>
      </c>
      <c r="C9315" t="s">
        <v>42</v>
      </c>
      <c r="D9315" t="s">
        <v>41586</v>
      </c>
      <c r="E9315" t="e" cm="1">
        <f t="array" ref="E9315">- METOCLOPRAMIDE HYDROCHLORIDE</f>
        <v>#NAME?</v>
      </c>
      <c r="F9315" s="1">
        <v>7400</v>
      </c>
      <c r="H9315" t="s">
        <v>41577</v>
      </c>
      <c r="I9315" t="s">
        <v>41578</v>
      </c>
      <c r="J9315" t="s">
        <v>334</v>
      </c>
      <c r="L9315" t="s">
        <v>41164</v>
      </c>
      <c r="M9315" t="s">
        <v>271</v>
      </c>
      <c r="N9315" t="s">
        <v>1876</v>
      </c>
      <c r="O9315" t="s">
        <v>41579</v>
      </c>
      <c r="P9315" t="s">
        <v>41587</v>
      </c>
      <c r="Q9315" t="s">
        <v>41588</v>
      </c>
      <c r="R9315">
        <v>34</v>
      </c>
      <c r="S9315">
        <v>64</v>
      </c>
    </row>
    <row r="9316" spans="1:19" x14ac:dyDescent="0.35">
      <c r="A9316">
        <v>9714</v>
      </c>
      <c r="B9316" t="s">
        <v>41589</v>
      </c>
      <c r="C9316" t="s">
        <v>42</v>
      </c>
      <c r="D9316" t="s">
        <v>41590</v>
      </c>
      <c r="E9316" t="e" cm="1">
        <f t="array" ref="E9316">- ATORVASTATIN CALCIUM TRIHYDRATE</f>
        <v>#NAME?</v>
      </c>
      <c r="F9316" t="s">
        <v>41591</v>
      </c>
      <c r="G9316" t="s">
        <v>4420</v>
      </c>
      <c r="H9316" t="s">
        <v>41012</v>
      </c>
      <c r="I9316" t="s">
        <v>41013</v>
      </c>
      <c r="J9316" t="s">
        <v>599</v>
      </c>
      <c r="K9316" t="s">
        <v>41014</v>
      </c>
      <c r="L9316" t="s">
        <v>41015</v>
      </c>
      <c r="M9316" t="s">
        <v>46</v>
      </c>
      <c r="N9316" t="s">
        <v>23115</v>
      </c>
      <c r="O9316" t="s">
        <v>41017</v>
      </c>
      <c r="P9316" t="s">
        <v>41094</v>
      </c>
      <c r="Q9316" t="s">
        <v>41487</v>
      </c>
      <c r="R9316">
        <v>34</v>
      </c>
      <c r="S9316">
        <v>64</v>
      </c>
    </row>
    <row r="9317" spans="1:19" x14ac:dyDescent="0.35">
      <c r="A9317">
        <v>9711</v>
      </c>
      <c r="B9317" t="s">
        <v>41484</v>
      </c>
      <c r="C9317" t="s">
        <v>42</v>
      </c>
      <c r="D9317" t="s">
        <v>41485</v>
      </c>
      <c r="E9317" t="e" cm="1">
        <f t="array" ref="E9317">- ATORVASTATIN CALCIUM TRIHYDRATE</f>
        <v>#NAME?</v>
      </c>
      <c r="F9317" t="s">
        <v>41486</v>
      </c>
      <c r="G9317" t="s">
        <v>4420</v>
      </c>
      <c r="H9317" t="s">
        <v>41012</v>
      </c>
      <c r="I9317" t="s">
        <v>41013</v>
      </c>
      <c r="J9317" t="s">
        <v>45</v>
      </c>
      <c r="K9317" t="s">
        <v>41014</v>
      </c>
      <c r="L9317" t="s">
        <v>41015</v>
      </c>
      <c r="M9317" t="s">
        <v>46</v>
      </c>
      <c r="N9317" t="s">
        <v>23115</v>
      </c>
      <c r="O9317" t="s">
        <v>41017</v>
      </c>
      <c r="P9317" t="s">
        <v>41094</v>
      </c>
      <c r="Q9317" t="s">
        <v>41487</v>
      </c>
      <c r="R9317">
        <v>34</v>
      </c>
      <c r="S9317">
        <v>64</v>
      </c>
    </row>
    <row r="9318" spans="1:19" x14ac:dyDescent="0.35">
      <c r="A9318">
        <v>8047</v>
      </c>
      <c r="B9318" t="s">
        <v>41550</v>
      </c>
      <c r="C9318" t="s">
        <v>42</v>
      </c>
      <c r="D9318" t="s">
        <v>41551</v>
      </c>
      <c r="E9318" t="e" cm="1">
        <f t="array" ref="E9318">- TETRACHLORODECAOXYGEN</f>
        <v>#NAME?</v>
      </c>
      <c r="F9318" t="s">
        <v>41552</v>
      </c>
      <c r="G9318" t="s">
        <v>41553</v>
      </c>
      <c r="H9318" t="s">
        <v>41554</v>
      </c>
      <c r="I9318" t="s">
        <v>41555</v>
      </c>
      <c r="J9318" t="s">
        <v>829</v>
      </c>
      <c r="K9318" t="s">
        <v>41556</v>
      </c>
      <c r="L9318" t="s">
        <v>41557</v>
      </c>
      <c r="M9318" t="s">
        <v>554</v>
      </c>
      <c r="N9318" t="s">
        <v>41558</v>
      </c>
      <c r="O9318" t="s">
        <v>41559</v>
      </c>
      <c r="P9318" t="s">
        <v>41560</v>
      </c>
      <c r="Q9318" t="s">
        <v>41561</v>
      </c>
      <c r="R9318">
        <v>34</v>
      </c>
      <c r="S9318">
        <v>64</v>
      </c>
    </row>
    <row r="9319" spans="1:19" x14ac:dyDescent="0.35">
      <c r="A9319">
        <v>3646</v>
      </c>
      <c r="B9319" t="s">
        <v>41585</v>
      </c>
      <c r="C9319" t="s">
        <v>42</v>
      </c>
      <c r="D9319" t="s">
        <v>41586</v>
      </c>
      <c r="E9319" t="e" cm="1">
        <f t="array" ref="E9319">- METOCLOPRAMIDE HYDROCHLORIDE</f>
        <v>#NAME?</v>
      </c>
      <c r="F9319" s="1">
        <v>7400</v>
      </c>
      <c r="H9319" t="s">
        <v>41577</v>
      </c>
      <c r="I9319" t="s">
        <v>41578</v>
      </c>
      <c r="J9319" t="s">
        <v>334</v>
      </c>
      <c r="L9319" t="s">
        <v>41164</v>
      </c>
      <c r="M9319" t="s">
        <v>271</v>
      </c>
      <c r="N9319" t="s">
        <v>1876</v>
      </c>
      <c r="O9319" t="s">
        <v>41579</v>
      </c>
      <c r="P9319" t="s">
        <v>41587</v>
      </c>
      <c r="Q9319" t="s">
        <v>41588</v>
      </c>
      <c r="R9319">
        <v>34</v>
      </c>
      <c r="S9319">
        <v>64</v>
      </c>
    </row>
    <row r="9320" spans="1:19" x14ac:dyDescent="0.35">
      <c r="A9320">
        <v>9833</v>
      </c>
      <c r="B9320" t="s">
        <v>41592</v>
      </c>
      <c r="C9320" t="s">
        <v>42</v>
      </c>
      <c r="D9320" t="s">
        <v>41593</v>
      </c>
      <c r="E9320" t="e" cm="1">
        <f t="array" ref="E9320">- ATORVASTATIN CALCIUM TRIHYDRATE</f>
        <v>#NAME?</v>
      </c>
      <c r="F9320" t="s">
        <v>41594</v>
      </c>
      <c r="G9320" t="s">
        <v>4420</v>
      </c>
      <c r="H9320" t="s">
        <v>41012</v>
      </c>
      <c r="I9320" t="s">
        <v>41013</v>
      </c>
      <c r="J9320" t="s">
        <v>2478</v>
      </c>
      <c r="K9320" t="s">
        <v>41014</v>
      </c>
      <c r="L9320" t="s">
        <v>41015</v>
      </c>
      <c r="M9320" t="s">
        <v>46</v>
      </c>
      <c r="N9320" t="s">
        <v>23115</v>
      </c>
      <c r="O9320" t="s">
        <v>41017</v>
      </c>
      <c r="P9320" t="s">
        <v>41548</v>
      </c>
      <c r="Q9320" t="s">
        <v>41549</v>
      </c>
      <c r="R9320">
        <v>34</v>
      </c>
      <c r="S9320">
        <v>64</v>
      </c>
    </row>
    <row r="9321" spans="1:19" x14ac:dyDescent="0.35">
      <c r="A9321">
        <v>9832</v>
      </c>
      <c r="B9321" t="s">
        <v>41592</v>
      </c>
      <c r="C9321" t="s">
        <v>42</v>
      </c>
      <c r="D9321" t="s">
        <v>41593</v>
      </c>
      <c r="E9321" t="e" cm="1">
        <f t="array" ref="E9321">- ATORVASTATIN CALCIUM TRIHYDRATE</f>
        <v>#NAME?</v>
      </c>
      <c r="F9321" t="s">
        <v>41594</v>
      </c>
      <c r="G9321" t="s">
        <v>4420</v>
      </c>
      <c r="H9321" t="s">
        <v>41012</v>
      </c>
      <c r="I9321" t="s">
        <v>41013</v>
      </c>
      <c r="J9321" t="s">
        <v>2478</v>
      </c>
      <c r="K9321" t="s">
        <v>41014</v>
      </c>
      <c r="L9321" t="s">
        <v>41015</v>
      </c>
      <c r="M9321" t="s">
        <v>46</v>
      </c>
      <c r="N9321" t="s">
        <v>23115</v>
      </c>
      <c r="O9321" t="s">
        <v>41017</v>
      </c>
      <c r="P9321" t="s">
        <v>41548</v>
      </c>
      <c r="Q9321" t="s">
        <v>41549</v>
      </c>
      <c r="R9321">
        <v>34</v>
      </c>
      <c r="S9321">
        <v>64</v>
      </c>
    </row>
    <row r="9322" spans="1:19" x14ac:dyDescent="0.35">
      <c r="A9322">
        <v>9713</v>
      </c>
      <c r="B9322" t="s">
        <v>41090</v>
      </c>
      <c r="C9322" t="s">
        <v>42</v>
      </c>
      <c r="D9322" t="s">
        <v>41091</v>
      </c>
      <c r="E9322" t="e" cm="1">
        <f t="array" ref="E9322">- ATORVASTATIN CALCIUM TRIHYDRATE</f>
        <v>#NAME?</v>
      </c>
      <c r="F9322" t="s">
        <v>41092</v>
      </c>
      <c r="G9322" t="s">
        <v>4420</v>
      </c>
      <c r="H9322" t="s">
        <v>41012</v>
      </c>
      <c r="I9322" t="s">
        <v>41013</v>
      </c>
      <c r="J9322" t="s">
        <v>41093</v>
      </c>
      <c r="K9322" t="s">
        <v>41014</v>
      </c>
      <c r="L9322" t="s">
        <v>41015</v>
      </c>
      <c r="M9322" t="s">
        <v>46</v>
      </c>
      <c r="N9322" t="s">
        <v>23115</v>
      </c>
      <c r="O9322" t="s">
        <v>41017</v>
      </c>
      <c r="P9322" t="s">
        <v>41094</v>
      </c>
      <c r="Q9322" t="s">
        <v>41487</v>
      </c>
      <c r="R9322">
        <v>34</v>
      </c>
      <c r="S9322">
        <v>64</v>
      </c>
    </row>
    <row r="9323" spans="1:19" x14ac:dyDescent="0.35">
      <c r="A9323">
        <v>2723</v>
      </c>
      <c r="B9323" t="s">
        <v>41595</v>
      </c>
      <c r="C9323" t="s">
        <v>42</v>
      </c>
      <c r="D9323" t="s">
        <v>41596</v>
      </c>
      <c r="E9323" t="e" cm="1">
        <f t="array" ref="E9323">- FLUNARIZINE HYDROCHLORIDE</f>
        <v>#NAME?</v>
      </c>
      <c r="F9323" t="s">
        <v>41597</v>
      </c>
      <c r="G9323" t="s">
        <v>3098</v>
      </c>
      <c r="H9323" t="s">
        <v>41598</v>
      </c>
      <c r="I9323" t="s">
        <v>41599</v>
      </c>
      <c r="J9323" t="s">
        <v>41600</v>
      </c>
      <c r="K9323" t="s">
        <v>41601</v>
      </c>
      <c r="L9323" t="s">
        <v>41602</v>
      </c>
      <c r="M9323" t="s">
        <v>46</v>
      </c>
      <c r="N9323" t="s">
        <v>4516</v>
      </c>
      <c r="O9323" t="s">
        <v>41603</v>
      </c>
      <c r="P9323" t="s">
        <v>22579</v>
      </c>
      <c r="Q9323" t="s">
        <v>41604</v>
      </c>
      <c r="R9323">
        <v>34</v>
      </c>
      <c r="S9323">
        <v>64</v>
      </c>
    </row>
    <row r="9324" spans="1:19" x14ac:dyDescent="0.35">
      <c r="A9324">
        <v>9830</v>
      </c>
      <c r="B9324" t="s">
        <v>41544</v>
      </c>
      <c r="C9324" t="s">
        <v>42</v>
      </c>
      <c r="D9324" t="s">
        <v>41545</v>
      </c>
      <c r="E9324" t="e" cm="1">
        <f t="array" ref="E9324">- ATORVASTATIN CALCIUM TRIHYDRATE</f>
        <v>#NAME?</v>
      </c>
      <c r="F9324" t="s">
        <v>41546</v>
      </c>
      <c r="G9324" t="s">
        <v>4420</v>
      </c>
      <c r="H9324" t="s">
        <v>41012</v>
      </c>
      <c r="I9324" t="s">
        <v>41013</v>
      </c>
      <c r="J9324" t="s">
        <v>41547</v>
      </c>
      <c r="K9324" t="s">
        <v>41014</v>
      </c>
      <c r="L9324" t="s">
        <v>41015</v>
      </c>
      <c r="M9324" t="s">
        <v>46</v>
      </c>
      <c r="N9324" t="s">
        <v>23115</v>
      </c>
      <c r="O9324" t="s">
        <v>41017</v>
      </c>
      <c r="P9324" t="s">
        <v>41548</v>
      </c>
      <c r="Q9324" t="s">
        <v>41549</v>
      </c>
      <c r="R9324">
        <v>34</v>
      </c>
      <c r="S9324">
        <v>64</v>
      </c>
    </row>
    <row r="9325" spans="1:19" x14ac:dyDescent="0.35">
      <c r="A9325">
        <v>8049</v>
      </c>
      <c r="B9325" t="s">
        <v>41550</v>
      </c>
      <c r="C9325" t="s">
        <v>42</v>
      </c>
      <c r="D9325" t="s">
        <v>41551</v>
      </c>
      <c r="E9325" t="e" cm="1">
        <f t="array" ref="E9325">- TETRACHLORODECAOXYGEN</f>
        <v>#NAME?</v>
      </c>
      <c r="F9325" t="s">
        <v>41562</v>
      </c>
      <c r="G9325" t="s">
        <v>41553</v>
      </c>
      <c r="H9325" t="s">
        <v>41554</v>
      </c>
      <c r="I9325" t="s">
        <v>41555</v>
      </c>
      <c r="J9325" t="s">
        <v>829</v>
      </c>
      <c r="K9325" t="s">
        <v>41556</v>
      </c>
      <c r="L9325" t="s">
        <v>41557</v>
      </c>
      <c r="M9325" t="s">
        <v>554</v>
      </c>
      <c r="N9325" t="s">
        <v>41558</v>
      </c>
      <c r="O9325" t="s">
        <v>41559</v>
      </c>
      <c r="P9325" t="s">
        <v>41560</v>
      </c>
      <c r="Q9325" t="s">
        <v>41561</v>
      </c>
      <c r="R9325">
        <v>34</v>
      </c>
      <c r="S9325">
        <v>64</v>
      </c>
    </row>
    <row r="9326" spans="1:19" x14ac:dyDescent="0.35">
      <c r="A9326">
        <v>3326</v>
      </c>
      <c r="B9326" t="s">
        <v>41605</v>
      </c>
      <c r="C9326" t="s">
        <v>42</v>
      </c>
      <c r="D9326" t="s">
        <v>41606</v>
      </c>
      <c r="E9326" t="s">
        <v>41607</v>
      </c>
      <c r="F9326" t="s">
        <v>41608</v>
      </c>
      <c r="G9326" t="s">
        <v>41609</v>
      </c>
      <c r="H9326" t="s">
        <v>41610</v>
      </c>
      <c r="I9326" t="s">
        <v>40272</v>
      </c>
      <c r="J9326" t="s">
        <v>21307</v>
      </c>
      <c r="K9326" t="s">
        <v>2858</v>
      </c>
      <c r="L9326" t="s">
        <v>41611</v>
      </c>
      <c r="M9326" t="s">
        <v>340</v>
      </c>
      <c r="N9326" t="s">
        <v>41612</v>
      </c>
      <c r="O9326" t="s">
        <v>40274</v>
      </c>
      <c r="P9326" t="s">
        <v>41613</v>
      </c>
      <c r="Q9326" t="s">
        <v>41614</v>
      </c>
      <c r="R9326">
        <v>34</v>
      </c>
      <c r="S9326">
        <v>64</v>
      </c>
    </row>
    <row r="9327" spans="1:19" x14ac:dyDescent="0.35">
      <c r="A9327">
        <v>9703</v>
      </c>
      <c r="B9327" t="s">
        <v>41028</v>
      </c>
      <c r="C9327" t="s">
        <v>42</v>
      </c>
      <c r="D9327" t="s">
        <v>41029</v>
      </c>
      <c r="E9327" t="e" cm="1">
        <f t="array" ref="E9327">- ATORVASTATIN CALCIUM TRIHYDRATE</f>
        <v>#NAME?</v>
      </c>
      <c r="F9327" t="s">
        <v>41030</v>
      </c>
      <c r="G9327" t="s">
        <v>7219</v>
      </c>
      <c r="H9327" t="s">
        <v>41012</v>
      </c>
      <c r="I9327" t="s">
        <v>41013</v>
      </c>
      <c r="J9327" t="s">
        <v>20983</v>
      </c>
      <c r="K9327" t="s">
        <v>41014</v>
      </c>
      <c r="L9327" t="s">
        <v>41015</v>
      </c>
      <c r="M9327" t="s">
        <v>46</v>
      </c>
      <c r="N9327" t="s">
        <v>23115</v>
      </c>
      <c r="O9327" t="s">
        <v>41017</v>
      </c>
      <c r="P9327" t="s">
        <v>41018</v>
      </c>
      <c r="Q9327" t="s">
        <v>41615</v>
      </c>
      <c r="R9327">
        <v>34</v>
      </c>
      <c r="S9327">
        <v>64</v>
      </c>
    </row>
    <row r="9328" spans="1:19" x14ac:dyDescent="0.35">
      <c r="A9328">
        <v>2724</v>
      </c>
      <c r="B9328" t="s">
        <v>41595</v>
      </c>
      <c r="C9328" t="s">
        <v>42</v>
      </c>
      <c r="D9328" t="s">
        <v>41596</v>
      </c>
      <c r="E9328" t="e" cm="1">
        <f t="array" ref="E9328">- FLUNARIZINE HYDROCHLORIDE</f>
        <v>#NAME?</v>
      </c>
      <c r="F9328" t="s">
        <v>41597</v>
      </c>
      <c r="G9328" t="s">
        <v>3098</v>
      </c>
      <c r="H9328" t="s">
        <v>41598</v>
      </c>
      <c r="I9328" t="s">
        <v>41599</v>
      </c>
      <c r="J9328" t="s">
        <v>41600</v>
      </c>
      <c r="K9328" t="s">
        <v>41601</v>
      </c>
      <c r="L9328" t="s">
        <v>41602</v>
      </c>
      <c r="M9328" t="s">
        <v>46</v>
      </c>
      <c r="N9328" t="s">
        <v>4516</v>
      </c>
      <c r="O9328" t="s">
        <v>41603</v>
      </c>
      <c r="P9328" t="s">
        <v>22579</v>
      </c>
      <c r="Q9328" t="s">
        <v>41604</v>
      </c>
      <c r="R9328">
        <v>34</v>
      </c>
      <c r="S9328">
        <v>64</v>
      </c>
    </row>
    <row r="9329" spans="1:19" x14ac:dyDescent="0.35">
      <c r="A9329">
        <v>9719</v>
      </c>
      <c r="B9329" t="s">
        <v>41616</v>
      </c>
      <c r="C9329" t="s">
        <v>42</v>
      </c>
      <c r="D9329" t="s">
        <v>41617</v>
      </c>
      <c r="E9329" t="e" cm="1">
        <f t="array" ref="E9329">- ATORVASTATIN CALCIUM TRIHYDRATE</f>
        <v>#NAME?</v>
      </c>
      <c r="F9329" t="s">
        <v>41618</v>
      </c>
      <c r="G9329" t="s">
        <v>4420</v>
      </c>
      <c r="H9329" t="s">
        <v>41012</v>
      </c>
      <c r="I9329" t="s">
        <v>41013</v>
      </c>
      <c r="J9329" t="s">
        <v>3761</v>
      </c>
      <c r="K9329" t="s">
        <v>41619</v>
      </c>
      <c r="L9329" t="s">
        <v>41015</v>
      </c>
      <c r="M9329" t="s">
        <v>291</v>
      </c>
      <c r="N9329" t="s">
        <v>23115</v>
      </c>
      <c r="O9329" t="s">
        <v>41017</v>
      </c>
      <c r="P9329" t="s">
        <v>41184</v>
      </c>
      <c r="Q9329" t="s">
        <v>41499</v>
      </c>
      <c r="R9329">
        <v>34</v>
      </c>
      <c r="S9329">
        <v>64</v>
      </c>
    </row>
    <row r="9330" spans="1:19" x14ac:dyDescent="0.35">
      <c r="A9330">
        <v>10022</v>
      </c>
      <c r="B9330" t="s">
        <v>41620</v>
      </c>
      <c r="C9330" t="s">
        <v>42</v>
      </c>
      <c r="D9330" t="s">
        <v>41621</v>
      </c>
      <c r="E9330" t="e" cm="1">
        <f t="array" ref="E9330">- CLOPIDOGREL BISULFATE</f>
        <v>#NAME?</v>
      </c>
      <c r="F9330" t="s">
        <v>41622</v>
      </c>
      <c r="H9330" t="s">
        <v>269</v>
      </c>
      <c r="I9330" t="s">
        <v>41623</v>
      </c>
      <c r="L9330" t="s">
        <v>270</v>
      </c>
      <c r="M9330" t="s">
        <v>46</v>
      </c>
      <c r="N9330" t="s">
        <v>2490</v>
      </c>
      <c r="O9330" t="s">
        <v>41624</v>
      </c>
      <c r="P9330" t="s">
        <v>41625</v>
      </c>
      <c r="Q9330" t="s">
        <v>41626</v>
      </c>
      <c r="R9330">
        <v>34</v>
      </c>
      <c r="S9330">
        <v>64</v>
      </c>
    </row>
    <row r="9331" spans="1:19" x14ac:dyDescent="0.35">
      <c r="A9331">
        <v>5181</v>
      </c>
      <c r="B9331" t="s">
        <v>30031</v>
      </c>
      <c r="C9331" t="s">
        <v>42</v>
      </c>
      <c r="D9331" t="s">
        <v>41627</v>
      </c>
      <c r="E9331" t="e" cm="1">
        <f t="array" ref="E9331">- MICONAZOLE NITRATE</f>
        <v>#NAME?</v>
      </c>
      <c r="F9331" t="s">
        <v>28231</v>
      </c>
      <c r="G9331" t="s">
        <v>41628</v>
      </c>
      <c r="H9331" t="s">
        <v>41629</v>
      </c>
      <c r="I9331" t="s">
        <v>41630</v>
      </c>
      <c r="J9331" t="s">
        <v>17100</v>
      </c>
      <c r="K9331" t="s">
        <v>3952</v>
      </c>
      <c r="L9331" t="s">
        <v>41631</v>
      </c>
      <c r="M9331" t="s">
        <v>1289</v>
      </c>
      <c r="N9331" t="s">
        <v>9389</v>
      </c>
      <c r="O9331" t="s">
        <v>41632</v>
      </c>
      <c r="P9331" t="s">
        <v>41633</v>
      </c>
      <c r="Q9331" t="s">
        <v>41634</v>
      </c>
      <c r="R9331">
        <v>34</v>
      </c>
      <c r="S9331">
        <v>64</v>
      </c>
    </row>
    <row r="9332" spans="1:19" x14ac:dyDescent="0.35">
      <c r="A9332">
        <v>9686</v>
      </c>
      <c r="B9332" t="s">
        <v>41635</v>
      </c>
      <c r="C9332" t="s">
        <v>42</v>
      </c>
      <c r="D9332" t="s">
        <v>41636</v>
      </c>
      <c r="E9332" t="e" cm="1">
        <f t="array" ref="E9332">- ATORVASTATIN CALCIUM TRIHYDRATE</f>
        <v>#NAME?</v>
      </c>
      <c r="F9332" t="s">
        <v>41637</v>
      </c>
      <c r="G9332" t="s">
        <v>7219</v>
      </c>
      <c r="H9332" t="s">
        <v>41012</v>
      </c>
      <c r="I9332" t="s">
        <v>41013</v>
      </c>
      <c r="J9332" t="s">
        <v>45</v>
      </c>
      <c r="K9332" t="s">
        <v>41014</v>
      </c>
      <c r="L9332" t="s">
        <v>41015</v>
      </c>
      <c r="M9332" t="s">
        <v>46</v>
      </c>
      <c r="N9332" t="s">
        <v>23115</v>
      </c>
      <c r="O9332" t="s">
        <v>41017</v>
      </c>
      <c r="P9332" t="s">
        <v>41016</v>
      </c>
      <c r="Q9332" t="s">
        <v>41495</v>
      </c>
      <c r="R9332">
        <v>34</v>
      </c>
      <c r="S9332">
        <v>64</v>
      </c>
    </row>
    <row r="9333" spans="1:19" x14ac:dyDescent="0.35">
      <c r="A9333">
        <v>5182</v>
      </c>
      <c r="B9333" t="s">
        <v>30031</v>
      </c>
      <c r="C9333" t="s">
        <v>42</v>
      </c>
      <c r="D9333" t="s">
        <v>41627</v>
      </c>
      <c r="E9333" t="e" cm="1">
        <f t="array" ref="E9333">- MICONAZOLE NITRATE</f>
        <v>#NAME?</v>
      </c>
      <c r="F9333" t="s">
        <v>28231</v>
      </c>
      <c r="G9333" t="s">
        <v>41628</v>
      </c>
      <c r="H9333" t="s">
        <v>41629</v>
      </c>
      <c r="I9333" t="s">
        <v>41630</v>
      </c>
      <c r="J9333" t="s">
        <v>17100</v>
      </c>
      <c r="K9333" t="s">
        <v>3952</v>
      </c>
      <c r="L9333" t="s">
        <v>41631</v>
      </c>
      <c r="M9333" t="s">
        <v>1289</v>
      </c>
      <c r="N9333" t="s">
        <v>9389</v>
      </c>
      <c r="O9333" t="s">
        <v>41632</v>
      </c>
      <c r="P9333" t="s">
        <v>41633</v>
      </c>
      <c r="Q9333" t="s">
        <v>41634</v>
      </c>
      <c r="R9333">
        <v>34</v>
      </c>
      <c r="S9333">
        <v>64</v>
      </c>
    </row>
    <row r="9334" spans="1:19" x14ac:dyDescent="0.35">
      <c r="A9334">
        <v>5183</v>
      </c>
      <c r="B9334" t="s">
        <v>30031</v>
      </c>
      <c r="C9334" t="s">
        <v>42</v>
      </c>
      <c r="D9334" t="s">
        <v>41627</v>
      </c>
      <c r="E9334" t="e" cm="1">
        <f t="array" ref="E9334">- MICONAZOLE NITRATE</f>
        <v>#NAME?</v>
      </c>
      <c r="F9334" t="s">
        <v>28231</v>
      </c>
      <c r="G9334" t="s">
        <v>41628</v>
      </c>
      <c r="H9334" t="s">
        <v>41629</v>
      </c>
      <c r="I9334" t="s">
        <v>41630</v>
      </c>
      <c r="J9334" t="s">
        <v>17100</v>
      </c>
      <c r="K9334" t="s">
        <v>3952</v>
      </c>
      <c r="L9334" t="s">
        <v>41631</v>
      </c>
      <c r="M9334" t="s">
        <v>1289</v>
      </c>
      <c r="N9334" t="s">
        <v>9389</v>
      </c>
      <c r="O9334" t="s">
        <v>41632</v>
      </c>
      <c r="P9334" t="s">
        <v>41633</v>
      </c>
      <c r="Q9334" t="s">
        <v>41634</v>
      </c>
      <c r="R9334">
        <v>34</v>
      </c>
      <c r="S9334">
        <v>64</v>
      </c>
    </row>
    <row r="9335" spans="1:19" x14ac:dyDescent="0.35">
      <c r="A9335">
        <v>5932</v>
      </c>
      <c r="B9335" t="s">
        <v>41638</v>
      </c>
      <c r="C9335" t="s">
        <v>42</v>
      </c>
      <c r="D9335" t="s">
        <v>41639</v>
      </c>
      <c r="E9335" t="e" cm="1">
        <f t="array" ref="E9335">- AMOXICILLIN SODIUM</f>
        <v>#NAME?</v>
      </c>
      <c r="F9335" t="s">
        <v>41640</v>
      </c>
      <c r="G9335" t="s">
        <v>2241</v>
      </c>
      <c r="H9335" t="s">
        <v>41641</v>
      </c>
    </row>
    <row r="9336" spans="1:19" x14ac:dyDescent="0.35">
      <c r="A9336">
        <v>3074</v>
      </c>
      <c r="B9336" t="s">
        <v>40192</v>
      </c>
      <c r="C9336" t="s">
        <v>42</v>
      </c>
      <c r="D9336" t="s">
        <v>40253</v>
      </c>
      <c r="E9336" t="s">
        <v>41642</v>
      </c>
      <c r="F9336" t="s">
        <v>40254</v>
      </c>
      <c r="G9336" t="s">
        <v>40255</v>
      </c>
      <c r="H9336" t="s">
        <v>40256</v>
      </c>
      <c r="I9336" t="s">
        <v>40196</v>
      </c>
      <c r="J9336" t="s">
        <v>1162</v>
      </c>
      <c r="K9336" t="s">
        <v>40197</v>
      </c>
      <c r="L9336" t="s">
        <v>40257</v>
      </c>
      <c r="M9336" t="s">
        <v>340</v>
      </c>
      <c r="N9336" t="s">
        <v>41643</v>
      </c>
      <c r="O9336" t="s">
        <v>40199</v>
      </c>
      <c r="P9336" t="s">
        <v>37348</v>
      </c>
      <c r="Q9336" t="s">
        <v>41644</v>
      </c>
      <c r="R9336">
        <v>34</v>
      </c>
      <c r="S9336">
        <v>64</v>
      </c>
    </row>
    <row r="9337" spans="1:19" x14ac:dyDescent="0.35">
      <c r="A9337">
        <v>5944</v>
      </c>
      <c r="B9337" t="s">
        <v>41645</v>
      </c>
      <c r="C9337" t="s">
        <v>42</v>
      </c>
      <c r="D9337" t="s">
        <v>41646</v>
      </c>
      <c r="E9337" t="e" cm="1">
        <f t="array" ref="E9337">- AMOXICILLIN TRIHYDRATE</f>
        <v>#NAME?</v>
      </c>
      <c r="F9337" s="1">
        <v>206300</v>
      </c>
      <c r="G9337" t="s">
        <v>2241</v>
      </c>
      <c r="H9337" t="s">
        <v>41641</v>
      </c>
    </row>
    <row r="9338" spans="1:19" x14ac:dyDescent="0.35">
      <c r="A9338">
        <v>9782</v>
      </c>
      <c r="B9338" t="s">
        <v>41188</v>
      </c>
      <c r="C9338" t="s">
        <v>42</v>
      </c>
      <c r="D9338" t="s">
        <v>41189</v>
      </c>
      <c r="E9338" t="e" cm="1">
        <f t="array" ref="E9338">- ATORVASTATIN CALCIUM TRIHYDRATE</f>
        <v>#NAME?</v>
      </c>
      <c r="F9338" t="s">
        <v>41190</v>
      </c>
      <c r="G9338" t="s">
        <v>41191</v>
      </c>
      <c r="H9338" t="s">
        <v>41137</v>
      </c>
      <c r="I9338" t="s">
        <v>41013</v>
      </c>
      <c r="J9338" t="s">
        <v>45</v>
      </c>
      <c r="K9338" t="s">
        <v>41138</v>
      </c>
      <c r="L9338" t="s">
        <v>41015</v>
      </c>
      <c r="M9338" t="s">
        <v>46</v>
      </c>
      <c r="N9338" t="s">
        <v>23115</v>
      </c>
      <c r="O9338" t="s">
        <v>41017</v>
      </c>
      <c r="P9338" t="s">
        <v>41139</v>
      </c>
      <c r="Q9338" t="s">
        <v>41647</v>
      </c>
      <c r="R9338">
        <v>34</v>
      </c>
      <c r="S9338">
        <v>64</v>
      </c>
    </row>
    <row r="9339" spans="1:19" x14ac:dyDescent="0.35">
      <c r="A9339">
        <v>9781</v>
      </c>
      <c r="B9339" t="s">
        <v>41648</v>
      </c>
      <c r="C9339" t="s">
        <v>42</v>
      </c>
      <c r="D9339" t="s">
        <v>41649</v>
      </c>
      <c r="E9339" t="e" cm="1">
        <f t="array" ref="E9339">- ATORVASTATIN CALCIUM TRIHYDRATE</f>
        <v>#NAME?</v>
      </c>
      <c r="F9339" t="s">
        <v>41650</v>
      </c>
      <c r="G9339" t="s">
        <v>60</v>
      </c>
      <c r="H9339" t="s">
        <v>41137</v>
      </c>
      <c r="I9339" t="s">
        <v>41013</v>
      </c>
      <c r="J9339" t="s">
        <v>45</v>
      </c>
      <c r="K9339" t="s">
        <v>41138</v>
      </c>
      <c r="L9339" t="s">
        <v>41015</v>
      </c>
      <c r="M9339" t="s">
        <v>46</v>
      </c>
      <c r="N9339" t="s">
        <v>23115</v>
      </c>
      <c r="O9339" t="s">
        <v>41017</v>
      </c>
      <c r="P9339" t="s">
        <v>41139</v>
      </c>
      <c r="Q9339" t="s">
        <v>41647</v>
      </c>
      <c r="R9339">
        <v>34</v>
      </c>
      <c r="S9339">
        <v>64</v>
      </c>
    </row>
    <row r="9340" spans="1:19" x14ac:dyDescent="0.35">
      <c r="A9340">
        <v>9779</v>
      </c>
      <c r="B9340" t="s">
        <v>41134</v>
      </c>
      <c r="C9340" t="s">
        <v>42</v>
      </c>
      <c r="D9340" t="s">
        <v>41135</v>
      </c>
      <c r="E9340" t="e" cm="1">
        <f t="array" ref="E9340">- ATORVASTATIN CALCIUM TRIHYDRATE</f>
        <v>#NAME?</v>
      </c>
      <c r="F9340" t="s">
        <v>41136</v>
      </c>
      <c r="G9340" t="s">
        <v>10857</v>
      </c>
      <c r="H9340" t="s">
        <v>41137</v>
      </c>
      <c r="I9340" t="s">
        <v>41013</v>
      </c>
      <c r="J9340" t="s">
        <v>45</v>
      </c>
      <c r="K9340" t="s">
        <v>41138</v>
      </c>
      <c r="L9340" t="s">
        <v>41015</v>
      </c>
      <c r="M9340" t="s">
        <v>46</v>
      </c>
      <c r="N9340" t="s">
        <v>23115</v>
      </c>
      <c r="O9340" t="s">
        <v>41017</v>
      </c>
      <c r="P9340" t="s">
        <v>41139</v>
      </c>
      <c r="Q9340" t="s">
        <v>41647</v>
      </c>
      <c r="R9340">
        <v>34</v>
      </c>
      <c r="S9340">
        <v>64</v>
      </c>
    </row>
    <row r="9341" spans="1:19" x14ac:dyDescent="0.35">
      <c r="A9341">
        <v>3164</v>
      </c>
      <c r="B9341" t="s">
        <v>40201</v>
      </c>
      <c r="C9341" t="s">
        <v>42</v>
      </c>
      <c r="D9341" t="s">
        <v>40202</v>
      </c>
      <c r="E9341" t="e" cm="1">
        <f t="array" ref="E9341">- MAGNESIUM HYDROXIDE. SIMETHICONE. DRIED ALUMINIUM HYDROXIDE GEL</f>
        <v>#NAME?</v>
      </c>
      <c r="F9341" t="s">
        <v>40203</v>
      </c>
      <c r="G9341" t="s">
        <v>40204</v>
      </c>
      <c r="H9341" t="s">
        <v>40205</v>
      </c>
      <c r="I9341" t="s">
        <v>40206</v>
      </c>
      <c r="J9341" t="s">
        <v>1144</v>
      </c>
      <c r="K9341" t="s">
        <v>27097</v>
      </c>
      <c r="L9341" t="s">
        <v>40207</v>
      </c>
      <c r="M9341" t="s">
        <v>340</v>
      </c>
      <c r="N9341" t="s">
        <v>10430</v>
      </c>
      <c r="O9341" t="s">
        <v>40208</v>
      </c>
      <c r="P9341" t="s">
        <v>40209</v>
      </c>
      <c r="Q9341" t="s">
        <v>41651</v>
      </c>
      <c r="R9341">
        <v>34</v>
      </c>
      <c r="S9341">
        <v>64</v>
      </c>
    </row>
    <row r="9342" spans="1:19" x14ac:dyDescent="0.35">
      <c r="A9342">
        <v>5325</v>
      </c>
      <c r="B9342" t="s">
        <v>7148</v>
      </c>
      <c r="C9342" t="s">
        <v>42</v>
      </c>
      <c r="D9342" t="s">
        <v>41652</v>
      </c>
      <c r="E9342" t="e" cm="1">
        <f t="array" ref="E9342">- SULFADIAZINE SILVER</f>
        <v>#NAME?</v>
      </c>
      <c r="F9342" s="1">
        <v>193000</v>
      </c>
      <c r="G9342" t="s">
        <v>27723</v>
      </c>
      <c r="H9342" t="s">
        <v>33516</v>
      </c>
      <c r="I9342" t="s">
        <v>41653</v>
      </c>
      <c r="J9342" t="s">
        <v>41654</v>
      </c>
      <c r="L9342" t="s">
        <v>27726</v>
      </c>
      <c r="M9342" t="s">
        <v>1289</v>
      </c>
      <c r="N9342" t="s">
        <v>2849</v>
      </c>
      <c r="O9342" t="s">
        <v>41655</v>
      </c>
      <c r="P9342" t="s">
        <v>27728</v>
      </c>
      <c r="Q9342" t="s">
        <v>41656</v>
      </c>
      <c r="R9342">
        <v>34</v>
      </c>
      <c r="S9342">
        <v>64</v>
      </c>
    </row>
    <row r="9343" spans="1:19" x14ac:dyDescent="0.35">
      <c r="A9343">
        <v>5326</v>
      </c>
      <c r="B9343" t="s">
        <v>7148</v>
      </c>
      <c r="C9343" t="s">
        <v>42</v>
      </c>
      <c r="D9343" t="s">
        <v>41652</v>
      </c>
      <c r="E9343" t="e" cm="1">
        <f t="array" ref="E9343">- SULFADIAZINE SILVER</f>
        <v>#NAME?</v>
      </c>
      <c r="F9343" s="1">
        <v>193000</v>
      </c>
      <c r="G9343" t="s">
        <v>27723</v>
      </c>
      <c r="H9343" t="s">
        <v>33516</v>
      </c>
      <c r="I9343" t="s">
        <v>41653</v>
      </c>
      <c r="J9343" t="s">
        <v>41654</v>
      </c>
      <c r="L9343" t="s">
        <v>27726</v>
      </c>
      <c r="M9343" t="s">
        <v>1289</v>
      </c>
      <c r="N9343" t="s">
        <v>2849</v>
      </c>
      <c r="O9343" t="s">
        <v>41655</v>
      </c>
      <c r="P9343" t="s">
        <v>27728</v>
      </c>
      <c r="Q9343" t="s">
        <v>41656</v>
      </c>
      <c r="R9343">
        <v>34</v>
      </c>
      <c r="S9343">
        <v>64</v>
      </c>
    </row>
    <row r="9344" spans="1:19" x14ac:dyDescent="0.35">
      <c r="A9344">
        <v>9677</v>
      </c>
      <c r="B9344" t="s">
        <v>41040</v>
      </c>
      <c r="C9344" t="s">
        <v>42</v>
      </c>
      <c r="D9344" t="s">
        <v>41041</v>
      </c>
      <c r="E9344" t="e" cm="1">
        <f t="array" ref="E9344">- ATORVASTATIN CALCIUM TRIHYDRATE</f>
        <v>#NAME?</v>
      </c>
      <c r="F9344" t="s">
        <v>41042</v>
      </c>
      <c r="G9344" t="s">
        <v>7219</v>
      </c>
      <c r="H9344" t="s">
        <v>41012</v>
      </c>
      <c r="I9344" t="s">
        <v>41013</v>
      </c>
      <c r="J9344" t="s">
        <v>20983</v>
      </c>
      <c r="K9344" t="s">
        <v>41014</v>
      </c>
      <c r="L9344" t="s">
        <v>41015</v>
      </c>
      <c r="M9344" t="s">
        <v>46</v>
      </c>
      <c r="N9344" t="s">
        <v>23115</v>
      </c>
      <c r="O9344" t="s">
        <v>41017</v>
      </c>
      <c r="P9344" t="s">
        <v>41018</v>
      </c>
      <c r="Q9344" t="s">
        <v>41615</v>
      </c>
      <c r="R9344">
        <v>34</v>
      </c>
      <c r="S9344">
        <v>64</v>
      </c>
    </row>
    <row r="9345" spans="1:19" x14ac:dyDescent="0.35">
      <c r="A9345">
        <v>3073</v>
      </c>
      <c r="B9345" t="s">
        <v>40192</v>
      </c>
      <c r="C9345" t="s">
        <v>42</v>
      </c>
      <c r="D9345" t="s">
        <v>40253</v>
      </c>
      <c r="E9345" t="s">
        <v>41642</v>
      </c>
      <c r="F9345" t="s">
        <v>40254</v>
      </c>
      <c r="G9345" t="s">
        <v>40255</v>
      </c>
      <c r="H9345" t="s">
        <v>40256</v>
      </c>
      <c r="I9345" t="s">
        <v>40196</v>
      </c>
      <c r="J9345" t="s">
        <v>1162</v>
      </c>
      <c r="K9345" t="s">
        <v>40197</v>
      </c>
      <c r="L9345" t="s">
        <v>40257</v>
      </c>
      <c r="M9345" t="s">
        <v>340</v>
      </c>
      <c r="N9345" t="s">
        <v>41643</v>
      </c>
      <c r="O9345" t="s">
        <v>40199</v>
      </c>
      <c r="P9345" t="s">
        <v>37348</v>
      </c>
      <c r="Q9345" t="s">
        <v>41644</v>
      </c>
      <c r="R9345">
        <v>34</v>
      </c>
      <c r="S9345">
        <v>64</v>
      </c>
    </row>
    <row r="9346" spans="1:19" x14ac:dyDescent="0.35">
      <c r="A9346">
        <v>7162</v>
      </c>
      <c r="B9346" t="s">
        <v>41657</v>
      </c>
      <c r="C9346" t="s">
        <v>42</v>
      </c>
      <c r="D9346" t="s">
        <v>41658</v>
      </c>
      <c r="E9346" t="e" cm="1">
        <f t="array" ref="E9346">- TIZANIDINE HYDROCHLORIDE</f>
        <v>#NAME?</v>
      </c>
      <c r="F9346" t="s">
        <v>41659</v>
      </c>
      <c r="G9346" t="s">
        <v>539</v>
      </c>
      <c r="H9346" t="s">
        <v>269</v>
      </c>
      <c r="I9346" t="s">
        <v>41660</v>
      </c>
    </row>
    <row r="9347" spans="1:19" x14ac:dyDescent="0.35">
      <c r="A9347">
        <v>7983</v>
      </c>
      <c r="B9347" t="s">
        <v>41661</v>
      </c>
      <c r="C9347" t="s">
        <v>20</v>
      </c>
      <c r="D9347" t="s">
        <v>41662</v>
      </c>
      <c r="E9347" t="s">
        <v>41663</v>
      </c>
      <c r="F9347" t="s">
        <v>41664</v>
      </c>
      <c r="G9347" t="s">
        <v>41665</v>
      </c>
      <c r="H9347" t="s">
        <v>41666</v>
      </c>
      <c r="I9347" t="s">
        <v>41667</v>
      </c>
      <c r="J9347" t="s">
        <v>41668</v>
      </c>
      <c r="L9347" t="s">
        <v>41669</v>
      </c>
      <c r="M9347" t="s">
        <v>2374</v>
      </c>
      <c r="N9347" t="s">
        <v>41670</v>
      </c>
      <c r="O9347" t="s">
        <v>41671</v>
      </c>
      <c r="P9347" t="s">
        <v>41672</v>
      </c>
      <c r="Q9347" t="s">
        <v>41673</v>
      </c>
      <c r="R9347">
        <v>34</v>
      </c>
      <c r="S9347">
        <v>64</v>
      </c>
    </row>
    <row r="9348" spans="1:19" x14ac:dyDescent="0.35">
      <c r="A9348">
        <v>9795</v>
      </c>
      <c r="B9348" t="s">
        <v>41674</v>
      </c>
      <c r="C9348" t="s">
        <v>42</v>
      </c>
      <c r="D9348" t="s">
        <v>41675</v>
      </c>
      <c r="E9348" t="e" cm="1">
        <f t="array" ref="E9348">- ATORVASTATIN CALCIUM TRIHYDRATE</f>
        <v>#NAME?</v>
      </c>
      <c r="F9348" t="s">
        <v>41676</v>
      </c>
      <c r="G9348" t="s">
        <v>41677</v>
      </c>
      <c r="H9348" t="s">
        <v>41012</v>
      </c>
      <c r="I9348" t="s">
        <v>41013</v>
      </c>
      <c r="J9348" t="s">
        <v>45</v>
      </c>
      <c r="K9348" t="s">
        <v>41014</v>
      </c>
      <c r="L9348" t="s">
        <v>41015</v>
      </c>
      <c r="M9348" t="s">
        <v>46</v>
      </c>
      <c r="N9348" t="s">
        <v>23115</v>
      </c>
      <c r="O9348" t="s">
        <v>41017</v>
      </c>
      <c r="P9348" t="s">
        <v>41678</v>
      </c>
      <c r="Q9348" t="s">
        <v>41679</v>
      </c>
      <c r="R9348">
        <v>34</v>
      </c>
      <c r="S9348">
        <v>64</v>
      </c>
    </row>
    <row r="9349" spans="1:19" x14ac:dyDescent="0.35">
      <c r="A9349">
        <v>3069</v>
      </c>
      <c r="B9349" t="s">
        <v>40192</v>
      </c>
      <c r="C9349" t="s">
        <v>42</v>
      </c>
      <c r="D9349" t="s">
        <v>40193</v>
      </c>
      <c r="E9349" t="s">
        <v>41642</v>
      </c>
      <c r="F9349" t="s">
        <v>23133</v>
      </c>
      <c r="G9349" t="s">
        <v>40194</v>
      </c>
      <c r="H9349" t="s">
        <v>40195</v>
      </c>
      <c r="I9349" t="s">
        <v>40196</v>
      </c>
      <c r="J9349" t="s">
        <v>6679</v>
      </c>
      <c r="K9349" t="s">
        <v>40197</v>
      </c>
      <c r="L9349" t="s">
        <v>40198</v>
      </c>
      <c r="M9349" t="s">
        <v>340</v>
      </c>
      <c r="N9349" t="s">
        <v>41643</v>
      </c>
      <c r="O9349" t="s">
        <v>40199</v>
      </c>
      <c r="P9349" t="s">
        <v>37348</v>
      </c>
      <c r="Q9349" t="s">
        <v>41644</v>
      </c>
      <c r="R9349">
        <v>34</v>
      </c>
      <c r="S9349">
        <v>64</v>
      </c>
    </row>
    <row r="9350" spans="1:19" x14ac:dyDescent="0.35">
      <c r="A9350">
        <v>5658</v>
      </c>
      <c r="B9350" t="s">
        <v>41500</v>
      </c>
      <c r="C9350" t="s">
        <v>42</v>
      </c>
      <c r="D9350" t="s">
        <v>41501</v>
      </c>
      <c r="E9350" t="e" cm="1">
        <f t="array" ref="E9350">- CIPROFLOXACIN HYDROCHLORIDE</f>
        <v>#NAME?</v>
      </c>
      <c r="F9350" t="s">
        <v>41502</v>
      </c>
      <c r="G9350" t="s">
        <v>3083</v>
      </c>
      <c r="H9350" t="s">
        <v>1055</v>
      </c>
      <c r="I9350" t="s">
        <v>41503</v>
      </c>
      <c r="J9350" t="s">
        <v>515</v>
      </c>
      <c r="K9350" t="s">
        <v>41504</v>
      </c>
      <c r="L9350" t="s">
        <v>41131</v>
      </c>
      <c r="M9350" t="s">
        <v>291</v>
      </c>
      <c r="N9350" t="s">
        <v>1624</v>
      </c>
      <c r="O9350" t="s">
        <v>41505</v>
      </c>
      <c r="P9350" t="s">
        <v>41506</v>
      </c>
      <c r="Q9350" t="s">
        <v>41507</v>
      </c>
      <c r="R9350">
        <v>34</v>
      </c>
      <c r="S9350">
        <v>64</v>
      </c>
    </row>
    <row r="9351" spans="1:19" x14ac:dyDescent="0.35">
      <c r="A9351">
        <v>4754</v>
      </c>
      <c r="B9351" t="s">
        <v>40909</v>
      </c>
      <c r="C9351" t="s">
        <v>42</v>
      </c>
      <c r="D9351" t="s">
        <v>40910</v>
      </c>
      <c r="E9351" t="e" cm="1">
        <f t="array" ref="E9351">- CHLORAMPHENICOL. DEXAMETHASONE SODIUM PHOSPHATE</f>
        <v>#NAME?</v>
      </c>
      <c r="F9351" t="s">
        <v>40911</v>
      </c>
      <c r="G9351" t="s">
        <v>40912</v>
      </c>
      <c r="H9351" t="s">
        <v>40913</v>
      </c>
      <c r="I9351" t="s">
        <v>40914</v>
      </c>
      <c r="J9351" t="s">
        <v>11321</v>
      </c>
      <c r="K9351" t="s">
        <v>40915</v>
      </c>
      <c r="L9351" t="s">
        <v>40916</v>
      </c>
      <c r="M9351" t="s">
        <v>824</v>
      </c>
      <c r="N9351" t="s">
        <v>41680</v>
      </c>
      <c r="O9351" t="s">
        <v>40917</v>
      </c>
      <c r="P9351" t="s">
        <v>40918</v>
      </c>
      <c r="Q9351" t="s">
        <v>41681</v>
      </c>
      <c r="R9351">
        <v>34</v>
      </c>
      <c r="S9351">
        <v>64</v>
      </c>
    </row>
    <row r="9352" spans="1:19" x14ac:dyDescent="0.35">
      <c r="A9352">
        <v>5180</v>
      </c>
      <c r="B9352" t="s">
        <v>30031</v>
      </c>
      <c r="C9352" t="s">
        <v>42</v>
      </c>
      <c r="D9352" t="s">
        <v>41627</v>
      </c>
      <c r="E9352" t="e" cm="1">
        <f t="array" ref="E9352">- MICONAZOLE NITRATE</f>
        <v>#NAME?</v>
      </c>
      <c r="F9352" t="s">
        <v>28231</v>
      </c>
      <c r="G9352" t="s">
        <v>41628</v>
      </c>
      <c r="H9352" t="s">
        <v>41629</v>
      </c>
      <c r="I9352" t="s">
        <v>41630</v>
      </c>
      <c r="J9352" t="s">
        <v>17100</v>
      </c>
      <c r="K9352" t="s">
        <v>3952</v>
      </c>
      <c r="L9352" t="s">
        <v>41631</v>
      </c>
      <c r="M9352" t="s">
        <v>1289</v>
      </c>
      <c r="N9352" t="s">
        <v>9389</v>
      </c>
      <c r="O9352" t="s">
        <v>41632</v>
      </c>
      <c r="P9352" t="s">
        <v>41633</v>
      </c>
      <c r="Q9352" t="s">
        <v>41634</v>
      </c>
      <c r="R9352">
        <v>34</v>
      </c>
      <c r="S9352">
        <v>64</v>
      </c>
    </row>
    <row r="9353" spans="1:19" x14ac:dyDescent="0.35">
      <c r="A9353">
        <v>4755</v>
      </c>
      <c r="B9353" t="s">
        <v>40909</v>
      </c>
      <c r="C9353" t="s">
        <v>42</v>
      </c>
      <c r="D9353" t="s">
        <v>40910</v>
      </c>
      <c r="E9353" t="e" cm="1">
        <f t="array" ref="E9353">- CHLORAMPHENICOL. DEXAMETHASONE SODIUM PHOSPHATE</f>
        <v>#NAME?</v>
      </c>
      <c r="F9353" t="s">
        <v>40911</v>
      </c>
      <c r="G9353" t="s">
        <v>40912</v>
      </c>
      <c r="H9353" t="s">
        <v>40913</v>
      </c>
      <c r="I9353" t="s">
        <v>40914</v>
      </c>
      <c r="J9353" t="s">
        <v>11321</v>
      </c>
      <c r="K9353" t="s">
        <v>40915</v>
      </c>
      <c r="L9353" t="s">
        <v>40916</v>
      </c>
      <c r="M9353" t="s">
        <v>824</v>
      </c>
      <c r="N9353" t="s">
        <v>41680</v>
      </c>
      <c r="O9353" t="s">
        <v>40917</v>
      </c>
      <c r="P9353" t="s">
        <v>40918</v>
      </c>
      <c r="Q9353" t="s">
        <v>41681</v>
      </c>
      <c r="R9353">
        <v>34</v>
      </c>
      <c r="S9353">
        <v>64</v>
      </c>
    </row>
    <row r="9354" spans="1:19" x14ac:dyDescent="0.35">
      <c r="A9354">
        <v>3924</v>
      </c>
      <c r="B9354" t="s">
        <v>33851</v>
      </c>
      <c r="C9354" t="s">
        <v>42</v>
      </c>
      <c r="D9354" t="s">
        <v>39337</v>
      </c>
      <c r="E9354" t="s">
        <v>39037</v>
      </c>
      <c r="F9354" t="s">
        <v>39338</v>
      </c>
      <c r="G9354" t="s">
        <v>37581</v>
      </c>
      <c r="H9354" t="s">
        <v>39339</v>
      </c>
      <c r="I9354" t="s">
        <v>39340</v>
      </c>
      <c r="J9354" t="s">
        <v>39341</v>
      </c>
      <c r="K9354" t="s">
        <v>3473</v>
      </c>
      <c r="L9354" t="s">
        <v>39342</v>
      </c>
      <c r="M9354" t="s">
        <v>12262</v>
      </c>
      <c r="N9354" t="s">
        <v>39038</v>
      </c>
      <c r="O9354" t="s">
        <v>39343</v>
      </c>
      <c r="P9354" t="s">
        <v>39344</v>
      </c>
      <c r="Q9354" t="s">
        <v>41682</v>
      </c>
      <c r="R9354">
        <v>34</v>
      </c>
      <c r="S9354">
        <v>64</v>
      </c>
    </row>
    <row r="9355" spans="1:19" x14ac:dyDescent="0.35">
      <c r="A9355">
        <v>9734</v>
      </c>
      <c r="B9355" t="s">
        <v>41683</v>
      </c>
      <c r="C9355" t="s">
        <v>42</v>
      </c>
      <c r="D9355" t="s">
        <v>41684</v>
      </c>
      <c r="E9355" t="e" cm="1">
        <f t="array" ref="E9355">- ATORVASTATIN CALCIUM TRIHYDRATE</f>
        <v>#NAME?</v>
      </c>
      <c r="F9355" t="s">
        <v>41685</v>
      </c>
      <c r="G9355" t="s">
        <v>6310</v>
      </c>
      <c r="H9355" t="s">
        <v>41012</v>
      </c>
      <c r="I9355" t="s">
        <v>41013</v>
      </c>
      <c r="J9355" t="s">
        <v>41093</v>
      </c>
      <c r="K9355" t="s">
        <v>41014</v>
      </c>
      <c r="L9355" t="s">
        <v>41015</v>
      </c>
      <c r="M9355" t="s">
        <v>46</v>
      </c>
      <c r="N9355" t="s">
        <v>23115</v>
      </c>
      <c r="O9355" t="s">
        <v>41017</v>
      </c>
      <c r="P9355" t="s">
        <v>41686</v>
      </c>
      <c r="Q9355" t="s">
        <v>41687</v>
      </c>
      <c r="R9355">
        <v>34</v>
      </c>
      <c r="S9355">
        <v>64</v>
      </c>
    </row>
    <row r="9356" spans="1:19" x14ac:dyDescent="0.35">
      <c r="A9356">
        <v>3070</v>
      </c>
      <c r="B9356" t="s">
        <v>40192</v>
      </c>
      <c r="C9356" t="s">
        <v>42</v>
      </c>
      <c r="D9356" t="s">
        <v>40193</v>
      </c>
      <c r="E9356" t="s">
        <v>41642</v>
      </c>
      <c r="F9356" t="s">
        <v>23133</v>
      </c>
      <c r="G9356" t="s">
        <v>40194</v>
      </c>
      <c r="H9356" t="s">
        <v>40195</v>
      </c>
      <c r="I9356" t="s">
        <v>40196</v>
      </c>
      <c r="J9356" t="s">
        <v>6679</v>
      </c>
      <c r="K9356" t="s">
        <v>40197</v>
      </c>
      <c r="L9356" t="s">
        <v>40198</v>
      </c>
      <c r="M9356" t="s">
        <v>340</v>
      </c>
      <c r="N9356" t="s">
        <v>41643</v>
      </c>
      <c r="O9356" t="s">
        <v>40199</v>
      </c>
      <c r="P9356" t="s">
        <v>37348</v>
      </c>
      <c r="Q9356" t="s">
        <v>41644</v>
      </c>
      <c r="R9356">
        <v>34</v>
      </c>
      <c r="S9356">
        <v>64</v>
      </c>
    </row>
    <row r="9357" spans="1:19" x14ac:dyDescent="0.35">
      <c r="A9357">
        <v>3923</v>
      </c>
      <c r="B9357" t="s">
        <v>33851</v>
      </c>
      <c r="C9357" t="s">
        <v>42</v>
      </c>
      <c r="D9357" t="s">
        <v>39337</v>
      </c>
      <c r="E9357" t="s">
        <v>39037</v>
      </c>
      <c r="F9357" t="s">
        <v>39338</v>
      </c>
      <c r="G9357" t="s">
        <v>37581</v>
      </c>
      <c r="H9357" t="s">
        <v>39339</v>
      </c>
      <c r="I9357" t="s">
        <v>39340</v>
      </c>
      <c r="J9357" t="s">
        <v>39341</v>
      </c>
      <c r="K9357" t="s">
        <v>3473</v>
      </c>
      <c r="L9357" t="s">
        <v>39342</v>
      </c>
      <c r="M9357" t="s">
        <v>12262</v>
      </c>
      <c r="N9357" t="s">
        <v>39038</v>
      </c>
      <c r="O9357" t="s">
        <v>39343</v>
      </c>
      <c r="P9357" t="s">
        <v>39344</v>
      </c>
      <c r="Q9357" t="s">
        <v>41682</v>
      </c>
      <c r="R9357">
        <v>34</v>
      </c>
      <c r="S9357">
        <v>64</v>
      </c>
    </row>
    <row r="9358" spans="1:19" x14ac:dyDescent="0.35">
      <c r="A9358">
        <v>7064</v>
      </c>
      <c r="B9358" t="s">
        <v>1803</v>
      </c>
      <c r="C9358" t="s">
        <v>42</v>
      </c>
      <c r="D9358" t="s">
        <v>41688</v>
      </c>
      <c r="E9358" t="e" cm="1">
        <f t="array" ref="E9358">- TIZANIDINE HYDROCHLORIDE</f>
        <v>#NAME?</v>
      </c>
      <c r="F9358" t="s">
        <v>41689</v>
      </c>
      <c r="G9358" t="s">
        <v>41690</v>
      </c>
      <c r="H9358" t="s">
        <v>1322</v>
      </c>
      <c r="I9358" t="s">
        <v>41691</v>
      </c>
      <c r="J9358" t="s">
        <v>41692</v>
      </c>
      <c r="M9358" t="s">
        <v>46</v>
      </c>
      <c r="N9358" t="s">
        <v>1806</v>
      </c>
      <c r="O9358" t="s">
        <v>41693</v>
      </c>
      <c r="P9358" t="s">
        <v>41694</v>
      </c>
      <c r="Q9358" t="s">
        <v>41695</v>
      </c>
      <c r="R9358">
        <v>34</v>
      </c>
      <c r="S9358">
        <v>64</v>
      </c>
    </row>
    <row r="9359" spans="1:19" x14ac:dyDescent="0.35">
      <c r="A9359">
        <v>3920</v>
      </c>
      <c r="B9359" t="s">
        <v>33851</v>
      </c>
      <c r="C9359" t="s">
        <v>42</v>
      </c>
      <c r="D9359" t="s">
        <v>39337</v>
      </c>
      <c r="E9359" t="s">
        <v>39694</v>
      </c>
      <c r="F9359" t="s">
        <v>39338</v>
      </c>
      <c r="G9359" t="s">
        <v>37581</v>
      </c>
      <c r="H9359" t="s">
        <v>39339</v>
      </c>
      <c r="I9359" t="s">
        <v>39340</v>
      </c>
      <c r="J9359" t="s">
        <v>39341</v>
      </c>
      <c r="K9359" t="s">
        <v>3473</v>
      </c>
      <c r="L9359" t="s">
        <v>39342</v>
      </c>
      <c r="M9359" t="s">
        <v>12262</v>
      </c>
      <c r="N9359" t="s">
        <v>39695</v>
      </c>
      <c r="O9359" t="s">
        <v>39343</v>
      </c>
      <c r="P9359" t="s">
        <v>39344</v>
      </c>
      <c r="Q9359" t="s">
        <v>41696</v>
      </c>
      <c r="R9359">
        <v>35</v>
      </c>
      <c r="S9359">
        <v>64</v>
      </c>
    </row>
    <row r="9360" spans="1:19" x14ac:dyDescent="0.35">
      <c r="A9360">
        <v>2720</v>
      </c>
      <c r="B9360" t="s">
        <v>41697</v>
      </c>
      <c r="C9360" t="s">
        <v>42</v>
      </c>
      <c r="D9360" t="s">
        <v>41698</v>
      </c>
      <c r="E9360" t="e" cm="1">
        <f t="array" ref="E9360">- DICLOFENAC POTASSIUM</f>
        <v>#NAME?</v>
      </c>
      <c r="F9360" t="s">
        <v>41699</v>
      </c>
      <c r="G9360" t="s">
        <v>41700</v>
      </c>
      <c r="H9360" t="s">
        <v>41701</v>
      </c>
      <c r="I9360" t="s">
        <v>41702</v>
      </c>
      <c r="J9360" t="s">
        <v>41703</v>
      </c>
      <c r="L9360" t="s">
        <v>41704</v>
      </c>
      <c r="M9360" t="s">
        <v>271</v>
      </c>
      <c r="N9360" t="s">
        <v>2637</v>
      </c>
      <c r="O9360" t="s">
        <v>41705</v>
      </c>
      <c r="P9360" t="s">
        <v>41706</v>
      </c>
      <c r="Q9360" t="s">
        <v>41707</v>
      </c>
      <c r="R9360">
        <v>35</v>
      </c>
      <c r="S9360">
        <v>64</v>
      </c>
    </row>
    <row r="9361" spans="1:19" x14ac:dyDescent="0.35">
      <c r="A9361">
        <v>7122</v>
      </c>
      <c r="B9361" t="s">
        <v>41708</v>
      </c>
      <c r="C9361" t="s">
        <v>42</v>
      </c>
      <c r="D9361" t="s">
        <v>41709</v>
      </c>
      <c r="E9361" t="e" cm="1">
        <f t="array" ref="E9361">- DICLOFENAC DIETHYLAMINE</f>
        <v>#NAME?</v>
      </c>
      <c r="F9361" t="s">
        <v>41710</v>
      </c>
      <c r="G9361" t="s">
        <v>41711</v>
      </c>
      <c r="H9361" t="s">
        <v>41712</v>
      </c>
      <c r="I9361" t="s">
        <v>41713</v>
      </c>
      <c r="J9361" t="s">
        <v>7959</v>
      </c>
      <c r="K9361" t="s">
        <v>41714</v>
      </c>
      <c r="L9361" t="s">
        <v>41715</v>
      </c>
      <c r="M9361" t="s">
        <v>87</v>
      </c>
      <c r="N9361" t="s">
        <v>1958</v>
      </c>
      <c r="O9361" t="s">
        <v>41716</v>
      </c>
      <c r="P9361" t="s">
        <v>41717</v>
      </c>
      <c r="Q9361" t="s">
        <v>41718</v>
      </c>
      <c r="R9361">
        <v>35</v>
      </c>
      <c r="S9361">
        <v>64</v>
      </c>
    </row>
    <row r="9362" spans="1:19" x14ac:dyDescent="0.35">
      <c r="A9362">
        <v>7124</v>
      </c>
      <c r="B9362" t="s">
        <v>41708</v>
      </c>
      <c r="C9362" t="s">
        <v>42</v>
      </c>
      <c r="D9362" t="s">
        <v>41709</v>
      </c>
      <c r="E9362" t="e" cm="1">
        <f t="array" ref="E9362">- DICLOFENAC DIETHYLAMINE</f>
        <v>#NAME?</v>
      </c>
      <c r="F9362" t="s">
        <v>41710</v>
      </c>
      <c r="G9362" t="s">
        <v>41711</v>
      </c>
      <c r="H9362" t="s">
        <v>41712</v>
      </c>
      <c r="I9362" t="s">
        <v>41713</v>
      </c>
      <c r="J9362" t="s">
        <v>7959</v>
      </c>
      <c r="K9362" t="s">
        <v>41714</v>
      </c>
      <c r="L9362" t="s">
        <v>41715</v>
      </c>
      <c r="M9362" t="s">
        <v>87</v>
      </c>
      <c r="N9362" t="s">
        <v>1958</v>
      </c>
      <c r="O9362" t="s">
        <v>41716</v>
      </c>
      <c r="P9362" t="s">
        <v>41717</v>
      </c>
      <c r="Q9362" t="s">
        <v>41718</v>
      </c>
      <c r="R9362">
        <v>35</v>
      </c>
      <c r="S9362">
        <v>64</v>
      </c>
    </row>
    <row r="9363" spans="1:19" x14ac:dyDescent="0.35">
      <c r="A9363">
        <v>9977</v>
      </c>
      <c r="B9363" t="s">
        <v>41719</v>
      </c>
      <c r="C9363" t="s">
        <v>42</v>
      </c>
      <c r="D9363" t="s">
        <v>41720</v>
      </c>
      <c r="E9363" t="e" cm="1">
        <f t="array" ref="E9363">- EDOXABEN TOSYLATE</f>
        <v>#NAME?</v>
      </c>
      <c r="F9363" t="s">
        <v>41721</v>
      </c>
      <c r="G9363" t="s">
        <v>41722</v>
      </c>
      <c r="H9363" t="s">
        <v>41723</v>
      </c>
      <c r="I9363" t="s">
        <v>41724</v>
      </c>
      <c r="J9363" t="s">
        <v>41725</v>
      </c>
      <c r="K9363" t="s">
        <v>2726</v>
      </c>
      <c r="L9363" t="s">
        <v>12469</v>
      </c>
      <c r="M9363" t="s">
        <v>46</v>
      </c>
      <c r="N9363" t="s">
        <v>41726</v>
      </c>
      <c r="O9363" t="s">
        <v>41727</v>
      </c>
      <c r="P9363" t="s">
        <v>41728</v>
      </c>
      <c r="Q9363" t="s">
        <v>41729</v>
      </c>
      <c r="R9363">
        <v>35</v>
      </c>
      <c r="S9363">
        <v>64</v>
      </c>
    </row>
    <row r="9364" spans="1:19" x14ac:dyDescent="0.35">
      <c r="A9364">
        <v>9975</v>
      </c>
      <c r="B9364" t="s">
        <v>41719</v>
      </c>
      <c r="C9364" t="s">
        <v>42</v>
      </c>
      <c r="D9364" t="s">
        <v>41720</v>
      </c>
      <c r="E9364" t="e" cm="1">
        <f t="array" ref="E9364">- EDOXABAN TOSYLATE</f>
        <v>#NAME?</v>
      </c>
      <c r="F9364" t="s">
        <v>41721</v>
      </c>
      <c r="G9364" t="s">
        <v>41722</v>
      </c>
      <c r="H9364" t="s">
        <v>41723</v>
      </c>
      <c r="I9364" t="s">
        <v>41724</v>
      </c>
      <c r="J9364" t="s">
        <v>41725</v>
      </c>
      <c r="K9364" t="s">
        <v>2726</v>
      </c>
      <c r="L9364" t="s">
        <v>12469</v>
      </c>
      <c r="M9364" t="s">
        <v>46</v>
      </c>
      <c r="N9364" t="s">
        <v>41730</v>
      </c>
      <c r="O9364" t="s">
        <v>41727</v>
      </c>
      <c r="P9364" t="s">
        <v>41728</v>
      </c>
      <c r="Q9364" t="s">
        <v>41731</v>
      </c>
      <c r="R9364">
        <v>35</v>
      </c>
      <c r="S9364">
        <v>64</v>
      </c>
    </row>
    <row r="9365" spans="1:19" x14ac:dyDescent="0.35">
      <c r="A9365">
        <v>3922</v>
      </c>
      <c r="B9365" t="s">
        <v>33851</v>
      </c>
      <c r="C9365" t="s">
        <v>42</v>
      </c>
      <c r="D9365" t="s">
        <v>39337</v>
      </c>
      <c r="E9365" t="s">
        <v>39694</v>
      </c>
      <c r="F9365" t="s">
        <v>39338</v>
      </c>
      <c r="G9365" t="s">
        <v>37581</v>
      </c>
      <c r="H9365" t="s">
        <v>39339</v>
      </c>
      <c r="I9365" t="s">
        <v>39340</v>
      </c>
      <c r="J9365" t="s">
        <v>39341</v>
      </c>
      <c r="K9365" t="s">
        <v>3473</v>
      </c>
      <c r="L9365" t="s">
        <v>39342</v>
      </c>
      <c r="M9365" t="s">
        <v>12262</v>
      </c>
      <c r="N9365" t="s">
        <v>39695</v>
      </c>
      <c r="O9365" t="s">
        <v>39343</v>
      </c>
      <c r="P9365" t="s">
        <v>39344</v>
      </c>
      <c r="Q9365" t="s">
        <v>41696</v>
      </c>
      <c r="R9365">
        <v>35</v>
      </c>
      <c r="S9365">
        <v>64</v>
      </c>
    </row>
    <row r="9366" spans="1:19" x14ac:dyDescent="0.35">
      <c r="A9366">
        <v>9976</v>
      </c>
      <c r="B9366" t="s">
        <v>41719</v>
      </c>
      <c r="C9366" t="s">
        <v>42</v>
      </c>
      <c r="D9366" t="s">
        <v>41720</v>
      </c>
      <c r="E9366" t="e" cm="1">
        <f t="array" ref="E9366">- EDOXABEN TOSYLATE</f>
        <v>#NAME?</v>
      </c>
      <c r="F9366" t="s">
        <v>41721</v>
      </c>
      <c r="G9366" t="s">
        <v>41722</v>
      </c>
      <c r="H9366" t="s">
        <v>41723</v>
      </c>
      <c r="I9366" t="s">
        <v>41724</v>
      </c>
      <c r="J9366" t="s">
        <v>41725</v>
      </c>
      <c r="K9366" t="s">
        <v>2726</v>
      </c>
      <c r="L9366" t="s">
        <v>12469</v>
      </c>
      <c r="M9366" t="s">
        <v>46</v>
      </c>
      <c r="N9366" t="s">
        <v>41726</v>
      </c>
      <c r="O9366" t="s">
        <v>41727</v>
      </c>
      <c r="P9366" t="s">
        <v>41728</v>
      </c>
      <c r="Q9366" t="s">
        <v>41729</v>
      </c>
      <c r="R9366">
        <v>35</v>
      </c>
      <c r="S9366">
        <v>64</v>
      </c>
    </row>
    <row r="9367" spans="1:19" x14ac:dyDescent="0.35">
      <c r="A9367">
        <v>7123</v>
      </c>
      <c r="B9367" t="s">
        <v>41708</v>
      </c>
      <c r="C9367" t="s">
        <v>42</v>
      </c>
      <c r="D9367" t="s">
        <v>41709</v>
      </c>
      <c r="E9367" t="e" cm="1">
        <f t="array" ref="E9367">- DICLOFENAC DIETHYLAMINE</f>
        <v>#NAME?</v>
      </c>
      <c r="F9367" t="s">
        <v>41710</v>
      </c>
      <c r="G9367" t="s">
        <v>41711</v>
      </c>
      <c r="H9367" t="s">
        <v>41712</v>
      </c>
      <c r="I9367" t="s">
        <v>41713</v>
      </c>
      <c r="J9367" t="s">
        <v>7959</v>
      </c>
      <c r="K9367" t="s">
        <v>41714</v>
      </c>
      <c r="L9367" t="s">
        <v>41715</v>
      </c>
      <c r="M9367" t="s">
        <v>87</v>
      </c>
      <c r="N9367" t="s">
        <v>1958</v>
      </c>
      <c r="O9367" t="s">
        <v>41716</v>
      </c>
      <c r="P9367" t="s">
        <v>41717</v>
      </c>
      <c r="Q9367" t="s">
        <v>41718</v>
      </c>
      <c r="R9367">
        <v>35</v>
      </c>
      <c r="S9367">
        <v>64</v>
      </c>
    </row>
    <row r="9368" spans="1:19" x14ac:dyDescent="0.35">
      <c r="A9368">
        <v>9974</v>
      </c>
      <c r="B9368" t="s">
        <v>41719</v>
      </c>
      <c r="C9368" t="s">
        <v>42</v>
      </c>
      <c r="D9368" t="s">
        <v>41720</v>
      </c>
      <c r="E9368" t="e" cm="1">
        <f t="array" ref="E9368">- EDOXABAN TOSYLATE</f>
        <v>#NAME?</v>
      </c>
      <c r="F9368" t="s">
        <v>41721</v>
      </c>
      <c r="G9368" t="s">
        <v>41722</v>
      </c>
      <c r="H9368" t="s">
        <v>41723</v>
      </c>
      <c r="I9368" t="s">
        <v>41724</v>
      </c>
      <c r="J9368" t="s">
        <v>41725</v>
      </c>
      <c r="K9368" t="s">
        <v>2726</v>
      </c>
      <c r="L9368" t="s">
        <v>12469</v>
      </c>
      <c r="M9368" t="s">
        <v>46</v>
      </c>
      <c r="N9368" t="s">
        <v>41730</v>
      </c>
      <c r="O9368" t="s">
        <v>41727</v>
      </c>
      <c r="P9368" t="s">
        <v>41728</v>
      </c>
      <c r="Q9368" t="s">
        <v>41731</v>
      </c>
      <c r="R9368">
        <v>35</v>
      </c>
      <c r="S9368">
        <v>64</v>
      </c>
    </row>
    <row r="9369" spans="1:19" x14ac:dyDescent="0.35">
      <c r="A9369">
        <v>6289</v>
      </c>
      <c r="B9369" t="s">
        <v>41732</v>
      </c>
      <c r="C9369" t="s">
        <v>42</v>
      </c>
      <c r="D9369" t="s">
        <v>41733</v>
      </c>
      <c r="E9369" t="e" cm="1">
        <f t="array" ref="E9369">- CIPROFLOXACIN</f>
        <v>#NAME?</v>
      </c>
      <c r="F9369" t="s">
        <v>18833</v>
      </c>
      <c r="G9369" t="s">
        <v>4913</v>
      </c>
      <c r="H9369" t="s">
        <v>1055</v>
      </c>
      <c r="I9369" t="s">
        <v>41734</v>
      </c>
    </row>
    <row r="9370" spans="1:19" x14ac:dyDescent="0.35">
      <c r="A9370">
        <v>3921</v>
      </c>
      <c r="B9370" t="s">
        <v>33851</v>
      </c>
      <c r="C9370" t="s">
        <v>42</v>
      </c>
      <c r="D9370" t="s">
        <v>39337</v>
      </c>
      <c r="E9370" t="s">
        <v>39703</v>
      </c>
      <c r="F9370" t="s">
        <v>39338</v>
      </c>
      <c r="G9370" t="s">
        <v>37581</v>
      </c>
      <c r="H9370" t="s">
        <v>39339</v>
      </c>
      <c r="I9370" t="s">
        <v>39340</v>
      </c>
      <c r="J9370" t="s">
        <v>39341</v>
      </c>
      <c r="K9370" t="s">
        <v>3473</v>
      </c>
      <c r="L9370" t="s">
        <v>39342</v>
      </c>
      <c r="M9370" t="s">
        <v>12262</v>
      </c>
      <c r="N9370" t="s">
        <v>39704</v>
      </c>
      <c r="O9370" t="s">
        <v>39343</v>
      </c>
      <c r="P9370" t="s">
        <v>39344</v>
      </c>
      <c r="Q9370" t="s">
        <v>41735</v>
      </c>
      <c r="R9370">
        <v>35</v>
      </c>
      <c r="S9370">
        <v>64</v>
      </c>
    </row>
    <row r="9371" spans="1:19" x14ac:dyDescent="0.35">
      <c r="A9371">
        <v>3063</v>
      </c>
      <c r="B9371" t="s">
        <v>41736</v>
      </c>
      <c r="C9371" t="s">
        <v>42</v>
      </c>
      <c r="D9371" t="s">
        <v>41737</v>
      </c>
      <c r="E9371" t="e" cm="1">
        <f t="array" ref="E9371">- ALUMINIUM HYDROXIDE</f>
        <v>#NAME?</v>
      </c>
      <c r="F9371" t="s">
        <v>41738</v>
      </c>
      <c r="G9371" t="s">
        <v>41739</v>
      </c>
      <c r="H9371" t="s">
        <v>41740</v>
      </c>
      <c r="I9371" t="s">
        <v>41741</v>
      </c>
    </row>
    <row r="9372" spans="1:19" x14ac:dyDescent="0.35">
      <c r="A9372">
        <v>3919</v>
      </c>
      <c r="B9372" t="s">
        <v>33851</v>
      </c>
      <c r="C9372" t="s">
        <v>42</v>
      </c>
      <c r="D9372" t="s">
        <v>39337</v>
      </c>
      <c r="E9372" t="s">
        <v>39703</v>
      </c>
      <c r="F9372" t="s">
        <v>39338</v>
      </c>
      <c r="G9372" t="s">
        <v>37581</v>
      </c>
      <c r="H9372" t="s">
        <v>39339</v>
      </c>
      <c r="I9372" t="s">
        <v>39340</v>
      </c>
      <c r="J9372" t="s">
        <v>39341</v>
      </c>
      <c r="K9372" t="s">
        <v>3473</v>
      </c>
      <c r="L9372" t="s">
        <v>39342</v>
      </c>
      <c r="M9372" t="s">
        <v>12262</v>
      </c>
      <c r="N9372" t="s">
        <v>39704</v>
      </c>
      <c r="O9372" t="s">
        <v>39343</v>
      </c>
      <c r="P9372" t="s">
        <v>39344</v>
      </c>
      <c r="Q9372" t="s">
        <v>41735</v>
      </c>
      <c r="R9372">
        <v>35</v>
      </c>
      <c r="S9372">
        <v>64</v>
      </c>
    </row>
    <row r="9373" spans="1:19" x14ac:dyDescent="0.35">
      <c r="A9373">
        <v>6677</v>
      </c>
      <c r="B9373" t="s">
        <v>41742</v>
      </c>
      <c r="C9373" t="s">
        <v>42</v>
      </c>
      <c r="D9373" t="s">
        <v>41743</v>
      </c>
      <c r="E9373" t="e" cm="1">
        <f t="array" ref="E9373">- ACICLOVIR</f>
        <v>#NAME?</v>
      </c>
      <c r="F9373" t="s">
        <v>41744</v>
      </c>
      <c r="G9373" t="s">
        <v>4545</v>
      </c>
      <c r="H9373" t="s">
        <v>41745</v>
      </c>
      <c r="I9373" t="s">
        <v>41746</v>
      </c>
      <c r="J9373" t="s">
        <v>381</v>
      </c>
      <c r="K9373" t="s">
        <v>41747</v>
      </c>
      <c r="L9373" t="s">
        <v>41748</v>
      </c>
      <c r="M9373" t="s">
        <v>46</v>
      </c>
      <c r="N9373" t="s">
        <v>1685</v>
      </c>
      <c r="O9373" t="s">
        <v>41749</v>
      </c>
      <c r="P9373" t="s">
        <v>41750</v>
      </c>
      <c r="Q9373" t="s">
        <v>41751</v>
      </c>
      <c r="R9373">
        <v>35</v>
      </c>
      <c r="S9373">
        <v>64</v>
      </c>
    </row>
    <row r="9374" spans="1:19" x14ac:dyDescent="0.35">
      <c r="A9374">
        <v>7120</v>
      </c>
      <c r="B9374" t="s">
        <v>41708</v>
      </c>
      <c r="C9374" t="s">
        <v>42</v>
      </c>
      <c r="D9374" t="s">
        <v>41709</v>
      </c>
      <c r="E9374" t="e" cm="1">
        <f t="array" ref="E9374">- DICLOFENAC DIETHYLAMINE</f>
        <v>#NAME?</v>
      </c>
      <c r="F9374" t="s">
        <v>41710</v>
      </c>
      <c r="G9374" t="s">
        <v>41711</v>
      </c>
      <c r="H9374" t="s">
        <v>41712</v>
      </c>
      <c r="I9374" t="s">
        <v>41713</v>
      </c>
      <c r="J9374" t="s">
        <v>7959</v>
      </c>
      <c r="K9374" t="s">
        <v>41714</v>
      </c>
      <c r="L9374" t="s">
        <v>41715</v>
      </c>
      <c r="M9374" t="s">
        <v>87</v>
      </c>
      <c r="N9374" t="s">
        <v>1958</v>
      </c>
      <c r="O9374" t="s">
        <v>41716</v>
      </c>
      <c r="P9374" t="s">
        <v>41717</v>
      </c>
      <c r="Q9374" t="s">
        <v>41718</v>
      </c>
      <c r="R9374">
        <v>35</v>
      </c>
      <c r="S9374">
        <v>64</v>
      </c>
    </row>
    <row r="9375" spans="1:19" x14ac:dyDescent="0.35">
      <c r="A9375">
        <v>6676</v>
      </c>
      <c r="B9375" t="s">
        <v>41742</v>
      </c>
      <c r="C9375" t="s">
        <v>42</v>
      </c>
      <c r="D9375" t="s">
        <v>41743</v>
      </c>
      <c r="E9375" t="e" cm="1">
        <f t="array" ref="E9375">- ACICLOVIR</f>
        <v>#NAME?</v>
      </c>
      <c r="F9375" t="s">
        <v>41744</v>
      </c>
      <c r="G9375" t="s">
        <v>4545</v>
      </c>
      <c r="H9375" t="s">
        <v>41745</v>
      </c>
      <c r="I9375" t="s">
        <v>41746</v>
      </c>
      <c r="J9375" t="s">
        <v>381</v>
      </c>
      <c r="K9375" t="s">
        <v>41747</v>
      </c>
      <c r="L9375" t="s">
        <v>41748</v>
      </c>
      <c r="M9375" t="s">
        <v>46</v>
      </c>
      <c r="N9375" t="s">
        <v>1685</v>
      </c>
      <c r="O9375" t="s">
        <v>41749</v>
      </c>
      <c r="P9375" t="s">
        <v>41750</v>
      </c>
      <c r="Q9375" t="s">
        <v>41751</v>
      </c>
      <c r="R9375">
        <v>35</v>
      </c>
      <c r="S9375">
        <v>64</v>
      </c>
    </row>
    <row r="9376" spans="1:19" x14ac:dyDescent="0.35">
      <c r="A9376">
        <v>7107</v>
      </c>
      <c r="B9376" t="s">
        <v>41708</v>
      </c>
      <c r="C9376" t="s">
        <v>42</v>
      </c>
      <c r="D9376" t="s">
        <v>41752</v>
      </c>
      <c r="E9376" t="e" cm="1">
        <f t="array" ref="E9376">- DICLOFENAC DIETHYLAMINE</f>
        <v>#NAME?</v>
      </c>
      <c r="F9376" t="s">
        <v>41753</v>
      </c>
      <c r="G9376" t="s">
        <v>41711</v>
      </c>
      <c r="H9376" t="s">
        <v>41712</v>
      </c>
      <c r="I9376" t="s">
        <v>41713</v>
      </c>
      <c r="J9376" t="s">
        <v>24155</v>
      </c>
      <c r="K9376" t="s">
        <v>41714</v>
      </c>
      <c r="L9376" t="s">
        <v>41715</v>
      </c>
      <c r="M9376" t="s">
        <v>87</v>
      </c>
      <c r="N9376" t="s">
        <v>1958</v>
      </c>
      <c r="O9376" t="s">
        <v>41716</v>
      </c>
      <c r="P9376" t="s">
        <v>41717</v>
      </c>
      <c r="Q9376" t="s">
        <v>41718</v>
      </c>
      <c r="R9376">
        <v>35</v>
      </c>
      <c r="S9376">
        <v>64</v>
      </c>
    </row>
    <row r="9377" spans="1:19" x14ac:dyDescent="0.35">
      <c r="A9377">
        <v>7106</v>
      </c>
      <c r="B9377" t="s">
        <v>41708</v>
      </c>
      <c r="C9377" t="s">
        <v>42</v>
      </c>
      <c r="D9377" t="s">
        <v>41752</v>
      </c>
      <c r="E9377" t="e" cm="1">
        <f t="array" ref="E9377">- DICLOFENAC DIETHYLAMINE</f>
        <v>#NAME?</v>
      </c>
      <c r="F9377" t="s">
        <v>41753</v>
      </c>
      <c r="G9377" t="s">
        <v>41711</v>
      </c>
      <c r="H9377" t="s">
        <v>41712</v>
      </c>
      <c r="I9377" t="s">
        <v>41713</v>
      </c>
      <c r="J9377" t="s">
        <v>24155</v>
      </c>
      <c r="K9377" t="s">
        <v>41714</v>
      </c>
      <c r="L9377" t="s">
        <v>41715</v>
      </c>
      <c r="M9377" t="s">
        <v>87</v>
      </c>
      <c r="N9377" t="s">
        <v>1958</v>
      </c>
      <c r="O9377" t="s">
        <v>41716</v>
      </c>
      <c r="P9377" t="s">
        <v>41717</v>
      </c>
      <c r="Q9377" t="s">
        <v>41718</v>
      </c>
      <c r="R9377">
        <v>35</v>
      </c>
      <c r="S9377">
        <v>64</v>
      </c>
    </row>
    <row r="9378" spans="1:19" x14ac:dyDescent="0.35">
      <c r="A9378">
        <v>7105</v>
      </c>
      <c r="B9378" t="s">
        <v>41708</v>
      </c>
      <c r="C9378" t="s">
        <v>42</v>
      </c>
      <c r="D9378" t="s">
        <v>41752</v>
      </c>
      <c r="E9378" t="e" cm="1">
        <f t="array" ref="E9378">- DICLOFENAC DIETHYLAMINE</f>
        <v>#NAME?</v>
      </c>
      <c r="F9378" t="s">
        <v>41753</v>
      </c>
      <c r="G9378" t="s">
        <v>41711</v>
      </c>
      <c r="H9378" t="s">
        <v>41712</v>
      </c>
      <c r="I9378" t="s">
        <v>41713</v>
      </c>
      <c r="J9378" t="s">
        <v>24155</v>
      </c>
      <c r="K9378" t="s">
        <v>41714</v>
      </c>
      <c r="L9378" t="s">
        <v>41715</v>
      </c>
      <c r="M9378" t="s">
        <v>87</v>
      </c>
      <c r="N9378" t="s">
        <v>1958</v>
      </c>
      <c r="O9378" t="s">
        <v>41716</v>
      </c>
      <c r="P9378" t="s">
        <v>41717</v>
      </c>
      <c r="Q9378" t="s">
        <v>41718</v>
      </c>
      <c r="R9378">
        <v>35</v>
      </c>
      <c r="S9378">
        <v>64</v>
      </c>
    </row>
    <row r="9379" spans="1:19" x14ac:dyDescent="0.35">
      <c r="A9379">
        <v>3035</v>
      </c>
      <c r="B9379" t="s">
        <v>36758</v>
      </c>
      <c r="C9379" t="s">
        <v>42</v>
      </c>
      <c r="D9379" t="s">
        <v>40392</v>
      </c>
      <c r="E9379" t="e" cm="1">
        <f t="array" ref="E9379">- SIMETHICONE. ALUMINIUM HYDROXIDE GEL. MAGNESIUM HYDROXIDE PASTE</f>
        <v>#NAME?</v>
      </c>
      <c r="F9379" t="s">
        <v>40393</v>
      </c>
      <c r="G9379" t="s">
        <v>39452</v>
      </c>
      <c r="H9379" t="s">
        <v>39453</v>
      </c>
      <c r="I9379" t="s">
        <v>40394</v>
      </c>
      <c r="J9379" t="s">
        <v>374</v>
      </c>
      <c r="K9379" t="s">
        <v>40395</v>
      </c>
      <c r="L9379" t="s">
        <v>40396</v>
      </c>
      <c r="M9379" t="s">
        <v>340</v>
      </c>
      <c r="N9379" t="s">
        <v>40174</v>
      </c>
      <c r="O9379" t="s">
        <v>40397</v>
      </c>
      <c r="P9379" t="s">
        <v>23220</v>
      </c>
      <c r="Q9379" t="s">
        <v>41754</v>
      </c>
      <c r="R9379">
        <v>35</v>
      </c>
      <c r="S9379">
        <v>64</v>
      </c>
    </row>
    <row r="9380" spans="1:19" x14ac:dyDescent="0.35">
      <c r="A9380">
        <v>3034</v>
      </c>
      <c r="B9380" t="s">
        <v>36758</v>
      </c>
      <c r="C9380" t="s">
        <v>42</v>
      </c>
      <c r="D9380" t="s">
        <v>40392</v>
      </c>
      <c r="E9380" t="e" cm="1">
        <f t="array" ref="E9380">- SIMETHICONE. ALUMINIUM HYDROXIDE GEL. MAGNESIUM HYDROXIDE PASTE</f>
        <v>#NAME?</v>
      </c>
      <c r="F9380" t="s">
        <v>40393</v>
      </c>
      <c r="G9380" t="s">
        <v>39452</v>
      </c>
      <c r="H9380" t="s">
        <v>39453</v>
      </c>
      <c r="I9380" t="s">
        <v>40394</v>
      </c>
      <c r="J9380" t="s">
        <v>374</v>
      </c>
      <c r="K9380" t="s">
        <v>40395</v>
      </c>
      <c r="L9380" t="s">
        <v>40396</v>
      </c>
      <c r="M9380" t="s">
        <v>340</v>
      </c>
      <c r="N9380" t="s">
        <v>40174</v>
      </c>
      <c r="O9380" t="s">
        <v>40397</v>
      </c>
      <c r="P9380" t="s">
        <v>23220</v>
      </c>
      <c r="Q9380" t="s">
        <v>41754</v>
      </c>
      <c r="R9380">
        <v>35</v>
      </c>
      <c r="S9380">
        <v>64</v>
      </c>
    </row>
    <row r="9381" spans="1:19" x14ac:dyDescent="0.35">
      <c r="A9381">
        <v>6675</v>
      </c>
      <c r="B9381" t="s">
        <v>41742</v>
      </c>
      <c r="C9381" t="s">
        <v>42</v>
      </c>
      <c r="D9381" t="s">
        <v>41743</v>
      </c>
      <c r="E9381" t="e" cm="1">
        <f t="array" ref="E9381">- ACICLOVIR</f>
        <v>#NAME?</v>
      </c>
      <c r="F9381" t="s">
        <v>41744</v>
      </c>
      <c r="G9381" t="s">
        <v>4545</v>
      </c>
      <c r="H9381" t="s">
        <v>41745</v>
      </c>
      <c r="I9381" t="s">
        <v>41746</v>
      </c>
      <c r="J9381" t="s">
        <v>381</v>
      </c>
      <c r="K9381" t="s">
        <v>41747</v>
      </c>
      <c r="L9381" t="s">
        <v>41748</v>
      </c>
      <c r="M9381" t="s">
        <v>46</v>
      </c>
      <c r="N9381" t="s">
        <v>1685</v>
      </c>
      <c r="O9381" t="s">
        <v>41749</v>
      </c>
      <c r="P9381" t="s">
        <v>41750</v>
      </c>
      <c r="Q9381" t="s">
        <v>41751</v>
      </c>
      <c r="R9381">
        <v>35</v>
      </c>
      <c r="S9381">
        <v>64</v>
      </c>
    </row>
    <row r="9382" spans="1:19" x14ac:dyDescent="0.35">
      <c r="A9382">
        <v>6674</v>
      </c>
      <c r="B9382" t="s">
        <v>41742</v>
      </c>
      <c r="C9382" t="s">
        <v>42</v>
      </c>
      <c r="D9382" t="s">
        <v>41743</v>
      </c>
      <c r="E9382" t="e" cm="1">
        <f t="array" ref="E9382">- ACICLOVIR</f>
        <v>#NAME?</v>
      </c>
      <c r="F9382" t="s">
        <v>41744</v>
      </c>
      <c r="G9382" t="s">
        <v>4545</v>
      </c>
      <c r="H9382" t="s">
        <v>41745</v>
      </c>
      <c r="I9382" t="s">
        <v>41746</v>
      </c>
      <c r="J9382" t="s">
        <v>381</v>
      </c>
      <c r="K9382" t="s">
        <v>41747</v>
      </c>
      <c r="L9382" t="s">
        <v>41748</v>
      </c>
      <c r="M9382" t="s">
        <v>46</v>
      </c>
      <c r="N9382" t="s">
        <v>1685</v>
      </c>
      <c r="O9382" t="s">
        <v>41749</v>
      </c>
      <c r="P9382" t="s">
        <v>41750</v>
      </c>
      <c r="Q9382" t="s">
        <v>41751</v>
      </c>
      <c r="R9382">
        <v>35</v>
      </c>
      <c r="S9382">
        <v>64</v>
      </c>
    </row>
    <row r="9383" spans="1:19" x14ac:dyDescent="0.35">
      <c r="A9383">
        <v>6673</v>
      </c>
      <c r="B9383" t="s">
        <v>41742</v>
      </c>
      <c r="C9383" t="s">
        <v>42</v>
      </c>
      <c r="D9383" t="s">
        <v>41743</v>
      </c>
      <c r="E9383" t="e" cm="1">
        <f t="array" ref="E9383">- ACICLOVIR</f>
        <v>#NAME?</v>
      </c>
      <c r="F9383" t="s">
        <v>41744</v>
      </c>
      <c r="G9383" t="s">
        <v>4545</v>
      </c>
      <c r="H9383" t="s">
        <v>41745</v>
      </c>
      <c r="I9383" t="s">
        <v>41746</v>
      </c>
      <c r="J9383" t="s">
        <v>381</v>
      </c>
      <c r="K9383" t="s">
        <v>41747</v>
      </c>
      <c r="L9383" t="s">
        <v>41748</v>
      </c>
      <c r="M9383" t="s">
        <v>46</v>
      </c>
      <c r="N9383" t="s">
        <v>1685</v>
      </c>
      <c r="O9383" t="s">
        <v>41749</v>
      </c>
      <c r="P9383" t="s">
        <v>41750</v>
      </c>
      <c r="Q9383" t="s">
        <v>41751</v>
      </c>
      <c r="R9383">
        <v>35</v>
      </c>
      <c r="S9383">
        <v>64</v>
      </c>
    </row>
    <row r="9384" spans="1:19" x14ac:dyDescent="0.35">
      <c r="A9384">
        <v>8676</v>
      </c>
      <c r="B9384" t="s">
        <v>41755</v>
      </c>
      <c r="C9384" t="s">
        <v>42</v>
      </c>
      <c r="D9384" t="s">
        <v>41756</v>
      </c>
      <c r="E9384" t="e" cm="1">
        <f t="array" ref="E9384">- METFORMIN HYDROCHLORIDE</f>
        <v>#NAME?</v>
      </c>
      <c r="F9384" t="s">
        <v>41757</v>
      </c>
      <c r="G9384" t="s">
        <v>41758</v>
      </c>
      <c r="H9384" t="s">
        <v>41759</v>
      </c>
      <c r="I9384" t="s">
        <v>41760</v>
      </c>
      <c r="J9384" t="s">
        <v>5085</v>
      </c>
      <c r="L9384" t="s">
        <v>270</v>
      </c>
      <c r="M9384" t="s">
        <v>291</v>
      </c>
      <c r="N9384" t="s">
        <v>30728</v>
      </c>
      <c r="O9384" t="s">
        <v>41761</v>
      </c>
      <c r="P9384" t="s">
        <v>41762</v>
      </c>
      <c r="Q9384" t="s">
        <v>41763</v>
      </c>
      <c r="R9384">
        <v>35</v>
      </c>
      <c r="S9384">
        <v>64</v>
      </c>
    </row>
    <row r="9385" spans="1:19" x14ac:dyDescent="0.35">
      <c r="A9385">
        <v>7104</v>
      </c>
      <c r="B9385" t="s">
        <v>41708</v>
      </c>
      <c r="C9385" t="s">
        <v>42</v>
      </c>
      <c r="D9385" t="s">
        <v>41752</v>
      </c>
      <c r="E9385" t="e" cm="1">
        <f t="array" ref="E9385">- DICLOFENAC DIETHYLAMINE</f>
        <v>#NAME?</v>
      </c>
      <c r="F9385" t="s">
        <v>41753</v>
      </c>
      <c r="G9385" t="s">
        <v>41711</v>
      </c>
      <c r="H9385" t="s">
        <v>41712</v>
      </c>
      <c r="I9385" t="s">
        <v>41713</v>
      </c>
      <c r="J9385" t="s">
        <v>24155</v>
      </c>
      <c r="K9385" t="s">
        <v>41714</v>
      </c>
      <c r="L9385" t="s">
        <v>41715</v>
      </c>
      <c r="M9385" t="s">
        <v>87</v>
      </c>
      <c r="N9385" t="s">
        <v>1958</v>
      </c>
      <c r="O9385" t="s">
        <v>41716</v>
      </c>
      <c r="P9385" t="s">
        <v>41717</v>
      </c>
      <c r="Q9385" t="s">
        <v>41718</v>
      </c>
      <c r="R9385">
        <v>35</v>
      </c>
      <c r="S9385">
        <v>64</v>
      </c>
    </row>
    <row r="9386" spans="1:19" x14ac:dyDescent="0.35">
      <c r="A9386">
        <v>8675</v>
      </c>
      <c r="B9386" t="s">
        <v>41755</v>
      </c>
      <c r="C9386" t="s">
        <v>42</v>
      </c>
      <c r="D9386" t="s">
        <v>41756</v>
      </c>
      <c r="E9386" t="e" cm="1">
        <f t="array" ref="E9386">- METFORMIN HYDROCHLORIDE</f>
        <v>#NAME?</v>
      </c>
      <c r="F9386" t="s">
        <v>41757</v>
      </c>
      <c r="G9386" t="s">
        <v>41758</v>
      </c>
      <c r="H9386" t="s">
        <v>41759</v>
      </c>
      <c r="I9386" t="s">
        <v>41760</v>
      </c>
      <c r="J9386" t="s">
        <v>5085</v>
      </c>
      <c r="L9386" t="s">
        <v>270</v>
      </c>
      <c r="M9386" t="s">
        <v>291</v>
      </c>
      <c r="N9386" t="s">
        <v>30728</v>
      </c>
      <c r="O9386" t="s">
        <v>41761</v>
      </c>
      <c r="P9386" t="s">
        <v>41762</v>
      </c>
      <c r="Q9386" t="s">
        <v>41763</v>
      </c>
      <c r="R9386">
        <v>35</v>
      </c>
      <c r="S9386">
        <v>64</v>
      </c>
    </row>
    <row r="9387" spans="1:19" x14ac:dyDescent="0.35">
      <c r="A9387">
        <v>5997</v>
      </c>
      <c r="B9387" t="s">
        <v>41764</v>
      </c>
      <c r="C9387" t="s">
        <v>42</v>
      </c>
      <c r="D9387" t="s">
        <v>41765</v>
      </c>
      <c r="E9387" t="e" cm="1">
        <f t="array" ref="E9387">- AMOXICILLIN TRIHYDRATE</f>
        <v>#NAME?</v>
      </c>
      <c r="F9387" t="s">
        <v>41766</v>
      </c>
      <c r="G9387" t="s">
        <v>2241</v>
      </c>
      <c r="H9387" t="s">
        <v>41641</v>
      </c>
    </row>
    <row r="9388" spans="1:19" x14ac:dyDescent="0.35">
      <c r="A9388">
        <v>7553</v>
      </c>
      <c r="B9388" t="s">
        <v>15775</v>
      </c>
      <c r="C9388" t="s">
        <v>42</v>
      </c>
      <c r="D9388" t="s">
        <v>15776</v>
      </c>
      <c r="E9388" t="e" cm="1">
        <f t="array" ref="E9388">- CYANOCOBALAMIN. CALCIUM PANTOTHENATE. FOLIC ACID. FERROUS FUMARATE. COPPER SULFATE. THIAMINE MONONITRATE. RIBOFLAVIN. PYRIDOXINE HYDROCHLORIDE. NICOTINAMIDE. POTASSIUM IODIDE. SODIUM FLUORIDE. SODIUM ASCORBATE. CALCIUM LACTATE. RETINOL ACETATE. CHOLECALCI</f>
        <v>#NAME?</v>
      </c>
      <c r="F9388" t="s">
        <v>15777</v>
      </c>
      <c r="G9388" t="s">
        <v>15778</v>
      </c>
      <c r="H9388" t="s">
        <v>12365</v>
      </c>
      <c r="I9388" t="s">
        <v>15779</v>
      </c>
      <c r="J9388" t="s">
        <v>15780</v>
      </c>
      <c r="K9388" t="s">
        <v>2726</v>
      </c>
      <c r="L9388" t="s">
        <v>15781</v>
      </c>
      <c r="M9388" t="s">
        <v>291</v>
      </c>
      <c r="N9388" t="s">
        <v>41767</v>
      </c>
      <c r="O9388" t="s">
        <v>15782</v>
      </c>
      <c r="P9388" t="s">
        <v>15783</v>
      </c>
      <c r="Q9388" t="s">
        <v>41768</v>
      </c>
      <c r="R9388">
        <v>35</v>
      </c>
      <c r="S9388">
        <v>64</v>
      </c>
    </row>
    <row r="9389" spans="1:19" x14ac:dyDescent="0.35">
      <c r="A9389">
        <v>7740</v>
      </c>
      <c r="B9389" t="s">
        <v>40797</v>
      </c>
      <c r="C9389" t="s">
        <v>42</v>
      </c>
      <c r="D9389" t="s">
        <v>40798</v>
      </c>
      <c r="E9389" t="e" cm="1">
        <f t="array" ref="E9389">- PYRIDOXINE HYDROCHLORIDE. THIAMINE MONONITRATE. CYANOCOBALAMIN</f>
        <v>#NAME?</v>
      </c>
      <c r="F9389" t="s">
        <v>40799</v>
      </c>
      <c r="G9389" t="s">
        <v>5746</v>
      </c>
      <c r="H9389" t="s">
        <v>40800</v>
      </c>
      <c r="I9389" t="s">
        <v>40801</v>
      </c>
      <c r="J9389" t="s">
        <v>40802</v>
      </c>
      <c r="K9389" t="s">
        <v>40803</v>
      </c>
      <c r="L9389" t="s">
        <v>40804</v>
      </c>
      <c r="M9389" t="s">
        <v>291</v>
      </c>
      <c r="N9389" t="s">
        <v>23250</v>
      </c>
      <c r="O9389" t="s">
        <v>40805</v>
      </c>
      <c r="P9389" t="s">
        <v>40806</v>
      </c>
      <c r="Q9389" t="s">
        <v>41769</v>
      </c>
      <c r="R9389">
        <v>35</v>
      </c>
      <c r="S9389">
        <v>64</v>
      </c>
    </row>
    <row r="9390" spans="1:19" x14ac:dyDescent="0.35">
      <c r="A9390">
        <v>7739</v>
      </c>
      <c r="B9390" t="s">
        <v>40797</v>
      </c>
      <c r="C9390" t="s">
        <v>42</v>
      </c>
      <c r="D9390" t="s">
        <v>40798</v>
      </c>
      <c r="E9390" t="e" cm="1">
        <f t="array" ref="E9390">- THIAMINE MONONITRATE. PYRIDOXINE HYDROCHLORIDE. CYANOCOBALAMIN</f>
        <v>#NAME?</v>
      </c>
      <c r="F9390" t="s">
        <v>40799</v>
      </c>
      <c r="G9390" t="s">
        <v>5746</v>
      </c>
      <c r="H9390" t="s">
        <v>40800</v>
      </c>
      <c r="I9390" t="s">
        <v>40801</v>
      </c>
      <c r="J9390" t="s">
        <v>40802</v>
      </c>
      <c r="K9390" t="s">
        <v>40803</v>
      </c>
      <c r="L9390" t="s">
        <v>40804</v>
      </c>
      <c r="M9390" t="s">
        <v>291</v>
      </c>
      <c r="N9390" t="s">
        <v>31150</v>
      </c>
      <c r="O9390" t="s">
        <v>40805</v>
      </c>
      <c r="P9390" t="s">
        <v>40806</v>
      </c>
      <c r="Q9390" t="s">
        <v>41770</v>
      </c>
      <c r="R9390">
        <v>35</v>
      </c>
      <c r="S9390">
        <v>64</v>
      </c>
    </row>
    <row r="9391" spans="1:19" x14ac:dyDescent="0.35">
      <c r="A9391">
        <v>7738</v>
      </c>
      <c r="B9391" t="s">
        <v>40797</v>
      </c>
      <c r="C9391" t="s">
        <v>42</v>
      </c>
      <c r="D9391" t="s">
        <v>40798</v>
      </c>
      <c r="E9391" t="e" cm="1">
        <f t="array" ref="E9391">- PYRIDOXINE HYDROCHLORIDE. THIAMINE MONONITRATE. CYANOCOBALAMIN</f>
        <v>#NAME?</v>
      </c>
      <c r="F9391" t="s">
        <v>40799</v>
      </c>
      <c r="G9391" t="s">
        <v>5746</v>
      </c>
      <c r="H9391" t="s">
        <v>40800</v>
      </c>
      <c r="I9391" t="s">
        <v>40801</v>
      </c>
      <c r="J9391" t="s">
        <v>40802</v>
      </c>
      <c r="K9391" t="s">
        <v>40803</v>
      </c>
      <c r="L9391" t="s">
        <v>40804</v>
      </c>
      <c r="M9391" t="s">
        <v>291</v>
      </c>
      <c r="N9391" t="s">
        <v>23250</v>
      </c>
      <c r="O9391" t="s">
        <v>40805</v>
      </c>
      <c r="P9391" t="s">
        <v>40806</v>
      </c>
      <c r="Q9391" t="s">
        <v>41769</v>
      </c>
      <c r="R9391">
        <v>35</v>
      </c>
      <c r="S9391">
        <v>64</v>
      </c>
    </row>
    <row r="9392" spans="1:19" x14ac:dyDescent="0.35">
      <c r="A9392">
        <v>8943</v>
      </c>
      <c r="B9392" t="s">
        <v>35885</v>
      </c>
      <c r="C9392" t="s">
        <v>42</v>
      </c>
      <c r="D9392" t="s">
        <v>35886</v>
      </c>
      <c r="E9392" t="s">
        <v>41771</v>
      </c>
      <c r="F9392" t="s">
        <v>35887</v>
      </c>
      <c r="G9392" t="s">
        <v>5301</v>
      </c>
      <c r="H9392" t="s">
        <v>35552</v>
      </c>
      <c r="I9392" t="s">
        <v>35575</v>
      </c>
      <c r="J9392" t="s">
        <v>2644</v>
      </c>
      <c r="K9392" t="s">
        <v>35888</v>
      </c>
      <c r="L9392" t="s">
        <v>270</v>
      </c>
      <c r="M9392" t="s">
        <v>46</v>
      </c>
      <c r="N9392" t="s">
        <v>41772</v>
      </c>
      <c r="O9392" t="s">
        <v>35557</v>
      </c>
      <c r="P9392" t="s">
        <v>35558</v>
      </c>
      <c r="Q9392" t="s">
        <v>41773</v>
      </c>
      <c r="R9392">
        <v>35</v>
      </c>
      <c r="S9392">
        <v>64</v>
      </c>
    </row>
    <row r="9393" spans="1:19" x14ac:dyDescent="0.35">
      <c r="A9393">
        <v>8942</v>
      </c>
      <c r="B9393" t="s">
        <v>35885</v>
      </c>
      <c r="C9393" t="s">
        <v>42</v>
      </c>
      <c r="D9393" t="s">
        <v>35886</v>
      </c>
      <c r="E9393" t="s">
        <v>41771</v>
      </c>
      <c r="F9393" t="s">
        <v>35887</v>
      </c>
      <c r="G9393" t="s">
        <v>5301</v>
      </c>
      <c r="H9393" t="s">
        <v>35552</v>
      </c>
      <c r="I9393" t="s">
        <v>35575</v>
      </c>
      <c r="J9393" t="s">
        <v>2644</v>
      </c>
      <c r="K9393" t="s">
        <v>35888</v>
      </c>
      <c r="L9393" t="s">
        <v>270</v>
      </c>
      <c r="M9393" t="s">
        <v>46</v>
      </c>
      <c r="N9393" t="s">
        <v>41772</v>
      </c>
      <c r="O9393" t="s">
        <v>35557</v>
      </c>
      <c r="P9393" t="s">
        <v>35558</v>
      </c>
      <c r="Q9393" t="s">
        <v>41773</v>
      </c>
      <c r="R9393">
        <v>35</v>
      </c>
      <c r="S9393">
        <v>64</v>
      </c>
    </row>
    <row r="9394" spans="1:19" x14ac:dyDescent="0.35">
      <c r="A9394">
        <v>8939</v>
      </c>
      <c r="B9394" t="s">
        <v>35885</v>
      </c>
      <c r="C9394" t="s">
        <v>42</v>
      </c>
      <c r="D9394" t="s">
        <v>35886</v>
      </c>
      <c r="E9394" t="s">
        <v>41771</v>
      </c>
      <c r="F9394" t="s">
        <v>35887</v>
      </c>
      <c r="G9394" t="s">
        <v>5301</v>
      </c>
      <c r="H9394" t="s">
        <v>35552</v>
      </c>
      <c r="I9394" t="s">
        <v>35575</v>
      </c>
      <c r="J9394" t="s">
        <v>2644</v>
      </c>
      <c r="K9394" t="s">
        <v>35888</v>
      </c>
      <c r="L9394" t="s">
        <v>270</v>
      </c>
      <c r="M9394" t="s">
        <v>46</v>
      </c>
      <c r="N9394" t="s">
        <v>41772</v>
      </c>
      <c r="O9394" t="s">
        <v>35557</v>
      </c>
      <c r="P9394" t="s">
        <v>35558</v>
      </c>
      <c r="Q9394" t="s">
        <v>41773</v>
      </c>
      <c r="R9394">
        <v>35</v>
      </c>
      <c r="S9394">
        <v>64</v>
      </c>
    </row>
    <row r="9395" spans="1:19" x14ac:dyDescent="0.35">
      <c r="A9395">
        <v>8938</v>
      </c>
      <c r="B9395" t="s">
        <v>35885</v>
      </c>
      <c r="C9395" t="s">
        <v>42</v>
      </c>
      <c r="D9395" t="s">
        <v>35886</v>
      </c>
      <c r="E9395" t="s">
        <v>41771</v>
      </c>
      <c r="F9395" t="s">
        <v>35887</v>
      </c>
      <c r="G9395" t="s">
        <v>5301</v>
      </c>
      <c r="H9395" t="s">
        <v>35552</v>
      </c>
      <c r="I9395" t="s">
        <v>35575</v>
      </c>
      <c r="J9395" t="s">
        <v>2644</v>
      </c>
      <c r="K9395" t="s">
        <v>35888</v>
      </c>
      <c r="L9395" t="s">
        <v>270</v>
      </c>
      <c r="M9395" t="s">
        <v>46</v>
      </c>
      <c r="N9395" t="s">
        <v>41772</v>
      </c>
      <c r="O9395" t="s">
        <v>35557</v>
      </c>
      <c r="P9395" t="s">
        <v>35558</v>
      </c>
      <c r="Q9395" t="s">
        <v>41773</v>
      </c>
      <c r="R9395">
        <v>35</v>
      </c>
      <c r="S9395">
        <v>64</v>
      </c>
    </row>
    <row r="9396" spans="1:19" x14ac:dyDescent="0.35">
      <c r="A9396">
        <v>9627</v>
      </c>
      <c r="B9396" t="s">
        <v>6301</v>
      </c>
      <c r="C9396" t="s">
        <v>42</v>
      </c>
      <c r="D9396" t="s">
        <v>41774</v>
      </c>
      <c r="E9396" t="s">
        <v>6303</v>
      </c>
      <c r="F9396" t="s">
        <v>41775</v>
      </c>
      <c r="G9396" t="s">
        <v>31602</v>
      </c>
      <c r="I9396" t="s">
        <v>41435</v>
      </c>
      <c r="J9396" t="s">
        <v>1144</v>
      </c>
      <c r="L9396" t="s">
        <v>34021</v>
      </c>
      <c r="M9396" t="s">
        <v>46</v>
      </c>
      <c r="N9396" t="s">
        <v>6304</v>
      </c>
      <c r="O9396" t="s">
        <v>41436</v>
      </c>
      <c r="P9396" t="s">
        <v>41776</v>
      </c>
      <c r="Q9396" t="s">
        <v>41777</v>
      </c>
      <c r="R9396">
        <v>35</v>
      </c>
      <c r="S9396">
        <v>64</v>
      </c>
    </row>
    <row r="9397" spans="1:19" x14ac:dyDescent="0.35">
      <c r="A9397">
        <v>3362</v>
      </c>
      <c r="B9397" t="s">
        <v>41778</v>
      </c>
      <c r="C9397" t="s">
        <v>42</v>
      </c>
      <c r="D9397" t="s">
        <v>41779</v>
      </c>
      <c r="E9397" t="s">
        <v>14897</v>
      </c>
      <c r="F9397" t="s">
        <v>41780</v>
      </c>
      <c r="G9397" t="s">
        <v>40555</v>
      </c>
      <c r="H9397" t="s">
        <v>41781</v>
      </c>
      <c r="I9397" t="s">
        <v>41782</v>
      </c>
      <c r="J9397" t="s">
        <v>40557</v>
      </c>
      <c r="K9397" t="s">
        <v>34155</v>
      </c>
      <c r="L9397" t="s">
        <v>41783</v>
      </c>
      <c r="M9397" t="s">
        <v>340</v>
      </c>
      <c r="N9397" t="s">
        <v>14898</v>
      </c>
      <c r="O9397" t="s">
        <v>40348</v>
      </c>
      <c r="P9397" t="s">
        <v>41784</v>
      </c>
      <c r="Q9397" t="s">
        <v>41785</v>
      </c>
      <c r="R9397">
        <v>35</v>
      </c>
      <c r="S9397">
        <v>64</v>
      </c>
    </row>
    <row r="9398" spans="1:19" x14ac:dyDescent="0.35">
      <c r="A9398">
        <v>7121</v>
      </c>
      <c r="B9398" t="s">
        <v>41708</v>
      </c>
      <c r="C9398" t="s">
        <v>42</v>
      </c>
      <c r="D9398" t="s">
        <v>41709</v>
      </c>
      <c r="E9398" t="e" cm="1">
        <f t="array" ref="E9398">- DICLOFENAC DIETHYLAMINE</f>
        <v>#NAME?</v>
      </c>
      <c r="F9398" t="s">
        <v>41710</v>
      </c>
      <c r="G9398" t="s">
        <v>41711</v>
      </c>
      <c r="H9398" t="s">
        <v>41712</v>
      </c>
      <c r="I9398" t="s">
        <v>41713</v>
      </c>
      <c r="J9398" t="s">
        <v>7959</v>
      </c>
      <c r="K9398" t="s">
        <v>41714</v>
      </c>
      <c r="L9398" t="s">
        <v>41715</v>
      </c>
      <c r="M9398" t="s">
        <v>87</v>
      </c>
      <c r="N9398" t="s">
        <v>1958</v>
      </c>
      <c r="O9398" t="s">
        <v>41716</v>
      </c>
      <c r="P9398" t="s">
        <v>41717</v>
      </c>
      <c r="Q9398" t="s">
        <v>41718</v>
      </c>
      <c r="R9398">
        <v>35</v>
      </c>
      <c r="S9398">
        <v>64</v>
      </c>
    </row>
    <row r="9399" spans="1:19" x14ac:dyDescent="0.35">
      <c r="A9399">
        <v>3363</v>
      </c>
      <c r="B9399" t="s">
        <v>41778</v>
      </c>
      <c r="C9399" t="s">
        <v>42</v>
      </c>
      <c r="D9399" t="s">
        <v>41779</v>
      </c>
      <c r="E9399" t="s">
        <v>14897</v>
      </c>
      <c r="F9399" t="s">
        <v>41780</v>
      </c>
      <c r="G9399" t="s">
        <v>40555</v>
      </c>
      <c r="H9399" t="s">
        <v>41781</v>
      </c>
      <c r="I9399" t="s">
        <v>41782</v>
      </c>
      <c r="J9399" t="s">
        <v>40557</v>
      </c>
      <c r="K9399" t="s">
        <v>34155</v>
      </c>
      <c r="L9399" t="s">
        <v>41783</v>
      </c>
      <c r="M9399" t="s">
        <v>340</v>
      </c>
      <c r="N9399" t="s">
        <v>14898</v>
      </c>
      <c r="O9399" t="s">
        <v>40348</v>
      </c>
      <c r="P9399" t="s">
        <v>41784</v>
      </c>
      <c r="Q9399" t="s">
        <v>41785</v>
      </c>
      <c r="R9399">
        <v>35</v>
      </c>
      <c r="S9399">
        <v>64</v>
      </c>
    </row>
    <row r="9400" spans="1:19" x14ac:dyDescent="0.35">
      <c r="A9400">
        <v>4781</v>
      </c>
      <c r="B9400" t="s">
        <v>41786</v>
      </c>
      <c r="C9400" t="s">
        <v>42</v>
      </c>
      <c r="D9400" t="s">
        <v>41787</v>
      </c>
      <c r="E9400" t="e" cm="1">
        <f t="array" ref="E9400">- DEXAMETHASONE PHOSPHATE</f>
        <v>#NAME?</v>
      </c>
      <c r="F9400" s="1">
        <v>22300</v>
      </c>
      <c r="G9400" t="s">
        <v>7569</v>
      </c>
      <c r="H9400" t="s">
        <v>41788</v>
      </c>
      <c r="I9400" t="s">
        <v>41789</v>
      </c>
      <c r="J9400" t="s">
        <v>14533</v>
      </c>
      <c r="K9400" t="s">
        <v>2858</v>
      </c>
      <c r="L9400" t="s">
        <v>41790</v>
      </c>
      <c r="M9400" t="s">
        <v>824</v>
      </c>
      <c r="N9400" t="s">
        <v>41791</v>
      </c>
      <c r="O9400" t="s">
        <v>41792</v>
      </c>
      <c r="P9400" t="s">
        <v>41793</v>
      </c>
      <c r="Q9400" t="s">
        <v>41794</v>
      </c>
      <c r="R9400">
        <v>35</v>
      </c>
      <c r="S9400">
        <v>64</v>
      </c>
    </row>
    <row r="9401" spans="1:19" x14ac:dyDescent="0.35">
      <c r="A9401">
        <v>4758</v>
      </c>
      <c r="B9401" t="s">
        <v>41795</v>
      </c>
      <c r="C9401" t="s">
        <v>42</v>
      </c>
      <c r="D9401" t="s">
        <v>41796</v>
      </c>
      <c r="E9401" t="e" cm="1">
        <f t="array" ref="E9401">- DEXAMETHASONE SODIUM PHOSPHATE</f>
        <v>#NAME?</v>
      </c>
      <c r="F9401" t="s">
        <v>1799</v>
      </c>
      <c r="H9401" t="s">
        <v>41797</v>
      </c>
      <c r="I9401" t="s">
        <v>41798</v>
      </c>
      <c r="J9401" t="s">
        <v>10368</v>
      </c>
      <c r="L9401" t="s">
        <v>270</v>
      </c>
      <c r="M9401" t="s">
        <v>1029</v>
      </c>
      <c r="N9401" t="s">
        <v>25402</v>
      </c>
      <c r="O9401" t="s">
        <v>41792</v>
      </c>
      <c r="P9401" t="s">
        <v>41799</v>
      </c>
      <c r="Q9401" t="s">
        <v>41800</v>
      </c>
      <c r="R9401">
        <v>35</v>
      </c>
      <c r="S9401">
        <v>64</v>
      </c>
    </row>
    <row r="9402" spans="1:19" x14ac:dyDescent="0.35">
      <c r="A9402">
        <v>5904</v>
      </c>
      <c r="B9402" t="s">
        <v>41801</v>
      </c>
      <c r="C9402" t="s">
        <v>42</v>
      </c>
      <c r="D9402" t="s">
        <v>41802</v>
      </c>
      <c r="E9402" t="e" cm="1">
        <f t="array" ref="E9402">- AMOXICILLIN TRIHYDRATE</f>
        <v>#NAME?</v>
      </c>
      <c r="F9402" t="s">
        <v>41803</v>
      </c>
      <c r="G9402" t="s">
        <v>1691</v>
      </c>
      <c r="H9402" t="s">
        <v>41804</v>
      </c>
      <c r="I9402" t="s">
        <v>41805</v>
      </c>
      <c r="J9402" t="s">
        <v>334</v>
      </c>
      <c r="K9402" t="s">
        <v>41806</v>
      </c>
      <c r="L9402" t="s">
        <v>41807</v>
      </c>
      <c r="M9402" t="s">
        <v>271</v>
      </c>
      <c r="N9402" t="s">
        <v>1523</v>
      </c>
      <c r="O9402" t="s">
        <v>41808</v>
      </c>
      <c r="P9402" t="s">
        <v>41809</v>
      </c>
      <c r="Q9402" t="s">
        <v>41810</v>
      </c>
      <c r="R9402">
        <v>35</v>
      </c>
      <c r="S9402">
        <v>64</v>
      </c>
    </row>
    <row r="9403" spans="1:19" x14ac:dyDescent="0.35">
      <c r="A9403">
        <v>7543</v>
      </c>
      <c r="B9403" t="s">
        <v>41811</v>
      </c>
      <c r="C9403" t="s">
        <v>42</v>
      </c>
      <c r="D9403" t="s">
        <v>41812</v>
      </c>
      <c r="E9403" t="e" cm="1">
        <f t="array" ref="E9403">- THIAMINE MONONITRATE. RIBOFLAVIN. NICOTINAMIDE. CALCIUM PANTOTHENATE. BIOTIN. FOLIC ACID. LEVOMEFOLATE CALCIUM. CYANOCOBALAMIN. ASCORBIC ACID. CHOLECALCIFEROL. DL-ALFA TOCOFEROL. CALCIUM HYDROGEN PHOSPATE. COPPER SULFATE. POTASSIUM IODIDE. FERROUS BISGLYC</f>
        <v>#NAME?</v>
      </c>
      <c r="F9403" t="s">
        <v>41813</v>
      </c>
      <c r="G9403" t="s">
        <v>6135</v>
      </c>
      <c r="H9403" t="s">
        <v>41814</v>
      </c>
      <c r="I9403" t="s">
        <v>41815</v>
      </c>
      <c r="J9403" t="s">
        <v>4376</v>
      </c>
      <c r="K9403" t="s">
        <v>41816</v>
      </c>
    </row>
    <row r="9404" spans="1:19" x14ac:dyDescent="0.35">
      <c r="A9404">
        <v>5657</v>
      </c>
      <c r="B9404" t="s">
        <v>41500</v>
      </c>
      <c r="C9404" t="s">
        <v>42</v>
      </c>
      <c r="D9404" t="s">
        <v>41501</v>
      </c>
      <c r="E9404" t="e" cm="1">
        <f t="array" ref="E9404">- CIPROFLOXACIN HYDROCHLORIDE MONOHYDRATE</f>
        <v>#NAME?</v>
      </c>
      <c r="F9404" t="s">
        <v>41502</v>
      </c>
      <c r="G9404" t="s">
        <v>3083</v>
      </c>
      <c r="H9404" t="s">
        <v>1055</v>
      </c>
      <c r="I9404" t="s">
        <v>41503</v>
      </c>
      <c r="J9404" t="s">
        <v>515</v>
      </c>
      <c r="K9404" t="s">
        <v>41504</v>
      </c>
      <c r="L9404" t="s">
        <v>41131</v>
      </c>
      <c r="M9404" t="s">
        <v>291</v>
      </c>
      <c r="N9404" t="s">
        <v>10679</v>
      </c>
      <c r="O9404" t="s">
        <v>41505</v>
      </c>
      <c r="P9404" t="s">
        <v>41506</v>
      </c>
      <c r="Q9404" t="s">
        <v>41817</v>
      </c>
      <c r="R9404">
        <v>35</v>
      </c>
      <c r="S9404">
        <v>64</v>
      </c>
    </row>
    <row r="9405" spans="1:19" x14ac:dyDescent="0.35">
      <c r="A9405">
        <v>7737</v>
      </c>
      <c r="B9405" t="s">
        <v>40797</v>
      </c>
      <c r="C9405" t="s">
        <v>42</v>
      </c>
      <c r="D9405" t="s">
        <v>40798</v>
      </c>
      <c r="E9405" t="e" cm="1">
        <f t="array" ref="E9405">- THIAMINE MONONITRATE. PYRIDOXINE HYDROCHLORIDE. CYANOCOBALAMIN</f>
        <v>#NAME?</v>
      </c>
      <c r="F9405" t="s">
        <v>40799</v>
      </c>
      <c r="G9405" t="s">
        <v>5746</v>
      </c>
      <c r="H9405" t="s">
        <v>40800</v>
      </c>
      <c r="I9405" t="s">
        <v>40801</v>
      </c>
      <c r="J9405" t="s">
        <v>40802</v>
      </c>
      <c r="K9405" t="s">
        <v>40803</v>
      </c>
      <c r="L9405" t="s">
        <v>40804</v>
      </c>
      <c r="M9405" t="s">
        <v>291</v>
      </c>
      <c r="N9405" t="s">
        <v>31150</v>
      </c>
      <c r="O9405" t="s">
        <v>40805</v>
      </c>
      <c r="P9405" t="s">
        <v>40806</v>
      </c>
      <c r="Q9405" t="s">
        <v>41770</v>
      </c>
      <c r="R9405">
        <v>35</v>
      </c>
      <c r="S9405">
        <v>64</v>
      </c>
    </row>
    <row r="9406" spans="1:19" x14ac:dyDescent="0.35">
      <c r="A9406">
        <v>7542</v>
      </c>
      <c r="B9406" t="s">
        <v>41811</v>
      </c>
      <c r="C9406" t="s">
        <v>42</v>
      </c>
      <c r="D9406" t="s">
        <v>41818</v>
      </c>
      <c r="E9406" t="e" cm="1">
        <f t="array" ref="E9406">- THIAMINE MONONITRATE. RIBOFLAVIN. NICOTINAMIDE. CALCIUM PANTOTHENATE. BIOTIN. FOLIC ACID. LEVOMEFOLATE CALCIUM. CYANOCOBALAMIN. ASCORBIC ACID. CHOLECALCIFEROL. DL-ALFA TOCOFEROL. CALCIUM HYDROGEN PHOSPATE. COPPER SULFATE. POTASSIUM IODIDE. FERROUS BISGLYC</f>
        <v>#NAME?</v>
      </c>
      <c r="F9406" t="s">
        <v>41819</v>
      </c>
      <c r="I9406" t="s">
        <v>41815</v>
      </c>
      <c r="J9406" t="s">
        <v>4376</v>
      </c>
      <c r="M9406" t="s">
        <v>46</v>
      </c>
      <c r="N9406" t="s">
        <v>41820</v>
      </c>
      <c r="O9406" t="s">
        <v>41821</v>
      </c>
      <c r="P9406" t="s">
        <v>41822</v>
      </c>
      <c r="Q9406" t="s">
        <v>41823</v>
      </c>
      <c r="R9406">
        <v>35</v>
      </c>
      <c r="S9406">
        <v>64</v>
      </c>
    </row>
    <row r="9407" spans="1:19" x14ac:dyDescent="0.35">
      <c r="A9407">
        <v>7109</v>
      </c>
      <c r="B9407" t="s">
        <v>41708</v>
      </c>
      <c r="C9407" t="s">
        <v>42</v>
      </c>
      <c r="D9407" t="s">
        <v>41752</v>
      </c>
      <c r="E9407" t="e" cm="1">
        <f t="array" ref="E9407">- DICLOFENAC DIETHYLAMINE</f>
        <v>#NAME?</v>
      </c>
      <c r="F9407" t="s">
        <v>41753</v>
      </c>
      <c r="G9407" t="s">
        <v>41711</v>
      </c>
      <c r="H9407" t="s">
        <v>41712</v>
      </c>
      <c r="I9407" t="s">
        <v>41713</v>
      </c>
      <c r="J9407" t="s">
        <v>24155</v>
      </c>
      <c r="K9407" t="s">
        <v>41714</v>
      </c>
      <c r="L9407" t="s">
        <v>41715</v>
      </c>
      <c r="M9407" t="s">
        <v>87</v>
      </c>
      <c r="N9407" t="s">
        <v>1958</v>
      </c>
      <c r="O9407" t="s">
        <v>41716</v>
      </c>
      <c r="P9407" t="s">
        <v>41717</v>
      </c>
      <c r="Q9407" t="s">
        <v>41718</v>
      </c>
      <c r="R9407">
        <v>35</v>
      </c>
      <c r="S9407">
        <v>64</v>
      </c>
    </row>
    <row r="9408" spans="1:19" x14ac:dyDescent="0.35">
      <c r="A9408">
        <v>7108</v>
      </c>
      <c r="B9408" t="s">
        <v>41708</v>
      </c>
      <c r="C9408" t="s">
        <v>42</v>
      </c>
      <c r="D9408" t="s">
        <v>41752</v>
      </c>
      <c r="E9408" t="e" cm="1">
        <f t="array" ref="E9408">- DICLOFENAC DIETHYLAMINE</f>
        <v>#NAME?</v>
      </c>
      <c r="F9408" t="s">
        <v>41753</v>
      </c>
      <c r="G9408" t="s">
        <v>41711</v>
      </c>
      <c r="H9408" t="s">
        <v>41712</v>
      </c>
      <c r="I9408" t="s">
        <v>41713</v>
      </c>
      <c r="J9408" t="s">
        <v>24155</v>
      </c>
      <c r="K9408" t="s">
        <v>41714</v>
      </c>
      <c r="L9408" t="s">
        <v>41715</v>
      </c>
      <c r="M9408" t="s">
        <v>87</v>
      </c>
      <c r="N9408" t="s">
        <v>1958</v>
      </c>
      <c r="O9408" t="s">
        <v>41716</v>
      </c>
      <c r="P9408" t="s">
        <v>41717</v>
      </c>
      <c r="Q9408" t="s">
        <v>41718</v>
      </c>
      <c r="R9408">
        <v>35</v>
      </c>
      <c r="S9408">
        <v>64</v>
      </c>
    </row>
    <row r="9409" spans="1:19" x14ac:dyDescent="0.35">
      <c r="A9409">
        <v>7111</v>
      </c>
      <c r="B9409" t="s">
        <v>41708</v>
      </c>
      <c r="C9409" t="s">
        <v>42</v>
      </c>
      <c r="D9409" t="s">
        <v>41824</v>
      </c>
      <c r="E9409" t="e" cm="1">
        <f t="array" ref="E9409">- DICLOFENAC DIETHYLAMINE</f>
        <v>#NAME?</v>
      </c>
      <c r="F9409" t="s">
        <v>41825</v>
      </c>
      <c r="G9409" t="s">
        <v>41711</v>
      </c>
      <c r="H9409" t="s">
        <v>41712</v>
      </c>
      <c r="I9409" t="s">
        <v>41713</v>
      </c>
      <c r="J9409" t="s">
        <v>41826</v>
      </c>
      <c r="K9409" t="s">
        <v>41714</v>
      </c>
      <c r="L9409" t="s">
        <v>41715</v>
      </c>
      <c r="M9409" t="s">
        <v>87</v>
      </c>
      <c r="N9409" t="s">
        <v>1958</v>
      </c>
      <c r="O9409" t="s">
        <v>41716</v>
      </c>
      <c r="P9409" t="s">
        <v>41717</v>
      </c>
      <c r="Q9409" t="s">
        <v>41718</v>
      </c>
      <c r="R9409">
        <v>35</v>
      </c>
      <c r="S9409">
        <v>64</v>
      </c>
    </row>
    <row r="9410" spans="1:19" x14ac:dyDescent="0.35">
      <c r="A9410">
        <v>8043</v>
      </c>
      <c r="B9410" t="s">
        <v>41827</v>
      </c>
      <c r="C9410" t="s">
        <v>42</v>
      </c>
      <c r="D9410" t="s">
        <v>41828</v>
      </c>
      <c r="E9410" t="e" cm="1">
        <f t="array" ref="E9410">- POLICRESULEN</f>
        <v>#NAME?</v>
      </c>
      <c r="F9410" t="s">
        <v>41829</v>
      </c>
      <c r="G9410" t="s">
        <v>41830</v>
      </c>
      <c r="H9410" t="s">
        <v>41831</v>
      </c>
      <c r="I9410" t="s">
        <v>41832</v>
      </c>
      <c r="J9410" t="s">
        <v>1647</v>
      </c>
      <c r="K9410" t="s">
        <v>4677</v>
      </c>
      <c r="L9410" t="s">
        <v>41833</v>
      </c>
      <c r="M9410" t="s">
        <v>554</v>
      </c>
      <c r="N9410" t="s">
        <v>2590</v>
      </c>
      <c r="O9410" t="s">
        <v>41834</v>
      </c>
      <c r="P9410" t="s">
        <v>41835</v>
      </c>
      <c r="Q9410" t="s">
        <v>41836</v>
      </c>
      <c r="R9410">
        <v>35</v>
      </c>
      <c r="S9410">
        <v>64</v>
      </c>
    </row>
    <row r="9411" spans="1:19" x14ac:dyDescent="0.35">
      <c r="A9411">
        <v>2657</v>
      </c>
      <c r="B9411" t="s">
        <v>41837</v>
      </c>
      <c r="C9411" t="s">
        <v>42</v>
      </c>
      <c r="D9411" t="s">
        <v>41838</v>
      </c>
      <c r="E9411" t="e" cm="1">
        <f t="array" ref="E9411">- KETOPROFEN</f>
        <v>#NAME?</v>
      </c>
      <c r="F9411" t="s">
        <v>41839</v>
      </c>
      <c r="G9411" t="s">
        <v>20700</v>
      </c>
      <c r="H9411" t="s">
        <v>41840</v>
      </c>
      <c r="I9411" t="s">
        <v>41841</v>
      </c>
      <c r="J9411" t="s">
        <v>31873</v>
      </c>
      <c r="L9411" t="s">
        <v>41842</v>
      </c>
      <c r="M9411" t="s">
        <v>46</v>
      </c>
      <c r="N9411" t="s">
        <v>721</v>
      </c>
      <c r="O9411" t="s">
        <v>41843</v>
      </c>
      <c r="P9411" t="s">
        <v>8720</v>
      </c>
      <c r="Q9411" t="s">
        <v>41844</v>
      </c>
      <c r="R9411">
        <v>35</v>
      </c>
      <c r="S9411">
        <v>64</v>
      </c>
    </row>
    <row r="9412" spans="1:19" x14ac:dyDescent="0.35">
      <c r="A9412">
        <v>2658</v>
      </c>
      <c r="B9412" t="s">
        <v>41837</v>
      </c>
      <c r="C9412" t="s">
        <v>42</v>
      </c>
      <c r="D9412" t="s">
        <v>41838</v>
      </c>
      <c r="E9412" t="e" cm="1">
        <f t="array" ref="E9412">- KETOPROFEN</f>
        <v>#NAME?</v>
      </c>
      <c r="F9412" t="s">
        <v>41839</v>
      </c>
      <c r="G9412" t="s">
        <v>20700</v>
      </c>
      <c r="H9412" t="s">
        <v>41840</v>
      </c>
      <c r="I9412" t="s">
        <v>41841</v>
      </c>
      <c r="J9412" t="s">
        <v>31873</v>
      </c>
      <c r="L9412" t="s">
        <v>41842</v>
      </c>
      <c r="M9412" t="s">
        <v>46</v>
      </c>
      <c r="N9412" t="s">
        <v>721</v>
      </c>
      <c r="O9412" t="s">
        <v>41843</v>
      </c>
      <c r="P9412" t="s">
        <v>8720</v>
      </c>
      <c r="Q9412" t="s">
        <v>41844</v>
      </c>
      <c r="R9412">
        <v>35</v>
      </c>
      <c r="S9412">
        <v>64</v>
      </c>
    </row>
    <row r="9413" spans="1:19" x14ac:dyDescent="0.35">
      <c r="A9413">
        <v>5622</v>
      </c>
      <c r="B9413" t="s">
        <v>41845</v>
      </c>
      <c r="C9413" t="s">
        <v>42</v>
      </c>
      <c r="D9413" t="s">
        <v>41846</v>
      </c>
      <c r="E9413" t="e" cm="1">
        <f t="array" ref="E9413">- LEVOFLOXACIN HEMIHYDRATE</f>
        <v>#NAME?</v>
      </c>
      <c r="F9413" t="s">
        <v>41847</v>
      </c>
      <c r="G9413" t="s">
        <v>5839</v>
      </c>
      <c r="H9413" t="s">
        <v>41848</v>
      </c>
      <c r="I9413" t="s">
        <v>41849</v>
      </c>
      <c r="J9413" t="s">
        <v>7479</v>
      </c>
      <c r="K9413" t="s">
        <v>41850</v>
      </c>
      <c r="L9413" t="s">
        <v>41851</v>
      </c>
      <c r="M9413" t="s">
        <v>291</v>
      </c>
      <c r="N9413" t="s">
        <v>1784</v>
      </c>
      <c r="O9413" t="s">
        <v>41852</v>
      </c>
      <c r="P9413" t="s">
        <v>11487</v>
      </c>
      <c r="Q9413" t="s">
        <v>41853</v>
      </c>
      <c r="R9413">
        <v>35</v>
      </c>
      <c r="S9413">
        <v>64</v>
      </c>
    </row>
    <row r="9414" spans="1:19" x14ac:dyDescent="0.35">
      <c r="A9414">
        <v>9983</v>
      </c>
      <c r="B9414" t="s">
        <v>41854</v>
      </c>
      <c r="C9414" t="s">
        <v>42</v>
      </c>
      <c r="D9414" t="s">
        <v>41855</v>
      </c>
      <c r="E9414" t="e" cm="1">
        <f t="array" ref="E9414">- EDOXABAN TOSYLATE</f>
        <v>#NAME?</v>
      </c>
      <c r="F9414" t="s">
        <v>41856</v>
      </c>
      <c r="G9414" t="s">
        <v>41722</v>
      </c>
      <c r="H9414" t="s">
        <v>41857</v>
      </c>
      <c r="I9414" t="s">
        <v>41724</v>
      </c>
      <c r="J9414" t="s">
        <v>2644</v>
      </c>
      <c r="K9414" t="s">
        <v>41858</v>
      </c>
      <c r="L9414" t="s">
        <v>41859</v>
      </c>
      <c r="M9414" t="s">
        <v>46</v>
      </c>
      <c r="N9414" t="s">
        <v>41730</v>
      </c>
      <c r="O9414" t="s">
        <v>41727</v>
      </c>
      <c r="P9414" t="s">
        <v>41728</v>
      </c>
      <c r="Q9414" t="s">
        <v>41731</v>
      </c>
      <c r="R9414">
        <v>35</v>
      </c>
      <c r="S9414">
        <v>64</v>
      </c>
    </row>
    <row r="9415" spans="1:19" x14ac:dyDescent="0.35">
      <c r="A9415">
        <v>5427</v>
      </c>
      <c r="B9415" t="s">
        <v>41860</v>
      </c>
      <c r="C9415" t="s">
        <v>42</v>
      </c>
      <c r="D9415" t="s">
        <v>41861</v>
      </c>
      <c r="E9415" t="e" cm="1">
        <f t="array" ref="E9415">- SODIUM FUSIDATE</f>
        <v>#NAME?</v>
      </c>
      <c r="F9415" t="s">
        <v>41862</v>
      </c>
      <c r="H9415" t="s">
        <v>41863</v>
      </c>
      <c r="I9415" t="s">
        <v>41864</v>
      </c>
      <c r="J9415" t="s">
        <v>41865</v>
      </c>
      <c r="L9415" t="s">
        <v>321</v>
      </c>
      <c r="M9415" t="s">
        <v>1029</v>
      </c>
      <c r="N9415" t="s">
        <v>23487</v>
      </c>
      <c r="O9415" t="s">
        <v>41866</v>
      </c>
      <c r="P9415" t="s">
        <v>41867</v>
      </c>
      <c r="Q9415" t="s">
        <v>41868</v>
      </c>
      <c r="R9415">
        <v>35</v>
      </c>
      <c r="S9415">
        <v>64</v>
      </c>
    </row>
    <row r="9416" spans="1:19" x14ac:dyDescent="0.35">
      <c r="A9416">
        <v>7110</v>
      </c>
      <c r="B9416" t="s">
        <v>41708</v>
      </c>
      <c r="C9416" t="s">
        <v>42</v>
      </c>
      <c r="D9416" t="s">
        <v>41752</v>
      </c>
      <c r="E9416" t="e" cm="1">
        <f t="array" ref="E9416">- DICLOFENAC DIETHYLAMINE</f>
        <v>#NAME?</v>
      </c>
      <c r="F9416" t="s">
        <v>41753</v>
      </c>
      <c r="G9416" t="s">
        <v>41711</v>
      </c>
      <c r="H9416" t="s">
        <v>41712</v>
      </c>
      <c r="I9416" t="s">
        <v>41713</v>
      </c>
      <c r="J9416" t="s">
        <v>24155</v>
      </c>
      <c r="K9416" t="s">
        <v>41714</v>
      </c>
      <c r="L9416" t="s">
        <v>41715</v>
      </c>
      <c r="M9416" t="s">
        <v>87</v>
      </c>
      <c r="N9416" t="s">
        <v>1958</v>
      </c>
      <c r="O9416" t="s">
        <v>41716</v>
      </c>
      <c r="P9416" t="s">
        <v>41717</v>
      </c>
      <c r="Q9416" t="s">
        <v>41718</v>
      </c>
      <c r="R9416">
        <v>35</v>
      </c>
      <c r="S9416">
        <v>64</v>
      </c>
    </row>
    <row r="9417" spans="1:19" x14ac:dyDescent="0.35">
      <c r="A9417">
        <v>8044</v>
      </c>
      <c r="B9417" t="s">
        <v>41827</v>
      </c>
      <c r="C9417" t="s">
        <v>42</v>
      </c>
      <c r="D9417" t="s">
        <v>41828</v>
      </c>
      <c r="E9417" t="e" cm="1">
        <f t="array" ref="E9417">- POLICRESULEN</f>
        <v>#NAME?</v>
      </c>
      <c r="F9417" t="s">
        <v>41829</v>
      </c>
      <c r="G9417" t="s">
        <v>41830</v>
      </c>
      <c r="H9417" t="s">
        <v>41831</v>
      </c>
      <c r="I9417" t="s">
        <v>41832</v>
      </c>
      <c r="J9417" t="s">
        <v>1647</v>
      </c>
      <c r="K9417" t="s">
        <v>4677</v>
      </c>
      <c r="L9417" t="s">
        <v>41833</v>
      </c>
      <c r="M9417" t="s">
        <v>554</v>
      </c>
      <c r="N9417" t="s">
        <v>2590</v>
      </c>
      <c r="O9417" t="s">
        <v>41834</v>
      </c>
      <c r="P9417" t="s">
        <v>41835</v>
      </c>
      <c r="Q9417" t="s">
        <v>41836</v>
      </c>
      <c r="R9417">
        <v>35</v>
      </c>
      <c r="S9417">
        <v>64</v>
      </c>
    </row>
    <row r="9418" spans="1:19" x14ac:dyDescent="0.35">
      <c r="A9418">
        <v>7116</v>
      </c>
      <c r="B9418" t="s">
        <v>41708</v>
      </c>
      <c r="C9418" t="s">
        <v>42</v>
      </c>
      <c r="D9418" t="s">
        <v>41824</v>
      </c>
      <c r="E9418" t="e" cm="1">
        <f t="array" ref="E9418">- DICLOFENAC DIETHYLAMINE</f>
        <v>#NAME?</v>
      </c>
      <c r="F9418" t="s">
        <v>41825</v>
      </c>
      <c r="G9418" t="s">
        <v>41711</v>
      </c>
      <c r="H9418" t="s">
        <v>41712</v>
      </c>
      <c r="I9418" t="s">
        <v>41713</v>
      </c>
      <c r="J9418" t="s">
        <v>41826</v>
      </c>
      <c r="K9418" t="s">
        <v>41714</v>
      </c>
      <c r="L9418" t="s">
        <v>41715</v>
      </c>
      <c r="M9418" t="s">
        <v>87</v>
      </c>
      <c r="N9418" t="s">
        <v>1958</v>
      </c>
      <c r="O9418" t="s">
        <v>41716</v>
      </c>
      <c r="P9418" t="s">
        <v>41717</v>
      </c>
      <c r="Q9418" t="s">
        <v>41718</v>
      </c>
      <c r="R9418">
        <v>35</v>
      </c>
      <c r="S9418">
        <v>64</v>
      </c>
    </row>
    <row r="9419" spans="1:19" x14ac:dyDescent="0.35">
      <c r="A9419">
        <v>7117</v>
      </c>
      <c r="B9419" t="s">
        <v>41708</v>
      </c>
      <c r="C9419" t="s">
        <v>42</v>
      </c>
      <c r="D9419" t="s">
        <v>41824</v>
      </c>
      <c r="E9419" t="e" cm="1">
        <f t="array" ref="E9419">- DICLOFENAC DIETHYLAMINE</f>
        <v>#NAME?</v>
      </c>
      <c r="F9419" t="s">
        <v>41825</v>
      </c>
      <c r="G9419" t="s">
        <v>41711</v>
      </c>
      <c r="H9419" t="s">
        <v>41712</v>
      </c>
      <c r="I9419" t="s">
        <v>41713</v>
      </c>
      <c r="J9419" t="s">
        <v>41826</v>
      </c>
      <c r="K9419" t="s">
        <v>41714</v>
      </c>
      <c r="L9419" t="s">
        <v>41715</v>
      </c>
      <c r="M9419" t="s">
        <v>87</v>
      </c>
      <c r="N9419" t="s">
        <v>1958</v>
      </c>
      <c r="O9419" t="s">
        <v>41716</v>
      </c>
      <c r="P9419" t="s">
        <v>41717</v>
      </c>
      <c r="Q9419" t="s">
        <v>41718</v>
      </c>
      <c r="R9419">
        <v>35</v>
      </c>
      <c r="S9419">
        <v>64</v>
      </c>
    </row>
    <row r="9420" spans="1:19" x14ac:dyDescent="0.35">
      <c r="A9420">
        <v>9982</v>
      </c>
      <c r="B9420" t="s">
        <v>41854</v>
      </c>
      <c r="C9420" t="s">
        <v>42</v>
      </c>
      <c r="D9420" t="s">
        <v>41855</v>
      </c>
      <c r="E9420" t="e" cm="1">
        <f t="array" ref="E9420">- EDOXABAN TOSYLATE</f>
        <v>#NAME?</v>
      </c>
      <c r="F9420" t="s">
        <v>41856</v>
      </c>
      <c r="G9420" t="s">
        <v>41722</v>
      </c>
      <c r="H9420" t="s">
        <v>41857</v>
      </c>
      <c r="I9420" t="s">
        <v>41724</v>
      </c>
      <c r="J9420" t="s">
        <v>2644</v>
      </c>
      <c r="K9420" t="s">
        <v>41858</v>
      </c>
      <c r="L9420" t="s">
        <v>41859</v>
      </c>
      <c r="M9420" t="s">
        <v>46</v>
      </c>
      <c r="N9420" t="s">
        <v>41730</v>
      </c>
      <c r="O9420" t="s">
        <v>41727</v>
      </c>
      <c r="P9420" t="s">
        <v>41728</v>
      </c>
      <c r="Q9420" t="s">
        <v>41731</v>
      </c>
      <c r="R9420">
        <v>35</v>
      </c>
      <c r="S9420">
        <v>64</v>
      </c>
    </row>
    <row r="9421" spans="1:19" x14ac:dyDescent="0.35">
      <c r="A9421">
        <v>7118</v>
      </c>
      <c r="B9421" t="s">
        <v>41708</v>
      </c>
      <c r="C9421" t="s">
        <v>42</v>
      </c>
      <c r="D9421" t="s">
        <v>41709</v>
      </c>
      <c r="E9421" t="e" cm="1">
        <f t="array" ref="E9421">- DICLOFENAC DIETHYLAMINE</f>
        <v>#NAME?</v>
      </c>
      <c r="F9421" t="s">
        <v>41710</v>
      </c>
      <c r="G9421" t="s">
        <v>41711</v>
      </c>
      <c r="H9421" t="s">
        <v>41712</v>
      </c>
      <c r="I9421" t="s">
        <v>41713</v>
      </c>
      <c r="J9421" t="s">
        <v>7959</v>
      </c>
      <c r="K9421" t="s">
        <v>41714</v>
      </c>
      <c r="L9421" t="s">
        <v>41715</v>
      </c>
      <c r="M9421" t="s">
        <v>87</v>
      </c>
      <c r="N9421" t="s">
        <v>1958</v>
      </c>
      <c r="O9421" t="s">
        <v>41716</v>
      </c>
      <c r="P9421" t="s">
        <v>41717</v>
      </c>
      <c r="Q9421" t="s">
        <v>41718</v>
      </c>
      <c r="R9421">
        <v>35</v>
      </c>
      <c r="S9421">
        <v>64</v>
      </c>
    </row>
    <row r="9422" spans="1:19" x14ac:dyDescent="0.35">
      <c r="A9422">
        <v>9355</v>
      </c>
      <c r="B9422" t="s">
        <v>6301</v>
      </c>
      <c r="C9422" t="s">
        <v>42</v>
      </c>
      <c r="D9422" t="s">
        <v>41869</v>
      </c>
      <c r="E9422" t="s">
        <v>6303</v>
      </c>
      <c r="F9422" t="s">
        <v>41870</v>
      </c>
      <c r="G9422" t="s">
        <v>40510</v>
      </c>
      <c r="H9422" t="s">
        <v>1322</v>
      </c>
      <c r="I9422" t="s">
        <v>41871</v>
      </c>
      <c r="J9422" t="s">
        <v>12671</v>
      </c>
      <c r="L9422" t="s">
        <v>39884</v>
      </c>
      <c r="M9422" t="s">
        <v>46</v>
      </c>
      <c r="N9422" t="s">
        <v>6304</v>
      </c>
      <c r="O9422" t="s">
        <v>41872</v>
      </c>
      <c r="P9422" t="s">
        <v>41873</v>
      </c>
      <c r="Q9422" t="s">
        <v>41874</v>
      </c>
      <c r="R9422">
        <v>35</v>
      </c>
      <c r="S9422">
        <v>64</v>
      </c>
    </row>
    <row r="9423" spans="1:19" x14ac:dyDescent="0.35">
      <c r="A9423">
        <v>7119</v>
      </c>
      <c r="B9423" t="s">
        <v>41708</v>
      </c>
      <c r="C9423" t="s">
        <v>42</v>
      </c>
      <c r="D9423" t="s">
        <v>41709</v>
      </c>
      <c r="E9423" t="e" cm="1">
        <f t="array" ref="E9423">- DICLOFENAC DIETHYLAMINE</f>
        <v>#NAME?</v>
      </c>
      <c r="F9423" t="s">
        <v>41710</v>
      </c>
      <c r="G9423" t="s">
        <v>41711</v>
      </c>
      <c r="H9423" t="s">
        <v>41712</v>
      </c>
      <c r="I9423" t="s">
        <v>41713</v>
      </c>
      <c r="J9423" t="s">
        <v>7959</v>
      </c>
      <c r="K9423" t="s">
        <v>41714</v>
      </c>
      <c r="L9423" t="s">
        <v>41715</v>
      </c>
      <c r="M9423" t="s">
        <v>87</v>
      </c>
      <c r="N9423" t="s">
        <v>1958</v>
      </c>
      <c r="O9423" t="s">
        <v>41716</v>
      </c>
      <c r="P9423" t="s">
        <v>41717</v>
      </c>
      <c r="Q9423" t="s">
        <v>41718</v>
      </c>
      <c r="R9423">
        <v>35</v>
      </c>
      <c r="S9423">
        <v>64</v>
      </c>
    </row>
    <row r="9424" spans="1:19" x14ac:dyDescent="0.35">
      <c r="A9424">
        <v>8045</v>
      </c>
      <c r="B9424" t="s">
        <v>41827</v>
      </c>
      <c r="C9424" t="s">
        <v>42</v>
      </c>
      <c r="D9424" t="s">
        <v>41828</v>
      </c>
      <c r="E9424" t="e" cm="1">
        <f t="array" ref="E9424">- POLICRESULEN</f>
        <v>#NAME?</v>
      </c>
      <c r="F9424" t="s">
        <v>41829</v>
      </c>
      <c r="G9424" t="s">
        <v>41830</v>
      </c>
      <c r="H9424" t="s">
        <v>41831</v>
      </c>
      <c r="I9424" t="s">
        <v>41832</v>
      </c>
      <c r="J9424" t="s">
        <v>1647</v>
      </c>
      <c r="K9424" t="s">
        <v>4677</v>
      </c>
      <c r="L9424" t="s">
        <v>41833</v>
      </c>
      <c r="M9424" t="s">
        <v>554</v>
      </c>
      <c r="N9424" t="s">
        <v>2590</v>
      </c>
      <c r="O9424" t="s">
        <v>41834</v>
      </c>
      <c r="P9424" t="s">
        <v>41835</v>
      </c>
      <c r="Q9424" t="s">
        <v>41836</v>
      </c>
      <c r="R9424">
        <v>35</v>
      </c>
      <c r="S9424">
        <v>64</v>
      </c>
    </row>
    <row r="9425" spans="1:19" x14ac:dyDescent="0.35">
      <c r="A9425">
        <v>8038</v>
      </c>
      <c r="B9425" t="s">
        <v>41875</v>
      </c>
      <c r="C9425" t="s">
        <v>20</v>
      </c>
      <c r="D9425" t="s">
        <v>41876</v>
      </c>
      <c r="E9425" t="s">
        <v>41877</v>
      </c>
      <c r="F9425" t="s">
        <v>41878</v>
      </c>
      <c r="I9425" t="s">
        <v>41879</v>
      </c>
      <c r="J9425" t="s">
        <v>41880</v>
      </c>
      <c r="M9425" t="s">
        <v>38</v>
      </c>
      <c r="N9425" t="s">
        <v>41881</v>
      </c>
      <c r="O9425" t="s">
        <v>41882</v>
      </c>
      <c r="P9425" t="s">
        <v>41883</v>
      </c>
      <c r="Q9425" t="s">
        <v>41884</v>
      </c>
      <c r="R9425">
        <v>35</v>
      </c>
      <c r="S9425">
        <v>64</v>
      </c>
    </row>
    <row r="9426" spans="1:19" x14ac:dyDescent="0.35">
      <c r="A9426">
        <v>9984</v>
      </c>
      <c r="B9426" t="s">
        <v>41854</v>
      </c>
      <c r="C9426" t="s">
        <v>42</v>
      </c>
      <c r="D9426" t="s">
        <v>41855</v>
      </c>
      <c r="E9426" t="e" cm="1">
        <f t="array" ref="E9426">- EDOXABEN TOSYLATE</f>
        <v>#NAME?</v>
      </c>
      <c r="F9426" t="s">
        <v>41856</v>
      </c>
      <c r="G9426" t="s">
        <v>41722</v>
      </c>
      <c r="H9426" t="s">
        <v>41857</v>
      </c>
      <c r="I9426" t="s">
        <v>41724</v>
      </c>
      <c r="J9426" t="s">
        <v>2644</v>
      </c>
      <c r="K9426" t="s">
        <v>41858</v>
      </c>
      <c r="L9426" t="s">
        <v>41859</v>
      </c>
      <c r="M9426" t="s">
        <v>46</v>
      </c>
      <c r="N9426" t="s">
        <v>41726</v>
      </c>
      <c r="O9426" t="s">
        <v>41727</v>
      </c>
      <c r="P9426" t="s">
        <v>41728</v>
      </c>
      <c r="Q9426" t="s">
        <v>41729</v>
      </c>
      <c r="R9426">
        <v>35</v>
      </c>
      <c r="S9426">
        <v>64</v>
      </c>
    </row>
    <row r="9427" spans="1:19" x14ac:dyDescent="0.35">
      <c r="A9427">
        <v>9329</v>
      </c>
      <c r="B9427" t="s">
        <v>35549</v>
      </c>
      <c r="C9427" t="s">
        <v>42</v>
      </c>
      <c r="D9427" t="s">
        <v>35573</v>
      </c>
      <c r="E9427" t="s">
        <v>41885</v>
      </c>
      <c r="F9427" t="s">
        <v>35574</v>
      </c>
      <c r="G9427" t="s">
        <v>5301</v>
      </c>
      <c r="H9427" t="s">
        <v>35552</v>
      </c>
      <c r="I9427" t="s">
        <v>35575</v>
      </c>
      <c r="J9427" t="s">
        <v>35576</v>
      </c>
      <c r="L9427" t="s">
        <v>270</v>
      </c>
      <c r="M9427" t="s">
        <v>46</v>
      </c>
      <c r="N9427" t="s">
        <v>41886</v>
      </c>
      <c r="O9427" t="s">
        <v>35557</v>
      </c>
      <c r="P9427" t="s">
        <v>35558</v>
      </c>
      <c r="Q9427" t="s">
        <v>41887</v>
      </c>
      <c r="R9427">
        <v>35</v>
      </c>
      <c r="S9427">
        <v>64</v>
      </c>
    </row>
    <row r="9428" spans="1:19" x14ac:dyDescent="0.35">
      <c r="A9428">
        <v>9328</v>
      </c>
      <c r="B9428" t="s">
        <v>35549</v>
      </c>
      <c r="C9428" t="s">
        <v>42</v>
      </c>
      <c r="D9428" t="s">
        <v>35573</v>
      </c>
      <c r="E9428" t="s">
        <v>41885</v>
      </c>
      <c r="F9428" t="s">
        <v>35574</v>
      </c>
      <c r="G9428" t="s">
        <v>5301</v>
      </c>
      <c r="H9428" t="s">
        <v>35552</v>
      </c>
      <c r="I9428" t="s">
        <v>35575</v>
      </c>
      <c r="J9428" t="s">
        <v>35576</v>
      </c>
      <c r="L9428" t="s">
        <v>270</v>
      </c>
      <c r="M9428" t="s">
        <v>46</v>
      </c>
      <c r="N9428" t="s">
        <v>41886</v>
      </c>
      <c r="O9428" t="s">
        <v>35557</v>
      </c>
      <c r="P9428" t="s">
        <v>35558</v>
      </c>
      <c r="Q9428" t="s">
        <v>41887</v>
      </c>
      <c r="R9428">
        <v>35</v>
      </c>
      <c r="S9428">
        <v>64</v>
      </c>
    </row>
    <row r="9429" spans="1:19" x14ac:dyDescent="0.35">
      <c r="A9429">
        <v>7114</v>
      </c>
      <c r="B9429" t="s">
        <v>41708</v>
      </c>
      <c r="C9429" t="s">
        <v>42</v>
      </c>
      <c r="D9429" t="s">
        <v>41824</v>
      </c>
      <c r="E9429" t="e" cm="1">
        <f t="array" ref="E9429">- DICLOFENAC DIETHYLAMINE</f>
        <v>#NAME?</v>
      </c>
      <c r="F9429" t="s">
        <v>41825</v>
      </c>
      <c r="G9429" t="s">
        <v>41711</v>
      </c>
      <c r="H9429" t="s">
        <v>41712</v>
      </c>
      <c r="I9429" t="s">
        <v>41713</v>
      </c>
      <c r="J9429" t="s">
        <v>41826</v>
      </c>
      <c r="K9429" t="s">
        <v>41714</v>
      </c>
      <c r="L9429" t="s">
        <v>41715</v>
      </c>
      <c r="M9429" t="s">
        <v>87</v>
      </c>
      <c r="N9429" t="s">
        <v>1958</v>
      </c>
      <c r="O9429" t="s">
        <v>41716</v>
      </c>
      <c r="P9429" t="s">
        <v>41717</v>
      </c>
      <c r="Q9429" t="s">
        <v>41718</v>
      </c>
      <c r="R9429">
        <v>35</v>
      </c>
      <c r="S9429">
        <v>64</v>
      </c>
    </row>
    <row r="9430" spans="1:19" x14ac:dyDescent="0.35">
      <c r="A9430">
        <v>7112</v>
      </c>
      <c r="B9430" t="s">
        <v>41708</v>
      </c>
      <c r="C9430" t="s">
        <v>42</v>
      </c>
      <c r="D9430" t="s">
        <v>41824</v>
      </c>
      <c r="E9430" t="e" cm="1">
        <f t="array" ref="E9430">- DICLOFENAC DIETHYLAMINE</f>
        <v>#NAME?</v>
      </c>
      <c r="F9430" t="s">
        <v>41825</v>
      </c>
      <c r="G9430" t="s">
        <v>41711</v>
      </c>
      <c r="H9430" t="s">
        <v>41712</v>
      </c>
      <c r="I9430" t="s">
        <v>41713</v>
      </c>
      <c r="J9430" t="s">
        <v>41826</v>
      </c>
      <c r="K9430" t="s">
        <v>41714</v>
      </c>
      <c r="L9430" t="s">
        <v>41715</v>
      </c>
      <c r="M9430" t="s">
        <v>87</v>
      </c>
      <c r="N9430" t="s">
        <v>1958</v>
      </c>
      <c r="O9430" t="s">
        <v>41716</v>
      </c>
      <c r="P9430" t="s">
        <v>41717</v>
      </c>
      <c r="Q9430" t="s">
        <v>41718</v>
      </c>
      <c r="R9430">
        <v>35</v>
      </c>
      <c r="S9430">
        <v>64</v>
      </c>
    </row>
    <row r="9431" spans="1:19" x14ac:dyDescent="0.35">
      <c r="A9431">
        <v>9325</v>
      </c>
      <c r="B9431" t="s">
        <v>35549</v>
      </c>
      <c r="C9431" t="s">
        <v>42</v>
      </c>
      <c r="D9431" t="s">
        <v>35550</v>
      </c>
      <c r="E9431" t="s">
        <v>41885</v>
      </c>
      <c r="F9431" t="s">
        <v>35551</v>
      </c>
      <c r="G9431" t="s">
        <v>5301</v>
      </c>
      <c r="H9431" t="s">
        <v>35552</v>
      </c>
      <c r="I9431" t="s">
        <v>35553</v>
      </c>
      <c r="J9431" t="s">
        <v>35554</v>
      </c>
      <c r="K9431" t="s">
        <v>35555</v>
      </c>
      <c r="L9431" t="s">
        <v>321</v>
      </c>
      <c r="M9431" t="s">
        <v>46</v>
      </c>
      <c r="N9431" t="s">
        <v>41886</v>
      </c>
      <c r="O9431" t="s">
        <v>35557</v>
      </c>
      <c r="P9431" t="s">
        <v>35558</v>
      </c>
      <c r="Q9431" t="s">
        <v>41887</v>
      </c>
      <c r="R9431">
        <v>35</v>
      </c>
      <c r="S9431">
        <v>64</v>
      </c>
    </row>
    <row r="9432" spans="1:19" x14ac:dyDescent="0.35">
      <c r="A9432">
        <v>9324</v>
      </c>
      <c r="B9432" t="s">
        <v>35549</v>
      </c>
      <c r="C9432" t="s">
        <v>42</v>
      </c>
      <c r="D9432" t="s">
        <v>35550</v>
      </c>
      <c r="E9432" t="s">
        <v>41885</v>
      </c>
      <c r="F9432" t="s">
        <v>35551</v>
      </c>
      <c r="G9432" t="s">
        <v>5301</v>
      </c>
      <c r="H9432" t="s">
        <v>35552</v>
      </c>
      <c r="I9432" t="s">
        <v>35553</v>
      </c>
      <c r="J9432" t="s">
        <v>35554</v>
      </c>
      <c r="K9432" t="s">
        <v>35555</v>
      </c>
      <c r="L9432" t="s">
        <v>321</v>
      </c>
      <c r="M9432" t="s">
        <v>46</v>
      </c>
      <c r="N9432" t="s">
        <v>41886</v>
      </c>
      <c r="O9432" t="s">
        <v>35557</v>
      </c>
      <c r="P9432" t="s">
        <v>35558</v>
      </c>
      <c r="Q9432" t="s">
        <v>41887</v>
      </c>
      <c r="R9432">
        <v>35</v>
      </c>
      <c r="S9432">
        <v>64</v>
      </c>
    </row>
    <row r="9433" spans="1:19" x14ac:dyDescent="0.35">
      <c r="A9433">
        <v>9985</v>
      </c>
      <c r="B9433" t="s">
        <v>41854</v>
      </c>
      <c r="C9433" t="s">
        <v>42</v>
      </c>
      <c r="D9433" t="s">
        <v>41855</v>
      </c>
      <c r="E9433" t="e" cm="1">
        <f t="array" ref="E9433">- EDOXABEN TOSYLATE</f>
        <v>#NAME?</v>
      </c>
      <c r="F9433" t="s">
        <v>41856</v>
      </c>
      <c r="G9433" t="s">
        <v>41722</v>
      </c>
      <c r="H9433" t="s">
        <v>41857</v>
      </c>
      <c r="I9433" t="s">
        <v>41724</v>
      </c>
      <c r="J9433" t="s">
        <v>2644</v>
      </c>
      <c r="K9433" t="s">
        <v>41858</v>
      </c>
      <c r="L9433" t="s">
        <v>41859</v>
      </c>
      <c r="M9433" t="s">
        <v>46</v>
      </c>
      <c r="N9433" t="s">
        <v>41726</v>
      </c>
      <c r="O9433" t="s">
        <v>41727</v>
      </c>
      <c r="P9433" t="s">
        <v>41728</v>
      </c>
      <c r="Q9433" t="s">
        <v>41729</v>
      </c>
      <c r="R9433">
        <v>35</v>
      </c>
      <c r="S9433">
        <v>64</v>
      </c>
    </row>
    <row r="9434" spans="1:19" x14ac:dyDescent="0.35">
      <c r="A9434">
        <v>9321</v>
      </c>
      <c r="B9434" t="s">
        <v>35549</v>
      </c>
      <c r="C9434" t="s">
        <v>42</v>
      </c>
      <c r="D9434" t="s">
        <v>35573</v>
      </c>
      <c r="E9434" t="s">
        <v>41885</v>
      </c>
      <c r="F9434" t="s">
        <v>35574</v>
      </c>
      <c r="G9434" t="s">
        <v>5301</v>
      </c>
      <c r="H9434" t="s">
        <v>35552</v>
      </c>
      <c r="I9434" t="s">
        <v>35575</v>
      </c>
      <c r="J9434" t="s">
        <v>35576</v>
      </c>
      <c r="L9434" t="s">
        <v>270</v>
      </c>
      <c r="M9434" t="s">
        <v>46</v>
      </c>
      <c r="N9434" t="s">
        <v>41886</v>
      </c>
      <c r="O9434" t="s">
        <v>35557</v>
      </c>
      <c r="P9434" t="s">
        <v>35558</v>
      </c>
      <c r="Q9434" t="s">
        <v>41887</v>
      </c>
      <c r="R9434">
        <v>35</v>
      </c>
      <c r="S9434">
        <v>64</v>
      </c>
    </row>
    <row r="9435" spans="1:19" x14ac:dyDescent="0.35">
      <c r="A9435">
        <v>7115</v>
      </c>
      <c r="B9435" t="s">
        <v>41708</v>
      </c>
      <c r="C9435" t="s">
        <v>42</v>
      </c>
      <c r="D9435" t="s">
        <v>41824</v>
      </c>
      <c r="E9435" t="e" cm="1">
        <f t="array" ref="E9435">- DICLOFENAC DIETHYLAMINE</f>
        <v>#NAME?</v>
      </c>
      <c r="F9435" t="s">
        <v>41825</v>
      </c>
      <c r="G9435" t="s">
        <v>41711</v>
      </c>
      <c r="H9435" t="s">
        <v>41712</v>
      </c>
      <c r="I9435" t="s">
        <v>41713</v>
      </c>
      <c r="J9435" t="s">
        <v>41826</v>
      </c>
      <c r="K9435" t="s">
        <v>41714</v>
      </c>
      <c r="L9435" t="s">
        <v>41715</v>
      </c>
      <c r="M9435" t="s">
        <v>87</v>
      </c>
      <c r="N9435" t="s">
        <v>1958</v>
      </c>
      <c r="O9435" t="s">
        <v>41716</v>
      </c>
      <c r="P9435" t="s">
        <v>41717</v>
      </c>
      <c r="Q9435" t="s">
        <v>41718</v>
      </c>
      <c r="R9435">
        <v>35</v>
      </c>
      <c r="S9435">
        <v>64</v>
      </c>
    </row>
    <row r="9436" spans="1:19" x14ac:dyDescent="0.35">
      <c r="A9436">
        <v>9320</v>
      </c>
      <c r="B9436" t="s">
        <v>35549</v>
      </c>
      <c r="C9436" t="s">
        <v>42</v>
      </c>
      <c r="D9436" t="s">
        <v>35573</v>
      </c>
      <c r="E9436" t="s">
        <v>41885</v>
      </c>
      <c r="F9436" t="s">
        <v>35574</v>
      </c>
      <c r="G9436" t="s">
        <v>5301</v>
      </c>
      <c r="H9436" t="s">
        <v>35552</v>
      </c>
      <c r="I9436" t="s">
        <v>35575</v>
      </c>
      <c r="J9436" t="s">
        <v>35576</v>
      </c>
      <c r="L9436" t="s">
        <v>270</v>
      </c>
      <c r="M9436" t="s">
        <v>46</v>
      </c>
      <c r="N9436" t="s">
        <v>41886</v>
      </c>
      <c r="O9436" t="s">
        <v>35557</v>
      </c>
      <c r="P9436" t="s">
        <v>35558</v>
      </c>
      <c r="Q9436" t="s">
        <v>41887</v>
      </c>
      <c r="R9436">
        <v>35</v>
      </c>
      <c r="S9436">
        <v>64</v>
      </c>
    </row>
    <row r="9437" spans="1:19" x14ac:dyDescent="0.35">
      <c r="A9437">
        <v>7113</v>
      </c>
      <c r="B9437" t="s">
        <v>41708</v>
      </c>
      <c r="C9437" t="s">
        <v>42</v>
      </c>
      <c r="D9437" t="s">
        <v>41824</v>
      </c>
      <c r="E9437" t="e" cm="1">
        <f t="array" ref="E9437">- DICLOFENAC DIETHYLAMINE</f>
        <v>#NAME?</v>
      </c>
      <c r="F9437" t="s">
        <v>41825</v>
      </c>
      <c r="G9437" t="s">
        <v>41711</v>
      </c>
      <c r="H9437" t="s">
        <v>41712</v>
      </c>
      <c r="I9437" t="s">
        <v>41713</v>
      </c>
      <c r="J9437" t="s">
        <v>41826</v>
      </c>
      <c r="K9437" t="s">
        <v>41714</v>
      </c>
      <c r="L9437" t="s">
        <v>41715</v>
      </c>
      <c r="M9437" t="s">
        <v>87</v>
      </c>
      <c r="N9437" t="s">
        <v>1958</v>
      </c>
      <c r="O9437" t="s">
        <v>41716</v>
      </c>
      <c r="P9437" t="s">
        <v>41717</v>
      </c>
      <c r="Q9437" t="s">
        <v>41718</v>
      </c>
      <c r="R9437">
        <v>35</v>
      </c>
      <c r="S9437">
        <v>64</v>
      </c>
    </row>
    <row r="9438" spans="1:19" x14ac:dyDescent="0.35">
      <c r="A9438">
        <v>9317</v>
      </c>
      <c r="B9438" t="s">
        <v>35549</v>
      </c>
      <c r="C9438" t="s">
        <v>42</v>
      </c>
      <c r="D9438" t="s">
        <v>35550</v>
      </c>
      <c r="E9438" t="s">
        <v>41885</v>
      </c>
      <c r="F9438" t="s">
        <v>35551</v>
      </c>
      <c r="G9438" t="s">
        <v>5301</v>
      </c>
      <c r="H9438" t="s">
        <v>35552</v>
      </c>
      <c r="I9438" t="s">
        <v>35553</v>
      </c>
      <c r="J9438" t="s">
        <v>35554</v>
      </c>
      <c r="K9438" t="s">
        <v>35555</v>
      </c>
      <c r="L9438" t="s">
        <v>321</v>
      </c>
      <c r="M9438" t="s">
        <v>46</v>
      </c>
      <c r="N9438" t="s">
        <v>41886</v>
      </c>
      <c r="O9438" t="s">
        <v>35557</v>
      </c>
      <c r="P9438" t="s">
        <v>35558</v>
      </c>
      <c r="Q9438" t="s">
        <v>41887</v>
      </c>
      <c r="R9438">
        <v>35</v>
      </c>
      <c r="S9438">
        <v>64</v>
      </c>
    </row>
    <row r="9439" spans="1:19" x14ac:dyDescent="0.35">
      <c r="A9439">
        <v>9316</v>
      </c>
      <c r="B9439" t="s">
        <v>35549</v>
      </c>
      <c r="C9439" t="s">
        <v>42</v>
      </c>
      <c r="D9439" t="s">
        <v>35550</v>
      </c>
      <c r="E9439" t="s">
        <v>41885</v>
      </c>
      <c r="F9439" t="s">
        <v>35551</v>
      </c>
      <c r="G9439" t="s">
        <v>5301</v>
      </c>
      <c r="H9439" t="s">
        <v>35552</v>
      </c>
      <c r="I9439" t="s">
        <v>35553</v>
      </c>
      <c r="J9439" t="s">
        <v>35554</v>
      </c>
      <c r="K9439" t="s">
        <v>35555</v>
      </c>
      <c r="L9439" t="s">
        <v>321</v>
      </c>
      <c r="M9439" t="s">
        <v>46</v>
      </c>
      <c r="N9439" t="s">
        <v>41886</v>
      </c>
      <c r="O9439" t="s">
        <v>35557</v>
      </c>
      <c r="P9439" t="s">
        <v>35558</v>
      </c>
      <c r="Q9439" t="s">
        <v>41887</v>
      </c>
      <c r="R9439">
        <v>35</v>
      </c>
      <c r="S9439">
        <v>64</v>
      </c>
    </row>
    <row r="9440" spans="1:19" x14ac:dyDescent="0.35">
      <c r="A9440">
        <v>8830</v>
      </c>
      <c r="B9440" t="s">
        <v>41888</v>
      </c>
      <c r="C9440" t="s">
        <v>42</v>
      </c>
      <c r="D9440" t="s">
        <v>41889</v>
      </c>
      <c r="E9440" t="e" cm="1">
        <f t="array" ref="E9440">- LINAGLIPTIN</f>
        <v>#NAME?</v>
      </c>
      <c r="F9440" t="s">
        <v>41890</v>
      </c>
      <c r="G9440" t="s">
        <v>41891</v>
      </c>
      <c r="H9440" t="s">
        <v>41892</v>
      </c>
      <c r="I9440" t="s">
        <v>41893</v>
      </c>
    </row>
    <row r="9441" spans="1:19" x14ac:dyDescent="0.35">
      <c r="A9441">
        <v>8833</v>
      </c>
      <c r="B9441" t="s">
        <v>41894</v>
      </c>
      <c r="C9441" t="s">
        <v>42</v>
      </c>
      <c r="D9441" t="s">
        <v>41895</v>
      </c>
      <c r="E9441" t="e" cm="1">
        <f t="array" ref="E9441">- METFORMIN HYDROCHLORIDE</f>
        <v>#NAME?</v>
      </c>
      <c r="F9441" t="s">
        <v>41896</v>
      </c>
      <c r="G9441" t="s">
        <v>6135</v>
      </c>
      <c r="H9441" t="s">
        <v>41897</v>
      </c>
      <c r="I9441" t="s">
        <v>41898</v>
      </c>
      <c r="J9441" t="s">
        <v>381</v>
      </c>
      <c r="K9441" t="s">
        <v>41899</v>
      </c>
      <c r="L9441" t="s">
        <v>41900</v>
      </c>
      <c r="M9441" t="s">
        <v>46</v>
      </c>
      <c r="N9441" t="s">
        <v>30728</v>
      </c>
      <c r="O9441" t="s">
        <v>41901</v>
      </c>
      <c r="P9441" t="s">
        <v>41902</v>
      </c>
      <c r="Q9441" t="s">
        <v>41903</v>
      </c>
      <c r="R9441">
        <v>36</v>
      </c>
      <c r="S9441">
        <v>64</v>
      </c>
    </row>
    <row r="9442" spans="1:19" x14ac:dyDescent="0.35">
      <c r="A9442">
        <v>5403</v>
      </c>
      <c r="B9442" t="s">
        <v>41904</v>
      </c>
      <c r="C9442" t="s">
        <v>42</v>
      </c>
      <c r="D9442" t="s">
        <v>41905</v>
      </c>
      <c r="E9442" t="e" cm="1">
        <f t="array" ref="E9442">- CLOTRIMAZOLE</f>
        <v>#NAME?</v>
      </c>
      <c r="F9442" t="s">
        <v>41906</v>
      </c>
      <c r="G9442" t="s">
        <v>41907</v>
      </c>
      <c r="H9442" t="s">
        <v>41908</v>
      </c>
      <c r="I9442" t="s">
        <v>41909</v>
      </c>
      <c r="J9442" t="s">
        <v>2040</v>
      </c>
      <c r="K9442" t="s">
        <v>15429</v>
      </c>
      <c r="L9442" t="s">
        <v>41910</v>
      </c>
      <c r="M9442" t="s">
        <v>1289</v>
      </c>
      <c r="N9442" t="s">
        <v>1422</v>
      </c>
      <c r="O9442" t="s">
        <v>41911</v>
      </c>
      <c r="P9442" t="s">
        <v>41912</v>
      </c>
      <c r="Q9442" t="s">
        <v>41913</v>
      </c>
      <c r="R9442">
        <v>36</v>
      </c>
      <c r="S9442">
        <v>64</v>
      </c>
    </row>
    <row r="9443" spans="1:19" x14ac:dyDescent="0.35">
      <c r="A9443">
        <v>5608</v>
      </c>
      <c r="B9443" t="s">
        <v>41914</v>
      </c>
      <c r="C9443" t="s">
        <v>42</v>
      </c>
      <c r="D9443" t="s">
        <v>41915</v>
      </c>
      <c r="E9443" t="e" cm="1">
        <f t="array" ref="E9443">- CLINDAMYCIN HYDROCHLORIDE</f>
        <v>#NAME?</v>
      </c>
      <c r="F9443" t="s">
        <v>41916</v>
      </c>
      <c r="G9443" t="s">
        <v>2241</v>
      </c>
      <c r="H9443" t="s">
        <v>41917</v>
      </c>
      <c r="I9443" t="s">
        <v>41918</v>
      </c>
      <c r="J9443" t="s">
        <v>23880</v>
      </c>
      <c r="K9443" t="s">
        <v>27130</v>
      </c>
      <c r="L9443" t="s">
        <v>41919</v>
      </c>
      <c r="M9443" t="s">
        <v>38</v>
      </c>
      <c r="N9443" t="s">
        <v>23622</v>
      </c>
      <c r="O9443" t="s">
        <v>41920</v>
      </c>
      <c r="P9443" t="s">
        <v>7223</v>
      </c>
      <c r="Q9443" t="s">
        <v>41921</v>
      </c>
      <c r="R9443">
        <v>36</v>
      </c>
      <c r="S9443">
        <v>64</v>
      </c>
    </row>
    <row r="9444" spans="1:19" x14ac:dyDescent="0.35">
      <c r="A9444">
        <v>7729</v>
      </c>
      <c r="B9444" t="s">
        <v>41922</v>
      </c>
      <c r="C9444" t="s">
        <v>42</v>
      </c>
      <c r="D9444" t="s">
        <v>41923</v>
      </c>
      <c r="E9444" t="e" cm="1">
        <f t="array" ref="E9444">- LYSINE ACETATE. THREONINE. HISTIDINE. TYROSINE. TRYPTOPHAN. ALPHA-KETO-ISOLEUCIN CALCIUM. ALPHA-KETO-LEUCINE CALCIUM. ALPHA-KETO-PHENYLALANINE CALCIUM. ALPHA-KETO-VALINE CALCIUM. ALPHA-HYDROXY METHIONINE CALCIUM</f>
        <v>#NAME?</v>
      </c>
      <c r="F9444" t="s">
        <v>41924</v>
      </c>
      <c r="G9444" t="s">
        <v>6650</v>
      </c>
      <c r="H9444" t="s">
        <v>41925</v>
      </c>
      <c r="I9444" t="s">
        <v>41926</v>
      </c>
      <c r="J9444" t="s">
        <v>515</v>
      </c>
      <c r="K9444" t="s">
        <v>41927</v>
      </c>
      <c r="L9444" t="s">
        <v>41928</v>
      </c>
      <c r="M9444" t="s">
        <v>291</v>
      </c>
      <c r="N9444" t="s">
        <v>41929</v>
      </c>
      <c r="O9444" t="s">
        <v>41930</v>
      </c>
      <c r="P9444" t="s">
        <v>41931</v>
      </c>
      <c r="Q9444" t="s">
        <v>41932</v>
      </c>
      <c r="R9444">
        <v>36</v>
      </c>
      <c r="S9444">
        <v>64</v>
      </c>
    </row>
    <row r="9445" spans="1:19" x14ac:dyDescent="0.35">
      <c r="A9445">
        <v>8827</v>
      </c>
      <c r="B9445" t="s">
        <v>41933</v>
      </c>
      <c r="C9445" t="s">
        <v>42</v>
      </c>
      <c r="D9445" t="s">
        <v>41934</v>
      </c>
      <c r="E9445" t="e" cm="1">
        <f t="array" ref="E9445">- LINAGLIPTIN</f>
        <v>#NAME?</v>
      </c>
      <c r="F9445" t="s">
        <v>41935</v>
      </c>
      <c r="G9445" t="s">
        <v>4045</v>
      </c>
      <c r="H9445" t="s">
        <v>41892</v>
      </c>
      <c r="I9445" t="s">
        <v>41936</v>
      </c>
    </row>
    <row r="9446" spans="1:19" x14ac:dyDescent="0.35">
      <c r="A9446">
        <v>5607</v>
      </c>
      <c r="B9446" t="s">
        <v>41914</v>
      </c>
      <c r="C9446" t="s">
        <v>42</v>
      </c>
      <c r="D9446" t="s">
        <v>41915</v>
      </c>
      <c r="E9446" t="e" cm="1">
        <f t="array" ref="E9446">- CLINDAMYCIN HYDROCHLORIDE</f>
        <v>#NAME?</v>
      </c>
      <c r="F9446" t="s">
        <v>41916</v>
      </c>
      <c r="G9446" t="s">
        <v>2241</v>
      </c>
      <c r="H9446" t="s">
        <v>41917</v>
      </c>
      <c r="I9446" t="s">
        <v>41918</v>
      </c>
      <c r="J9446" t="s">
        <v>23880</v>
      </c>
      <c r="K9446" t="s">
        <v>27130</v>
      </c>
      <c r="L9446" t="s">
        <v>41919</v>
      </c>
      <c r="M9446" t="s">
        <v>38</v>
      </c>
      <c r="N9446" t="s">
        <v>23622</v>
      </c>
      <c r="O9446" t="s">
        <v>41920</v>
      </c>
      <c r="P9446" t="s">
        <v>7223</v>
      </c>
      <c r="Q9446" t="s">
        <v>41921</v>
      </c>
      <c r="R9446">
        <v>36</v>
      </c>
      <c r="S9446">
        <v>64</v>
      </c>
    </row>
    <row r="9447" spans="1:19" x14ac:dyDescent="0.35">
      <c r="A9447">
        <v>2465</v>
      </c>
      <c r="B9447" t="s">
        <v>41937</v>
      </c>
      <c r="C9447" t="s">
        <v>42</v>
      </c>
      <c r="D9447" t="s">
        <v>41938</v>
      </c>
      <c r="E9447" t="e" cm="1">
        <f t="array" ref="E9447">- DICLOFENAC SODIUM</f>
        <v>#NAME?</v>
      </c>
      <c r="F9447" t="s">
        <v>41939</v>
      </c>
      <c r="G9447" t="s">
        <v>6135</v>
      </c>
      <c r="H9447" t="s">
        <v>2596</v>
      </c>
      <c r="I9447" t="s">
        <v>41940</v>
      </c>
      <c r="J9447" t="s">
        <v>13151</v>
      </c>
      <c r="K9447" t="s">
        <v>41941</v>
      </c>
      <c r="L9447" t="s">
        <v>41942</v>
      </c>
      <c r="M9447" t="s">
        <v>46</v>
      </c>
      <c r="N9447" t="s">
        <v>2597</v>
      </c>
      <c r="O9447" t="s">
        <v>41943</v>
      </c>
      <c r="P9447" t="s">
        <v>41944</v>
      </c>
      <c r="Q9447" t="s">
        <v>41945</v>
      </c>
      <c r="R9447">
        <v>36</v>
      </c>
      <c r="S9447">
        <v>64</v>
      </c>
    </row>
    <row r="9448" spans="1:19" x14ac:dyDescent="0.35">
      <c r="A9448">
        <v>8573</v>
      </c>
      <c r="B9448" t="s">
        <v>41946</v>
      </c>
      <c r="C9448" t="s">
        <v>42</v>
      </c>
      <c r="D9448" t="s">
        <v>41947</v>
      </c>
      <c r="E9448" t="e" cm="1">
        <f t="array" ref="E9448">- METFORMIN HYDROCHLORIDE. SITAGLIPTIN PHOSPHATE</f>
        <v>#NAME?</v>
      </c>
      <c r="F9448" t="s">
        <v>41948</v>
      </c>
      <c r="G9448" t="s">
        <v>4045</v>
      </c>
      <c r="H9448" t="s">
        <v>41949</v>
      </c>
      <c r="I9448" t="s">
        <v>41950</v>
      </c>
      <c r="J9448" t="s">
        <v>3145</v>
      </c>
      <c r="K9448" t="s">
        <v>41951</v>
      </c>
    </row>
    <row r="9449" spans="1:19" x14ac:dyDescent="0.35">
      <c r="A9449">
        <v>8574</v>
      </c>
      <c r="B9449" t="s">
        <v>41946</v>
      </c>
      <c r="C9449" t="s">
        <v>42</v>
      </c>
      <c r="D9449" t="s">
        <v>41947</v>
      </c>
      <c r="E9449" t="e" cm="1">
        <f t="array" ref="E9449">- METFORMIN HYDROCHLORIDE. SITAGLIPTIN PHOSPHATE</f>
        <v>#NAME?</v>
      </c>
      <c r="F9449" t="s">
        <v>41948</v>
      </c>
      <c r="G9449" t="s">
        <v>4045</v>
      </c>
      <c r="H9449" t="s">
        <v>41949</v>
      </c>
      <c r="I9449" t="s">
        <v>41950</v>
      </c>
      <c r="J9449" t="s">
        <v>3145</v>
      </c>
      <c r="K9449" t="s">
        <v>41951</v>
      </c>
    </row>
    <row r="9450" spans="1:19" x14ac:dyDescent="0.35">
      <c r="A9450">
        <v>8638</v>
      </c>
      <c r="B9450" t="s">
        <v>41952</v>
      </c>
      <c r="C9450" t="s">
        <v>42</v>
      </c>
      <c r="D9450" t="s">
        <v>41953</v>
      </c>
      <c r="E9450" t="e" cm="1">
        <f t="array" ref="E9450">- METFORMIN HYDROCHLORIDE</f>
        <v>#NAME?</v>
      </c>
      <c r="F9450" t="s">
        <v>41954</v>
      </c>
      <c r="G9450" t="s">
        <v>41955</v>
      </c>
      <c r="H9450" t="s">
        <v>41956</v>
      </c>
      <c r="I9450" t="s">
        <v>41898</v>
      </c>
      <c r="J9450" t="s">
        <v>1093</v>
      </c>
      <c r="K9450" t="s">
        <v>41957</v>
      </c>
      <c r="L9450" t="s">
        <v>41958</v>
      </c>
      <c r="M9450" t="s">
        <v>46</v>
      </c>
      <c r="N9450" t="s">
        <v>30728</v>
      </c>
      <c r="O9450" t="s">
        <v>41901</v>
      </c>
      <c r="P9450" t="s">
        <v>41959</v>
      </c>
      <c r="Q9450" t="s">
        <v>41960</v>
      </c>
      <c r="R9450">
        <v>36</v>
      </c>
      <c r="S9450">
        <v>64</v>
      </c>
    </row>
    <row r="9451" spans="1:19" x14ac:dyDescent="0.35">
      <c r="A9451">
        <v>8679</v>
      </c>
      <c r="B9451" t="s">
        <v>41961</v>
      </c>
      <c r="C9451" t="s">
        <v>42</v>
      </c>
      <c r="D9451" t="s">
        <v>41962</v>
      </c>
      <c r="E9451" t="e" cm="1">
        <f t="array" ref="E9451">- METFORMIN HYDROCHLORIDE</f>
        <v>#NAME?</v>
      </c>
      <c r="F9451" t="s">
        <v>41963</v>
      </c>
      <c r="G9451" t="s">
        <v>835</v>
      </c>
      <c r="H9451" t="s">
        <v>41964</v>
      </c>
      <c r="I9451" t="s">
        <v>41898</v>
      </c>
      <c r="J9451" t="s">
        <v>3019</v>
      </c>
      <c r="K9451" t="s">
        <v>41957</v>
      </c>
      <c r="L9451" t="s">
        <v>41958</v>
      </c>
      <c r="M9451" t="s">
        <v>291</v>
      </c>
      <c r="N9451" t="s">
        <v>30728</v>
      </c>
      <c r="O9451" t="s">
        <v>41901</v>
      </c>
      <c r="P9451" t="s">
        <v>41762</v>
      </c>
      <c r="Q9451" t="s">
        <v>41965</v>
      </c>
      <c r="R9451">
        <v>36</v>
      </c>
      <c r="S9451">
        <v>64</v>
      </c>
    </row>
    <row r="9452" spans="1:19" x14ac:dyDescent="0.35">
      <c r="A9452">
        <v>8572</v>
      </c>
      <c r="B9452" t="s">
        <v>41946</v>
      </c>
      <c r="C9452" t="s">
        <v>42</v>
      </c>
      <c r="D9452" t="s">
        <v>41947</v>
      </c>
      <c r="E9452" t="e" cm="1">
        <f t="array" ref="E9452">- SITAGLIPTIN PHOSPHATE. METFORMIN HYDROCHLORIDE</f>
        <v>#NAME?</v>
      </c>
      <c r="F9452" t="s">
        <v>41948</v>
      </c>
      <c r="G9452" t="s">
        <v>4045</v>
      </c>
      <c r="H9452" t="s">
        <v>41949</v>
      </c>
      <c r="I9452" t="s">
        <v>41950</v>
      </c>
      <c r="J9452" t="s">
        <v>3145</v>
      </c>
      <c r="K9452" t="s">
        <v>41951</v>
      </c>
    </row>
    <row r="9453" spans="1:19" x14ac:dyDescent="0.35">
      <c r="A9453">
        <v>8721</v>
      </c>
      <c r="B9453" t="s">
        <v>41966</v>
      </c>
      <c r="C9453" t="s">
        <v>42</v>
      </c>
      <c r="D9453" t="s">
        <v>41967</v>
      </c>
      <c r="E9453" t="e" cm="1">
        <f t="array" ref="E9453">- METFORMIN HYDROCHLORIDE</f>
        <v>#NAME?</v>
      </c>
      <c r="F9453" t="s">
        <v>41968</v>
      </c>
      <c r="G9453" t="s">
        <v>2241</v>
      </c>
      <c r="H9453" t="s">
        <v>41759</v>
      </c>
      <c r="I9453" t="s">
        <v>41898</v>
      </c>
      <c r="J9453" t="s">
        <v>2402</v>
      </c>
      <c r="K9453" t="s">
        <v>41969</v>
      </c>
      <c r="L9453" t="s">
        <v>41900</v>
      </c>
      <c r="M9453" t="s">
        <v>46</v>
      </c>
      <c r="N9453" t="s">
        <v>30728</v>
      </c>
      <c r="O9453" t="s">
        <v>41901</v>
      </c>
      <c r="P9453" t="s">
        <v>41970</v>
      </c>
      <c r="Q9453" t="s">
        <v>41971</v>
      </c>
      <c r="R9453">
        <v>36</v>
      </c>
      <c r="S9453">
        <v>64</v>
      </c>
    </row>
    <row r="9454" spans="1:19" x14ac:dyDescent="0.35">
      <c r="A9454">
        <v>3150</v>
      </c>
      <c r="B9454" t="s">
        <v>41972</v>
      </c>
      <c r="C9454" t="s">
        <v>42</v>
      </c>
      <c r="D9454" t="s">
        <v>41973</v>
      </c>
      <c r="E9454" t="e" cm="1">
        <f t="array" ref="E9454">- RANITIDINE HYDROCHLORIDE</f>
        <v>#NAME?</v>
      </c>
      <c r="F9454" t="s">
        <v>41974</v>
      </c>
      <c r="G9454" t="s">
        <v>1724</v>
      </c>
      <c r="H9454" t="s">
        <v>1984</v>
      </c>
      <c r="I9454" t="s">
        <v>41975</v>
      </c>
      <c r="J9454" t="s">
        <v>41976</v>
      </c>
      <c r="L9454" t="s">
        <v>1616</v>
      </c>
      <c r="M9454" t="s">
        <v>46</v>
      </c>
      <c r="N9454" t="s">
        <v>1985</v>
      </c>
      <c r="O9454" t="s">
        <v>41977</v>
      </c>
      <c r="P9454" t="s">
        <v>41978</v>
      </c>
      <c r="Q9454" t="s">
        <v>41979</v>
      </c>
      <c r="R9454">
        <v>36</v>
      </c>
      <c r="S9454">
        <v>64</v>
      </c>
    </row>
    <row r="9455" spans="1:19" x14ac:dyDescent="0.35">
      <c r="A9455">
        <v>8624</v>
      </c>
      <c r="B9455" t="s">
        <v>41980</v>
      </c>
      <c r="C9455" t="s">
        <v>42</v>
      </c>
      <c r="D9455" t="s">
        <v>41981</v>
      </c>
      <c r="E9455" t="e" cm="1">
        <f t="array" ref="E9455">- METFORMIN HYDROCHLORIDE</f>
        <v>#NAME?</v>
      </c>
      <c r="F9455" t="s">
        <v>41982</v>
      </c>
      <c r="G9455" t="s">
        <v>41983</v>
      </c>
      <c r="H9455" t="s">
        <v>41956</v>
      </c>
      <c r="I9455" t="s">
        <v>41898</v>
      </c>
      <c r="J9455" t="s">
        <v>25532</v>
      </c>
      <c r="K9455" t="s">
        <v>41957</v>
      </c>
      <c r="L9455" t="s">
        <v>41958</v>
      </c>
      <c r="M9455" t="s">
        <v>46</v>
      </c>
      <c r="N9455" t="s">
        <v>30728</v>
      </c>
      <c r="O9455" t="s">
        <v>41901</v>
      </c>
      <c r="P9455" t="s">
        <v>41984</v>
      </c>
      <c r="Q9455" t="s">
        <v>41985</v>
      </c>
      <c r="R9455">
        <v>36</v>
      </c>
      <c r="S9455">
        <v>64</v>
      </c>
    </row>
    <row r="9456" spans="1:19" x14ac:dyDescent="0.35">
      <c r="A9456">
        <v>8719</v>
      </c>
      <c r="B9456" t="s">
        <v>41986</v>
      </c>
      <c r="C9456" t="s">
        <v>42</v>
      </c>
      <c r="D9456" t="s">
        <v>41987</v>
      </c>
      <c r="E9456" t="e" cm="1">
        <f t="array" ref="E9456">- METFORMIN HYDROCHLORIDE</f>
        <v>#NAME?</v>
      </c>
      <c r="F9456" t="s">
        <v>41988</v>
      </c>
      <c r="G9456" t="s">
        <v>2241</v>
      </c>
      <c r="H9456" t="s">
        <v>41989</v>
      </c>
      <c r="I9456" t="s">
        <v>41898</v>
      </c>
      <c r="J9456" t="s">
        <v>515</v>
      </c>
      <c r="K9456" t="s">
        <v>41990</v>
      </c>
      <c r="L9456" t="s">
        <v>41900</v>
      </c>
      <c r="M9456" t="s">
        <v>291</v>
      </c>
      <c r="N9456" t="s">
        <v>30728</v>
      </c>
      <c r="O9456" t="s">
        <v>41901</v>
      </c>
      <c r="P9456" t="s">
        <v>41991</v>
      </c>
      <c r="Q9456" t="s">
        <v>41992</v>
      </c>
      <c r="R9456">
        <v>36</v>
      </c>
      <c r="S9456">
        <v>64</v>
      </c>
    </row>
    <row r="9457" spans="1:19" x14ac:dyDescent="0.35">
      <c r="A9457">
        <v>8718</v>
      </c>
      <c r="B9457" t="s">
        <v>41993</v>
      </c>
      <c r="C9457" t="s">
        <v>42</v>
      </c>
      <c r="D9457" t="s">
        <v>41994</v>
      </c>
      <c r="E9457" t="e" cm="1">
        <f t="array" ref="E9457">- METFORMIN HYDROCHLORIDE</f>
        <v>#NAME?</v>
      </c>
      <c r="F9457" t="s">
        <v>41995</v>
      </c>
      <c r="G9457" t="s">
        <v>41955</v>
      </c>
      <c r="H9457" t="s">
        <v>41956</v>
      </c>
      <c r="I9457" t="s">
        <v>41898</v>
      </c>
      <c r="J9457" t="s">
        <v>6476</v>
      </c>
      <c r="K9457" t="s">
        <v>41957</v>
      </c>
      <c r="L9457" t="s">
        <v>41958</v>
      </c>
      <c r="M9457" t="s">
        <v>46</v>
      </c>
      <c r="N9457" t="s">
        <v>30728</v>
      </c>
      <c r="O9457" t="s">
        <v>41901</v>
      </c>
      <c r="P9457" t="s">
        <v>41996</v>
      </c>
      <c r="Q9457" t="s">
        <v>41997</v>
      </c>
      <c r="R9457">
        <v>36</v>
      </c>
      <c r="S9457">
        <v>64</v>
      </c>
    </row>
    <row r="9458" spans="1:19" x14ac:dyDescent="0.35">
      <c r="A9458">
        <v>8636</v>
      </c>
      <c r="B9458" t="s">
        <v>41998</v>
      </c>
      <c r="C9458" t="s">
        <v>42</v>
      </c>
      <c r="D9458" t="s">
        <v>41999</v>
      </c>
      <c r="E9458" t="e" cm="1">
        <f t="array" ref="E9458">- METFORMIN HYDROCHLORIDE</f>
        <v>#NAME?</v>
      </c>
      <c r="F9458" t="s">
        <v>42000</v>
      </c>
      <c r="G9458" t="s">
        <v>42001</v>
      </c>
      <c r="H9458" t="s">
        <v>41759</v>
      </c>
      <c r="I9458" t="s">
        <v>41898</v>
      </c>
      <c r="J9458" t="s">
        <v>4472</v>
      </c>
      <c r="K9458" t="s">
        <v>41957</v>
      </c>
      <c r="L9458" t="s">
        <v>42002</v>
      </c>
      <c r="M9458" t="s">
        <v>291</v>
      </c>
      <c r="N9458" t="s">
        <v>30728</v>
      </c>
      <c r="O9458" t="s">
        <v>41901</v>
      </c>
      <c r="P9458" t="s">
        <v>42003</v>
      </c>
      <c r="Q9458" t="s">
        <v>42004</v>
      </c>
      <c r="R9458">
        <v>36</v>
      </c>
      <c r="S9458">
        <v>64</v>
      </c>
    </row>
    <row r="9459" spans="1:19" x14ac:dyDescent="0.35">
      <c r="A9459">
        <v>8717</v>
      </c>
      <c r="B9459" t="s">
        <v>41993</v>
      </c>
      <c r="C9459" t="s">
        <v>42</v>
      </c>
      <c r="D9459" t="s">
        <v>41994</v>
      </c>
      <c r="E9459" t="e" cm="1">
        <f t="array" ref="E9459">- METFORMIN HYDROCHLORIDE</f>
        <v>#NAME?</v>
      </c>
      <c r="F9459" t="s">
        <v>41995</v>
      </c>
      <c r="G9459" t="s">
        <v>41955</v>
      </c>
      <c r="H9459" t="s">
        <v>41956</v>
      </c>
      <c r="I9459" t="s">
        <v>41898</v>
      </c>
      <c r="J9459" t="s">
        <v>6476</v>
      </c>
      <c r="K9459" t="s">
        <v>41957</v>
      </c>
      <c r="L9459" t="s">
        <v>41958</v>
      </c>
      <c r="M9459" t="s">
        <v>46</v>
      </c>
      <c r="N9459" t="s">
        <v>30728</v>
      </c>
      <c r="O9459" t="s">
        <v>41901</v>
      </c>
      <c r="P9459" t="s">
        <v>41996</v>
      </c>
      <c r="Q9459" t="s">
        <v>41997</v>
      </c>
      <c r="R9459">
        <v>36</v>
      </c>
      <c r="S9459">
        <v>64</v>
      </c>
    </row>
    <row r="9460" spans="1:19" x14ac:dyDescent="0.35">
      <c r="A9460">
        <v>8677</v>
      </c>
      <c r="B9460" t="s">
        <v>41961</v>
      </c>
      <c r="C9460" t="s">
        <v>42</v>
      </c>
      <c r="D9460" t="s">
        <v>41962</v>
      </c>
      <c r="E9460" t="e" cm="1">
        <f t="array" ref="E9460">- METFORMIN HYDROCHLORIDE</f>
        <v>#NAME?</v>
      </c>
      <c r="F9460" t="s">
        <v>41963</v>
      </c>
      <c r="G9460" t="s">
        <v>835</v>
      </c>
      <c r="H9460" t="s">
        <v>41964</v>
      </c>
      <c r="I9460" t="s">
        <v>41898</v>
      </c>
      <c r="J9460" t="s">
        <v>3019</v>
      </c>
      <c r="K9460" t="s">
        <v>41957</v>
      </c>
      <c r="L9460" t="s">
        <v>41958</v>
      </c>
      <c r="M9460" t="s">
        <v>291</v>
      </c>
      <c r="N9460" t="s">
        <v>30728</v>
      </c>
      <c r="O9460" t="s">
        <v>41901</v>
      </c>
      <c r="P9460" t="s">
        <v>41762</v>
      </c>
      <c r="Q9460" t="s">
        <v>41965</v>
      </c>
      <c r="R9460">
        <v>36</v>
      </c>
      <c r="S9460">
        <v>64</v>
      </c>
    </row>
    <row r="9461" spans="1:19" x14ac:dyDescent="0.35">
      <c r="A9461">
        <v>8529</v>
      </c>
      <c r="B9461" t="s">
        <v>42005</v>
      </c>
      <c r="C9461" t="s">
        <v>42</v>
      </c>
      <c r="D9461" t="s">
        <v>42006</v>
      </c>
      <c r="E9461" t="e" cm="1">
        <f t="array" ref="E9461">- METFORMIN HYDROCHLORIDE</f>
        <v>#NAME?</v>
      </c>
      <c r="F9461" t="s">
        <v>42007</v>
      </c>
      <c r="G9461" t="s">
        <v>41983</v>
      </c>
      <c r="H9461" t="s">
        <v>41956</v>
      </c>
      <c r="I9461" t="s">
        <v>41898</v>
      </c>
      <c r="J9461" t="s">
        <v>754</v>
      </c>
      <c r="K9461" t="s">
        <v>41957</v>
      </c>
      <c r="L9461" t="s">
        <v>41958</v>
      </c>
      <c r="M9461" t="s">
        <v>46</v>
      </c>
      <c r="N9461" t="s">
        <v>30728</v>
      </c>
      <c r="O9461" t="s">
        <v>41901</v>
      </c>
      <c r="P9461" t="s">
        <v>31238</v>
      </c>
      <c r="Q9461" t="s">
        <v>42008</v>
      </c>
      <c r="R9461">
        <v>36</v>
      </c>
      <c r="S9461">
        <v>64</v>
      </c>
    </row>
    <row r="9462" spans="1:19" x14ac:dyDescent="0.35">
      <c r="A9462">
        <v>8530</v>
      </c>
      <c r="B9462" t="s">
        <v>42005</v>
      </c>
      <c r="C9462" t="s">
        <v>42</v>
      </c>
      <c r="D9462" t="s">
        <v>42006</v>
      </c>
      <c r="E9462" t="e" cm="1">
        <f t="array" ref="E9462">- METFORMIN HYDROCHLORIDE</f>
        <v>#NAME?</v>
      </c>
      <c r="F9462" t="s">
        <v>42007</v>
      </c>
      <c r="G9462" t="s">
        <v>41983</v>
      </c>
      <c r="H9462" t="s">
        <v>41956</v>
      </c>
      <c r="I9462" t="s">
        <v>41898</v>
      </c>
      <c r="J9462" t="s">
        <v>754</v>
      </c>
      <c r="K9462" t="s">
        <v>41957</v>
      </c>
      <c r="L9462" t="s">
        <v>41958</v>
      </c>
      <c r="M9462" t="s">
        <v>46</v>
      </c>
      <c r="N9462" t="s">
        <v>30728</v>
      </c>
      <c r="O9462" t="s">
        <v>41901</v>
      </c>
      <c r="P9462" t="s">
        <v>31238</v>
      </c>
      <c r="Q9462" t="s">
        <v>42008</v>
      </c>
      <c r="R9462">
        <v>36</v>
      </c>
      <c r="S9462">
        <v>64</v>
      </c>
    </row>
    <row r="9463" spans="1:19" x14ac:dyDescent="0.35">
      <c r="A9463">
        <v>8702</v>
      </c>
      <c r="B9463" t="s">
        <v>42009</v>
      </c>
      <c r="C9463" t="s">
        <v>42</v>
      </c>
      <c r="D9463" t="s">
        <v>42010</v>
      </c>
      <c r="E9463" t="e" cm="1">
        <f t="array" ref="E9463">- METFORMIN HYDROCHLORIDE</f>
        <v>#NAME?</v>
      </c>
      <c r="F9463" t="s">
        <v>41328</v>
      </c>
      <c r="G9463" t="s">
        <v>2241</v>
      </c>
      <c r="H9463" t="s">
        <v>42011</v>
      </c>
      <c r="I9463" t="s">
        <v>41898</v>
      </c>
      <c r="J9463" t="s">
        <v>1093</v>
      </c>
      <c r="K9463" t="s">
        <v>42012</v>
      </c>
      <c r="L9463" t="s">
        <v>41900</v>
      </c>
      <c r="M9463" t="s">
        <v>46</v>
      </c>
      <c r="N9463" t="s">
        <v>30728</v>
      </c>
      <c r="O9463" t="s">
        <v>41901</v>
      </c>
      <c r="P9463" t="s">
        <v>42013</v>
      </c>
      <c r="Q9463" t="s">
        <v>42014</v>
      </c>
      <c r="R9463">
        <v>36</v>
      </c>
      <c r="S9463">
        <v>64</v>
      </c>
    </row>
    <row r="9464" spans="1:19" x14ac:dyDescent="0.35">
      <c r="A9464">
        <v>8701</v>
      </c>
      <c r="B9464" t="s">
        <v>42009</v>
      </c>
      <c r="C9464" t="s">
        <v>42</v>
      </c>
      <c r="D9464" t="s">
        <v>42010</v>
      </c>
      <c r="E9464" t="e" cm="1">
        <f t="array" ref="E9464">- METFORMIN HYDROCHLORIDE</f>
        <v>#NAME?</v>
      </c>
      <c r="F9464" t="s">
        <v>41328</v>
      </c>
      <c r="G9464" t="s">
        <v>2241</v>
      </c>
      <c r="H9464" t="s">
        <v>42011</v>
      </c>
      <c r="I9464" t="s">
        <v>41898</v>
      </c>
      <c r="J9464" t="s">
        <v>1093</v>
      </c>
      <c r="K9464" t="s">
        <v>42012</v>
      </c>
      <c r="L9464" t="s">
        <v>41900</v>
      </c>
      <c r="M9464" t="s">
        <v>46</v>
      </c>
      <c r="N9464" t="s">
        <v>30728</v>
      </c>
      <c r="O9464" t="s">
        <v>41901</v>
      </c>
      <c r="P9464" t="s">
        <v>42013</v>
      </c>
      <c r="Q9464" t="s">
        <v>42014</v>
      </c>
      <c r="R9464">
        <v>36</v>
      </c>
      <c r="S9464">
        <v>64</v>
      </c>
    </row>
    <row r="9465" spans="1:19" x14ac:dyDescent="0.35">
      <c r="A9465">
        <v>8678</v>
      </c>
      <c r="B9465" t="s">
        <v>41961</v>
      </c>
      <c r="C9465" t="s">
        <v>42</v>
      </c>
      <c r="D9465" t="s">
        <v>41962</v>
      </c>
      <c r="E9465" t="e" cm="1">
        <f t="array" ref="E9465">- METFORMIN HYDROCHLORIDE</f>
        <v>#NAME?</v>
      </c>
      <c r="F9465" t="s">
        <v>41963</v>
      </c>
      <c r="G9465" t="s">
        <v>835</v>
      </c>
      <c r="H9465" t="s">
        <v>41964</v>
      </c>
      <c r="I9465" t="s">
        <v>41898</v>
      </c>
      <c r="J9465" t="s">
        <v>3019</v>
      </c>
      <c r="K9465" t="s">
        <v>41957</v>
      </c>
      <c r="L9465" t="s">
        <v>41958</v>
      </c>
      <c r="M9465" t="s">
        <v>291</v>
      </c>
      <c r="N9465" t="s">
        <v>30728</v>
      </c>
      <c r="O9465" t="s">
        <v>41901</v>
      </c>
      <c r="P9465" t="s">
        <v>41762</v>
      </c>
      <c r="Q9465" t="s">
        <v>41965</v>
      </c>
      <c r="R9465">
        <v>36</v>
      </c>
      <c r="S9465">
        <v>64</v>
      </c>
    </row>
    <row r="9466" spans="1:19" x14ac:dyDescent="0.35">
      <c r="A9466">
        <v>8694</v>
      </c>
      <c r="B9466" t="s">
        <v>42015</v>
      </c>
      <c r="C9466" t="s">
        <v>42</v>
      </c>
      <c r="D9466" t="s">
        <v>42016</v>
      </c>
      <c r="E9466" t="e" cm="1">
        <f t="array" ref="E9466">- METFORMIN HYDROCHLORIDE</f>
        <v>#NAME?</v>
      </c>
      <c r="F9466" t="s">
        <v>32568</v>
      </c>
      <c r="G9466" t="s">
        <v>41955</v>
      </c>
      <c r="H9466" t="s">
        <v>41956</v>
      </c>
      <c r="I9466" t="s">
        <v>41898</v>
      </c>
      <c r="J9466" t="s">
        <v>42017</v>
      </c>
      <c r="K9466" t="s">
        <v>41957</v>
      </c>
      <c r="L9466" t="s">
        <v>41958</v>
      </c>
      <c r="M9466" t="s">
        <v>46</v>
      </c>
      <c r="N9466" t="s">
        <v>30728</v>
      </c>
      <c r="O9466" t="s">
        <v>41901</v>
      </c>
      <c r="P9466" t="s">
        <v>42018</v>
      </c>
      <c r="Q9466" t="s">
        <v>42019</v>
      </c>
      <c r="R9466">
        <v>36</v>
      </c>
      <c r="S9466">
        <v>64</v>
      </c>
    </row>
    <row r="9467" spans="1:19" x14ac:dyDescent="0.35">
      <c r="A9467">
        <v>8537</v>
      </c>
      <c r="B9467" t="s">
        <v>42020</v>
      </c>
      <c r="C9467" t="s">
        <v>42</v>
      </c>
      <c r="D9467" t="s">
        <v>42021</v>
      </c>
      <c r="E9467" t="e" cm="1">
        <f t="array" ref="E9467">- METFORMIN HYDROCHLORIDE</f>
        <v>#NAME?</v>
      </c>
      <c r="F9467" t="s">
        <v>42022</v>
      </c>
      <c r="G9467" t="s">
        <v>42023</v>
      </c>
      <c r="H9467" t="s">
        <v>41956</v>
      </c>
      <c r="I9467" t="s">
        <v>41898</v>
      </c>
      <c r="J9467" t="s">
        <v>6476</v>
      </c>
      <c r="K9467" t="s">
        <v>42024</v>
      </c>
      <c r="L9467" t="s">
        <v>42025</v>
      </c>
      <c r="M9467" t="s">
        <v>46</v>
      </c>
      <c r="N9467" t="s">
        <v>30728</v>
      </c>
      <c r="O9467" t="s">
        <v>41901</v>
      </c>
      <c r="P9467" t="s">
        <v>42018</v>
      </c>
      <c r="Q9467" t="s">
        <v>42019</v>
      </c>
      <c r="R9467">
        <v>36</v>
      </c>
      <c r="S9467">
        <v>64</v>
      </c>
    </row>
    <row r="9468" spans="1:19" x14ac:dyDescent="0.35">
      <c r="A9468">
        <v>3149</v>
      </c>
      <c r="B9468" t="s">
        <v>41972</v>
      </c>
      <c r="C9468" t="s">
        <v>42</v>
      </c>
      <c r="D9468" t="s">
        <v>41973</v>
      </c>
      <c r="E9468" t="e" cm="1">
        <f t="array" ref="E9468">- RANITIDINE HYDROCHLORIDE</f>
        <v>#NAME?</v>
      </c>
      <c r="F9468" t="s">
        <v>41974</v>
      </c>
      <c r="G9468" t="s">
        <v>1724</v>
      </c>
      <c r="H9468" t="s">
        <v>1984</v>
      </c>
      <c r="I9468" t="s">
        <v>41975</v>
      </c>
      <c r="J9468" t="s">
        <v>41976</v>
      </c>
      <c r="L9468" t="s">
        <v>1616</v>
      </c>
      <c r="M9468" t="s">
        <v>46</v>
      </c>
      <c r="N9468" t="s">
        <v>1985</v>
      </c>
      <c r="O9468" t="s">
        <v>41977</v>
      </c>
      <c r="P9468" t="s">
        <v>41978</v>
      </c>
      <c r="Q9468" t="s">
        <v>41979</v>
      </c>
      <c r="R9468">
        <v>36</v>
      </c>
      <c r="S9468">
        <v>64</v>
      </c>
    </row>
    <row r="9469" spans="1:19" x14ac:dyDescent="0.35">
      <c r="A9469">
        <v>5907</v>
      </c>
      <c r="B9469" t="s">
        <v>42026</v>
      </c>
      <c r="C9469" t="s">
        <v>42</v>
      </c>
      <c r="D9469" t="s">
        <v>42027</v>
      </c>
      <c r="E9469" t="e" cm="1">
        <f t="array" ref="E9469">- AMOXICILLIN TRIHYDRATE</f>
        <v>#NAME?</v>
      </c>
      <c r="F9469" t="s">
        <v>42028</v>
      </c>
      <c r="G9469" t="s">
        <v>1691</v>
      </c>
      <c r="H9469" t="s">
        <v>42029</v>
      </c>
      <c r="I9469" t="s">
        <v>41805</v>
      </c>
      <c r="J9469" t="s">
        <v>334</v>
      </c>
      <c r="K9469" t="s">
        <v>41806</v>
      </c>
      <c r="L9469" t="s">
        <v>41807</v>
      </c>
      <c r="M9469" t="s">
        <v>271</v>
      </c>
      <c r="N9469" t="s">
        <v>1523</v>
      </c>
      <c r="O9469" t="s">
        <v>41808</v>
      </c>
      <c r="P9469" t="s">
        <v>42030</v>
      </c>
      <c r="Q9469" t="s">
        <v>42031</v>
      </c>
      <c r="R9469">
        <v>36</v>
      </c>
      <c r="S9469">
        <v>64</v>
      </c>
    </row>
    <row r="9470" spans="1:19" x14ac:dyDescent="0.35">
      <c r="A9470">
        <v>8539</v>
      </c>
      <c r="B9470" t="s">
        <v>42032</v>
      </c>
      <c r="C9470" t="s">
        <v>42</v>
      </c>
      <c r="D9470" t="s">
        <v>42033</v>
      </c>
      <c r="E9470" t="e" cm="1">
        <f t="array" ref="E9470">- METFORMIN HYDROCHLORIDE</f>
        <v>#NAME?</v>
      </c>
      <c r="F9470" t="s">
        <v>42034</v>
      </c>
      <c r="G9470" t="s">
        <v>1691</v>
      </c>
      <c r="H9470" t="s">
        <v>42035</v>
      </c>
      <c r="I9470" t="s">
        <v>42036</v>
      </c>
      <c r="J9470" t="s">
        <v>3145</v>
      </c>
      <c r="K9470" t="s">
        <v>3952</v>
      </c>
    </row>
    <row r="9471" spans="1:19" x14ac:dyDescent="0.35">
      <c r="A9471">
        <v>8733</v>
      </c>
      <c r="B9471" t="s">
        <v>42037</v>
      </c>
      <c r="C9471" t="s">
        <v>42</v>
      </c>
      <c r="D9471" t="s">
        <v>42038</v>
      </c>
      <c r="E9471" t="e" cm="1">
        <f t="array" ref="E9471">- METFORMIN HYDROCHLORIDE</f>
        <v>#NAME?</v>
      </c>
      <c r="F9471" t="s">
        <v>42039</v>
      </c>
      <c r="G9471" t="s">
        <v>14578</v>
      </c>
      <c r="H9471" t="s">
        <v>42040</v>
      </c>
    </row>
    <row r="9472" spans="1:19" x14ac:dyDescent="0.35">
      <c r="A9472">
        <v>8746</v>
      </c>
      <c r="B9472" t="s">
        <v>42041</v>
      </c>
      <c r="C9472" t="s">
        <v>42</v>
      </c>
      <c r="D9472" t="s">
        <v>42042</v>
      </c>
      <c r="E9472" t="e" cm="1">
        <f t="array" ref="E9472">- METFORMIN HYDROCHLORIDE</f>
        <v>#NAME?</v>
      </c>
      <c r="F9472" t="s">
        <v>3242</v>
      </c>
      <c r="G9472" t="s">
        <v>41983</v>
      </c>
      <c r="H9472" t="s">
        <v>41956</v>
      </c>
      <c r="I9472" t="s">
        <v>41898</v>
      </c>
      <c r="J9472" t="s">
        <v>754</v>
      </c>
      <c r="K9472" t="s">
        <v>41957</v>
      </c>
      <c r="L9472" t="s">
        <v>41958</v>
      </c>
      <c r="M9472" t="s">
        <v>291</v>
      </c>
      <c r="N9472" t="s">
        <v>30728</v>
      </c>
      <c r="O9472" t="s">
        <v>41901</v>
      </c>
      <c r="P9472" t="s">
        <v>31238</v>
      </c>
      <c r="Q9472" t="s">
        <v>42043</v>
      </c>
      <c r="R9472">
        <v>36</v>
      </c>
      <c r="S9472">
        <v>64</v>
      </c>
    </row>
    <row r="9473" spans="1:19" x14ac:dyDescent="0.35">
      <c r="A9473">
        <v>8641</v>
      </c>
      <c r="B9473" t="s">
        <v>42044</v>
      </c>
      <c r="C9473" t="s">
        <v>42</v>
      </c>
      <c r="D9473" t="s">
        <v>42045</v>
      </c>
      <c r="E9473" t="e" cm="1">
        <f t="array" ref="E9473">- METFORMIN HYDROCHLORIDE</f>
        <v>#NAME?</v>
      </c>
      <c r="F9473" t="s">
        <v>42046</v>
      </c>
      <c r="G9473" t="s">
        <v>2241</v>
      </c>
      <c r="H9473" t="s">
        <v>42047</v>
      </c>
      <c r="I9473" t="s">
        <v>41898</v>
      </c>
      <c r="J9473" t="s">
        <v>1093</v>
      </c>
      <c r="K9473" t="s">
        <v>42048</v>
      </c>
    </row>
    <row r="9474" spans="1:19" x14ac:dyDescent="0.35">
      <c r="A9474">
        <v>2467</v>
      </c>
      <c r="B9474" t="s">
        <v>41937</v>
      </c>
      <c r="C9474" t="s">
        <v>42</v>
      </c>
      <c r="D9474" t="s">
        <v>41938</v>
      </c>
      <c r="E9474" t="e" cm="1">
        <f t="array" ref="E9474">- DICLOFENAC SODIUM</f>
        <v>#NAME?</v>
      </c>
      <c r="F9474" t="s">
        <v>41939</v>
      </c>
      <c r="G9474" t="s">
        <v>6135</v>
      </c>
      <c r="H9474" t="s">
        <v>2596</v>
      </c>
      <c r="I9474" t="s">
        <v>41940</v>
      </c>
      <c r="J9474" t="s">
        <v>13151</v>
      </c>
      <c r="K9474" t="s">
        <v>41941</v>
      </c>
      <c r="L9474" t="s">
        <v>41942</v>
      </c>
      <c r="M9474" t="s">
        <v>46</v>
      </c>
      <c r="N9474" t="s">
        <v>2597</v>
      </c>
      <c r="O9474" t="s">
        <v>41943</v>
      </c>
      <c r="P9474" t="s">
        <v>41944</v>
      </c>
      <c r="Q9474" t="s">
        <v>41945</v>
      </c>
      <c r="R9474">
        <v>36</v>
      </c>
      <c r="S9474">
        <v>64</v>
      </c>
    </row>
    <row r="9475" spans="1:19" x14ac:dyDescent="0.35">
      <c r="A9475">
        <v>8634</v>
      </c>
      <c r="B9475" t="s">
        <v>41998</v>
      </c>
      <c r="C9475" t="s">
        <v>42</v>
      </c>
      <c r="D9475" t="s">
        <v>41999</v>
      </c>
      <c r="E9475" t="e" cm="1">
        <f t="array" ref="E9475">- METFORMIN HYDROCHLORIDE</f>
        <v>#NAME?</v>
      </c>
      <c r="F9475" t="s">
        <v>42000</v>
      </c>
      <c r="G9475" t="s">
        <v>42001</v>
      </c>
      <c r="H9475" t="s">
        <v>41759</v>
      </c>
      <c r="I9475" t="s">
        <v>41898</v>
      </c>
      <c r="J9475" t="s">
        <v>4472</v>
      </c>
      <c r="K9475" t="s">
        <v>41957</v>
      </c>
      <c r="L9475" t="s">
        <v>42002</v>
      </c>
      <c r="M9475" t="s">
        <v>291</v>
      </c>
      <c r="N9475" t="s">
        <v>30728</v>
      </c>
      <c r="O9475" t="s">
        <v>41901</v>
      </c>
      <c r="P9475" t="s">
        <v>42003</v>
      </c>
      <c r="Q9475" t="s">
        <v>42004</v>
      </c>
      <c r="R9475">
        <v>36</v>
      </c>
      <c r="S9475">
        <v>64</v>
      </c>
    </row>
    <row r="9476" spans="1:19" x14ac:dyDescent="0.35">
      <c r="A9476">
        <v>8640</v>
      </c>
      <c r="B9476" t="s">
        <v>42044</v>
      </c>
      <c r="C9476" t="s">
        <v>42</v>
      </c>
      <c r="D9476" t="s">
        <v>42045</v>
      </c>
      <c r="E9476" t="e" cm="1">
        <f t="array" ref="E9476">- METFORMIN HYDROCHLORIDE</f>
        <v>#NAME?</v>
      </c>
      <c r="F9476" t="s">
        <v>42046</v>
      </c>
      <c r="G9476" t="s">
        <v>2241</v>
      </c>
      <c r="H9476" t="s">
        <v>42047</v>
      </c>
      <c r="I9476" t="s">
        <v>41898</v>
      </c>
      <c r="J9476" t="s">
        <v>1093</v>
      </c>
      <c r="K9476" t="s">
        <v>42048</v>
      </c>
    </row>
    <row r="9477" spans="1:19" x14ac:dyDescent="0.35">
      <c r="A9477">
        <v>8639</v>
      </c>
      <c r="B9477" t="s">
        <v>42044</v>
      </c>
      <c r="C9477" t="s">
        <v>42</v>
      </c>
      <c r="D9477" t="s">
        <v>42045</v>
      </c>
      <c r="E9477" t="e" cm="1">
        <f t="array" ref="E9477">- METFORMIN HYDROCHLORIDE</f>
        <v>#NAME?</v>
      </c>
      <c r="F9477" t="s">
        <v>42046</v>
      </c>
      <c r="G9477" t="s">
        <v>2241</v>
      </c>
      <c r="H9477" t="s">
        <v>42047</v>
      </c>
      <c r="I9477" t="s">
        <v>41898</v>
      </c>
      <c r="J9477" t="s">
        <v>1093</v>
      </c>
      <c r="K9477" t="s">
        <v>42048</v>
      </c>
    </row>
    <row r="9478" spans="1:19" x14ac:dyDescent="0.35">
      <c r="A9478">
        <v>8595</v>
      </c>
      <c r="B9478" t="s">
        <v>42049</v>
      </c>
      <c r="C9478" t="s">
        <v>42</v>
      </c>
      <c r="D9478" t="s">
        <v>42050</v>
      </c>
      <c r="E9478" t="e" cm="1">
        <f t="array" ref="E9478">- METFORMIN HYDROCHLORIDE</f>
        <v>#NAME?</v>
      </c>
      <c r="F9478" t="s">
        <v>28013</v>
      </c>
      <c r="G9478" t="s">
        <v>41955</v>
      </c>
      <c r="H9478" t="s">
        <v>41956</v>
      </c>
      <c r="I9478" t="s">
        <v>41898</v>
      </c>
      <c r="J9478" t="s">
        <v>14381</v>
      </c>
      <c r="L9478" t="s">
        <v>41958</v>
      </c>
      <c r="M9478" t="s">
        <v>291</v>
      </c>
      <c r="N9478" t="s">
        <v>30728</v>
      </c>
      <c r="O9478" t="s">
        <v>41901</v>
      </c>
      <c r="P9478" t="s">
        <v>42051</v>
      </c>
      <c r="Q9478" t="s">
        <v>42052</v>
      </c>
      <c r="R9478">
        <v>36</v>
      </c>
      <c r="S9478">
        <v>64</v>
      </c>
    </row>
    <row r="9479" spans="1:19" x14ac:dyDescent="0.35">
      <c r="A9479">
        <v>8635</v>
      </c>
      <c r="B9479" t="s">
        <v>41998</v>
      </c>
      <c r="C9479" t="s">
        <v>42</v>
      </c>
      <c r="D9479" t="s">
        <v>41999</v>
      </c>
      <c r="E9479" t="e" cm="1">
        <f t="array" ref="E9479">- METFORMIN HYDROCHLORIDE</f>
        <v>#NAME?</v>
      </c>
      <c r="F9479" t="s">
        <v>42000</v>
      </c>
      <c r="G9479" t="s">
        <v>42001</v>
      </c>
      <c r="H9479" t="s">
        <v>41759</v>
      </c>
      <c r="I9479" t="s">
        <v>41898</v>
      </c>
      <c r="J9479" t="s">
        <v>4472</v>
      </c>
      <c r="K9479" t="s">
        <v>41957</v>
      </c>
      <c r="L9479" t="s">
        <v>42002</v>
      </c>
      <c r="M9479" t="s">
        <v>291</v>
      </c>
      <c r="N9479" t="s">
        <v>30728</v>
      </c>
      <c r="O9479" t="s">
        <v>41901</v>
      </c>
      <c r="P9479" t="s">
        <v>42003</v>
      </c>
      <c r="Q9479" t="s">
        <v>42004</v>
      </c>
      <c r="R9479">
        <v>36</v>
      </c>
      <c r="S9479">
        <v>64</v>
      </c>
    </row>
    <row r="9480" spans="1:19" x14ac:dyDescent="0.35">
      <c r="A9480">
        <v>2466</v>
      </c>
      <c r="B9480" t="s">
        <v>41937</v>
      </c>
      <c r="C9480" t="s">
        <v>42</v>
      </c>
      <c r="D9480" t="s">
        <v>41938</v>
      </c>
      <c r="E9480" t="e" cm="1">
        <f t="array" ref="E9480">- DICLOFENAC SODIUM</f>
        <v>#NAME?</v>
      </c>
      <c r="F9480" t="s">
        <v>41939</v>
      </c>
      <c r="G9480" t="s">
        <v>6135</v>
      </c>
      <c r="H9480" t="s">
        <v>2596</v>
      </c>
      <c r="I9480" t="s">
        <v>41940</v>
      </c>
      <c r="J9480" t="s">
        <v>13151</v>
      </c>
      <c r="K9480" t="s">
        <v>41941</v>
      </c>
      <c r="L9480" t="s">
        <v>41942</v>
      </c>
      <c r="M9480" t="s">
        <v>46</v>
      </c>
      <c r="N9480" t="s">
        <v>2597</v>
      </c>
      <c r="O9480" t="s">
        <v>41943</v>
      </c>
      <c r="P9480" t="s">
        <v>41944</v>
      </c>
      <c r="Q9480" t="s">
        <v>41945</v>
      </c>
      <c r="R9480">
        <v>36</v>
      </c>
      <c r="S9480">
        <v>64</v>
      </c>
    </row>
    <row r="9481" spans="1:19" x14ac:dyDescent="0.35">
      <c r="A9481">
        <v>8067</v>
      </c>
      <c r="B9481" t="s">
        <v>551</v>
      </c>
      <c r="C9481" t="s">
        <v>42</v>
      </c>
      <c r="D9481" t="s">
        <v>42053</v>
      </c>
      <c r="E9481" t="e" cm="1">
        <f t="array" ref="E9481">- POVIDONE-IODINE</f>
        <v>#NAME?</v>
      </c>
      <c r="F9481" t="s">
        <v>42054</v>
      </c>
      <c r="G9481" t="s">
        <v>14017</v>
      </c>
      <c r="I9481" t="s">
        <v>42055</v>
      </c>
      <c r="J9481" t="s">
        <v>42056</v>
      </c>
      <c r="L9481" t="s">
        <v>42057</v>
      </c>
      <c r="M9481" t="s">
        <v>554</v>
      </c>
      <c r="N9481" t="s">
        <v>555</v>
      </c>
      <c r="O9481" t="s">
        <v>42058</v>
      </c>
      <c r="P9481" t="s">
        <v>25107</v>
      </c>
      <c r="Q9481" t="s">
        <v>42059</v>
      </c>
      <c r="R9481">
        <v>36</v>
      </c>
      <c r="S9481">
        <v>64</v>
      </c>
    </row>
    <row r="9482" spans="1:19" x14ac:dyDescent="0.35">
      <c r="A9482">
        <v>8066</v>
      </c>
      <c r="B9482" t="s">
        <v>551</v>
      </c>
      <c r="C9482" t="s">
        <v>42</v>
      </c>
      <c r="D9482" t="s">
        <v>42053</v>
      </c>
      <c r="E9482" t="e" cm="1">
        <f t="array" ref="E9482">- POVIDONE-IODINE</f>
        <v>#NAME?</v>
      </c>
      <c r="F9482" t="s">
        <v>42054</v>
      </c>
      <c r="G9482" t="s">
        <v>14017</v>
      </c>
      <c r="I9482" t="s">
        <v>42055</v>
      </c>
      <c r="J9482" t="s">
        <v>42056</v>
      </c>
      <c r="L9482" t="s">
        <v>42057</v>
      </c>
      <c r="M9482" t="s">
        <v>554</v>
      </c>
      <c r="N9482" t="s">
        <v>555</v>
      </c>
      <c r="O9482" t="s">
        <v>42058</v>
      </c>
      <c r="P9482" t="s">
        <v>25107</v>
      </c>
      <c r="Q9482" t="s">
        <v>42059</v>
      </c>
      <c r="R9482">
        <v>36</v>
      </c>
      <c r="S9482">
        <v>64</v>
      </c>
    </row>
    <row r="9483" spans="1:19" x14ac:dyDescent="0.35">
      <c r="A9483">
        <v>5855</v>
      </c>
      <c r="B9483" t="s">
        <v>41531</v>
      </c>
      <c r="C9483" t="s">
        <v>42</v>
      </c>
      <c r="D9483" t="s">
        <v>41532</v>
      </c>
      <c r="E9483" t="e" cm="1">
        <f t="array" ref="E9483">- AMOXICILLIN TRIHYDRATE. POTASSIUM CLAVULANATE</f>
        <v>#NAME?</v>
      </c>
      <c r="F9483" t="s">
        <v>41533</v>
      </c>
      <c r="G9483" t="s">
        <v>2241</v>
      </c>
      <c r="H9483" t="s">
        <v>33147</v>
      </c>
      <c r="I9483" t="s">
        <v>41534</v>
      </c>
      <c r="J9483" t="s">
        <v>20350</v>
      </c>
      <c r="K9483" t="s">
        <v>41535</v>
      </c>
      <c r="L9483" t="s">
        <v>41536</v>
      </c>
      <c r="M9483" t="s">
        <v>46</v>
      </c>
      <c r="N9483" t="s">
        <v>4773</v>
      </c>
      <c r="O9483" t="s">
        <v>41537</v>
      </c>
      <c r="P9483" t="s">
        <v>41538</v>
      </c>
      <c r="Q9483" t="s">
        <v>42060</v>
      </c>
      <c r="R9483">
        <v>36</v>
      </c>
      <c r="S9483">
        <v>64</v>
      </c>
    </row>
    <row r="9484" spans="1:19" x14ac:dyDescent="0.35">
      <c r="A9484">
        <v>5931</v>
      </c>
      <c r="B9484" t="s">
        <v>41638</v>
      </c>
      <c r="C9484" t="s">
        <v>42</v>
      </c>
      <c r="D9484" t="s">
        <v>41639</v>
      </c>
      <c r="E9484" t="e" cm="1">
        <f t="array" ref="E9484">- AMOXICILLIN TRIHYDRATE. POTASSIUM CLAVULANATE</f>
        <v>#NAME?</v>
      </c>
      <c r="F9484" t="s">
        <v>41640</v>
      </c>
      <c r="G9484" t="s">
        <v>2241</v>
      </c>
      <c r="H9484" t="s">
        <v>41641</v>
      </c>
    </row>
    <row r="9485" spans="1:19" x14ac:dyDescent="0.35">
      <c r="A9485">
        <v>8672</v>
      </c>
      <c r="B9485" t="s">
        <v>42061</v>
      </c>
      <c r="C9485" t="s">
        <v>42</v>
      </c>
      <c r="D9485" t="s">
        <v>42062</v>
      </c>
      <c r="E9485" t="e" cm="1">
        <f t="array" ref="E9485">- METFORMIN HYDROCHLORIDE</f>
        <v>#NAME?</v>
      </c>
      <c r="F9485" t="s">
        <v>42063</v>
      </c>
      <c r="G9485" t="s">
        <v>41955</v>
      </c>
      <c r="H9485" t="s">
        <v>42064</v>
      </c>
      <c r="I9485" t="s">
        <v>41898</v>
      </c>
      <c r="J9485" t="s">
        <v>42065</v>
      </c>
      <c r="K9485" t="s">
        <v>41957</v>
      </c>
      <c r="L9485" t="s">
        <v>41958</v>
      </c>
      <c r="M9485" t="s">
        <v>291</v>
      </c>
      <c r="N9485" t="s">
        <v>30728</v>
      </c>
      <c r="O9485" t="s">
        <v>41901</v>
      </c>
      <c r="P9485" t="s">
        <v>42066</v>
      </c>
      <c r="Q9485" t="s">
        <v>42067</v>
      </c>
      <c r="R9485">
        <v>37</v>
      </c>
      <c r="S9485">
        <v>64</v>
      </c>
    </row>
    <row r="9486" spans="1:19" x14ac:dyDescent="0.35">
      <c r="A9486">
        <v>5596</v>
      </c>
      <c r="B9486" t="s">
        <v>42068</v>
      </c>
      <c r="C9486" t="s">
        <v>42</v>
      </c>
      <c r="D9486" t="s">
        <v>42069</v>
      </c>
      <c r="E9486" t="e" cm="1">
        <f t="array" ref="E9486">- LIDOCAINE HYDROCHLORIDE</f>
        <v>#NAME?</v>
      </c>
      <c r="F9486" t="s">
        <v>42070</v>
      </c>
      <c r="G9486" t="s">
        <v>24763</v>
      </c>
      <c r="H9486" t="s">
        <v>42071</v>
      </c>
      <c r="I9486" t="s">
        <v>42072</v>
      </c>
      <c r="J9486" t="s">
        <v>1684</v>
      </c>
      <c r="K9486" t="s">
        <v>22423</v>
      </c>
      <c r="L9486" t="s">
        <v>42073</v>
      </c>
      <c r="M9486" t="s">
        <v>1289</v>
      </c>
      <c r="N9486" t="s">
        <v>31589</v>
      </c>
      <c r="O9486" t="s">
        <v>42074</v>
      </c>
      <c r="P9486" t="s">
        <v>42075</v>
      </c>
      <c r="Q9486" t="s">
        <v>42076</v>
      </c>
      <c r="R9486">
        <v>37</v>
      </c>
      <c r="S9486">
        <v>64</v>
      </c>
    </row>
    <row r="9487" spans="1:19" x14ac:dyDescent="0.35">
      <c r="A9487">
        <v>5595</v>
      </c>
      <c r="B9487" t="s">
        <v>42068</v>
      </c>
      <c r="C9487" t="s">
        <v>42</v>
      </c>
      <c r="D9487" t="s">
        <v>42069</v>
      </c>
      <c r="E9487" t="e" cm="1">
        <f t="array" ref="E9487">- LIDOCAINE HYDROCHLORIDE</f>
        <v>#NAME?</v>
      </c>
      <c r="F9487" t="s">
        <v>42070</v>
      </c>
      <c r="G9487" t="s">
        <v>24763</v>
      </c>
      <c r="H9487" t="s">
        <v>42071</v>
      </c>
      <c r="I9487" t="s">
        <v>42072</v>
      </c>
      <c r="J9487" t="s">
        <v>1684</v>
      </c>
      <c r="K9487" t="s">
        <v>22423</v>
      </c>
      <c r="L9487" t="s">
        <v>42073</v>
      </c>
      <c r="M9487" t="s">
        <v>1289</v>
      </c>
      <c r="N9487" t="s">
        <v>31589</v>
      </c>
      <c r="O9487" t="s">
        <v>42074</v>
      </c>
      <c r="P9487" t="s">
        <v>42075</v>
      </c>
      <c r="Q9487" t="s">
        <v>42076</v>
      </c>
      <c r="R9487">
        <v>37</v>
      </c>
      <c r="S9487">
        <v>64</v>
      </c>
    </row>
    <row r="9488" spans="1:19" x14ac:dyDescent="0.35">
      <c r="A9488">
        <v>8542</v>
      </c>
      <c r="B9488" t="s">
        <v>42077</v>
      </c>
      <c r="C9488" t="s">
        <v>42</v>
      </c>
      <c r="D9488" t="s">
        <v>42078</v>
      </c>
      <c r="E9488" t="e" cm="1">
        <f t="array" ref="E9488">- METFORMIN HYDROCHLORIDE</f>
        <v>#NAME?</v>
      </c>
      <c r="F9488" t="s">
        <v>42079</v>
      </c>
      <c r="G9488" t="s">
        <v>41955</v>
      </c>
      <c r="H9488" t="s">
        <v>42080</v>
      </c>
      <c r="I9488" t="s">
        <v>41898</v>
      </c>
      <c r="J9488" t="s">
        <v>42081</v>
      </c>
      <c r="K9488" t="s">
        <v>41957</v>
      </c>
      <c r="L9488" t="s">
        <v>42082</v>
      </c>
      <c r="M9488" t="s">
        <v>46</v>
      </c>
      <c r="N9488" t="s">
        <v>30728</v>
      </c>
      <c r="O9488" t="s">
        <v>41901</v>
      </c>
      <c r="P9488" t="s">
        <v>42083</v>
      </c>
      <c r="Q9488" t="s">
        <v>42084</v>
      </c>
      <c r="R9488">
        <v>37</v>
      </c>
      <c r="S9488">
        <v>64</v>
      </c>
    </row>
    <row r="9489" spans="1:19" x14ac:dyDescent="0.35">
      <c r="A9489">
        <v>8543</v>
      </c>
      <c r="B9489" t="s">
        <v>42077</v>
      </c>
      <c r="C9489" t="s">
        <v>42</v>
      </c>
      <c r="D9489" t="s">
        <v>42078</v>
      </c>
      <c r="E9489" t="e" cm="1">
        <f t="array" ref="E9489">- METFORMIN HYDROCHLORIDE</f>
        <v>#NAME?</v>
      </c>
      <c r="F9489" t="s">
        <v>42079</v>
      </c>
      <c r="G9489" t="s">
        <v>41955</v>
      </c>
      <c r="H9489" t="s">
        <v>42080</v>
      </c>
      <c r="I9489" t="s">
        <v>41898</v>
      </c>
      <c r="J9489" t="s">
        <v>42081</v>
      </c>
      <c r="K9489" t="s">
        <v>41957</v>
      </c>
      <c r="L9489" t="s">
        <v>42082</v>
      </c>
      <c r="M9489" t="s">
        <v>46</v>
      </c>
      <c r="N9489" t="s">
        <v>30728</v>
      </c>
      <c r="O9489" t="s">
        <v>41901</v>
      </c>
      <c r="P9489" t="s">
        <v>42083</v>
      </c>
      <c r="Q9489" t="s">
        <v>42084</v>
      </c>
      <c r="R9489">
        <v>37</v>
      </c>
      <c r="S9489">
        <v>64</v>
      </c>
    </row>
    <row r="9490" spans="1:19" x14ac:dyDescent="0.35">
      <c r="A9490">
        <v>8596</v>
      </c>
      <c r="B9490" t="s">
        <v>42085</v>
      </c>
      <c r="C9490" t="s">
        <v>42</v>
      </c>
      <c r="D9490" t="s">
        <v>42086</v>
      </c>
      <c r="E9490" t="e" cm="1">
        <f t="array" ref="E9490">- METFORMIN HYDROCHLORIDE</f>
        <v>#NAME?</v>
      </c>
      <c r="F9490" t="s">
        <v>42087</v>
      </c>
      <c r="G9490" t="s">
        <v>41955</v>
      </c>
      <c r="H9490" t="s">
        <v>42064</v>
      </c>
      <c r="I9490" t="s">
        <v>41898</v>
      </c>
      <c r="J9490" t="s">
        <v>754</v>
      </c>
      <c r="K9490" t="s">
        <v>41957</v>
      </c>
      <c r="L9490" t="s">
        <v>41958</v>
      </c>
      <c r="M9490" t="s">
        <v>291</v>
      </c>
      <c r="N9490" t="s">
        <v>30728</v>
      </c>
      <c r="O9490" t="s">
        <v>41901</v>
      </c>
      <c r="P9490" t="s">
        <v>42088</v>
      </c>
      <c r="Q9490" t="s">
        <v>42089</v>
      </c>
      <c r="R9490">
        <v>37</v>
      </c>
      <c r="S9490">
        <v>64</v>
      </c>
    </row>
    <row r="9491" spans="1:19" x14ac:dyDescent="0.35">
      <c r="A9491">
        <v>5594</v>
      </c>
      <c r="B9491" t="s">
        <v>42068</v>
      </c>
      <c r="C9491" t="s">
        <v>42</v>
      </c>
      <c r="D9491" t="s">
        <v>42069</v>
      </c>
      <c r="E9491" t="e" cm="1">
        <f t="array" ref="E9491">- LIDOCAINE. PRILOCAINE</f>
        <v>#NAME?</v>
      </c>
      <c r="F9491" t="s">
        <v>42070</v>
      </c>
      <c r="G9491" t="s">
        <v>24763</v>
      </c>
      <c r="H9491" t="s">
        <v>42071</v>
      </c>
      <c r="I9491" t="s">
        <v>42072</v>
      </c>
      <c r="J9491" t="s">
        <v>1684</v>
      </c>
      <c r="K9491" t="s">
        <v>22423</v>
      </c>
      <c r="L9491" t="s">
        <v>42073</v>
      </c>
      <c r="M9491" t="s">
        <v>1289</v>
      </c>
      <c r="N9491" t="s">
        <v>19235</v>
      </c>
      <c r="O9491" t="s">
        <v>42074</v>
      </c>
      <c r="P9491" t="s">
        <v>42075</v>
      </c>
      <c r="Q9491" t="s">
        <v>42090</v>
      </c>
      <c r="R9491">
        <v>37</v>
      </c>
      <c r="S9491">
        <v>64</v>
      </c>
    </row>
    <row r="9492" spans="1:19" x14ac:dyDescent="0.35">
      <c r="A9492">
        <v>7210</v>
      </c>
      <c r="B9492" t="s">
        <v>35492</v>
      </c>
      <c r="C9492" t="s">
        <v>20</v>
      </c>
      <c r="D9492" t="s">
        <v>42091</v>
      </c>
      <c r="E9492" t="s">
        <v>35494</v>
      </c>
      <c r="F9492" t="s">
        <v>42092</v>
      </c>
      <c r="H9492" t="s">
        <v>42093</v>
      </c>
      <c r="I9492" t="s">
        <v>42094</v>
      </c>
      <c r="J9492" t="s">
        <v>42095</v>
      </c>
      <c r="M9492" t="s">
        <v>2115</v>
      </c>
      <c r="N9492" t="s">
        <v>35498</v>
      </c>
      <c r="O9492" t="s">
        <v>42096</v>
      </c>
      <c r="P9492" t="s">
        <v>42097</v>
      </c>
      <c r="Q9492" t="s">
        <v>42098</v>
      </c>
      <c r="R9492">
        <v>37</v>
      </c>
      <c r="S9492">
        <v>64</v>
      </c>
    </row>
    <row r="9493" spans="1:19" x14ac:dyDescent="0.35">
      <c r="A9493">
        <v>8559</v>
      </c>
      <c r="B9493" t="s">
        <v>42099</v>
      </c>
      <c r="C9493" t="s">
        <v>42</v>
      </c>
      <c r="D9493" t="s">
        <v>42100</v>
      </c>
      <c r="E9493" t="e" cm="1">
        <f t="array" ref="E9493">- METFORMIN HYDROCHLORIDE</f>
        <v>#NAME?</v>
      </c>
      <c r="F9493" t="s">
        <v>42101</v>
      </c>
      <c r="G9493" t="s">
        <v>40057</v>
      </c>
      <c r="H9493" t="s">
        <v>42064</v>
      </c>
      <c r="I9493" t="s">
        <v>41898</v>
      </c>
      <c r="J9493" t="s">
        <v>908</v>
      </c>
      <c r="K9493" t="s">
        <v>41957</v>
      </c>
      <c r="L9493" t="s">
        <v>41958</v>
      </c>
      <c r="M9493" t="s">
        <v>291</v>
      </c>
      <c r="N9493" t="s">
        <v>30728</v>
      </c>
      <c r="O9493" t="s">
        <v>41901</v>
      </c>
      <c r="P9493" t="s">
        <v>42102</v>
      </c>
      <c r="Q9493" t="s">
        <v>42103</v>
      </c>
      <c r="R9493">
        <v>37</v>
      </c>
      <c r="S9493">
        <v>64</v>
      </c>
    </row>
    <row r="9494" spans="1:19" x14ac:dyDescent="0.35">
      <c r="A9494">
        <v>6524</v>
      </c>
      <c r="B9494" t="s">
        <v>42104</v>
      </c>
      <c r="C9494" t="s">
        <v>42</v>
      </c>
      <c r="D9494" t="s">
        <v>42105</v>
      </c>
      <c r="E9494" t="e" cm="1">
        <f t="array" ref="E9494">- SULFAMETHOXAZOLE</f>
        <v>#NAME?</v>
      </c>
      <c r="F9494" t="s">
        <v>42106</v>
      </c>
      <c r="G9494" t="s">
        <v>5033</v>
      </c>
      <c r="H9494" t="s">
        <v>42107</v>
      </c>
      <c r="I9494" t="s">
        <v>42108</v>
      </c>
      <c r="J9494" t="s">
        <v>42109</v>
      </c>
      <c r="K9494" t="s">
        <v>42110</v>
      </c>
      <c r="L9494" t="s">
        <v>42111</v>
      </c>
      <c r="M9494" t="s">
        <v>291</v>
      </c>
      <c r="N9494" t="s">
        <v>478</v>
      </c>
      <c r="O9494" t="s">
        <v>42112</v>
      </c>
      <c r="P9494" t="s">
        <v>23853</v>
      </c>
      <c r="Q9494" t="s">
        <v>42113</v>
      </c>
      <c r="R9494">
        <v>37</v>
      </c>
      <c r="S9494">
        <v>64</v>
      </c>
    </row>
    <row r="9495" spans="1:19" x14ac:dyDescent="0.35">
      <c r="A9495">
        <v>8567</v>
      </c>
      <c r="B9495" t="s">
        <v>42114</v>
      </c>
      <c r="C9495" t="s">
        <v>42</v>
      </c>
      <c r="D9495" t="s">
        <v>42115</v>
      </c>
      <c r="E9495" t="e" cm="1">
        <f t="array" ref="E9495">- METFORMIN HYDROCHLORIDE</f>
        <v>#NAME?</v>
      </c>
      <c r="F9495" t="s">
        <v>42116</v>
      </c>
      <c r="G9495" t="s">
        <v>41955</v>
      </c>
      <c r="H9495" t="s">
        <v>42080</v>
      </c>
      <c r="I9495" t="s">
        <v>41898</v>
      </c>
      <c r="J9495" t="s">
        <v>42117</v>
      </c>
      <c r="K9495" t="s">
        <v>41957</v>
      </c>
      <c r="L9495" t="s">
        <v>42082</v>
      </c>
      <c r="M9495" t="s">
        <v>46</v>
      </c>
      <c r="N9495" t="s">
        <v>30728</v>
      </c>
      <c r="O9495" t="s">
        <v>41901</v>
      </c>
      <c r="P9495" t="s">
        <v>42083</v>
      </c>
      <c r="Q9495" t="s">
        <v>42084</v>
      </c>
      <c r="R9495">
        <v>37</v>
      </c>
      <c r="S9495">
        <v>64</v>
      </c>
    </row>
    <row r="9496" spans="1:19" x14ac:dyDescent="0.35">
      <c r="A9496">
        <v>8568</v>
      </c>
      <c r="B9496" t="s">
        <v>42114</v>
      </c>
      <c r="C9496" t="s">
        <v>42</v>
      </c>
      <c r="D9496" t="s">
        <v>42115</v>
      </c>
      <c r="E9496" t="e" cm="1">
        <f t="array" ref="E9496">- METFORMIN HYDROCHLORIDE</f>
        <v>#NAME?</v>
      </c>
      <c r="F9496" t="s">
        <v>42116</v>
      </c>
      <c r="G9496" t="s">
        <v>41955</v>
      </c>
      <c r="H9496" t="s">
        <v>42080</v>
      </c>
      <c r="I9496" t="s">
        <v>41898</v>
      </c>
      <c r="J9496" t="s">
        <v>42117</v>
      </c>
      <c r="K9496" t="s">
        <v>41957</v>
      </c>
      <c r="L9496" t="s">
        <v>42082</v>
      </c>
      <c r="M9496" t="s">
        <v>46</v>
      </c>
      <c r="N9496" t="s">
        <v>30728</v>
      </c>
      <c r="O9496" t="s">
        <v>41901</v>
      </c>
      <c r="P9496" t="s">
        <v>42083</v>
      </c>
      <c r="Q9496" t="s">
        <v>42084</v>
      </c>
      <c r="R9496">
        <v>37</v>
      </c>
      <c r="S9496">
        <v>64</v>
      </c>
    </row>
    <row r="9497" spans="1:19" x14ac:dyDescent="0.35">
      <c r="A9497">
        <v>8569</v>
      </c>
      <c r="B9497" t="s">
        <v>42114</v>
      </c>
      <c r="C9497" t="s">
        <v>42</v>
      </c>
      <c r="D9497" t="s">
        <v>42115</v>
      </c>
      <c r="E9497" t="e" cm="1">
        <f t="array" ref="E9497">- METFORMIN HYDROCHLORIDE</f>
        <v>#NAME?</v>
      </c>
      <c r="F9497" t="s">
        <v>42116</v>
      </c>
      <c r="G9497" t="s">
        <v>41955</v>
      </c>
      <c r="H9497" t="s">
        <v>42080</v>
      </c>
      <c r="I9497" t="s">
        <v>41898</v>
      </c>
      <c r="J9497" t="s">
        <v>42117</v>
      </c>
      <c r="K9497" t="s">
        <v>41957</v>
      </c>
      <c r="L9497" t="s">
        <v>42082</v>
      </c>
      <c r="M9497" t="s">
        <v>46</v>
      </c>
      <c r="N9497" t="s">
        <v>30728</v>
      </c>
      <c r="O9497" t="s">
        <v>41901</v>
      </c>
      <c r="P9497" t="s">
        <v>42083</v>
      </c>
      <c r="Q9497" t="s">
        <v>42084</v>
      </c>
      <c r="R9497">
        <v>37</v>
      </c>
      <c r="S9497">
        <v>64</v>
      </c>
    </row>
    <row r="9498" spans="1:19" x14ac:dyDescent="0.35">
      <c r="A9498">
        <v>7211</v>
      </c>
      <c r="B9498" t="s">
        <v>35492</v>
      </c>
      <c r="C9498" t="s">
        <v>20</v>
      </c>
      <c r="D9498" t="s">
        <v>42118</v>
      </c>
      <c r="E9498" t="s">
        <v>35494</v>
      </c>
      <c r="F9498" t="s">
        <v>42119</v>
      </c>
      <c r="H9498" t="s">
        <v>42093</v>
      </c>
      <c r="I9498" t="s">
        <v>42094</v>
      </c>
      <c r="J9498" t="s">
        <v>42120</v>
      </c>
      <c r="M9498" t="s">
        <v>2115</v>
      </c>
      <c r="N9498" t="s">
        <v>35498</v>
      </c>
      <c r="O9498" t="s">
        <v>42096</v>
      </c>
      <c r="P9498" t="s">
        <v>42097</v>
      </c>
      <c r="Q9498" t="s">
        <v>42098</v>
      </c>
      <c r="R9498">
        <v>37</v>
      </c>
      <c r="S9498">
        <v>64</v>
      </c>
    </row>
    <row r="9499" spans="1:19" x14ac:dyDescent="0.35">
      <c r="A9499">
        <v>8582</v>
      </c>
      <c r="B9499" t="s">
        <v>42121</v>
      </c>
      <c r="C9499" t="s">
        <v>42</v>
      </c>
      <c r="D9499" t="s">
        <v>42122</v>
      </c>
      <c r="E9499" t="e" cm="1">
        <f t="array" ref="E9499">- METFORMIN HYDROCHLORIDE</f>
        <v>#NAME?</v>
      </c>
      <c r="F9499" t="s">
        <v>42123</v>
      </c>
      <c r="G9499" t="s">
        <v>41955</v>
      </c>
      <c r="H9499" t="s">
        <v>42080</v>
      </c>
      <c r="I9499" t="s">
        <v>41898</v>
      </c>
      <c r="J9499" t="s">
        <v>21862</v>
      </c>
      <c r="K9499" t="s">
        <v>41957</v>
      </c>
      <c r="L9499" t="s">
        <v>42082</v>
      </c>
      <c r="M9499" t="s">
        <v>46</v>
      </c>
      <c r="N9499" t="s">
        <v>30728</v>
      </c>
      <c r="O9499" t="s">
        <v>41901</v>
      </c>
      <c r="P9499" t="s">
        <v>30730</v>
      </c>
      <c r="Q9499" t="s">
        <v>42124</v>
      </c>
      <c r="R9499">
        <v>37</v>
      </c>
      <c r="S9499">
        <v>64</v>
      </c>
    </row>
    <row r="9500" spans="1:19" x14ac:dyDescent="0.35">
      <c r="A9500">
        <v>8643</v>
      </c>
      <c r="B9500" t="s">
        <v>42125</v>
      </c>
      <c r="C9500" t="s">
        <v>42</v>
      </c>
      <c r="D9500" t="s">
        <v>42126</v>
      </c>
      <c r="E9500" t="e" cm="1">
        <f t="array" ref="E9500">- METFORMIN HYDROCHLORIDE</f>
        <v>#NAME?</v>
      </c>
      <c r="F9500" t="s">
        <v>42127</v>
      </c>
      <c r="G9500" t="s">
        <v>41955</v>
      </c>
      <c r="H9500" t="s">
        <v>42064</v>
      </c>
      <c r="I9500" t="s">
        <v>41898</v>
      </c>
      <c r="J9500" t="s">
        <v>9710</v>
      </c>
      <c r="K9500" t="s">
        <v>41957</v>
      </c>
      <c r="L9500" t="s">
        <v>41900</v>
      </c>
      <c r="M9500" t="s">
        <v>291</v>
      </c>
      <c r="N9500" t="s">
        <v>30728</v>
      </c>
      <c r="O9500" t="s">
        <v>41901</v>
      </c>
      <c r="P9500" t="s">
        <v>42128</v>
      </c>
      <c r="Q9500" t="s">
        <v>42129</v>
      </c>
      <c r="R9500">
        <v>37</v>
      </c>
      <c r="S9500">
        <v>64</v>
      </c>
    </row>
    <row r="9501" spans="1:19" x14ac:dyDescent="0.35">
      <c r="A9501">
        <v>8642</v>
      </c>
      <c r="B9501" t="s">
        <v>42125</v>
      </c>
      <c r="C9501" t="s">
        <v>42</v>
      </c>
      <c r="D9501" t="s">
        <v>42126</v>
      </c>
      <c r="E9501" t="e" cm="1">
        <f t="array" ref="E9501">- METFORMIN HYDROCHLORIDE</f>
        <v>#NAME?</v>
      </c>
      <c r="F9501" t="s">
        <v>42127</v>
      </c>
      <c r="G9501" t="s">
        <v>41955</v>
      </c>
      <c r="H9501" t="s">
        <v>42064</v>
      </c>
      <c r="I9501" t="s">
        <v>41898</v>
      </c>
      <c r="J9501" t="s">
        <v>9710</v>
      </c>
      <c r="K9501" t="s">
        <v>41957</v>
      </c>
      <c r="L9501" t="s">
        <v>41900</v>
      </c>
      <c r="M9501" t="s">
        <v>291</v>
      </c>
      <c r="N9501" t="s">
        <v>30728</v>
      </c>
      <c r="O9501" t="s">
        <v>41901</v>
      </c>
      <c r="P9501" t="s">
        <v>42128</v>
      </c>
      <c r="Q9501" t="s">
        <v>42129</v>
      </c>
      <c r="R9501">
        <v>37</v>
      </c>
      <c r="S9501">
        <v>64</v>
      </c>
    </row>
    <row r="9502" spans="1:19" x14ac:dyDescent="0.35">
      <c r="A9502">
        <v>8555</v>
      </c>
      <c r="B9502" t="s">
        <v>42130</v>
      </c>
      <c r="C9502" t="s">
        <v>42</v>
      </c>
      <c r="D9502" t="s">
        <v>42131</v>
      </c>
      <c r="E9502" t="e" cm="1">
        <f t="array" ref="E9502">- METFORMIN HYDROCHLORIDE</f>
        <v>#NAME?</v>
      </c>
      <c r="F9502" t="s">
        <v>42132</v>
      </c>
      <c r="G9502" t="s">
        <v>41955</v>
      </c>
      <c r="H9502" t="s">
        <v>42080</v>
      </c>
      <c r="I9502" t="s">
        <v>41898</v>
      </c>
      <c r="J9502" t="s">
        <v>42133</v>
      </c>
      <c r="K9502" t="s">
        <v>41957</v>
      </c>
      <c r="L9502" t="s">
        <v>42082</v>
      </c>
      <c r="M9502" t="s">
        <v>291</v>
      </c>
      <c r="N9502" t="s">
        <v>30728</v>
      </c>
      <c r="O9502" t="s">
        <v>41901</v>
      </c>
      <c r="P9502" t="s">
        <v>42134</v>
      </c>
      <c r="Q9502" t="s">
        <v>42135</v>
      </c>
      <c r="R9502">
        <v>37</v>
      </c>
      <c r="S9502">
        <v>64</v>
      </c>
    </row>
    <row r="9503" spans="1:19" x14ac:dyDescent="0.35">
      <c r="A9503">
        <v>6288</v>
      </c>
      <c r="B9503" t="s">
        <v>41732</v>
      </c>
      <c r="C9503" t="s">
        <v>42</v>
      </c>
      <c r="D9503" t="s">
        <v>41733</v>
      </c>
      <c r="E9503" t="e" cm="1">
        <f t="array" ref="E9503">- CIPROFLOXACIN HYDROCHLORIDE MONOHYDRATE</f>
        <v>#NAME?</v>
      </c>
      <c r="F9503" t="s">
        <v>18833</v>
      </c>
      <c r="G9503" t="s">
        <v>4913</v>
      </c>
      <c r="H9503" t="s">
        <v>1055</v>
      </c>
      <c r="I9503" t="s">
        <v>41734</v>
      </c>
    </row>
    <row r="9504" spans="1:19" x14ac:dyDescent="0.35">
      <c r="A9504">
        <v>8941</v>
      </c>
      <c r="B9504" t="s">
        <v>35885</v>
      </c>
      <c r="C9504" t="s">
        <v>42</v>
      </c>
      <c r="D9504" t="s">
        <v>35886</v>
      </c>
      <c r="E9504" t="s">
        <v>42136</v>
      </c>
      <c r="F9504" t="s">
        <v>35887</v>
      </c>
      <c r="G9504" t="s">
        <v>5301</v>
      </c>
      <c r="H9504" t="s">
        <v>35552</v>
      </c>
      <c r="I9504" t="s">
        <v>35575</v>
      </c>
      <c r="J9504" t="s">
        <v>2644</v>
      </c>
      <c r="K9504" t="s">
        <v>35888</v>
      </c>
      <c r="L9504" t="s">
        <v>270</v>
      </c>
      <c r="M9504" t="s">
        <v>46</v>
      </c>
      <c r="N9504" t="s">
        <v>42137</v>
      </c>
      <c r="O9504" t="s">
        <v>35557</v>
      </c>
      <c r="P9504" t="s">
        <v>35558</v>
      </c>
      <c r="Q9504" t="s">
        <v>42138</v>
      </c>
      <c r="R9504">
        <v>37</v>
      </c>
      <c r="S9504">
        <v>64</v>
      </c>
    </row>
    <row r="9505" spans="1:19" x14ac:dyDescent="0.35">
      <c r="A9505">
        <v>7990</v>
      </c>
      <c r="B9505" t="s">
        <v>40770</v>
      </c>
      <c r="C9505" t="s">
        <v>20</v>
      </c>
      <c r="D9505" t="s">
        <v>42139</v>
      </c>
      <c r="E9505" t="s">
        <v>40772</v>
      </c>
      <c r="F9505" t="s">
        <v>42140</v>
      </c>
      <c r="G9505" t="s">
        <v>40773</v>
      </c>
      <c r="H9505" t="s">
        <v>1322</v>
      </c>
      <c r="I9505" t="s">
        <v>42141</v>
      </c>
      <c r="J9505" t="s">
        <v>40775</v>
      </c>
      <c r="M9505" t="s">
        <v>2374</v>
      </c>
      <c r="N9505" t="s">
        <v>40777</v>
      </c>
      <c r="O9505" t="s">
        <v>42142</v>
      </c>
      <c r="P9505" t="s">
        <v>42143</v>
      </c>
      <c r="Q9505" t="s">
        <v>42144</v>
      </c>
      <c r="R9505">
        <v>37</v>
      </c>
      <c r="S9505">
        <v>64</v>
      </c>
    </row>
    <row r="9506" spans="1:19" x14ac:dyDescent="0.35">
      <c r="A9506">
        <v>8757</v>
      </c>
      <c r="B9506" t="s">
        <v>42145</v>
      </c>
      <c r="C9506" t="s">
        <v>42</v>
      </c>
      <c r="D9506" t="s">
        <v>42146</v>
      </c>
      <c r="E9506" t="e" cm="1">
        <f t="array" ref="E9506">- METFORMIN HYDROCHLORIDE</f>
        <v>#NAME?</v>
      </c>
      <c r="F9506" t="s">
        <v>42147</v>
      </c>
      <c r="G9506" t="s">
        <v>41955</v>
      </c>
      <c r="H9506" t="s">
        <v>42080</v>
      </c>
      <c r="I9506" t="s">
        <v>41898</v>
      </c>
      <c r="J9506" t="s">
        <v>3542</v>
      </c>
      <c r="K9506" t="s">
        <v>41957</v>
      </c>
      <c r="L9506" t="s">
        <v>42082</v>
      </c>
      <c r="M9506" t="s">
        <v>46</v>
      </c>
      <c r="N9506" t="s">
        <v>30728</v>
      </c>
      <c r="O9506" t="s">
        <v>41901</v>
      </c>
      <c r="P9506" t="s">
        <v>42148</v>
      </c>
      <c r="Q9506" t="s">
        <v>42149</v>
      </c>
      <c r="R9506">
        <v>37</v>
      </c>
      <c r="S9506">
        <v>64</v>
      </c>
    </row>
    <row r="9507" spans="1:19" x14ac:dyDescent="0.35">
      <c r="A9507">
        <v>8756</v>
      </c>
      <c r="B9507" t="s">
        <v>42145</v>
      </c>
      <c r="C9507" t="s">
        <v>42</v>
      </c>
      <c r="D9507" t="s">
        <v>42146</v>
      </c>
      <c r="E9507" t="e" cm="1">
        <f t="array" ref="E9507">- METFORMIN HYDROCHLORIDE</f>
        <v>#NAME?</v>
      </c>
      <c r="F9507" t="s">
        <v>42147</v>
      </c>
      <c r="G9507" t="s">
        <v>41955</v>
      </c>
      <c r="H9507" t="s">
        <v>42080</v>
      </c>
      <c r="I9507" t="s">
        <v>41898</v>
      </c>
      <c r="J9507" t="s">
        <v>3542</v>
      </c>
      <c r="K9507" t="s">
        <v>41957</v>
      </c>
      <c r="L9507" t="s">
        <v>42082</v>
      </c>
      <c r="M9507" t="s">
        <v>46</v>
      </c>
      <c r="N9507" t="s">
        <v>30728</v>
      </c>
      <c r="O9507" t="s">
        <v>41901</v>
      </c>
      <c r="P9507" t="s">
        <v>42148</v>
      </c>
      <c r="Q9507" t="s">
        <v>42149</v>
      </c>
      <c r="R9507">
        <v>37</v>
      </c>
      <c r="S9507">
        <v>64</v>
      </c>
    </row>
    <row r="9508" spans="1:19" x14ac:dyDescent="0.35">
      <c r="A9508">
        <v>8727</v>
      </c>
      <c r="B9508" t="s">
        <v>42150</v>
      </c>
      <c r="C9508" t="s">
        <v>42</v>
      </c>
      <c r="D9508" t="s">
        <v>42151</v>
      </c>
      <c r="E9508" t="e" cm="1">
        <f t="array" ref="E9508">- METFORMIN HYDROCHLORIDE</f>
        <v>#NAME?</v>
      </c>
      <c r="F9508" t="s">
        <v>42152</v>
      </c>
      <c r="G9508" t="s">
        <v>42153</v>
      </c>
      <c r="H9508" t="s">
        <v>42154</v>
      </c>
    </row>
    <row r="9509" spans="1:19" x14ac:dyDescent="0.35">
      <c r="A9509">
        <v>8726</v>
      </c>
      <c r="B9509" t="s">
        <v>42150</v>
      </c>
      <c r="C9509" t="s">
        <v>42</v>
      </c>
      <c r="D9509" t="s">
        <v>42151</v>
      </c>
      <c r="E9509" t="e" cm="1">
        <f t="array" ref="E9509">- METFORMIN HYDROCHLORIDE</f>
        <v>#NAME?</v>
      </c>
      <c r="F9509" t="s">
        <v>42152</v>
      </c>
      <c r="G9509" t="s">
        <v>42153</v>
      </c>
      <c r="H9509" t="s">
        <v>42154</v>
      </c>
    </row>
    <row r="9510" spans="1:19" x14ac:dyDescent="0.35">
      <c r="A9510">
        <v>8725</v>
      </c>
      <c r="B9510" t="s">
        <v>42155</v>
      </c>
      <c r="C9510" t="s">
        <v>42</v>
      </c>
      <c r="D9510" t="s">
        <v>42156</v>
      </c>
      <c r="E9510" t="e" cm="1">
        <f t="array" ref="E9510">- METFORMIN HYDROCHLORIDE</f>
        <v>#NAME?</v>
      </c>
      <c r="F9510" t="s">
        <v>8009</v>
      </c>
      <c r="G9510" t="s">
        <v>41955</v>
      </c>
      <c r="H9510" t="s">
        <v>42080</v>
      </c>
      <c r="I9510" t="s">
        <v>41898</v>
      </c>
      <c r="J9510" t="s">
        <v>42157</v>
      </c>
      <c r="K9510" t="s">
        <v>42158</v>
      </c>
      <c r="L9510" t="s">
        <v>41900</v>
      </c>
      <c r="M9510" t="s">
        <v>46</v>
      </c>
      <c r="N9510" t="s">
        <v>30728</v>
      </c>
      <c r="O9510" t="s">
        <v>41901</v>
      </c>
      <c r="P9510" t="s">
        <v>42159</v>
      </c>
      <c r="Q9510" t="s">
        <v>42160</v>
      </c>
      <c r="R9510">
        <v>37</v>
      </c>
      <c r="S9510">
        <v>64</v>
      </c>
    </row>
    <row r="9511" spans="1:19" x14ac:dyDescent="0.35">
      <c r="A9511">
        <v>8724</v>
      </c>
      <c r="B9511" t="s">
        <v>42155</v>
      </c>
      <c r="C9511" t="s">
        <v>42</v>
      </c>
      <c r="D9511" t="s">
        <v>42156</v>
      </c>
      <c r="E9511" t="e" cm="1">
        <f t="array" ref="E9511">- METFORMIN HYDROCHLORIDE</f>
        <v>#NAME?</v>
      </c>
      <c r="F9511" t="s">
        <v>8009</v>
      </c>
      <c r="G9511" t="s">
        <v>41955</v>
      </c>
      <c r="H9511" t="s">
        <v>42080</v>
      </c>
      <c r="I9511" t="s">
        <v>41898</v>
      </c>
      <c r="J9511" t="s">
        <v>42157</v>
      </c>
      <c r="K9511" t="s">
        <v>42158</v>
      </c>
      <c r="L9511" t="s">
        <v>41900</v>
      </c>
      <c r="M9511" t="s">
        <v>46</v>
      </c>
      <c r="N9511" t="s">
        <v>30728</v>
      </c>
      <c r="O9511" t="s">
        <v>41901</v>
      </c>
      <c r="P9511" t="s">
        <v>42159</v>
      </c>
      <c r="Q9511" t="s">
        <v>42160</v>
      </c>
      <c r="R9511">
        <v>37</v>
      </c>
      <c r="S9511">
        <v>64</v>
      </c>
    </row>
    <row r="9512" spans="1:19" x14ac:dyDescent="0.35">
      <c r="A9512">
        <v>8723</v>
      </c>
      <c r="B9512" t="s">
        <v>42161</v>
      </c>
      <c r="C9512" t="s">
        <v>42</v>
      </c>
      <c r="D9512" t="s">
        <v>42162</v>
      </c>
      <c r="E9512" t="e" cm="1">
        <f t="array" ref="E9512">- METFORMIN HYDROCHLORIDE</f>
        <v>#NAME?</v>
      </c>
      <c r="F9512" s="1">
        <v>64100</v>
      </c>
      <c r="G9512" t="s">
        <v>41955</v>
      </c>
      <c r="H9512" t="s">
        <v>42163</v>
      </c>
      <c r="I9512" t="s">
        <v>41898</v>
      </c>
      <c r="J9512" t="s">
        <v>42164</v>
      </c>
      <c r="K9512" t="s">
        <v>42165</v>
      </c>
      <c r="L9512" t="s">
        <v>41900</v>
      </c>
      <c r="M9512" t="s">
        <v>291</v>
      </c>
      <c r="N9512" t="s">
        <v>30728</v>
      </c>
      <c r="O9512" t="s">
        <v>41901</v>
      </c>
      <c r="P9512" t="s">
        <v>42159</v>
      </c>
      <c r="Q9512" t="s">
        <v>42166</v>
      </c>
      <c r="R9512">
        <v>37</v>
      </c>
      <c r="S9512">
        <v>64</v>
      </c>
    </row>
    <row r="9513" spans="1:19" x14ac:dyDescent="0.35">
      <c r="A9513">
        <v>8538</v>
      </c>
      <c r="B9513" t="s">
        <v>42032</v>
      </c>
      <c r="C9513" t="s">
        <v>42</v>
      </c>
      <c r="D9513" t="s">
        <v>42033</v>
      </c>
      <c r="E9513" t="e" cm="1">
        <f t="array" ref="E9513">- SAXAGLIPTIN. KOMBINASI-METFORMIN BULK</f>
        <v>#NAME?</v>
      </c>
      <c r="F9513" t="s">
        <v>42034</v>
      </c>
      <c r="G9513" t="s">
        <v>1691</v>
      </c>
      <c r="H9513" t="s">
        <v>42035</v>
      </c>
      <c r="I9513" t="s">
        <v>42036</v>
      </c>
      <c r="J9513" t="s">
        <v>3145</v>
      </c>
      <c r="K9513" t="s">
        <v>3952</v>
      </c>
    </row>
    <row r="9514" spans="1:19" x14ac:dyDescent="0.35">
      <c r="A9514">
        <v>8822</v>
      </c>
      <c r="B9514" t="s">
        <v>42167</v>
      </c>
      <c r="C9514" t="s">
        <v>42</v>
      </c>
      <c r="D9514" t="s">
        <v>42168</v>
      </c>
      <c r="E9514" t="e" cm="1">
        <f t="array" ref="E9514">- METFORMIN HYDROCHLORIDE</f>
        <v>#NAME?</v>
      </c>
      <c r="F9514" t="s">
        <v>42169</v>
      </c>
      <c r="G9514" t="s">
        <v>42170</v>
      </c>
      <c r="H9514" t="s">
        <v>42064</v>
      </c>
      <c r="I9514" t="s">
        <v>41898</v>
      </c>
      <c r="J9514" t="s">
        <v>25926</v>
      </c>
      <c r="K9514" t="s">
        <v>41957</v>
      </c>
      <c r="L9514" t="s">
        <v>41958</v>
      </c>
      <c r="M9514" t="s">
        <v>291</v>
      </c>
      <c r="N9514" t="s">
        <v>30728</v>
      </c>
      <c r="O9514" t="s">
        <v>41901</v>
      </c>
      <c r="P9514" t="s">
        <v>42171</v>
      </c>
      <c r="Q9514" t="s">
        <v>42172</v>
      </c>
      <c r="R9514">
        <v>37</v>
      </c>
      <c r="S9514">
        <v>64</v>
      </c>
    </row>
    <row r="9515" spans="1:19" x14ac:dyDescent="0.35">
      <c r="A9515">
        <v>9327</v>
      </c>
      <c r="B9515" t="s">
        <v>35549</v>
      </c>
      <c r="C9515" t="s">
        <v>42</v>
      </c>
      <c r="D9515" t="s">
        <v>35573</v>
      </c>
      <c r="E9515" t="s">
        <v>42173</v>
      </c>
      <c r="F9515" t="s">
        <v>35574</v>
      </c>
      <c r="G9515" t="s">
        <v>5301</v>
      </c>
      <c r="H9515" t="s">
        <v>35552</v>
      </c>
      <c r="I9515" t="s">
        <v>35575</v>
      </c>
      <c r="J9515" t="s">
        <v>35576</v>
      </c>
      <c r="L9515" t="s">
        <v>270</v>
      </c>
      <c r="M9515" t="s">
        <v>46</v>
      </c>
      <c r="N9515" t="s">
        <v>42174</v>
      </c>
      <c r="O9515" t="s">
        <v>35557</v>
      </c>
      <c r="P9515" t="s">
        <v>35558</v>
      </c>
      <c r="Q9515" t="s">
        <v>42175</v>
      </c>
      <c r="R9515">
        <v>37</v>
      </c>
      <c r="S9515">
        <v>64</v>
      </c>
    </row>
    <row r="9516" spans="1:19" x14ac:dyDescent="0.35">
      <c r="A9516">
        <v>9323</v>
      </c>
      <c r="B9516" t="s">
        <v>35549</v>
      </c>
      <c r="C9516" t="s">
        <v>42</v>
      </c>
      <c r="D9516" t="s">
        <v>35550</v>
      </c>
      <c r="E9516" t="s">
        <v>42173</v>
      </c>
      <c r="F9516" t="s">
        <v>35551</v>
      </c>
      <c r="G9516" t="s">
        <v>5301</v>
      </c>
      <c r="H9516" t="s">
        <v>35552</v>
      </c>
      <c r="I9516" t="s">
        <v>35553</v>
      </c>
      <c r="J9516" t="s">
        <v>35554</v>
      </c>
      <c r="K9516" t="s">
        <v>35555</v>
      </c>
      <c r="L9516" t="s">
        <v>321</v>
      </c>
      <c r="M9516" t="s">
        <v>46</v>
      </c>
      <c r="N9516" t="s">
        <v>42174</v>
      </c>
      <c r="O9516" t="s">
        <v>35557</v>
      </c>
      <c r="P9516" t="s">
        <v>35558</v>
      </c>
      <c r="Q9516" t="s">
        <v>42175</v>
      </c>
      <c r="R9516">
        <v>37</v>
      </c>
      <c r="S9516">
        <v>64</v>
      </c>
    </row>
    <row r="9517" spans="1:19" x14ac:dyDescent="0.35">
      <c r="A9517">
        <v>8828</v>
      </c>
      <c r="B9517" t="s">
        <v>42176</v>
      </c>
      <c r="C9517" t="s">
        <v>42</v>
      </c>
      <c r="D9517" t="s">
        <v>42177</v>
      </c>
      <c r="E9517" t="e" cm="1">
        <f t="array" ref="E9517">- METFORMIN HYDROCHLORIDE. LINAGLIPTIN</f>
        <v>#NAME?</v>
      </c>
      <c r="F9517" t="s">
        <v>42178</v>
      </c>
      <c r="G9517" t="s">
        <v>4045</v>
      </c>
      <c r="H9517" t="s">
        <v>41892</v>
      </c>
      <c r="I9517" t="s">
        <v>41893</v>
      </c>
    </row>
    <row r="9518" spans="1:19" x14ac:dyDescent="0.35">
      <c r="A9518">
        <v>8722</v>
      </c>
      <c r="B9518" t="s">
        <v>42161</v>
      </c>
      <c r="C9518" t="s">
        <v>42</v>
      </c>
      <c r="D9518" t="s">
        <v>42162</v>
      </c>
      <c r="E9518" t="e" cm="1">
        <f t="array" ref="E9518">- METFORMIN HYDROCHLORIDE</f>
        <v>#NAME?</v>
      </c>
      <c r="F9518" s="1">
        <v>64100</v>
      </c>
      <c r="G9518" t="s">
        <v>41955</v>
      </c>
      <c r="H9518" t="s">
        <v>42163</v>
      </c>
      <c r="I9518" t="s">
        <v>41898</v>
      </c>
      <c r="J9518" t="s">
        <v>42164</v>
      </c>
      <c r="K9518" t="s">
        <v>42165</v>
      </c>
      <c r="L9518" t="s">
        <v>41900</v>
      </c>
      <c r="M9518" t="s">
        <v>291</v>
      </c>
      <c r="N9518" t="s">
        <v>30728</v>
      </c>
      <c r="O9518" t="s">
        <v>41901</v>
      </c>
      <c r="P9518" t="s">
        <v>42159</v>
      </c>
      <c r="Q9518" t="s">
        <v>42166</v>
      </c>
      <c r="R9518">
        <v>37</v>
      </c>
      <c r="S9518">
        <v>64</v>
      </c>
    </row>
    <row r="9519" spans="1:19" x14ac:dyDescent="0.35">
      <c r="A9519">
        <v>9315</v>
      </c>
      <c r="B9519" t="s">
        <v>35549</v>
      </c>
      <c r="C9519" t="s">
        <v>42</v>
      </c>
      <c r="D9519" t="s">
        <v>35550</v>
      </c>
      <c r="E9519" t="s">
        <v>42173</v>
      </c>
      <c r="F9519" t="s">
        <v>35551</v>
      </c>
      <c r="G9519" t="s">
        <v>5301</v>
      </c>
      <c r="H9519" t="s">
        <v>35552</v>
      </c>
      <c r="I9519" t="s">
        <v>35553</v>
      </c>
      <c r="J9519" t="s">
        <v>35554</v>
      </c>
      <c r="K9519" t="s">
        <v>35555</v>
      </c>
      <c r="L9519" t="s">
        <v>321</v>
      </c>
      <c r="M9519" t="s">
        <v>46</v>
      </c>
      <c r="N9519" t="s">
        <v>42174</v>
      </c>
      <c r="O9519" t="s">
        <v>35557</v>
      </c>
      <c r="P9519" t="s">
        <v>35558</v>
      </c>
      <c r="Q9519" t="s">
        <v>42175</v>
      </c>
      <c r="R9519">
        <v>37</v>
      </c>
      <c r="S9519">
        <v>64</v>
      </c>
    </row>
    <row r="9520" spans="1:19" x14ac:dyDescent="0.35">
      <c r="A9520">
        <v>8829</v>
      </c>
      <c r="B9520" t="s">
        <v>41888</v>
      </c>
      <c r="C9520" t="s">
        <v>42</v>
      </c>
      <c r="D9520" t="s">
        <v>41889</v>
      </c>
      <c r="E9520" t="e" cm="1">
        <f t="array" ref="E9520">- LINAGLIPTIN. METFORMIN HYDROCHLORIDE</f>
        <v>#NAME?</v>
      </c>
      <c r="F9520" t="s">
        <v>41890</v>
      </c>
      <c r="G9520" t="s">
        <v>41891</v>
      </c>
      <c r="H9520" t="s">
        <v>41892</v>
      </c>
      <c r="I9520" t="s">
        <v>41893</v>
      </c>
    </row>
    <row r="9521" spans="1:19" x14ac:dyDescent="0.35">
      <c r="A9521">
        <v>8831</v>
      </c>
      <c r="B9521" t="s">
        <v>42179</v>
      </c>
      <c r="C9521" t="s">
        <v>42</v>
      </c>
      <c r="D9521" t="s">
        <v>42180</v>
      </c>
      <c r="E9521" t="e" cm="1">
        <f t="array" ref="E9521">- METFORMIN HYDROCHLORIDE. LINAGLIPTIN</f>
        <v>#NAME?</v>
      </c>
      <c r="F9521" t="s">
        <v>42181</v>
      </c>
      <c r="G9521" t="s">
        <v>4045</v>
      </c>
      <c r="H9521" t="s">
        <v>41892</v>
      </c>
      <c r="I9521" t="s">
        <v>41893</v>
      </c>
    </row>
    <row r="9522" spans="1:19" x14ac:dyDescent="0.35">
      <c r="A9522">
        <v>8832</v>
      </c>
      <c r="B9522" t="s">
        <v>42182</v>
      </c>
      <c r="C9522" t="s">
        <v>42</v>
      </c>
      <c r="D9522" t="s">
        <v>42183</v>
      </c>
      <c r="E9522" t="e" cm="1">
        <f t="array" ref="E9522">- METFORMIN HYDROCHLORIDE. LINAGLIPTIN</f>
        <v>#NAME?</v>
      </c>
      <c r="F9522" t="s">
        <v>42184</v>
      </c>
      <c r="G9522" t="s">
        <v>4045</v>
      </c>
      <c r="H9522" t="s">
        <v>20613</v>
      </c>
      <c r="I9522" t="s">
        <v>41893</v>
      </c>
    </row>
    <row r="9523" spans="1:19" x14ac:dyDescent="0.35">
      <c r="A9523">
        <v>8937</v>
      </c>
      <c r="B9523" t="s">
        <v>35885</v>
      </c>
      <c r="C9523" t="s">
        <v>42</v>
      </c>
      <c r="D9523" t="s">
        <v>35886</v>
      </c>
      <c r="E9523" t="s">
        <v>42136</v>
      </c>
      <c r="F9523" t="s">
        <v>35887</v>
      </c>
      <c r="G9523" t="s">
        <v>5301</v>
      </c>
      <c r="H9523" t="s">
        <v>35552</v>
      </c>
      <c r="I9523" t="s">
        <v>35575</v>
      </c>
      <c r="J9523" t="s">
        <v>2644</v>
      </c>
      <c r="K9523" t="s">
        <v>35888</v>
      </c>
      <c r="L9523" t="s">
        <v>270</v>
      </c>
      <c r="M9523" t="s">
        <v>46</v>
      </c>
      <c r="N9523" t="s">
        <v>42137</v>
      </c>
      <c r="O9523" t="s">
        <v>35557</v>
      </c>
      <c r="P9523" t="s">
        <v>35558</v>
      </c>
      <c r="Q9523" t="s">
        <v>42138</v>
      </c>
      <c r="R9523">
        <v>37</v>
      </c>
      <c r="S9523">
        <v>64</v>
      </c>
    </row>
    <row r="9524" spans="1:19" x14ac:dyDescent="0.35">
      <c r="A9524">
        <v>9319</v>
      </c>
      <c r="B9524" t="s">
        <v>35549</v>
      </c>
      <c r="C9524" t="s">
        <v>42</v>
      </c>
      <c r="D9524" t="s">
        <v>35573</v>
      </c>
      <c r="E9524" t="s">
        <v>42173</v>
      </c>
      <c r="F9524" t="s">
        <v>35574</v>
      </c>
      <c r="G9524" t="s">
        <v>5301</v>
      </c>
      <c r="H9524" t="s">
        <v>35552</v>
      </c>
      <c r="I9524" t="s">
        <v>35575</v>
      </c>
      <c r="J9524" t="s">
        <v>35576</v>
      </c>
      <c r="L9524" t="s">
        <v>270</v>
      </c>
      <c r="M9524" t="s">
        <v>46</v>
      </c>
      <c r="N9524" t="s">
        <v>42174</v>
      </c>
      <c r="O9524" t="s">
        <v>35557</v>
      </c>
      <c r="P9524" t="s">
        <v>35558</v>
      </c>
      <c r="Q9524" t="s">
        <v>42175</v>
      </c>
      <c r="R9524">
        <v>37</v>
      </c>
      <c r="S9524">
        <v>64</v>
      </c>
    </row>
    <row r="9525" spans="1:19" x14ac:dyDescent="0.35">
      <c r="A9525">
        <v>7134</v>
      </c>
      <c r="B9525" t="s">
        <v>42185</v>
      </c>
      <c r="C9525" t="s">
        <v>42</v>
      </c>
      <c r="D9525" t="s">
        <v>42186</v>
      </c>
      <c r="E9525" t="e" cm="1">
        <f t="array" ref="E9525">- TIZANIDINE HYDROCHLORIDE</f>
        <v>#NAME?</v>
      </c>
      <c r="F9525" t="s">
        <v>42187</v>
      </c>
      <c r="G9525" t="s">
        <v>42188</v>
      </c>
      <c r="H9525" t="s">
        <v>42189</v>
      </c>
      <c r="I9525" t="s">
        <v>42190</v>
      </c>
      <c r="J9525" t="s">
        <v>381</v>
      </c>
      <c r="K9525" t="s">
        <v>42191</v>
      </c>
      <c r="L9525" t="s">
        <v>42192</v>
      </c>
      <c r="M9525" t="s">
        <v>46</v>
      </c>
      <c r="N9525" t="s">
        <v>1806</v>
      </c>
      <c r="O9525" t="s">
        <v>42193</v>
      </c>
      <c r="P9525" t="s">
        <v>42194</v>
      </c>
      <c r="Q9525" t="s">
        <v>42195</v>
      </c>
      <c r="R9525">
        <v>38</v>
      </c>
      <c r="S9525">
        <v>64</v>
      </c>
    </row>
    <row r="9526" spans="1:19" x14ac:dyDescent="0.35">
      <c r="A9526">
        <v>2778</v>
      </c>
      <c r="B9526" t="s">
        <v>42196</v>
      </c>
      <c r="C9526" t="s">
        <v>42</v>
      </c>
      <c r="D9526" t="s">
        <v>42197</v>
      </c>
      <c r="E9526" t="e" cm="1">
        <f t="array" ref="E9526">- DICLOFENAC POTASSIUM</f>
        <v>#NAME?</v>
      </c>
      <c r="F9526" t="s">
        <v>42198</v>
      </c>
      <c r="G9526" t="s">
        <v>539</v>
      </c>
      <c r="H9526" t="s">
        <v>2596</v>
      </c>
      <c r="I9526" t="s">
        <v>42199</v>
      </c>
      <c r="J9526" t="s">
        <v>42200</v>
      </c>
      <c r="K9526" t="s">
        <v>42201</v>
      </c>
      <c r="L9526" t="s">
        <v>42202</v>
      </c>
      <c r="M9526" t="s">
        <v>46</v>
      </c>
      <c r="N9526" t="s">
        <v>2637</v>
      </c>
      <c r="O9526" t="s">
        <v>42203</v>
      </c>
      <c r="P9526" t="s">
        <v>42204</v>
      </c>
      <c r="Q9526" t="s">
        <v>42205</v>
      </c>
      <c r="R9526">
        <v>38</v>
      </c>
      <c r="S9526">
        <v>64</v>
      </c>
    </row>
    <row r="9527" spans="1:19" x14ac:dyDescent="0.35">
      <c r="A9527">
        <v>2777</v>
      </c>
      <c r="B9527" t="s">
        <v>42196</v>
      </c>
      <c r="C9527" t="s">
        <v>42</v>
      </c>
      <c r="D9527" t="s">
        <v>42197</v>
      </c>
      <c r="E9527" t="e" cm="1">
        <f t="array" ref="E9527">- DICLOFENAC POTASSIUM</f>
        <v>#NAME?</v>
      </c>
      <c r="F9527" t="s">
        <v>42198</v>
      </c>
      <c r="G9527" t="s">
        <v>539</v>
      </c>
      <c r="H9527" t="s">
        <v>2596</v>
      </c>
      <c r="I9527" t="s">
        <v>42199</v>
      </c>
      <c r="J9527" t="s">
        <v>42200</v>
      </c>
      <c r="K9527" t="s">
        <v>42201</v>
      </c>
      <c r="L9527" t="s">
        <v>42202</v>
      </c>
      <c r="M9527" t="s">
        <v>46</v>
      </c>
      <c r="N9527" t="s">
        <v>2637</v>
      </c>
      <c r="O9527" t="s">
        <v>42203</v>
      </c>
      <c r="P9527" t="s">
        <v>42204</v>
      </c>
      <c r="Q9527" t="s">
        <v>42205</v>
      </c>
      <c r="R9527">
        <v>38</v>
      </c>
      <c r="S9527">
        <v>64</v>
      </c>
    </row>
    <row r="9528" spans="1:19" x14ac:dyDescent="0.35">
      <c r="A9528">
        <v>7133</v>
      </c>
      <c r="B9528" t="s">
        <v>42185</v>
      </c>
      <c r="C9528" t="s">
        <v>42</v>
      </c>
      <c r="D9528" t="s">
        <v>42186</v>
      </c>
      <c r="E9528" t="e" cm="1">
        <f t="array" ref="E9528">- TIZANIDINE HYDROCHLORIDE</f>
        <v>#NAME?</v>
      </c>
      <c r="F9528" t="s">
        <v>42187</v>
      </c>
      <c r="G9528" t="s">
        <v>42188</v>
      </c>
      <c r="H9528" t="s">
        <v>42189</v>
      </c>
      <c r="I9528" t="s">
        <v>42190</v>
      </c>
      <c r="J9528" t="s">
        <v>381</v>
      </c>
      <c r="K9528" t="s">
        <v>42191</v>
      </c>
      <c r="L9528" t="s">
        <v>42192</v>
      </c>
      <c r="M9528" t="s">
        <v>46</v>
      </c>
      <c r="N9528" t="s">
        <v>1806</v>
      </c>
      <c r="O9528" t="s">
        <v>42193</v>
      </c>
      <c r="P9528" t="s">
        <v>42194</v>
      </c>
      <c r="Q9528" t="s">
        <v>42195</v>
      </c>
      <c r="R9528">
        <v>38</v>
      </c>
      <c r="S9528">
        <v>64</v>
      </c>
    </row>
    <row r="9529" spans="1:19" x14ac:dyDescent="0.35">
      <c r="A9529">
        <v>6523</v>
      </c>
      <c r="B9529" t="s">
        <v>42104</v>
      </c>
      <c r="C9529" t="s">
        <v>42</v>
      </c>
      <c r="D9529" t="s">
        <v>42105</v>
      </c>
      <c r="E9529" t="e" cm="1">
        <f t="array" ref="E9529">- SULFAMETHOXAZOLE. TRIMETHOPRIM</f>
        <v>#NAME?</v>
      </c>
      <c r="F9529" t="s">
        <v>42106</v>
      </c>
      <c r="G9529" t="s">
        <v>5033</v>
      </c>
      <c r="H9529" t="s">
        <v>42107</v>
      </c>
      <c r="I9529" t="s">
        <v>42108</v>
      </c>
      <c r="J9529" t="s">
        <v>42109</v>
      </c>
      <c r="K9529" t="s">
        <v>42110</v>
      </c>
      <c r="L9529" t="s">
        <v>42111</v>
      </c>
      <c r="M9529" t="s">
        <v>291</v>
      </c>
      <c r="N9529" t="s">
        <v>1379</v>
      </c>
      <c r="O9529" t="s">
        <v>42112</v>
      </c>
      <c r="P9529" t="s">
        <v>23853</v>
      </c>
      <c r="Q9529" t="s">
        <v>42206</v>
      </c>
      <c r="R9529">
        <v>38</v>
      </c>
      <c r="S9529">
        <v>64</v>
      </c>
    </row>
    <row r="9530" spans="1:19" x14ac:dyDescent="0.35">
      <c r="A9530">
        <v>5663</v>
      </c>
      <c r="B9530" t="s">
        <v>42207</v>
      </c>
      <c r="C9530" t="s">
        <v>42</v>
      </c>
      <c r="D9530" t="s">
        <v>42208</v>
      </c>
      <c r="E9530" t="e" cm="1">
        <f t="array" ref="E9530">- AZITHROMYCIN DIHYDRATE</f>
        <v>#NAME?</v>
      </c>
      <c r="F9530" s="1">
        <v>326200</v>
      </c>
      <c r="G9530" t="s">
        <v>2241</v>
      </c>
      <c r="H9530" t="s">
        <v>42209</v>
      </c>
      <c r="I9530" t="s">
        <v>42210</v>
      </c>
      <c r="J9530" t="s">
        <v>40324</v>
      </c>
      <c r="K9530" t="s">
        <v>42211</v>
      </c>
      <c r="L9530" t="s">
        <v>42212</v>
      </c>
    </row>
    <row r="9531" spans="1:19" x14ac:dyDescent="0.35">
      <c r="A9531">
        <v>8117</v>
      </c>
      <c r="B9531" t="s">
        <v>551</v>
      </c>
      <c r="C9531" t="s">
        <v>42</v>
      </c>
      <c r="D9531" t="s">
        <v>42213</v>
      </c>
      <c r="E9531" t="e" cm="1">
        <f t="array" ref="E9531">- POVIDONE-IODINE</f>
        <v>#NAME?</v>
      </c>
      <c r="F9531" s="1">
        <v>93400</v>
      </c>
      <c r="H9531" t="s">
        <v>42214</v>
      </c>
      <c r="I9531" t="s">
        <v>42215</v>
      </c>
      <c r="J9531" t="s">
        <v>42216</v>
      </c>
      <c r="L9531" t="s">
        <v>42217</v>
      </c>
      <c r="M9531" t="s">
        <v>554</v>
      </c>
      <c r="N9531" t="s">
        <v>555</v>
      </c>
      <c r="O9531" t="s">
        <v>42218</v>
      </c>
      <c r="P9531" t="s">
        <v>42219</v>
      </c>
      <c r="Q9531" t="s">
        <v>42220</v>
      </c>
      <c r="R9531">
        <v>38</v>
      </c>
      <c r="S9531">
        <v>64</v>
      </c>
    </row>
    <row r="9532" spans="1:19" x14ac:dyDescent="0.35">
      <c r="A9532">
        <v>3316</v>
      </c>
      <c r="B9532" t="s">
        <v>42221</v>
      </c>
      <c r="C9532" t="s">
        <v>42</v>
      </c>
      <c r="D9532" t="s">
        <v>42222</v>
      </c>
      <c r="E9532" t="e" cm="1">
        <f t="array" ref="E9532">- FAMOTIDINE</f>
        <v>#NAME?</v>
      </c>
      <c r="F9532" t="s">
        <v>20728</v>
      </c>
      <c r="G9532" t="s">
        <v>3083</v>
      </c>
      <c r="H9532" t="s">
        <v>42223</v>
      </c>
      <c r="I9532" t="s">
        <v>42224</v>
      </c>
      <c r="J9532" t="s">
        <v>42225</v>
      </c>
      <c r="K9532" t="s">
        <v>42226</v>
      </c>
      <c r="L9532" t="s">
        <v>42227</v>
      </c>
      <c r="M9532" t="s">
        <v>46</v>
      </c>
      <c r="N9532" t="s">
        <v>10675</v>
      </c>
      <c r="O9532" t="s">
        <v>42228</v>
      </c>
      <c r="P9532" t="s">
        <v>42229</v>
      </c>
      <c r="Q9532" t="s">
        <v>42230</v>
      </c>
      <c r="R9532">
        <v>38</v>
      </c>
      <c r="S9532">
        <v>64</v>
      </c>
    </row>
    <row r="9533" spans="1:19" x14ac:dyDescent="0.35">
      <c r="A9533">
        <v>8116</v>
      </c>
      <c r="B9533" t="s">
        <v>551</v>
      </c>
      <c r="C9533" t="s">
        <v>42</v>
      </c>
      <c r="D9533" t="s">
        <v>42213</v>
      </c>
      <c r="E9533" t="e" cm="1">
        <f t="array" ref="E9533">- POVIDONE-IODINE</f>
        <v>#NAME?</v>
      </c>
      <c r="F9533" s="1">
        <v>93400</v>
      </c>
      <c r="H9533" t="s">
        <v>42214</v>
      </c>
      <c r="I9533" t="s">
        <v>42215</v>
      </c>
      <c r="J9533" t="s">
        <v>42216</v>
      </c>
      <c r="L9533" t="s">
        <v>42217</v>
      </c>
      <c r="M9533" t="s">
        <v>554</v>
      </c>
      <c r="N9533" t="s">
        <v>555</v>
      </c>
      <c r="O9533" t="s">
        <v>42218</v>
      </c>
      <c r="P9533" t="s">
        <v>42219</v>
      </c>
      <c r="Q9533" t="s">
        <v>42220</v>
      </c>
      <c r="R9533">
        <v>38</v>
      </c>
      <c r="S9533">
        <v>64</v>
      </c>
    </row>
    <row r="9534" spans="1:19" x14ac:dyDescent="0.35">
      <c r="A9534">
        <v>6901</v>
      </c>
      <c r="B9534" t="s">
        <v>1803</v>
      </c>
      <c r="C9534" t="s">
        <v>42</v>
      </c>
      <c r="D9534" t="s">
        <v>42231</v>
      </c>
      <c r="E9534" t="e" cm="1">
        <f t="array" ref="E9534">- TIZANIDINE HYDROCHLORIDE</f>
        <v>#NAME?</v>
      </c>
      <c r="F9534" t="s">
        <v>42232</v>
      </c>
      <c r="G9534" t="s">
        <v>42233</v>
      </c>
      <c r="H9534" t="s">
        <v>42234</v>
      </c>
      <c r="I9534" t="s">
        <v>42235</v>
      </c>
      <c r="J9534" t="s">
        <v>599</v>
      </c>
      <c r="K9534" t="s">
        <v>42236</v>
      </c>
      <c r="L9534" t="s">
        <v>42237</v>
      </c>
      <c r="M9534" t="s">
        <v>46</v>
      </c>
      <c r="N9534" t="s">
        <v>1806</v>
      </c>
      <c r="O9534" t="s">
        <v>42238</v>
      </c>
      <c r="P9534" t="s">
        <v>42239</v>
      </c>
      <c r="Q9534" t="s">
        <v>42240</v>
      </c>
      <c r="R9534">
        <v>38</v>
      </c>
      <c r="S9534">
        <v>64</v>
      </c>
    </row>
    <row r="9535" spans="1:19" x14ac:dyDescent="0.35">
      <c r="A9535">
        <v>4800</v>
      </c>
      <c r="B9535" t="s">
        <v>42241</v>
      </c>
      <c r="C9535" t="s">
        <v>42</v>
      </c>
      <c r="D9535" t="s">
        <v>42242</v>
      </c>
      <c r="E9535" t="e" cm="1">
        <f t="array" ref="E9535">- PREDNISOLONE</f>
        <v>#NAME?</v>
      </c>
      <c r="F9535" t="s">
        <v>42243</v>
      </c>
      <c r="H9535" t="s">
        <v>42244</v>
      </c>
      <c r="I9535" t="s">
        <v>42245</v>
      </c>
      <c r="J9535" t="s">
        <v>7561</v>
      </c>
      <c r="L9535" t="s">
        <v>270</v>
      </c>
      <c r="M9535" t="s">
        <v>824</v>
      </c>
      <c r="N9535" t="s">
        <v>42246</v>
      </c>
      <c r="O9535" t="s">
        <v>42247</v>
      </c>
      <c r="P9535" t="s">
        <v>42248</v>
      </c>
      <c r="Q9535" t="s">
        <v>42249</v>
      </c>
      <c r="R9535">
        <v>38</v>
      </c>
      <c r="S9535">
        <v>64</v>
      </c>
    </row>
    <row r="9536" spans="1:19" x14ac:dyDescent="0.35">
      <c r="A9536">
        <v>3317</v>
      </c>
      <c r="B9536" t="s">
        <v>42221</v>
      </c>
      <c r="C9536" t="s">
        <v>42</v>
      </c>
      <c r="D9536" t="s">
        <v>42222</v>
      </c>
      <c r="E9536" t="e" cm="1">
        <f t="array" ref="E9536">- FAMOTIDINE</f>
        <v>#NAME?</v>
      </c>
      <c r="F9536" t="s">
        <v>20728</v>
      </c>
      <c r="G9536" t="s">
        <v>3083</v>
      </c>
      <c r="H9536" t="s">
        <v>42223</v>
      </c>
      <c r="I9536" t="s">
        <v>42224</v>
      </c>
      <c r="J9536" t="s">
        <v>42225</v>
      </c>
      <c r="K9536" t="s">
        <v>42226</v>
      </c>
      <c r="L9536" t="s">
        <v>42227</v>
      </c>
      <c r="M9536" t="s">
        <v>46</v>
      </c>
      <c r="N9536" t="s">
        <v>10675</v>
      </c>
      <c r="O9536" t="s">
        <v>42228</v>
      </c>
      <c r="P9536" t="s">
        <v>42229</v>
      </c>
      <c r="Q9536" t="s">
        <v>42230</v>
      </c>
      <c r="R9536">
        <v>38</v>
      </c>
      <c r="S9536">
        <v>64</v>
      </c>
    </row>
    <row r="9537" spans="1:19" x14ac:dyDescent="0.35">
      <c r="A9537">
        <v>6241</v>
      </c>
      <c r="B9537" t="s">
        <v>42250</v>
      </c>
      <c r="C9537" t="s">
        <v>42</v>
      </c>
      <c r="D9537" t="s">
        <v>42251</v>
      </c>
      <c r="E9537" t="e" cm="1">
        <f t="array" ref="E9537">- LINCOMYCIN HYDROCHLORIDE</f>
        <v>#NAME?</v>
      </c>
      <c r="F9537" t="s">
        <v>42252</v>
      </c>
      <c r="G9537" t="s">
        <v>5568</v>
      </c>
      <c r="H9537" t="s">
        <v>42253</v>
      </c>
      <c r="I9537" t="s">
        <v>42254</v>
      </c>
    </row>
    <row r="9538" spans="1:19" x14ac:dyDescent="0.35">
      <c r="A9538">
        <v>8520</v>
      </c>
      <c r="B9538" t="s">
        <v>551</v>
      </c>
      <c r="C9538" t="s">
        <v>42</v>
      </c>
      <c r="D9538" t="s">
        <v>42255</v>
      </c>
      <c r="E9538" t="e" cm="1">
        <f t="array" ref="E9538">- POVIDONE-IODINE</f>
        <v>#NAME?</v>
      </c>
      <c r="F9538" s="1">
        <v>1447600</v>
      </c>
      <c r="I9538" t="s">
        <v>42256</v>
      </c>
      <c r="J9538" t="s">
        <v>5484</v>
      </c>
      <c r="M9538" t="s">
        <v>554</v>
      </c>
      <c r="N9538" t="s">
        <v>555</v>
      </c>
      <c r="O9538" t="s">
        <v>42257</v>
      </c>
      <c r="P9538" t="s">
        <v>42258</v>
      </c>
      <c r="Q9538" t="s">
        <v>42259</v>
      </c>
      <c r="R9538">
        <v>38</v>
      </c>
      <c r="S9538">
        <v>64</v>
      </c>
    </row>
    <row r="9539" spans="1:19" x14ac:dyDescent="0.35">
      <c r="A9539">
        <v>5646</v>
      </c>
      <c r="B9539" t="s">
        <v>42260</v>
      </c>
      <c r="C9539" t="s">
        <v>42</v>
      </c>
      <c r="D9539" t="s">
        <v>42261</v>
      </c>
      <c r="E9539" t="e" cm="1">
        <f t="array" ref="E9539">- AZITHROMYCIN DIHYDRATE</f>
        <v>#NAME?</v>
      </c>
      <c r="F9539" t="s">
        <v>42262</v>
      </c>
      <c r="G9539" t="s">
        <v>6310</v>
      </c>
      <c r="H9539" t="s">
        <v>42209</v>
      </c>
      <c r="I9539" t="s">
        <v>42210</v>
      </c>
      <c r="J9539" t="s">
        <v>42263</v>
      </c>
      <c r="K9539" t="s">
        <v>42211</v>
      </c>
      <c r="L9539" t="s">
        <v>42212</v>
      </c>
    </row>
    <row r="9540" spans="1:19" x14ac:dyDescent="0.35">
      <c r="A9540">
        <v>4802</v>
      </c>
      <c r="B9540" t="s">
        <v>42241</v>
      </c>
      <c r="C9540" t="s">
        <v>42</v>
      </c>
      <c r="D9540" t="s">
        <v>42242</v>
      </c>
      <c r="E9540" t="e" cm="1">
        <f t="array" ref="E9540">- PREDNISOLONE</f>
        <v>#NAME?</v>
      </c>
      <c r="F9540" t="s">
        <v>42243</v>
      </c>
      <c r="H9540" t="s">
        <v>42244</v>
      </c>
      <c r="I9540" t="s">
        <v>42245</v>
      </c>
      <c r="J9540" t="s">
        <v>7561</v>
      </c>
      <c r="L9540" t="s">
        <v>270</v>
      </c>
      <c r="M9540" t="s">
        <v>824</v>
      </c>
      <c r="N9540" t="s">
        <v>42246</v>
      </c>
      <c r="O9540" t="s">
        <v>42247</v>
      </c>
      <c r="P9540" t="s">
        <v>42248</v>
      </c>
      <c r="Q9540" t="s">
        <v>42249</v>
      </c>
      <c r="R9540">
        <v>38</v>
      </c>
      <c r="S9540">
        <v>64</v>
      </c>
    </row>
    <row r="9541" spans="1:19" x14ac:dyDescent="0.35">
      <c r="A9541">
        <v>5652</v>
      </c>
      <c r="B9541" t="s">
        <v>42264</v>
      </c>
      <c r="C9541" t="s">
        <v>42</v>
      </c>
      <c r="D9541" t="s">
        <v>42265</v>
      </c>
      <c r="E9541" t="e" cm="1">
        <f t="array" ref="E9541">- AZITHROMYCIN DIHYDRATE</f>
        <v>#NAME?</v>
      </c>
      <c r="F9541" t="s">
        <v>42266</v>
      </c>
      <c r="G9541" t="s">
        <v>42267</v>
      </c>
      <c r="H9541" t="s">
        <v>42209</v>
      </c>
      <c r="I9541" t="s">
        <v>42210</v>
      </c>
      <c r="J9541" t="s">
        <v>4201</v>
      </c>
      <c r="K9541" t="s">
        <v>42211</v>
      </c>
      <c r="L9541" t="s">
        <v>42268</v>
      </c>
    </row>
    <row r="9542" spans="1:19" x14ac:dyDescent="0.35">
      <c r="A9542">
        <v>7773</v>
      </c>
      <c r="B9542" t="s">
        <v>7898</v>
      </c>
      <c r="C9542" t="s">
        <v>20</v>
      </c>
      <c r="D9542" t="s">
        <v>42269</v>
      </c>
      <c r="E9542" t="s">
        <v>7900</v>
      </c>
      <c r="F9542" t="s">
        <v>42270</v>
      </c>
      <c r="G9542" t="s">
        <v>25763</v>
      </c>
      <c r="H9542" t="s">
        <v>42271</v>
      </c>
      <c r="I9542" t="s">
        <v>42272</v>
      </c>
      <c r="J9542" t="s">
        <v>31731</v>
      </c>
      <c r="N9542" t="s">
        <v>7902</v>
      </c>
      <c r="O9542" t="s">
        <v>42273</v>
      </c>
      <c r="P9542" t="s">
        <v>42274</v>
      </c>
      <c r="Q9542" t="s">
        <v>42275</v>
      </c>
      <c r="R9542">
        <v>38</v>
      </c>
      <c r="S9542">
        <v>64</v>
      </c>
    </row>
    <row r="9543" spans="1:19" x14ac:dyDescent="0.35">
      <c r="A9543">
        <v>8521</v>
      </c>
      <c r="B9543" t="s">
        <v>551</v>
      </c>
      <c r="C9543" t="s">
        <v>42</v>
      </c>
      <c r="D9543" t="s">
        <v>42255</v>
      </c>
      <c r="E9543" t="e" cm="1">
        <f t="array" ref="E9543">- POVIDONE-IODINE</f>
        <v>#NAME?</v>
      </c>
      <c r="F9543" s="1">
        <v>1447600</v>
      </c>
      <c r="I9543" t="s">
        <v>42256</v>
      </c>
      <c r="J9543" t="s">
        <v>5484</v>
      </c>
      <c r="M9543" t="s">
        <v>554</v>
      </c>
      <c r="N9543" t="s">
        <v>555</v>
      </c>
      <c r="O9543" t="s">
        <v>42257</v>
      </c>
      <c r="P9543" t="s">
        <v>42258</v>
      </c>
      <c r="Q9543" t="s">
        <v>42259</v>
      </c>
      <c r="R9543">
        <v>38</v>
      </c>
      <c r="S9543">
        <v>64</v>
      </c>
    </row>
    <row r="9544" spans="1:19" x14ac:dyDescent="0.35">
      <c r="A9544">
        <v>4801</v>
      </c>
      <c r="B9544" t="s">
        <v>42241</v>
      </c>
      <c r="C9544" t="s">
        <v>42</v>
      </c>
      <c r="D9544" t="s">
        <v>42242</v>
      </c>
      <c r="E9544" t="e" cm="1">
        <f t="array" ref="E9544">- PREDNISOLONE</f>
        <v>#NAME?</v>
      </c>
      <c r="F9544" t="s">
        <v>42243</v>
      </c>
      <c r="H9544" t="s">
        <v>42244</v>
      </c>
      <c r="I9544" t="s">
        <v>42245</v>
      </c>
      <c r="J9544" t="s">
        <v>7561</v>
      </c>
      <c r="L9544" t="s">
        <v>270</v>
      </c>
      <c r="M9544" t="s">
        <v>824</v>
      </c>
      <c r="N9544" t="s">
        <v>42246</v>
      </c>
      <c r="O9544" t="s">
        <v>42247</v>
      </c>
      <c r="P9544" t="s">
        <v>42248</v>
      </c>
      <c r="Q9544" t="s">
        <v>42249</v>
      </c>
      <c r="R9544">
        <v>38</v>
      </c>
      <c r="S9544">
        <v>64</v>
      </c>
    </row>
    <row r="9545" spans="1:19" x14ac:dyDescent="0.35">
      <c r="A9545">
        <v>6525</v>
      </c>
      <c r="B9545" t="s">
        <v>42276</v>
      </c>
      <c r="C9545" t="s">
        <v>42</v>
      </c>
      <c r="D9545" t="s">
        <v>42277</v>
      </c>
      <c r="E9545" t="e" cm="1">
        <f t="array" ref="E9545">- SULFAMETHOXAZOLE. TRIMETHOPRIM</f>
        <v>#NAME?</v>
      </c>
      <c r="F9545" t="s">
        <v>31969</v>
      </c>
      <c r="G9545" t="s">
        <v>5033</v>
      </c>
      <c r="H9545" t="s">
        <v>42107</v>
      </c>
      <c r="I9545" t="s">
        <v>42108</v>
      </c>
      <c r="J9545" t="s">
        <v>42278</v>
      </c>
      <c r="K9545" t="s">
        <v>42110</v>
      </c>
      <c r="L9545" t="s">
        <v>42279</v>
      </c>
      <c r="M9545" t="s">
        <v>291</v>
      </c>
      <c r="N9545" t="s">
        <v>1379</v>
      </c>
      <c r="O9545" t="s">
        <v>42112</v>
      </c>
      <c r="P9545" t="s">
        <v>42280</v>
      </c>
      <c r="Q9545" t="s">
        <v>42281</v>
      </c>
      <c r="R9545">
        <v>39</v>
      </c>
      <c r="S9545">
        <v>64</v>
      </c>
    </row>
    <row r="9546" spans="1:19" x14ac:dyDescent="0.35">
      <c r="A9546">
        <v>4803</v>
      </c>
      <c r="B9546" t="s">
        <v>42282</v>
      </c>
      <c r="C9546" t="s">
        <v>42</v>
      </c>
      <c r="D9546" t="s">
        <v>42283</v>
      </c>
      <c r="E9546" t="e" cm="1">
        <f t="array" ref="E9546">- HYDROCORTISONE ACETATE</f>
        <v>#NAME?</v>
      </c>
      <c r="F9546" t="s">
        <v>42284</v>
      </c>
      <c r="G9546" t="s">
        <v>7569</v>
      </c>
      <c r="H9546" t="s">
        <v>42285</v>
      </c>
      <c r="I9546" t="s">
        <v>42286</v>
      </c>
      <c r="J9546" t="s">
        <v>11321</v>
      </c>
      <c r="L9546" t="s">
        <v>270</v>
      </c>
      <c r="M9546" t="s">
        <v>1029</v>
      </c>
      <c r="N9546" t="s">
        <v>7168</v>
      </c>
      <c r="O9546" t="s">
        <v>42287</v>
      </c>
      <c r="P9546" t="s">
        <v>42288</v>
      </c>
      <c r="Q9546" t="s">
        <v>42289</v>
      </c>
      <c r="R9546">
        <v>39</v>
      </c>
      <c r="S9546">
        <v>64</v>
      </c>
    </row>
    <row r="9547" spans="1:19" x14ac:dyDescent="0.35">
      <c r="A9547">
        <v>7918</v>
      </c>
      <c r="B9547" t="s">
        <v>42290</v>
      </c>
      <c r="C9547" t="s">
        <v>20</v>
      </c>
      <c r="D9547" t="s">
        <v>42291</v>
      </c>
      <c r="E9547" t="s">
        <v>42292</v>
      </c>
      <c r="F9547" t="s">
        <v>42293</v>
      </c>
      <c r="I9547" t="s">
        <v>42294</v>
      </c>
      <c r="J9547" t="s">
        <v>8233</v>
      </c>
      <c r="M9547" t="s">
        <v>38</v>
      </c>
      <c r="N9547" t="s">
        <v>42295</v>
      </c>
      <c r="O9547" t="s">
        <v>42296</v>
      </c>
      <c r="P9547" t="s">
        <v>42297</v>
      </c>
      <c r="Q9547" t="s">
        <v>42298</v>
      </c>
      <c r="R9547">
        <v>39</v>
      </c>
      <c r="S9547">
        <v>64</v>
      </c>
    </row>
    <row r="9548" spans="1:19" x14ac:dyDescent="0.35">
      <c r="A9548">
        <v>7304</v>
      </c>
      <c r="B9548" t="s">
        <v>42299</v>
      </c>
      <c r="C9548" t="s">
        <v>42</v>
      </c>
      <c r="D9548" t="s">
        <v>42300</v>
      </c>
      <c r="E9548" t="e" cm="1">
        <f t="array" ref="E9548">- LYSINE ACETATE. HISTIDINE. ALPHA-KETO-ISOLEUCIN CALCIUM. ALPHA-KETO-PHENYLALANINE CALCIUM. ALPHA-KETO-VALINE CALCIUM. ALPHA-HYDROXY METHIONINE CALCIUM. TRYPTOPHAN. THREONINE. TYROSINE. ALPHA-KETO-LEUCINE CALCIUM</f>
        <v>#NAME?</v>
      </c>
      <c r="F9548" t="s">
        <v>42301</v>
      </c>
      <c r="G9548" t="s">
        <v>42302</v>
      </c>
      <c r="H9548" t="s">
        <v>42303</v>
      </c>
      <c r="I9548" t="s">
        <v>42304</v>
      </c>
      <c r="J9548" t="s">
        <v>42305</v>
      </c>
      <c r="K9548" t="s">
        <v>42306</v>
      </c>
      <c r="L9548" t="s">
        <v>42307</v>
      </c>
      <c r="M9548" t="s">
        <v>291</v>
      </c>
      <c r="N9548" t="s">
        <v>42308</v>
      </c>
      <c r="O9548" t="s">
        <v>42309</v>
      </c>
      <c r="P9548" t="s">
        <v>42310</v>
      </c>
      <c r="Q9548" t="s">
        <v>42311</v>
      </c>
      <c r="R9548">
        <v>39</v>
      </c>
      <c r="S9548">
        <v>64</v>
      </c>
    </row>
    <row r="9549" spans="1:19" x14ac:dyDescent="0.35">
      <c r="A9549">
        <v>7403</v>
      </c>
      <c r="B9549" t="s">
        <v>42312</v>
      </c>
      <c r="C9549" t="s">
        <v>42</v>
      </c>
      <c r="D9549" t="s">
        <v>42313</v>
      </c>
      <c r="E9549" t="e" cm="1">
        <f t="array" ref="E9549">- CYANOCOBALAMIN</f>
        <v>#NAME?</v>
      </c>
      <c r="F9549" t="s">
        <v>42314</v>
      </c>
      <c r="G9549" t="s">
        <v>18386</v>
      </c>
      <c r="H9549" t="s">
        <v>42315</v>
      </c>
      <c r="I9549" t="s">
        <v>42316</v>
      </c>
      <c r="J9549" t="s">
        <v>20005</v>
      </c>
      <c r="K9549" t="s">
        <v>2858</v>
      </c>
      <c r="L9549" t="s">
        <v>42317</v>
      </c>
      <c r="M9549" t="s">
        <v>46</v>
      </c>
      <c r="N9549" t="s">
        <v>677</v>
      </c>
      <c r="O9549" t="s">
        <v>42318</v>
      </c>
      <c r="P9549" t="s">
        <v>42319</v>
      </c>
      <c r="Q9549" t="s">
        <v>42320</v>
      </c>
      <c r="R9549">
        <v>39</v>
      </c>
      <c r="S9549">
        <v>64</v>
      </c>
    </row>
    <row r="9550" spans="1:19" x14ac:dyDescent="0.35">
      <c r="A9550">
        <v>5651</v>
      </c>
      <c r="B9550" t="s">
        <v>42264</v>
      </c>
      <c r="C9550" t="s">
        <v>42</v>
      </c>
      <c r="D9550" t="s">
        <v>42265</v>
      </c>
      <c r="E9550" t="e" cm="1">
        <f t="array" ref="E9550">- KOMBINASI-AZITHROMYCIN DIHYDRATE COATED</f>
        <v>#NAME?</v>
      </c>
      <c r="F9550" t="s">
        <v>42266</v>
      </c>
      <c r="G9550" t="s">
        <v>42267</v>
      </c>
      <c r="H9550" t="s">
        <v>42209</v>
      </c>
      <c r="I9550" t="s">
        <v>42210</v>
      </c>
      <c r="J9550" t="s">
        <v>4201</v>
      </c>
      <c r="K9550" t="s">
        <v>42211</v>
      </c>
      <c r="L9550" t="s">
        <v>42268</v>
      </c>
    </row>
    <row r="9551" spans="1:19" x14ac:dyDescent="0.35">
      <c r="A9551">
        <v>5650</v>
      </c>
      <c r="B9551" t="s">
        <v>42264</v>
      </c>
      <c r="C9551" t="s">
        <v>42</v>
      </c>
      <c r="D9551" t="s">
        <v>42265</v>
      </c>
      <c r="E9551" t="e" cm="1">
        <f t="array" ref="E9551">- KOMBINASI-AZITHROMYCIN DIHYDRATE COATED</f>
        <v>#NAME?</v>
      </c>
      <c r="F9551" t="s">
        <v>42266</v>
      </c>
      <c r="G9551" t="s">
        <v>42267</v>
      </c>
      <c r="H9551" t="s">
        <v>42209</v>
      </c>
      <c r="I9551" t="s">
        <v>42210</v>
      </c>
      <c r="J9551" t="s">
        <v>4201</v>
      </c>
      <c r="K9551" t="s">
        <v>42211</v>
      </c>
      <c r="L9551" t="s">
        <v>42268</v>
      </c>
    </row>
    <row r="9552" spans="1:19" x14ac:dyDescent="0.35">
      <c r="A9552">
        <v>1646</v>
      </c>
      <c r="B9552" t="s">
        <v>42321</v>
      </c>
      <c r="C9552" t="s">
        <v>42</v>
      </c>
      <c r="D9552" t="s">
        <v>42322</v>
      </c>
      <c r="E9552" t="e" cm="1">
        <f t="array" ref="E9552">- ACETYLCYSTEINE</f>
        <v>#NAME?</v>
      </c>
      <c r="F9552" t="s">
        <v>42323</v>
      </c>
      <c r="G9552" t="s">
        <v>42324</v>
      </c>
      <c r="H9552" t="s">
        <v>42325</v>
      </c>
      <c r="I9552" t="s">
        <v>42326</v>
      </c>
      <c r="J9552" t="s">
        <v>42327</v>
      </c>
      <c r="K9552" t="s">
        <v>3952</v>
      </c>
      <c r="L9552" t="s">
        <v>42328</v>
      </c>
      <c r="M9552" t="s">
        <v>46</v>
      </c>
      <c r="N9552" t="s">
        <v>9045</v>
      </c>
      <c r="O9552" t="s">
        <v>42329</v>
      </c>
      <c r="P9552" t="s">
        <v>42330</v>
      </c>
      <c r="Q9552" t="s">
        <v>42331</v>
      </c>
      <c r="R9552">
        <v>39</v>
      </c>
      <c r="S9552">
        <v>64</v>
      </c>
    </row>
    <row r="9553" spans="1:19" x14ac:dyDescent="0.35">
      <c r="A9553">
        <v>1786</v>
      </c>
      <c r="B9553" t="s">
        <v>13250</v>
      </c>
      <c r="C9553" t="s">
        <v>850</v>
      </c>
      <c r="D9553" t="s">
        <v>42332</v>
      </c>
      <c r="E9553" t="e" cm="1">
        <f t="array" ref="E9553">- Lemon Oil</f>
        <v>#NAME?</v>
      </c>
      <c r="F9553" s="1">
        <v>14700</v>
      </c>
      <c r="G9553" t="s">
        <v>42333</v>
      </c>
      <c r="H9553" t="s">
        <v>9172</v>
      </c>
      <c r="I9553" t="s">
        <v>42334</v>
      </c>
      <c r="J9553" t="s">
        <v>42335</v>
      </c>
      <c r="K9553" t="s">
        <v>3952</v>
      </c>
      <c r="L9553" t="s">
        <v>42336</v>
      </c>
      <c r="M9553" t="s">
        <v>3338</v>
      </c>
      <c r="N9553" t="s">
        <v>13251</v>
      </c>
      <c r="O9553" t="s">
        <v>42337</v>
      </c>
      <c r="P9553" t="s">
        <v>42338</v>
      </c>
      <c r="Q9553" t="s">
        <v>42339</v>
      </c>
      <c r="R9553">
        <v>39</v>
      </c>
      <c r="S9553">
        <v>64</v>
      </c>
    </row>
    <row r="9554" spans="1:19" x14ac:dyDescent="0.35">
      <c r="A9554">
        <v>10038</v>
      </c>
      <c r="B9554" t="s">
        <v>42340</v>
      </c>
      <c r="C9554" t="s">
        <v>20</v>
      </c>
      <c r="D9554" t="s">
        <v>42341</v>
      </c>
      <c r="E9554" t="s">
        <v>42342</v>
      </c>
      <c r="F9554" t="s">
        <v>42343</v>
      </c>
      <c r="G9554" t="s">
        <v>2241</v>
      </c>
      <c r="H9554" t="s">
        <v>17987</v>
      </c>
      <c r="I9554" t="s">
        <v>42344</v>
      </c>
      <c r="J9554" t="s">
        <v>5284</v>
      </c>
      <c r="M9554" t="s">
        <v>38</v>
      </c>
      <c r="N9554" t="s">
        <v>42345</v>
      </c>
      <c r="O9554" t="s">
        <v>42346</v>
      </c>
      <c r="P9554" t="s">
        <v>42345</v>
      </c>
      <c r="Q9554" t="s">
        <v>42347</v>
      </c>
      <c r="R9554">
        <v>39</v>
      </c>
      <c r="S9554">
        <v>64</v>
      </c>
    </row>
    <row r="9555" spans="1:19" x14ac:dyDescent="0.35">
      <c r="A9555">
        <v>9352</v>
      </c>
      <c r="B9555" t="s">
        <v>6301</v>
      </c>
      <c r="C9555" t="s">
        <v>42</v>
      </c>
      <c r="D9555" t="s">
        <v>42348</v>
      </c>
      <c r="E9555" t="s">
        <v>6303</v>
      </c>
      <c r="F9555" t="s">
        <v>42349</v>
      </c>
      <c r="G9555" t="s">
        <v>40510</v>
      </c>
      <c r="H9555" t="s">
        <v>1322</v>
      </c>
      <c r="I9555" t="s">
        <v>42350</v>
      </c>
      <c r="J9555" t="s">
        <v>12671</v>
      </c>
      <c r="L9555" t="s">
        <v>39884</v>
      </c>
      <c r="M9555" t="s">
        <v>46</v>
      </c>
      <c r="N9555" t="s">
        <v>6304</v>
      </c>
      <c r="O9555" t="s">
        <v>42351</v>
      </c>
      <c r="P9555" t="s">
        <v>42352</v>
      </c>
      <c r="Q9555" t="s">
        <v>42353</v>
      </c>
      <c r="R9555">
        <v>39</v>
      </c>
      <c r="S9555">
        <v>64</v>
      </c>
    </row>
    <row r="9556" spans="1:19" x14ac:dyDescent="0.35">
      <c r="A9556">
        <v>9353</v>
      </c>
      <c r="B9556" t="s">
        <v>6301</v>
      </c>
      <c r="C9556" t="s">
        <v>42</v>
      </c>
      <c r="D9556" t="s">
        <v>42354</v>
      </c>
      <c r="E9556" t="s">
        <v>6303</v>
      </c>
      <c r="F9556" t="s">
        <v>42355</v>
      </c>
      <c r="G9556" t="s">
        <v>40510</v>
      </c>
      <c r="H9556" t="s">
        <v>1322</v>
      </c>
      <c r="I9556" t="s">
        <v>42350</v>
      </c>
      <c r="J9556" t="s">
        <v>12671</v>
      </c>
      <c r="L9556" t="s">
        <v>39884</v>
      </c>
      <c r="M9556" t="s">
        <v>46</v>
      </c>
      <c r="N9556" t="s">
        <v>6304</v>
      </c>
      <c r="O9556" t="s">
        <v>42351</v>
      </c>
      <c r="P9556" t="s">
        <v>42356</v>
      </c>
      <c r="Q9556" t="s">
        <v>42357</v>
      </c>
      <c r="R9556">
        <v>39</v>
      </c>
      <c r="S9556">
        <v>64</v>
      </c>
    </row>
    <row r="9557" spans="1:19" x14ac:dyDescent="0.35">
      <c r="A9557">
        <v>7621</v>
      </c>
      <c r="B9557" t="s">
        <v>42358</v>
      </c>
      <c r="C9557" t="s">
        <v>42</v>
      </c>
      <c r="D9557" t="s">
        <v>42359</v>
      </c>
      <c r="E9557" t="e" cm="1">
        <f t="array" ref="E9557">- THIAMINE NITRATE. RIBOFLAVIN. PYRIDOXINE HYDROCHLORIDE. CYANOCOBALAMIN. KOMBINASI-NUTRIPANZYME FORTE. DEOXYCHOLIC ACID. DIMETICONE. CALCIUM PANTOTHENATE. NICOTINAMIDE</f>
        <v>#NAME?</v>
      </c>
      <c r="F9557" t="s">
        <v>42360</v>
      </c>
      <c r="G9557" t="s">
        <v>42361</v>
      </c>
      <c r="H9557" t="s">
        <v>8471</v>
      </c>
      <c r="I9557" t="s">
        <v>42362</v>
      </c>
      <c r="J9557" t="s">
        <v>42363</v>
      </c>
      <c r="K9557" t="s">
        <v>42364</v>
      </c>
      <c r="L9557" t="s">
        <v>42365</v>
      </c>
      <c r="M9557" t="s">
        <v>46</v>
      </c>
      <c r="N9557" t="s">
        <v>42366</v>
      </c>
      <c r="O9557" t="s">
        <v>42367</v>
      </c>
      <c r="P9557" t="s">
        <v>42368</v>
      </c>
      <c r="Q9557" t="s">
        <v>42369</v>
      </c>
      <c r="R9557">
        <v>40</v>
      </c>
      <c r="S9557">
        <v>64</v>
      </c>
    </row>
    <row r="9558" spans="1:19" x14ac:dyDescent="0.35">
      <c r="A9558">
        <v>1647</v>
      </c>
      <c r="B9558" t="s">
        <v>42321</v>
      </c>
      <c r="C9558" t="s">
        <v>42</v>
      </c>
      <c r="D9558" t="s">
        <v>42322</v>
      </c>
      <c r="E9558" t="e" cm="1">
        <f t="array" ref="E9558">- ACETYL CYSTEINE</f>
        <v>#NAME?</v>
      </c>
      <c r="F9558" t="s">
        <v>42323</v>
      </c>
      <c r="G9558" t="s">
        <v>42324</v>
      </c>
      <c r="H9558" t="s">
        <v>42325</v>
      </c>
      <c r="I9558" t="s">
        <v>42326</v>
      </c>
      <c r="J9558" t="s">
        <v>42327</v>
      </c>
      <c r="K9558" t="s">
        <v>3952</v>
      </c>
      <c r="L9558" t="s">
        <v>42328</v>
      </c>
      <c r="M9558" t="s">
        <v>46</v>
      </c>
      <c r="N9558" t="s">
        <v>1309</v>
      </c>
      <c r="O9558" t="s">
        <v>42329</v>
      </c>
      <c r="P9558" t="s">
        <v>42330</v>
      </c>
      <c r="Q9558" t="s">
        <v>42370</v>
      </c>
      <c r="R9558">
        <v>40</v>
      </c>
      <c r="S9558">
        <v>64</v>
      </c>
    </row>
    <row r="9559" spans="1:19" x14ac:dyDescent="0.35">
      <c r="A9559">
        <v>5903</v>
      </c>
      <c r="B9559" t="s">
        <v>41801</v>
      </c>
      <c r="C9559" t="s">
        <v>42</v>
      </c>
      <c r="D9559" t="s">
        <v>41802</v>
      </c>
      <c r="E9559" t="e" cm="1">
        <f t="array" ref="E9559">- AMOXICILLIN TRIHYDRATE. KOMBINASI-POTASSIUM CLAVULANATE WITH SILICON DIOXIDE</f>
        <v>#NAME?</v>
      </c>
      <c r="F9559" t="s">
        <v>41803</v>
      </c>
      <c r="G9559" t="s">
        <v>1691</v>
      </c>
      <c r="H9559" t="s">
        <v>41804</v>
      </c>
      <c r="I9559" t="s">
        <v>41805</v>
      </c>
      <c r="J9559" t="s">
        <v>334</v>
      </c>
      <c r="K9559" t="s">
        <v>41806</v>
      </c>
      <c r="L9559" t="s">
        <v>41807</v>
      </c>
      <c r="M9559" t="s">
        <v>271</v>
      </c>
      <c r="N9559" t="s">
        <v>42371</v>
      </c>
      <c r="O9559" t="s">
        <v>41808</v>
      </c>
      <c r="P9559" t="s">
        <v>41809</v>
      </c>
      <c r="Q9559" t="s">
        <v>42372</v>
      </c>
      <c r="R9559">
        <v>40</v>
      </c>
      <c r="S9559">
        <v>64</v>
      </c>
    </row>
    <row r="9560" spans="1:19" x14ac:dyDescent="0.35">
      <c r="A9560">
        <v>6112</v>
      </c>
      <c r="B9560" t="s">
        <v>42373</v>
      </c>
      <c r="C9560" t="s">
        <v>42</v>
      </c>
      <c r="D9560" t="s">
        <v>42374</v>
      </c>
      <c r="E9560" t="e" cm="1">
        <f t="array" ref="E9560">- DOXYCYCLINE HYDROCHLORIDE</f>
        <v>#NAME?</v>
      </c>
      <c r="F9560" t="s">
        <v>42375</v>
      </c>
      <c r="G9560" t="s">
        <v>2241</v>
      </c>
      <c r="H9560" t="s">
        <v>42376</v>
      </c>
    </row>
    <row r="9561" spans="1:19" x14ac:dyDescent="0.35">
      <c r="A9561">
        <v>6111</v>
      </c>
      <c r="B9561" t="s">
        <v>42373</v>
      </c>
      <c r="C9561" t="s">
        <v>42</v>
      </c>
      <c r="D9561" t="s">
        <v>42374</v>
      </c>
      <c r="E9561" t="e" cm="1">
        <f t="array" ref="E9561">- DOXYCYCLINE HYCLATE</f>
        <v>#NAME?</v>
      </c>
      <c r="F9561" t="s">
        <v>42375</v>
      </c>
      <c r="G9561" t="s">
        <v>2241</v>
      </c>
      <c r="H9561" t="s">
        <v>42376</v>
      </c>
    </row>
    <row r="9562" spans="1:19" x14ac:dyDescent="0.35">
      <c r="A9562">
        <v>5771</v>
      </c>
      <c r="B9562" t="s">
        <v>42377</v>
      </c>
      <c r="C9562" t="s">
        <v>42</v>
      </c>
      <c r="D9562" t="s">
        <v>42378</v>
      </c>
      <c r="E9562" t="e" cm="1">
        <f t="array" ref="E9562">- DOXYCYCLINE HYDROCHLORIDE</f>
        <v>#NAME?</v>
      </c>
      <c r="F9562" t="s">
        <v>42379</v>
      </c>
      <c r="G9562" t="s">
        <v>2241</v>
      </c>
      <c r="H9562" t="s">
        <v>42376</v>
      </c>
    </row>
    <row r="9563" spans="1:19" x14ac:dyDescent="0.35">
      <c r="A9563">
        <v>7620</v>
      </c>
      <c r="B9563" t="s">
        <v>42358</v>
      </c>
      <c r="C9563" t="s">
        <v>42</v>
      </c>
      <c r="D9563" t="s">
        <v>42359</v>
      </c>
      <c r="E9563" t="e" cm="1">
        <f t="array" ref="E9563">- CYANOCOBALAMIN. NICOTINAMIDE. KOMBINASI-NUTRIPANZYME FORTE. CALCIUM PANTOTHENATE. THIAMINE MONONITRATE. RIBOFLAVIN. PYRIDOXINE HYDROCHLORIDE. DEOXYCHOLIC ACID. DIMETICONE</f>
        <v>#NAME?</v>
      </c>
      <c r="F9563" t="s">
        <v>42360</v>
      </c>
      <c r="G9563" t="s">
        <v>42361</v>
      </c>
      <c r="H9563" t="s">
        <v>8471</v>
      </c>
      <c r="I9563" t="s">
        <v>42362</v>
      </c>
      <c r="J9563" t="s">
        <v>42363</v>
      </c>
      <c r="K9563" t="s">
        <v>42364</v>
      </c>
      <c r="L9563" t="s">
        <v>42365</v>
      </c>
      <c r="M9563" t="s">
        <v>46</v>
      </c>
      <c r="N9563" t="s">
        <v>42380</v>
      </c>
      <c r="O9563" t="s">
        <v>42367</v>
      </c>
      <c r="P9563" t="s">
        <v>42368</v>
      </c>
      <c r="Q9563" t="s">
        <v>42381</v>
      </c>
      <c r="R9563">
        <v>40</v>
      </c>
      <c r="S9563">
        <v>64</v>
      </c>
    </row>
    <row r="9564" spans="1:19" x14ac:dyDescent="0.35">
      <c r="A9564">
        <v>5280</v>
      </c>
      <c r="B9564" t="s">
        <v>42382</v>
      </c>
      <c r="C9564" t="s">
        <v>42</v>
      </c>
      <c r="D9564" t="s">
        <v>42383</v>
      </c>
      <c r="E9564" t="e" cm="1">
        <f t="array" ref="E9564">- TERBINAFINE HYDROCHLORIDE</f>
        <v>#NAME?</v>
      </c>
      <c r="F9564" t="s">
        <v>42384</v>
      </c>
      <c r="G9564" t="s">
        <v>11887</v>
      </c>
      <c r="H9564" t="s">
        <v>42385</v>
      </c>
      <c r="I9564" t="s">
        <v>42386</v>
      </c>
      <c r="J9564" t="s">
        <v>7123</v>
      </c>
      <c r="K9564" t="s">
        <v>42387</v>
      </c>
      <c r="L9564" t="s">
        <v>42388</v>
      </c>
      <c r="M9564" t="s">
        <v>1289</v>
      </c>
      <c r="N9564" t="s">
        <v>7083</v>
      </c>
      <c r="O9564" t="s">
        <v>42389</v>
      </c>
      <c r="P9564" t="s">
        <v>42390</v>
      </c>
      <c r="Q9564" t="s">
        <v>42391</v>
      </c>
      <c r="R9564">
        <v>40</v>
      </c>
      <c r="S9564">
        <v>64</v>
      </c>
    </row>
    <row r="9565" spans="1:19" x14ac:dyDescent="0.35">
      <c r="A9565">
        <v>5597</v>
      </c>
      <c r="B9565" t="s">
        <v>42392</v>
      </c>
      <c r="C9565" t="s">
        <v>42</v>
      </c>
      <c r="D9565" t="s">
        <v>42393</v>
      </c>
      <c r="E9565" t="e" cm="1">
        <f t="array" ref="E9565">- DOXYCYCLINE HYCLATE</f>
        <v>#NAME?</v>
      </c>
      <c r="F9565" t="s">
        <v>42394</v>
      </c>
      <c r="G9565" t="s">
        <v>2241</v>
      </c>
      <c r="H9565" t="s">
        <v>42376</v>
      </c>
    </row>
    <row r="9566" spans="1:19" x14ac:dyDescent="0.35">
      <c r="A9566">
        <v>5708</v>
      </c>
      <c r="B9566" t="s">
        <v>42395</v>
      </c>
      <c r="C9566" t="s">
        <v>42</v>
      </c>
      <c r="D9566" t="s">
        <v>42396</v>
      </c>
      <c r="E9566" t="e" cm="1">
        <f t="array" ref="E9566">- DOXYCYCLINE HYDROCHLORIDE</f>
        <v>#NAME?</v>
      </c>
      <c r="F9566" t="s">
        <v>42397</v>
      </c>
      <c r="G9566" t="s">
        <v>2241</v>
      </c>
      <c r="H9566" t="s">
        <v>42376</v>
      </c>
    </row>
    <row r="9567" spans="1:19" x14ac:dyDescent="0.35">
      <c r="A9567">
        <v>5715</v>
      </c>
      <c r="B9567" t="s">
        <v>42398</v>
      </c>
      <c r="C9567" t="s">
        <v>42</v>
      </c>
      <c r="D9567" t="s">
        <v>42399</v>
      </c>
      <c r="E9567" t="e" cm="1">
        <f t="array" ref="E9567">- DOXYCYCLINE HYCLATE</f>
        <v>#NAME?</v>
      </c>
      <c r="F9567" t="s">
        <v>42400</v>
      </c>
      <c r="G9567" t="s">
        <v>2241</v>
      </c>
      <c r="H9567" t="s">
        <v>42376</v>
      </c>
    </row>
    <row r="9568" spans="1:19" x14ac:dyDescent="0.35">
      <c r="A9568">
        <v>5716</v>
      </c>
      <c r="B9568" t="s">
        <v>42398</v>
      </c>
      <c r="C9568" t="s">
        <v>42</v>
      </c>
      <c r="D9568" t="s">
        <v>42399</v>
      </c>
      <c r="E9568" t="e" cm="1">
        <f t="array" ref="E9568">- DOXYCYCLINE HYDROCHLORIDE</f>
        <v>#NAME?</v>
      </c>
      <c r="F9568" t="s">
        <v>42400</v>
      </c>
      <c r="G9568" t="s">
        <v>2241</v>
      </c>
      <c r="H9568" t="s">
        <v>42376</v>
      </c>
    </row>
    <row r="9569" spans="1:19" x14ac:dyDescent="0.35">
      <c r="A9569">
        <v>5638</v>
      </c>
      <c r="B9569" t="s">
        <v>42401</v>
      </c>
      <c r="C9569" t="s">
        <v>42</v>
      </c>
      <c r="D9569" t="s">
        <v>42402</v>
      </c>
      <c r="E9569" t="e" cm="1">
        <f t="array" ref="E9569">- DOXYCYCLINE HYDROCHLORIDE</f>
        <v>#NAME?</v>
      </c>
      <c r="F9569" t="s">
        <v>42403</v>
      </c>
      <c r="G9569" t="s">
        <v>2241</v>
      </c>
      <c r="H9569" t="s">
        <v>42376</v>
      </c>
    </row>
    <row r="9570" spans="1:19" x14ac:dyDescent="0.35">
      <c r="A9570">
        <v>5637</v>
      </c>
      <c r="B9570" t="s">
        <v>42401</v>
      </c>
      <c r="C9570" t="s">
        <v>42</v>
      </c>
      <c r="D9570" t="s">
        <v>42402</v>
      </c>
      <c r="E9570" t="e" cm="1">
        <f t="array" ref="E9570">- DOXYCYCLINE HYCLATE</f>
        <v>#NAME?</v>
      </c>
      <c r="F9570" t="s">
        <v>42403</v>
      </c>
      <c r="G9570" t="s">
        <v>2241</v>
      </c>
      <c r="H9570" t="s">
        <v>42376</v>
      </c>
    </row>
    <row r="9571" spans="1:19" x14ac:dyDescent="0.35">
      <c r="A9571">
        <v>3062</v>
      </c>
      <c r="B9571" t="s">
        <v>41736</v>
      </c>
      <c r="C9571" t="s">
        <v>42</v>
      </c>
      <c r="D9571" t="s">
        <v>41737</v>
      </c>
      <c r="E9571" t="e" cm="1">
        <f t="array" ref="E9571">- SIMETHICONE. DRIED ALUMINIUM HYDROXIDE GEL. MAGNESIUM TRISILICATE</f>
        <v>#NAME?</v>
      </c>
      <c r="F9571" t="s">
        <v>41738</v>
      </c>
      <c r="G9571" t="s">
        <v>41739</v>
      </c>
      <c r="H9571" t="s">
        <v>41740</v>
      </c>
      <c r="I9571" t="s">
        <v>41741</v>
      </c>
    </row>
    <row r="9572" spans="1:19" x14ac:dyDescent="0.35">
      <c r="A9572">
        <v>150</v>
      </c>
      <c r="B9572" t="s">
        <v>2902</v>
      </c>
      <c r="C9572" t="s">
        <v>42</v>
      </c>
      <c r="D9572" t="s">
        <v>42404</v>
      </c>
      <c r="E9572" t="e" cm="1">
        <f t="array" ref="E9572">- SILDENAFIL CITRATE</f>
        <v>#NAME?</v>
      </c>
      <c r="F9572" t="s">
        <v>42405</v>
      </c>
      <c r="G9572" t="s">
        <v>41201</v>
      </c>
      <c r="H9572" t="s">
        <v>1322</v>
      </c>
      <c r="I9572" t="s">
        <v>42406</v>
      </c>
      <c r="J9572" t="s">
        <v>9507</v>
      </c>
      <c r="L9572" t="s">
        <v>11662</v>
      </c>
      <c r="M9572" t="s">
        <v>46</v>
      </c>
      <c r="N9572" t="s">
        <v>2519</v>
      </c>
      <c r="O9572" t="s">
        <v>42407</v>
      </c>
      <c r="P9572" t="s">
        <v>42408</v>
      </c>
      <c r="Q9572" t="s">
        <v>42409</v>
      </c>
      <c r="R9572">
        <v>40</v>
      </c>
      <c r="S9572">
        <v>64</v>
      </c>
    </row>
    <row r="9573" spans="1:19" x14ac:dyDescent="0.35">
      <c r="A9573">
        <v>3061</v>
      </c>
      <c r="B9573" t="s">
        <v>41736</v>
      </c>
      <c r="C9573" t="s">
        <v>42</v>
      </c>
      <c r="D9573" t="s">
        <v>41737</v>
      </c>
      <c r="E9573" t="e" cm="1">
        <f t="array" ref="E9573">- DRIED ALUMINIUM HYDROXIDE GEL. MAGNESIUM TRISILICATE. SIMETHICONE</f>
        <v>#NAME?</v>
      </c>
      <c r="F9573" t="s">
        <v>41738</v>
      </c>
      <c r="G9573" t="s">
        <v>41739</v>
      </c>
      <c r="H9573" t="s">
        <v>41740</v>
      </c>
      <c r="I9573" t="s">
        <v>41741</v>
      </c>
    </row>
    <row r="9574" spans="1:19" x14ac:dyDescent="0.35">
      <c r="A9574">
        <v>9360</v>
      </c>
      <c r="B9574" t="s">
        <v>6301</v>
      </c>
      <c r="C9574" t="s">
        <v>42</v>
      </c>
      <c r="D9574" t="s">
        <v>42410</v>
      </c>
      <c r="E9574" t="s">
        <v>6303</v>
      </c>
      <c r="F9574" t="s">
        <v>42411</v>
      </c>
      <c r="G9574" t="s">
        <v>42412</v>
      </c>
      <c r="H9574" t="s">
        <v>1322</v>
      </c>
      <c r="I9574" t="s">
        <v>42413</v>
      </c>
      <c r="J9574" t="s">
        <v>12671</v>
      </c>
      <c r="L9574" t="s">
        <v>39884</v>
      </c>
      <c r="M9574" t="s">
        <v>46</v>
      </c>
      <c r="N9574" t="s">
        <v>6304</v>
      </c>
      <c r="O9574" t="s">
        <v>42414</v>
      </c>
      <c r="P9574" t="s">
        <v>12672</v>
      </c>
      <c r="Q9574" t="s">
        <v>42415</v>
      </c>
      <c r="R9574">
        <v>40</v>
      </c>
      <c r="S9574">
        <v>64</v>
      </c>
    </row>
    <row r="9575" spans="1:19" x14ac:dyDescent="0.35">
      <c r="A9575">
        <v>6478</v>
      </c>
      <c r="B9575" t="s">
        <v>42416</v>
      </c>
      <c r="C9575" t="s">
        <v>42</v>
      </c>
      <c r="D9575" t="s">
        <v>42417</v>
      </c>
      <c r="E9575" t="e" cm="1">
        <f t="array" ref="E9575">- DOXYCYCLINE HYDROCHLORIDE</f>
        <v>#NAME?</v>
      </c>
      <c r="F9575" t="s">
        <v>42418</v>
      </c>
      <c r="G9575" t="s">
        <v>2241</v>
      </c>
      <c r="H9575" t="s">
        <v>42376</v>
      </c>
    </row>
    <row r="9576" spans="1:19" x14ac:dyDescent="0.35">
      <c r="A9576">
        <v>10036</v>
      </c>
      <c r="B9576" t="s">
        <v>42419</v>
      </c>
      <c r="C9576" t="s">
        <v>42</v>
      </c>
      <c r="D9576" t="s">
        <v>42420</v>
      </c>
      <c r="E9576" t="e" cm="1">
        <f t="array" ref="E9576">- RIVAROXABAN</f>
        <v>#NAME?</v>
      </c>
      <c r="F9576" t="s">
        <v>42421</v>
      </c>
      <c r="G9576" t="s">
        <v>42422</v>
      </c>
      <c r="H9576" t="s">
        <v>42423</v>
      </c>
      <c r="I9576" t="s">
        <v>42424</v>
      </c>
      <c r="J9576" t="s">
        <v>42425</v>
      </c>
      <c r="K9576" t="s">
        <v>42426</v>
      </c>
      <c r="L9576" t="s">
        <v>42427</v>
      </c>
      <c r="M9576" t="s">
        <v>46</v>
      </c>
      <c r="N9576" t="s">
        <v>42428</v>
      </c>
      <c r="O9576" t="s">
        <v>42429</v>
      </c>
      <c r="P9576" t="s">
        <v>42430</v>
      </c>
      <c r="Q9576" t="s">
        <v>42431</v>
      </c>
      <c r="R9576">
        <v>41</v>
      </c>
      <c r="S9576">
        <v>64</v>
      </c>
    </row>
    <row r="9577" spans="1:19" x14ac:dyDescent="0.35">
      <c r="A9577">
        <v>5906</v>
      </c>
      <c r="B9577" t="s">
        <v>42026</v>
      </c>
      <c r="C9577" t="s">
        <v>42</v>
      </c>
      <c r="D9577" t="s">
        <v>42027</v>
      </c>
      <c r="E9577" t="e" cm="1">
        <f t="array" ref="E9577">- AMOXICILLIN TRIHYDRATE. KOMBINASI-POTASSIUM CLAVULANATE WITH SILICON DIOXIDE</f>
        <v>#NAME?</v>
      </c>
      <c r="F9577" t="s">
        <v>42028</v>
      </c>
      <c r="G9577" t="s">
        <v>1691</v>
      </c>
      <c r="H9577" t="s">
        <v>42029</v>
      </c>
      <c r="I9577" t="s">
        <v>41805</v>
      </c>
      <c r="J9577" t="s">
        <v>334</v>
      </c>
      <c r="K9577" t="s">
        <v>41806</v>
      </c>
      <c r="L9577" t="s">
        <v>41807</v>
      </c>
      <c r="M9577" t="s">
        <v>271</v>
      </c>
      <c r="N9577" t="s">
        <v>42371</v>
      </c>
      <c r="O9577" t="s">
        <v>41808</v>
      </c>
      <c r="P9577" t="s">
        <v>42030</v>
      </c>
      <c r="Q9577" t="s">
        <v>42432</v>
      </c>
      <c r="R9577">
        <v>41</v>
      </c>
      <c r="S9577">
        <v>64</v>
      </c>
    </row>
    <row r="9578" spans="1:19" x14ac:dyDescent="0.35">
      <c r="A9578">
        <v>6028</v>
      </c>
      <c r="B9578" t="s">
        <v>42433</v>
      </c>
      <c r="C9578" t="s">
        <v>42</v>
      </c>
      <c r="D9578" t="s">
        <v>42434</v>
      </c>
      <c r="E9578" t="e" cm="1">
        <f t="array" ref="E9578">- AMOXICILLIN TRIHYDRATE</f>
        <v>#NAME?</v>
      </c>
      <c r="F9578" t="s">
        <v>42435</v>
      </c>
      <c r="G9578" t="s">
        <v>4545</v>
      </c>
      <c r="H9578" t="s">
        <v>42436</v>
      </c>
      <c r="I9578" t="s">
        <v>42437</v>
      </c>
      <c r="J9578" t="s">
        <v>334</v>
      </c>
      <c r="L9578" t="s">
        <v>321</v>
      </c>
      <c r="M9578" t="s">
        <v>271</v>
      </c>
      <c r="N9578" t="s">
        <v>1523</v>
      </c>
      <c r="O9578" t="s">
        <v>42438</v>
      </c>
      <c r="P9578" t="s">
        <v>33754</v>
      </c>
      <c r="Q9578" t="s">
        <v>42439</v>
      </c>
      <c r="R9578">
        <v>41</v>
      </c>
      <c r="S9578">
        <v>64</v>
      </c>
    </row>
    <row r="9579" spans="1:19" x14ac:dyDescent="0.35">
      <c r="A9579">
        <v>6029</v>
      </c>
      <c r="B9579" t="s">
        <v>42433</v>
      </c>
      <c r="C9579" t="s">
        <v>42</v>
      </c>
      <c r="D9579" t="s">
        <v>42434</v>
      </c>
      <c r="E9579" t="e" cm="1">
        <f t="array" ref="E9579">- AMOXICILLIN TRIHYDRATE</f>
        <v>#NAME?</v>
      </c>
      <c r="F9579" t="s">
        <v>42435</v>
      </c>
      <c r="G9579" t="s">
        <v>4545</v>
      </c>
      <c r="H9579" t="s">
        <v>42436</v>
      </c>
      <c r="I9579" t="s">
        <v>42437</v>
      </c>
      <c r="J9579" t="s">
        <v>334</v>
      </c>
      <c r="L9579" t="s">
        <v>321</v>
      </c>
      <c r="M9579" t="s">
        <v>271</v>
      </c>
      <c r="N9579" t="s">
        <v>1523</v>
      </c>
      <c r="O9579" t="s">
        <v>42438</v>
      </c>
      <c r="P9579" t="s">
        <v>33754</v>
      </c>
      <c r="Q9579" t="s">
        <v>42439</v>
      </c>
      <c r="R9579">
        <v>41</v>
      </c>
      <c r="S9579">
        <v>64</v>
      </c>
    </row>
    <row r="9580" spans="1:19" x14ac:dyDescent="0.35">
      <c r="A9580">
        <v>5072</v>
      </c>
      <c r="B9580" t="s">
        <v>42440</v>
      </c>
      <c r="C9580" t="s">
        <v>42</v>
      </c>
      <c r="D9580" t="s">
        <v>42441</v>
      </c>
      <c r="E9580" t="e" cm="1">
        <f t="array" ref="E9580">- TRIAMCINOLONE ACETONIDE. ECONAZOLE NITRATE</f>
        <v>#NAME?</v>
      </c>
      <c r="F9580" t="s">
        <v>42442</v>
      </c>
      <c r="G9580" t="s">
        <v>42443</v>
      </c>
      <c r="H9580" t="s">
        <v>42444</v>
      </c>
      <c r="I9580" t="s">
        <v>42445</v>
      </c>
      <c r="J9580" t="s">
        <v>42446</v>
      </c>
      <c r="K9580" t="s">
        <v>42447</v>
      </c>
      <c r="L9580" t="s">
        <v>42448</v>
      </c>
      <c r="M9580" t="s">
        <v>1289</v>
      </c>
      <c r="N9580" t="s">
        <v>42449</v>
      </c>
      <c r="O9580" t="s">
        <v>42450</v>
      </c>
      <c r="P9580" t="s">
        <v>42451</v>
      </c>
      <c r="Q9580" t="s">
        <v>42452</v>
      </c>
      <c r="R9580">
        <v>41</v>
      </c>
      <c r="S9580">
        <v>64</v>
      </c>
    </row>
    <row r="9581" spans="1:19" x14ac:dyDescent="0.35">
      <c r="A9581">
        <v>7294</v>
      </c>
      <c r="B9581" t="s">
        <v>42453</v>
      </c>
      <c r="C9581" t="s">
        <v>20</v>
      </c>
      <c r="D9581" t="s">
        <v>42454</v>
      </c>
      <c r="E9581" t="s">
        <v>42455</v>
      </c>
      <c r="F9581" t="s">
        <v>42456</v>
      </c>
      <c r="G9581" t="s">
        <v>42457</v>
      </c>
      <c r="H9581" t="s">
        <v>1322</v>
      </c>
      <c r="I9581" t="s">
        <v>42458</v>
      </c>
      <c r="J9581" t="s">
        <v>614</v>
      </c>
      <c r="M9581" t="s">
        <v>2115</v>
      </c>
      <c r="N9581" t="s">
        <v>3752</v>
      </c>
      <c r="O9581" t="s">
        <v>42459</v>
      </c>
      <c r="P9581" t="s">
        <v>42460</v>
      </c>
      <c r="Q9581" t="s">
        <v>42461</v>
      </c>
      <c r="R9581">
        <v>41</v>
      </c>
      <c r="S9581">
        <v>64</v>
      </c>
    </row>
    <row r="9582" spans="1:19" x14ac:dyDescent="0.35">
      <c r="A9582">
        <v>4780</v>
      </c>
      <c r="B9582" t="s">
        <v>41786</v>
      </c>
      <c r="C9582" t="s">
        <v>42</v>
      </c>
      <c r="D9582" t="s">
        <v>41787</v>
      </c>
      <c r="E9582" t="e" cm="1">
        <f t="array" ref="E9582">- DEXAMETHASONE SODIUM PHOSPHATE. NEOMYCIN SULFATE. POLYMYXIN B SULFATE</f>
        <v>#NAME?</v>
      </c>
      <c r="F9582" s="1">
        <v>22300</v>
      </c>
      <c r="G9582" t="s">
        <v>7569</v>
      </c>
      <c r="H9582" t="s">
        <v>41788</v>
      </c>
      <c r="I9582" t="s">
        <v>41789</v>
      </c>
      <c r="J9582" t="s">
        <v>14533</v>
      </c>
      <c r="K9582" t="s">
        <v>2858</v>
      </c>
      <c r="L9582" t="s">
        <v>41790</v>
      </c>
      <c r="M9582" t="s">
        <v>824</v>
      </c>
      <c r="N9582" t="s">
        <v>33939</v>
      </c>
      <c r="O9582" t="s">
        <v>41792</v>
      </c>
      <c r="P9582" t="s">
        <v>41793</v>
      </c>
      <c r="Q9582" t="s">
        <v>42462</v>
      </c>
      <c r="R9582">
        <v>41</v>
      </c>
      <c r="S9582">
        <v>64</v>
      </c>
    </row>
    <row r="9583" spans="1:19" x14ac:dyDescent="0.35">
      <c r="A9583">
        <v>5874</v>
      </c>
      <c r="B9583" t="s">
        <v>42463</v>
      </c>
      <c r="C9583" t="s">
        <v>42</v>
      </c>
      <c r="D9583" t="s">
        <v>42464</v>
      </c>
      <c r="E9583" t="e" cm="1">
        <f t="array" ref="E9583">- AMOXICILLIN TRIHYDRATE</f>
        <v>#NAME?</v>
      </c>
      <c r="F9583" t="s">
        <v>4562</v>
      </c>
      <c r="G9583" t="s">
        <v>35975</v>
      </c>
      <c r="H9583" t="s">
        <v>42465</v>
      </c>
      <c r="I9583" t="s">
        <v>42437</v>
      </c>
      <c r="J9583" t="s">
        <v>846</v>
      </c>
      <c r="M9583" t="s">
        <v>271</v>
      </c>
      <c r="N9583" t="s">
        <v>1523</v>
      </c>
      <c r="O9583" t="s">
        <v>42438</v>
      </c>
      <c r="P9583" t="s">
        <v>42466</v>
      </c>
      <c r="Q9583" t="s">
        <v>42467</v>
      </c>
      <c r="R9583">
        <v>41</v>
      </c>
      <c r="S9583">
        <v>64</v>
      </c>
    </row>
    <row r="9584" spans="1:19" x14ac:dyDescent="0.35">
      <c r="A9584">
        <v>3060</v>
      </c>
      <c r="B9584" t="s">
        <v>41736</v>
      </c>
      <c r="C9584" t="s">
        <v>42</v>
      </c>
      <c r="D9584" t="s">
        <v>41737</v>
      </c>
      <c r="E9584" t="e" cm="1">
        <f t="array" ref="E9584">- DRIED ALUMINIUM HYDROXIDE GEL. MAGNESIUM HYDROXIDE PASTE. SIMETHICONE</f>
        <v>#NAME?</v>
      </c>
      <c r="F9584" t="s">
        <v>41738</v>
      </c>
      <c r="G9584" t="s">
        <v>41739</v>
      </c>
      <c r="H9584" t="s">
        <v>41740</v>
      </c>
      <c r="I9584" t="s">
        <v>41741</v>
      </c>
    </row>
    <row r="9585" spans="1:19" x14ac:dyDescent="0.35">
      <c r="A9585">
        <v>8259</v>
      </c>
      <c r="B9585" t="s">
        <v>551</v>
      </c>
      <c r="C9585" t="s">
        <v>42</v>
      </c>
      <c r="D9585" t="s">
        <v>42468</v>
      </c>
      <c r="E9585" t="e" cm="1">
        <f t="array" ref="E9585">- POVIDONE-IODINE</f>
        <v>#NAME?</v>
      </c>
      <c r="F9585" t="s">
        <v>42469</v>
      </c>
      <c r="I9585" t="s">
        <v>42470</v>
      </c>
      <c r="J9585" t="s">
        <v>42471</v>
      </c>
      <c r="M9585" t="s">
        <v>554</v>
      </c>
      <c r="N9585" t="s">
        <v>555</v>
      </c>
      <c r="O9585" t="s">
        <v>42472</v>
      </c>
      <c r="P9585" t="s">
        <v>42473</v>
      </c>
      <c r="Q9585" t="s">
        <v>42474</v>
      </c>
      <c r="R9585">
        <v>41</v>
      </c>
      <c r="S9585">
        <v>64</v>
      </c>
    </row>
    <row r="9586" spans="1:19" x14ac:dyDescent="0.35">
      <c r="A9586">
        <v>8258</v>
      </c>
      <c r="B9586" t="s">
        <v>551</v>
      </c>
      <c r="C9586" t="s">
        <v>42</v>
      </c>
      <c r="D9586" t="s">
        <v>42468</v>
      </c>
      <c r="E9586" t="e" cm="1">
        <f t="array" ref="E9586">- POVIDONE-IODINE</f>
        <v>#NAME?</v>
      </c>
      <c r="F9586" t="s">
        <v>42469</v>
      </c>
      <c r="I9586" t="s">
        <v>42470</v>
      </c>
      <c r="J9586" t="s">
        <v>42471</v>
      </c>
      <c r="M9586" t="s">
        <v>554</v>
      </c>
      <c r="N9586" t="s">
        <v>555</v>
      </c>
      <c r="O9586" t="s">
        <v>42472</v>
      </c>
      <c r="P9586" t="s">
        <v>42473</v>
      </c>
      <c r="Q9586" t="s">
        <v>42474</v>
      </c>
      <c r="R9586">
        <v>41</v>
      </c>
      <c r="S9586">
        <v>64</v>
      </c>
    </row>
    <row r="9587" spans="1:19" x14ac:dyDescent="0.35">
      <c r="A9587">
        <v>10035</v>
      </c>
      <c r="B9587" t="s">
        <v>42475</v>
      </c>
      <c r="C9587" t="s">
        <v>42</v>
      </c>
      <c r="D9587" t="s">
        <v>42476</v>
      </c>
      <c r="E9587" t="e" cm="1">
        <f t="array" ref="E9587">- RIVAROXABAN (MICRONIZED)</f>
        <v>#NAME?</v>
      </c>
      <c r="F9587" t="s">
        <v>42477</v>
      </c>
      <c r="G9587" t="s">
        <v>42422</v>
      </c>
      <c r="H9587" t="s">
        <v>42423</v>
      </c>
      <c r="I9587" t="s">
        <v>42424</v>
      </c>
      <c r="J9587" t="s">
        <v>1756</v>
      </c>
      <c r="K9587" t="s">
        <v>42426</v>
      </c>
      <c r="L9587" t="s">
        <v>42427</v>
      </c>
      <c r="M9587" t="s">
        <v>46</v>
      </c>
      <c r="N9587" t="s">
        <v>42478</v>
      </c>
      <c r="O9587" t="s">
        <v>42429</v>
      </c>
      <c r="P9587" t="s">
        <v>42430</v>
      </c>
      <c r="Q9587" t="s">
        <v>42479</v>
      </c>
      <c r="R9587">
        <v>42</v>
      </c>
      <c r="S9587">
        <v>64</v>
      </c>
    </row>
    <row r="9588" spans="1:19" x14ac:dyDescent="0.35">
      <c r="A9588">
        <v>4798</v>
      </c>
      <c r="B9588" t="s">
        <v>42241</v>
      </c>
      <c r="C9588" t="s">
        <v>42</v>
      </c>
      <c r="D9588" t="s">
        <v>42242</v>
      </c>
      <c r="E9588" t="e" cm="1">
        <f t="array" ref="E9588">- SULFACETAMIDE SODIUM. PREDNISOLONE SODIUM PHOSPHATE</f>
        <v>#NAME?</v>
      </c>
      <c r="F9588" t="s">
        <v>42243</v>
      </c>
      <c r="H9588" t="s">
        <v>42244</v>
      </c>
      <c r="I9588" t="s">
        <v>42245</v>
      </c>
      <c r="J9588" t="s">
        <v>7561</v>
      </c>
      <c r="L9588" t="s">
        <v>270</v>
      </c>
      <c r="M9588" t="s">
        <v>824</v>
      </c>
      <c r="N9588" t="s">
        <v>42480</v>
      </c>
      <c r="O9588" t="s">
        <v>42247</v>
      </c>
      <c r="P9588" t="s">
        <v>42248</v>
      </c>
      <c r="Q9588" t="s">
        <v>42481</v>
      </c>
      <c r="R9588">
        <v>42</v>
      </c>
      <c r="S9588">
        <v>64</v>
      </c>
    </row>
    <row r="9589" spans="1:19" x14ac:dyDescent="0.35">
      <c r="A9589">
        <v>4629</v>
      </c>
      <c r="B9589" t="s">
        <v>19493</v>
      </c>
      <c r="C9589" t="s">
        <v>42</v>
      </c>
      <c r="D9589" t="s">
        <v>42482</v>
      </c>
      <c r="E9589" t="e" cm="1">
        <f t="array" ref="E9589">- PHENYLEPHRINE HYDROCHLORIDE</f>
        <v>#NAME?</v>
      </c>
      <c r="F9589" s="1">
        <v>30800</v>
      </c>
      <c r="G9589" t="s">
        <v>42483</v>
      </c>
      <c r="H9589" t="s">
        <v>42484</v>
      </c>
      <c r="I9589" t="s">
        <v>42485</v>
      </c>
      <c r="J9589" t="s">
        <v>26531</v>
      </c>
      <c r="K9589" t="s">
        <v>42486</v>
      </c>
      <c r="L9589" t="s">
        <v>42487</v>
      </c>
      <c r="M9589" t="s">
        <v>824</v>
      </c>
      <c r="N9589" t="s">
        <v>19498</v>
      </c>
      <c r="O9589" t="s">
        <v>42488</v>
      </c>
      <c r="P9589" t="s">
        <v>42489</v>
      </c>
      <c r="Q9589" t="s">
        <v>42490</v>
      </c>
      <c r="R9589">
        <v>42</v>
      </c>
      <c r="S9589">
        <v>64</v>
      </c>
    </row>
    <row r="9590" spans="1:19" x14ac:dyDescent="0.35">
      <c r="A9590">
        <v>4630</v>
      </c>
      <c r="B9590" t="s">
        <v>19493</v>
      </c>
      <c r="C9590" t="s">
        <v>42</v>
      </c>
      <c r="D9590" t="s">
        <v>42482</v>
      </c>
      <c r="E9590" t="e" cm="1">
        <f t="array" ref="E9590">- PHENYLEPHRINE HYDROCHLORIDE</f>
        <v>#NAME?</v>
      </c>
      <c r="F9590" s="1">
        <v>30800</v>
      </c>
      <c r="G9590" t="s">
        <v>42483</v>
      </c>
      <c r="H9590" t="s">
        <v>42484</v>
      </c>
      <c r="I9590" t="s">
        <v>42485</v>
      </c>
      <c r="J9590" t="s">
        <v>26531</v>
      </c>
      <c r="K9590" t="s">
        <v>42486</v>
      </c>
      <c r="L9590" t="s">
        <v>42487</v>
      </c>
      <c r="M9590" t="s">
        <v>824</v>
      </c>
      <c r="N9590" t="s">
        <v>19498</v>
      </c>
      <c r="O9590" t="s">
        <v>42488</v>
      </c>
      <c r="P9590" t="s">
        <v>42489</v>
      </c>
      <c r="Q9590" t="s">
        <v>42490</v>
      </c>
      <c r="R9590">
        <v>42</v>
      </c>
      <c r="S9590">
        <v>64</v>
      </c>
    </row>
    <row r="9591" spans="1:19" x14ac:dyDescent="0.35">
      <c r="A9591">
        <v>4631</v>
      </c>
      <c r="B9591" t="s">
        <v>19493</v>
      </c>
      <c r="C9591" t="s">
        <v>42</v>
      </c>
      <c r="D9591" t="s">
        <v>42482</v>
      </c>
      <c r="E9591" t="e" cm="1">
        <f t="array" ref="E9591">- PHENYLEPHRINE HYDROCHLORIDE</f>
        <v>#NAME?</v>
      </c>
      <c r="F9591" s="1">
        <v>30800</v>
      </c>
      <c r="G9591" t="s">
        <v>42483</v>
      </c>
      <c r="H9591" t="s">
        <v>42484</v>
      </c>
      <c r="I9591" t="s">
        <v>42485</v>
      </c>
      <c r="J9591" t="s">
        <v>26531</v>
      </c>
      <c r="K9591" t="s">
        <v>42486</v>
      </c>
      <c r="L9591" t="s">
        <v>42487</v>
      </c>
      <c r="M9591" t="s">
        <v>824</v>
      </c>
      <c r="N9591" t="s">
        <v>19498</v>
      </c>
      <c r="O9591" t="s">
        <v>42488</v>
      </c>
      <c r="P9591" t="s">
        <v>42489</v>
      </c>
      <c r="Q9591" t="s">
        <v>42490</v>
      </c>
      <c r="R9591">
        <v>42</v>
      </c>
      <c r="S9591">
        <v>64</v>
      </c>
    </row>
    <row r="9592" spans="1:19" x14ac:dyDescent="0.35">
      <c r="A9592">
        <v>4799</v>
      </c>
      <c r="B9592" t="s">
        <v>42241</v>
      </c>
      <c r="C9592" t="s">
        <v>42</v>
      </c>
      <c r="D9592" t="s">
        <v>42242</v>
      </c>
      <c r="E9592" t="e" cm="1">
        <f t="array" ref="E9592">- SULFACETAMIDE SODIUM. PREDNISOLONE SODIUM PHOSPHATE</f>
        <v>#NAME?</v>
      </c>
      <c r="F9592" t="s">
        <v>42243</v>
      </c>
      <c r="H9592" t="s">
        <v>42244</v>
      </c>
      <c r="I9592" t="s">
        <v>42245</v>
      </c>
      <c r="J9592" t="s">
        <v>7561</v>
      </c>
      <c r="L9592" t="s">
        <v>270</v>
      </c>
      <c r="M9592" t="s">
        <v>824</v>
      </c>
      <c r="N9592" t="s">
        <v>42480</v>
      </c>
      <c r="O9592" t="s">
        <v>42247</v>
      </c>
      <c r="P9592" t="s">
        <v>42248</v>
      </c>
      <c r="Q9592" t="s">
        <v>42481</v>
      </c>
      <c r="R9592">
        <v>42</v>
      </c>
      <c r="S9592">
        <v>64</v>
      </c>
    </row>
    <row r="9593" spans="1:19" x14ac:dyDescent="0.35">
      <c r="A9593">
        <v>9978</v>
      </c>
      <c r="B9593" t="s">
        <v>42491</v>
      </c>
      <c r="C9593" t="s">
        <v>42</v>
      </c>
      <c r="D9593" t="s">
        <v>42492</v>
      </c>
      <c r="E9593" t="e" cm="1">
        <f t="array" ref="E9593">- EDOXABAN TOSYLATE</f>
        <v>#NAME?</v>
      </c>
      <c r="F9593" t="s">
        <v>42493</v>
      </c>
      <c r="G9593" t="s">
        <v>42494</v>
      </c>
      <c r="H9593" t="s">
        <v>42495</v>
      </c>
      <c r="I9593" t="s">
        <v>42496</v>
      </c>
      <c r="J9593" t="s">
        <v>2644</v>
      </c>
      <c r="K9593" t="s">
        <v>42497</v>
      </c>
      <c r="L9593" t="s">
        <v>42498</v>
      </c>
      <c r="M9593" t="s">
        <v>46</v>
      </c>
      <c r="N9593" t="s">
        <v>41730</v>
      </c>
      <c r="O9593" t="s">
        <v>42499</v>
      </c>
      <c r="P9593" t="s">
        <v>41728</v>
      </c>
      <c r="Q9593" t="s">
        <v>42500</v>
      </c>
      <c r="R9593">
        <v>42</v>
      </c>
      <c r="S9593">
        <v>64</v>
      </c>
    </row>
    <row r="9594" spans="1:19" x14ac:dyDescent="0.35">
      <c r="A9594">
        <v>9915</v>
      </c>
      <c r="B9594" t="s">
        <v>42501</v>
      </c>
      <c r="C9594" t="s">
        <v>42</v>
      </c>
      <c r="D9594" t="s">
        <v>42502</v>
      </c>
      <c r="E9594" t="e" cm="1">
        <f t="array" ref="E9594">- RIVAROXABAN (MICRONIZED)</f>
        <v>#NAME?</v>
      </c>
      <c r="F9594" t="s">
        <v>42503</v>
      </c>
      <c r="G9594" t="s">
        <v>6135</v>
      </c>
      <c r="H9594" t="s">
        <v>42423</v>
      </c>
      <c r="I9594" t="s">
        <v>42424</v>
      </c>
      <c r="J9594" t="s">
        <v>42504</v>
      </c>
      <c r="K9594" t="s">
        <v>42426</v>
      </c>
      <c r="L9594" t="s">
        <v>42427</v>
      </c>
      <c r="M9594" t="s">
        <v>46</v>
      </c>
      <c r="N9594" t="s">
        <v>42478</v>
      </c>
      <c r="O9594" t="s">
        <v>42429</v>
      </c>
      <c r="P9594" t="s">
        <v>42430</v>
      </c>
      <c r="Q9594" t="s">
        <v>42479</v>
      </c>
      <c r="R9594">
        <v>42</v>
      </c>
      <c r="S9594">
        <v>64</v>
      </c>
    </row>
    <row r="9595" spans="1:19" x14ac:dyDescent="0.35">
      <c r="A9595">
        <v>9980</v>
      </c>
      <c r="B9595" t="s">
        <v>42491</v>
      </c>
      <c r="C9595" t="s">
        <v>42</v>
      </c>
      <c r="D9595" t="s">
        <v>42492</v>
      </c>
      <c r="E9595" t="e" cm="1">
        <f t="array" ref="E9595">- EDOXABEN TOSYLATE</f>
        <v>#NAME?</v>
      </c>
      <c r="F9595" t="s">
        <v>42493</v>
      </c>
      <c r="G9595" t="s">
        <v>42494</v>
      </c>
      <c r="H9595" t="s">
        <v>42495</v>
      </c>
      <c r="I9595" t="s">
        <v>42496</v>
      </c>
      <c r="J9595" t="s">
        <v>2644</v>
      </c>
      <c r="K9595" t="s">
        <v>42497</v>
      </c>
      <c r="L9595" t="s">
        <v>42498</v>
      </c>
      <c r="M9595" t="s">
        <v>46</v>
      </c>
      <c r="N9595" t="s">
        <v>41726</v>
      </c>
      <c r="O9595" t="s">
        <v>42499</v>
      </c>
      <c r="P9595" t="s">
        <v>41728</v>
      </c>
      <c r="Q9595" t="s">
        <v>42505</v>
      </c>
      <c r="R9595">
        <v>42</v>
      </c>
      <c r="S9595">
        <v>64</v>
      </c>
    </row>
    <row r="9596" spans="1:19" x14ac:dyDescent="0.35">
      <c r="A9596">
        <v>9981</v>
      </c>
      <c r="B9596" t="s">
        <v>42491</v>
      </c>
      <c r="C9596" t="s">
        <v>42</v>
      </c>
      <c r="D9596" t="s">
        <v>42492</v>
      </c>
      <c r="E9596" t="e" cm="1">
        <f t="array" ref="E9596">- EDOXABEN TOSYLATE</f>
        <v>#NAME?</v>
      </c>
      <c r="F9596" t="s">
        <v>42493</v>
      </c>
      <c r="G9596" t="s">
        <v>42494</v>
      </c>
      <c r="H9596" t="s">
        <v>42495</v>
      </c>
      <c r="I9596" t="s">
        <v>42496</v>
      </c>
      <c r="J9596" t="s">
        <v>2644</v>
      </c>
      <c r="K9596" t="s">
        <v>42497</v>
      </c>
      <c r="L9596" t="s">
        <v>42498</v>
      </c>
      <c r="M9596" t="s">
        <v>46</v>
      </c>
      <c r="N9596" t="s">
        <v>41726</v>
      </c>
      <c r="O9596" t="s">
        <v>42499</v>
      </c>
      <c r="P9596" t="s">
        <v>41728</v>
      </c>
      <c r="Q9596" t="s">
        <v>42505</v>
      </c>
      <c r="R9596">
        <v>42</v>
      </c>
      <c r="S9596">
        <v>64</v>
      </c>
    </row>
    <row r="9597" spans="1:19" x14ac:dyDescent="0.35">
      <c r="A9597">
        <v>10037</v>
      </c>
      <c r="B9597" t="s">
        <v>42419</v>
      </c>
      <c r="C9597" t="s">
        <v>42</v>
      </c>
      <c r="D9597" t="s">
        <v>42420</v>
      </c>
      <c r="E9597" t="e" cm="1">
        <f t="array" ref="E9597">- RIVAROXABAN (MICRONIZED)</f>
        <v>#NAME?</v>
      </c>
      <c r="F9597" t="s">
        <v>42421</v>
      </c>
      <c r="G9597" t="s">
        <v>42422</v>
      </c>
      <c r="H9597" t="s">
        <v>42423</v>
      </c>
      <c r="I9597" t="s">
        <v>42424</v>
      </c>
      <c r="J9597" t="s">
        <v>42425</v>
      </c>
      <c r="K9597" t="s">
        <v>42426</v>
      </c>
      <c r="L9597" t="s">
        <v>42427</v>
      </c>
      <c r="M9597" t="s">
        <v>46</v>
      </c>
      <c r="N9597" t="s">
        <v>42478</v>
      </c>
      <c r="O9597" t="s">
        <v>42429</v>
      </c>
      <c r="P9597" t="s">
        <v>42430</v>
      </c>
      <c r="Q9597" t="s">
        <v>42479</v>
      </c>
      <c r="R9597">
        <v>42</v>
      </c>
      <c r="S9597">
        <v>64</v>
      </c>
    </row>
    <row r="9598" spans="1:19" x14ac:dyDescent="0.35">
      <c r="A9598">
        <v>9979</v>
      </c>
      <c r="B9598" t="s">
        <v>42491</v>
      </c>
      <c r="C9598" t="s">
        <v>42</v>
      </c>
      <c r="D9598" t="s">
        <v>42492</v>
      </c>
      <c r="E9598" t="e" cm="1">
        <f t="array" ref="E9598">- EDOXABAN TOSYLATE</f>
        <v>#NAME?</v>
      </c>
      <c r="F9598" t="s">
        <v>42493</v>
      </c>
      <c r="G9598" t="s">
        <v>42494</v>
      </c>
      <c r="H9598" t="s">
        <v>42495</v>
      </c>
      <c r="I9598" t="s">
        <v>42496</v>
      </c>
      <c r="J9598" t="s">
        <v>2644</v>
      </c>
      <c r="K9598" t="s">
        <v>42497</v>
      </c>
      <c r="L9598" t="s">
        <v>42498</v>
      </c>
      <c r="M9598" t="s">
        <v>46</v>
      </c>
      <c r="N9598" t="s">
        <v>41730</v>
      </c>
      <c r="O9598" t="s">
        <v>42499</v>
      </c>
      <c r="P9598" t="s">
        <v>41728</v>
      </c>
      <c r="Q9598" t="s">
        <v>42500</v>
      </c>
      <c r="R9598">
        <v>42</v>
      </c>
      <c r="S9598">
        <v>64</v>
      </c>
    </row>
    <row r="9599" spans="1:19" x14ac:dyDescent="0.35">
      <c r="A9599">
        <v>7410</v>
      </c>
      <c r="B9599" t="s">
        <v>42506</v>
      </c>
      <c r="C9599" t="s">
        <v>42</v>
      </c>
      <c r="D9599" t="s">
        <v>42507</v>
      </c>
      <c r="E9599" t="e" cm="1">
        <f t="array" ref="E9599">- CYANOCOBALAMIN</f>
        <v>#NAME?</v>
      </c>
      <c r="F9599" t="s">
        <v>42508</v>
      </c>
      <c r="G9599" t="s">
        <v>6135</v>
      </c>
      <c r="H9599" t="s">
        <v>42509</v>
      </c>
      <c r="I9599" t="s">
        <v>42510</v>
      </c>
      <c r="J9599" t="s">
        <v>7479</v>
      </c>
      <c r="K9599" t="s">
        <v>2858</v>
      </c>
      <c r="L9599" t="s">
        <v>42317</v>
      </c>
      <c r="M9599" t="s">
        <v>46</v>
      </c>
      <c r="N9599" t="s">
        <v>677</v>
      </c>
      <c r="O9599" t="s">
        <v>42511</v>
      </c>
      <c r="P9599" t="s">
        <v>42512</v>
      </c>
      <c r="Q9599" t="s">
        <v>42513</v>
      </c>
      <c r="R9599">
        <v>43</v>
      </c>
      <c r="S9599">
        <v>64</v>
      </c>
    </row>
    <row r="9600" spans="1:19" x14ac:dyDescent="0.35">
      <c r="A9600">
        <v>7402</v>
      </c>
      <c r="B9600" t="s">
        <v>42312</v>
      </c>
      <c r="C9600" t="s">
        <v>42</v>
      </c>
      <c r="D9600" t="s">
        <v>42313</v>
      </c>
      <c r="E9600" t="e" cm="1">
        <f t="array" ref="E9600">- THIAMINE MONONITRATE. CYANOCOBALAMIN. PYRIDOXINE HYDROCHLORIDE</f>
        <v>#NAME?</v>
      </c>
      <c r="F9600" t="s">
        <v>42314</v>
      </c>
      <c r="G9600" t="s">
        <v>18386</v>
      </c>
      <c r="H9600" t="s">
        <v>42315</v>
      </c>
      <c r="I9600" t="s">
        <v>42316</v>
      </c>
      <c r="J9600" t="s">
        <v>20005</v>
      </c>
      <c r="K9600" t="s">
        <v>2858</v>
      </c>
      <c r="L9600" t="s">
        <v>42317</v>
      </c>
      <c r="M9600" t="s">
        <v>46</v>
      </c>
      <c r="N9600" t="s">
        <v>42514</v>
      </c>
      <c r="O9600" t="s">
        <v>42318</v>
      </c>
      <c r="P9600" t="s">
        <v>42319</v>
      </c>
      <c r="Q9600" t="s">
        <v>42515</v>
      </c>
      <c r="R9600">
        <v>43</v>
      </c>
      <c r="S9600">
        <v>64</v>
      </c>
    </row>
    <row r="9601" spans="1:19" x14ac:dyDescent="0.35">
      <c r="A9601">
        <v>10030</v>
      </c>
      <c r="B9601" t="s">
        <v>42516</v>
      </c>
      <c r="C9601" t="s">
        <v>42</v>
      </c>
      <c r="D9601" t="s">
        <v>42517</v>
      </c>
      <c r="E9601" t="e" cm="1">
        <f t="array" ref="E9601">- TICAGRELOR</f>
        <v>#NAME?</v>
      </c>
      <c r="F9601" t="s">
        <v>42518</v>
      </c>
      <c r="G9601" t="s">
        <v>5301</v>
      </c>
      <c r="H9601" t="s">
        <v>42519</v>
      </c>
      <c r="I9601" t="s">
        <v>42520</v>
      </c>
    </row>
    <row r="9602" spans="1:19" x14ac:dyDescent="0.35">
      <c r="A9602">
        <v>8593</v>
      </c>
      <c r="B9602" t="s">
        <v>42521</v>
      </c>
      <c r="C9602" t="s">
        <v>42</v>
      </c>
      <c r="D9602" t="s">
        <v>42522</v>
      </c>
      <c r="E9602" t="e" cm="1">
        <f t="array" ref="E9602">- METFORMIN HYDROCHLORIDE</f>
        <v>#NAME?</v>
      </c>
      <c r="F9602" t="s">
        <v>42523</v>
      </c>
      <c r="G9602" t="s">
        <v>2241</v>
      </c>
      <c r="H9602" t="s">
        <v>42524</v>
      </c>
      <c r="I9602" t="s">
        <v>42525</v>
      </c>
      <c r="J9602" t="s">
        <v>42526</v>
      </c>
      <c r="K9602" t="s">
        <v>42527</v>
      </c>
    </row>
    <row r="9603" spans="1:19" x14ac:dyDescent="0.35">
      <c r="A9603">
        <v>8594</v>
      </c>
      <c r="B9603" t="s">
        <v>42521</v>
      </c>
      <c r="C9603" t="s">
        <v>42</v>
      </c>
      <c r="D9603" t="s">
        <v>42522</v>
      </c>
      <c r="E9603" t="e" cm="1">
        <f t="array" ref="E9603">- METFORMIN HYDROCHLORIDE</f>
        <v>#NAME?</v>
      </c>
      <c r="F9603" t="s">
        <v>42523</v>
      </c>
      <c r="G9603" t="s">
        <v>2241</v>
      </c>
      <c r="H9603" t="s">
        <v>42524</v>
      </c>
      <c r="I9603" t="s">
        <v>42525</v>
      </c>
      <c r="J9603" t="s">
        <v>42526</v>
      </c>
      <c r="K9603" t="s">
        <v>42527</v>
      </c>
    </row>
    <row r="9604" spans="1:19" x14ac:dyDescent="0.35">
      <c r="A9604">
        <v>5887</v>
      </c>
      <c r="B9604" t="s">
        <v>42528</v>
      </c>
      <c r="C9604" t="s">
        <v>42</v>
      </c>
      <c r="D9604" t="s">
        <v>42529</v>
      </c>
      <c r="E9604" t="e" cm="1">
        <f t="array" ref="E9604">- LINCOMYCIN HYDROCHLORIDE</f>
        <v>#NAME?</v>
      </c>
      <c r="F9604" s="1">
        <v>99600</v>
      </c>
      <c r="G9604" t="s">
        <v>42530</v>
      </c>
      <c r="H9604" t="s">
        <v>42531</v>
      </c>
      <c r="I9604" t="s">
        <v>42532</v>
      </c>
      <c r="J9604" t="s">
        <v>23880</v>
      </c>
      <c r="K9604" t="s">
        <v>9270</v>
      </c>
      <c r="L9604" t="s">
        <v>42533</v>
      </c>
      <c r="M9604" t="s">
        <v>38</v>
      </c>
      <c r="N9604" t="s">
        <v>9272</v>
      </c>
      <c r="O9604" t="s">
        <v>42534</v>
      </c>
      <c r="P9604" t="s">
        <v>9274</v>
      </c>
      <c r="Q9604" t="s">
        <v>42535</v>
      </c>
      <c r="R9604">
        <v>43</v>
      </c>
      <c r="S9604">
        <v>64</v>
      </c>
    </row>
    <row r="9605" spans="1:19" x14ac:dyDescent="0.35">
      <c r="A9605">
        <v>6472</v>
      </c>
      <c r="B9605" t="s">
        <v>42536</v>
      </c>
      <c r="C9605" t="s">
        <v>42</v>
      </c>
      <c r="D9605" t="s">
        <v>42537</v>
      </c>
      <c r="E9605" t="e" cm="1">
        <f t="array" ref="E9605">- AZITHROMYCIN DIHYDRATE</f>
        <v>#NAME?</v>
      </c>
      <c r="F9605" t="s">
        <v>42538</v>
      </c>
      <c r="G9605" t="s">
        <v>42539</v>
      </c>
      <c r="H9605" t="s">
        <v>42540</v>
      </c>
    </row>
    <row r="9606" spans="1:19" x14ac:dyDescent="0.35">
      <c r="A9606">
        <v>9897</v>
      </c>
      <c r="B9606" t="s">
        <v>42541</v>
      </c>
      <c r="C9606" t="s">
        <v>42</v>
      </c>
      <c r="D9606" t="s">
        <v>42542</v>
      </c>
      <c r="E9606" t="e" cm="1">
        <f t="array" ref="E9606">- TICAGRELOR</f>
        <v>#NAME?</v>
      </c>
      <c r="F9606" t="s">
        <v>42543</v>
      </c>
      <c r="G9606" t="s">
        <v>5301</v>
      </c>
      <c r="H9606" t="s">
        <v>42519</v>
      </c>
      <c r="I9606" t="s">
        <v>42520</v>
      </c>
    </row>
    <row r="9607" spans="1:19" x14ac:dyDescent="0.35">
      <c r="A9607">
        <v>9896</v>
      </c>
      <c r="B9607" t="s">
        <v>42544</v>
      </c>
      <c r="C9607" t="s">
        <v>42</v>
      </c>
      <c r="D9607" t="s">
        <v>42545</v>
      </c>
      <c r="E9607" t="e" cm="1">
        <f t="array" ref="E9607">- TICAGRELOR</f>
        <v>#NAME?</v>
      </c>
      <c r="F9607" t="s">
        <v>42546</v>
      </c>
      <c r="G9607" t="s">
        <v>42547</v>
      </c>
      <c r="H9607" t="s">
        <v>42519</v>
      </c>
      <c r="I9607" t="s">
        <v>42548</v>
      </c>
    </row>
    <row r="9608" spans="1:19" x14ac:dyDescent="0.35">
      <c r="A9608">
        <v>9905</v>
      </c>
      <c r="B9608" t="s">
        <v>42549</v>
      </c>
      <c r="C9608" t="s">
        <v>42</v>
      </c>
      <c r="D9608" t="s">
        <v>42550</v>
      </c>
      <c r="E9608" t="e" cm="1">
        <f t="array" ref="E9608">- TICAGRELOR</f>
        <v>#NAME?</v>
      </c>
      <c r="F9608" s="1">
        <v>139300</v>
      </c>
      <c r="G9608" t="s">
        <v>42551</v>
      </c>
      <c r="H9608" t="s">
        <v>42552</v>
      </c>
      <c r="I9608" t="s">
        <v>42520</v>
      </c>
    </row>
    <row r="9609" spans="1:19" x14ac:dyDescent="0.35">
      <c r="A9609">
        <v>6955</v>
      </c>
      <c r="B9609" t="s">
        <v>1803</v>
      </c>
      <c r="C9609" t="s">
        <v>42</v>
      </c>
      <c r="D9609" t="s">
        <v>42553</v>
      </c>
      <c r="E9609" t="e" cm="1">
        <f t="array" ref="E9609">- TIZANIDINE HYDROCHLORIDE</f>
        <v>#NAME?</v>
      </c>
      <c r="F9609" t="s">
        <v>42554</v>
      </c>
      <c r="G9609" t="s">
        <v>42555</v>
      </c>
      <c r="H9609" t="s">
        <v>32212</v>
      </c>
      <c r="I9609" t="s">
        <v>42556</v>
      </c>
      <c r="J9609" t="s">
        <v>42557</v>
      </c>
      <c r="M9609" t="s">
        <v>46</v>
      </c>
      <c r="N9609" t="s">
        <v>1806</v>
      </c>
      <c r="O9609" t="s">
        <v>42558</v>
      </c>
      <c r="P9609" t="s">
        <v>42559</v>
      </c>
      <c r="Q9609" t="s">
        <v>42560</v>
      </c>
      <c r="R9609">
        <v>44</v>
      </c>
      <c r="S9609">
        <v>64</v>
      </c>
    </row>
    <row r="9610" spans="1:19" x14ac:dyDescent="0.35">
      <c r="A9610">
        <v>10024</v>
      </c>
      <c r="B9610" t="s">
        <v>42561</v>
      </c>
      <c r="C9610" t="s">
        <v>42</v>
      </c>
      <c r="D9610" t="s">
        <v>42562</v>
      </c>
      <c r="E9610" t="e" cm="1">
        <f t="array" ref="E9610">- COLESTYRAMINE</f>
        <v>#NAME?</v>
      </c>
      <c r="F9610" t="s">
        <v>42563</v>
      </c>
      <c r="G9610" t="s">
        <v>42564</v>
      </c>
      <c r="H9610" t="s">
        <v>42565</v>
      </c>
      <c r="I9610" t="s">
        <v>42566</v>
      </c>
      <c r="J9610" t="s">
        <v>42567</v>
      </c>
      <c r="K9610" t="s">
        <v>42568</v>
      </c>
      <c r="L9610" t="s">
        <v>42569</v>
      </c>
      <c r="M9610" t="s">
        <v>1280</v>
      </c>
      <c r="N9610" t="s">
        <v>42570</v>
      </c>
      <c r="O9610" t="s">
        <v>42571</v>
      </c>
      <c r="P9610" t="s">
        <v>42572</v>
      </c>
      <c r="Q9610" t="s">
        <v>42573</v>
      </c>
      <c r="R9610">
        <v>44</v>
      </c>
      <c r="S9610">
        <v>64</v>
      </c>
    </row>
    <row r="9611" spans="1:19" x14ac:dyDescent="0.35">
      <c r="A9611">
        <v>6941</v>
      </c>
      <c r="B9611" t="s">
        <v>1803</v>
      </c>
      <c r="C9611" t="s">
        <v>42</v>
      </c>
      <c r="D9611" t="s">
        <v>42553</v>
      </c>
      <c r="E9611" t="e" cm="1">
        <f t="array" ref="E9611">- TIZANIDINE HYDROCHLORIDE</f>
        <v>#NAME?</v>
      </c>
      <c r="F9611" t="s">
        <v>42554</v>
      </c>
      <c r="G9611" t="s">
        <v>42555</v>
      </c>
      <c r="H9611" t="s">
        <v>32212</v>
      </c>
      <c r="I9611" t="s">
        <v>42556</v>
      </c>
      <c r="J9611" t="s">
        <v>42557</v>
      </c>
      <c r="M9611" t="s">
        <v>46</v>
      </c>
      <c r="N9611" t="s">
        <v>1806</v>
      </c>
      <c r="O9611" t="s">
        <v>42558</v>
      </c>
      <c r="P9611" t="s">
        <v>42559</v>
      </c>
      <c r="Q9611" t="s">
        <v>42560</v>
      </c>
      <c r="R9611">
        <v>44</v>
      </c>
      <c r="S9611">
        <v>64</v>
      </c>
    </row>
    <row r="9612" spans="1:19" x14ac:dyDescent="0.35">
      <c r="A9612">
        <v>6023</v>
      </c>
      <c r="B9612" t="s">
        <v>42574</v>
      </c>
      <c r="C9612" t="s">
        <v>42</v>
      </c>
      <c r="D9612" t="s">
        <v>42575</v>
      </c>
      <c r="E9612" t="e" cm="1">
        <f t="array" ref="E9612">- AMPICILLIN TRIHYDRATE</f>
        <v>#NAME?</v>
      </c>
      <c r="F9612" t="s">
        <v>42576</v>
      </c>
      <c r="G9612" t="s">
        <v>5568</v>
      </c>
      <c r="H9612" t="s">
        <v>42577</v>
      </c>
      <c r="I9612" t="s">
        <v>42578</v>
      </c>
      <c r="J9612" t="s">
        <v>1631</v>
      </c>
      <c r="K9612" t="s">
        <v>26426</v>
      </c>
      <c r="L9612" t="s">
        <v>26427</v>
      </c>
      <c r="M9612" t="s">
        <v>291</v>
      </c>
      <c r="N9612" t="s">
        <v>1945</v>
      </c>
      <c r="O9612" t="s">
        <v>42579</v>
      </c>
      <c r="P9612" t="s">
        <v>42580</v>
      </c>
      <c r="Q9612" t="s">
        <v>42581</v>
      </c>
      <c r="R9612">
        <v>44</v>
      </c>
      <c r="S9612">
        <v>64</v>
      </c>
    </row>
    <row r="9613" spans="1:19" x14ac:dyDescent="0.35">
      <c r="A9613">
        <v>6024</v>
      </c>
      <c r="B9613" t="s">
        <v>42574</v>
      </c>
      <c r="C9613" t="s">
        <v>42</v>
      </c>
      <c r="D9613" t="s">
        <v>42575</v>
      </c>
      <c r="E9613" t="e" cm="1">
        <f t="array" ref="E9613">- AMPICILLIN TRIHYDRATE</f>
        <v>#NAME?</v>
      </c>
      <c r="F9613" t="s">
        <v>42576</v>
      </c>
      <c r="G9613" t="s">
        <v>5568</v>
      </c>
      <c r="H9613" t="s">
        <v>42577</v>
      </c>
      <c r="I9613" t="s">
        <v>42578</v>
      </c>
      <c r="J9613" t="s">
        <v>1631</v>
      </c>
      <c r="K9613" t="s">
        <v>26426</v>
      </c>
      <c r="L9613" t="s">
        <v>26427</v>
      </c>
      <c r="M9613" t="s">
        <v>291</v>
      </c>
      <c r="N9613" t="s">
        <v>1945</v>
      </c>
      <c r="O9613" t="s">
        <v>42579</v>
      </c>
      <c r="P9613" t="s">
        <v>42580</v>
      </c>
      <c r="Q9613" t="s">
        <v>42581</v>
      </c>
      <c r="R9613">
        <v>44</v>
      </c>
      <c r="S9613">
        <v>64</v>
      </c>
    </row>
    <row r="9614" spans="1:19" x14ac:dyDescent="0.35">
      <c r="A9614">
        <v>9944</v>
      </c>
      <c r="B9614" t="s">
        <v>42582</v>
      </c>
      <c r="C9614" t="s">
        <v>42</v>
      </c>
      <c r="D9614" t="s">
        <v>42583</v>
      </c>
      <c r="E9614" t="e" cm="1">
        <f t="array" ref="E9614">- TICAGRELOR</f>
        <v>#NAME?</v>
      </c>
      <c r="F9614" t="s">
        <v>42584</v>
      </c>
      <c r="G9614" t="s">
        <v>42551</v>
      </c>
      <c r="H9614" t="s">
        <v>42519</v>
      </c>
      <c r="I9614" t="s">
        <v>42520</v>
      </c>
    </row>
    <row r="9615" spans="1:19" x14ac:dyDescent="0.35">
      <c r="A9615">
        <v>9898</v>
      </c>
      <c r="B9615" t="s">
        <v>42541</v>
      </c>
      <c r="C9615" t="s">
        <v>42</v>
      </c>
      <c r="D9615" t="s">
        <v>42542</v>
      </c>
      <c r="E9615" t="e" cm="1">
        <f t="array" ref="E9615">- TICAGRELOR</f>
        <v>#NAME?</v>
      </c>
      <c r="F9615" t="s">
        <v>42543</v>
      </c>
      <c r="G9615" t="s">
        <v>5301</v>
      </c>
      <c r="H9615" t="s">
        <v>42519</v>
      </c>
      <c r="I9615" t="s">
        <v>42520</v>
      </c>
    </row>
    <row r="9616" spans="1:19" x14ac:dyDescent="0.35">
      <c r="A9616">
        <v>8817</v>
      </c>
      <c r="B9616" t="s">
        <v>42585</v>
      </c>
      <c r="C9616" t="s">
        <v>42</v>
      </c>
      <c r="D9616" t="s">
        <v>42586</v>
      </c>
      <c r="E9616" t="e" cm="1">
        <f t="array" ref="E9616">- METFORMIN HYDROCHLORIDE</f>
        <v>#NAME?</v>
      </c>
      <c r="F9616" t="s">
        <v>42587</v>
      </c>
      <c r="G9616" t="s">
        <v>33282</v>
      </c>
      <c r="H9616" t="s">
        <v>42588</v>
      </c>
      <c r="I9616" t="s">
        <v>42525</v>
      </c>
      <c r="J9616" t="s">
        <v>10107</v>
      </c>
      <c r="K9616" t="s">
        <v>42589</v>
      </c>
    </row>
    <row r="9617" spans="1:19" x14ac:dyDescent="0.35">
      <c r="A9617">
        <v>6473</v>
      </c>
      <c r="B9617" t="s">
        <v>42536</v>
      </c>
      <c r="C9617" t="s">
        <v>42</v>
      </c>
      <c r="D9617" t="s">
        <v>42537</v>
      </c>
      <c r="E9617" t="e" cm="1">
        <f t="array" ref="E9617">- AZITHROMYCIN DIHYDRATE</f>
        <v>#NAME?</v>
      </c>
      <c r="F9617" t="s">
        <v>42538</v>
      </c>
      <c r="G9617" t="s">
        <v>42539</v>
      </c>
      <c r="H9617" t="s">
        <v>42540</v>
      </c>
    </row>
    <row r="9618" spans="1:19" x14ac:dyDescent="0.35">
      <c r="A9618">
        <v>8589</v>
      </c>
      <c r="B9618" t="s">
        <v>42521</v>
      </c>
      <c r="C9618" t="s">
        <v>42</v>
      </c>
      <c r="D9618" t="s">
        <v>42522</v>
      </c>
      <c r="E9618" t="e" cm="1">
        <f t="array" ref="E9618">- METFORMIN HYDROCHLORIDE. PIOGLITAZONE HYDROCHLORIDE</f>
        <v>#NAME?</v>
      </c>
      <c r="F9618" t="s">
        <v>42523</v>
      </c>
      <c r="G9618" t="s">
        <v>2241</v>
      </c>
      <c r="H9618" t="s">
        <v>42524</v>
      </c>
      <c r="I9618" t="s">
        <v>42525</v>
      </c>
      <c r="J9618" t="s">
        <v>42526</v>
      </c>
      <c r="K9618" t="s">
        <v>42527</v>
      </c>
    </row>
    <row r="9619" spans="1:19" x14ac:dyDescent="0.35">
      <c r="A9619">
        <v>6532</v>
      </c>
      <c r="B9619" t="s">
        <v>42590</v>
      </c>
      <c r="C9619" t="s">
        <v>42</v>
      </c>
      <c r="D9619" t="s">
        <v>42591</v>
      </c>
      <c r="E9619" t="e" cm="1">
        <f t="array" ref="E9619">- KETOCONAZOLE</f>
        <v>#NAME?</v>
      </c>
      <c r="F9619" t="s">
        <v>42592</v>
      </c>
      <c r="G9619" t="s">
        <v>2241</v>
      </c>
      <c r="H9619" t="s">
        <v>42593</v>
      </c>
      <c r="I9619" t="s">
        <v>42594</v>
      </c>
      <c r="J9619" t="s">
        <v>9200</v>
      </c>
      <c r="K9619" t="s">
        <v>26789</v>
      </c>
      <c r="L9619" t="s">
        <v>42595</v>
      </c>
      <c r="M9619" t="s">
        <v>46</v>
      </c>
      <c r="N9619" t="s">
        <v>533</v>
      </c>
      <c r="O9619" t="s">
        <v>42596</v>
      </c>
      <c r="P9619" t="s">
        <v>533</v>
      </c>
      <c r="Q9619" t="s">
        <v>42597</v>
      </c>
      <c r="R9619">
        <v>45</v>
      </c>
      <c r="S9619">
        <v>64</v>
      </c>
    </row>
    <row r="9620" spans="1:19" x14ac:dyDescent="0.35">
      <c r="A9620">
        <v>6531</v>
      </c>
      <c r="B9620" t="s">
        <v>42590</v>
      </c>
      <c r="C9620" t="s">
        <v>42</v>
      </c>
      <c r="D9620" t="s">
        <v>42591</v>
      </c>
      <c r="E9620" t="e" cm="1">
        <f t="array" ref="E9620">- KETOCONAZOLE</f>
        <v>#NAME?</v>
      </c>
      <c r="F9620" t="s">
        <v>42592</v>
      </c>
      <c r="G9620" t="s">
        <v>2241</v>
      </c>
      <c r="H9620" t="s">
        <v>42593</v>
      </c>
      <c r="I9620" t="s">
        <v>42594</v>
      </c>
      <c r="J9620" t="s">
        <v>9200</v>
      </c>
      <c r="K9620" t="s">
        <v>26789</v>
      </c>
      <c r="L9620" t="s">
        <v>42595</v>
      </c>
      <c r="M9620" t="s">
        <v>46</v>
      </c>
      <c r="N9620" t="s">
        <v>533</v>
      </c>
      <c r="O9620" t="s">
        <v>42596</v>
      </c>
      <c r="P9620" t="s">
        <v>533</v>
      </c>
      <c r="Q9620" t="s">
        <v>42597</v>
      </c>
      <c r="R9620">
        <v>45</v>
      </c>
      <c r="S9620">
        <v>64</v>
      </c>
    </row>
    <row r="9621" spans="1:19" x14ac:dyDescent="0.35">
      <c r="A9621">
        <v>1362</v>
      </c>
      <c r="B9621" t="s">
        <v>2074</v>
      </c>
      <c r="C9621" t="s">
        <v>42</v>
      </c>
      <c r="D9621" t="s">
        <v>42598</v>
      </c>
      <c r="E9621" t="e" cm="1">
        <f t="array" ref="E9621">- GUAIFENESIN</f>
        <v>#NAME?</v>
      </c>
      <c r="F9621" s="1">
        <v>122000</v>
      </c>
      <c r="G9621" t="s">
        <v>42599</v>
      </c>
      <c r="H9621" t="s">
        <v>42600</v>
      </c>
      <c r="I9621" t="s">
        <v>42601</v>
      </c>
      <c r="J9621" t="s">
        <v>3856</v>
      </c>
      <c r="M9621" t="s">
        <v>46</v>
      </c>
      <c r="N9621" t="s">
        <v>361</v>
      </c>
      <c r="O9621" t="s">
        <v>42602</v>
      </c>
      <c r="P9621" t="s">
        <v>42603</v>
      </c>
      <c r="Q9621" t="s">
        <v>42604</v>
      </c>
      <c r="R9621">
        <v>45</v>
      </c>
      <c r="S9621">
        <v>64</v>
      </c>
    </row>
    <row r="9622" spans="1:19" x14ac:dyDescent="0.35">
      <c r="A9622">
        <v>6533</v>
      </c>
      <c r="B9622" t="s">
        <v>42590</v>
      </c>
      <c r="C9622" t="s">
        <v>42</v>
      </c>
      <c r="D9622" t="s">
        <v>42591</v>
      </c>
      <c r="E9622" t="e" cm="1">
        <f t="array" ref="E9622">- KETOCONAZOLE</f>
        <v>#NAME?</v>
      </c>
      <c r="F9622" t="s">
        <v>42592</v>
      </c>
      <c r="G9622" t="s">
        <v>2241</v>
      </c>
      <c r="H9622" t="s">
        <v>42593</v>
      </c>
      <c r="I9622" t="s">
        <v>42594</v>
      </c>
      <c r="J9622" t="s">
        <v>9200</v>
      </c>
      <c r="K9622" t="s">
        <v>26789</v>
      </c>
      <c r="L9622" t="s">
        <v>42595</v>
      </c>
      <c r="M9622" t="s">
        <v>46</v>
      </c>
      <c r="N9622" t="s">
        <v>533</v>
      </c>
      <c r="O9622" t="s">
        <v>42596</v>
      </c>
      <c r="P9622" t="s">
        <v>533</v>
      </c>
      <c r="Q9622" t="s">
        <v>42597</v>
      </c>
      <c r="R9622">
        <v>45</v>
      </c>
      <c r="S9622">
        <v>64</v>
      </c>
    </row>
    <row r="9623" spans="1:19" x14ac:dyDescent="0.35">
      <c r="A9623">
        <v>4621</v>
      </c>
      <c r="B9623" t="s">
        <v>19493</v>
      </c>
      <c r="C9623" t="s">
        <v>42</v>
      </c>
      <c r="D9623" t="s">
        <v>42482</v>
      </c>
      <c r="E9623" t="e" cm="1">
        <f t="array" ref="E9623">- PHENYLEPHRINE HYDROCHLORIDE. ZINC SULFATE HEPTAHYDRATE</f>
        <v>#NAME?</v>
      </c>
      <c r="F9623" s="1">
        <v>30800</v>
      </c>
      <c r="G9623" t="s">
        <v>42483</v>
      </c>
      <c r="H9623" t="s">
        <v>42484</v>
      </c>
      <c r="I9623" t="s">
        <v>42485</v>
      </c>
      <c r="J9623" t="s">
        <v>26531</v>
      </c>
      <c r="K9623" t="s">
        <v>42486</v>
      </c>
      <c r="L9623" t="s">
        <v>42487</v>
      </c>
      <c r="M9623" t="s">
        <v>824</v>
      </c>
      <c r="N9623" t="s">
        <v>26226</v>
      </c>
      <c r="O9623" t="s">
        <v>42488</v>
      </c>
      <c r="P9623" t="s">
        <v>42489</v>
      </c>
      <c r="Q9623" t="s">
        <v>42605</v>
      </c>
      <c r="R9623">
        <v>45</v>
      </c>
      <c r="S9623">
        <v>64</v>
      </c>
    </row>
    <row r="9624" spans="1:19" x14ac:dyDescent="0.35">
      <c r="A9624">
        <v>1788</v>
      </c>
      <c r="B9624" t="s">
        <v>13250</v>
      </c>
      <c r="C9624" t="s">
        <v>850</v>
      </c>
      <c r="D9624" t="s">
        <v>42598</v>
      </c>
      <c r="E9624" t="e" cm="1">
        <f t="array" ref="E9624">- Lemon Oil</f>
        <v>#NAME?</v>
      </c>
      <c r="F9624" s="1">
        <v>122000</v>
      </c>
      <c r="G9624" t="s">
        <v>42599</v>
      </c>
      <c r="H9624" t="s">
        <v>42600</v>
      </c>
      <c r="I9624" t="s">
        <v>42601</v>
      </c>
      <c r="J9624" t="s">
        <v>3856</v>
      </c>
      <c r="N9624" t="s">
        <v>13251</v>
      </c>
      <c r="O9624" t="s">
        <v>42602</v>
      </c>
      <c r="P9624" t="s">
        <v>42603</v>
      </c>
      <c r="Q9624" t="s">
        <v>42606</v>
      </c>
      <c r="R9624">
        <v>45</v>
      </c>
      <c r="S9624">
        <v>64</v>
      </c>
    </row>
    <row r="9625" spans="1:19" x14ac:dyDescent="0.35">
      <c r="A9625">
        <v>4624</v>
      </c>
      <c r="B9625" t="s">
        <v>19493</v>
      </c>
      <c r="C9625" t="s">
        <v>42</v>
      </c>
      <c r="D9625" t="s">
        <v>42482</v>
      </c>
      <c r="E9625" t="e" cm="1">
        <f t="array" ref="E9625">- PHENYLEPHRINE HYDROCHLORIDE. ZINC SULFATE HEPTAHYDRATE</f>
        <v>#NAME?</v>
      </c>
      <c r="F9625" s="1">
        <v>30800</v>
      </c>
      <c r="G9625" t="s">
        <v>42483</v>
      </c>
      <c r="H9625" t="s">
        <v>42484</v>
      </c>
      <c r="I9625" t="s">
        <v>42485</v>
      </c>
      <c r="J9625" t="s">
        <v>26531</v>
      </c>
      <c r="K9625" t="s">
        <v>42486</v>
      </c>
      <c r="L9625" t="s">
        <v>42487</v>
      </c>
      <c r="M9625" t="s">
        <v>824</v>
      </c>
      <c r="N9625" t="s">
        <v>26226</v>
      </c>
      <c r="O9625" t="s">
        <v>42488</v>
      </c>
      <c r="P9625" t="s">
        <v>42489</v>
      </c>
      <c r="Q9625" t="s">
        <v>42605</v>
      </c>
      <c r="R9625">
        <v>45</v>
      </c>
      <c r="S9625">
        <v>64</v>
      </c>
    </row>
    <row r="9626" spans="1:19" x14ac:dyDescent="0.35">
      <c r="A9626">
        <v>4623</v>
      </c>
      <c r="B9626" t="s">
        <v>19493</v>
      </c>
      <c r="C9626" t="s">
        <v>42</v>
      </c>
      <c r="D9626" t="s">
        <v>42482</v>
      </c>
      <c r="E9626" t="e" cm="1">
        <f t="array" ref="E9626">- PHENYLEPHRINE HYDROCHLORIDE. ZINC SULFATE HEPTAHYDRATE</f>
        <v>#NAME?</v>
      </c>
      <c r="F9626" s="1">
        <v>30800</v>
      </c>
      <c r="G9626" t="s">
        <v>42483</v>
      </c>
      <c r="H9626" t="s">
        <v>42484</v>
      </c>
      <c r="I9626" t="s">
        <v>42485</v>
      </c>
      <c r="J9626" t="s">
        <v>26531</v>
      </c>
      <c r="K9626" t="s">
        <v>42486</v>
      </c>
      <c r="L9626" t="s">
        <v>42487</v>
      </c>
      <c r="M9626" t="s">
        <v>824</v>
      </c>
      <c r="N9626" t="s">
        <v>26226</v>
      </c>
      <c r="O9626" t="s">
        <v>42488</v>
      </c>
      <c r="P9626" t="s">
        <v>42489</v>
      </c>
      <c r="Q9626" t="s">
        <v>42605</v>
      </c>
      <c r="R9626">
        <v>45</v>
      </c>
      <c r="S9626">
        <v>64</v>
      </c>
    </row>
    <row r="9627" spans="1:19" x14ac:dyDescent="0.35">
      <c r="A9627">
        <v>4625</v>
      </c>
      <c r="B9627" t="s">
        <v>19493</v>
      </c>
      <c r="C9627" t="s">
        <v>42</v>
      </c>
      <c r="D9627" t="s">
        <v>42482</v>
      </c>
      <c r="E9627" t="e" cm="1">
        <f t="array" ref="E9627">- PHENYLEPHRINE HYDROCHLORIDE. ZINC SULFATE HEPTAHYDRATE</f>
        <v>#NAME?</v>
      </c>
      <c r="F9627" s="1">
        <v>30800</v>
      </c>
      <c r="G9627" t="s">
        <v>42483</v>
      </c>
      <c r="H9627" t="s">
        <v>42484</v>
      </c>
      <c r="I9627" t="s">
        <v>42485</v>
      </c>
      <c r="J9627" t="s">
        <v>26531</v>
      </c>
      <c r="K9627" t="s">
        <v>42486</v>
      </c>
      <c r="L9627" t="s">
        <v>42487</v>
      </c>
      <c r="M9627" t="s">
        <v>824</v>
      </c>
      <c r="N9627" t="s">
        <v>26226</v>
      </c>
      <c r="O9627" t="s">
        <v>42488</v>
      </c>
      <c r="P9627" t="s">
        <v>42489</v>
      </c>
      <c r="Q9627" t="s">
        <v>42605</v>
      </c>
      <c r="R9627">
        <v>45</v>
      </c>
      <c r="S9627">
        <v>64</v>
      </c>
    </row>
    <row r="9628" spans="1:19" x14ac:dyDescent="0.35">
      <c r="A9628">
        <v>8590</v>
      </c>
      <c r="B9628" t="s">
        <v>42521</v>
      </c>
      <c r="C9628" t="s">
        <v>42</v>
      </c>
      <c r="D9628" t="s">
        <v>42522</v>
      </c>
      <c r="E9628" t="e" cm="1">
        <f t="array" ref="E9628">- METFORMIN HYDROCHLORIDE. PIOGLITAZONE HYDROCHLORIDE</f>
        <v>#NAME?</v>
      </c>
      <c r="F9628" t="s">
        <v>42523</v>
      </c>
      <c r="G9628" t="s">
        <v>2241</v>
      </c>
      <c r="H9628" t="s">
        <v>42524</v>
      </c>
      <c r="I9628" t="s">
        <v>42525</v>
      </c>
      <c r="J9628" t="s">
        <v>42526</v>
      </c>
      <c r="K9628" t="s">
        <v>42527</v>
      </c>
    </row>
    <row r="9629" spans="1:19" x14ac:dyDescent="0.35">
      <c r="A9629">
        <v>4622</v>
      </c>
      <c r="B9629" t="s">
        <v>19493</v>
      </c>
      <c r="C9629" t="s">
        <v>42</v>
      </c>
      <c r="D9629" t="s">
        <v>42482</v>
      </c>
      <c r="E9629" t="e" cm="1">
        <f t="array" ref="E9629">- PHENYLEPHRINE HYDROCHLORIDE. ZINC SULFATE HEPTAHYDRATE</f>
        <v>#NAME?</v>
      </c>
      <c r="F9629" s="1">
        <v>30800</v>
      </c>
      <c r="G9629" t="s">
        <v>42483</v>
      </c>
      <c r="H9629" t="s">
        <v>42484</v>
      </c>
      <c r="I9629" t="s">
        <v>42485</v>
      </c>
      <c r="J9629" t="s">
        <v>26531</v>
      </c>
      <c r="K9629" t="s">
        <v>42486</v>
      </c>
      <c r="L9629" t="s">
        <v>42487</v>
      </c>
      <c r="M9629" t="s">
        <v>824</v>
      </c>
      <c r="N9629" t="s">
        <v>26226</v>
      </c>
      <c r="O9629" t="s">
        <v>42488</v>
      </c>
      <c r="P9629" t="s">
        <v>42489</v>
      </c>
      <c r="Q9629" t="s">
        <v>42605</v>
      </c>
      <c r="R9629">
        <v>45</v>
      </c>
      <c r="S9629">
        <v>64</v>
      </c>
    </row>
    <row r="9630" spans="1:19" x14ac:dyDescent="0.35">
      <c r="A9630">
        <v>8591</v>
      </c>
      <c r="B9630" t="s">
        <v>42521</v>
      </c>
      <c r="C9630" t="s">
        <v>42</v>
      </c>
      <c r="D9630" t="s">
        <v>42522</v>
      </c>
      <c r="E9630" t="e" cm="1">
        <f t="array" ref="E9630">- METFORMIN HYDROCHLORIDE. PIOGLITAZONE HYDROCHLORIDE</f>
        <v>#NAME?</v>
      </c>
      <c r="F9630" t="s">
        <v>42523</v>
      </c>
      <c r="G9630" t="s">
        <v>2241</v>
      </c>
      <c r="H9630" t="s">
        <v>42524</v>
      </c>
      <c r="I9630" t="s">
        <v>42525</v>
      </c>
      <c r="J9630" t="s">
        <v>42526</v>
      </c>
      <c r="K9630" t="s">
        <v>42527</v>
      </c>
    </row>
    <row r="9631" spans="1:19" x14ac:dyDescent="0.35">
      <c r="A9631">
        <v>8592</v>
      </c>
      <c r="B9631" t="s">
        <v>42521</v>
      </c>
      <c r="C9631" t="s">
        <v>42</v>
      </c>
      <c r="D9631" t="s">
        <v>42522</v>
      </c>
      <c r="E9631" t="e" cm="1">
        <f t="array" ref="E9631">- METFORMIN HYDROCHLORIDE. PIOGLITAZONE HYDROCHLORIDE</f>
        <v>#NAME?</v>
      </c>
      <c r="F9631" t="s">
        <v>42523</v>
      </c>
      <c r="G9631" t="s">
        <v>2241</v>
      </c>
      <c r="H9631" t="s">
        <v>42524</v>
      </c>
      <c r="I9631" t="s">
        <v>42525</v>
      </c>
      <c r="J9631" t="s">
        <v>42526</v>
      </c>
      <c r="K9631" t="s">
        <v>42527</v>
      </c>
    </row>
    <row r="9632" spans="1:19" x14ac:dyDescent="0.35">
      <c r="A9632">
        <v>4360</v>
      </c>
      <c r="B9632" t="s">
        <v>1637</v>
      </c>
      <c r="C9632" t="s">
        <v>42</v>
      </c>
      <c r="D9632" t="s">
        <v>42598</v>
      </c>
      <c r="E9632" t="e" cm="1">
        <f t="array" ref="E9632">- OFLOXACIN</f>
        <v>#NAME?</v>
      </c>
      <c r="F9632" s="1">
        <v>122000</v>
      </c>
      <c r="G9632" t="s">
        <v>42599</v>
      </c>
      <c r="H9632" t="s">
        <v>42600</v>
      </c>
      <c r="I9632" t="s">
        <v>42601</v>
      </c>
      <c r="J9632" t="s">
        <v>3856</v>
      </c>
      <c r="M9632" t="s">
        <v>824</v>
      </c>
      <c r="N9632" t="s">
        <v>1640</v>
      </c>
      <c r="O9632" t="s">
        <v>42602</v>
      </c>
      <c r="P9632" t="s">
        <v>42603</v>
      </c>
      <c r="Q9632" t="s">
        <v>42607</v>
      </c>
      <c r="R9632">
        <v>45</v>
      </c>
      <c r="S9632">
        <v>64</v>
      </c>
    </row>
    <row r="9633" spans="1:19" x14ac:dyDescent="0.35">
      <c r="A9633">
        <v>4626</v>
      </c>
      <c r="B9633" t="s">
        <v>19493</v>
      </c>
      <c r="C9633" t="s">
        <v>42</v>
      </c>
      <c r="D9633" t="s">
        <v>42482</v>
      </c>
      <c r="E9633" t="e" cm="1">
        <f t="array" ref="E9633">- PHENYLEPHRINE HYDROCHLORIDE. ZINC SULFATE HEPTAHYDRATE</f>
        <v>#NAME?</v>
      </c>
      <c r="F9633" s="1">
        <v>30800</v>
      </c>
      <c r="G9633" t="s">
        <v>42483</v>
      </c>
      <c r="H9633" t="s">
        <v>42484</v>
      </c>
      <c r="I9633" t="s">
        <v>42485</v>
      </c>
      <c r="J9633" t="s">
        <v>26531</v>
      </c>
      <c r="K9633" t="s">
        <v>42486</v>
      </c>
      <c r="L9633" t="s">
        <v>42487</v>
      </c>
      <c r="M9633" t="s">
        <v>824</v>
      </c>
      <c r="N9633" t="s">
        <v>26226</v>
      </c>
      <c r="O9633" t="s">
        <v>42488</v>
      </c>
      <c r="P9633" t="s">
        <v>42489</v>
      </c>
      <c r="Q9633" t="s">
        <v>42605</v>
      </c>
      <c r="R9633">
        <v>45</v>
      </c>
      <c r="S9633">
        <v>64</v>
      </c>
    </row>
    <row r="9634" spans="1:19" x14ac:dyDescent="0.35">
      <c r="A9634">
        <v>4627</v>
      </c>
      <c r="B9634" t="s">
        <v>19493</v>
      </c>
      <c r="C9634" t="s">
        <v>42</v>
      </c>
      <c r="D9634" t="s">
        <v>42482</v>
      </c>
      <c r="E9634" t="e" cm="1">
        <f t="array" ref="E9634">- PHENYLEPHRINE HYDROCHLORIDE. ZINC SULFATE HEPTAHYDRATE</f>
        <v>#NAME?</v>
      </c>
      <c r="F9634" s="1">
        <v>30800</v>
      </c>
      <c r="G9634" t="s">
        <v>42483</v>
      </c>
      <c r="H9634" t="s">
        <v>42484</v>
      </c>
      <c r="I9634" t="s">
        <v>42485</v>
      </c>
      <c r="J9634" t="s">
        <v>26531</v>
      </c>
      <c r="K9634" t="s">
        <v>42486</v>
      </c>
      <c r="L9634" t="s">
        <v>42487</v>
      </c>
      <c r="M9634" t="s">
        <v>824</v>
      </c>
      <c r="N9634" t="s">
        <v>26226</v>
      </c>
      <c r="O9634" t="s">
        <v>42488</v>
      </c>
      <c r="P9634" t="s">
        <v>42489</v>
      </c>
      <c r="Q9634" t="s">
        <v>42605</v>
      </c>
      <c r="R9634">
        <v>45</v>
      </c>
      <c r="S9634">
        <v>64</v>
      </c>
    </row>
    <row r="9635" spans="1:19" x14ac:dyDescent="0.35">
      <c r="A9635">
        <v>4628</v>
      </c>
      <c r="B9635" t="s">
        <v>19493</v>
      </c>
      <c r="C9635" t="s">
        <v>42</v>
      </c>
      <c r="D9635" t="s">
        <v>42482</v>
      </c>
      <c r="E9635" t="e" cm="1">
        <f t="array" ref="E9635">- PHENYLEPHRINE HYDROCHLORIDE. ZINC SULFATE HEPTAHYDRATE</f>
        <v>#NAME?</v>
      </c>
      <c r="F9635" s="1">
        <v>30800</v>
      </c>
      <c r="G9635" t="s">
        <v>42483</v>
      </c>
      <c r="H9635" t="s">
        <v>42484</v>
      </c>
      <c r="I9635" t="s">
        <v>42485</v>
      </c>
      <c r="J9635" t="s">
        <v>26531</v>
      </c>
      <c r="K9635" t="s">
        <v>42486</v>
      </c>
      <c r="L9635" t="s">
        <v>42487</v>
      </c>
      <c r="M9635" t="s">
        <v>824</v>
      </c>
      <c r="N9635" t="s">
        <v>26226</v>
      </c>
      <c r="O9635" t="s">
        <v>42488</v>
      </c>
      <c r="P9635" t="s">
        <v>42489</v>
      </c>
      <c r="Q9635" t="s">
        <v>42605</v>
      </c>
      <c r="R9635">
        <v>45</v>
      </c>
      <c r="S9635">
        <v>64</v>
      </c>
    </row>
    <row r="9636" spans="1:19" x14ac:dyDescent="0.35">
      <c r="A9636">
        <v>8816</v>
      </c>
      <c r="B9636" t="s">
        <v>42585</v>
      </c>
      <c r="C9636" t="s">
        <v>42</v>
      </c>
      <c r="D9636" t="s">
        <v>42586</v>
      </c>
      <c r="E9636" t="e" cm="1">
        <f t="array" ref="E9636">- PIOGLITAZONE HYDROCHLORIDE. METFORMIN HYDROCHLORIDE</f>
        <v>#NAME?</v>
      </c>
      <c r="F9636" t="s">
        <v>42587</v>
      </c>
      <c r="G9636" t="s">
        <v>33282</v>
      </c>
      <c r="H9636" t="s">
        <v>42588</v>
      </c>
      <c r="I9636" t="s">
        <v>42525</v>
      </c>
      <c r="J9636" t="s">
        <v>10107</v>
      </c>
      <c r="K9636" t="s">
        <v>42589</v>
      </c>
    </row>
    <row r="9637" spans="1:19" x14ac:dyDescent="0.35">
      <c r="A9637">
        <v>7477</v>
      </c>
      <c r="B9637" t="s">
        <v>42608</v>
      </c>
      <c r="C9637" t="s">
        <v>20</v>
      </c>
      <c r="D9637" t="s">
        <v>42609</v>
      </c>
      <c r="E9637" t="s">
        <v>42610</v>
      </c>
      <c r="F9637" t="s">
        <v>42611</v>
      </c>
      <c r="G9637" t="s">
        <v>2241</v>
      </c>
      <c r="H9637" t="s">
        <v>42612</v>
      </c>
      <c r="I9637" t="s">
        <v>42613</v>
      </c>
      <c r="J9637" t="s">
        <v>75</v>
      </c>
      <c r="L9637" t="s">
        <v>42614</v>
      </c>
      <c r="M9637" t="s">
        <v>38</v>
      </c>
      <c r="N9637" t="s">
        <v>42615</v>
      </c>
      <c r="O9637" t="s">
        <v>42616</v>
      </c>
      <c r="P9637" t="s">
        <v>42617</v>
      </c>
      <c r="Q9637" t="s">
        <v>42618</v>
      </c>
      <c r="R9637">
        <v>46</v>
      </c>
      <c r="S9637">
        <v>64</v>
      </c>
    </row>
    <row r="9638" spans="1:19" x14ac:dyDescent="0.35">
      <c r="A9638">
        <v>8456</v>
      </c>
      <c r="B9638" t="s">
        <v>551</v>
      </c>
      <c r="C9638" t="s">
        <v>42</v>
      </c>
      <c r="D9638" t="s">
        <v>42619</v>
      </c>
      <c r="E9638" t="e" cm="1">
        <f t="array" ref="E9638">- POVIDONE-IODINE</f>
        <v>#NAME?</v>
      </c>
      <c r="F9638" t="s">
        <v>42620</v>
      </c>
      <c r="H9638" t="s">
        <v>1322</v>
      </c>
      <c r="I9638" t="s">
        <v>42621</v>
      </c>
      <c r="J9638" t="s">
        <v>13954</v>
      </c>
      <c r="M9638" t="s">
        <v>554</v>
      </c>
      <c r="N9638" t="s">
        <v>555</v>
      </c>
      <c r="O9638" t="s">
        <v>42622</v>
      </c>
      <c r="P9638" t="s">
        <v>42623</v>
      </c>
      <c r="Q9638" t="s">
        <v>42624</v>
      </c>
      <c r="R9638">
        <v>46</v>
      </c>
      <c r="S9638">
        <v>64</v>
      </c>
    </row>
    <row r="9639" spans="1:19" x14ac:dyDescent="0.35">
      <c r="A9639">
        <v>8202</v>
      </c>
      <c r="B9639" t="s">
        <v>551</v>
      </c>
      <c r="C9639" t="s">
        <v>42</v>
      </c>
      <c r="D9639" t="s">
        <v>42625</v>
      </c>
      <c r="E9639" t="e" cm="1">
        <f t="array" ref="E9639">- POVIDONE-IODINE</f>
        <v>#NAME?</v>
      </c>
      <c r="F9639" t="s">
        <v>39985</v>
      </c>
      <c r="H9639" t="s">
        <v>42626</v>
      </c>
      <c r="I9639" t="s">
        <v>42627</v>
      </c>
      <c r="J9639" t="s">
        <v>42628</v>
      </c>
      <c r="M9639" t="s">
        <v>554</v>
      </c>
      <c r="N9639" t="s">
        <v>555</v>
      </c>
      <c r="O9639" t="s">
        <v>42629</v>
      </c>
      <c r="P9639" t="s">
        <v>42630</v>
      </c>
      <c r="Q9639" t="s">
        <v>42631</v>
      </c>
      <c r="R9639">
        <v>46</v>
      </c>
      <c r="S9639">
        <v>64</v>
      </c>
    </row>
    <row r="9640" spans="1:19" x14ac:dyDescent="0.35">
      <c r="A9640">
        <v>6603</v>
      </c>
      <c r="B9640" t="s">
        <v>42632</v>
      </c>
      <c r="C9640" t="s">
        <v>42</v>
      </c>
      <c r="D9640" t="s">
        <v>42633</v>
      </c>
      <c r="E9640" t="e" cm="1">
        <f t="array" ref="E9640">- KETOCONAZOLE</f>
        <v>#NAME?</v>
      </c>
      <c r="F9640" t="s">
        <v>42634</v>
      </c>
      <c r="G9640" t="s">
        <v>2241</v>
      </c>
      <c r="H9640" t="s">
        <v>42593</v>
      </c>
      <c r="I9640" t="s">
        <v>42594</v>
      </c>
      <c r="J9640" t="s">
        <v>532</v>
      </c>
      <c r="K9640" t="s">
        <v>26789</v>
      </c>
      <c r="L9640" t="s">
        <v>42595</v>
      </c>
      <c r="M9640" t="s">
        <v>46</v>
      </c>
      <c r="N9640" t="s">
        <v>533</v>
      </c>
      <c r="O9640" t="s">
        <v>42596</v>
      </c>
      <c r="P9640" t="s">
        <v>42635</v>
      </c>
      <c r="Q9640" t="s">
        <v>42636</v>
      </c>
      <c r="R9640">
        <v>46</v>
      </c>
      <c r="S9640">
        <v>64</v>
      </c>
    </row>
    <row r="9641" spans="1:19" x14ac:dyDescent="0.35">
      <c r="A9641">
        <v>1790</v>
      </c>
      <c r="B9641" t="s">
        <v>13250</v>
      </c>
      <c r="C9641" t="s">
        <v>850</v>
      </c>
      <c r="D9641" t="s">
        <v>42637</v>
      </c>
      <c r="E9641" t="e" cm="1">
        <f t="array" ref="E9641">- Lemon Oil</f>
        <v>#NAME?</v>
      </c>
      <c r="F9641" s="1">
        <v>129000</v>
      </c>
      <c r="G9641" t="s">
        <v>42638</v>
      </c>
      <c r="H9641" t="s">
        <v>42639</v>
      </c>
      <c r="I9641" t="s">
        <v>42640</v>
      </c>
      <c r="J9641" t="s">
        <v>3856</v>
      </c>
      <c r="N9641" t="s">
        <v>13251</v>
      </c>
      <c r="O9641" t="s">
        <v>42641</v>
      </c>
      <c r="P9641" t="s">
        <v>42642</v>
      </c>
      <c r="Q9641" t="s">
        <v>42643</v>
      </c>
      <c r="R9641">
        <v>46</v>
      </c>
      <c r="S9641">
        <v>64</v>
      </c>
    </row>
    <row r="9642" spans="1:19" x14ac:dyDescent="0.35">
      <c r="A9642">
        <v>1365</v>
      </c>
      <c r="B9642" t="s">
        <v>2074</v>
      </c>
      <c r="C9642" t="s">
        <v>42</v>
      </c>
      <c r="D9642" t="s">
        <v>42637</v>
      </c>
      <c r="E9642" t="e" cm="1">
        <f t="array" ref="E9642">- GUAIFENESIN</f>
        <v>#NAME?</v>
      </c>
      <c r="F9642" s="1">
        <v>129000</v>
      </c>
      <c r="G9642" t="s">
        <v>42638</v>
      </c>
      <c r="H9642" t="s">
        <v>42639</v>
      </c>
      <c r="I9642" t="s">
        <v>42640</v>
      </c>
      <c r="J9642" t="s">
        <v>3856</v>
      </c>
      <c r="M9642" t="s">
        <v>46</v>
      </c>
      <c r="N9642" t="s">
        <v>361</v>
      </c>
      <c r="O9642" t="s">
        <v>42641</v>
      </c>
      <c r="P9642" t="s">
        <v>42642</v>
      </c>
      <c r="Q9642" t="s">
        <v>42644</v>
      </c>
      <c r="R9642">
        <v>46</v>
      </c>
      <c r="S9642">
        <v>64</v>
      </c>
    </row>
    <row r="9643" spans="1:19" x14ac:dyDescent="0.35">
      <c r="A9643">
        <v>8203</v>
      </c>
      <c r="B9643" t="s">
        <v>551</v>
      </c>
      <c r="C9643" t="s">
        <v>42</v>
      </c>
      <c r="D9643" t="s">
        <v>42625</v>
      </c>
      <c r="E9643" t="e" cm="1">
        <f t="array" ref="E9643">- POVIDONE-IODINE</f>
        <v>#NAME?</v>
      </c>
      <c r="F9643" t="s">
        <v>39985</v>
      </c>
      <c r="H9643" t="s">
        <v>42626</v>
      </c>
      <c r="I9643" t="s">
        <v>42627</v>
      </c>
      <c r="J9643" t="s">
        <v>42628</v>
      </c>
      <c r="M9643" t="s">
        <v>554</v>
      </c>
      <c r="N9643" t="s">
        <v>555</v>
      </c>
      <c r="O9643" t="s">
        <v>42629</v>
      </c>
      <c r="P9643" t="s">
        <v>42630</v>
      </c>
      <c r="Q9643" t="s">
        <v>42631</v>
      </c>
      <c r="R9643">
        <v>46</v>
      </c>
      <c r="S9643">
        <v>64</v>
      </c>
    </row>
    <row r="9644" spans="1:19" x14ac:dyDescent="0.35">
      <c r="A9644">
        <v>4363</v>
      </c>
      <c r="B9644" t="s">
        <v>1637</v>
      </c>
      <c r="C9644" t="s">
        <v>42</v>
      </c>
      <c r="D9644" t="s">
        <v>42637</v>
      </c>
      <c r="E9644" t="e" cm="1">
        <f t="array" ref="E9644">- OFLOXACIN</f>
        <v>#NAME?</v>
      </c>
      <c r="F9644" s="1">
        <v>129000</v>
      </c>
      <c r="G9644" t="s">
        <v>42638</v>
      </c>
      <c r="H9644" t="s">
        <v>42639</v>
      </c>
      <c r="I9644" t="s">
        <v>42640</v>
      </c>
      <c r="J9644" t="s">
        <v>3856</v>
      </c>
      <c r="M9644" t="s">
        <v>824</v>
      </c>
      <c r="N9644" t="s">
        <v>1640</v>
      </c>
      <c r="O9644" t="s">
        <v>42641</v>
      </c>
      <c r="P9644" t="s">
        <v>42642</v>
      </c>
      <c r="Q9644" t="s">
        <v>42645</v>
      </c>
      <c r="R9644">
        <v>46</v>
      </c>
      <c r="S9644">
        <v>64</v>
      </c>
    </row>
    <row r="9645" spans="1:19" x14ac:dyDescent="0.35">
      <c r="A9645">
        <v>7772</v>
      </c>
      <c r="B9645" t="s">
        <v>7898</v>
      </c>
      <c r="C9645" t="s">
        <v>20</v>
      </c>
      <c r="D9645" t="s">
        <v>42646</v>
      </c>
      <c r="E9645" t="s">
        <v>7900</v>
      </c>
      <c r="F9645" t="s">
        <v>42647</v>
      </c>
      <c r="G9645" t="s">
        <v>1322</v>
      </c>
      <c r="H9645" t="s">
        <v>42648</v>
      </c>
      <c r="I9645" t="s">
        <v>42649</v>
      </c>
      <c r="J9645" t="s">
        <v>42650</v>
      </c>
      <c r="N9645" t="s">
        <v>7902</v>
      </c>
      <c r="O9645" t="s">
        <v>42651</v>
      </c>
      <c r="P9645" t="s">
        <v>7903</v>
      </c>
      <c r="Q9645" t="s">
        <v>42652</v>
      </c>
      <c r="R9645">
        <v>46</v>
      </c>
      <c r="S9645">
        <v>64</v>
      </c>
    </row>
    <row r="9646" spans="1:19" x14ac:dyDescent="0.35">
      <c r="A9646">
        <v>8457</v>
      </c>
      <c r="B9646" t="s">
        <v>551</v>
      </c>
      <c r="C9646" t="s">
        <v>42</v>
      </c>
      <c r="D9646" t="s">
        <v>42619</v>
      </c>
      <c r="E9646" t="e" cm="1">
        <f t="array" ref="E9646">- POVIDONE-IODINE</f>
        <v>#NAME?</v>
      </c>
      <c r="F9646" t="s">
        <v>42620</v>
      </c>
      <c r="H9646" t="s">
        <v>1322</v>
      </c>
      <c r="I9646" t="s">
        <v>42621</v>
      </c>
      <c r="J9646" t="s">
        <v>13954</v>
      </c>
      <c r="M9646" t="s">
        <v>554</v>
      </c>
      <c r="N9646" t="s">
        <v>555</v>
      </c>
      <c r="O9646" t="s">
        <v>42622</v>
      </c>
      <c r="P9646" t="s">
        <v>42623</v>
      </c>
      <c r="Q9646" t="s">
        <v>42624</v>
      </c>
      <c r="R9646">
        <v>46</v>
      </c>
      <c r="S9646">
        <v>64</v>
      </c>
    </row>
    <row r="9647" spans="1:19" x14ac:dyDescent="0.35">
      <c r="A9647">
        <v>6547</v>
      </c>
      <c r="B9647" t="s">
        <v>42653</v>
      </c>
      <c r="C9647" t="s">
        <v>42</v>
      </c>
      <c r="D9647" t="s">
        <v>42654</v>
      </c>
      <c r="E9647" t="e" cm="1">
        <f t="array" ref="E9647">- KETOCONAZOLE</f>
        <v>#NAME?</v>
      </c>
      <c r="F9647" t="s">
        <v>42655</v>
      </c>
      <c r="G9647" t="s">
        <v>2241</v>
      </c>
      <c r="H9647" t="s">
        <v>42593</v>
      </c>
      <c r="I9647" t="s">
        <v>42594</v>
      </c>
      <c r="J9647" t="s">
        <v>2402</v>
      </c>
      <c r="K9647" t="s">
        <v>26789</v>
      </c>
      <c r="L9647" t="s">
        <v>42595</v>
      </c>
      <c r="M9647" t="s">
        <v>46</v>
      </c>
      <c r="N9647" t="s">
        <v>533</v>
      </c>
      <c r="O9647" t="s">
        <v>42596</v>
      </c>
      <c r="P9647" t="s">
        <v>42656</v>
      </c>
      <c r="Q9647" t="s">
        <v>42657</v>
      </c>
      <c r="R9647">
        <v>46</v>
      </c>
      <c r="S9647">
        <v>64</v>
      </c>
    </row>
    <row r="9648" spans="1:19" x14ac:dyDescent="0.35">
      <c r="A9648">
        <v>7770</v>
      </c>
      <c r="B9648" t="s">
        <v>7898</v>
      </c>
      <c r="C9648" t="s">
        <v>20</v>
      </c>
      <c r="D9648" t="s">
        <v>42658</v>
      </c>
      <c r="E9648" t="s">
        <v>7900</v>
      </c>
      <c r="F9648" t="s">
        <v>42659</v>
      </c>
      <c r="G9648" t="s">
        <v>1322</v>
      </c>
      <c r="H9648" t="s">
        <v>42648</v>
      </c>
      <c r="I9648" t="s">
        <v>42649</v>
      </c>
      <c r="J9648" t="s">
        <v>37807</v>
      </c>
      <c r="N9648" t="s">
        <v>7902</v>
      </c>
      <c r="O9648" t="s">
        <v>42651</v>
      </c>
      <c r="P9648" t="s">
        <v>7903</v>
      </c>
      <c r="Q9648" t="s">
        <v>42652</v>
      </c>
      <c r="R9648">
        <v>46</v>
      </c>
      <c r="S9648">
        <v>64</v>
      </c>
    </row>
    <row r="9649" spans="1:19" x14ac:dyDescent="0.35">
      <c r="A9649">
        <v>7409</v>
      </c>
      <c r="B9649" t="s">
        <v>42506</v>
      </c>
      <c r="C9649" t="s">
        <v>42</v>
      </c>
      <c r="D9649" t="s">
        <v>42507</v>
      </c>
      <c r="E9649" t="e" cm="1">
        <f t="array" ref="E9649">- THIAMINE DISULFIDE. PYRIDOXINE HYDROCHLORIDE. CYANOCOBALAMIN</f>
        <v>#NAME?</v>
      </c>
      <c r="F9649" t="s">
        <v>42508</v>
      </c>
      <c r="G9649" t="s">
        <v>6135</v>
      </c>
      <c r="H9649" t="s">
        <v>42509</v>
      </c>
      <c r="I9649" t="s">
        <v>42510</v>
      </c>
      <c r="J9649" t="s">
        <v>7479</v>
      </c>
      <c r="K9649" t="s">
        <v>2858</v>
      </c>
      <c r="L9649" t="s">
        <v>42317</v>
      </c>
      <c r="M9649" t="s">
        <v>46</v>
      </c>
      <c r="N9649" t="s">
        <v>27133</v>
      </c>
      <c r="O9649" t="s">
        <v>42511</v>
      </c>
      <c r="P9649" t="s">
        <v>42512</v>
      </c>
      <c r="Q9649" t="s">
        <v>42660</v>
      </c>
      <c r="R9649">
        <v>47</v>
      </c>
      <c r="S9649">
        <v>64</v>
      </c>
    </row>
    <row r="9650" spans="1:19" x14ac:dyDescent="0.35">
      <c r="A9650">
        <v>4886</v>
      </c>
      <c r="B9650" t="s">
        <v>42661</v>
      </c>
      <c r="C9650" t="s">
        <v>42</v>
      </c>
      <c r="D9650" t="s">
        <v>42662</v>
      </c>
      <c r="E9650" t="e" cm="1">
        <f t="array" ref="E9650">- GENTAMICIN SULFATE</f>
        <v>#NAME?</v>
      </c>
      <c r="F9650" s="1">
        <v>54500</v>
      </c>
      <c r="H9650" t="s">
        <v>42663</v>
      </c>
      <c r="I9650" t="s">
        <v>42664</v>
      </c>
      <c r="J9650" t="s">
        <v>42665</v>
      </c>
      <c r="K9650" t="s">
        <v>42666</v>
      </c>
      <c r="L9650" t="s">
        <v>42667</v>
      </c>
    </row>
    <row r="9651" spans="1:19" x14ac:dyDescent="0.35">
      <c r="A9651">
        <v>4885</v>
      </c>
      <c r="B9651" t="s">
        <v>42661</v>
      </c>
      <c r="C9651" t="s">
        <v>42</v>
      </c>
      <c r="D9651" t="s">
        <v>42662</v>
      </c>
      <c r="E9651" t="e" cm="1">
        <f t="array" ref="E9651">- GENTAMICIN SULFATE</f>
        <v>#NAME?</v>
      </c>
      <c r="F9651" s="1">
        <v>54500</v>
      </c>
      <c r="H9651" t="s">
        <v>42663</v>
      </c>
      <c r="I9651" t="s">
        <v>42664</v>
      </c>
      <c r="J9651" t="s">
        <v>42665</v>
      </c>
      <c r="K9651" t="s">
        <v>42666</v>
      </c>
      <c r="L9651" t="s">
        <v>42667</v>
      </c>
    </row>
    <row r="9652" spans="1:19" x14ac:dyDescent="0.35">
      <c r="A9652">
        <v>8189</v>
      </c>
      <c r="B9652" t="s">
        <v>551</v>
      </c>
      <c r="C9652" t="s">
        <v>42</v>
      </c>
      <c r="D9652" t="s">
        <v>42668</v>
      </c>
      <c r="E9652" t="e" cm="1">
        <f t="array" ref="E9652">- POVIDONE-IODINE</f>
        <v>#NAME?</v>
      </c>
      <c r="F9652" t="s">
        <v>42669</v>
      </c>
      <c r="G9652" t="s">
        <v>42670</v>
      </c>
      <c r="H9652" t="s">
        <v>1322</v>
      </c>
      <c r="I9652" t="s">
        <v>42671</v>
      </c>
      <c r="J9652" t="s">
        <v>42672</v>
      </c>
      <c r="M9652" t="s">
        <v>554</v>
      </c>
      <c r="N9652" t="s">
        <v>555</v>
      </c>
      <c r="O9652" t="s">
        <v>42673</v>
      </c>
      <c r="P9652" t="s">
        <v>34897</v>
      </c>
      <c r="Q9652" t="s">
        <v>42674</v>
      </c>
      <c r="R9652">
        <v>48</v>
      </c>
      <c r="S9652">
        <v>64</v>
      </c>
    </row>
    <row r="9653" spans="1:19" x14ac:dyDescent="0.35">
      <c r="A9653">
        <v>8188</v>
      </c>
      <c r="B9653" t="s">
        <v>551</v>
      </c>
      <c r="C9653" t="s">
        <v>42</v>
      </c>
      <c r="D9653" t="s">
        <v>42668</v>
      </c>
      <c r="E9653" t="e" cm="1">
        <f t="array" ref="E9653">- POVIDONE-IODINE</f>
        <v>#NAME?</v>
      </c>
      <c r="F9653" t="s">
        <v>42669</v>
      </c>
      <c r="G9653" t="s">
        <v>42670</v>
      </c>
      <c r="H9653" t="s">
        <v>1322</v>
      </c>
      <c r="I9653" t="s">
        <v>42671</v>
      </c>
      <c r="J9653" t="s">
        <v>42672</v>
      </c>
      <c r="M9653" t="s">
        <v>554</v>
      </c>
      <c r="N9653" t="s">
        <v>555</v>
      </c>
      <c r="O9653" t="s">
        <v>42673</v>
      </c>
      <c r="P9653" t="s">
        <v>34897</v>
      </c>
      <c r="Q9653" t="s">
        <v>42674</v>
      </c>
      <c r="R9653">
        <v>48</v>
      </c>
      <c r="S9653">
        <v>64</v>
      </c>
    </row>
    <row r="9654" spans="1:19" x14ac:dyDescent="0.35">
      <c r="A9654">
        <v>9306</v>
      </c>
      <c r="B9654" t="s">
        <v>42675</v>
      </c>
      <c r="C9654" t="s">
        <v>42</v>
      </c>
      <c r="D9654" t="s">
        <v>42676</v>
      </c>
      <c r="E9654" t="e" cm="1">
        <f t="array" ref="E9654">- RAMIPRIL</f>
        <v>#NAME?</v>
      </c>
      <c r="F9654" s="1">
        <v>144600</v>
      </c>
      <c r="G9654" t="s">
        <v>3098</v>
      </c>
      <c r="H9654" t="s">
        <v>42677</v>
      </c>
    </row>
    <row r="9655" spans="1:19" x14ac:dyDescent="0.35">
      <c r="A9655">
        <v>3131</v>
      </c>
      <c r="B9655" t="s">
        <v>42678</v>
      </c>
      <c r="C9655" t="s">
        <v>42</v>
      </c>
      <c r="D9655" t="s">
        <v>42679</v>
      </c>
      <c r="E9655" t="e" cm="1">
        <f t="array" ref="E9655">- VONOPRAZAN FUMARATE</f>
        <v>#NAME?</v>
      </c>
      <c r="F9655" t="s">
        <v>42680</v>
      </c>
      <c r="G9655" t="s">
        <v>42681</v>
      </c>
      <c r="H9655" t="s">
        <v>42682</v>
      </c>
      <c r="I9655" t="s">
        <v>42683</v>
      </c>
      <c r="J9655" t="s">
        <v>2478</v>
      </c>
      <c r="L9655" t="s">
        <v>42684</v>
      </c>
      <c r="M9655" t="s">
        <v>46</v>
      </c>
      <c r="N9655" t="s">
        <v>42685</v>
      </c>
      <c r="O9655" t="s">
        <v>42686</v>
      </c>
      <c r="P9655" t="s">
        <v>42687</v>
      </c>
      <c r="Q9655" t="s">
        <v>42688</v>
      </c>
      <c r="R9655">
        <v>49</v>
      </c>
      <c r="S9655">
        <v>64</v>
      </c>
    </row>
    <row r="9656" spans="1:19" x14ac:dyDescent="0.35">
      <c r="A9656">
        <v>9307</v>
      </c>
      <c r="B9656" t="s">
        <v>42675</v>
      </c>
      <c r="C9656" t="s">
        <v>42</v>
      </c>
      <c r="D9656" t="s">
        <v>42676</v>
      </c>
      <c r="E9656" t="e" cm="1">
        <f t="array" ref="E9656">- RAMIPRIL</f>
        <v>#NAME?</v>
      </c>
      <c r="F9656" s="1">
        <v>144600</v>
      </c>
      <c r="G9656" t="s">
        <v>3098</v>
      </c>
      <c r="H9656" t="s">
        <v>42677</v>
      </c>
    </row>
    <row r="9657" spans="1:19" x14ac:dyDescent="0.35">
      <c r="A9657">
        <v>3130</v>
      </c>
      <c r="B9657" t="s">
        <v>42678</v>
      </c>
      <c r="C9657" t="s">
        <v>42</v>
      </c>
      <c r="D9657" t="s">
        <v>42679</v>
      </c>
      <c r="E9657" t="e" cm="1">
        <f t="array" ref="E9657">- VONOPRAZAN FUMARATE</f>
        <v>#NAME?</v>
      </c>
      <c r="F9657" t="s">
        <v>42680</v>
      </c>
      <c r="G9657" t="s">
        <v>42681</v>
      </c>
      <c r="H9657" t="s">
        <v>42682</v>
      </c>
      <c r="I9657" t="s">
        <v>42683</v>
      </c>
      <c r="J9657" t="s">
        <v>2478</v>
      </c>
      <c r="L9657" t="s">
        <v>42684</v>
      </c>
      <c r="M9657" t="s">
        <v>46</v>
      </c>
      <c r="N9657" t="s">
        <v>42685</v>
      </c>
      <c r="O9657" t="s">
        <v>42686</v>
      </c>
      <c r="P9657" t="s">
        <v>42687</v>
      </c>
      <c r="Q9657" t="s">
        <v>42688</v>
      </c>
      <c r="R9657">
        <v>49</v>
      </c>
      <c r="S9657">
        <v>64</v>
      </c>
    </row>
    <row r="9658" spans="1:19" x14ac:dyDescent="0.35">
      <c r="A9658">
        <v>7172</v>
      </c>
      <c r="B9658" t="s">
        <v>35323</v>
      </c>
      <c r="C9658" t="s">
        <v>850</v>
      </c>
      <c r="D9658" t="s">
        <v>42689</v>
      </c>
      <c r="E9658" t="e" cm="1">
        <f t="array" ref="E9658">- Achyrantes Bidentata Radix</f>
        <v>#NAME?</v>
      </c>
      <c r="F9658" t="s">
        <v>42690</v>
      </c>
      <c r="H9658" t="s">
        <v>42691</v>
      </c>
      <c r="I9658" t="s">
        <v>42692</v>
      </c>
      <c r="J9658" t="s">
        <v>42693</v>
      </c>
      <c r="M9658" t="s">
        <v>2115</v>
      </c>
      <c r="N9658" t="s">
        <v>35330</v>
      </c>
      <c r="O9658" t="s">
        <v>42694</v>
      </c>
      <c r="P9658" t="s">
        <v>42695</v>
      </c>
      <c r="Q9658" t="s">
        <v>42696</v>
      </c>
      <c r="R9658">
        <v>50</v>
      </c>
      <c r="S9658">
        <v>64</v>
      </c>
    </row>
    <row r="9659" spans="1:19" x14ac:dyDescent="0.35">
      <c r="A9659">
        <v>7490</v>
      </c>
      <c r="B9659" t="s">
        <v>42697</v>
      </c>
      <c r="C9659" t="s">
        <v>20</v>
      </c>
      <c r="D9659" t="s">
        <v>42698</v>
      </c>
      <c r="E9659" t="s">
        <v>42699</v>
      </c>
      <c r="F9659" t="s">
        <v>42700</v>
      </c>
      <c r="H9659" t="s">
        <v>42701</v>
      </c>
      <c r="I9659" t="s">
        <v>42702</v>
      </c>
      <c r="J9659" t="s">
        <v>7953</v>
      </c>
      <c r="M9659" t="s">
        <v>38</v>
      </c>
      <c r="N9659" t="s">
        <v>42703</v>
      </c>
      <c r="O9659" t="s">
        <v>42704</v>
      </c>
      <c r="P9659" t="s">
        <v>42705</v>
      </c>
      <c r="Q9659" t="s">
        <v>42706</v>
      </c>
      <c r="R9659">
        <v>50</v>
      </c>
      <c r="S9659">
        <v>64</v>
      </c>
    </row>
    <row r="9660" spans="1:19" x14ac:dyDescent="0.35">
      <c r="A9660">
        <v>9033</v>
      </c>
      <c r="B9660" t="s">
        <v>42707</v>
      </c>
      <c r="C9660" t="s">
        <v>42</v>
      </c>
      <c r="D9660" t="s">
        <v>42708</v>
      </c>
      <c r="E9660" t="e" cm="1">
        <f t="array" ref="E9660">- AMLODIPINE BESILATE</f>
        <v>#NAME?</v>
      </c>
      <c r="F9660" t="s">
        <v>41424</v>
      </c>
      <c r="G9660" t="s">
        <v>3098</v>
      </c>
      <c r="H9660" t="s">
        <v>38628</v>
      </c>
      <c r="I9660" t="s">
        <v>42709</v>
      </c>
      <c r="J9660" t="s">
        <v>2100</v>
      </c>
      <c r="K9660" t="s">
        <v>38631</v>
      </c>
      <c r="L9660" t="s">
        <v>32377</v>
      </c>
      <c r="M9660" t="s">
        <v>46</v>
      </c>
      <c r="N9660" t="s">
        <v>2484</v>
      </c>
      <c r="O9660" t="s">
        <v>42710</v>
      </c>
      <c r="P9660" t="s">
        <v>38633</v>
      </c>
      <c r="Q9660" t="s">
        <v>42711</v>
      </c>
      <c r="R9660">
        <v>50</v>
      </c>
      <c r="S9660">
        <v>64</v>
      </c>
    </row>
    <row r="9661" spans="1:19" x14ac:dyDescent="0.35">
      <c r="A9661">
        <v>7171</v>
      </c>
      <c r="B9661" t="s">
        <v>35323</v>
      </c>
      <c r="C9661" t="s">
        <v>850</v>
      </c>
      <c r="D9661" t="s">
        <v>42712</v>
      </c>
      <c r="E9661" t="e" cm="1">
        <f t="array" ref="E9661">- Achyrantes Bidentata Radix</f>
        <v>#NAME?</v>
      </c>
      <c r="F9661" t="s">
        <v>42713</v>
      </c>
      <c r="H9661" t="s">
        <v>42691</v>
      </c>
      <c r="I9661" t="s">
        <v>42692</v>
      </c>
      <c r="J9661" t="s">
        <v>42693</v>
      </c>
      <c r="M9661" t="s">
        <v>2115</v>
      </c>
      <c r="N9661" t="s">
        <v>35330</v>
      </c>
      <c r="O9661" t="s">
        <v>42694</v>
      </c>
      <c r="P9661" t="s">
        <v>42714</v>
      </c>
      <c r="Q9661" t="s">
        <v>42715</v>
      </c>
      <c r="R9661">
        <v>50</v>
      </c>
      <c r="S9661">
        <v>64</v>
      </c>
    </row>
    <row r="9662" spans="1:19" x14ac:dyDescent="0.35">
      <c r="A9662">
        <v>6095</v>
      </c>
      <c r="B9662" t="s">
        <v>42716</v>
      </c>
      <c r="C9662" t="s">
        <v>42</v>
      </c>
      <c r="D9662" t="s">
        <v>42717</v>
      </c>
      <c r="E9662" t="e" cm="1">
        <f t="array" ref="E9662">- AMOXICILLIN TRIHYDRATE</f>
        <v>#NAME?</v>
      </c>
      <c r="F9662" t="s">
        <v>42718</v>
      </c>
      <c r="G9662" t="s">
        <v>42719</v>
      </c>
      <c r="H9662" t="s">
        <v>42720</v>
      </c>
      <c r="I9662" t="s">
        <v>42721</v>
      </c>
      <c r="J9662" t="s">
        <v>577</v>
      </c>
      <c r="K9662" t="s">
        <v>17623</v>
      </c>
      <c r="L9662" t="s">
        <v>42722</v>
      </c>
      <c r="M9662" t="s">
        <v>271</v>
      </c>
      <c r="N9662" t="s">
        <v>1523</v>
      </c>
      <c r="O9662" t="s">
        <v>42723</v>
      </c>
      <c r="P9662" t="s">
        <v>42724</v>
      </c>
      <c r="Q9662" t="s">
        <v>42725</v>
      </c>
      <c r="R9662">
        <v>51</v>
      </c>
      <c r="S9662">
        <v>64</v>
      </c>
    </row>
    <row r="9663" spans="1:19" x14ac:dyDescent="0.35">
      <c r="A9663">
        <v>6093</v>
      </c>
      <c r="B9663" t="s">
        <v>42726</v>
      </c>
      <c r="C9663" t="s">
        <v>42</v>
      </c>
      <c r="D9663" t="s">
        <v>42727</v>
      </c>
      <c r="E9663" t="e" cm="1">
        <f t="array" ref="E9663">- AMOXICILLIN TRIHYDRATE</f>
        <v>#NAME?</v>
      </c>
      <c r="F9663" s="1">
        <v>13400</v>
      </c>
      <c r="G9663" t="s">
        <v>1258</v>
      </c>
      <c r="H9663" t="s">
        <v>42728</v>
      </c>
      <c r="I9663" t="s">
        <v>42729</v>
      </c>
      <c r="J9663" t="s">
        <v>727</v>
      </c>
      <c r="K9663" t="s">
        <v>42730</v>
      </c>
      <c r="L9663" t="s">
        <v>42731</v>
      </c>
      <c r="M9663" t="s">
        <v>291</v>
      </c>
      <c r="N9663" t="s">
        <v>1523</v>
      </c>
      <c r="O9663" t="s">
        <v>42723</v>
      </c>
      <c r="P9663" t="s">
        <v>42724</v>
      </c>
      <c r="Q9663" t="s">
        <v>42732</v>
      </c>
      <c r="R9663">
        <v>51</v>
      </c>
      <c r="S9663">
        <v>64</v>
      </c>
    </row>
    <row r="9664" spans="1:19" x14ac:dyDescent="0.35">
      <c r="A9664">
        <v>6094</v>
      </c>
      <c r="B9664" t="s">
        <v>42716</v>
      </c>
      <c r="C9664" t="s">
        <v>42</v>
      </c>
      <c r="D9664" t="s">
        <v>42717</v>
      </c>
      <c r="E9664" t="e" cm="1">
        <f t="array" ref="E9664">- AMOXICILLIN TRIHYDRATE</f>
        <v>#NAME?</v>
      </c>
      <c r="F9664" t="s">
        <v>42718</v>
      </c>
      <c r="G9664" t="s">
        <v>42719</v>
      </c>
      <c r="H9664" t="s">
        <v>42720</v>
      </c>
      <c r="I9664" t="s">
        <v>42721</v>
      </c>
      <c r="J9664" t="s">
        <v>577</v>
      </c>
      <c r="K9664" t="s">
        <v>17623</v>
      </c>
      <c r="L9664" t="s">
        <v>42722</v>
      </c>
      <c r="M9664" t="s">
        <v>271</v>
      </c>
      <c r="N9664" t="s">
        <v>1523</v>
      </c>
      <c r="O9664" t="s">
        <v>42723</v>
      </c>
      <c r="P9664" t="s">
        <v>42724</v>
      </c>
      <c r="Q9664" t="s">
        <v>42725</v>
      </c>
      <c r="R9664">
        <v>51</v>
      </c>
      <c r="S9664">
        <v>64</v>
      </c>
    </row>
    <row r="9665" spans="1:19" x14ac:dyDescent="0.35">
      <c r="A9665">
        <v>9032</v>
      </c>
      <c r="B9665" t="s">
        <v>42707</v>
      </c>
      <c r="C9665" t="s">
        <v>42</v>
      </c>
      <c r="D9665" t="s">
        <v>42708</v>
      </c>
      <c r="E9665" t="e" cm="1">
        <f t="array" ref="E9665">- ATORVASTATIN CALCIUM. AMLODIPINE BESILATE</f>
        <v>#NAME?</v>
      </c>
      <c r="F9665" t="s">
        <v>41424</v>
      </c>
      <c r="G9665" t="s">
        <v>3098</v>
      </c>
      <c r="H9665" t="s">
        <v>38628</v>
      </c>
      <c r="I9665" t="s">
        <v>42709</v>
      </c>
      <c r="J9665" t="s">
        <v>2100</v>
      </c>
      <c r="K9665" t="s">
        <v>38631</v>
      </c>
      <c r="L9665" t="s">
        <v>32377</v>
      </c>
      <c r="M9665" t="s">
        <v>46</v>
      </c>
      <c r="N9665" t="s">
        <v>39829</v>
      </c>
      <c r="O9665" t="s">
        <v>42710</v>
      </c>
      <c r="P9665" t="s">
        <v>38633</v>
      </c>
      <c r="Q9665" t="s">
        <v>42733</v>
      </c>
      <c r="R9665">
        <v>52</v>
      </c>
      <c r="S9665">
        <v>64</v>
      </c>
    </row>
    <row r="9666" spans="1:19" x14ac:dyDescent="0.35">
      <c r="A9666">
        <v>6652</v>
      </c>
      <c r="B9666" t="s">
        <v>42734</v>
      </c>
      <c r="C9666" t="s">
        <v>42</v>
      </c>
      <c r="D9666" t="s">
        <v>42735</v>
      </c>
      <c r="E9666" t="e" cm="1">
        <f t="array" ref="E9666">- ENTECAVIR</f>
        <v>#NAME?</v>
      </c>
      <c r="F9666" t="s">
        <v>42736</v>
      </c>
      <c r="G9666" t="s">
        <v>42737</v>
      </c>
      <c r="H9666" t="s">
        <v>42738</v>
      </c>
      <c r="I9666" t="s">
        <v>42739</v>
      </c>
      <c r="J9666" t="s">
        <v>2100</v>
      </c>
      <c r="K9666" t="s">
        <v>15841</v>
      </c>
      <c r="L9666" t="s">
        <v>15842</v>
      </c>
      <c r="M9666" t="s">
        <v>46</v>
      </c>
      <c r="N9666" t="s">
        <v>42740</v>
      </c>
      <c r="O9666" t="s">
        <v>42741</v>
      </c>
      <c r="P9666" t="s">
        <v>42742</v>
      </c>
      <c r="Q9666" t="s">
        <v>42743</v>
      </c>
      <c r="R9666">
        <v>53</v>
      </c>
      <c r="S9666">
        <v>64</v>
      </c>
    </row>
    <row r="9667" spans="1:19" x14ac:dyDescent="0.35">
      <c r="A9667">
        <v>6653</v>
      </c>
      <c r="B9667" t="s">
        <v>42734</v>
      </c>
      <c r="C9667" t="s">
        <v>42</v>
      </c>
      <c r="D9667" t="s">
        <v>42735</v>
      </c>
      <c r="E9667" t="e" cm="1">
        <f t="array" ref="E9667">- ENTECAVIR</f>
        <v>#NAME?</v>
      </c>
      <c r="F9667" t="s">
        <v>42736</v>
      </c>
      <c r="G9667" t="s">
        <v>42737</v>
      </c>
      <c r="H9667" t="s">
        <v>42738</v>
      </c>
      <c r="I9667" t="s">
        <v>42739</v>
      </c>
      <c r="J9667" t="s">
        <v>2100</v>
      </c>
      <c r="K9667" t="s">
        <v>15841</v>
      </c>
      <c r="L9667" t="s">
        <v>15842</v>
      </c>
      <c r="M9667" t="s">
        <v>46</v>
      </c>
      <c r="N9667" t="s">
        <v>42740</v>
      </c>
      <c r="O9667" t="s">
        <v>42741</v>
      </c>
      <c r="P9667" t="s">
        <v>42742</v>
      </c>
      <c r="Q9667" t="s">
        <v>42743</v>
      </c>
      <c r="R9667">
        <v>53</v>
      </c>
      <c r="S9667">
        <v>64</v>
      </c>
    </row>
    <row r="9668" spans="1:19" x14ac:dyDescent="0.35">
      <c r="A9668">
        <v>5870</v>
      </c>
      <c r="B9668" t="s">
        <v>42744</v>
      </c>
      <c r="C9668" t="s">
        <v>42</v>
      </c>
      <c r="D9668" t="s">
        <v>42745</v>
      </c>
      <c r="E9668" t="e" cm="1">
        <f t="array" ref="E9668">- TRIMETHOPRIM. SULFAMETHOXAZOLE</f>
        <v>#NAME?</v>
      </c>
      <c r="F9668" t="s">
        <v>42746</v>
      </c>
      <c r="G9668" t="s">
        <v>2241</v>
      </c>
      <c r="I9668" t="s">
        <v>42747</v>
      </c>
      <c r="J9668" t="s">
        <v>381</v>
      </c>
      <c r="L9668" t="s">
        <v>270</v>
      </c>
      <c r="M9668" t="s">
        <v>291</v>
      </c>
      <c r="N9668" t="s">
        <v>1469</v>
      </c>
      <c r="O9668" t="s">
        <v>42748</v>
      </c>
      <c r="P9668" t="s">
        <v>42749</v>
      </c>
      <c r="Q9668" t="s">
        <v>42750</v>
      </c>
      <c r="R9668">
        <v>54</v>
      </c>
      <c r="S9668">
        <v>64</v>
      </c>
    </row>
    <row r="9669" spans="1:19" x14ac:dyDescent="0.35">
      <c r="A9669">
        <v>5258</v>
      </c>
      <c r="B9669" t="s">
        <v>39256</v>
      </c>
      <c r="C9669" t="s">
        <v>42</v>
      </c>
      <c r="D9669" t="s">
        <v>42751</v>
      </c>
      <c r="E9669" t="e" cm="1">
        <f t="array" ref="E9669">- MICONAZOLE NITRATE</f>
        <v>#NAME?</v>
      </c>
      <c r="F9669" t="s">
        <v>42752</v>
      </c>
      <c r="G9669" t="s">
        <v>39259</v>
      </c>
      <c r="H9669" t="s">
        <v>42753</v>
      </c>
      <c r="I9669" t="s">
        <v>42754</v>
      </c>
      <c r="J9669" t="s">
        <v>1684</v>
      </c>
      <c r="K9669" t="s">
        <v>42755</v>
      </c>
      <c r="L9669" t="s">
        <v>23319</v>
      </c>
      <c r="M9669" t="s">
        <v>1289</v>
      </c>
      <c r="N9669" t="s">
        <v>9389</v>
      </c>
      <c r="O9669" t="s">
        <v>42756</v>
      </c>
      <c r="P9669" t="s">
        <v>39265</v>
      </c>
      <c r="Q9669" t="s">
        <v>42757</v>
      </c>
      <c r="R9669">
        <v>54</v>
      </c>
      <c r="S9669">
        <v>64</v>
      </c>
    </row>
    <row r="9670" spans="1:19" x14ac:dyDescent="0.35">
      <c r="A9670">
        <v>5257</v>
      </c>
      <c r="B9670" t="s">
        <v>39256</v>
      </c>
      <c r="C9670" t="s">
        <v>42</v>
      </c>
      <c r="D9670" t="s">
        <v>42751</v>
      </c>
      <c r="E9670" t="e" cm="1">
        <f t="array" ref="E9670">- MICONAZOLE NITRATE</f>
        <v>#NAME?</v>
      </c>
      <c r="F9670" t="s">
        <v>42752</v>
      </c>
      <c r="G9670" t="s">
        <v>39259</v>
      </c>
      <c r="H9670" t="s">
        <v>42753</v>
      </c>
      <c r="I9670" t="s">
        <v>42754</v>
      </c>
      <c r="J9670" t="s">
        <v>1684</v>
      </c>
      <c r="K9670" t="s">
        <v>42755</v>
      </c>
      <c r="L9670" t="s">
        <v>23319</v>
      </c>
      <c r="M9670" t="s">
        <v>1289</v>
      </c>
      <c r="N9670" t="s">
        <v>9389</v>
      </c>
      <c r="O9670" t="s">
        <v>42756</v>
      </c>
      <c r="P9670" t="s">
        <v>39265</v>
      </c>
      <c r="Q9670" t="s">
        <v>42757</v>
      </c>
      <c r="R9670">
        <v>54</v>
      </c>
      <c r="S9670">
        <v>64</v>
      </c>
    </row>
    <row r="9671" spans="1:19" x14ac:dyDescent="0.35">
      <c r="A9671">
        <v>5256</v>
      </c>
      <c r="B9671" t="s">
        <v>39256</v>
      </c>
      <c r="C9671" t="s">
        <v>42</v>
      </c>
      <c r="D9671" t="s">
        <v>42751</v>
      </c>
      <c r="E9671" t="e" cm="1">
        <f t="array" ref="E9671">- MICONAZOLE NITRATE</f>
        <v>#NAME?</v>
      </c>
      <c r="F9671" t="s">
        <v>42752</v>
      </c>
      <c r="G9671" t="s">
        <v>39259</v>
      </c>
      <c r="H9671" t="s">
        <v>42753</v>
      </c>
      <c r="I9671" t="s">
        <v>42754</v>
      </c>
      <c r="J9671" t="s">
        <v>1684</v>
      </c>
      <c r="K9671" t="s">
        <v>42755</v>
      </c>
      <c r="L9671" t="s">
        <v>23319</v>
      </c>
      <c r="M9671" t="s">
        <v>1289</v>
      </c>
      <c r="N9671" t="s">
        <v>9389</v>
      </c>
      <c r="O9671" t="s">
        <v>42756</v>
      </c>
      <c r="P9671" t="s">
        <v>39265</v>
      </c>
      <c r="Q9671" t="s">
        <v>42757</v>
      </c>
      <c r="R9671">
        <v>54</v>
      </c>
      <c r="S9671">
        <v>64</v>
      </c>
    </row>
    <row r="9672" spans="1:19" x14ac:dyDescent="0.35">
      <c r="A9672">
        <v>9597</v>
      </c>
      <c r="B9672" t="s">
        <v>6301</v>
      </c>
      <c r="C9672" t="s">
        <v>42</v>
      </c>
      <c r="D9672" t="s">
        <v>42758</v>
      </c>
      <c r="E9672" t="s">
        <v>6303</v>
      </c>
      <c r="F9672" s="1">
        <v>28000</v>
      </c>
      <c r="G9672" t="s">
        <v>42759</v>
      </c>
      <c r="I9672" t="s">
        <v>42760</v>
      </c>
      <c r="J9672" t="s">
        <v>42761</v>
      </c>
      <c r="L9672" t="s">
        <v>42762</v>
      </c>
      <c r="M9672" t="s">
        <v>46</v>
      </c>
      <c r="N9672" t="s">
        <v>6304</v>
      </c>
      <c r="O9672" t="s">
        <v>42763</v>
      </c>
      <c r="P9672" t="s">
        <v>42764</v>
      </c>
      <c r="Q9672" t="s">
        <v>42765</v>
      </c>
      <c r="R9672">
        <v>54</v>
      </c>
      <c r="S9672">
        <v>64</v>
      </c>
    </row>
    <row r="9673" spans="1:19" x14ac:dyDescent="0.35">
      <c r="A9673">
        <v>5259</v>
      </c>
      <c r="B9673" t="s">
        <v>39256</v>
      </c>
      <c r="C9673" t="s">
        <v>42</v>
      </c>
      <c r="D9673" t="s">
        <v>42751</v>
      </c>
      <c r="E9673" t="e" cm="1">
        <f t="array" ref="E9673">- MICONAZOLE NITRATE</f>
        <v>#NAME?</v>
      </c>
      <c r="F9673" t="s">
        <v>42752</v>
      </c>
      <c r="G9673" t="s">
        <v>39259</v>
      </c>
      <c r="H9673" t="s">
        <v>42753</v>
      </c>
      <c r="I9673" t="s">
        <v>42754</v>
      </c>
      <c r="J9673" t="s">
        <v>1684</v>
      </c>
      <c r="K9673" t="s">
        <v>42755</v>
      </c>
      <c r="L9673" t="s">
        <v>23319</v>
      </c>
      <c r="M9673" t="s">
        <v>1289</v>
      </c>
      <c r="N9673" t="s">
        <v>9389</v>
      </c>
      <c r="O9673" t="s">
        <v>42756</v>
      </c>
      <c r="P9673" t="s">
        <v>39265</v>
      </c>
      <c r="Q9673" t="s">
        <v>42757</v>
      </c>
      <c r="R9673">
        <v>54</v>
      </c>
      <c r="S9673">
        <v>64</v>
      </c>
    </row>
    <row r="9674" spans="1:19" x14ac:dyDescent="0.35">
      <c r="A9674">
        <v>6650</v>
      </c>
      <c r="B9674" t="s">
        <v>42734</v>
      </c>
      <c r="C9674" t="s">
        <v>42</v>
      </c>
      <c r="D9674" t="s">
        <v>42735</v>
      </c>
      <c r="E9674" t="e" cm="1">
        <f t="array" ref="E9674">- ENTECAVIR MONOHYDRATE</f>
        <v>#NAME?</v>
      </c>
      <c r="F9674" t="s">
        <v>42736</v>
      </c>
      <c r="G9674" t="s">
        <v>42737</v>
      </c>
      <c r="H9674" t="s">
        <v>42738</v>
      </c>
      <c r="I9674" t="s">
        <v>42739</v>
      </c>
      <c r="J9674" t="s">
        <v>2100</v>
      </c>
      <c r="K9674" t="s">
        <v>15841</v>
      </c>
      <c r="L9674" t="s">
        <v>15842</v>
      </c>
      <c r="M9674" t="s">
        <v>46</v>
      </c>
      <c r="N9674" t="s">
        <v>15843</v>
      </c>
      <c r="O9674" t="s">
        <v>42741</v>
      </c>
      <c r="P9674" t="s">
        <v>42742</v>
      </c>
      <c r="Q9674" t="s">
        <v>42766</v>
      </c>
      <c r="R9674">
        <v>54</v>
      </c>
      <c r="S9674">
        <v>64</v>
      </c>
    </row>
    <row r="9675" spans="1:19" x14ac:dyDescent="0.35">
      <c r="A9675">
        <v>6651</v>
      </c>
      <c r="B9675" t="s">
        <v>42734</v>
      </c>
      <c r="C9675" t="s">
        <v>42</v>
      </c>
      <c r="D9675" t="s">
        <v>42735</v>
      </c>
      <c r="E9675" t="e" cm="1">
        <f t="array" ref="E9675">- ENTECAVIR MONOHYDRATE</f>
        <v>#NAME?</v>
      </c>
      <c r="F9675" t="s">
        <v>42736</v>
      </c>
      <c r="G9675" t="s">
        <v>42737</v>
      </c>
      <c r="H9675" t="s">
        <v>42738</v>
      </c>
      <c r="I9675" t="s">
        <v>42739</v>
      </c>
      <c r="J9675" t="s">
        <v>2100</v>
      </c>
      <c r="K9675" t="s">
        <v>15841</v>
      </c>
      <c r="L9675" t="s">
        <v>15842</v>
      </c>
      <c r="M9675" t="s">
        <v>46</v>
      </c>
      <c r="N9675" t="s">
        <v>15843</v>
      </c>
      <c r="O9675" t="s">
        <v>42741</v>
      </c>
      <c r="P9675" t="s">
        <v>42742</v>
      </c>
      <c r="Q9675" t="s">
        <v>42766</v>
      </c>
      <c r="R9675">
        <v>54</v>
      </c>
      <c r="S9675">
        <v>64</v>
      </c>
    </row>
    <row r="9676" spans="1:19" x14ac:dyDescent="0.35">
      <c r="A9676">
        <v>9598</v>
      </c>
      <c r="B9676" t="s">
        <v>6301</v>
      </c>
      <c r="C9676" t="s">
        <v>42</v>
      </c>
      <c r="D9676" t="s">
        <v>42767</v>
      </c>
      <c r="E9676" t="s">
        <v>6303</v>
      </c>
      <c r="F9676" s="1">
        <v>28000</v>
      </c>
      <c r="G9676" t="s">
        <v>42759</v>
      </c>
      <c r="I9676" t="s">
        <v>42768</v>
      </c>
      <c r="J9676" t="s">
        <v>42761</v>
      </c>
      <c r="L9676" t="s">
        <v>42762</v>
      </c>
      <c r="M9676" t="s">
        <v>46</v>
      </c>
      <c r="N9676" t="s">
        <v>6304</v>
      </c>
      <c r="O9676" t="s">
        <v>42769</v>
      </c>
      <c r="P9676" t="s">
        <v>42770</v>
      </c>
      <c r="Q9676" t="s">
        <v>42771</v>
      </c>
      <c r="R9676">
        <v>55</v>
      </c>
      <c r="S9676">
        <v>64</v>
      </c>
    </row>
    <row r="9677" spans="1:19" x14ac:dyDescent="0.35">
      <c r="A9677">
        <v>9531</v>
      </c>
      <c r="B9677" t="s">
        <v>6301</v>
      </c>
      <c r="C9677" t="s">
        <v>42</v>
      </c>
      <c r="D9677" t="s">
        <v>42772</v>
      </c>
      <c r="E9677" t="s">
        <v>6303</v>
      </c>
      <c r="F9677" s="1">
        <v>95000</v>
      </c>
      <c r="G9677" t="s">
        <v>42759</v>
      </c>
      <c r="H9677" t="s">
        <v>1322</v>
      </c>
      <c r="I9677" t="s">
        <v>42773</v>
      </c>
      <c r="J9677" t="s">
        <v>42774</v>
      </c>
      <c r="L9677" t="s">
        <v>42762</v>
      </c>
      <c r="M9677" t="s">
        <v>46</v>
      </c>
      <c r="N9677" t="s">
        <v>6304</v>
      </c>
      <c r="O9677" t="s">
        <v>42775</v>
      </c>
      <c r="P9677" t="s">
        <v>42776</v>
      </c>
      <c r="Q9677" t="s">
        <v>42777</v>
      </c>
      <c r="R9677">
        <v>55</v>
      </c>
      <c r="S9677">
        <v>64</v>
      </c>
    </row>
    <row r="9678" spans="1:19" x14ac:dyDescent="0.35">
      <c r="A9678">
        <v>7195</v>
      </c>
      <c r="B9678" t="s">
        <v>42778</v>
      </c>
      <c r="C9678" t="s">
        <v>850</v>
      </c>
      <c r="D9678" t="s">
        <v>42779</v>
      </c>
      <c r="E9678" t="e" cm="1">
        <f t="array" ref="E9678">- Camphor</f>
        <v>#NAME?</v>
      </c>
      <c r="F9678" s="1">
        <v>20700</v>
      </c>
      <c r="G9678" t="s">
        <v>38656</v>
      </c>
      <c r="H9678" t="s">
        <v>1322</v>
      </c>
      <c r="I9678" t="s">
        <v>42780</v>
      </c>
      <c r="J9678" t="s">
        <v>42781</v>
      </c>
      <c r="L9678" t="s">
        <v>29149</v>
      </c>
      <c r="M9678" t="s">
        <v>3632</v>
      </c>
      <c r="N9678" t="s">
        <v>853</v>
      </c>
      <c r="O9678" t="s">
        <v>42782</v>
      </c>
      <c r="P9678" t="s">
        <v>42783</v>
      </c>
      <c r="Q9678" t="s">
        <v>42784</v>
      </c>
      <c r="R9678">
        <v>55</v>
      </c>
      <c r="S9678">
        <v>64</v>
      </c>
    </row>
    <row r="9679" spans="1:19" x14ac:dyDescent="0.35">
      <c r="A9679">
        <v>9485</v>
      </c>
      <c r="B9679" t="s">
        <v>6301</v>
      </c>
      <c r="C9679" t="s">
        <v>42</v>
      </c>
      <c r="D9679" t="s">
        <v>42785</v>
      </c>
      <c r="E9679" t="s">
        <v>6303</v>
      </c>
      <c r="F9679" s="1">
        <v>268500</v>
      </c>
      <c r="G9679" t="s">
        <v>42759</v>
      </c>
      <c r="I9679" t="s">
        <v>42786</v>
      </c>
      <c r="J9679" t="s">
        <v>42787</v>
      </c>
      <c r="L9679" t="s">
        <v>42788</v>
      </c>
      <c r="M9679" t="s">
        <v>46</v>
      </c>
      <c r="N9679" t="s">
        <v>6304</v>
      </c>
      <c r="O9679" t="s">
        <v>42789</v>
      </c>
      <c r="P9679" t="s">
        <v>42790</v>
      </c>
      <c r="Q9679" t="s">
        <v>42791</v>
      </c>
      <c r="R9679">
        <v>55</v>
      </c>
      <c r="S9679">
        <v>64</v>
      </c>
    </row>
    <row r="9680" spans="1:19" x14ac:dyDescent="0.35">
      <c r="A9680">
        <v>9512</v>
      </c>
      <c r="B9680" t="s">
        <v>6301</v>
      </c>
      <c r="C9680" t="s">
        <v>42</v>
      </c>
      <c r="D9680" t="s">
        <v>42792</v>
      </c>
      <c r="E9680" t="s">
        <v>6303</v>
      </c>
      <c r="F9680" t="s">
        <v>42793</v>
      </c>
      <c r="G9680" t="s">
        <v>42759</v>
      </c>
      <c r="I9680" t="s">
        <v>42794</v>
      </c>
      <c r="J9680" t="s">
        <v>42761</v>
      </c>
      <c r="L9680" t="s">
        <v>42795</v>
      </c>
      <c r="M9680" t="s">
        <v>46</v>
      </c>
      <c r="N9680" t="s">
        <v>6304</v>
      </c>
      <c r="O9680" t="s">
        <v>42796</v>
      </c>
      <c r="P9680" t="s">
        <v>42797</v>
      </c>
      <c r="Q9680" t="s">
        <v>42798</v>
      </c>
      <c r="R9680">
        <v>55</v>
      </c>
      <c r="S9680">
        <v>64</v>
      </c>
    </row>
    <row r="9681" spans="1:19" x14ac:dyDescent="0.35">
      <c r="A9681">
        <v>9534</v>
      </c>
      <c r="B9681" t="s">
        <v>6301</v>
      </c>
      <c r="C9681" t="s">
        <v>42</v>
      </c>
      <c r="D9681" t="s">
        <v>42799</v>
      </c>
      <c r="E9681" t="s">
        <v>6303</v>
      </c>
      <c r="F9681" s="1">
        <v>123200</v>
      </c>
      <c r="G9681" t="s">
        <v>42759</v>
      </c>
      <c r="I9681" t="s">
        <v>42800</v>
      </c>
      <c r="J9681" t="s">
        <v>42761</v>
      </c>
      <c r="L9681" t="s">
        <v>42762</v>
      </c>
      <c r="M9681" t="s">
        <v>46</v>
      </c>
      <c r="N9681" t="s">
        <v>6304</v>
      </c>
      <c r="O9681" t="s">
        <v>42801</v>
      </c>
      <c r="P9681" t="s">
        <v>42802</v>
      </c>
      <c r="Q9681" t="s">
        <v>42803</v>
      </c>
      <c r="R9681">
        <v>56</v>
      </c>
      <c r="S9681">
        <v>64</v>
      </c>
    </row>
    <row r="9682" spans="1:19" x14ac:dyDescent="0.35">
      <c r="A9682">
        <v>9535</v>
      </c>
      <c r="B9682" t="s">
        <v>6301</v>
      </c>
      <c r="C9682" t="s">
        <v>42</v>
      </c>
      <c r="D9682" t="s">
        <v>42804</v>
      </c>
      <c r="E9682" t="s">
        <v>6303</v>
      </c>
      <c r="F9682" s="1">
        <v>123200</v>
      </c>
      <c r="G9682" t="s">
        <v>42759</v>
      </c>
      <c r="I9682" t="s">
        <v>42805</v>
      </c>
      <c r="J9682" t="s">
        <v>42761</v>
      </c>
      <c r="L9682" t="s">
        <v>42762</v>
      </c>
      <c r="M9682" t="s">
        <v>46</v>
      </c>
      <c r="N9682" t="s">
        <v>6304</v>
      </c>
      <c r="O9682" t="s">
        <v>42806</v>
      </c>
      <c r="P9682" t="s">
        <v>42807</v>
      </c>
      <c r="Q9682" t="s">
        <v>42808</v>
      </c>
      <c r="R9682">
        <v>56</v>
      </c>
      <c r="S9682">
        <v>64</v>
      </c>
    </row>
    <row r="9683" spans="1:19" x14ac:dyDescent="0.35">
      <c r="A9683">
        <v>9595</v>
      </c>
      <c r="B9683" t="s">
        <v>6301</v>
      </c>
      <c r="C9683" t="s">
        <v>42</v>
      </c>
      <c r="D9683" t="s">
        <v>42809</v>
      </c>
      <c r="E9683" t="s">
        <v>6303</v>
      </c>
      <c r="F9683" t="s">
        <v>42810</v>
      </c>
      <c r="G9683" t="s">
        <v>42759</v>
      </c>
      <c r="I9683" t="s">
        <v>42811</v>
      </c>
      <c r="J9683" t="s">
        <v>42761</v>
      </c>
      <c r="L9683" t="s">
        <v>42762</v>
      </c>
      <c r="M9683" t="s">
        <v>46</v>
      </c>
      <c r="N9683" t="s">
        <v>6304</v>
      </c>
      <c r="O9683" t="s">
        <v>42812</v>
      </c>
      <c r="P9683" t="s">
        <v>42813</v>
      </c>
      <c r="Q9683" t="s">
        <v>42814</v>
      </c>
      <c r="R9683">
        <v>56</v>
      </c>
      <c r="S9683">
        <v>64</v>
      </c>
    </row>
    <row r="9684" spans="1:19" x14ac:dyDescent="0.35">
      <c r="A9684">
        <v>299</v>
      </c>
      <c r="B9684" t="s">
        <v>42815</v>
      </c>
      <c r="C9684" t="s">
        <v>42</v>
      </c>
      <c r="D9684" t="s">
        <v>42816</v>
      </c>
      <c r="E9684" t="e" cm="1">
        <f t="array" ref="E9684">- LETROZOLE</f>
        <v>#NAME?</v>
      </c>
      <c r="F9684" s="1">
        <v>237100</v>
      </c>
      <c r="G9684" t="s">
        <v>5839</v>
      </c>
      <c r="H9684" t="s">
        <v>42817</v>
      </c>
      <c r="I9684" t="s">
        <v>42818</v>
      </c>
      <c r="J9684" t="s">
        <v>2100</v>
      </c>
      <c r="K9684" t="s">
        <v>42819</v>
      </c>
      <c r="L9684" t="s">
        <v>42820</v>
      </c>
      <c r="M9684" t="s">
        <v>46</v>
      </c>
      <c r="N9684" t="s">
        <v>42821</v>
      </c>
      <c r="O9684" t="s">
        <v>42822</v>
      </c>
      <c r="P9684" t="s">
        <v>42823</v>
      </c>
      <c r="Q9684" t="s">
        <v>42824</v>
      </c>
      <c r="R9684">
        <v>56</v>
      </c>
      <c r="S9684">
        <v>64</v>
      </c>
    </row>
    <row r="9685" spans="1:19" x14ac:dyDescent="0.35">
      <c r="A9685">
        <v>9596</v>
      </c>
      <c r="B9685" t="s">
        <v>6301</v>
      </c>
      <c r="C9685" t="s">
        <v>42</v>
      </c>
      <c r="D9685" t="s">
        <v>42825</v>
      </c>
      <c r="E9685" t="s">
        <v>6303</v>
      </c>
      <c r="F9685" s="1">
        <v>77000</v>
      </c>
      <c r="G9685" t="s">
        <v>42759</v>
      </c>
      <c r="I9685" t="s">
        <v>42826</v>
      </c>
      <c r="J9685" t="s">
        <v>42761</v>
      </c>
      <c r="L9685" t="s">
        <v>42762</v>
      </c>
      <c r="M9685" t="s">
        <v>46</v>
      </c>
      <c r="N9685" t="s">
        <v>6304</v>
      </c>
      <c r="O9685" t="s">
        <v>42827</v>
      </c>
      <c r="P9685" t="s">
        <v>42828</v>
      </c>
      <c r="Q9685" t="s">
        <v>42829</v>
      </c>
      <c r="R9685">
        <v>56</v>
      </c>
      <c r="S9685">
        <v>64</v>
      </c>
    </row>
    <row r="9686" spans="1:19" x14ac:dyDescent="0.35">
      <c r="A9686">
        <v>5746</v>
      </c>
      <c r="B9686" t="s">
        <v>42830</v>
      </c>
      <c r="C9686" t="s">
        <v>42</v>
      </c>
      <c r="D9686" t="s">
        <v>42831</v>
      </c>
      <c r="E9686" t="e" cm="1">
        <f t="array" ref="E9686">- AZITHROMYCIN DIHYDRATE</f>
        <v>#NAME?</v>
      </c>
      <c r="F9686" s="1">
        <v>206300</v>
      </c>
      <c r="G9686" t="s">
        <v>42832</v>
      </c>
      <c r="H9686" t="s">
        <v>28438</v>
      </c>
      <c r="I9686" t="s">
        <v>42833</v>
      </c>
      <c r="J9686" t="s">
        <v>42834</v>
      </c>
      <c r="K9686" t="s">
        <v>42835</v>
      </c>
      <c r="L9686" t="s">
        <v>42836</v>
      </c>
      <c r="M9686" t="s">
        <v>291</v>
      </c>
      <c r="N9686" t="s">
        <v>13005</v>
      </c>
      <c r="O9686" t="s">
        <v>42837</v>
      </c>
      <c r="P9686" t="s">
        <v>42838</v>
      </c>
      <c r="Q9686" t="s">
        <v>42839</v>
      </c>
      <c r="R9686">
        <v>57</v>
      </c>
      <c r="S9686">
        <v>64</v>
      </c>
    </row>
    <row r="9687" spans="1:19" x14ac:dyDescent="0.35">
      <c r="A9687">
        <v>9575</v>
      </c>
      <c r="B9687" t="s">
        <v>6301</v>
      </c>
      <c r="C9687" t="s">
        <v>42</v>
      </c>
      <c r="D9687" t="s">
        <v>42840</v>
      </c>
      <c r="E9687" t="s">
        <v>6303</v>
      </c>
      <c r="F9687" s="1">
        <v>56000</v>
      </c>
      <c r="G9687" t="s">
        <v>42759</v>
      </c>
      <c r="H9687" t="s">
        <v>1322</v>
      </c>
      <c r="I9687" t="s">
        <v>42841</v>
      </c>
      <c r="J9687" t="s">
        <v>42774</v>
      </c>
      <c r="L9687" t="s">
        <v>42762</v>
      </c>
      <c r="M9687" t="s">
        <v>46</v>
      </c>
      <c r="N9687" t="s">
        <v>6304</v>
      </c>
      <c r="O9687" t="s">
        <v>42842</v>
      </c>
      <c r="P9687" t="s">
        <v>42843</v>
      </c>
      <c r="Q9687" t="s">
        <v>42844</v>
      </c>
      <c r="R9687">
        <v>57</v>
      </c>
      <c r="S9687">
        <v>64</v>
      </c>
    </row>
    <row r="9688" spans="1:19" x14ac:dyDescent="0.35">
      <c r="A9688">
        <v>9423</v>
      </c>
      <c r="B9688" t="s">
        <v>6301</v>
      </c>
      <c r="C9688" t="s">
        <v>42</v>
      </c>
      <c r="D9688" t="s">
        <v>42845</v>
      </c>
      <c r="E9688" t="s">
        <v>6303</v>
      </c>
      <c r="F9688" s="1">
        <v>106200</v>
      </c>
      <c r="G9688" t="s">
        <v>42759</v>
      </c>
      <c r="I9688" t="s">
        <v>42846</v>
      </c>
      <c r="J9688" t="s">
        <v>42761</v>
      </c>
      <c r="L9688" t="s">
        <v>42847</v>
      </c>
      <c r="M9688" t="s">
        <v>46</v>
      </c>
      <c r="N9688" t="s">
        <v>6304</v>
      </c>
      <c r="O9688" t="s">
        <v>42848</v>
      </c>
      <c r="P9688" t="s">
        <v>42849</v>
      </c>
      <c r="Q9688" t="s">
        <v>42850</v>
      </c>
      <c r="R9688">
        <v>57</v>
      </c>
      <c r="S9688">
        <v>64</v>
      </c>
    </row>
    <row r="9689" spans="1:19" x14ac:dyDescent="0.35">
      <c r="A9689">
        <v>7826</v>
      </c>
      <c r="B9689" t="s">
        <v>42851</v>
      </c>
      <c r="C9689" t="s">
        <v>20</v>
      </c>
      <c r="D9689" t="s">
        <v>42852</v>
      </c>
      <c r="E9689" t="s">
        <v>42853</v>
      </c>
      <c r="F9689" t="s">
        <v>42854</v>
      </c>
      <c r="H9689" t="s">
        <v>42855</v>
      </c>
      <c r="I9689" t="s">
        <v>42856</v>
      </c>
      <c r="J9689" t="s">
        <v>42857</v>
      </c>
      <c r="M9689" t="s">
        <v>38</v>
      </c>
      <c r="N9689" t="s">
        <v>42858</v>
      </c>
      <c r="O9689" t="s">
        <v>42859</v>
      </c>
      <c r="P9689" t="s">
        <v>42860</v>
      </c>
      <c r="Q9689" t="s">
        <v>42861</v>
      </c>
      <c r="R9689">
        <v>57</v>
      </c>
      <c r="S9689">
        <v>64</v>
      </c>
    </row>
    <row r="9690" spans="1:19" x14ac:dyDescent="0.35">
      <c r="A9690">
        <v>9591</v>
      </c>
      <c r="B9690" t="s">
        <v>6301</v>
      </c>
      <c r="C9690" t="s">
        <v>42</v>
      </c>
      <c r="D9690" t="s">
        <v>42862</v>
      </c>
      <c r="E9690" t="s">
        <v>6303</v>
      </c>
      <c r="F9690" s="1">
        <v>28000</v>
      </c>
      <c r="G9690" t="s">
        <v>42759</v>
      </c>
      <c r="I9690" t="s">
        <v>42863</v>
      </c>
      <c r="J9690" t="s">
        <v>42761</v>
      </c>
      <c r="L9690" t="s">
        <v>42762</v>
      </c>
      <c r="M9690" t="s">
        <v>46</v>
      </c>
      <c r="N9690" t="s">
        <v>6304</v>
      </c>
      <c r="O9690" t="s">
        <v>42864</v>
      </c>
      <c r="P9690" t="s">
        <v>42865</v>
      </c>
      <c r="Q9690" t="s">
        <v>42866</v>
      </c>
      <c r="R9690">
        <v>57</v>
      </c>
      <c r="S9690">
        <v>64</v>
      </c>
    </row>
    <row r="9691" spans="1:19" x14ac:dyDescent="0.35">
      <c r="A9691">
        <v>9532</v>
      </c>
      <c r="B9691" t="s">
        <v>6301</v>
      </c>
      <c r="C9691" t="s">
        <v>42</v>
      </c>
      <c r="D9691" t="s">
        <v>42867</v>
      </c>
      <c r="E9691" t="s">
        <v>6303</v>
      </c>
      <c r="F9691" t="s">
        <v>42868</v>
      </c>
      <c r="G9691" t="s">
        <v>42759</v>
      </c>
      <c r="I9691" t="s">
        <v>42869</v>
      </c>
      <c r="J9691" t="s">
        <v>42761</v>
      </c>
      <c r="L9691" t="s">
        <v>42762</v>
      </c>
      <c r="M9691" t="s">
        <v>46</v>
      </c>
      <c r="N9691" t="s">
        <v>6304</v>
      </c>
      <c r="O9691" t="s">
        <v>42870</v>
      </c>
      <c r="P9691" t="s">
        <v>42871</v>
      </c>
      <c r="Q9691" t="s">
        <v>42872</v>
      </c>
      <c r="R9691">
        <v>57</v>
      </c>
      <c r="S9691">
        <v>64</v>
      </c>
    </row>
    <row r="9692" spans="1:19" x14ac:dyDescent="0.35">
      <c r="A9692">
        <v>9601</v>
      </c>
      <c r="B9692" t="s">
        <v>6301</v>
      </c>
      <c r="C9692" t="s">
        <v>42</v>
      </c>
      <c r="D9692" t="s">
        <v>42873</v>
      </c>
      <c r="E9692" t="s">
        <v>6303</v>
      </c>
      <c r="F9692" s="1">
        <v>0</v>
      </c>
      <c r="G9692" t="s">
        <v>42759</v>
      </c>
      <c r="H9692" t="s">
        <v>1322</v>
      </c>
      <c r="I9692" t="s">
        <v>42874</v>
      </c>
      <c r="J9692" t="s">
        <v>42761</v>
      </c>
      <c r="L9692" t="s">
        <v>42762</v>
      </c>
      <c r="M9692" t="s">
        <v>46</v>
      </c>
      <c r="N9692" t="s">
        <v>6304</v>
      </c>
      <c r="O9692" t="s">
        <v>42875</v>
      </c>
      <c r="P9692" t="s">
        <v>42876</v>
      </c>
      <c r="Q9692" t="s">
        <v>42877</v>
      </c>
      <c r="R9692">
        <v>57</v>
      </c>
      <c r="S9692">
        <v>64</v>
      </c>
    </row>
    <row r="9693" spans="1:19" x14ac:dyDescent="0.35">
      <c r="A9693">
        <v>9530</v>
      </c>
      <c r="B9693" t="s">
        <v>6301</v>
      </c>
      <c r="C9693" t="s">
        <v>42</v>
      </c>
      <c r="D9693" t="s">
        <v>42878</v>
      </c>
      <c r="E9693" t="s">
        <v>6303</v>
      </c>
      <c r="F9693" t="s">
        <v>42879</v>
      </c>
      <c r="G9693" t="s">
        <v>42759</v>
      </c>
      <c r="I9693" t="s">
        <v>42880</v>
      </c>
      <c r="J9693" t="s">
        <v>42761</v>
      </c>
      <c r="K9693" t="s">
        <v>31604</v>
      </c>
      <c r="L9693" t="s">
        <v>42788</v>
      </c>
      <c r="M9693" t="s">
        <v>46</v>
      </c>
      <c r="N9693" t="s">
        <v>6304</v>
      </c>
      <c r="O9693" t="s">
        <v>42881</v>
      </c>
      <c r="P9693" t="s">
        <v>42882</v>
      </c>
      <c r="Q9693" t="s">
        <v>42883</v>
      </c>
      <c r="R9693">
        <v>57</v>
      </c>
      <c r="S9693">
        <v>64</v>
      </c>
    </row>
    <row r="9694" spans="1:19" x14ac:dyDescent="0.35">
      <c r="A9694">
        <v>9403</v>
      </c>
      <c r="B9694" t="s">
        <v>6301</v>
      </c>
      <c r="C9694" t="s">
        <v>42</v>
      </c>
      <c r="D9694" t="s">
        <v>42884</v>
      </c>
      <c r="E9694" t="s">
        <v>6303</v>
      </c>
      <c r="F9694" s="1">
        <v>0</v>
      </c>
      <c r="G9694" t="s">
        <v>42759</v>
      </c>
      <c r="I9694" t="s">
        <v>42885</v>
      </c>
      <c r="J9694" t="s">
        <v>42761</v>
      </c>
      <c r="L9694" t="s">
        <v>42886</v>
      </c>
      <c r="M9694" t="s">
        <v>46</v>
      </c>
      <c r="N9694" t="s">
        <v>6304</v>
      </c>
      <c r="O9694" t="s">
        <v>42887</v>
      </c>
      <c r="P9694" t="s">
        <v>42888</v>
      </c>
      <c r="Q9694" t="s">
        <v>42889</v>
      </c>
      <c r="R9694">
        <v>58</v>
      </c>
      <c r="S9694">
        <v>64</v>
      </c>
    </row>
    <row r="9695" spans="1:19" x14ac:dyDescent="0.35">
      <c r="A9695">
        <v>9388</v>
      </c>
      <c r="B9695" t="s">
        <v>6301</v>
      </c>
      <c r="C9695" t="s">
        <v>42</v>
      </c>
      <c r="D9695" t="s">
        <v>42890</v>
      </c>
      <c r="E9695" t="s">
        <v>6303</v>
      </c>
      <c r="F9695" s="1">
        <v>92600</v>
      </c>
      <c r="G9695" t="s">
        <v>42759</v>
      </c>
      <c r="I9695" t="s">
        <v>42891</v>
      </c>
      <c r="J9695" t="s">
        <v>42761</v>
      </c>
      <c r="L9695" t="s">
        <v>42892</v>
      </c>
      <c r="M9695" t="s">
        <v>46</v>
      </c>
      <c r="N9695" t="s">
        <v>6304</v>
      </c>
      <c r="O9695" t="s">
        <v>42893</v>
      </c>
      <c r="P9695" t="s">
        <v>42894</v>
      </c>
      <c r="Q9695" t="s">
        <v>42895</v>
      </c>
      <c r="R9695">
        <v>58</v>
      </c>
      <c r="S9695">
        <v>64</v>
      </c>
    </row>
    <row r="9696" spans="1:19" x14ac:dyDescent="0.35">
      <c r="A9696">
        <v>9389</v>
      </c>
      <c r="B9696" t="s">
        <v>6301</v>
      </c>
      <c r="C9696" t="s">
        <v>42</v>
      </c>
      <c r="D9696" t="s">
        <v>42896</v>
      </c>
      <c r="E9696" t="s">
        <v>6303</v>
      </c>
      <c r="F9696" s="1">
        <v>92600</v>
      </c>
      <c r="G9696" t="s">
        <v>42759</v>
      </c>
      <c r="I9696" t="s">
        <v>42897</v>
      </c>
      <c r="J9696" t="s">
        <v>42761</v>
      </c>
      <c r="L9696" t="s">
        <v>42892</v>
      </c>
      <c r="M9696" t="s">
        <v>46</v>
      </c>
      <c r="N9696" t="s">
        <v>6304</v>
      </c>
      <c r="O9696" t="s">
        <v>42898</v>
      </c>
      <c r="P9696" t="s">
        <v>42899</v>
      </c>
      <c r="Q9696" t="s">
        <v>42900</v>
      </c>
      <c r="R9696">
        <v>58</v>
      </c>
      <c r="S9696">
        <v>64</v>
      </c>
    </row>
    <row r="9697" spans="1:19" x14ac:dyDescent="0.35">
      <c r="A9697">
        <v>9390</v>
      </c>
      <c r="B9697" t="s">
        <v>6301</v>
      </c>
      <c r="C9697" t="s">
        <v>42</v>
      </c>
      <c r="D9697" t="s">
        <v>42901</v>
      </c>
      <c r="E9697" t="s">
        <v>6303</v>
      </c>
      <c r="F9697" t="s">
        <v>42902</v>
      </c>
      <c r="G9697" t="s">
        <v>42759</v>
      </c>
      <c r="I9697" t="s">
        <v>42903</v>
      </c>
      <c r="J9697" t="s">
        <v>42761</v>
      </c>
      <c r="L9697" t="s">
        <v>42892</v>
      </c>
      <c r="M9697" t="s">
        <v>46</v>
      </c>
      <c r="N9697" t="s">
        <v>6304</v>
      </c>
      <c r="O9697" t="s">
        <v>42904</v>
      </c>
      <c r="P9697" t="s">
        <v>42905</v>
      </c>
      <c r="Q9697" t="s">
        <v>42906</v>
      </c>
      <c r="R9697">
        <v>58</v>
      </c>
      <c r="S9697">
        <v>64</v>
      </c>
    </row>
    <row r="9698" spans="1:19" x14ac:dyDescent="0.35">
      <c r="A9698">
        <v>9391</v>
      </c>
      <c r="B9698" t="s">
        <v>6301</v>
      </c>
      <c r="C9698" t="s">
        <v>42</v>
      </c>
      <c r="D9698" t="s">
        <v>42907</v>
      </c>
      <c r="E9698" t="s">
        <v>6303</v>
      </c>
      <c r="F9698" t="s">
        <v>42902</v>
      </c>
      <c r="G9698" t="s">
        <v>42759</v>
      </c>
      <c r="I9698" t="s">
        <v>42908</v>
      </c>
      <c r="J9698" t="s">
        <v>42761</v>
      </c>
      <c r="L9698" t="s">
        <v>42892</v>
      </c>
      <c r="M9698" t="s">
        <v>46</v>
      </c>
      <c r="N9698" t="s">
        <v>6304</v>
      </c>
      <c r="O9698" t="s">
        <v>42909</v>
      </c>
      <c r="P9698" t="s">
        <v>42910</v>
      </c>
      <c r="Q9698" t="s">
        <v>42911</v>
      </c>
      <c r="R9698">
        <v>58</v>
      </c>
      <c r="S9698">
        <v>64</v>
      </c>
    </row>
    <row r="9699" spans="1:19" x14ac:dyDescent="0.35">
      <c r="A9699">
        <v>9398</v>
      </c>
      <c r="B9699" t="s">
        <v>6301</v>
      </c>
      <c r="C9699" t="s">
        <v>42</v>
      </c>
      <c r="D9699" t="s">
        <v>42912</v>
      </c>
      <c r="E9699" t="s">
        <v>6303</v>
      </c>
      <c r="F9699" s="1">
        <v>0</v>
      </c>
      <c r="G9699" t="s">
        <v>42759</v>
      </c>
      <c r="I9699" t="s">
        <v>42913</v>
      </c>
      <c r="J9699" t="s">
        <v>42761</v>
      </c>
      <c r="L9699" t="s">
        <v>42886</v>
      </c>
      <c r="M9699" t="s">
        <v>46</v>
      </c>
      <c r="N9699" t="s">
        <v>6304</v>
      </c>
      <c r="O9699" t="s">
        <v>42914</v>
      </c>
      <c r="P9699" t="s">
        <v>42915</v>
      </c>
      <c r="Q9699" t="s">
        <v>42916</v>
      </c>
      <c r="R9699">
        <v>58</v>
      </c>
      <c r="S9699">
        <v>64</v>
      </c>
    </row>
    <row r="9700" spans="1:19" x14ac:dyDescent="0.35">
      <c r="A9700">
        <v>9399</v>
      </c>
      <c r="B9700" t="s">
        <v>6301</v>
      </c>
      <c r="C9700" t="s">
        <v>42</v>
      </c>
      <c r="D9700" t="s">
        <v>42917</v>
      </c>
      <c r="E9700" t="s">
        <v>6303</v>
      </c>
      <c r="F9700" s="1">
        <v>79000</v>
      </c>
      <c r="G9700" t="s">
        <v>42759</v>
      </c>
      <c r="I9700" t="s">
        <v>42918</v>
      </c>
      <c r="J9700" t="s">
        <v>42761</v>
      </c>
      <c r="L9700" t="s">
        <v>42886</v>
      </c>
      <c r="M9700" t="s">
        <v>46</v>
      </c>
      <c r="N9700" t="s">
        <v>6304</v>
      </c>
      <c r="O9700" t="s">
        <v>42919</v>
      </c>
      <c r="P9700" t="s">
        <v>42920</v>
      </c>
      <c r="Q9700" t="s">
        <v>42921</v>
      </c>
      <c r="R9700">
        <v>58</v>
      </c>
      <c r="S9700">
        <v>64</v>
      </c>
    </row>
    <row r="9701" spans="1:19" x14ac:dyDescent="0.35">
      <c r="A9701">
        <v>9400</v>
      </c>
      <c r="B9701" t="s">
        <v>6301</v>
      </c>
      <c r="C9701" t="s">
        <v>42</v>
      </c>
      <c r="D9701" t="s">
        <v>42922</v>
      </c>
      <c r="E9701" t="s">
        <v>6303</v>
      </c>
      <c r="F9701" s="1">
        <v>0</v>
      </c>
      <c r="G9701" t="s">
        <v>42759</v>
      </c>
      <c r="I9701" t="s">
        <v>42923</v>
      </c>
      <c r="J9701" t="s">
        <v>42761</v>
      </c>
      <c r="L9701" t="s">
        <v>42886</v>
      </c>
      <c r="M9701" t="s">
        <v>46</v>
      </c>
      <c r="N9701" t="s">
        <v>6304</v>
      </c>
      <c r="O9701" t="s">
        <v>42924</v>
      </c>
      <c r="P9701" t="s">
        <v>42925</v>
      </c>
      <c r="Q9701" t="s">
        <v>42926</v>
      </c>
      <c r="R9701">
        <v>58</v>
      </c>
      <c r="S9701">
        <v>64</v>
      </c>
    </row>
    <row r="9702" spans="1:19" x14ac:dyDescent="0.35">
      <c r="A9702">
        <v>9401</v>
      </c>
      <c r="B9702" t="s">
        <v>6301</v>
      </c>
      <c r="C9702" t="s">
        <v>42</v>
      </c>
      <c r="D9702" t="s">
        <v>42927</v>
      </c>
      <c r="E9702" t="s">
        <v>6303</v>
      </c>
      <c r="F9702" s="1">
        <v>117000</v>
      </c>
      <c r="G9702" t="s">
        <v>42759</v>
      </c>
      <c r="I9702" t="s">
        <v>42928</v>
      </c>
      <c r="J9702" t="s">
        <v>42761</v>
      </c>
      <c r="L9702" t="s">
        <v>42886</v>
      </c>
      <c r="M9702" t="s">
        <v>46</v>
      </c>
      <c r="N9702" t="s">
        <v>6304</v>
      </c>
      <c r="O9702" t="s">
        <v>42929</v>
      </c>
      <c r="P9702" t="s">
        <v>42930</v>
      </c>
      <c r="Q9702" t="s">
        <v>42931</v>
      </c>
      <c r="R9702">
        <v>58</v>
      </c>
      <c r="S9702">
        <v>64</v>
      </c>
    </row>
    <row r="9703" spans="1:19" x14ac:dyDescent="0.35">
      <c r="A9703">
        <v>9387</v>
      </c>
      <c r="B9703" t="s">
        <v>6301</v>
      </c>
      <c r="C9703" t="s">
        <v>42</v>
      </c>
      <c r="D9703" t="s">
        <v>42932</v>
      </c>
      <c r="E9703" t="s">
        <v>6303</v>
      </c>
      <c r="F9703" t="s">
        <v>42933</v>
      </c>
      <c r="G9703" t="s">
        <v>42759</v>
      </c>
      <c r="I9703" t="s">
        <v>42934</v>
      </c>
      <c r="J9703" t="s">
        <v>42761</v>
      </c>
      <c r="L9703" t="s">
        <v>42892</v>
      </c>
      <c r="M9703" t="s">
        <v>46</v>
      </c>
      <c r="N9703" t="s">
        <v>6304</v>
      </c>
      <c r="O9703" t="s">
        <v>42935</v>
      </c>
      <c r="P9703" t="s">
        <v>42936</v>
      </c>
      <c r="Q9703" t="s">
        <v>42937</v>
      </c>
      <c r="R9703">
        <v>58</v>
      </c>
      <c r="S9703">
        <v>64</v>
      </c>
    </row>
    <row r="9704" spans="1:19" x14ac:dyDescent="0.35">
      <c r="A9704">
        <v>9451</v>
      </c>
      <c r="B9704" t="s">
        <v>6301</v>
      </c>
      <c r="C9704" t="s">
        <v>42</v>
      </c>
      <c r="D9704" t="s">
        <v>42938</v>
      </c>
      <c r="E9704" t="s">
        <v>6303</v>
      </c>
      <c r="F9704" t="s">
        <v>42939</v>
      </c>
      <c r="G9704" t="s">
        <v>42759</v>
      </c>
      <c r="I9704" t="s">
        <v>42940</v>
      </c>
      <c r="J9704" t="s">
        <v>42941</v>
      </c>
      <c r="L9704" t="s">
        <v>42795</v>
      </c>
      <c r="M9704" t="s">
        <v>46</v>
      </c>
      <c r="N9704" t="s">
        <v>6304</v>
      </c>
      <c r="O9704" t="s">
        <v>42942</v>
      </c>
      <c r="P9704" t="s">
        <v>42943</v>
      </c>
      <c r="Q9704" t="s">
        <v>42944</v>
      </c>
      <c r="R9704">
        <v>58</v>
      </c>
      <c r="S9704">
        <v>64</v>
      </c>
    </row>
    <row r="9705" spans="1:19" x14ac:dyDescent="0.35">
      <c r="A9705">
        <v>9397</v>
      </c>
      <c r="B9705" t="s">
        <v>6301</v>
      </c>
      <c r="C9705" t="s">
        <v>42</v>
      </c>
      <c r="D9705" t="s">
        <v>42945</v>
      </c>
      <c r="E9705" t="s">
        <v>6303</v>
      </c>
      <c r="F9705" s="1">
        <v>0</v>
      </c>
      <c r="G9705" t="s">
        <v>42759</v>
      </c>
      <c r="I9705" t="s">
        <v>42946</v>
      </c>
      <c r="J9705" t="s">
        <v>42761</v>
      </c>
      <c r="L9705" t="s">
        <v>42886</v>
      </c>
      <c r="M9705" t="s">
        <v>46</v>
      </c>
      <c r="N9705" t="s">
        <v>6304</v>
      </c>
      <c r="O9705" t="s">
        <v>42947</v>
      </c>
      <c r="P9705" t="s">
        <v>42948</v>
      </c>
      <c r="Q9705" t="s">
        <v>42949</v>
      </c>
      <c r="R9705">
        <v>58</v>
      </c>
      <c r="S9705">
        <v>64</v>
      </c>
    </row>
    <row r="9706" spans="1:19" x14ac:dyDescent="0.35">
      <c r="A9706">
        <v>9386</v>
      </c>
      <c r="B9706" t="s">
        <v>6301</v>
      </c>
      <c r="C9706" t="s">
        <v>42</v>
      </c>
      <c r="D9706" t="s">
        <v>42950</v>
      </c>
      <c r="E9706" t="s">
        <v>6303</v>
      </c>
      <c r="F9706" t="s">
        <v>42902</v>
      </c>
      <c r="G9706" t="s">
        <v>42759</v>
      </c>
      <c r="I9706" t="s">
        <v>42951</v>
      </c>
      <c r="J9706" t="s">
        <v>42761</v>
      </c>
      <c r="L9706" t="s">
        <v>42892</v>
      </c>
      <c r="M9706" t="s">
        <v>46</v>
      </c>
      <c r="N9706" t="s">
        <v>6304</v>
      </c>
      <c r="O9706" t="s">
        <v>42952</v>
      </c>
      <c r="P9706" t="s">
        <v>42953</v>
      </c>
      <c r="Q9706" t="s">
        <v>42954</v>
      </c>
      <c r="R9706">
        <v>58</v>
      </c>
      <c r="S9706">
        <v>64</v>
      </c>
    </row>
    <row r="9707" spans="1:19" x14ac:dyDescent="0.35">
      <c r="A9707">
        <v>1714</v>
      </c>
      <c r="B9707" t="s">
        <v>13767</v>
      </c>
      <c r="C9707" t="s">
        <v>42</v>
      </c>
      <c r="D9707" t="s">
        <v>42955</v>
      </c>
      <c r="E9707" t="e" cm="1">
        <f t="array" ref="E9707">- MOMETASONE FUROATE MONOHYDRATE</f>
        <v>#NAME?</v>
      </c>
      <c r="F9707" t="s">
        <v>42956</v>
      </c>
      <c r="G9707" t="s">
        <v>42957</v>
      </c>
      <c r="H9707" t="s">
        <v>13771</v>
      </c>
      <c r="I9707" t="s">
        <v>42958</v>
      </c>
      <c r="J9707" t="s">
        <v>42959</v>
      </c>
      <c r="K9707" t="s">
        <v>2726</v>
      </c>
      <c r="L9707" t="s">
        <v>42960</v>
      </c>
      <c r="M9707" t="s">
        <v>3453</v>
      </c>
      <c r="N9707" t="s">
        <v>13775</v>
      </c>
      <c r="O9707" t="s">
        <v>42961</v>
      </c>
      <c r="P9707" t="s">
        <v>13777</v>
      </c>
      <c r="Q9707" t="s">
        <v>42962</v>
      </c>
      <c r="R9707">
        <v>58</v>
      </c>
      <c r="S9707">
        <v>64</v>
      </c>
    </row>
    <row r="9708" spans="1:19" x14ac:dyDescent="0.35">
      <c r="A9708">
        <v>9384</v>
      </c>
      <c r="B9708" t="s">
        <v>6301</v>
      </c>
      <c r="C9708" t="s">
        <v>42</v>
      </c>
      <c r="D9708" t="s">
        <v>42963</v>
      </c>
      <c r="E9708" t="s">
        <v>6303</v>
      </c>
      <c r="F9708" t="s">
        <v>42902</v>
      </c>
      <c r="G9708" t="s">
        <v>42759</v>
      </c>
      <c r="I9708" t="s">
        <v>42964</v>
      </c>
      <c r="J9708" t="s">
        <v>42761</v>
      </c>
      <c r="L9708" t="s">
        <v>42892</v>
      </c>
      <c r="M9708" t="s">
        <v>46</v>
      </c>
      <c r="N9708" t="s">
        <v>6304</v>
      </c>
      <c r="O9708" t="s">
        <v>42965</v>
      </c>
      <c r="P9708" t="s">
        <v>42966</v>
      </c>
      <c r="Q9708" t="s">
        <v>42967</v>
      </c>
      <c r="R9708">
        <v>58</v>
      </c>
      <c r="S9708">
        <v>64</v>
      </c>
    </row>
    <row r="9709" spans="1:19" x14ac:dyDescent="0.35">
      <c r="A9709">
        <v>9502</v>
      </c>
      <c r="B9709" t="s">
        <v>6301</v>
      </c>
      <c r="C9709" t="s">
        <v>42</v>
      </c>
      <c r="D9709" t="s">
        <v>42968</v>
      </c>
      <c r="E9709" t="s">
        <v>6303</v>
      </c>
      <c r="F9709" s="1">
        <v>0</v>
      </c>
      <c r="G9709" t="s">
        <v>42759</v>
      </c>
      <c r="I9709" t="s">
        <v>42969</v>
      </c>
      <c r="J9709" t="s">
        <v>42761</v>
      </c>
      <c r="L9709" t="s">
        <v>42886</v>
      </c>
      <c r="M9709" t="s">
        <v>46</v>
      </c>
      <c r="N9709" t="s">
        <v>6304</v>
      </c>
      <c r="O9709" t="s">
        <v>42970</v>
      </c>
      <c r="P9709" t="s">
        <v>42971</v>
      </c>
      <c r="Q9709" t="s">
        <v>42972</v>
      </c>
      <c r="R9709">
        <v>58</v>
      </c>
      <c r="S9709">
        <v>64</v>
      </c>
    </row>
    <row r="9710" spans="1:19" x14ac:dyDescent="0.35">
      <c r="A9710">
        <v>1694</v>
      </c>
      <c r="B9710" t="s">
        <v>13767</v>
      </c>
      <c r="C9710" t="s">
        <v>42</v>
      </c>
      <c r="D9710" t="s">
        <v>42955</v>
      </c>
      <c r="E9710" t="e" cm="1">
        <f t="array" ref="E9710">- MOMETASONE FUROATE MONOHYDRATE</f>
        <v>#NAME?</v>
      </c>
      <c r="F9710" t="s">
        <v>42956</v>
      </c>
      <c r="G9710" t="s">
        <v>42957</v>
      </c>
      <c r="H9710" t="s">
        <v>13771</v>
      </c>
      <c r="I9710" t="s">
        <v>42958</v>
      </c>
      <c r="J9710" t="s">
        <v>42959</v>
      </c>
      <c r="K9710" t="s">
        <v>2726</v>
      </c>
      <c r="L9710" t="s">
        <v>42960</v>
      </c>
      <c r="M9710" t="s">
        <v>3453</v>
      </c>
      <c r="N9710" t="s">
        <v>13775</v>
      </c>
      <c r="O9710" t="s">
        <v>42961</v>
      </c>
      <c r="P9710" t="s">
        <v>13777</v>
      </c>
      <c r="Q9710" t="s">
        <v>42962</v>
      </c>
      <c r="R9710">
        <v>58</v>
      </c>
      <c r="S9710">
        <v>64</v>
      </c>
    </row>
    <row r="9711" spans="1:19" x14ac:dyDescent="0.35">
      <c r="A9711">
        <v>7952</v>
      </c>
      <c r="B9711" t="s">
        <v>42973</v>
      </c>
      <c r="C9711" t="s">
        <v>20</v>
      </c>
      <c r="D9711" t="s">
        <v>42974</v>
      </c>
      <c r="E9711" t="s">
        <v>42975</v>
      </c>
      <c r="F9711" t="s">
        <v>42976</v>
      </c>
      <c r="G9711" t="s">
        <v>40098</v>
      </c>
      <c r="H9711" t="s">
        <v>42977</v>
      </c>
      <c r="I9711" t="s">
        <v>42978</v>
      </c>
      <c r="J9711" t="s">
        <v>42979</v>
      </c>
      <c r="M9711" t="s">
        <v>38</v>
      </c>
      <c r="N9711" t="s">
        <v>42980</v>
      </c>
      <c r="O9711" t="s">
        <v>42981</v>
      </c>
      <c r="P9711" t="s">
        <v>42980</v>
      </c>
      <c r="Q9711" t="s">
        <v>42982</v>
      </c>
      <c r="R9711">
        <v>58</v>
      </c>
      <c r="S9711">
        <v>64</v>
      </c>
    </row>
    <row r="9712" spans="1:19" x14ac:dyDescent="0.35">
      <c r="A9712">
        <v>1695</v>
      </c>
      <c r="B9712" t="s">
        <v>13767</v>
      </c>
      <c r="C9712" t="s">
        <v>42</v>
      </c>
      <c r="D9712" t="s">
        <v>42955</v>
      </c>
      <c r="E9712" t="e" cm="1">
        <f t="array" ref="E9712">- MOMETASONE FUROATE MONOHYDRATE</f>
        <v>#NAME?</v>
      </c>
      <c r="F9712" t="s">
        <v>42956</v>
      </c>
      <c r="G9712" t="s">
        <v>42957</v>
      </c>
      <c r="H9712" t="s">
        <v>13771</v>
      </c>
      <c r="I9712" t="s">
        <v>42958</v>
      </c>
      <c r="J9712" t="s">
        <v>42959</v>
      </c>
      <c r="K9712" t="s">
        <v>2726</v>
      </c>
      <c r="L9712" t="s">
        <v>42960</v>
      </c>
      <c r="M9712" t="s">
        <v>3453</v>
      </c>
      <c r="N9712" t="s">
        <v>13775</v>
      </c>
      <c r="O9712" t="s">
        <v>42961</v>
      </c>
      <c r="P9712" t="s">
        <v>13777</v>
      </c>
      <c r="Q9712" t="s">
        <v>42962</v>
      </c>
      <c r="R9712">
        <v>58</v>
      </c>
      <c r="S9712">
        <v>64</v>
      </c>
    </row>
    <row r="9713" spans="1:19" x14ac:dyDescent="0.35">
      <c r="A9713">
        <v>1719</v>
      </c>
      <c r="B9713" t="s">
        <v>13767</v>
      </c>
      <c r="C9713" t="s">
        <v>42</v>
      </c>
      <c r="D9713" t="s">
        <v>42955</v>
      </c>
      <c r="E9713" t="e" cm="1">
        <f t="array" ref="E9713">- MOMETASONE FUROATE MONOHYDRATE</f>
        <v>#NAME?</v>
      </c>
      <c r="F9713" t="s">
        <v>42956</v>
      </c>
      <c r="G9713" t="s">
        <v>42957</v>
      </c>
      <c r="H9713" t="s">
        <v>13771</v>
      </c>
      <c r="I9713" t="s">
        <v>42958</v>
      </c>
      <c r="J9713" t="s">
        <v>42959</v>
      </c>
      <c r="K9713" t="s">
        <v>2726</v>
      </c>
      <c r="L9713" t="s">
        <v>42960</v>
      </c>
      <c r="M9713" t="s">
        <v>3453</v>
      </c>
      <c r="N9713" t="s">
        <v>13775</v>
      </c>
      <c r="O9713" t="s">
        <v>42961</v>
      </c>
      <c r="P9713" t="s">
        <v>13777</v>
      </c>
      <c r="Q9713" t="s">
        <v>42962</v>
      </c>
      <c r="R9713">
        <v>58</v>
      </c>
      <c r="S9713">
        <v>64</v>
      </c>
    </row>
    <row r="9714" spans="1:19" x14ac:dyDescent="0.35">
      <c r="A9714">
        <v>1702</v>
      </c>
      <c r="B9714" t="s">
        <v>13767</v>
      </c>
      <c r="C9714" t="s">
        <v>42</v>
      </c>
      <c r="D9714" t="s">
        <v>42955</v>
      </c>
      <c r="E9714" t="e" cm="1">
        <f t="array" ref="E9714">- MOMETASONE FUROATE MONOHYDRATE</f>
        <v>#NAME?</v>
      </c>
      <c r="F9714" t="s">
        <v>42956</v>
      </c>
      <c r="G9714" t="s">
        <v>42957</v>
      </c>
      <c r="H9714" t="s">
        <v>13771</v>
      </c>
      <c r="I9714" t="s">
        <v>42958</v>
      </c>
      <c r="J9714" t="s">
        <v>42959</v>
      </c>
      <c r="K9714" t="s">
        <v>2726</v>
      </c>
      <c r="L9714" t="s">
        <v>42960</v>
      </c>
      <c r="M9714" t="s">
        <v>3453</v>
      </c>
      <c r="N9714" t="s">
        <v>13775</v>
      </c>
      <c r="O9714" t="s">
        <v>42961</v>
      </c>
      <c r="P9714" t="s">
        <v>13777</v>
      </c>
      <c r="Q9714" t="s">
        <v>42962</v>
      </c>
      <c r="R9714">
        <v>58</v>
      </c>
      <c r="S9714">
        <v>64</v>
      </c>
    </row>
    <row r="9715" spans="1:19" x14ac:dyDescent="0.35">
      <c r="A9715">
        <v>1703</v>
      </c>
      <c r="B9715" t="s">
        <v>13767</v>
      </c>
      <c r="C9715" t="s">
        <v>42</v>
      </c>
      <c r="D9715" t="s">
        <v>42955</v>
      </c>
      <c r="E9715" t="e" cm="1">
        <f t="array" ref="E9715">- MOMETASONE FUROATE MONOHYDRATE</f>
        <v>#NAME?</v>
      </c>
      <c r="F9715" t="s">
        <v>42956</v>
      </c>
      <c r="G9715" t="s">
        <v>42957</v>
      </c>
      <c r="H9715" t="s">
        <v>13771</v>
      </c>
      <c r="I9715" t="s">
        <v>42958</v>
      </c>
      <c r="J9715" t="s">
        <v>42959</v>
      </c>
      <c r="K9715" t="s">
        <v>2726</v>
      </c>
      <c r="L9715" t="s">
        <v>42960</v>
      </c>
      <c r="M9715" t="s">
        <v>3453</v>
      </c>
      <c r="N9715" t="s">
        <v>13775</v>
      </c>
      <c r="O9715" t="s">
        <v>42961</v>
      </c>
      <c r="P9715" t="s">
        <v>13777</v>
      </c>
      <c r="Q9715" t="s">
        <v>42962</v>
      </c>
      <c r="R9715">
        <v>58</v>
      </c>
      <c r="S9715">
        <v>64</v>
      </c>
    </row>
    <row r="9716" spans="1:19" x14ac:dyDescent="0.35">
      <c r="A9716">
        <v>1704</v>
      </c>
      <c r="B9716" t="s">
        <v>13767</v>
      </c>
      <c r="C9716" t="s">
        <v>42</v>
      </c>
      <c r="D9716" t="s">
        <v>42955</v>
      </c>
      <c r="E9716" t="e" cm="1">
        <f t="array" ref="E9716">- MOMETASONE FUROATE MONOHYDRATE</f>
        <v>#NAME?</v>
      </c>
      <c r="F9716" t="s">
        <v>42956</v>
      </c>
      <c r="G9716" t="s">
        <v>42957</v>
      </c>
      <c r="H9716" t="s">
        <v>13771</v>
      </c>
      <c r="I9716" t="s">
        <v>42958</v>
      </c>
      <c r="J9716" t="s">
        <v>42959</v>
      </c>
      <c r="K9716" t="s">
        <v>2726</v>
      </c>
      <c r="L9716" t="s">
        <v>42960</v>
      </c>
      <c r="M9716" t="s">
        <v>3453</v>
      </c>
      <c r="N9716" t="s">
        <v>13775</v>
      </c>
      <c r="O9716" t="s">
        <v>42961</v>
      </c>
      <c r="P9716" t="s">
        <v>13777</v>
      </c>
      <c r="Q9716" t="s">
        <v>42962</v>
      </c>
      <c r="R9716">
        <v>58</v>
      </c>
      <c r="S9716">
        <v>64</v>
      </c>
    </row>
    <row r="9717" spans="1:19" x14ac:dyDescent="0.35">
      <c r="A9717">
        <v>1715</v>
      </c>
      <c r="B9717" t="s">
        <v>13767</v>
      </c>
      <c r="C9717" t="s">
        <v>42</v>
      </c>
      <c r="D9717" t="s">
        <v>42955</v>
      </c>
      <c r="E9717" t="e" cm="1">
        <f t="array" ref="E9717">- MOMETASONE FUROATE MONOHYDRATE</f>
        <v>#NAME?</v>
      </c>
      <c r="F9717" t="s">
        <v>42956</v>
      </c>
      <c r="G9717" t="s">
        <v>42957</v>
      </c>
      <c r="H9717" t="s">
        <v>13771</v>
      </c>
      <c r="I9717" t="s">
        <v>42958</v>
      </c>
      <c r="J9717" t="s">
        <v>42959</v>
      </c>
      <c r="K9717" t="s">
        <v>2726</v>
      </c>
      <c r="L9717" t="s">
        <v>42960</v>
      </c>
      <c r="M9717" t="s">
        <v>3453</v>
      </c>
      <c r="N9717" t="s">
        <v>13775</v>
      </c>
      <c r="O9717" t="s">
        <v>42961</v>
      </c>
      <c r="P9717" t="s">
        <v>13777</v>
      </c>
      <c r="Q9717" t="s">
        <v>42962</v>
      </c>
      <c r="R9717">
        <v>58</v>
      </c>
      <c r="S9717">
        <v>64</v>
      </c>
    </row>
    <row r="9718" spans="1:19" x14ac:dyDescent="0.35">
      <c r="A9718">
        <v>9599</v>
      </c>
      <c r="B9718" t="s">
        <v>6301</v>
      </c>
      <c r="C9718" t="s">
        <v>42</v>
      </c>
      <c r="D9718" t="s">
        <v>42983</v>
      </c>
      <c r="E9718" t="s">
        <v>6303</v>
      </c>
      <c r="F9718" s="1">
        <v>0</v>
      </c>
      <c r="G9718" t="s">
        <v>42759</v>
      </c>
      <c r="I9718" t="s">
        <v>42984</v>
      </c>
      <c r="J9718" t="s">
        <v>42761</v>
      </c>
      <c r="L9718" t="s">
        <v>42762</v>
      </c>
      <c r="M9718" t="s">
        <v>46</v>
      </c>
      <c r="N9718" t="s">
        <v>6304</v>
      </c>
      <c r="O9718" t="s">
        <v>42985</v>
      </c>
      <c r="P9718" t="s">
        <v>42986</v>
      </c>
      <c r="Q9718" t="s">
        <v>42987</v>
      </c>
      <c r="R9718">
        <v>58</v>
      </c>
      <c r="S9718">
        <v>64</v>
      </c>
    </row>
    <row r="9719" spans="1:19" x14ac:dyDescent="0.35">
      <c r="A9719">
        <v>9522</v>
      </c>
      <c r="B9719" t="s">
        <v>6301</v>
      </c>
      <c r="C9719" t="s">
        <v>42</v>
      </c>
      <c r="D9719" t="s">
        <v>42988</v>
      </c>
      <c r="E9719" t="s">
        <v>6303</v>
      </c>
      <c r="F9719" t="s">
        <v>42989</v>
      </c>
      <c r="G9719" t="s">
        <v>42759</v>
      </c>
      <c r="H9719" t="s">
        <v>1322</v>
      </c>
      <c r="I9719" t="s">
        <v>42990</v>
      </c>
      <c r="J9719" t="s">
        <v>42991</v>
      </c>
      <c r="L9719" t="s">
        <v>42795</v>
      </c>
      <c r="M9719" t="s">
        <v>46</v>
      </c>
      <c r="N9719" t="s">
        <v>6304</v>
      </c>
      <c r="O9719" t="s">
        <v>42992</v>
      </c>
      <c r="P9719" t="s">
        <v>42993</v>
      </c>
      <c r="Q9719" t="s">
        <v>42994</v>
      </c>
      <c r="R9719">
        <v>58</v>
      </c>
      <c r="S9719">
        <v>64</v>
      </c>
    </row>
    <row r="9720" spans="1:19" x14ac:dyDescent="0.35">
      <c r="A9720">
        <v>9523</v>
      </c>
      <c r="B9720" t="s">
        <v>6301</v>
      </c>
      <c r="C9720" t="s">
        <v>42</v>
      </c>
      <c r="D9720" t="s">
        <v>42995</v>
      </c>
      <c r="E9720" t="s">
        <v>6303</v>
      </c>
      <c r="F9720" t="s">
        <v>42989</v>
      </c>
      <c r="G9720" t="s">
        <v>42759</v>
      </c>
      <c r="H9720" t="s">
        <v>1322</v>
      </c>
      <c r="I9720" t="s">
        <v>42996</v>
      </c>
      <c r="J9720" t="s">
        <v>42991</v>
      </c>
      <c r="L9720" t="s">
        <v>42795</v>
      </c>
      <c r="M9720" t="s">
        <v>46</v>
      </c>
      <c r="N9720" t="s">
        <v>6304</v>
      </c>
      <c r="O9720" t="s">
        <v>42997</v>
      </c>
      <c r="P9720" t="s">
        <v>42998</v>
      </c>
      <c r="Q9720" t="s">
        <v>42999</v>
      </c>
      <c r="R9720">
        <v>58</v>
      </c>
      <c r="S9720">
        <v>64</v>
      </c>
    </row>
    <row r="9721" spans="1:19" x14ac:dyDescent="0.35">
      <c r="A9721">
        <v>1718</v>
      </c>
      <c r="B9721" t="s">
        <v>13767</v>
      </c>
      <c r="C9721" t="s">
        <v>42</v>
      </c>
      <c r="D9721" t="s">
        <v>42955</v>
      </c>
      <c r="E9721" t="e" cm="1">
        <f t="array" ref="E9721">- MOMETASONE FUROATE MONOHYDRATE</f>
        <v>#NAME?</v>
      </c>
      <c r="F9721" t="s">
        <v>42956</v>
      </c>
      <c r="G9721" t="s">
        <v>42957</v>
      </c>
      <c r="H9721" t="s">
        <v>13771</v>
      </c>
      <c r="I9721" t="s">
        <v>42958</v>
      </c>
      <c r="J9721" t="s">
        <v>42959</v>
      </c>
      <c r="K9721" t="s">
        <v>2726</v>
      </c>
      <c r="L9721" t="s">
        <v>42960</v>
      </c>
      <c r="M9721" t="s">
        <v>3453</v>
      </c>
      <c r="N9721" t="s">
        <v>13775</v>
      </c>
      <c r="O9721" t="s">
        <v>42961</v>
      </c>
      <c r="P9721" t="s">
        <v>13777</v>
      </c>
      <c r="Q9721" t="s">
        <v>42962</v>
      </c>
      <c r="R9721">
        <v>58</v>
      </c>
      <c r="S9721">
        <v>64</v>
      </c>
    </row>
    <row r="9722" spans="1:19" x14ac:dyDescent="0.35">
      <c r="A9722">
        <v>1717</v>
      </c>
      <c r="B9722" t="s">
        <v>13767</v>
      </c>
      <c r="C9722" t="s">
        <v>42</v>
      </c>
      <c r="D9722" t="s">
        <v>42955</v>
      </c>
      <c r="E9722" t="e" cm="1">
        <f t="array" ref="E9722">- MOMETASONE FUROATE MONOHYDRATE</f>
        <v>#NAME?</v>
      </c>
      <c r="F9722" t="s">
        <v>42956</v>
      </c>
      <c r="G9722" t="s">
        <v>42957</v>
      </c>
      <c r="H9722" t="s">
        <v>13771</v>
      </c>
      <c r="I9722" t="s">
        <v>42958</v>
      </c>
      <c r="J9722" t="s">
        <v>42959</v>
      </c>
      <c r="K9722" t="s">
        <v>2726</v>
      </c>
      <c r="L9722" t="s">
        <v>42960</v>
      </c>
      <c r="M9722" t="s">
        <v>3453</v>
      </c>
      <c r="N9722" t="s">
        <v>13775</v>
      </c>
      <c r="O9722" t="s">
        <v>42961</v>
      </c>
      <c r="P9722" t="s">
        <v>13777</v>
      </c>
      <c r="Q9722" t="s">
        <v>42962</v>
      </c>
      <c r="R9722">
        <v>58</v>
      </c>
      <c r="S9722">
        <v>64</v>
      </c>
    </row>
    <row r="9723" spans="1:19" x14ac:dyDescent="0.35">
      <c r="A9723">
        <v>1705</v>
      </c>
      <c r="B9723" t="s">
        <v>13767</v>
      </c>
      <c r="C9723" t="s">
        <v>42</v>
      </c>
      <c r="D9723" t="s">
        <v>42955</v>
      </c>
      <c r="E9723" t="e" cm="1">
        <f t="array" ref="E9723">- MOMETASONE FUROATE MONOHYDRATE</f>
        <v>#NAME?</v>
      </c>
      <c r="F9723" t="s">
        <v>42956</v>
      </c>
      <c r="G9723" t="s">
        <v>42957</v>
      </c>
      <c r="H9723" t="s">
        <v>13771</v>
      </c>
      <c r="I9723" t="s">
        <v>42958</v>
      </c>
      <c r="J9723" t="s">
        <v>42959</v>
      </c>
      <c r="K9723" t="s">
        <v>2726</v>
      </c>
      <c r="L9723" t="s">
        <v>42960</v>
      </c>
      <c r="M9723" t="s">
        <v>3453</v>
      </c>
      <c r="N9723" t="s">
        <v>13775</v>
      </c>
      <c r="O9723" t="s">
        <v>42961</v>
      </c>
      <c r="P9723" t="s">
        <v>13777</v>
      </c>
      <c r="Q9723" t="s">
        <v>42962</v>
      </c>
      <c r="R9723">
        <v>58</v>
      </c>
      <c r="S9723">
        <v>64</v>
      </c>
    </row>
    <row r="9724" spans="1:19" x14ac:dyDescent="0.35">
      <c r="A9724">
        <v>1716</v>
      </c>
      <c r="B9724" t="s">
        <v>13767</v>
      </c>
      <c r="C9724" t="s">
        <v>42</v>
      </c>
      <c r="D9724" t="s">
        <v>42955</v>
      </c>
      <c r="E9724" t="e" cm="1">
        <f t="array" ref="E9724">- MOMETASONE FUROATE MONOHYDRATE</f>
        <v>#NAME?</v>
      </c>
      <c r="F9724" t="s">
        <v>42956</v>
      </c>
      <c r="G9724" t="s">
        <v>42957</v>
      </c>
      <c r="H9724" t="s">
        <v>13771</v>
      </c>
      <c r="I9724" t="s">
        <v>42958</v>
      </c>
      <c r="J9724" t="s">
        <v>42959</v>
      </c>
      <c r="K9724" t="s">
        <v>2726</v>
      </c>
      <c r="L9724" t="s">
        <v>42960</v>
      </c>
      <c r="M9724" t="s">
        <v>3453</v>
      </c>
      <c r="N9724" t="s">
        <v>13775</v>
      </c>
      <c r="O9724" t="s">
        <v>42961</v>
      </c>
      <c r="P9724" t="s">
        <v>13777</v>
      </c>
      <c r="Q9724" t="s">
        <v>42962</v>
      </c>
      <c r="R9724">
        <v>58</v>
      </c>
      <c r="S9724">
        <v>64</v>
      </c>
    </row>
    <row r="9725" spans="1:19" x14ac:dyDescent="0.35">
      <c r="A9725">
        <v>1706</v>
      </c>
      <c r="B9725" t="s">
        <v>13767</v>
      </c>
      <c r="C9725" t="s">
        <v>42</v>
      </c>
      <c r="D9725" t="s">
        <v>42955</v>
      </c>
      <c r="E9725" t="e" cm="1">
        <f t="array" ref="E9725">- MOMETASONE FUROATE MONOHYDRATE</f>
        <v>#NAME?</v>
      </c>
      <c r="F9725" t="s">
        <v>42956</v>
      </c>
      <c r="G9725" t="s">
        <v>42957</v>
      </c>
      <c r="H9725" t="s">
        <v>13771</v>
      </c>
      <c r="I9725" t="s">
        <v>42958</v>
      </c>
      <c r="J9725" t="s">
        <v>42959</v>
      </c>
      <c r="K9725" t="s">
        <v>2726</v>
      </c>
      <c r="L9725" t="s">
        <v>42960</v>
      </c>
      <c r="M9725" t="s">
        <v>3453</v>
      </c>
      <c r="N9725" t="s">
        <v>13775</v>
      </c>
      <c r="O9725" t="s">
        <v>42961</v>
      </c>
      <c r="P9725" t="s">
        <v>13777</v>
      </c>
      <c r="Q9725" t="s">
        <v>42962</v>
      </c>
      <c r="R9725">
        <v>58</v>
      </c>
      <c r="S9725">
        <v>64</v>
      </c>
    </row>
    <row r="9726" spans="1:19" x14ac:dyDescent="0.35">
      <c r="A9726">
        <v>1707</v>
      </c>
      <c r="B9726" t="s">
        <v>13767</v>
      </c>
      <c r="C9726" t="s">
        <v>42</v>
      </c>
      <c r="D9726" t="s">
        <v>42955</v>
      </c>
      <c r="E9726" t="e" cm="1">
        <f t="array" ref="E9726">- MOMETASONE FUROATE MONOHYDRATE</f>
        <v>#NAME?</v>
      </c>
      <c r="F9726" t="s">
        <v>42956</v>
      </c>
      <c r="G9726" t="s">
        <v>42957</v>
      </c>
      <c r="H9726" t="s">
        <v>13771</v>
      </c>
      <c r="I9726" t="s">
        <v>42958</v>
      </c>
      <c r="J9726" t="s">
        <v>42959</v>
      </c>
      <c r="K9726" t="s">
        <v>2726</v>
      </c>
      <c r="L9726" t="s">
        <v>42960</v>
      </c>
      <c r="M9726" t="s">
        <v>3453</v>
      </c>
      <c r="N9726" t="s">
        <v>13775</v>
      </c>
      <c r="O9726" t="s">
        <v>42961</v>
      </c>
      <c r="P9726" t="s">
        <v>13777</v>
      </c>
      <c r="Q9726" t="s">
        <v>42962</v>
      </c>
      <c r="R9726">
        <v>58</v>
      </c>
      <c r="S9726">
        <v>64</v>
      </c>
    </row>
    <row r="9727" spans="1:19" x14ac:dyDescent="0.35">
      <c r="A9727">
        <v>9521</v>
      </c>
      <c r="B9727" t="s">
        <v>6301</v>
      </c>
      <c r="C9727" t="s">
        <v>42</v>
      </c>
      <c r="D9727" t="s">
        <v>43000</v>
      </c>
      <c r="E9727" t="s">
        <v>6303</v>
      </c>
      <c r="F9727" t="s">
        <v>42989</v>
      </c>
      <c r="G9727" t="s">
        <v>42759</v>
      </c>
      <c r="H9727" t="s">
        <v>1322</v>
      </c>
      <c r="I9727" t="s">
        <v>43001</v>
      </c>
      <c r="J9727" t="s">
        <v>42991</v>
      </c>
      <c r="L9727" t="s">
        <v>42795</v>
      </c>
      <c r="M9727" t="s">
        <v>46</v>
      </c>
      <c r="N9727" t="s">
        <v>6304</v>
      </c>
      <c r="O9727" t="s">
        <v>43002</v>
      </c>
      <c r="P9727" t="s">
        <v>43003</v>
      </c>
      <c r="Q9727" t="s">
        <v>43004</v>
      </c>
      <c r="R9727">
        <v>58</v>
      </c>
      <c r="S9727">
        <v>64</v>
      </c>
    </row>
    <row r="9728" spans="1:19" x14ac:dyDescent="0.35">
      <c r="A9728">
        <v>9385</v>
      </c>
      <c r="B9728" t="s">
        <v>6301</v>
      </c>
      <c r="C9728" t="s">
        <v>42</v>
      </c>
      <c r="D9728" t="s">
        <v>43005</v>
      </c>
      <c r="E9728" t="s">
        <v>6303</v>
      </c>
      <c r="F9728" s="1">
        <v>115000</v>
      </c>
      <c r="G9728" t="s">
        <v>42759</v>
      </c>
      <c r="I9728" t="s">
        <v>43006</v>
      </c>
      <c r="J9728" t="s">
        <v>42761</v>
      </c>
      <c r="L9728" t="s">
        <v>42892</v>
      </c>
      <c r="M9728" t="s">
        <v>46</v>
      </c>
      <c r="N9728" t="s">
        <v>6304</v>
      </c>
      <c r="O9728" t="s">
        <v>43007</v>
      </c>
      <c r="P9728" t="s">
        <v>43008</v>
      </c>
      <c r="Q9728" t="s">
        <v>43009</v>
      </c>
      <c r="R9728">
        <v>58</v>
      </c>
      <c r="S9728">
        <v>64</v>
      </c>
    </row>
    <row r="9729" spans="1:19" x14ac:dyDescent="0.35">
      <c r="A9729">
        <v>1693</v>
      </c>
      <c r="B9729" t="s">
        <v>13767</v>
      </c>
      <c r="C9729" t="s">
        <v>42</v>
      </c>
      <c r="D9729" t="s">
        <v>42955</v>
      </c>
      <c r="E9729" t="e" cm="1">
        <f t="array" ref="E9729">- MOMETASONE FUROATE MONOHYDRATE</f>
        <v>#NAME?</v>
      </c>
      <c r="F9729" t="s">
        <v>42956</v>
      </c>
      <c r="G9729" t="s">
        <v>42957</v>
      </c>
      <c r="H9729" t="s">
        <v>13771</v>
      </c>
      <c r="I9729" t="s">
        <v>42958</v>
      </c>
      <c r="J9729" t="s">
        <v>42959</v>
      </c>
      <c r="K9729" t="s">
        <v>2726</v>
      </c>
      <c r="L9729" t="s">
        <v>42960</v>
      </c>
      <c r="M9729" t="s">
        <v>3453</v>
      </c>
      <c r="N9729" t="s">
        <v>13775</v>
      </c>
      <c r="O9729" t="s">
        <v>42961</v>
      </c>
      <c r="P9729" t="s">
        <v>13777</v>
      </c>
      <c r="Q9729" t="s">
        <v>42962</v>
      </c>
      <c r="R9729">
        <v>58</v>
      </c>
      <c r="S9729">
        <v>64</v>
      </c>
    </row>
    <row r="9730" spans="1:19" x14ac:dyDescent="0.35">
      <c r="A9730">
        <v>1692</v>
      </c>
      <c r="B9730" t="s">
        <v>13767</v>
      </c>
      <c r="C9730" t="s">
        <v>42</v>
      </c>
      <c r="D9730" t="s">
        <v>42955</v>
      </c>
      <c r="E9730" t="e" cm="1">
        <f t="array" ref="E9730">- MOMETASONE FUROATE MONOHYDRATE</f>
        <v>#NAME?</v>
      </c>
      <c r="F9730" t="s">
        <v>42956</v>
      </c>
      <c r="G9730" t="s">
        <v>42957</v>
      </c>
      <c r="H9730" t="s">
        <v>13771</v>
      </c>
      <c r="I9730" t="s">
        <v>42958</v>
      </c>
      <c r="J9730" t="s">
        <v>42959</v>
      </c>
      <c r="K9730" t="s">
        <v>2726</v>
      </c>
      <c r="L9730" t="s">
        <v>42960</v>
      </c>
      <c r="M9730" t="s">
        <v>3453</v>
      </c>
      <c r="N9730" t="s">
        <v>13775</v>
      </c>
      <c r="O9730" t="s">
        <v>42961</v>
      </c>
      <c r="P9730" t="s">
        <v>13777</v>
      </c>
      <c r="Q9730" t="s">
        <v>42962</v>
      </c>
      <c r="R9730">
        <v>58</v>
      </c>
      <c r="S9730">
        <v>64</v>
      </c>
    </row>
    <row r="9731" spans="1:19" x14ac:dyDescent="0.35">
      <c r="A9731">
        <v>9383</v>
      </c>
      <c r="B9731" t="s">
        <v>6301</v>
      </c>
      <c r="C9731" t="s">
        <v>42</v>
      </c>
      <c r="D9731" t="s">
        <v>43010</v>
      </c>
      <c r="E9731" t="s">
        <v>6303</v>
      </c>
      <c r="F9731" s="1">
        <v>92600</v>
      </c>
      <c r="G9731" t="s">
        <v>42759</v>
      </c>
      <c r="I9731" t="s">
        <v>43011</v>
      </c>
      <c r="J9731" t="s">
        <v>42761</v>
      </c>
      <c r="L9731" t="s">
        <v>42892</v>
      </c>
      <c r="M9731" t="s">
        <v>46</v>
      </c>
      <c r="N9731" t="s">
        <v>6304</v>
      </c>
      <c r="O9731" t="s">
        <v>43012</v>
      </c>
      <c r="P9731" t="s">
        <v>43013</v>
      </c>
      <c r="Q9731" t="s">
        <v>43014</v>
      </c>
      <c r="R9731">
        <v>58</v>
      </c>
      <c r="S9731">
        <v>64</v>
      </c>
    </row>
    <row r="9732" spans="1:19" x14ac:dyDescent="0.35">
      <c r="A9732">
        <v>9379</v>
      </c>
      <c r="B9732" t="s">
        <v>6301</v>
      </c>
      <c r="C9732" t="s">
        <v>42</v>
      </c>
      <c r="D9732" t="s">
        <v>43015</v>
      </c>
      <c r="E9732" t="s">
        <v>6303</v>
      </c>
      <c r="F9732" t="s">
        <v>42902</v>
      </c>
      <c r="G9732" t="s">
        <v>42759</v>
      </c>
      <c r="I9732" t="s">
        <v>43016</v>
      </c>
      <c r="J9732" t="s">
        <v>42761</v>
      </c>
      <c r="L9732" t="s">
        <v>42892</v>
      </c>
      <c r="M9732" t="s">
        <v>46</v>
      </c>
      <c r="N9732" t="s">
        <v>6304</v>
      </c>
      <c r="O9732" t="s">
        <v>43017</v>
      </c>
      <c r="P9732" t="s">
        <v>43018</v>
      </c>
      <c r="Q9732" t="s">
        <v>43019</v>
      </c>
      <c r="R9732">
        <v>58</v>
      </c>
      <c r="S9732">
        <v>64</v>
      </c>
    </row>
    <row r="9733" spans="1:19" x14ac:dyDescent="0.35">
      <c r="A9733">
        <v>1691</v>
      </c>
      <c r="B9733" t="s">
        <v>13767</v>
      </c>
      <c r="C9733" t="s">
        <v>42</v>
      </c>
      <c r="D9733" t="s">
        <v>42955</v>
      </c>
      <c r="E9733" t="e" cm="1">
        <f t="array" ref="E9733">- MOMETASONE FUROATE MONOHYDRATE</f>
        <v>#NAME?</v>
      </c>
      <c r="F9733" t="s">
        <v>42956</v>
      </c>
      <c r="G9733" t="s">
        <v>42957</v>
      </c>
      <c r="H9733" t="s">
        <v>13771</v>
      </c>
      <c r="I9733" t="s">
        <v>42958</v>
      </c>
      <c r="J9733" t="s">
        <v>42959</v>
      </c>
      <c r="K9733" t="s">
        <v>2726</v>
      </c>
      <c r="L9733" t="s">
        <v>42960</v>
      </c>
      <c r="M9733" t="s">
        <v>3453</v>
      </c>
      <c r="N9733" t="s">
        <v>13775</v>
      </c>
      <c r="O9733" t="s">
        <v>42961</v>
      </c>
      <c r="P9733" t="s">
        <v>13777</v>
      </c>
      <c r="Q9733" t="s">
        <v>42962</v>
      </c>
      <c r="R9733">
        <v>58</v>
      </c>
      <c r="S9733">
        <v>64</v>
      </c>
    </row>
    <row r="9734" spans="1:19" x14ac:dyDescent="0.35">
      <c r="A9734">
        <v>9378</v>
      </c>
      <c r="B9734" t="s">
        <v>6301</v>
      </c>
      <c r="C9734" t="s">
        <v>42</v>
      </c>
      <c r="D9734" t="s">
        <v>43020</v>
      </c>
      <c r="E9734" t="s">
        <v>6303</v>
      </c>
      <c r="F9734" t="s">
        <v>42902</v>
      </c>
      <c r="G9734" t="s">
        <v>42759</v>
      </c>
      <c r="I9734" t="s">
        <v>43021</v>
      </c>
      <c r="J9734" t="s">
        <v>42761</v>
      </c>
      <c r="L9734" t="s">
        <v>42892</v>
      </c>
      <c r="M9734" t="s">
        <v>46</v>
      </c>
      <c r="N9734" t="s">
        <v>6304</v>
      </c>
      <c r="O9734" t="s">
        <v>43022</v>
      </c>
      <c r="P9734" t="s">
        <v>43023</v>
      </c>
      <c r="Q9734" t="s">
        <v>43024</v>
      </c>
      <c r="R9734">
        <v>58</v>
      </c>
      <c r="S9734">
        <v>64</v>
      </c>
    </row>
    <row r="9735" spans="1:19" x14ac:dyDescent="0.35">
      <c r="A9735">
        <v>9376</v>
      </c>
      <c r="B9735" t="s">
        <v>6301</v>
      </c>
      <c r="C9735" t="s">
        <v>42</v>
      </c>
      <c r="D9735" t="s">
        <v>43025</v>
      </c>
      <c r="E9735" t="s">
        <v>6303</v>
      </c>
      <c r="F9735" s="1">
        <v>101000</v>
      </c>
      <c r="G9735" t="s">
        <v>42759</v>
      </c>
      <c r="I9735" t="s">
        <v>43026</v>
      </c>
      <c r="J9735" t="s">
        <v>42761</v>
      </c>
      <c r="L9735" t="s">
        <v>42892</v>
      </c>
      <c r="M9735" t="s">
        <v>46</v>
      </c>
      <c r="N9735" t="s">
        <v>6304</v>
      </c>
      <c r="O9735" t="s">
        <v>43027</v>
      </c>
      <c r="P9735" t="s">
        <v>43028</v>
      </c>
      <c r="Q9735" t="s">
        <v>43029</v>
      </c>
      <c r="R9735">
        <v>58</v>
      </c>
      <c r="S9735">
        <v>64</v>
      </c>
    </row>
    <row r="9736" spans="1:19" x14ac:dyDescent="0.35">
      <c r="A9736">
        <v>1690</v>
      </c>
      <c r="B9736" t="s">
        <v>13767</v>
      </c>
      <c r="C9736" t="s">
        <v>42</v>
      </c>
      <c r="D9736" t="s">
        <v>42955</v>
      </c>
      <c r="E9736" t="e" cm="1">
        <f t="array" ref="E9736">- MOMETASONE FUROATE MONOHYDRATE</f>
        <v>#NAME?</v>
      </c>
      <c r="F9736" t="s">
        <v>42956</v>
      </c>
      <c r="G9736" t="s">
        <v>42957</v>
      </c>
      <c r="H9736" t="s">
        <v>13771</v>
      </c>
      <c r="I9736" t="s">
        <v>42958</v>
      </c>
      <c r="J9736" t="s">
        <v>42959</v>
      </c>
      <c r="K9736" t="s">
        <v>2726</v>
      </c>
      <c r="L9736" t="s">
        <v>42960</v>
      </c>
      <c r="M9736" t="s">
        <v>3453</v>
      </c>
      <c r="N9736" t="s">
        <v>13775</v>
      </c>
      <c r="O9736" t="s">
        <v>42961</v>
      </c>
      <c r="P9736" t="s">
        <v>13777</v>
      </c>
      <c r="Q9736" t="s">
        <v>42962</v>
      </c>
      <c r="R9736">
        <v>58</v>
      </c>
      <c r="S9736">
        <v>64</v>
      </c>
    </row>
    <row r="9737" spans="1:19" x14ac:dyDescent="0.35">
      <c r="A9737">
        <v>9367</v>
      </c>
      <c r="B9737" t="s">
        <v>6301</v>
      </c>
      <c r="C9737" t="s">
        <v>42</v>
      </c>
      <c r="D9737" t="s">
        <v>43030</v>
      </c>
      <c r="E9737" t="s">
        <v>6303</v>
      </c>
      <c r="F9737" t="s">
        <v>43031</v>
      </c>
      <c r="G9737" t="s">
        <v>42759</v>
      </c>
      <c r="I9737" t="s">
        <v>43032</v>
      </c>
      <c r="J9737" t="s">
        <v>42941</v>
      </c>
      <c r="L9737" t="s">
        <v>42795</v>
      </c>
      <c r="M9737" t="s">
        <v>46</v>
      </c>
      <c r="N9737" t="s">
        <v>6304</v>
      </c>
      <c r="O9737" t="s">
        <v>43033</v>
      </c>
      <c r="P9737" t="s">
        <v>43034</v>
      </c>
      <c r="Q9737" t="s">
        <v>43035</v>
      </c>
      <c r="R9737">
        <v>58</v>
      </c>
      <c r="S9737">
        <v>64</v>
      </c>
    </row>
    <row r="9738" spans="1:19" x14ac:dyDescent="0.35">
      <c r="A9738">
        <v>9554</v>
      </c>
      <c r="B9738" t="s">
        <v>6301</v>
      </c>
      <c r="C9738" t="s">
        <v>42</v>
      </c>
      <c r="D9738" t="s">
        <v>43036</v>
      </c>
      <c r="E9738" t="s">
        <v>6303</v>
      </c>
      <c r="F9738" s="1">
        <v>106200</v>
      </c>
      <c r="G9738" t="s">
        <v>42759</v>
      </c>
      <c r="I9738" t="s">
        <v>43037</v>
      </c>
      <c r="J9738" t="s">
        <v>42761</v>
      </c>
      <c r="L9738" t="s">
        <v>42762</v>
      </c>
      <c r="M9738" t="s">
        <v>46</v>
      </c>
      <c r="N9738" t="s">
        <v>6304</v>
      </c>
      <c r="O9738" t="s">
        <v>43038</v>
      </c>
      <c r="P9738" t="s">
        <v>43039</v>
      </c>
      <c r="Q9738" t="s">
        <v>43040</v>
      </c>
      <c r="R9738">
        <v>59</v>
      </c>
      <c r="S9738">
        <v>64</v>
      </c>
    </row>
    <row r="9739" spans="1:19" x14ac:dyDescent="0.35">
      <c r="A9739">
        <v>6032</v>
      </c>
      <c r="B9739" t="s">
        <v>43041</v>
      </c>
      <c r="C9739" t="s">
        <v>42</v>
      </c>
      <c r="D9739" t="s">
        <v>43042</v>
      </c>
      <c r="E9739" t="e" cm="1">
        <f t="array" ref="E9739">- SULFAMETHOXAZOLE. TRIMETHOPRIM</f>
        <v>#NAME?</v>
      </c>
      <c r="F9739" t="s">
        <v>43043</v>
      </c>
      <c r="H9739" t="s">
        <v>43044</v>
      </c>
      <c r="I9739" t="s">
        <v>43045</v>
      </c>
      <c r="J9739" t="s">
        <v>334</v>
      </c>
      <c r="L9739" t="s">
        <v>321</v>
      </c>
      <c r="M9739" t="s">
        <v>340</v>
      </c>
      <c r="N9739" t="s">
        <v>1379</v>
      </c>
      <c r="O9739" t="s">
        <v>43046</v>
      </c>
      <c r="P9739" t="s">
        <v>43047</v>
      </c>
      <c r="Q9739" t="s">
        <v>43048</v>
      </c>
      <c r="R9739">
        <v>59</v>
      </c>
      <c r="S9739">
        <v>64</v>
      </c>
    </row>
    <row r="9740" spans="1:19" x14ac:dyDescent="0.35">
      <c r="A9740">
        <v>9489</v>
      </c>
      <c r="B9740" t="s">
        <v>6301</v>
      </c>
      <c r="C9740" t="s">
        <v>42</v>
      </c>
      <c r="D9740" t="s">
        <v>43049</v>
      </c>
      <c r="E9740" t="s">
        <v>6303</v>
      </c>
      <c r="F9740" s="1">
        <v>33600</v>
      </c>
      <c r="G9740" t="s">
        <v>42759</v>
      </c>
      <c r="I9740" t="s">
        <v>43050</v>
      </c>
      <c r="J9740" t="s">
        <v>42761</v>
      </c>
      <c r="L9740" t="s">
        <v>42795</v>
      </c>
      <c r="M9740" t="s">
        <v>46</v>
      </c>
      <c r="N9740" t="s">
        <v>6304</v>
      </c>
      <c r="O9740" t="s">
        <v>43051</v>
      </c>
      <c r="P9740" t="s">
        <v>43052</v>
      </c>
      <c r="Q9740" t="s">
        <v>43053</v>
      </c>
      <c r="R9740">
        <v>59</v>
      </c>
      <c r="S9740">
        <v>64</v>
      </c>
    </row>
    <row r="9741" spans="1:19" x14ac:dyDescent="0.35">
      <c r="A9741">
        <v>9555</v>
      </c>
      <c r="B9741" t="s">
        <v>6301</v>
      </c>
      <c r="C9741" t="s">
        <v>42</v>
      </c>
      <c r="D9741" t="s">
        <v>43054</v>
      </c>
      <c r="E9741" t="s">
        <v>6303</v>
      </c>
      <c r="F9741" s="1">
        <v>106200</v>
      </c>
      <c r="G9741" t="s">
        <v>42759</v>
      </c>
      <c r="I9741" t="s">
        <v>43055</v>
      </c>
      <c r="J9741" t="s">
        <v>42761</v>
      </c>
      <c r="L9741" t="s">
        <v>42762</v>
      </c>
      <c r="M9741" t="s">
        <v>46</v>
      </c>
      <c r="N9741" t="s">
        <v>6304</v>
      </c>
      <c r="O9741" t="s">
        <v>43056</v>
      </c>
      <c r="P9741" t="s">
        <v>43057</v>
      </c>
      <c r="Q9741" t="s">
        <v>43058</v>
      </c>
      <c r="R9741">
        <v>59</v>
      </c>
      <c r="S9741">
        <v>64</v>
      </c>
    </row>
    <row r="9742" spans="1:19" x14ac:dyDescent="0.35">
      <c r="A9742">
        <v>9543</v>
      </c>
      <c r="B9742" t="s">
        <v>6301</v>
      </c>
      <c r="C9742" t="s">
        <v>42</v>
      </c>
      <c r="D9742" t="s">
        <v>43059</v>
      </c>
      <c r="E9742" t="s">
        <v>6303</v>
      </c>
      <c r="F9742" s="1">
        <v>106200</v>
      </c>
      <c r="G9742" t="s">
        <v>42759</v>
      </c>
      <c r="I9742" t="s">
        <v>43060</v>
      </c>
      <c r="J9742" t="s">
        <v>42761</v>
      </c>
      <c r="L9742" t="s">
        <v>42762</v>
      </c>
      <c r="M9742" t="s">
        <v>46</v>
      </c>
      <c r="N9742" t="s">
        <v>6304</v>
      </c>
      <c r="O9742" t="s">
        <v>43061</v>
      </c>
      <c r="P9742" t="s">
        <v>43062</v>
      </c>
      <c r="Q9742" t="s">
        <v>43063</v>
      </c>
      <c r="R9742">
        <v>59</v>
      </c>
      <c r="S9742">
        <v>64</v>
      </c>
    </row>
    <row r="9743" spans="1:19" x14ac:dyDescent="0.35">
      <c r="A9743">
        <v>8424</v>
      </c>
      <c r="B9743" t="s">
        <v>551</v>
      </c>
      <c r="C9743" t="s">
        <v>42</v>
      </c>
      <c r="D9743" t="s">
        <v>43064</v>
      </c>
      <c r="E9743" t="e" cm="1">
        <f t="array" ref="E9743">- POVIDONE-IODINE</f>
        <v>#NAME?</v>
      </c>
      <c r="F9743" t="s">
        <v>43065</v>
      </c>
      <c r="I9743" t="s">
        <v>43066</v>
      </c>
      <c r="J9743" t="s">
        <v>12405</v>
      </c>
      <c r="M9743" t="s">
        <v>554</v>
      </c>
      <c r="N9743" t="s">
        <v>555</v>
      </c>
      <c r="O9743" t="s">
        <v>43067</v>
      </c>
      <c r="P9743" t="s">
        <v>43068</v>
      </c>
      <c r="Q9743" t="s">
        <v>43069</v>
      </c>
      <c r="R9743">
        <v>59</v>
      </c>
      <c r="S9743">
        <v>64</v>
      </c>
    </row>
    <row r="9744" spans="1:19" x14ac:dyDescent="0.35">
      <c r="A9744">
        <v>8425</v>
      </c>
      <c r="B9744" t="s">
        <v>551</v>
      </c>
      <c r="C9744" t="s">
        <v>42</v>
      </c>
      <c r="D9744" t="s">
        <v>43064</v>
      </c>
      <c r="E9744" t="e" cm="1">
        <f t="array" ref="E9744">- POVIDONE-IODINE</f>
        <v>#NAME?</v>
      </c>
      <c r="F9744" t="s">
        <v>43065</v>
      </c>
      <c r="I9744" t="s">
        <v>43066</v>
      </c>
      <c r="J9744" t="s">
        <v>12405</v>
      </c>
      <c r="M9744" t="s">
        <v>554</v>
      </c>
      <c r="N9744" t="s">
        <v>555</v>
      </c>
      <c r="O9744" t="s">
        <v>43067</v>
      </c>
      <c r="P9744" t="s">
        <v>43068</v>
      </c>
      <c r="Q9744" t="s">
        <v>43069</v>
      </c>
      <c r="R9744">
        <v>59</v>
      </c>
      <c r="S9744">
        <v>64</v>
      </c>
    </row>
    <row r="9745" spans="1:19" x14ac:dyDescent="0.35">
      <c r="A9745">
        <v>9511</v>
      </c>
      <c r="B9745" t="s">
        <v>6301</v>
      </c>
      <c r="C9745" t="s">
        <v>42</v>
      </c>
      <c r="D9745" t="s">
        <v>43070</v>
      </c>
      <c r="E9745" t="s">
        <v>6303</v>
      </c>
      <c r="F9745" t="s">
        <v>43071</v>
      </c>
      <c r="G9745" t="s">
        <v>42759</v>
      </c>
      <c r="H9745" t="s">
        <v>1322</v>
      </c>
      <c r="I9745" t="s">
        <v>43072</v>
      </c>
      <c r="J9745" t="s">
        <v>42774</v>
      </c>
      <c r="L9745" t="s">
        <v>42795</v>
      </c>
      <c r="M9745" t="s">
        <v>46</v>
      </c>
      <c r="N9745" t="s">
        <v>6304</v>
      </c>
      <c r="O9745" t="s">
        <v>43073</v>
      </c>
      <c r="P9745" t="s">
        <v>43074</v>
      </c>
      <c r="Q9745" t="s">
        <v>43075</v>
      </c>
      <c r="R9745">
        <v>59</v>
      </c>
      <c r="S9745">
        <v>64</v>
      </c>
    </row>
    <row r="9746" spans="1:19" x14ac:dyDescent="0.35">
      <c r="A9746">
        <v>9402</v>
      </c>
      <c r="B9746" t="s">
        <v>6301</v>
      </c>
      <c r="C9746" t="s">
        <v>42</v>
      </c>
      <c r="D9746" t="s">
        <v>43076</v>
      </c>
      <c r="E9746" t="s">
        <v>6303</v>
      </c>
      <c r="F9746" s="1">
        <v>79000</v>
      </c>
      <c r="G9746" t="s">
        <v>42759</v>
      </c>
      <c r="I9746" t="s">
        <v>43077</v>
      </c>
      <c r="J9746" t="s">
        <v>42761</v>
      </c>
      <c r="L9746" t="s">
        <v>42886</v>
      </c>
      <c r="M9746" t="s">
        <v>46</v>
      </c>
      <c r="N9746" t="s">
        <v>6304</v>
      </c>
      <c r="O9746" t="s">
        <v>43078</v>
      </c>
      <c r="P9746" t="s">
        <v>43079</v>
      </c>
      <c r="Q9746" t="s">
        <v>43080</v>
      </c>
      <c r="R9746">
        <v>60</v>
      </c>
      <c r="S9746">
        <v>64</v>
      </c>
    </row>
    <row r="9747" spans="1:19" x14ac:dyDescent="0.35">
      <c r="A9747">
        <v>9377</v>
      </c>
      <c r="B9747" t="s">
        <v>6301</v>
      </c>
      <c r="C9747" t="s">
        <v>42</v>
      </c>
      <c r="D9747" t="s">
        <v>43081</v>
      </c>
      <c r="E9747" t="s">
        <v>6303</v>
      </c>
      <c r="F9747" s="1">
        <v>101000</v>
      </c>
      <c r="G9747" t="s">
        <v>42759</v>
      </c>
      <c r="I9747" t="s">
        <v>43082</v>
      </c>
      <c r="J9747" t="s">
        <v>42761</v>
      </c>
      <c r="L9747" t="s">
        <v>42892</v>
      </c>
      <c r="M9747" t="s">
        <v>46</v>
      </c>
      <c r="N9747" t="s">
        <v>6304</v>
      </c>
      <c r="O9747" t="s">
        <v>43083</v>
      </c>
      <c r="P9747" t="s">
        <v>43084</v>
      </c>
      <c r="Q9747" t="s">
        <v>43085</v>
      </c>
      <c r="R9747">
        <v>60</v>
      </c>
      <c r="S9747">
        <v>64</v>
      </c>
    </row>
    <row r="9748" spans="1:19" x14ac:dyDescent="0.35">
      <c r="A9748">
        <v>9409</v>
      </c>
      <c r="B9748" t="s">
        <v>6301</v>
      </c>
      <c r="C9748" t="s">
        <v>42</v>
      </c>
      <c r="D9748" t="s">
        <v>43086</v>
      </c>
      <c r="E9748" t="s">
        <v>6303</v>
      </c>
      <c r="F9748" s="1">
        <v>103200</v>
      </c>
      <c r="G9748" t="s">
        <v>42759</v>
      </c>
      <c r="I9748" t="s">
        <v>43087</v>
      </c>
      <c r="J9748" t="s">
        <v>42761</v>
      </c>
      <c r="L9748" t="s">
        <v>43088</v>
      </c>
      <c r="M9748" t="s">
        <v>46</v>
      </c>
      <c r="N9748" t="s">
        <v>6304</v>
      </c>
      <c r="O9748" t="s">
        <v>43089</v>
      </c>
      <c r="P9748" t="s">
        <v>43090</v>
      </c>
      <c r="Q9748" t="s">
        <v>43091</v>
      </c>
      <c r="R9748">
        <v>60</v>
      </c>
      <c r="S9748">
        <v>64</v>
      </c>
    </row>
    <row r="9749" spans="1:19" x14ac:dyDescent="0.35">
      <c r="A9749">
        <v>9380</v>
      </c>
      <c r="B9749" t="s">
        <v>6301</v>
      </c>
      <c r="C9749" t="s">
        <v>42</v>
      </c>
      <c r="D9749" t="s">
        <v>43092</v>
      </c>
      <c r="E9749" t="s">
        <v>6303</v>
      </c>
      <c r="F9749" s="1">
        <v>101000</v>
      </c>
      <c r="G9749" t="s">
        <v>42759</v>
      </c>
      <c r="I9749" t="s">
        <v>43093</v>
      </c>
      <c r="J9749" t="s">
        <v>42761</v>
      </c>
      <c r="L9749" t="s">
        <v>42892</v>
      </c>
      <c r="M9749" t="s">
        <v>46</v>
      </c>
      <c r="N9749" t="s">
        <v>6304</v>
      </c>
      <c r="O9749" t="s">
        <v>43094</v>
      </c>
      <c r="P9749" t="s">
        <v>43095</v>
      </c>
      <c r="Q9749" t="s">
        <v>43096</v>
      </c>
      <c r="R9749">
        <v>60</v>
      </c>
      <c r="S9749">
        <v>64</v>
      </c>
    </row>
    <row r="9750" spans="1:19" x14ac:dyDescent="0.35">
      <c r="A9750">
        <v>9396</v>
      </c>
      <c r="B9750" t="s">
        <v>6301</v>
      </c>
      <c r="C9750" t="s">
        <v>42</v>
      </c>
      <c r="D9750" t="s">
        <v>43097</v>
      </c>
      <c r="E9750" t="s">
        <v>6303</v>
      </c>
      <c r="F9750" s="1">
        <v>0</v>
      </c>
      <c r="G9750" t="s">
        <v>42759</v>
      </c>
      <c r="I9750" t="s">
        <v>43098</v>
      </c>
      <c r="J9750" t="s">
        <v>42761</v>
      </c>
      <c r="L9750" t="s">
        <v>42886</v>
      </c>
      <c r="M9750" t="s">
        <v>46</v>
      </c>
      <c r="N9750" t="s">
        <v>6304</v>
      </c>
      <c r="O9750" t="s">
        <v>43099</v>
      </c>
      <c r="P9750" t="s">
        <v>43100</v>
      </c>
      <c r="Q9750" t="s">
        <v>43101</v>
      </c>
      <c r="R9750">
        <v>60</v>
      </c>
      <c r="S9750">
        <v>64</v>
      </c>
    </row>
    <row r="9751" spans="1:19" x14ac:dyDescent="0.35">
      <c r="A9751">
        <v>9381</v>
      </c>
      <c r="B9751" t="s">
        <v>6301</v>
      </c>
      <c r="C9751" t="s">
        <v>42</v>
      </c>
      <c r="D9751" t="s">
        <v>43102</v>
      </c>
      <c r="E9751" t="s">
        <v>6303</v>
      </c>
      <c r="F9751" s="1">
        <v>92600</v>
      </c>
      <c r="G9751" t="s">
        <v>42759</v>
      </c>
      <c r="I9751" t="s">
        <v>43103</v>
      </c>
      <c r="J9751" t="s">
        <v>42761</v>
      </c>
      <c r="L9751" t="s">
        <v>42892</v>
      </c>
      <c r="M9751" t="s">
        <v>46</v>
      </c>
      <c r="N9751" t="s">
        <v>6304</v>
      </c>
      <c r="O9751" t="s">
        <v>43104</v>
      </c>
      <c r="P9751" t="s">
        <v>43105</v>
      </c>
      <c r="Q9751" t="s">
        <v>43106</v>
      </c>
      <c r="R9751">
        <v>60</v>
      </c>
      <c r="S9751">
        <v>64</v>
      </c>
    </row>
    <row r="9752" spans="1:19" x14ac:dyDescent="0.35">
      <c r="A9752">
        <v>9382</v>
      </c>
      <c r="B9752" t="s">
        <v>6301</v>
      </c>
      <c r="C9752" t="s">
        <v>42</v>
      </c>
      <c r="D9752" t="s">
        <v>43107</v>
      </c>
      <c r="E9752" t="s">
        <v>6303</v>
      </c>
      <c r="F9752" t="s">
        <v>42933</v>
      </c>
      <c r="G9752" t="s">
        <v>42759</v>
      </c>
      <c r="I9752" t="s">
        <v>43108</v>
      </c>
      <c r="J9752" t="s">
        <v>42761</v>
      </c>
      <c r="L9752" t="s">
        <v>42892</v>
      </c>
      <c r="M9752" t="s">
        <v>46</v>
      </c>
      <c r="N9752" t="s">
        <v>6304</v>
      </c>
      <c r="O9752" t="s">
        <v>43109</v>
      </c>
      <c r="P9752" t="s">
        <v>43110</v>
      </c>
      <c r="Q9752" t="s">
        <v>43111</v>
      </c>
      <c r="R9752">
        <v>60</v>
      </c>
      <c r="S9752">
        <v>64</v>
      </c>
    </row>
    <row r="9753" spans="1:19" x14ac:dyDescent="0.35">
      <c r="A9753">
        <v>9411</v>
      </c>
      <c r="B9753" t="s">
        <v>6301</v>
      </c>
      <c r="C9753" t="s">
        <v>42</v>
      </c>
      <c r="D9753" t="s">
        <v>43112</v>
      </c>
      <c r="E9753" t="s">
        <v>6303</v>
      </c>
      <c r="F9753" s="1">
        <v>126400</v>
      </c>
      <c r="G9753" t="s">
        <v>42759</v>
      </c>
      <c r="I9753" t="s">
        <v>43113</v>
      </c>
      <c r="J9753" t="s">
        <v>42761</v>
      </c>
      <c r="L9753" t="s">
        <v>43088</v>
      </c>
      <c r="M9753" t="s">
        <v>46</v>
      </c>
      <c r="N9753" t="s">
        <v>6304</v>
      </c>
      <c r="O9753" t="s">
        <v>43114</v>
      </c>
      <c r="P9753" t="s">
        <v>43115</v>
      </c>
      <c r="Q9753" t="s">
        <v>43116</v>
      </c>
      <c r="R9753">
        <v>60</v>
      </c>
      <c r="S9753">
        <v>64</v>
      </c>
    </row>
    <row r="9754" spans="1:19" x14ac:dyDescent="0.35">
      <c r="A9754">
        <v>9413</v>
      </c>
      <c r="B9754" t="s">
        <v>6301</v>
      </c>
      <c r="C9754" t="s">
        <v>42</v>
      </c>
      <c r="D9754" t="s">
        <v>43117</v>
      </c>
      <c r="E9754" t="s">
        <v>6303</v>
      </c>
      <c r="F9754" s="1">
        <v>126400</v>
      </c>
      <c r="G9754" t="s">
        <v>42759</v>
      </c>
      <c r="I9754" t="s">
        <v>43118</v>
      </c>
      <c r="J9754" t="s">
        <v>42761</v>
      </c>
      <c r="L9754" t="s">
        <v>43088</v>
      </c>
      <c r="M9754" t="s">
        <v>46</v>
      </c>
      <c r="N9754" t="s">
        <v>6304</v>
      </c>
      <c r="O9754" t="s">
        <v>43119</v>
      </c>
      <c r="P9754" t="s">
        <v>43120</v>
      </c>
      <c r="Q9754" t="s">
        <v>43121</v>
      </c>
      <c r="R9754">
        <v>60</v>
      </c>
      <c r="S9754">
        <v>64</v>
      </c>
    </row>
    <row r="9755" spans="1:19" x14ac:dyDescent="0.35">
      <c r="A9755">
        <v>9416</v>
      </c>
      <c r="B9755" t="s">
        <v>6301</v>
      </c>
      <c r="C9755" t="s">
        <v>42</v>
      </c>
      <c r="D9755" t="s">
        <v>43122</v>
      </c>
      <c r="E9755" t="s">
        <v>6303</v>
      </c>
      <c r="F9755" s="1">
        <v>126400</v>
      </c>
      <c r="G9755" t="s">
        <v>42759</v>
      </c>
      <c r="I9755" t="s">
        <v>43123</v>
      </c>
      <c r="J9755" t="s">
        <v>42761</v>
      </c>
      <c r="L9755" t="s">
        <v>42847</v>
      </c>
      <c r="M9755" t="s">
        <v>46</v>
      </c>
      <c r="N9755" t="s">
        <v>6304</v>
      </c>
      <c r="O9755" t="s">
        <v>43124</v>
      </c>
      <c r="P9755" t="s">
        <v>43125</v>
      </c>
      <c r="Q9755" t="s">
        <v>43126</v>
      </c>
      <c r="R9755">
        <v>60</v>
      </c>
      <c r="S9755">
        <v>64</v>
      </c>
    </row>
    <row r="9756" spans="1:19" x14ac:dyDescent="0.35">
      <c r="A9756">
        <v>9415</v>
      </c>
      <c r="B9756" t="s">
        <v>6301</v>
      </c>
      <c r="C9756" t="s">
        <v>42</v>
      </c>
      <c r="D9756" t="s">
        <v>43127</v>
      </c>
      <c r="E9756" t="s">
        <v>6303</v>
      </c>
      <c r="F9756" s="1">
        <v>126400</v>
      </c>
      <c r="G9756" t="s">
        <v>42759</v>
      </c>
      <c r="I9756" t="s">
        <v>43128</v>
      </c>
      <c r="J9756" t="s">
        <v>42761</v>
      </c>
      <c r="L9756" t="s">
        <v>42847</v>
      </c>
      <c r="M9756" t="s">
        <v>46</v>
      </c>
      <c r="N9756" t="s">
        <v>6304</v>
      </c>
      <c r="O9756" t="s">
        <v>43129</v>
      </c>
      <c r="P9756" t="s">
        <v>43130</v>
      </c>
      <c r="Q9756" t="s">
        <v>43131</v>
      </c>
      <c r="R9756">
        <v>60</v>
      </c>
      <c r="S9756">
        <v>64</v>
      </c>
    </row>
    <row r="9757" spans="1:19" x14ac:dyDescent="0.35">
      <c r="A9757">
        <v>9600</v>
      </c>
      <c r="B9757" t="s">
        <v>6301</v>
      </c>
      <c r="C9757" t="s">
        <v>42</v>
      </c>
      <c r="D9757" t="s">
        <v>43132</v>
      </c>
      <c r="E9757" t="s">
        <v>6303</v>
      </c>
      <c r="F9757" s="1">
        <v>31800</v>
      </c>
      <c r="G9757" t="s">
        <v>42759</v>
      </c>
      <c r="I9757" t="s">
        <v>43133</v>
      </c>
      <c r="J9757" t="s">
        <v>42761</v>
      </c>
      <c r="L9757" t="s">
        <v>42762</v>
      </c>
      <c r="M9757" t="s">
        <v>46</v>
      </c>
      <c r="N9757" t="s">
        <v>6304</v>
      </c>
      <c r="O9757" t="s">
        <v>43134</v>
      </c>
      <c r="P9757" t="s">
        <v>43135</v>
      </c>
      <c r="Q9757" t="s">
        <v>43136</v>
      </c>
      <c r="R9757">
        <v>60</v>
      </c>
      <c r="S9757">
        <v>64</v>
      </c>
    </row>
    <row r="9758" spans="1:19" x14ac:dyDescent="0.35">
      <c r="A9758">
        <v>9553</v>
      </c>
      <c r="B9758" t="s">
        <v>6301</v>
      </c>
      <c r="C9758" t="s">
        <v>42</v>
      </c>
      <c r="D9758" t="s">
        <v>43137</v>
      </c>
      <c r="E9758" t="s">
        <v>6303</v>
      </c>
      <c r="F9758" s="1">
        <v>106200</v>
      </c>
      <c r="G9758" t="s">
        <v>42759</v>
      </c>
      <c r="I9758" t="s">
        <v>43138</v>
      </c>
      <c r="J9758" t="s">
        <v>42761</v>
      </c>
      <c r="L9758" t="s">
        <v>42762</v>
      </c>
      <c r="M9758" t="s">
        <v>46</v>
      </c>
      <c r="N9758" t="s">
        <v>6304</v>
      </c>
      <c r="O9758" t="s">
        <v>43139</v>
      </c>
      <c r="P9758" t="s">
        <v>43140</v>
      </c>
      <c r="Q9758" t="s">
        <v>43141</v>
      </c>
      <c r="R9758">
        <v>60</v>
      </c>
      <c r="S9758">
        <v>64</v>
      </c>
    </row>
    <row r="9759" spans="1:19" x14ac:dyDescent="0.35">
      <c r="A9759">
        <v>9574</v>
      </c>
      <c r="B9759" t="s">
        <v>6301</v>
      </c>
      <c r="C9759" t="s">
        <v>42</v>
      </c>
      <c r="D9759" t="s">
        <v>43142</v>
      </c>
      <c r="E9759" t="s">
        <v>6303</v>
      </c>
      <c r="F9759" s="1">
        <v>168000</v>
      </c>
      <c r="G9759" t="s">
        <v>42759</v>
      </c>
      <c r="I9759" t="s">
        <v>43143</v>
      </c>
      <c r="J9759" t="s">
        <v>42761</v>
      </c>
      <c r="L9759" t="s">
        <v>42762</v>
      </c>
      <c r="M9759" t="s">
        <v>46</v>
      </c>
      <c r="N9759" t="s">
        <v>6304</v>
      </c>
      <c r="O9759" t="s">
        <v>43144</v>
      </c>
      <c r="P9759" t="s">
        <v>43145</v>
      </c>
      <c r="Q9759" t="s">
        <v>43146</v>
      </c>
      <c r="R9759">
        <v>60</v>
      </c>
      <c r="S9759">
        <v>64</v>
      </c>
    </row>
    <row r="9760" spans="1:19" x14ac:dyDescent="0.35">
      <c r="A9760">
        <v>9519</v>
      </c>
      <c r="B9760" t="s">
        <v>6301</v>
      </c>
      <c r="C9760" t="s">
        <v>42</v>
      </c>
      <c r="D9760" t="s">
        <v>43147</v>
      </c>
      <c r="E9760" t="s">
        <v>6303</v>
      </c>
      <c r="F9760" t="s">
        <v>43148</v>
      </c>
      <c r="G9760" t="s">
        <v>42759</v>
      </c>
      <c r="I9760" t="s">
        <v>43149</v>
      </c>
      <c r="J9760" t="s">
        <v>42761</v>
      </c>
      <c r="L9760" t="s">
        <v>42795</v>
      </c>
      <c r="M9760" t="s">
        <v>46</v>
      </c>
      <c r="N9760" t="s">
        <v>6304</v>
      </c>
      <c r="O9760" t="s">
        <v>43150</v>
      </c>
      <c r="P9760" t="s">
        <v>43151</v>
      </c>
      <c r="Q9760" t="s">
        <v>43152</v>
      </c>
      <c r="R9760">
        <v>60</v>
      </c>
      <c r="S9760">
        <v>64</v>
      </c>
    </row>
    <row r="9761" spans="1:19" x14ac:dyDescent="0.35">
      <c r="A9761">
        <v>9550</v>
      </c>
      <c r="B9761" t="s">
        <v>6301</v>
      </c>
      <c r="C9761" t="s">
        <v>42</v>
      </c>
      <c r="D9761" t="s">
        <v>43153</v>
      </c>
      <c r="E9761" t="s">
        <v>6303</v>
      </c>
      <c r="F9761" s="1">
        <v>103200</v>
      </c>
      <c r="G9761" t="s">
        <v>42759</v>
      </c>
      <c r="I9761" t="s">
        <v>43154</v>
      </c>
      <c r="J9761" t="s">
        <v>42761</v>
      </c>
      <c r="L9761" t="s">
        <v>42762</v>
      </c>
      <c r="M9761" t="s">
        <v>46</v>
      </c>
      <c r="N9761" t="s">
        <v>6304</v>
      </c>
      <c r="O9761" t="s">
        <v>43155</v>
      </c>
      <c r="P9761" t="s">
        <v>43156</v>
      </c>
      <c r="Q9761" t="s">
        <v>43157</v>
      </c>
      <c r="R9761">
        <v>60</v>
      </c>
      <c r="S9761">
        <v>64</v>
      </c>
    </row>
    <row r="9762" spans="1:19" x14ac:dyDescent="0.35">
      <c r="A9762">
        <v>9548</v>
      </c>
      <c r="B9762" t="s">
        <v>6301</v>
      </c>
      <c r="C9762" t="s">
        <v>42</v>
      </c>
      <c r="D9762" t="s">
        <v>43158</v>
      </c>
      <c r="E9762" t="s">
        <v>6303</v>
      </c>
      <c r="F9762" s="1">
        <v>106200</v>
      </c>
      <c r="G9762" t="s">
        <v>42759</v>
      </c>
      <c r="I9762" t="s">
        <v>43159</v>
      </c>
      <c r="J9762" t="s">
        <v>42761</v>
      </c>
      <c r="L9762" t="s">
        <v>42762</v>
      </c>
      <c r="M9762" t="s">
        <v>46</v>
      </c>
      <c r="N9762" t="s">
        <v>6304</v>
      </c>
      <c r="O9762" t="s">
        <v>43160</v>
      </c>
      <c r="P9762" t="s">
        <v>43161</v>
      </c>
      <c r="Q9762" t="s">
        <v>43162</v>
      </c>
      <c r="R9762">
        <v>60</v>
      </c>
      <c r="S9762">
        <v>64</v>
      </c>
    </row>
    <row r="9763" spans="1:19" x14ac:dyDescent="0.35">
      <c r="A9763">
        <v>9533</v>
      </c>
      <c r="B9763" t="s">
        <v>6301</v>
      </c>
      <c r="C9763" t="s">
        <v>42</v>
      </c>
      <c r="D9763" t="s">
        <v>43163</v>
      </c>
      <c r="E9763" t="s">
        <v>6303</v>
      </c>
      <c r="F9763" s="1">
        <v>92600</v>
      </c>
      <c r="G9763" t="s">
        <v>42759</v>
      </c>
      <c r="I9763" t="s">
        <v>43164</v>
      </c>
      <c r="J9763" t="s">
        <v>42761</v>
      </c>
      <c r="L9763" t="s">
        <v>42762</v>
      </c>
      <c r="M9763" t="s">
        <v>46</v>
      </c>
      <c r="N9763" t="s">
        <v>6304</v>
      </c>
      <c r="O9763" t="s">
        <v>43165</v>
      </c>
      <c r="P9763" t="s">
        <v>43166</v>
      </c>
      <c r="Q9763" t="s">
        <v>43167</v>
      </c>
      <c r="R9763">
        <v>60</v>
      </c>
      <c r="S9763">
        <v>64</v>
      </c>
    </row>
    <row r="9764" spans="1:19" x14ac:dyDescent="0.35">
      <c r="A9764">
        <v>9546</v>
      </c>
      <c r="B9764" t="s">
        <v>6301</v>
      </c>
      <c r="C9764" t="s">
        <v>42</v>
      </c>
      <c r="D9764" t="s">
        <v>43168</v>
      </c>
      <c r="E9764" t="s">
        <v>6303</v>
      </c>
      <c r="F9764" s="1">
        <v>103200</v>
      </c>
      <c r="G9764" t="s">
        <v>42759</v>
      </c>
      <c r="I9764" t="s">
        <v>43169</v>
      </c>
      <c r="J9764" t="s">
        <v>42761</v>
      </c>
      <c r="L9764" t="s">
        <v>42762</v>
      </c>
      <c r="M9764" t="s">
        <v>46</v>
      </c>
      <c r="N9764" t="s">
        <v>6304</v>
      </c>
      <c r="O9764" t="s">
        <v>43170</v>
      </c>
      <c r="P9764" t="s">
        <v>43171</v>
      </c>
      <c r="Q9764" t="s">
        <v>43172</v>
      </c>
      <c r="R9764">
        <v>60</v>
      </c>
      <c r="S9764">
        <v>64</v>
      </c>
    </row>
    <row r="9765" spans="1:19" x14ac:dyDescent="0.35">
      <c r="A9765">
        <v>6106</v>
      </c>
      <c r="B9765" t="s">
        <v>43173</v>
      </c>
      <c r="C9765" t="s">
        <v>42</v>
      </c>
      <c r="D9765" t="s">
        <v>43174</v>
      </c>
      <c r="E9765" t="e" cm="1">
        <f t="array" ref="E9765">- SULFAMETHOXAZOLE</f>
        <v>#NAME?</v>
      </c>
      <c r="F9765" t="s">
        <v>43175</v>
      </c>
      <c r="G9765" t="s">
        <v>835</v>
      </c>
      <c r="H9765" t="s">
        <v>269</v>
      </c>
      <c r="I9765" t="s">
        <v>43176</v>
      </c>
      <c r="J9765" t="s">
        <v>43177</v>
      </c>
      <c r="L9765" t="s">
        <v>270</v>
      </c>
      <c r="M9765" t="s">
        <v>46</v>
      </c>
      <c r="N9765" t="s">
        <v>478</v>
      </c>
      <c r="O9765" t="s">
        <v>43178</v>
      </c>
      <c r="P9765" t="s">
        <v>43179</v>
      </c>
      <c r="Q9765" t="s">
        <v>43180</v>
      </c>
      <c r="R9765">
        <v>60</v>
      </c>
      <c r="S9765">
        <v>64</v>
      </c>
    </row>
    <row r="9766" spans="1:19" x14ac:dyDescent="0.35">
      <c r="A9766">
        <v>9552</v>
      </c>
      <c r="B9766" t="s">
        <v>6301</v>
      </c>
      <c r="C9766" t="s">
        <v>42</v>
      </c>
      <c r="D9766" t="s">
        <v>43181</v>
      </c>
      <c r="E9766" t="s">
        <v>6303</v>
      </c>
      <c r="F9766" s="1">
        <v>106200</v>
      </c>
      <c r="G9766" t="s">
        <v>42759</v>
      </c>
      <c r="I9766" t="s">
        <v>43182</v>
      </c>
      <c r="J9766" t="s">
        <v>42761</v>
      </c>
      <c r="L9766" t="s">
        <v>42762</v>
      </c>
      <c r="M9766" t="s">
        <v>46</v>
      </c>
      <c r="N9766" t="s">
        <v>6304</v>
      </c>
      <c r="O9766" t="s">
        <v>43183</v>
      </c>
      <c r="P9766" t="s">
        <v>43184</v>
      </c>
      <c r="Q9766" t="s">
        <v>43185</v>
      </c>
      <c r="R9766">
        <v>60</v>
      </c>
      <c r="S9766">
        <v>64</v>
      </c>
    </row>
    <row r="9767" spans="1:19" x14ac:dyDescent="0.35">
      <c r="A9767">
        <v>9544</v>
      </c>
      <c r="B9767" t="s">
        <v>6301</v>
      </c>
      <c r="C9767" t="s">
        <v>42</v>
      </c>
      <c r="D9767" t="s">
        <v>43186</v>
      </c>
      <c r="E9767" t="s">
        <v>6303</v>
      </c>
      <c r="F9767" s="1">
        <v>106200</v>
      </c>
      <c r="G9767" t="s">
        <v>42759</v>
      </c>
      <c r="I9767" t="s">
        <v>43187</v>
      </c>
      <c r="J9767" t="s">
        <v>42761</v>
      </c>
      <c r="L9767" t="s">
        <v>42762</v>
      </c>
      <c r="M9767" t="s">
        <v>46</v>
      </c>
      <c r="N9767" t="s">
        <v>6304</v>
      </c>
      <c r="O9767" t="s">
        <v>43188</v>
      </c>
      <c r="P9767" t="s">
        <v>43189</v>
      </c>
      <c r="Q9767" t="s">
        <v>43190</v>
      </c>
      <c r="R9767">
        <v>60</v>
      </c>
      <c r="S9767">
        <v>64</v>
      </c>
    </row>
    <row r="9768" spans="1:19" x14ac:dyDescent="0.35">
      <c r="A9768">
        <v>9462</v>
      </c>
      <c r="B9768" t="s">
        <v>6301</v>
      </c>
      <c r="C9768" t="s">
        <v>42</v>
      </c>
      <c r="D9768" t="s">
        <v>43191</v>
      </c>
      <c r="E9768" t="s">
        <v>6303</v>
      </c>
      <c r="F9768" t="s">
        <v>43192</v>
      </c>
      <c r="G9768" t="s">
        <v>42759</v>
      </c>
      <c r="I9768" t="s">
        <v>43193</v>
      </c>
      <c r="J9768" t="s">
        <v>42761</v>
      </c>
      <c r="L9768" t="s">
        <v>42795</v>
      </c>
      <c r="M9768" t="s">
        <v>46</v>
      </c>
      <c r="N9768" t="s">
        <v>6304</v>
      </c>
      <c r="O9768" t="s">
        <v>43194</v>
      </c>
      <c r="P9768" t="s">
        <v>43195</v>
      </c>
      <c r="Q9768" t="s">
        <v>43196</v>
      </c>
      <c r="R9768">
        <v>60</v>
      </c>
      <c r="S9768">
        <v>64</v>
      </c>
    </row>
    <row r="9769" spans="1:19" x14ac:dyDescent="0.35">
      <c r="A9769">
        <v>9504</v>
      </c>
      <c r="B9769" t="s">
        <v>6301</v>
      </c>
      <c r="C9769" t="s">
        <v>42</v>
      </c>
      <c r="D9769" t="s">
        <v>43197</v>
      </c>
      <c r="E9769" t="s">
        <v>6303</v>
      </c>
      <c r="F9769" s="1">
        <v>150000</v>
      </c>
      <c r="G9769" t="s">
        <v>42759</v>
      </c>
      <c r="H9769" t="s">
        <v>1322</v>
      </c>
      <c r="I9769" t="s">
        <v>43198</v>
      </c>
      <c r="J9769" t="s">
        <v>42774</v>
      </c>
      <c r="L9769" t="s">
        <v>42795</v>
      </c>
      <c r="M9769" t="s">
        <v>46</v>
      </c>
      <c r="N9769" t="s">
        <v>6304</v>
      </c>
      <c r="O9769" t="s">
        <v>43199</v>
      </c>
      <c r="P9769" t="s">
        <v>43200</v>
      </c>
      <c r="Q9769" t="s">
        <v>43201</v>
      </c>
      <c r="R9769">
        <v>60</v>
      </c>
      <c r="S9769">
        <v>64</v>
      </c>
    </row>
    <row r="9770" spans="1:19" x14ac:dyDescent="0.35">
      <c r="A9770">
        <v>9545</v>
      </c>
      <c r="B9770" t="s">
        <v>6301</v>
      </c>
      <c r="C9770" t="s">
        <v>42</v>
      </c>
      <c r="D9770" t="s">
        <v>43202</v>
      </c>
      <c r="E9770" t="s">
        <v>6303</v>
      </c>
      <c r="F9770" s="1">
        <v>106200</v>
      </c>
      <c r="G9770" t="s">
        <v>42759</v>
      </c>
      <c r="I9770" t="s">
        <v>43203</v>
      </c>
      <c r="J9770" t="s">
        <v>42761</v>
      </c>
      <c r="L9770" t="s">
        <v>42762</v>
      </c>
      <c r="M9770" t="s">
        <v>46</v>
      </c>
      <c r="N9770" t="s">
        <v>6304</v>
      </c>
      <c r="O9770" t="s">
        <v>43204</v>
      </c>
      <c r="P9770" t="s">
        <v>43205</v>
      </c>
      <c r="Q9770" t="s">
        <v>43206</v>
      </c>
      <c r="R9770">
        <v>60</v>
      </c>
      <c r="S9770">
        <v>64</v>
      </c>
    </row>
    <row r="9771" spans="1:19" x14ac:dyDescent="0.35">
      <c r="A9771">
        <v>9468</v>
      </c>
      <c r="B9771" t="s">
        <v>6301</v>
      </c>
      <c r="C9771" t="s">
        <v>42</v>
      </c>
      <c r="D9771" t="s">
        <v>43207</v>
      </c>
      <c r="E9771" t="s">
        <v>6303</v>
      </c>
      <c r="F9771" s="1">
        <v>205000</v>
      </c>
      <c r="G9771" t="s">
        <v>42759</v>
      </c>
      <c r="I9771" t="s">
        <v>43208</v>
      </c>
      <c r="J9771" t="s">
        <v>42761</v>
      </c>
      <c r="L9771" t="s">
        <v>42892</v>
      </c>
      <c r="M9771" t="s">
        <v>46</v>
      </c>
      <c r="N9771" t="s">
        <v>6304</v>
      </c>
      <c r="O9771" t="s">
        <v>43209</v>
      </c>
      <c r="P9771" t="s">
        <v>43210</v>
      </c>
      <c r="Q9771" t="s">
        <v>43211</v>
      </c>
      <c r="R9771">
        <v>61</v>
      </c>
      <c r="S9771">
        <v>64</v>
      </c>
    </row>
    <row r="9772" spans="1:19" x14ac:dyDescent="0.35">
      <c r="A9772">
        <v>9470</v>
      </c>
      <c r="B9772" t="s">
        <v>6301</v>
      </c>
      <c r="C9772" t="s">
        <v>42</v>
      </c>
      <c r="D9772" t="s">
        <v>43212</v>
      </c>
      <c r="E9772" t="s">
        <v>6303</v>
      </c>
      <c r="F9772" s="1">
        <v>205000</v>
      </c>
      <c r="G9772" t="s">
        <v>42759</v>
      </c>
      <c r="I9772" t="s">
        <v>43213</v>
      </c>
      <c r="J9772" t="s">
        <v>42761</v>
      </c>
      <c r="L9772" t="s">
        <v>42892</v>
      </c>
      <c r="M9772" t="s">
        <v>46</v>
      </c>
      <c r="N9772" t="s">
        <v>6304</v>
      </c>
      <c r="O9772" t="s">
        <v>43214</v>
      </c>
      <c r="P9772" t="s">
        <v>43215</v>
      </c>
      <c r="Q9772" t="s">
        <v>43216</v>
      </c>
      <c r="R9772">
        <v>61</v>
      </c>
      <c r="S9772">
        <v>64</v>
      </c>
    </row>
    <row r="9773" spans="1:19" x14ac:dyDescent="0.35">
      <c r="A9773">
        <v>9590</v>
      </c>
      <c r="B9773" t="s">
        <v>6301</v>
      </c>
      <c r="C9773" t="s">
        <v>42</v>
      </c>
      <c r="D9773" t="s">
        <v>43217</v>
      </c>
      <c r="E9773" t="s">
        <v>6303</v>
      </c>
      <c r="F9773" s="1">
        <v>205000</v>
      </c>
      <c r="G9773" t="s">
        <v>42759</v>
      </c>
      <c r="I9773" t="s">
        <v>43218</v>
      </c>
      <c r="J9773" t="s">
        <v>42761</v>
      </c>
      <c r="L9773" t="s">
        <v>42762</v>
      </c>
      <c r="M9773" t="s">
        <v>46</v>
      </c>
      <c r="N9773" t="s">
        <v>6304</v>
      </c>
      <c r="O9773" t="s">
        <v>43219</v>
      </c>
      <c r="P9773" t="s">
        <v>43220</v>
      </c>
      <c r="Q9773" t="s">
        <v>43221</v>
      </c>
      <c r="R9773">
        <v>61</v>
      </c>
      <c r="S9773">
        <v>64</v>
      </c>
    </row>
    <row r="9774" spans="1:19" x14ac:dyDescent="0.35">
      <c r="A9774">
        <v>9584</v>
      </c>
      <c r="B9774" t="s">
        <v>6301</v>
      </c>
      <c r="C9774" t="s">
        <v>42</v>
      </c>
      <c r="D9774" t="s">
        <v>43222</v>
      </c>
      <c r="E9774" t="s">
        <v>6303</v>
      </c>
      <c r="F9774" s="1">
        <v>205000</v>
      </c>
      <c r="G9774" t="s">
        <v>42759</v>
      </c>
      <c r="I9774" t="s">
        <v>43223</v>
      </c>
      <c r="J9774" t="s">
        <v>42761</v>
      </c>
      <c r="L9774" t="s">
        <v>42762</v>
      </c>
      <c r="M9774" t="s">
        <v>46</v>
      </c>
      <c r="N9774" t="s">
        <v>6304</v>
      </c>
      <c r="O9774" t="s">
        <v>43224</v>
      </c>
      <c r="P9774" t="s">
        <v>43225</v>
      </c>
      <c r="Q9774" t="s">
        <v>43226</v>
      </c>
      <c r="R9774">
        <v>61</v>
      </c>
      <c r="S9774">
        <v>64</v>
      </c>
    </row>
    <row r="9775" spans="1:19" x14ac:dyDescent="0.35">
      <c r="A9775">
        <v>9461</v>
      </c>
      <c r="B9775" t="s">
        <v>6301</v>
      </c>
      <c r="C9775" t="s">
        <v>42</v>
      </c>
      <c r="D9775" t="s">
        <v>43227</v>
      </c>
      <c r="E9775" t="s">
        <v>6303</v>
      </c>
      <c r="F9775" t="s">
        <v>43228</v>
      </c>
      <c r="G9775" t="s">
        <v>42759</v>
      </c>
      <c r="I9775" t="s">
        <v>43229</v>
      </c>
      <c r="J9775" t="s">
        <v>42761</v>
      </c>
      <c r="L9775" t="s">
        <v>42795</v>
      </c>
      <c r="M9775" t="s">
        <v>46</v>
      </c>
      <c r="N9775" t="s">
        <v>6304</v>
      </c>
      <c r="O9775" t="s">
        <v>43230</v>
      </c>
      <c r="P9775" t="s">
        <v>43231</v>
      </c>
      <c r="Q9775" t="s">
        <v>43232</v>
      </c>
      <c r="R9775">
        <v>61</v>
      </c>
      <c r="S9775">
        <v>64</v>
      </c>
    </row>
    <row r="9776" spans="1:19" x14ac:dyDescent="0.35">
      <c r="A9776">
        <v>9395</v>
      </c>
      <c r="B9776" t="s">
        <v>6301</v>
      </c>
      <c r="C9776" t="s">
        <v>42</v>
      </c>
      <c r="D9776" t="s">
        <v>43233</v>
      </c>
      <c r="E9776" t="s">
        <v>6303</v>
      </c>
      <c r="F9776" s="1">
        <v>123200</v>
      </c>
      <c r="G9776" t="s">
        <v>42759</v>
      </c>
      <c r="I9776" t="s">
        <v>43234</v>
      </c>
      <c r="J9776" t="s">
        <v>42761</v>
      </c>
      <c r="L9776" t="s">
        <v>42795</v>
      </c>
      <c r="M9776" t="s">
        <v>46</v>
      </c>
      <c r="N9776" t="s">
        <v>6304</v>
      </c>
      <c r="O9776" t="s">
        <v>43235</v>
      </c>
      <c r="P9776" t="s">
        <v>43236</v>
      </c>
      <c r="Q9776" t="s">
        <v>43237</v>
      </c>
      <c r="R9776">
        <v>61</v>
      </c>
      <c r="S9776">
        <v>64</v>
      </c>
    </row>
    <row r="9777" spans="1:19" x14ac:dyDescent="0.35">
      <c r="A9777">
        <v>9394</v>
      </c>
      <c r="B9777" t="s">
        <v>6301</v>
      </c>
      <c r="C9777" t="s">
        <v>42</v>
      </c>
      <c r="D9777" t="s">
        <v>43238</v>
      </c>
      <c r="E9777" t="s">
        <v>6303</v>
      </c>
      <c r="F9777" s="1">
        <v>123200</v>
      </c>
      <c r="G9777" t="s">
        <v>42759</v>
      </c>
      <c r="I9777" t="s">
        <v>43239</v>
      </c>
      <c r="J9777" t="s">
        <v>42761</v>
      </c>
      <c r="L9777" t="s">
        <v>42795</v>
      </c>
      <c r="M9777" t="s">
        <v>46</v>
      </c>
      <c r="N9777" t="s">
        <v>6304</v>
      </c>
      <c r="O9777" t="s">
        <v>43240</v>
      </c>
      <c r="P9777" t="s">
        <v>43241</v>
      </c>
      <c r="Q9777" t="s">
        <v>43242</v>
      </c>
      <c r="R9777">
        <v>61</v>
      </c>
      <c r="S9777">
        <v>64</v>
      </c>
    </row>
    <row r="9778" spans="1:19" x14ac:dyDescent="0.35">
      <c r="A9778">
        <v>9393</v>
      </c>
      <c r="B9778" t="s">
        <v>6301</v>
      </c>
      <c r="C9778" t="s">
        <v>42</v>
      </c>
      <c r="D9778" t="s">
        <v>43243</v>
      </c>
      <c r="E9778" t="s">
        <v>6303</v>
      </c>
      <c r="F9778" s="1">
        <v>123200</v>
      </c>
      <c r="G9778" t="s">
        <v>42759</v>
      </c>
      <c r="I9778" t="s">
        <v>43244</v>
      </c>
      <c r="J9778" t="s">
        <v>42761</v>
      </c>
      <c r="L9778" t="s">
        <v>42795</v>
      </c>
      <c r="M9778" t="s">
        <v>46</v>
      </c>
      <c r="N9778" t="s">
        <v>6304</v>
      </c>
      <c r="O9778" t="s">
        <v>43245</v>
      </c>
      <c r="P9778" t="s">
        <v>43246</v>
      </c>
      <c r="Q9778" t="s">
        <v>43247</v>
      </c>
      <c r="R9778">
        <v>61</v>
      </c>
      <c r="S9778">
        <v>64</v>
      </c>
    </row>
    <row r="9779" spans="1:19" x14ac:dyDescent="0.35">
      <c r="A9779">
        <v>9538</v>
      </c>
      <c r="B9779" t="s">
        <v>6301</v>
      </c>
      <c r="C9779" t="s">
        <v>42</v>
      </c>
      <c r="D9779" t="s">
        <v>43248</v>
      </c>
      <c r="E9779" t="s">
        <v>6303</v>
      </c>
      <c r="F9779" s="1">
        <v>103200</v>
      </c>
      <c r="G9779" t="s">
        <v>42759</v>
      </c>
      <c r="I9779" t="s">
        <v>43249</v>
      </c>
      <c r="J9779" t="s">
        <v>42761</v>
      </c>
      <c r="L9779" t="s">
        <v>42762</v>
      </c>
      <c r="M9779" t="s">
        <v>46</v>
      </c>
      <c r="N9779" t="s">
        <v>6304</v>
      </c>
      <c r="O9779" t="s">
        <v>43250</v>
      </c>
      <c r="P9779" t="s">
        <v>43251</v>
      </c>
      <c r="Q9779" t="s">
        <v>43252</v>
      </c>
      <c r="R9779">
        <v>61</v>
      </c>
      <c r="S9779">
        <v>64</v>
      </c>
    </row>
    <row r="9780" spans="1:19" x14ac:dyDescent="0.35">
      <c r="A9780">
        <v>9469</v>
      </c>
      <c r="B9780" t="s">
        <v>6301</v>
      </c>
      <c r="C9780" t="s">
        <v>42</v>
      </c>
      <c r="D9780" t="s">
        <v>43253</v>
      </c>
      <c r="E9780" t="s">
        <v>6303</v>
      </c>
      <c r="F9780" s="1">
        <v>205000</v>
      </c>
      <c r="G9780" t="s">
        <v>42759</v>
      </c>
      <c r="I9780" t="s">
        <v>43254</v>
      </c>
      <c r="J9780" t="s">
        <v>42761</v>
      </c>
      <c r="L9780" t="s">
        <v>42892</v>
      </c>
      <c r="M9780" t="s">
        <v>46</v>
      </c>
      <c r="N9780" t="s">
        <v>6304</v>
      </c>
      <c r="O9780" t="s">
        <v>43255</v>
      </c>
      <c r="P9780" t="s">
        <v>43256</v>
      </c>
      <c r="Q9780" t="s">
        <v>43257</v>
      </c>
      <c r="R9780">
        <v>61</v>
      </c>
      <c r="S9780">
        <v>64</v>
      </c>
    </row>
    <row r="9781" spans="1:19" x14ac:dyDescent="0.35">
      <c r="A9781">
        <v>9478</v>
      </c>
      <c r="B9781" t="s">
        <v>6301</v>
      </c>
      <c r="C9781" t="s">
        <v>42</v>
      </c>
      <c r="D9781" t="s">
        <v>43258</v>
      </c>
      <c r="E9781" t="s">
        <v>6303</v>
      </c>
      <c r="F9781" s="1">
        <v>205000</v>
      </c>
      <c r="G9781" t="s">
        <v>42759</v>
      </c>
      <c r="I9781" t="s">
        <v>43259</v>
      </c>
      <c r="J9781" t="s">
        <v>42761</v>
      </c>
      <c r="L9781" t="s">
        <v>42892</v>
      </c>
      <c r="M9781" t="s">
        <v>46</v>
      </c>
      <c r="N9781" t="s">
        <v>6304</v>
      </c>
      <c r="O9781" t="s">
        <v>43260</v>
      </c>
      <c r="P9781" t="s">
        <v>43261</v>
      </c>
      <c r="Q9781" t="s">
        <v>43262</v>
      </c>
      <c r="R9781">
        <v>61</v>
      </c>
      <c r="S9781">
        <v>64</v>
      </c>
    </row>
    <row r="9782" spans="1:19" x14ac:dyDescent="0.35">
      <c r="A9782">
        <v>9472</v>
      </c>
      <c r="B9782" t="s">
        <v>6301</v>
      </c>
      <c r="C9782" t="s">
        <v>42</v>
      </c>
      <c r="D9782" t="s">
        <v>43263</v>
      </c>
      <c r="E9782" t="s">
        <v>6303</v>
      </c>
      <c r="F9782" s="1">
        <v>205000</v>
      </c>
      <c r="G9782" t="s">
        <v>42759</v>
      </c>
      <c r="I9782" t="s">
        <v>43264</v>
      </c>
      <c r="J9782" t="s">
        <v>42761</v>
      </c>
      <c r="L9782" t="s">
        <v>42892</v>
      </c>
      <c r="M9782" t="s">
        <v>46</v>
      </c>
      <c r="N9782" t="s">
        <v>6304</v>
      </c>
      <c r="O9782" t="s">
        <v>43265</v>
      </c>
      <c r="P9782" t="s">
        <v>43266</v>
      </c>
      <c r="Q9782" t="s">
        <v>43267</v>
      </c>
      <c r="R9782">
        <v>61</v>
      </c>
      <c r="S9782">
        <v>64</v>
      </c>
    </row>
    <row r="9783" spans="1:19" x14ac:dyDescent="0.35">
      <c r="A9783">
        <v>9480</v>
      </c>
      <c r="B9783" t="s">
        <v>6301</v>
      </c>
      <c r="C9783" t="s">
        <v>42</v>
      </c>
      <c r="D9783" t="s">
        <v>43268</v>
      </c>
      <c r="E9783" t="s">
        <v>6303</v>
      </c>
      <c r="F9783" t="s">
        <v>43269</v>
      </c>
      <c r="G9783" t="s">
        <v>42759</v>
      </c>
      <c r="I9783" t="s">
        <v>43270</v>
      </c>
      <c r="J9783" t="s">
        <v>42761</v>
      </c>
      <c r="L9783" t="s">
        <v>42795</v>
      </c>
      <c r="M9783" t="s">
        <v>46</v>
      </c>
      <c r="N9783" t="s">
        <v>6304</v>
      </c>
      <c r="O9783" t="s">
        <v>43271</v>
      </c>
      <c r="P9783" t="s">
        <v>43272</v>
      </c>
      <c r="Q9783" t="s">
        <v>43273</v>
      </c>
      <c r="R9783">
        <v>61</v>
      </c>
      <c r="S9783">
        <v>64</v>
      </c>
    </row>
    <row r="9784" spans="1:19" x14ac:dyDescent="0.35">
      <c r="A9784">
        <v>9583</v>
      </c>
      <c r="B9784" t="s">
        <v>6301</v>
      </c>
      <c r="C9784" t="s">
        <v>42</v>
      </c>
      <c r="D9784" t="s">
        <v>43274</v>
      </c>
      <c r="E9784" t="s">
        <v>6303</v>
      </c>
      <c r="F9784" s="1">
        <v>205000</v>
      </c>
      <c r="G9784" t="s">
        <v>42759</v>
      </c>
      <c r="I9784" t="s">
        <v>43275</v>
      </c>
      <c r="J9784" t="s">
        <v>42761</v>
      </c>
      <c r="L9784" t="s">
        <v>42762</v>
      </c>
      <c r="M9784" t="s">
        <v>46</v>
      </c>
      <c r="N9784" t="s">
        <v>6304</v>
      </c>
      <c r="O9784" t="s">
        <v>43276</v>
      </c>
      <c r="P9784" t="s">
        <v>43277</v>
      </c>
      <c r="Q9784" t="s">
        <v>43278</v>
      </c>
      <c r="R9784">
        <v>61</v>
      </c>
      <c r="S9784">
        <v>64</v>
      </c>
    </row>
    <row r="9785" spans="1:19" x14ac:dyDescent="0.35">
      <c r="A9785">
        <v>6031</v>
      </c>
      <c r="B9785" t="s">
        <v>43279</v>
      </c>
      <c r="C9785" t="s">
        <v>42</v>
      </c>
      <c r="D9785" t="s">
        <v>43280</v>
      </c>
      <c r="E9785" t="e" cm="1">
        <f t="array" ref="E9785">- SULFAMETHOXAZOLE. TRIMETHOPRIM</f>
        <v>#NAME?</v>
      </c>
      <c r="F9785" t="s">
        <v>43281</v>
      </c>
      <c r="H9785" t="s">
        <v>43282</v>
      </c>
      <c r="I9785" t="s">
        <v>43283</v>
      </c>
      <c r="J9785" t="s">
        <v>727</v>
      </c>
      <c r="L9785" t="s">
        <v>321</v>
      </c>
      <c r="M9785" t="s">
        <v>291</v>
      </c>
      <c r="N9785" t="s">
        <v>1379</v>
      </c>
      <c r="O9785" t="s">
        <v>43284</v>
      </c>
      <c r="P9785" t="s">
        <v>43047</v>
      </c>
      <c r="Q9785" t="s">
        <v>43285</v>
      </c>
      <c r="R9785">
        <v>61</v>
      </c>
      <c r="S9785">
        <v>64</v>
      </c>
    </row>
    <row r="9786" spans="1:19" x14ac:dyDescent="0.35">
      <c r="A9786">
        <v>9488</v>
      </c>
      <c r="B9786" t="s">
        <v>6301</v>
      </c>
      <c r="C9786" t="s">
        <v>42</v>
      </c>
      <c r="D9786" t="s">
        <v>43286</v>
      </c>
      <c r="E9786" t="s">
        <v>6303</v>
      </c>
      <c r="F9786" t="s">
        <v>43287</v>
      </c>
      <c r="G9786" t="s">
        <v>42759</v>
      </c>
      <c r="I9786" t="s">
        <v>43288</v>
      </c>
      <c r="J9786" t="s">
        <v>42761</v>
      </c>
      <c r="L9786" t="s">
        <v>42795</v>
      </c>
      <c r="M9786" t="s">
        <v>46</v>
      </c>
      <c r="N9786" t="s">
        <v>6304</v>
      </c>
      <c r="O9786" t="s">
        <v>43289</v>
      </c>
      <c r="P9786" t="s">
        <v>43290</v>
      </c>
      <c r="Q9786" t="s">
        <v>43291</v>
      </c>
      <c r="R9786">
        <v>61</v>
      </c>
      <c r="S9786">
        <v>64</v>
      </c>
    </row>
    <row r="9787" spans="1:19" x14ac:dyDescent="0.35">
      <c r="A9787">
        <v>9370</v>
      </c>
      <c r="B9787" t="s">
        <v>6301</v>
      </c>
      <c r="C9787" t="s">
        <v>42</v>
      </c>
      <c r="D9787" t="s">
        <v>43292</v>
      </c>
      <c r="E9787" t="s">
        <v>6303</v>
      </c>
      <c r="F9787" t="s">
        <v>43293</v>
      </c>
      <c r="G9787" t="s">
        <v>42759</v>
      </c>
      <c r="I9787" t="s">
        <v>43294</v>
      </c>
      <c r="J9787" t="s">
        <v>42941</v>
      </c>
      <c r="L9787" t="s">
        <v>42795</v>
      </c>
      <c r="M9787" t="s">
        <v>46</v>
      </c>
      <c r="N9787" t="s">
        <v>6304</v>
      </c>
      <c r="O9787" t="s">
        <v>43295</v>
      </c>
      <c r="P9787" t="s">
        <v>43296</v>
      </c>
      <c r="Q9787" t="s">
        <v>43297</v>
      </c>
      <c r="R9787">
        <v>61</v>
      </c>
      <c r="S9787">
        <v>64</v>
      </c>
    </row>
    <row r="9788" spans="1:19" x14ac:dyDescent="0.35">
      <c r="A9788">
        <v>9592</v>
      </c>
      <c r="B9788" t="s">
        <v>6301</v>
      </c>
      <c r="C9788" t="s">
        <v>42</v>
      </c>
      <c r="D9788" t="s">
        <v>43298</v>
      </c>
      <c r="E9788" t="s">
        <v>6303</v>
      </c>
      <c r="F9788" t="s">
        <v>43299</v>
      </c>
      <c r="G9788" t="s">
        <v>42759</v>
      </c>
      <c r="I9788" t="s">
        <v>43300</v>
      </c>
      <c r="J9788" t="s">
        <v>42761</v>
      </c>
      <c r="L9788" t="s">
        <v>42762</v>
      </c>
      <c r="M9788" t="s">
        <v>46</v>
      </c>
      <c r="N9788" t="s">
        <v>6304</v>
      </c>
      <c r="O9788" t="s">
        <v>43301</v>
      </c>
      <c r="P9788" t="s">
        <v>43302</v>
      </c>
      <c r="Q9788" t="s">
        <v>43303</v>
      </c>
      <c r="R9788">
        <v>61</v>
      </c>
      <c r="S9788">
        <v>64</v>
      </c>
    </row>
    <row r="9789" spans="1:19" x14ac:dyDescent="0.35">
      <c r="A9789">
        <v>9542</v>
      </c>
      <c r="B9789" t="s">
        <v>6301</v>
      </c>
      <c r="C9789" t="s">
        <v>42</v>
      </c>
      <c r="D9789" t="s">
        <v>43304</v>
      </c>
      <c r="E9789" t="s">
        <v>6303</v>
      </c>
      <c r="F9789" s="1">
        <v>126400</v>
      </c>
      <c r="G9789" t="s">
        <v>42759</v>
      </c>
      <c r="I9789" t="s">
        <v>43305</v>
      </c>
      <c r="J9789" t="s">
        <v>42761</v>
      </c>
      <c r="L9789" t="s">
        <v>42762</v>
      </c>
      <c r="M9789" t="s">
        <v>46</v>
      </c>
      <c r="N9789" t="s">
        <v>6304</v>
      </c>
      <c r="O9789" t="s">
        <v>43306</v>
      </c>
      <c r="P9789" t="s">
        <v>43307</v>
      </c>
      <c r="Q9789" t="s">
        <v>43308</v>
      </c>
      <c r="R9789">
        <v>61</v>
      </c>
      <c r="S9789">
        <v>64</v>
      </c>
    </row>
    <row r="9790" spans="1:19" x14ac:dyDescent="0.35">
      <c r="A9790">
        <v>9541</v>
      </c>
      <c r="B9790" t="s">
        <v>6301</v>
      </c>
      <c r="C9790" t="s">
        <v>42</v>
      </c>
      <c r="D9790" t="s">
        <v>43309</v>
      </c>
      <c r="E9790" t="s">
        <v>6303</v>
      </c>
      <c r="F9790" s="1">
        <v>126400</v>
      </c>
      <c r="G9790" t="s">
        <v>42759</v>
      </c>
      <c r="I9790" t="s">
        <v>43310</v>
      </c>
      <c r="J9790" t="s">
        <v>42761</v>
      </c>
      <c r="L9790" t="s">
        <v>42762</v>
      </c>
      <c r="M9790" t="s">
        <v>46</v>
      </c>
      <c r="N9790" t="s">
        <v>6304</v>
      </c>
      <c r="O9790" t="s">
        <v>43311</v>
      </c>
      <c r="P9790" t="s">
        <v>43312</v>
      </c>
      <c r="Q9790" t="s">
        <v>43313</v>
      </c>
      <c r="R9790">
        <v>61</v>
      </c>
      <c r="S9790">
        <v>64</v>
      </c>
    </row>
    <row r="9791" spans="1:19" x14ac:dyDescent="0.35">
      <c r="A9791">
        <v>9539</v>
      </c>
      <c r="B9791" t="s">
        <v>6301</v>
      </c>
      <c r="C9791" t="s">
        <v>42</v>
      </c>
      <c r="D9791" t="s">
        <v>43314</v>
      </c>
      <c r="E9791" t="s">
        <v>6303</v>
      </c>
      <c r="F9791" s="1">
        <v>126400</v>
      </c>
      <c r="G9791" t="s">
        <v>42759</v>
      </c>
      <c r="I9791" t="s">
        <v>43315</v>
      </c>
      <c r="J9791" t="s">
        <v>42761</v>
      </c>
      <c r="L9791" t="s">
        <v>42762</v>
      </c>
      <c r="M9791" t="s">
        <v>46</v>
      </c>
      <c r="N9791" t="s">
        <v>6304</v>
      </c>
      <c r="O9791" t="s">
        <v>43316</v>
      </c>
      <c r="P9791" t="s">
        <v>43317</v>
      </c>
      <c r="Q9791" t="s">
        <v>43318</v>
      </c>
      <c r="R9791">
        <v>61</v>
      </c>
      <c r="S9791">
        <v>64</v>
      </c>
    </row>
    <row r="9792" spans="1:19" x14ac:dyDescent="0.35">
      <c r="A9792">
        <v>9540</v>
      </c>
      <c r="B9792" t="s">
        <v>6301</v>
      </c>
      <c r="C9792" t="s">
        <v>42</v>
      </c>
      <c r="D9792" t="s">
        <v>43319</v>
      </c>
      <c r="E9792" t="s">
        <v>6303</v>
      </c>
      <c r="F9792" s="1">
        <v>126400</v>
      </c>
      <c r="G9792" t="s">
        <v>42759</v>
      </c>
      <c r="I9792" t="s">
        <v>43320</v>
      </c>
      <c r="J9792" t="s">
        <v>42761</v>
      </c>
      <c r="L9792" t="s">
        <v>42762</v>
      </c>
      <c r="M9792" t="s">
        <v>46</v>
      </c>
      <c r="N9792" t="s">
        <v>6304</v>
      </c>
      <c r="O9792" t="s">
        <v>43321</v>
      </c>
      <c r="P9792" t="s">
        <v>43322</v>
      </c>
      <c r="Q9792" t="s">
        <v>43323</v>
      </c>
      <c r="R9792">
        <v>61</v>
      </c>
      <c r="S9792">
        <v>64</v>
      </c>
    </row>
    <row r="9793" spans="1:19" x14ac:dyDescent="0.35">
      <c r="A9793">
        <v>9471</v>
      </c>
      <c r="B9793" t="s">
        <v>6301</v>
      </c>
      <c r="C9793" t="s">
        <v>42</v>
      </c>
      <c r="D9793" t="s">
        <v>43324</v>
      </c>
      <c r="E9793" t="s">
        <v>6303</v>
      </c>
      <c r="F9793" s="1">
        <v>205000</v>
      </c>
      <c r="G9793" t="s">
        <v>42759</v>
      </c>
      <c r="I9793" t="s">
        <v>43325</v>
      </c>
      <c r="J9793" t="s">
        <v>42761</v>
      </c>
      <c r="L9793" t="s">
        <v>42892</v>
      </c>
      <c r="M9793" t="s">
        <v>46</v>
      </c>
      <c r="N9793" t="s">
        <v>6304</v>
      </c>
      <c r="O9793" t="s">
        <v>43326</v>
      </c>
      <c r="P9793" t="s">
        <v>43327</v>
      </c>
      <c r="Q9793" t="s">
        <v>43328</v>
      </c>
      <c r="R9793">
        <v>61</v>
      </c>
      <c r="S9793">
        <v>64</v>
      </c>
    </row>
    <row r="9794" spans="1:19" x14ac:dyDescent="0.35">
      <c r="A9794">
        <v>9582</v>
      </c>
      <c r="B9794" t="s">
        <v>6301</v>
      </c>
      <c r="C9794" t="s">
        <v>42</v>
      </c>
      <c r="D9794" t="s">
        <v>43329</v>
      </c>
      <c r="E9794" t="s">
        <v>6303</v>
      </c>
      <c r="F9794" s="1">
        <v>205000</v>
      </c>
      <c r="G9794" t="s">
        <v>42759</v>
      </c>
      <c r="I9794" t="s">
        <v>43330</v>
      </c>
      <c r="J9794" t="s">
        <v>42761</v>
      </c>
      <c r="L9794" t="s">
        <v>42762</v>
      </c>
      <c r="M9794" t="s">
        <v>46</v>
      </c>
      <c r="N9794" t="s">
        <v>6304</v>
      </c>
      <c r="O9794" t="s">
        <v>43331</v>
      </c>
      <c r="P9794" t="s">
        <v>43332</v>
      </c>
      <c r="Q9794" t="s">
        <v>43333</v>
      </c>
      <c r="R9794">
        <v>61</v>
      </c>
      <c r="S9794">
        <v>64</v>
      </c>
    </row>
    <row r="9795" spans="1:19" x14ac:dyDescent="0.35">
      <c r="A9795">
        <v>9467</v>
      </c>
      <c r="B9795" t="s">
        <v>6301</v>
      </c>
      <c r="C9795" t="s">
        <v>42</v>
      </c>
      <c r="D9795" t="s">
        <v>43334</v>
      </c>
      <c r="E9795" t="s">
        <v>6303</v>
      </c>
      <c r="F9795" s="1">
        <v>205000</v>
      </c>
      <c r="G9795" t="s">
        <v>42759</v>
      </c>
      <c r="I9795" t="s">
        <v>43335</v>
      </c>
      <c r="J9795" t="s">
        <v>42761</v>
      </c>
      <c r="L9795" t="s">
        <v>42892</v>
      </c>
      <c r="M9795" t="s">
        <v>46</v>
      </c>
      <c r="N9795" t="s">
        <v>6304</v>
      </c>
      <c r="O9795" t="s">
        <v>43336</v>
      </c>
      <c r="P9795" t="s">
        <v>43337</v>
      </c>
      <c r="Q9795" t="s">
        <v>43338</v>
      </c>
      <c r="R9795">
        <v>61</v>
      </c>
      <c r="S9795">
        <v>64</v>
      </c>
    </row>
    <row r="9796" spans="1:19" x14ac:dyDescent="0.35">
      <c r="A9796">
        <v>5010</v>
      </c>
      <c r="B9796" t="s">
        <v>43339</v>
      </c>
      <c r="C9796" t="s">
        <v>42</v>
      </c>
      <c r="D9796" t="s">
        <v>43340</v>
      </c>
      <c r="E9796" t="e" cm="1">
        <f t="array" ref="E9796">- HYDROCORTISONE BUTYRATE</f>
        <v>#NAME?</v>
      </c>
      <c r="F9796" t="s">
        <v>43341</v>
      </c>
      <c r="G9796" t="s">
        <v>43342</v>
      </c>
      <c r="H9796" t="s">
        <v>43343</v>
      </c>
      <c r="I9796" t="s">
        <v>43344</v>
      </c>
      <c r="J9796" t="s">
        <v>43345</v>
      </c>
      <c r="K9796" t="s">
        <v>43346</v>
      </c>
      <c r="L9796" t="s">
        <v>43347</v>
      </c>
      <c r="M9796" t="s">
        <v>1289</v>
      </c>
      <c r="N9796" t="s">
        <v>26691</v>
      </c>
      <c r="O9796" t="s">
        <v>43348</v>
      </c>
      <c r="P9796" t="s">
        <v>43349</v>
      </c>
      <c r="Q9796" t="s">
        <v>43350</v>
      </c>
      <c r="R9796">
        <v>61</v>
      </c>
      <c r="S9796">
        <v>64</v>
      </c>
    </row>
    <row r="9797" spans="1:19" x14ac:dyDescent="0.35">
      <c r="A9797">
        <v>9529</v>
      </c>
      <c r="B9797" t="s">
        <v>6301</v>
      </c>
      <c r="C9797" t="s">
        <v>42</v>
      </c>
      <c r="D9797" t="s">
        <v>43351</v>
      </c>
      <c r="E9797" t="s">
        <v>6303</v>
      </c>
      <c r="F9797" t="s">
        <v>43352</v>
      </c>
      <c r="G9797" t="s">
        <v>42759</v>
      </c>
      <c r="I9797" t="s">
        <v>43353</v>
      </c>
      <c r="J9797" t="s">
        <v>42761</v>
      </c>
      <c r="L9797" t="s">
        <v>42795</v>
      </c>
      <c r="M9797" t="s">
        <v>46</v>
      </c>
      <c r="N9797" t="s">
        <v>6304</v>
      </c>
      <c r="O9797" t="s">
        <v>43354</v>
      </c>
      <c r="P9797" t="s">
        <v>43355</v>
      </c>
      <c r="Q9797" t="s">
        <v>43356</v>
      </c>
      <c r="R9797">
        <v>61</v>
      </c>
      <c r="S9797">
        <v>64</v>
      </c>
    </row>
    <row r="9798" spans="1:19" x14ac:dyDescent="0.35">
      <c r="A9798">
        <v>9434</v>
      </c>
      <c r="B9798" t="s">
        <v>6301</v>
      </c>
      <c r="C9798" t="s">
        <v>42</v>
      </c>
      <c r="D9798" t="s">
        <v>43357</v>
      </c>
      <c r="E9798" t="s">
        <v>6303</v>
      </c>
      <c r="F9798" s="1">
        <v>106200</v>
      </c>
      <c r="G9798" t="s">
        <v>42759</v>
      </c>
      <c r="I9798" t="s">
        <v>43358</v>
      </c>
      <c r="J9798" t="s">
        <v>42761</v>
      </c>
      <c r="L9798" t="s">
        <v>42847</v>
      </c>
      <c r="M9798" t="s">
        <v>46</v>
      </c>
      <c r="N9798" t="s">
        <v>6304</v>
      </c>
      <c r="O9798" t="s">
        <v>43359</v>
      </c>
      <c r="P9798" t="s">
        <v>43360</v>
      </c>
      <c r="Q9798" t="s">
        <v>43361</v>
      </c>
      <c r="R9798">
        <v>61</v>
      </c>
      <c r="S9798">
        <v>64</v>
      </c>
    </row>
    <row r="9799" spans="1:19" x14ac:dyDescent="0.35">
      <c r="A9799">
        <v>9433</v>
      </c>
      <c r="B9799" t="s">
        <v>6301</v>
      </c>
      <c r="C9799" t="s">
        <v>42</v>
      </c>
      <c r="D9799" t="s">
        <v>43362</v>
      </c>
      <c r="E9799" t="s">
        <v>6303</v>
      </c>
      <c r="F9799" s="1">
        <v>106200</v>
      </c>
      <c r="G9799" t="s">
        <v>42759</v>
      </c>
      <c r="I9799" t="s">
        <v>43363</v>
      </c>
      <c r="J9799" t="s">
        <v>42761</v>
      </c>
      <c r="L9799" t="s">
        <v>42847</v>
      </c>
      <c r="M9799" t="s">
        <v>46</v>
      </c>
      <c r="N9799" t="s">
        <v>6304</v>
      </c>
      <c r="O9799" t="s">
        <v>43364</v>
      </c>
      <c r="P9799" t="s">
        <v>43365</v>
      </c>
      <c r="Q9799" t="s">
        <v>43366</v>
      </c>
      <c r="R9799">
        <v>61</v>
      </c>
      <c r="S9799">
        <v>64</v>
      </c>
    </row>
    <row r="9800" spans="1:19" x14ac:dyDescent="0.35">
      <c r="A9800">
        <v>9528</v>
      </c>
      <c r="B9800" t="s">
        <v>6301</v>
      </c>
      <c r="C9800" t="s">
        <v>42</v>
      </c>
      <c r="D9800" t="s">
        <v>43367</v>
      </c>
      <c r="E9800" t="s">
        <v>6303</v>
      </c>
      <c r="F9800" s="1">
        <v>90000</v>
      </c>
      <c r="G9800" t="s">
        <v>42759</v>
      </c>
      <c r="I9800" t="s">
        <v>43368</v>
      </c>
      <c r="J9800" t="s">
        <v>42761</v>
      </c>
      <c r="L9800" t="s">
        <v>42795</v>
      </c>
      <c r="M9800" t="s">
        <v>46</v>
      </c>
      <c r="N9800" t="s">
        <v>6304</v>
      </c>
      <c r="O9800" t="s">
        <v>43369</v>
      </c>
      <c r="P9800" t="s">
        <v>43370</v>
      </c>
      <c r="Q9800" t="s">
        <v>43371</v>
      </c>
      <c r="R9800">
        <v>61</v>
      </c>
      <c r="S9800">
        <v>64</v>
      </c>
    </row>
    <row r="9801" spans="1:19" x14ac:dyDescent="0.35">
      <c r="A9801">
        <v>9526</v>
      </c>
      <c r="B9801" t="s">
        <v>6301</v>
      </c>
      <c r="C9801" t="s">
        <v>42</v>
      </c>
      <c r="D9801" t="s">
        <v>43372</v>
      </c>
      <c r="E9801" t="s">
        <v>6303</v>
      </c>
      <c r="F9801" t="s">
        <v>43373</v>
      </c>
      <c r="G9801" t="s">
        <v>42759</v>
      </c>
      <c r="I9801" t="s">
        <v>43374</v>
      </c>
      <c r="J9801" t="s">
        <v>42761</v>
      </c>
      <c r="L9801" t="s">
        <v>42795</v>
      </c>
      <c r="M9801" t="s">
        <v>46</v>
      </c>
      <c r="N9801" t="s">
        <v>6304</v>
      </c>
      <c r="O9801" t="s">
        <v>43375</v>
      </c>
      <c r="P9801" t="s">
        <v>43376</v>
      </c>
      <c r="Q9801" t="s">
        <v>43377</v>
      </c>
      <c r="R9801">
        <v>61</v>
      </c>
      <c r="S9801">
        <v>64</v>
      </c>
    </row>
    <row r="9802" spans="1:19" x14ac:dyDescent="0.35">
      <c r="A9802">
        <v>9525</v>
      </c>
      <c r="B9802" t="s">
        <v>6301</v>
      </c>
      <c r="C9802" t="s">
        <v>42</v>
      </c>
      <c r="D9802" t="s">
        <v>43378</v>
      </c>
      <c r="E9802" t="s">
        <v>6303</v>
      </c>
      <c r="F9802" t="s">
        <v>43379</v>
      </c>
      <c r="G9802" t="s">
        <v>42759</v>
      </c>
      <c r="I9802" t="s">
        <v>43380</v>
      </c>
      <c r="J9802" t="s">
        <v>42761</v>
      </c>
      <c r="L9802" t="s">
        <v>42795</v>
      </c>
      <c r="M9802" t="s">
        <v>46</v>
      </c>
      <c r="N9802" t="s">
        <v>6304</v>
      </c>
      <c r="O9802" t="s">
        <v>43381</v>
      </c>
      <c r="P9802" t="s">
        <v>43382</v>
      </c>
      <c r="Q9802" t="s">
        <v>43383</v>
      </c>
      <c r="R9802">
        <v>61</v>
      </c>
      <c r="S9802">
        <v>64</v>
      </c>
    </row>
    <row r="9803" spans="1:19" x14ac:dyDescent="0.35">
      <c r="A9803">
        <v>9444</v>
      </c>
      <c r="B9803" t="s">
        <v>6301</v>
      </c>
      <c r="C9803" t="s">
        <v>42</v>
      </c>
      <c r="D9803" t="s">
        <v>43384</v>
      </c>
      <c r="E9803" t="s">
        <v>6303</v>
      </c>
      <c r="F9803" s="1">
        <v>106200</v>
      </c>
      <c r="G9803" t="s">
        <v>42759</v>
      </c>
      <c r="I9803" t="s">
        <v>43385</v>
      </c>
      <c r="J9803" t="s">
        <v>42761</v>
      </c>
      <c r="L9803" t="s">
        <v>42847</v>
      </c>
      <c r="M9803" t="s">
        <v>46</v>
      </c>
      <c r="N9803" t="s">
        <v>6304</v>
      </c>
      <c r="O9803" t="s">
        <v>43386</v>
      </c>
      <c r="P9803" t="s">
        <v>43387</v>
      </c>
      <c r="Q9803" t="s">
        <v>43388</v>
      </c>
      <c r="R9803">
        <v>61</v>
      </c>
      <c r="S9803">
        <v>64</v>
      </c>
    </row>
    <row r="9804" spans="1:19" x14ac:dyDescent="0.35">
      <c r="A9804">
        <v>9524</v>
      </c>
      <c r="B9804" t="s">
        <v>6301</v>
      </c>
      <c r="C9804" t="s">
        <v>42</v>
      </c>
      <c r="D9804" t="s">
        <v>43389</v>
      </c>
      <c r="E9804" t="s">
        <v>6303</v>
      </c>
      <c r="F9804" t="s">
        <v>43390</v>
      </c>
      <c r="G9804" t="s">
        <v>42759</v>
      </c>
      <c r="I9804" t="s">
        <v>43391</v>
      </c>
      <c r="J9804" t="s">
        <v>42761</v>
      </c>
      <c r="L9804" t="s">
        <v>42795</v>
      </c>
      <c r="M9804" t="s">
        <v>46</v>
      </c>
      <c r="N9804" t="s">
        <v>6304</v>
      </c>
      <c r="O9804" t="s">
        <v>43392</v>
      </c>
      <c r="P9804" t="s">
        <v>43393</v>
      </c>
      <c r="Q9804" t="s">
        <v>43394</v>
      </c>
      <c r="R9804">
        <v>61</v>
      </c>
      <c r="S9804">
        <v>64</v>
      </c>
    </row>
    <row r="9805" spans="1:19" x14ac:dyDescent="0.35">
      <c r="A9805">
        <v>9431</v>
      </c>
      <c r="B9805" t="s">
        <v>6301</v>
      </c>
      <c r="C9805" t="s">
        <v>42</v>
      </c>
      <c r="D9805" t="s">
        <v>43395</v>
      </c>
      <c r="E9805" t="s">
        <v>6303</v>
      </c>
      <c r="F9805" s="1">
        <v>106200</v>
      </c>
      <c r="G9805" t="s">
        <v>42759</v>
      </c>
      <c r="I9805" t="s">
        <v>43396</v>
      </c>
      <c r="J9805" t="s">
        <v>42761</v>
      </c>
      <c r="L9805" t="s">
        <v>42847</v>
      </c>
      <c r="M9805" t="s">
        <v>46</v>
      </c>
      <c r="N9805" t="s">
        <v>6304</v>
      </c>
      <c r="O9805" t="s">
        <v>43397</v>
      </c>
      <c r="P9805" t="s">
        <v>43398</v>
      </c>
      <c r="Q9805" t="s">
        <v>43399</v>
      </c>
      <c r="R9805">
        <v>61</v>
      </c>
      <c r="S9805">
        <v>64</v>
      </c>
    </row>
    <row r="9806" spans="1:19" x14ac:dyDescent="0.35">
      <c r="A9806">
        <v>6105</v>
      </c>
      <c r="B9806" t="s">
        <v>43173</v>
      </c>
      <c r="C9806" t="s">
        <v>42</v>
      </c>
      <c r="D9806" t="s">
        <v>43174</v>
      </c>
      <c r="E9806" t="e" cm="1">
        <f t="array" ref="E9806">- SULFAMETHOXAZOLE. TRIMETHOPRIM</f>
        <v>#NAME?</v>
      </c>
      <c r="F9806" t="s">
        <v>43175</v>
      </c>
      <c r="G9806" t="s">
        <v>835</v>
      </c>
      <c r="H9806" t="s">
        <v>269</v>
      </c>
      <c r="I9806" t="s">
        <v>43176</v>
      </c>
      <c r="J9806" t="s">
        <v>43177</v>
      </c>
      <c r="L9806" t="s">
        <v>270</v>
      </c>
      <c r="M9806" t="s">
        <v>46</v>
      </c>
      <c r="N9806" t="s">
        <v>1379</v>
      </c>
      <c r="O9806" t="s">
        <v>43178</v>
      </c>
      <c r="P9806" t="s">
        <v>43179</v>
      </c>
      <c r="Q9806" t="s">
        <v>43400</v>
      </c>
      <c r="R9806">
        <v>61</v>
      </c>
      <c r="S9806">
        <v>64</v>
      </c>
    </row>
    <row r="9807" spans="1:19" x14ac:dyDescent="0.35">
      <c r="A9807">
        <v>9438</v>
      </c>
      <c r="B9807" t="s">
        <v>6301</v>
      </c>
      <c r="C9807" t="s">
        <v>42</v>
      </c>
      <c r="D9807" t="s">
        <v>43401</v>
      </c>
      <c r="E9807" t="s">
        <v>6303</v>
      </c>
      <c r="F9807" s="1">
        <v>106200</v>
      </c>
      <c r="G9807" t="s">
        <v>42759</v>
      </c>
      <c r="I9807" t="s">
        <v>43402</v>
      </c>
      <c r="J9807" t="s">
        <v>42761</v>
      </c>
      <c r="L9807" t="s">
        <v>42847</v>
      </c>
      <c r="M9807" t="s">
        <v>46</v>
      </c>
      <c r="N9807" t="s">
        <v>6304</v>
      </c>
      <c r="O9807" t="s">
        <v>43403</v>
      </c>
      <c r="P9807" t="s">
        <v>43404</v>
      </c>
      <c r="Q9807" t="s">
        <v>43405</v>
      </c>
      <c r="R9807">
        <v>61</v>
      </c>
      <c r="S9807">
        <v>64</v>
      </c>
    </row>
    <row r="9808" spans="1:19" x14ac:dyDescent="0.35">
      <c r="A9808">
        <v>9446</v>
      </c>
      <c r="B9808" t="s">
        <v>6301</v>
      </c>
      <c r="C9808" t="s">
        <v>42</v>
      </c>
      <c r="D9808" t="s">
        <v>43406</v>
      </c>
      <c r="E9808" t="s">
        <v>6303</v>
      </c>
      <c r="F9808" s="1">
        <v>100100</v>
      </c>
      <c r="G9808" t="s">
        <v>42759</v>
      </c>
      <c r="I9808" t="s">
        <v>43407</v>
      </c>
      <c r="J9808" t="s">
        <v>42761</v>
      </c>
      <c r="L9808" t="s">
        <v>42847</v>
      </c>
      <c r="M9808" t="s">
        <v>46</v>
      </c>
      <c r="N9808" t="s">
        <v>6304</v>
      </c>
      <c r="O9808" t="s">
        <v>43408</v>
      </c>
      <c r="P9808" t="s">
        <v>43409</v>
      </c>
      <c r="Q9808" t="s">
        <v>43410</v>
      </c>
      <c r="R9808">
        <v>61</v>
      </c>
      <c r="S9808">
        <v>64</v>
      </c>
    </row>
    <row r="9809" spans="1:19" x14ac:dyDescent="0.35">
      <c r="A9809">
        <v>8002</v>
      </c>
      <c r="B9809" t="s">
        <v>43411</v>
      </c>
      <c r="C9809" t="s">
        <v>20</v>
      </c>
      <c r="D9809" t="s">
        <v>43412</v>
      </c>
      <c r="E9809" t="s">
        <v>43413</v>
      </c>
      <c r="F9809" t="s">
        <v>43414</v>
      </c>
      <c r="G9809" t="s">
        <v>2241</v>
      </c>
      <c r="H9809" t="s">
        <v>43415</v>
      </c>
      <c r="I9809" t="s">
        <v>43416</v>
      </c>
      <c r="J9809" t="s">
        <v>43417</v>
      </c>
      <c r="M9809" t="s">
        <v>38</v>
      </c>
      <c r="N9809" t="s">
        <v>43418</v>
      </c>
      <c r="O9809" t="s">
        <v>43419</v>
      </c>
      <c r="P9809" t="s">
        <v>43420</v>
      </c>
      <c r="Q9809" t="s">
        <v>43421</v>
      </c>
      <c r="R9809">
        <v>61</v>
      </c>
      <c r="S9809">
        <v>64</v>
      </c>
    </row>
    <row r="9810" spans="1:19" x14ac:dyDescent="0.35">
      <c r="A9810">
        <v>9581</v>
      </c>
      <c r="B9810" t="s">
        <v>6301</v>
      </c>
      <c r="C9810" t="s">
        <v>42</v>
      </c>
      <c r="D9810" t="s">
        <v>43422</v>
      </c>
      <c r="E9810" t="s">
        <v>6303</v>
      </c>
      <c r="F9810" s="1">
        <v>205000</v>
      </c>
      <c r="G9810" t="s">
        <v>42759</v>
      </c>
      <c r="I9810" t="s">
        <v>43423</v>
      </c>
      <c r="J9810" t="s">
        <v>42761</v>
      </c>
      <c r="L9810" t="s">
        <v>42762</v>
      </c>
      <c r="M9810" t="s">
        <v>46</v>
      </c>
      <c r="N9810" t="s">
        <v>6304</v>
      </c>
      <c r="O9810" t="s">
        <v>43424</v>
      </c>
      <c r="P9810" t="s">
        <v>43425</v>
      </c>
      <c r="Q9810" t="s">
        <v>43426</v>
      </c>
      <c r="R9810">
        <v>61</v>
      </c>
      <c r="S9810">
        <v>64</v>
      </c>
    </row>
    <row r="9811" spans="1:19" x14ac:dyDescent="0.35">
      <c r="A9811">
        <v>9578</v>
      </c>
      <c r="B9811" t="s">
        <v>6301</v>
      </c>
      <c r="C9811" t="s">
        <v>42</v>
      </c>
      <c r="D9811" t="s">
        <v>43427</v>
      </c>
      <c r="E9811" t="s">
        <v>6303</v>
      </c>
      <c r="F9811" s="1">
        <v>205000</v>
      </c>
      <c r="G9811" t="s">
        <v>42759</v>
      </c>
      <c r="I9811" t="s">
        <v>43428</v>
      </c>
      <c r="J9811" t="s">
        <v>42761</v>
      </c>
      <c r="L9811" t="s">
        <v>42762</v>
      </c>
      <c r="M9811" t="s">
        <v>46</v>
      </c>
      <c r="N9811" t="s">
        <v>6304</v>
      </c>
      <c r="O9811" t="s">
        <v>43429</v>
      </c>
      <c r="P9811" t="s">
        <v>43430</v>
      </c>
      <c r="Q9811" t="s">
        <v>43431</v>
      </c>
      <c r="R9811">
        <v>61</v>
      </c>
      <c r="S9811">
        <v>64</v>
      </c>
    </row>
    <row r="9812" spans="1:19" x14ac:dyDescent="0.35">
      <c r="A9812">
        <v>9577</v>
      </c>
      <c r="B9812" t="s">
        <v>6301</v>
      </c>
      <c r="C9812" t="s">
        <v>42</v>
      </c>
      <c r="D9812" t="s">
        <v>43432</v>
      </c>
      <c r="E9812" t="s">
        <v>6303</v>
      </c>
      <c r="F9812" s="1">
        <v>205000</v>
      </c>
      <c r="G9812" t="s">
        <v>42759</v>
      </c>
      <c r="I9812" t="s">
        <v>43433</v>
      </c>
      <c r="J9812" t="s">
        <v>42761</v>
      </c>
      <c r="L9812" t="s">
        <v>42762</v>
      </c>
      <c r="M9812" t="s">
        <v>46</v>
      </c>
      <c r="N9812" t="s">
        <v>6304</v>
      </c>
      <c r="O9812" t="s">
        <v>43434</v>
      </c>
      <c r="P9812" t="s">
        <v>43435</v>
      </c>
      <c r="Q9812" t="s">
        <v>43436</v>
      </c>
      <c r="R9812">
        <v>61</v>
      </c>
      <c r="S9812">
        <v>64</v>
      </c>
    </row>
    <row r="9813" spans="1:19" x14ac:dyDescent="0.35">
      <c r="A9813">
        <v>9414</v>
      </c>
      <c r="B9813" t="s">
        <v>6301</v>
      </c>
      <c r="C9813" t="s">
        <v>42</v>
      </c>
      <c r="D9813" t="s">
        <v>43319</v>
      </c>
      <c r="E9813" t="s">
        <v>6303</v>
      </c>
      <c r="F9813" s="1">
        <v>126400</v>
      </c>
      <c r="G9813" t="s">
        <v>42759</v>
      </c>
      <c r="I9813" t="s">
        <v>43320</v>
      </c>
      <c r="J9813" t="s">
        <v>42761</v>
      </c>
      <c r="L9813" t="s">
        <v>42762</v>
      </c>
      <c r="M9813" t="s">
        <v>46</v>
      </c>
      <c r="N9813" t="s">
        <v>6304</v>
      </c>
      <c r="O9813" t="s">
        <v>43321</v>
      </c>
      <c r="P9813" t="s">
        <v>43322</v>
      </c>
      <c r="Q9813" t="s">
        <v>43323</v>
      </c>
      <c r="R9813">
        <v>61</v>
      </c>
      <c r="S9813">
        <v>64</v>
      </c>
    </row>
    <row r="9814" spans="1:19" x14ac:dyDescent="0.35">
      <c r="A9814">
        <v>5011</v>
      </c>
      <c r="B9814" t="s">
        <v>43339</v>
      </c>
      <c r="C9814" t="s">
        <v>42</v>
      </c>
      <c r="D9814" t="s">
        <v>43340</v>
      </c>
      <c r="E9814" t="e" cm="1">
        <f t="array" ref="E9814">- HYDROCORTISONE BUTYRATE</f>
        <v>#NAME?</v>
      </c>
      <c r="F9814" t="s">
        <v>43341</v>
      </c>
      <c r="G9814" t="s">
        <v>43342</v>
      </c>
      <c r="H9814" t="s">
        <v>43343</v>
      </c>
      <c r="I9814" t="s">
        <v>43344</v>
      </c>
      <c r="J9814" t="s">
        <v>43345</v>
      </c>
      <c r="K9814" t="s">
        <v>43346</v>
      </c>
      <c r="L9814" t="s">
        <v>43347</v>
      </c>
      <c r="M9814" t="s">
        <v>554</v>
      </c>
      <c r="N9814" t="s">
        <v>26691</v>
      </c>
      <c r="O9814" t="s">
        <v>43348</v>
      </c>
      <c r="P9814" t="s">
        <v>43349</v>
      </c>
      <c r="Q9814" t="s">
        <v>43437</v>
      </c>
      <c r="R9814">
        <v>61</v>
      </c>
      <c r="S9814">
        <v>64</v>
      </c>
    </row>
    <row r="9815" spans="1:19" x14ac:dyDescent="0.35">
      <c r="A9815">
        <v>9410</v>
      </c>
      <c r="B9815" t="s">
        <v>6301</v>
      </c>
      <c r="C9815" t="s">
        <v>42</v>
      </c>
      <c r="D9815" t="s">
        <v>43248</v>
      </c>
      <c r="E9815" t="s">
        <v>6303</v>
      </c>
      <c r="F9815" s="1">
        <v>103200</v>
      </c>
      <c r="G9815" t="s">
        <v>42759</v>
      </c>
      <c r="I9815" t="s">
        <v>43249</v>
      </c>
      <c r="J9815" t="s">
        <v>42761</v>
      </c>
      <c r="L9815" t="s">
        <v>42762</v>
      </c>
      <c r="M9815" t="s">
        <v>46</v>
      </c>
      <c r="N9815" t="s">
        <v>6304</v>
      </c>
      <c r="O9815" t="s">
        <v>43250</v>
      </c>
      <c r="P9815" t="s">
        <v>43251</v>
      </c>
      <c r="Q9815" t="s">
        <v>43252</v>
      </c>
      <c r="R9815">
        <v>61</v>
      </c>
      <c r="S9815">
        <v>64</v>
      </c>
    </row>
    <row r="9816" spans="1:19" x14ac:dyDescent="0.35">
      <c r="A9816">
        <v>9458</v>
      </c>
      <c r="B9816" t="s">
        <v>6301</v>
      </c>
      <c r="C9816" t="s">
        <v>42</v>
      </c>
      <c r="D9816" t="s">
        <v>43438</v>
      </c>
      <c r="E9816" t="s">
        <v>6303</v>
      </c>
      <c r="F9816" t="s">
        <v>43439</v>
      </c>
      <c r="G9816" t="s">
        <v>42759</v>
      </c>
      <c r="I9816" t="s">
        <v>43440</v>
      </c>
      <c r="J9816" t="s">
        <v>42761</v>
      </c>
      <c r="L9816" t="s">
        <v>42795</v>
      </c>
      <c r="M9816" t="s">
        <v>46</v>
      </c>
      <c r="N9816" t="s">
        <v>6304</v>
      </c>
      <c r="O9816" t="s">
        <v>43441</v>
      </c>
      <c r="P9816" t="s">
        <v>43442</v>
      </c>
      <c r="Q9816" t="s">
        <v>43443</v>
      </c>
      <c r="R9816">
        <v>61</v>
      </c>
      <c r="S9816">
        <v>64</v>
      </c>
    </row>
    <row r="9817" spans="1:19" x14ac:dyDescent="0.35">
      <c r="A9817">
        <v>9412</v>
      </c>
      <c r="B9817" t="s">
        <v>6301</v>
      </c>
      <c r="C9817" t="s">
        <v>42</v>
      </c>
      <c r="D9817" t="s">
        <v>43314</v>
      </c>
      <c r="E9817" t="s">
        <v>6303</v>
      </c>
      <c r="F9817" s="1">
        <v>126400</v>
      </c>
      <c r="G9817" t="s">
        <v>42759</v>
      </c>
      <c r="I9817" t="s">
        <v>43315</v>
      </c>
      <c r="J9817" t="s">
        <v>42761</v>
      </c>
      <c r="L9817" t="s">
        <v>42762</v>
      </c>
      <c r="M9817" t="s">
        <v>46</v>
      </c>
      <c r="N9817" t="s">
        <v>6304</v>
      </c>
      <c r="O9817" t="s">
        <v>43316</v>
      </c>
      <c r="P9817" t="s">
        <v>43317</v>
      </c>
      <c r="Q9817" t="s">
        <v>43318</v>
      </c>
      <c r="R9817">
        <v>61</v>
      </c>
      <c r="S9817">
        <v>64</v>
      </c>
    </row>
    <row r="9818" spans="1:19" x14ac:dyDescent="0.35">
      <c r="A9818">
        <v>9457</v>
      </c>
      <c r="B9818" t="s">
        <v>6301</v>
      </c>
      <c r="C9818" t="s">
        <v>42</v>
      </c>
      <c r="D9818" t="s">
        <v>43444</v>
      </c>
      <c r="E9818" t="s">
        <v>6303</v>
      </c>
      <c r="F9818" t="s">
        <v>43445</v>
      </c>
      <c r="G9818" t="s">
        <v>42759</v>
      </c>
      <c r="I9818" t="s">
        <v>43446</v>
      </c>
      <c r="J9818" t="s">
        <v>42761</v>
      </c>
      <c r="L9818" t="s">
        <v>42795</v>
      </c>
      <c r="M9818" t="s">
        <v>46</v>
      </c>
      <c r="N9818" t="s">
        <v>6304</v>
      </c>
      <c r="O9818" t="s">
        <v>43447</v>
      </c>
      <c r="P9818" t="s">
        <v>43448</v>
      </c>
      <c r="Q9818" t="s">
        <v>43449</v>
      </c>
      <c r="R9818">
        <v>61</v>
      </c>
      <c r="S9818">
        <v>64</v>
      </c>
    </row>
    <row r="9819" spans="1:19" x14ac:dyDescent="0.35">
      <c r="A9819">
        <v>9579</v>
      </c>
      <c r="B9819" t="s">
        <v>6301</v>
      </c>
      <c r="C9819" t="s">
        <v>42</v>
      </c>
      <c r="D9819" t="s">
        <v>43450</v>
      </c>
      <c r="E9819" t="s">
        <v>6303</v>
      </c>
      <c r="F9819" s="1">
        <v>205000</v>
      </c>
      <c r="G9819" t="s">
        <v>42759</v>
      </c>
      <c r="I9819" t="s">
        <v>43451</v>
      </c>
      <c r="J9819" t="s">
        <v>42761</v>
      </c>
      <c r="L9819" t="s">
        <v>42762</v>
      </c>
      <c r="M9819" t="s">
        <v>46</v>
      </c>
      <c r="N9819" t="s">
        <v>6304</v>
      </c>
      <c r="O9819" t="s">
        <v>43452</v>
      </c>
      <c r="P9819" t="s">
        <v>43453</v>
      </c>
      <c r="Q9819" t="s">
        <v>43454</v>
      </c>
      <c r="R9819">
        <v>61</v>
      </c>
      <c r="S9819">
        <v>64</v>
      </c>
    </row>
    <row r="9820" spans="1:19" x14ac:dyDescent="0.35">
      <c r="A9820">
        <v>9580</v>
      </c>
      <c r="B9820" t="s">
        <v>6301</v>
      </c>
      <c r="C9820" t="s">
        <v>42</v>
      </c>
      <c r="D9820" t="s">
        <v>43455</v>
      </c>
      <c r="E9820" t="s">
        <v>6303</v>
      </c>
      <c r="F9820" s="1">
        <v>205000</v>
      </c>
      <c r="G9820" t="s">
        <v>42759</v>
      </c>
      <c r="I9820" t="s">
        <v>43456</v>
      </c>
      <c r="J9820" t="s">
        <v>42761</v>
      </c>
      <c r="L9820" t="s">
        <v>42762</v>
      </c>
      <c r="M9820" t="s">
        <v>46</v>
      </c>
      <c r="N9820" t="s">
        <v>6304</v>
      </c>
      <c r="O9820" t="s">
        <v>43457</v>
      </c>
      <c r="P9820" t="s">
        <v>43458</v>
      </c>
      <c r="Q9820" t="s">
        <v>43459</v>
      </c>
      <c r="R9820">
        <v>61</v>
      </c>
      <c r="S9820">
        <v>64</v>
      </c>
    </row>
    <row r="9821" spans="1:19" x14ac:dyDescent="0.35">
      <c r="A9821">
        <v>9503</v>
      </c>
      <c r="B9821" t="s">
        <v>6301</v>
      </c>
      <c r="C9821" t="s">
        <v>42</v>
      </c>
      <c r="D9821" t="s">
        <v>43460</v>
      </c>
      <c r="E9821" t="s">
        <v>6303</v>
      </c>
      <c r="F9821" t="s">
        <v>43461</v>
      </c>
      <c r="G9821" t="s">
        <v>42759</v>
      </c>
      <c r="I9821" t="s">
        <v>43462</v>
      </c>
      <c r="J9821" t="s">
        <v>42761</v>
      </c>
      <c r="L9821" t="s">
        <v>42795</v>
      </c>
      <c r="M9821" t="s">
        <v>46</v>
      </c>
      <c r="N9821" t="s">
        <v>6304</v>
      </c>
      <c r="O9821" t="s">
        <v>43463</v>
      </c>
      <c r="P9821" t="s">
        <v>43464</v>
      </c>
      <c r="Q9821" t="s">
        <v>43465</v>
      </c>
      <c r="R9821">
        <v>61</v>
      </c>
      <c r="S9821">
        <v>64</v>
      </c>
    </row>
    <row r="9822" spans="1:19" x14ac:dyDescent="0.35">
      <c r="A9822">
        <v>9477</v>
      </c>
      <c r="B9822" t="s">
        <v>6301</v>
      </c>
      <c r="C9822" t="s">
        <v>42</v>
      </c>
      <c r="D9822" t="s">
        <v>43466</v>
      </c>
      <c r="E9822" t="s">
        <v>6303</v>
      </c>
      <c r="F9822" s="1">
        <v>205000</v>
      </c>
      <c r="G9822" t="s">
        <v>42759</v>
      </c>
      <c r="I9822" t="s">
        <v>43467</v>
      </c>
      <c r="J9822" t="s">
        <v>42761</v>
      </c>
      <c r="L9822" t="s">
        <v>42892</v>
      </c>
      <c r="M9822" t="s">
        <v>46</v>
      </c>
      <c r="N9822" t="s">
        <v>6304</v>
      </c>
      <c r="O9822" t="s">
        <v>43468</v>
      </c>
      <c r="P9822" t="s">
        <v>43469</v>
      </c>
      <c r="Q9822" t="s">
        <v>43470</v>
      </c>
      <c r="R9822">
        <v>62</v>
      </c>
      <c r="S9822">
        <v>64</v>
      </c>
    </row>
    <row r="9823" spans="1:19" x14ac:dyDescent="0.35">
      <c r="A9823">
        <v>9460</v>
      </c>
      <c r="B9823" t="s">
        <v>6301</v>
      </c>
      <c r="C9823" t="s">
        <v>42</v>
      </c>
      <c r="D9823" t="s">
        <v>43471</v>
      </c>
      <c r="E9823" t="s">
        <v>6303</v>
      </c>
      <c r="F9823" t="s">
        <v>43472</v>
      </c>
      <c r="G9823" t="s">
        <v>42759</v>
      </c>
      <c r="I9823" t="s">
        <v>43473</v>
      </c>
      <c r="J9823" t="s">
        <v>42761</v>
      </c>
      <c r="L9823" t="s">
        <v>42795</v>
      </c>
      <c r="M9823" t="s">
        <v>46</v>
      </c>
      <c r="N9823" t="s">
        <v>6304</v>
      </c>
      <c r="O9823" t="s">
        <v>43474</v>
      </c>
      <c r="P9823" t="s">
        <v>43475</v>
      </c>
      <c r="Q9823" t="s">
        <v>43476</v>
      </c>
      <c r="R9823">
        <v>62</v>
      </c>
      <c r="S9823">
        <v>64</v>
      </c>
    </row>
    <row r="9824" spans="1:19" x14ac:dyDescent="0.35">
      <c r="A9824">
        <v>9585</v>
      </c>
      <c r="B9824" t="s">
        <v>6301</v>
      </c>
      <c r="C9824" t="s">
        <v>42</v>
      </c>
      <c r="D9824" t="s">
        <v>43477</v>
      </c>
      <c r="E9824" t="s">
        <v>6303</v>
      </c>
      <c r="F9824" s="1">
        <v>205000</v>
      </c>
      <c r="G9824" t="s">
        <v>42759</v>
      </c>
      <c r="I9824" t="s">
        <v>43478</v>
      </c>
      <c r="J9824" t="s">
        <v>42761</v>
      </c>
      <c r="L9824" t="s">
        <v>42762</v>
      </c>
      <c r="M9824" t="s">
        <v>46</v>
      </c>
      <c r="N9824" t="s">
        <v>6304</v>
      </c>
      <c r="O9824" t="s">
        <v>43479</v>
      </c>
      <c r="P9824" t="s">
        <v>43480</v>
      </c>
      <c r="Q9824" t="s">
        <v>43481</v>
      </c>
      <c r="R9824">
        <v>62</v>
      </c>
      <c r="S9824">
        <v>64</v>
      </c>
    </row>
    <row r="9825" spans="1:19" x14ac:dyDescent="0.35">
      <c r="A9825">
        <v>9589</v>
      </c>
      <c r="B9825" t="s">
        <v>6301</v>
      </c>
      <c r="C9825" t="s">
        <v>42</v>
      </c>
      <c r="D9825" t="s">
        <v>43482</v>
      </c>
      <c r="E9825" t="s">
        <v>6303</v>
      </c>
      <c r="F9825" s="1">
        <v>205000</v>
      </c>
      <c r="G9825" t="s">
        <v>42759</v>
      </c>
      <c r="I9825" t="s">
        <v>43483</v>
      </c>
      <c r="J9825" t="s">
        <v>42761</v>
      </c>
      <c r="L9825" t="s">
        <v>42762</v>
      </c>
      <c r="M9825" t="s">
        <v>46</v>
      </c>
      <c r="N9825" t="s">
        <v>6304</v>
      </c>
      <c r="O9825" t="s">
        <v>43484</v>
      </c>
      <c r="P9825" t="s">
        <v>43485</v>
      </c>
      <c r="Q9825" t="s">
        <v>43486</v>
      </c>
      <c r="R9825">
        <v>62</v>
      </c>
      <c r="S9825">
        <v>64</v>
      </c>
    </row>
    <row r="9826" spans="1:19" x14ac:dyDescent="0.35">
      <c r="A9826">
        <v>9464</v>
      </c>
      <c r="B9826" t="s">
        <v>6301</v>
      </c>
      <c r="C9826" t="s">
        <v>42</v>
      </c>
      <c r="D9826" t="s">
        <v>43487</v>
      </c>
      <c r="E9826" t="s">
        <v>6303</v>
      </c>
      <c r="F9826" s="1">
        <v>50400</v>
      </c>
      <c r="G9826" t="s">
        <v>42759</v>
      </c>
      <c r="I9826" t="s">
        <v>43488</v>
      </c>
      <c r="J9826" t="s">
        <v>42761</v>
      </c>
      <c r="L9826" t="s">
        <v>42795</v>
      </c>
      <c r="M9826" t="s">
        <v>46</v>
      </c>
      <c r="N9826" t="s">
        <v>6304</v>
      </c>
      <c r="O9826" t="s">
        <v>43489</v>
      </c>
      <c r="P9826" t="s">
        <v>43490</v>
      </c>
      <c r="Q9826" t="s">
        <v>43491</v>
      </c>
      <c r="R9826">
        <v>62</v>
      </c>
      <c r="S9826">
        <v>64</v>
      </c>
    </row>
    <row r="9827" spans="1:19" x14ac:dyDescent="0.35">
      <c r="A9827">
        <v>6107</v>
      </c>
      <c r="B9827" t="s">
        <v>43492</v>
      </c>
      <c r="C9827" t="s">
        <v>42</v>
      </c>
      <c r="D9827" t="s">
        <v>43493</v>
      </c>
      <c r="E9827" t="e" cm="1">
        <f t="array" ref="E9827">- SULFAMETHOXAZOLE. TRIMETHOPRIM</f>
        <v>#NAME?</v>
      </c>
      <c r="F9827" t="s">
        <v>43494</v>
      </c>
      <c r="G9827" t="s">
        <v>4649</v>
      </c>
      <c r="H9827" t="s">
        <v>43495</v>
      </c>
    </row>
    <row r="9828" spans="1:19" x14ac:dyDescent="0.35">
      <c r="A9828">
        <v>9392</v>
      </c>
      <c r="B9828" t="s">
        <v>6301</v>
      </c>
      <c r="C9828" t="s">
        <v>42</v>
      </c>
      <c r="D9828" t="s">
        <v>43496</v>
      </c>
      <c r="E9828" t="s">
        <v>6303</v>
      </c>
      <c r="F9828" s="1">
        <v>28000</v>
      </c>
      <c r="G9828" t="s">
        <v>42759</v>
      </c>
      <c r="I9828" t="s">
        <v>43497</v>
      </c>
      <c r="J9828" t="s">
        <v>42761</v>
      </c>
      <c r="L9828" t="s">
        <v>42795</v>
      </c>
      <c r="M9828" t="s">
        <v>46</v>
      </c>
      <c r="N9828" t="s">
        <v>6304</v>
      </c>
      <c r="O9828" t="s">
        <v>43498</v>
      </c>
      <c r="P9828" t="s">
        <v>43499</v>
      </c>
      <c r="Q9828" t="s">
        <v>43500</v>
      </c>
      <c r="R9828">
        <v>62</v>
      </c>
      <c r="S9828">
        <v>64</v>
      </c>
    </row>
    <row r="9829" spans="1:19" x14ac:dyDescent="0.35">
      <c r="A9829">
        <v>9466</v>
      </c>
      <c r="B9829" t="s">
        <v>6301</v>
      </c>
      <c r="C9829" t="s">
        <v>42</v>
      </c>
      <c r="D9829" t="s">
        <v>43501</v>
      </c>
      <c r="E9829" t="s">
        <v>6303</v>
      </c>
      <c r="F9829" s="1">
        <v>205000</v>
      </c>
      <c r="G9829" t="s">
        <v>42759</v>
      </c>
      <c r="I9829" t="s">
        <v>43502</v>
      </c>
      <c r="J9829" t="s">
        <v>42761</v>
      </c>
      <c r="L9829" t="s">
        <v>42892</v>
      </c>
      <c r="M9829" t="s">
        <v>46</v>
      </c>
      <c r="N9829" t="s">
        <v>6304</v>
      </c>
      <c r="O9829" t="s">
        <v>43503</v>
      </c>
      <c r="P9829" t="s">
        <v>43504</v>
      </c>
      <c r="Q9829" t="s">
        <v>43505</v>
      </c>
      <c r="R9829">
        <v>62</v>
      </c>
      <c r="S9829">
        <v>64</v>
      </c>
    </row>
    <row r="9830" spans="1:19" x14ac:dyDescent="0.35">
      <c r="A9830">
        <v>9473</v>
      </c>
      <c r="B9830" t="s">
        <v>6301</v>
      </c>
      <c r="C9830" t="s">
        <v>42</v>
      </c>
      <c r="D9830" t="s">
        <v>43506</v>
      </c>
      <c r="E9830" t="s">
        <v>6303</v>
      </c>
      <c r="F9830" s="1">
        <v>205000</v>
      </c>
      <c r="G9830" t="s">
        <v>42759</v>
      </c>
      <c r="I9830" t="s">
        <v>43507</v>
      </c>
      <c r="J9830" t="s">
        <v>42761</v>
      </c>
      <c r="L9830" t="s">
        <v>42892</v>
      </c>
      <c r="M9830" t="s">
        <v>46</v>
      </c>
      <c r="N9830" t="s">
        <v>6304</v>
      </c>
      <c r="O9830" t="s">
        <v>43508</v>
      </c>
      <c r="P9830" t="s">
        <v>43509</v>
      </c>
      <c r="Q9830" t="s">
        <v>43510</v>
      </c>
      <c r="R9830">
        <v>62</v>
      </c>
      <c r="S9830">
        <v>64</v>
      </c>
    </row>
    <row r="9831" spans="1:19" x14ac:dyDescent="0.35">
      <c r="A9831">
        <v>9476</v>
      </c>
      <c r="B9831" t="s">
        <v>6301</v>
      </c>
      <c r="C9831" t="s">
        <v>42</v>
      </c>
      <c r="D9831" t="s">
        <v>43511</v>
      </c>
      <c r="E9831" t="s">
        <v>6303</v>
      </c>
      <c r="F9831" s="1">
        <v>205000</v>
      </c>
      <c r="G9831" t="s">
        <v>42759</v>
      </c>
      <c r="I9831" t="s">
        <v>43512</v>
      </c>
      <c r="J9831" t="s">
        <v>42761</v>
      </c>
      <c r="L9831" t="s">
        <v>42892</v>
      </c>
      <c r="M9831" t="s">
        <v>46</v>
      </c>
      <c r="N9831" t="s">
        <v>6304</v>
      </c>
      <c r="O9831" t="s">
        <v>43513</v>
      </c>
      <c r="P9831" t="s">
        <v>43514</v>
      </c>
      <c r="Q9831" t="s">
        <v>43515</v>
      </c>
      <c r="R9831">
        <v>62</v>
      </c>
      <c r="S9831">
        <v>64</v>
      </c>
    </row>
    <row r="9832" spans="1:19" x14ac:dyDescent="0.35">
      <c r="A9832">
        <v>9587</v>
      </c>
      <c r="B9832" t="s">
        <v>6301</v>
      </c>
      <c r="C9832" t="s">
        <v>42</v>
      </c>
      <c r="D9832" t="s">
        <v>43516</v>
      </c>
      <c r="E9832" t="s">
        <v>6303</v>
      </c>
      <c r="F9832" s="1">
        <v>205000</v>
      </c>
      <c r="G9832" t="s">
        <v>42759</v>
      </c>
      <c r="I9832" t="s">
        <v>43517</v>
      </c>
      <c r="J9832" t="s">
        <v>42761</v>
      </c>
      <c r="L9832" t="s">
        <v>42762</v>
      </c>
      <c r="M9832" t="s">
        <v>46</v>
      </c>
      <c r="N9832" t="s">
        <v>6304</v>
      </c>
      <c r="O9832" t="s">
        <v>43518</v>
      </c>
      <c r="P9832" t="s">
        <v>43519</v>
      </c>
      <c r="Q9832" t="s">
        <v>43520</v>
      </c>
      <c r="R9832">
        <v>62</v>
      </c>
      <c r="S9832">
        <v>64</v>
      </c>
    </row>
    <row r="9833" spans="1:19" x14ac:dyDescent="0.35">
      <c r="A9833">
        <v>9586</v>
      </c>
      <c r="B9833" t="s">
        <v>6301</v>
      </c>
      <c r="C9833" t="s">
        <v>42</v>
      </c>
      <c r="D9833" t="s">
        <v>43521</v>
      </c>
      <c r="E9833" t="s">
        <v>6303</v>
      </c>
      <c r="F9833" s="1">
        <v>205000</v>
      </c>
      <c r="G9833" t="s">
        <v>42759</v>
      </c>
      <c r="I9833" t="s">
        <v>43522</v>
      </c>
      <c r="J9833" t="s">
        <v>42761</v>
      </c>
      <c r="L9833" t="s">
        <v>42762</v>
      </c>
      <c r="M9833" t="s">
        <v>46</v>
      </c>
      <c r="N9833" t="s">
        <v>6304</v>
      </c>
      <c r="O9833" t="s">
        <v>43523</v>
      </c>
      <c r="P9833" t="s">
        <v>43524</v>
      </c>
      <c r="Q9833" t="s">
        <v>43525</v>
      </c>
      <c r="R9833">
        <v>62</v>
      </c>
      <c r="S9833">
        <v>64</v>
      </c>
    </row>
    <row r="9834" spans="1:19" x14ac:dyDescent="0.35">
      <c r="A9834">
        <v>9588</v>
      </c>
      <c r="B9834" t="s">
        <v>6301</v>
      </c>
      <c r="C9834" t="s">
        <v>42</v>
      </c>
      <c r="D9834" t="s">
        <v>43526</v>
      </c>
      <c r="E9834" t="s">
        <v>6303</v>
      </c>
      <c r="F9834" s="1">
        <v>205000</v>
      </c>
      <c r="G9834" t="s">
        <v>42759</v>
      </c>
      <c r="I9834" t="s">
        <v>43527</v>
      </c>
      <c r="J9834" t="s">
        <v>42761</v>
      </c>
      <c r="L9834" t="s">
        <v>42762</v>
      </c>
      <c r="M9834" t="s">
        <v>46</v>
      </c>
      <c r="N9834" t="s">
        <v>6304</v>
      </c>
      <c r="O9834" t="s">
        <v>43528</v>
      </c>
      <c r="P9834" t="s">
        <v>43529</v>
      </c>
      <c r="Q9834" t="s">
        <v>43530</v>
      </c>
      <c r="R9834">
        <v>62</v>
      </c>
      <c r="S9834">
        <v>64</v>
      </c>
    </row>
    <row r="9835" spans="1:19" x14ac:dyDescent="0.35">
      <c r="A9835">
        <v>9551</v>
      </c>
      <c r="B9835" t="s">
        <v>6301</v>
      </c>
      <c r="C9835" t="s">
        <v>42</v>
      </c>
      <c r="D9835" t="s">
        <v>43531</v>
      </c>
      <c r="E9835" t="s">
        <v>6303</v>
      </c>
      <c r="F9835" s="1">
        <v>103200</v>
      </c>
      <c r="G9835" t="s">
        <v>42759</v>
      </c>
      <c r="I9835" t="s">
        <v>43532</v>
      </c>
      <c r="J9835" t="s">
        <v>42761</v>
      </c>
      <c r="L9835" t="s">
        <v>42762</v>
      </c>
      <c r="M9835" t="s">
        <v>46</v>
      </c>
      <c r="N9835" t="s">
        <v>6304</v>
      </c>
      <c r="O9835" t="s">
        <v>43533</v>
      </c>
      <c r="P9835" t="s">
        <v>43534</v>
      </c>
      <c r="Q9835" t="s">
        <v>43535</v>
      </c>
      <c r="R9835">
        <v>62</v>
      </c>
      <c r="S9835">
        <v>64</v>
      </c>
    </row>
    <row r="9836" spans="1:19" x14ac:dyDescent="0.35">
      <c r="A9836">
        <v>9455</v>
      </c>
      <c r="B9836" t="s">
        <v>6301</v>
      </c>
      <c r="C9836" t="s">
        <v>42</v>
      </c>
      <c r="D9836" t="s">
        <v>43536</v>
      </c>
      <c r="E9836" t="s">
        <v>6303</v>
      </c>
      <c r="F9836" t="s">
        <v>43537</v>
      </c>
      <c r="G9836" t="s">
        <v>42759</v>
      </c>
      <c r="I9836" t="s">
        <v>43538</v>
      </c>
      <c r="J9836" t="s">
        <v>43539</v>
      </c>
      <c r="L9836" t="s">
        <v>42795</v>
      </c>
      <c r="M9836" t="s">
        <v>46</v>
      </c>
      <c r="N9836" t="s">
        <v>6304</v>
      </c>
      <c r="O9836" t="s">
        <v>43540</v>
      </c>
      <c r="P9836" t="s">
        <v>43541</v>
      </c>
      <c r="Q9836" t="s">
        <v>43542</v>
      </c>
      <c r="R9836">
        <v>62</v>
      </c>
      <c r="S9836">
        <v>64</v>
      </c>
    </row>
    <row r="9837" spans="1:19" x14ac:dyDescent="0.35">
      <c r="A9837">
        <v>9576</v>
      </c>
      <c r="B9837" t="s">
        <v>6301</v>
      </c>
      <c r="C9837" t="s">
        <v>42</v>
      </c>
      <c r="D9837" t="s">
        <v>43543</v>
      </c>
      <c r="E9837" t="s">
        <v>6303</v>
      </c>
      <c r="F9837" s="1">
        <v>205000</v>
      </c>
      <c r="G9837" t="s">
        <v>42759</v>
      </c>
      <c r="I9837" t="s">
        <v>43544</v>
      </c>
      <c r="J9837" t="s">
        <v>42761</v>
      </c>
      <c r="L9837" t="s">
        <v>42762</v>
      </c>
      <c r="M9837" t="s">
        <v>46</v>
      </c>
      <c r="N9837" t="s">
        <v>6304</v>
      </c>
      <c r="O9837" t="s">
        <v>43545</v>
      </c>
      <c r="P9837" t="s">
        <v>43546</v>
      </c>
      <c r="Q9837" t="s">
        <v>43547</v>
      </c>
      <c r="R9837">
        <v>62</v>
      </c>
      <c r="S9837">
        <v>64</v>
      </c>
    </row>
    <row r="9838" spans="1:19" x14ac:dyDescent="0.35">
      <c r="A9838">
        <v>9514</v>
      </c>
      <c r="B9838" t="s">
        <v>6301</v>
      </c>
      <c r="C9838" t="s">
        <v>42</v>
      </c>
      <c r="D9838" t="s">
        <v>43548</v>
      </c>
      <c r="E9838" t="s">
        <v>6303</v>
      </c>
      <c r="F9838" t="s">
        <v>43373</v>
      </c>
      <c r="G9838" t="s">
        <v>42759</v>
      </c>
      <c r="I9838" t="s">
        <v>43549</v>
      </c>
      <c r="J9838" t="s">
        <v>42761</v>
      </c>
      <c r="L9838" t="s">
        <v>42795</v>
      </c>
      <c r="M9838" t="s">
        <v>46</v>
      </c>
      <c r="N9838" t="s">
        <v>6304</v>
      </c>
      <c r="O9838" t="s">
        <v>43550</v>
      </c>
      <c r="P9838" t="s">
        <v>43551</v>
      </c>
      <c r="Q9838" t="s">
        <v>43552</v>
      </c>
      <c r="R9838">
        <v>62</v>
      </c>
      <c r="S9838">
        <v>64</v>
      </c>
    </row>
    <row r="9839" spans="1:19" x14ac:dyDescent="0.35">
      <c r="A9839">
        <v>9549</v>
      </c>
      <c r="B9839" t="s">
        <v>6301</v>
      </c>
      <c r="C9839" t="s">
        <v>42</v>
      </c>
      <c r="D9839" t="s">
        <v>43553</v>
      </c>
      <c r="E9839" t="s">
        <v>6303</v>
      </c>
      <c r="F9839" s="1">
        <v>103200</v>
      </c>
      <c r="G9839" t="s">
        <v>42759</v>
      </c>
      <c r="I9839" t="s">
        <v>43554</v>
      </c>
      <c r="J9839" t="s">
        <v>42761</v>
      </c>
      <c r="L9839" t="s">
        <v>42762</v>
      </c>
      <c r="M9839" t="s">
        <v>46</v>
      </c>
      <c r="N9839" t="s">
        <v>6304</v>
      </c>
      <c r="O9839" t="s">
        <v>43555</v>
      </c>
      <c r="P9839" t="s">
        <v>43556</v>
      </c>
      <c r="Q9839" t="s">
        <v>43557</v>
      </c>
      <c r="R9839">
        <v>62</v>
      </c>
      <c r="S9839">
        <v>64</v>
      </c>
    </row>
    <row r="9840" spans="1:19" x14ac:dyDescent="0.35">
      <c r="A9840">
        <v>9475</v>
      </c>
      <c r="B9840" t="s">
        <v>6301</v>
      </c>
      <c r="C9840" t="s">
        <v>42</v>
      </c>
      <c r="D9840" t="s">
        <v>43558</v>
      </c>
      <c r="E9840" t="s">
        <v>6303</v>
      </c>
      <c r="F9840" s="1">
        <v>205000</v>
      </c>
      <c r="G9840" t="s">
        <v>42759</v>
      </c>
      <c r="I9840" t="s">
        <v>43559</v>
      </c>
      <c r="J9840" t="s">
        <v>42761</v>
      </c>
      <c r="L9840" t="s">
        <v>42892</v>
      </c>
      <c r="M9840" t="s">
        <v>46</v>
      </c>
      <c r="N9840" t="s">
        <v>6304</v>
      </c>
      <c r="O9840" t="s">
        <v>43560</v>
      </c>
      <c r="P9840" t="s">
        <v>43561</v>
      </c>
      <c r="Q9840" t="s">
        <v>43562</v>
      </c>
      <c r="R9840">
        <v>62</v>
      </c>
      <c r="S9840">
        <v>64</v>
      </c>
    </row>
    <row r="9841" spans="1:19" x14ac:dyDescent="0.35">
      <c r="A9841">
        <v>9547</v>
      </c>
      <c r="B9841" t="s">
        <v>6301</v>
      </c>
      <c r="C9841" t="s">
        <v>42</v>
      </c>
      <c r="D9841" t="s">
        <v>43563</v>
      </c>
      <c r="E9841" t="s">
        <v>6303</v>
      </c>
      <c r="F9841" s="1">
        <v>106200</v>
      </c>
      <c r="G9841" t="s">
        <v>42759</v>
      </c>
      <c r="I9841" t="s">
        <v>43564</v>
      </c>
      <c r="J9841" t="s">
        <v>42761</v>
      </c>
      <c r="L9841" t="s">
        <v>42762</v>
      </c>
      <c r="M9841" t="s">
        <v>46</v>
      </c>
      <c r="N9841" t="s">
        <v>6304</v>
      </c>
      <c r="O9841" t="s">
        <v>43565</v>
      </c>
      <c r="P9841" t="s">
        <v>43566</v>
      </c>
      <c r="Q9841" t="s">
        <v>43567</v>
      </c>
      <c r="R9841">
        <v>62</v>
      </c>
      <c r="S9841">
        <v>64</v>
      </c>
    </row>
    <row r="9842" spans="1:19" x14ac:dyDescent="0.35">
      <c r="A9842">
        <v>9474</v>
      </c>
      <c r="B9842" t="s">
        <v>6301</v>
      </c>
      <c r="C9842" t="s">
        <v>42</v>
      </c>
      <c r="D9842" t="s">
        <v>43568</v>
      </c>
      <c r="E9842" t="s">
        <v>6303</v>
      </c>
      <c r="F9842" s="1">
        <v>205000</v>
      </c>
      <c r="G9842" t="s">
        <v>42759</v>
      </c>
      <c r="I9842" t="s">
        <v>43569</v>
      </c>
      <c r="J9842" t="s">
        <v>42761</v>
      </c>
      <c r="L9842" t="s">
        <v>42892</v>
      </c>
      <c r="M9842" t="s">
        <v>46</v>
      </c>
      <c r="N9842" t="s">
        <v>6304</v>
      </c>
      <c r="O9842" t="s">
        <v>43570</v>
      </c>
      <c r="P9842" t="s">
        <v>43571</v>
      </c>
      <c r="Q9842" t="s">
        <v>43572</v>
      </c>
      <c r="R9842">
        <v>62</v>
      </c>
      <c r="S9842">
        <v>64</v>
      </c>
    </row>
    <row r="9843" spans="1:19" x14ac:dyDescent="0.35">
      <c r="A9843">
        <v>9484</v>
      </c>
      <c r="B9843" t="s">
        <v>6301</v>
      </c>
      <c r="C9843" t="s">
        <v>42</v>
      </c>
      <c r="D9843" t="s">
        <v>43573</v>
      </c>
      <c r="E9843" t="s">
        <v>6303</v>
      </c>
      <c r="F9843" s="1">
        <v>331200</v>
      </c>
      <c r="G9843" t="s">
        <v>42759</v>
      </c>
      <c r="I9843" t="s">
        <v>43574</v>
      </c>
      <c r="J9843" t="s">
        <v>43575</v>
      </c>
      <c r="L9843" t="s">
        <v>42788</v>
      </c>
      <c r="M9843" t="s">
        <v>46</v>
      </c>
      <c r="N9843" t="s">
        <v>6304</v>
      </c>
      <c r="O9843" t="s">
        <v>43576</v>
      </c>
      <c r="P9843" t="s">
        <v>43577</v>
      </c>
      <c r="Q9843" t="s">
        <v>43578</v>
      </c>
      <c r="R9843">
        <v>62</v>
      </c>
      <c r="S9843">
        <v>64</v>
      </c>
    </row>
    <row r="9844" spans="1:19" x14ac:dyDescent="0.35">
      <c r="A9844">
        <v>9479</v>
      </c>
      <c r="B9844" t="s">
        <v>6301</v>
      </c>
      <c r="C9844" t="s">
        <v>42</v>
      </c>
      <c r="D9844" t="s">
        <v>43579</v>
      </c>
      <c r="E9844" t="s">
        <v>6303</v>
      </c>
      <c r="F9844" s="1">
        <v>100000</v>
      </c>
      <c r="G9844" t="s">
        <v>42759</v>
      </c>
      <c r="I9844" t="s">
        <v>43580</v>
      </c>
      <c r="J9844" t="s">
        <v>42761</v>
      </c>
      <c r="L9844" t="s">
        <v>42886</v>
      </c>
      <c r="M9844" t="s">
        <v>46</v>
      </c>
      <c r="N9844" t="s">
        <v>6304</v>
      </c>
      <c r="O9844" t="s">
        <v>43581</v>
      </c>
      <c r="P9844" t="s">
        <v>43582</v>
      </c>
      <c r="Q9844" t="s">
        <v>43583</v>
      </c>
      <c r="R9844">
        <v>62</v>
      </c>
      <c r="S9844">
        <v>64</v>
      </c>
    </row>
    <row r="9845" spans="1:19" x14ac:dyDescent="0.35">
      <c r="A9845">
        <v>9369</v>
      </c>
      <c r="B9845" t="s">
        <v>6301</v>
      </c>
      <c r="C9845" t="s">
        <v>42</v>
      </c>
      <c r="D9845" t="s">
        <v>43584</v>
      </c>
      <c r="E9845" t="s">
        <v>6303</v>
      </c>
      <c r="F9845" t="s">
        <v>43585</v>
      </c>
      <c r="G9845" t="s">
        <v>42759</v>
      </c>
      <c r="I9845" t="s">
        <v>43440</v>
      </c>
      <c r="J9845" t="s">
        <v>43586</v>
      </c>
      <c r="L9845" t="s">
        <v>42795</v>
      </c>
      <c r="M9845" t="s">
        <v>46</v>
      </c>
      <c r="N9845" t="s">
        <v>6304</v>
      </c>
      <c r="O9845" t="s">
        <v>43441</v>
      </c>
      <c r="P9845" t="s">
        <v>43587</v>
      </c>
      <c r="Q9845" t="s">
        <v>43588</v>
      </c>
      <c r="R9845">
        <v>63</v>
      </c>
      <c r="S9845">
        <v>64</v>
      </c>
    </row>
    <row r="9846" spans="1:19" x14ac:dyDescent="0.35">
      <c r="A9846">
        <v>9453</v>
      </c>
      <c r="B9846" t="s">
        <v>6301</v>
      </c>
      <c r="C9846" t="s">
        <v>42</v>
      </c>
      <c r="D9846" t="s">
        <v>43589</v>
      </c>
      <c r="E9846" t="s">
        <v>6303</v>
      </c>
      <c r="F9846" s="1">
        <v>140000</v>
      </c>
      <c r="G9846" t="s">
        <v>42759</v>
      </c>
      <c r="I9846" t="s">
        <v>43590</v>
      </c>
      <c r="J9846" t="s">
        <v>42761</v>
      </c>
      <c r="L9846" t="s">
        <v>42795</v>
      </c>
      <c r="M9846" t="s">
        <v>46</v>
      </c>
      <c r="N9846" t="s">
        <v>6304</v>
      </c>
      <c r="O9846" t="s">
        <v>43591</v>
      </c>
      <c r="P9846" t="s">
        <v>43592</v>
      </c>
      <c r="Q9846" t="s">
        <v>43593</v>
      </c>
      <c r="R9846">
        <v>63</v>
      </c>
      <c r="S9846">
        <v>64</v>
      </c>
    </row>
    <row r="9847" spans="1:19" x14ac:dyDescent="0.35">
      <c r="A9847">
        <v>9518</v>
      </c>
      <c r="B9847" t="s">
        <v>6301</v>
      </c>
      <c r="C9847" t="s">
        <v>42</v>
      </c>
      <c r="D9847" t="s">
        <v>43594</v>
      </c>
      <c r="E9847" t="s">
        <v>6303</v>
      </c>
      <c r="F9847" t="s">
        <v>43595</v>
      </c>
      <c r="G9847" t="s">
        <v>42759</v>
      </c>
      <c r="I9847" t="s">
        <v>43596</v>
      </c>
      <c r="J9847" t="s">
        <v>42761</v>
      </c>
      <c r="L9847" t="s">
        <v>42795</v>
      </c>
      <c r="M9847" t="s">
        <v>46</v>
      </c>
      <c r="N9847" t="s">
        <v>6304</v>
      </c>
      <c r="O9847" t="s">
        <v>43597</v>
      </c>
      <c r="P9847" t="s">
        <v>43598</v>
      </c>
      <c r="Q9847" t="s">
        <v>43599</v>
      </c>
      <c r="R9847">
        <v>63</v>
      </c>
      <c r="S9847">
        <v>64</v>
      </c>
    </row>
    <row r="9848" spans="1:19" x14ac:dyDescent="0.35">
      <c r="A9848">
        <v>9515</v>
      </c>
      <c r="B9848" t="s">
        <v>6301</v>
      </c>
      <c r="C9848" t="s">
        <v>42</v>
      </c>
      <c r="D9848" t="s">
        <v>43600</v>
      </c>
      <c r="E9848" t="s">
        <v>6303</v>
      </c>
      <c r="F9848" t="s">
        <v>43601</v>
      </c>
      <c r="G9848" t="s">
        <v>42759</v>
      </c>
      <c r="I9848" t="s">
        <v>43602</v>
      </c>
      <c r="J9848" t="s">
        <v>42761</v>
      </c>
      <c r="L9848" t="s">
        <v>42795</v>
      </c>
      <c r="M9848" t="s">
        <v>46</v>
      </c>
      <c r="N9848" t="s">
        <v>6304</v>
      </c>
      <c r="O9848" t="s">
        <v>43603</v>
      </c>
      <c r="P9848" t="s">
        <v>43604</v>
      </c>
      <c r="Q9848" t="s">
        <v>43605</v>
      </c>
      <c r="R9848">
        <v>63</v>
      </c>
      <c r="S9848">
        <v>64</v>
      </c>
    </row>
    <row r="9849" spans="1:19" x14ac:dyDescent="0.35">
      <c r="A9849">
        <v>9465</v>
      </c>
      <c r="B9849" t="s">
        <v>6301</v>
      </c>
      <c r="C9849" t="s">
        <v>42</v>
      </c>
      <c r="D9849" t="s">
        <v>43606</v>
      </c>
      <c r="E9849" t="s">
        <v>6303</v>
      </c>
      <c r="F9849" t="s">
        <v>43607</v>
      </c>
      <c r="G9849" t="s">
        <v>42759</v>
      </c>
      <c r="I9849" t="s">
        <v>43608</v>
      </c>
      <c r="J9849" t="s">
        <v>42761</v>
      </c>
      <c r="L9849" t="s">
        <v>42795</v>
      </c>
      <c r="M9849" t="s">
        <v>46</v>
      </c>
      <c r="N9849" t="s">
        <v>6304</v>
      </c>
      <c r="O9849" t="s">
        <v>43609</v>
      </c>
      <c r="P9849" t="s">
        <v>43610</v>
      </c>
      <c r="Q9849" t="s">
        <v>43611</v>
      </c>
      <c r="R9849">
        <v>63</v>
      </c>
      <c r="S9849">
        <v>64</v>
      </c>
    </row>
    <row r="9850" spans="1:19" x14ac:dyDescent="0.35">
      <c r="A9850">
        <v>9481</v>
      </c>
      <c r="B9850" t="s">
        <v>6301</v>
      </c>
      <c r="C9850" t="s">
        <v>42</v>
      </c>
      <c r="D9850" t="s">
        <v>43612</v>
      </c>
      <c r="E9850" t="s">
        <v>6303</v>
      </c>
      <c r="F9850" t="s">
        <v>43613</v>
      </c>
      <c r="G9850" t="s">
        <v>42759</v>
      </c>
      <c r="I9850" t="s">
        <v>43614</v>
      </c>
      <c r="J9850" t="s">
        <v>42761</v>
      </c>
      <c r="L9850" t="s">
        <v>42795</v>
      </c>
      <c r="M9850" t="s">
        <v>46</v>
      </c>
      <c r="N9850" t="s">
        <v>6304</v>
      </c>
      <c r="O9850" t="s">
        <v>43615</v>
      </c>
      <c r="P9850" t="s">
        <v>43616</v>
      </c>
      <c r="Q9850" t="s">
        <v>43617</v>
      </c>
      <c r="R9850">
        <v>63</v>
      </c>
      <c r="S9850">
        <v>64</v>
      </c>
    </row>
    <row r="9851" spans="1:19" x14ac:dyDescent="0.35">
      <c r="A9851">
        <v>9463</v>
      </c>
      <c r="B9851" t="s">
        <v>6301</v>
      </c>
      <c r="C9851" t="s">
        <v>42</v>
      </c>
      <c r="D9851" t="s">
        <v>43618</v>
      </c>
      <c r="E9851" t="s">
        <v>6303</v>
      </c>
      <c r="F9851" t="s">
        <v>43619</v>
      </c>
      <c r="G9851" t="s">
        <v>42759</v>
      </c>
      <c r="I9851" t="s">
        <v>43620</v>
      </c>
      <c r="J9851" t="s">
        <v>42761</v>
      </c>
      <c r="L9851" t="s">
        <v>42795</v>
      </c>
      <c r="M9851" t="s">
        <v>46</v>
      </c>
      <c r="N9851" t="s">
        <v>6304</v>
      </c>
      <c r="O9851" t="s">
        <v>43621</v>
      </c>
      <c r="P9851" t="s">
        <v>43622</v>
      </c>
      <c r="Q9851" t="s">
        <v>43623</v>
      </c>
      <c r="R9851">
        <v>63</v>
      </c>
      <c r="S9851">
        <v>64</v>
      </c>
    </row>
    <row r="9852" spans="1:19" x14ac:dyDescent="0.35">
      <c r="A9852">
        <v>9510</v>
      </c>
      <c r="B9852" t="s">
        <v>6301</v>
      </c>
      <c r="C9852" t="s">
        <v>42</v>
      </c>
      <c r="D9852" t="s">
        <v>43624</v>
      </c>
      <c r="E9852" t="s">
        <v>6303</v>
      </c>
      <c r="F9852" t="s">
        <v>42810</v>
      </c>
      <c r="G9852" t="s">
        <v>42759</v>
      </c>
      <c r="I9852" t="s">
        <v>43625</v>
      </c>
      <c r="J9852" t="s">
        <v>42761</v>
      </c>
      <c r="L9852" t="s">
        <v>42795</v>
      </c>
      <c r="M9852" t="s">
        <v>46</v>
      </c>
      <c r="N9852" t="s">
        <v>6304</v>
      </c>
      <c r="O9852" t="s">
        <v>43626</v>
      </c>
      <c r="P9852" t="s">
        <v>43627</v>
      </c>
      <c r="Q9852" t="s">
        <v>43628</v>
      </c>
      <c r="R9852">
        <v>64</v>
      </c>
      <c r="S9852">
        <v>64</v>
      </c>
    </row>
    <row r="9853" spans="1:19" x14ac:dyDescent="0.35">
      <c r="A9853">
        <v>9513</v>
      </c>
      <c r="B9853" t="s">
        <v>6301</v>
      </c>
      <c r="C9853" t="s">
        <v>42</v>
      </c>
      <c r="D9853" t="s">
        <v>43629</v>
      </c>
      <c r="E9853" t="s">
        <v>6303</v>
      </c>
      <c r="F9853" t="s">
        <v>43630</v>
      </c>
      <c r="G9853" t="s">
        <v>42759</v>
      </c>
      <c r="I9853" t="s">
        <v>43631</v>
      </c>
      <c r="J9853" t="s">
        <v>42761</v>
      </c>
      <c r="L9853" t="s">
        <v>42795</v>
      </c>
      <c r="M9853" t="s">
        <v>46</v>
      </c>
      <c r="N9853" t="s">
        <v>6304</v>
      </c>
      <c r="O9853" t="s">
        <v>43632</v>
      </c>
      <c r="P9853" t="s">
        <v>43633</v>
      </c>
      <c r="Q9853" t="s">
        <v>43634</v>
      </c>
      <c r="R9853">
        <v>64</v>
      </c>
      <c r="S9853">
        <v>64</v>
      </c>
    </row>
    <row r="9854" spans="1:19" x14ac:dyDescent="0.35">
      <c r="A9854">
        <v>9520</v>
      </c>
      <c r="B9854" t="s">
        <v>6301</v>
      </c>
      <c r="C9854" t="s">
        <v>42</v>
      </c>
      <c r="D9854" t="s">
        <v>43635</v>
      </c>
      <c r="E9854" t="s">
        <v>6303</v>
      </c>
      <c r="F9854" t="s">
        <v>43636</v>
      </c>
      <c r="G9854" t="s">
        <v>42759</v>
      </c>
      <c r="I9854" t="s">
        <v>43637</v>
      </c>
      <c r="J9854" t="s">
        <v>42761</v>
      </c>
      <c r="L9854" t="s">
        <v>42795</v>
      </c>
      <c r="M9854" t="s">
        <v>46</v>
      </c>
      <c r="N9854" t="s">
        <v>6304</v>
      </c>
      <c r="O9854" t="s">
        <v>43638</v>
      </c>
      <c r="P9854" t="s">
        <v>43639</v>
      </c>
      <c r="Q9854" t="s">
        <v>43640</v>
      </c>
      <c r="R9854">
        <v>64</v>
      </c>
      <c r="S9854">
        <v>64</v>
      </c>
    </row>
    <row r="9855" spans="1:19" x14ac:dyDescent="0.35">
      <c r="A9855">
        <v>9564</v>
      </c>
      <c r="B9855" t="s">
        <v>6301</v>
      </c>
      <c r="C9855" t="s">
        <v>42</v>
      </c>
      <c r="D9855" t="s">
        <v>43641</v>
      </c>
      <c r="E9855" t="s">
        <v>6303</v>
      </c>
      <c r="F9855" s="1">
        <v>106200</v>
      </c>
      <c r="G9855" t="s">
        <v>42759</v>
      </c>
      <c r="I9855" t="s">
        <v>43642</v>
      </c>
      <c r="J9855" t="s">
        <v>42761</v>
      </c>
      <c r="L9855" t="s">
        <v>42762</v>
      </c>
      <c r="M9855" t="s">
        <v>46</v>
      </c>
      <c r="N9855" t="s">
        <v>6304</v>
      </c>
      <c r="O9855" t="s">
        <v>43643</v>
      </c>
      <c r="P9855" t="s">
        <v>43644</v>
      </c>
      <c r="Q9855" t="s">
        <v>43645</v>
      </c>
      <c r="R9855">
        <v>64</v>
      </c>
      <c r="S9855">
        <v>64</v>
      </c>
    </row>
    <row r="9856" spans="1:19" x14ac:dyDescent="0.35">
      <c r="A9856">
        <v>9562</v>
      </c>
      <c r="B9856" t="s">
        <v>6301</v>
      </c>
      <c r="C9856" t="s">
        <v>42</v>
      </c>
      <c r="D9856" t="s">
        <v>43646</v>
      </c>
      <c r="E9856" t="s">
        <v>6303</v>
      </c>
      <c r="F9856" s="1">
        <v>106200</v>
      </c>
      <c r="G9856" t="s">
        <v>42759</v>
      </c>
      <c r="I9856" t="s">
        <v>43647</v>
      </c>
      <c r="J9856" t="s">
        <v>42761</v>
      </c>
      <c r="L9856" t="s">
        <v>42762</v>
      </c>
      <c r="M9856" t="s">
        <v>46</v>
      </c>
      <c r="N9856" t="s">
        <v>6304</v>
      </c>
      <c r="O9856" t="s">
        <v>43648</v>
      </c>
      <c r="P9856" t="s">
        <v>43649</v>
      </c>
      <c r="Q9856" t="s">
        <v>43650</v>
      </c>
      <c r="R9856">
        <v>64</v>
      </c>
      <c r="S9856">
        <v>64</v>
      </c>
    </row>
    <row r="9857" spans="1:19" x14ac:dyDescent="0.35">
      <c r="A9857">
        <v>9571</v>
      </c>
      <c r="B9857" t="s">
        <v>6301</v>
      </c>
      <c r="C9857" t="s">
        <v>42</v>
      </c>
      <c r="D9857" t="s">
        <v>43651</v>
      </c>
      <c r="E9857" t="s">
        <v>6303</v>
      </c>
      <c r="F9857" s="1">
        <v>106200</v>
      </c>
      <c r="G9857" t="s">
        <v>42759</v>
      </c>
      <c r="I9857" t="s">
        <v>43652</v>
      </c>
      <c r="J9857" t="s">
        <v>42761</v>
      </c>
      <c r="L9857" t="s">
        <v>42762</v>
      </c>
      <c r="M9857" t="s">
        <v>46</v>
      </c>
      <c r="N9857" t="s">
        <v>6304</v>
      </c>
      <c r="O9857" t="s">
        <v>43653</v>
      </c>
      <c r="P9857" t="s">
        <v>43654</v>
      </c>
      <c r="Q9857" t="s">
        <v>43655</v>
      </c>
      <c r="R9857">
        <v>64</v>
      </c>
      <c r="S9857">
        <v>64</v>
      </c>
    </row>
    <row r="9858" spans="1:19" x14ac:dyDescent="0.35">
      <c r="A9858">
        <v>9572</v>
      </c>
      <c r="B9858" t="s">
        <v>6301</v>
      </c>
      <c r="C9858" t="s">
        <v>42</v>
      </c>
      <c r="D9858" t="s">
        <v>43656</v>
      </c>
      <c r="E9858" t="s">
        <v>6303</v>
      </c>
      <c r="F9858" s="1">
        <v>106200</v>
      </c>
      <c r="G9858" t="s">
        <v>42759</v>
      </c>
      <c r="I9858" t="s">
        <v>43657</v>
      </c>
      <c r="J9858" t="s">
        <v>42761</v>
      </c>
      <c r="L9858" t="s">
        <v>42762</v>
      </c>
      <c r="M9858" t="s">
        <v>46</v>
      </c>
      <c r="N9858" t="s">
        <v>6304</v>
      </c>
      <c r="O9858" t="s">
        <v>43658</v>
      </c>
      <c r="P9858" t="s">
        <v>43659</v>
      </c>
      <c r="Q9858" t="s">
        <v>43660</v>
      </c>
      <c r="R9858">
        <v>64</v>
      </c>
      <c r="S9858">
        <v>64</v>
      </c>
    </row>
    <row r="9859" spans="1:19" x14ac:dyDescent="0.35">
      <c r="A9859">
        <v>9573</v>
      </c>
      <c r="B9859" t="s">
        <v>6301</v>
      </c>
      <c r="C9859" t="s">
        <v>42</v>
      </c>
      <c r="D9859" t="s">
        <v>43661</v>
      </c>
      <c r="E9859" t="s">
        <v>6303</v>
      </c>
      <c r="F9859" s="1">
        <v>106200</v>
      </c>
      <c r="G9859" t="s">
        <v>42759</v>
      </c>
      <c r="I9859" t="s">
        <v>43662</v>
      </c>
      <c r="J9859" t="s">
        <v>42761</v>
      </c>
      <c r="L9859" t="s">
        <v>42762</v>
      </c>
      <c r="M9859" t="s">
        <v>46</v>
      </c>
      <c r="N9859" t="s">
        <v>6304</v>
      </c>
      <c r="O9859" t="s">
        <v>43663</v>
      </c>
      <c r="P9859" t="s">
        <v>43664</v>
      </c>
      <c r="Q9859" t="s">
        <v>43665</v>
      </c>
      <c r="R9859">
        <v>64</v>
      </c>
      <c r="S9859">
        <v>64</v>
      </c>
    </row>
    <row r="9860" spans="1:19" x14ac:dyDescent="0.35">
      <c r="A9860">
        <v>9568</v>
      </c>
      <c r="B9860" t="s">
        <v>6301</v>
      </c>
      <c r="C9860" t="s">
        <v>42</v>
      </c>
      <c r="D9860" t="s">
        <v>43666</v>
      </c>
      <c r="E9860" t="s">
        <v>6303</v>
      </c>
      <c r="F9860" s="1">
        <v>106200</v>
      </c>
      <c r="G9860" t="s">
        <v>42759</v>
      </c>
      <c r="I9860" t="s">
        <v>43667</v>
      </c>
      <c r="J9860" t="s">
        <v>42761</v>
      </c>
      <c r="L9860" t="s">
        <v>42762</v>
      </c>
      <c r="M9860" t="s">
        <v>46</v>
      </c>
      <c r="N9860" t="s">
        <v>6304</v>
      </c>
      <c r="O9860" t="s">
        <v>43668</v>
      </c>
      <c r="P9860" t="s">
        <v>43669</v>
      </c>
      <c r="Q9860" t="s">
        <v>43670</v>
      </c>
      <c r="R9860">
        <v>64</v>
      </c>
      <c r="S9860">
        <v>64</v>
      </c>
    </row>
    <row r="9861" spans="1:19" x14ac:dyDescent="0.35">
      <c r="A9861">
        <v>9556</v>
      </c>
      <c r="B9861" t="s">
        <v>6301</v>
      </c>
      <c r="C9861" t="s">
        <v>42</v>
      </c>
      <c r="D9861" t="s">
        <v>43671</v>
      </c>
      <c r="E9861" t="s">
        <v>6303</v>
      </c>
      <c r="F9861" s="1">
        <v>106200</v>
      </c>
      <c r="G9861" t="s">
        <v>42759</v>
      </c>
      <c r="I9861" t="s">
        <v>43672</v>
      </c>
      <c r="J9861" t="s">
        <v>42761</v>
      </c>
      <c r="L9861" t="s">
        <v>42762</v>
      </c>
      <c r="M9861" t="s">
        <v>46</v>
      </c>
      <c r="N9861" t="s">
        <v>6304</v>
      </c>
      <c r="O9861" t="s">
        <v>43673</v>
      </c>
      <c r="P9861" t="s">
        <v>43674</v>
      </c>
      <c r="Q9861" t="s">
        <v>43675</v>
      </c>
      <c r="R9861">
        <v>64</v>
      </c>
      <c r="S9861">
        <v>64</v>
      </c>
    </row>
    <row r="9862" spans="1:19" x14ac:dyDescent="0.35">
      <c r="A9862">
        <v>9558</v>
      </c>
      <c r="B9862" t="s">
        <v>6301</v>
      </c>
      <c r="C9862" t="s">
        <v>42</v>
      </c>
      <c r="D9862" t="s">
        <v>43676</v>
      </c>
      <c r="E9862" t="s">
        <v>6303</v>
      </c>
      <c r="F9862" s="1">
        <v>106200</v>
      </c>
      <c r="G9862" t="s">
        <v>42759</v>
      </c>
      <c r="I9862" t="s">
        <v>43677</v>
      </c>
      <c r="J9862" t="s">
        <v>42761</v>
      </c>
      <c r="L9862" t="s">
        <v>42762</v>
      </c>
      <c r="M9862" t="s">
        <v>46</v>
      </c>
      <c r="N9862" t="s">
        <v>6304</v>
      </c>
      <c r="O9862" t="s">
        <v>43678</v>
      </c>
      <c r="P9862" t="s">
        <v>43679</v>
      </c>
      <c r="Q9862" t="s">
        <v>43680</v>
      </c>
      <c r="R9862">
        <v>64</v>
      </c>
      <c r="S9862">
        <v>64</v>
      </c>
    </row>
    <row r="9863" spans="1:19" x14ac:dyDescent="0.35">
      <c r="A9863">
        <v>9499</v>
      </c>
      <c r="B9863" t="s">
        <v>6301</v>
      </c>
      <c r="C9863" t="s">
        <v>42</v>
      </c>
      <c r="D9863" t="s">
        <v>43681</v>
      </c>
      <c r="E9863" t="s">
        <v>6303</v>
      </c>
      <c r="F9863" t="s">
        <v>43682</v>
      </c>
      <c r="G9863" t="s">
        <v>42759</v>
      </c>
      <c r="I9863" t="s">
        <v>43683</v>
      </c>
      <c r="J9863" t="s">
        <v>42761</v>
      </c>
      <c r="L9863" t="s">
        <v>43684</v>
      </c>
      <c r="M9863" t="s">
        <v>46</v>
      </c>
      <c r="N9863" t="s">
        <v>6304</v>
      </c>
      <c r="O9863" t="s">
        <v>43685</v>
      </c>
      <c r="P9863" t="s">
        <v>43686</v>
      </c>
      <c r="Q9863" t="s">
        <v>43687</v>
      </c>
      <c r="R9863">
        <v>64</v>
      </c>
      <c r="S9863">
        <v>64</v>
      </c>
    </row>
    <row r="9864" spans="1:19" x14ac:dyDescent="0.35">
      <c r="A9864">
        <v>9459</v>
      </c>
      <c r="B9864" t="s">
        <v>6301</v>
      </c>
      <c r="C9864" t="s">
        <v>42</v>
      </c>
      <c r="D9864" t="s">
        <v>43688</v>
      </c>
      <c r="E9864" t="s">
        <v>6303</v>
      </c>
      <c r="F9864" s="1">
        <v>72800</v>
      </c>
      <c r="G9864" t="s">
        <v>42759</v>
      </c>
      <c r="I9864" t="s">
        <v>43689</v>
      </c>
      <c r="J9864" t="s">
        <v>42761</v>
      </c>
      <c r="L9864" t="s">
        <v>42795</v>
      </c>
      <c r="M9864" t="s">
        <v>46</v>
      </c>
      <c r="N9864" t="s">
        <v>6304</v>
      </c>
      <c r="O9864" t="s">
        <v>43690</v>
      </c>
      <c r="P9864" t="s">
        <v>43691</v>
      </c>
      <c r="Q9864" t="s">
        <v>43692</v>
      </c>
      <c r="R9864">
        <v>64</v>
      </c>
      <c r="S9864">
        <v>64</v>
      </c>
    </row>
    <row r="9865" spans="1:19" x14ac:dyDescent="0.35">
      <c r="A9865">
        <v>9570</v>
      </c>
      <c r="B9865" t="s">
        <v>6301</v>
      </c>
      <c r="C9865" t="s">
        <v>42</v>
      </c>
      <c r="D9865" t="s">
        <v>43693</v>
      </c>
      <c r="E9865" t="s">
        <v>6303</v>
      </c>
      <c r="F9865" s="1">
        <v>106200</v>
      </c>
      <c r="G9865" t="s">
        <v>42759</v>
      </c>
      <c r="I9865" t="s">
        <v>43694</v>
      </c>
      <c r="J9865" t="s">
        <v>42761</v>
      </c>
      <c r="L9865" t="s">
        <v>42762</v>
      </c>
      <c r="M9865" t="s">
        <v>46</v>
      </c>
      <c r="N9865" t="s">
        <v>6304</v>
      </c>
      <c r="O9865" t="s">
        <v>43695</v>
      </c>
      <c r="P9865" t="s">
        <v>43696</v>
      </c>
      <c r="Q9865" t="s">
        <v>43697</v>
      </c>
      <c r="R9865">
        <v>64</v>
      </c>
      <c r="S9865">
        <v>64</v>
      </c>
    </row>
    <row r="9866" spans="1:19" x14ac:dyDescent="0.35">
      <c r="A9866">
        <v>9557</v>
      </c>
      <c r="B9866" t="s">
        <v>6301</v>
      </c>
      <c r="C9866" t="s">
        <v>42</v>
      </c>
      <c r="D9866" t="s">
        <v>43698</v>
      </c>
      <c r="E9866" t="s">
        <v>6303</v>
      </c>
      <c r="F9866" s="1">
        <v>106200</v>
      </c>
      <c r="G9866" t="s">
        <v>42759</v>
      </c>
      <c r="I9866" t="s">
        <v>43699</v>
      </c>
      <c r="J9866" t="s">
        <v>42761</v>
      </c>
      <c r="L9866" t="s">
        <v>42762</v>
      </c>
      <c r="M9866" t="s">
        <v>46</v>
      </c>
      <c r="N9866" t="s">
        <v>6304</v>
      </c>
      <c r="O9866" t="s">
        <v>43700</v>
      </c>
      <c r="P9866" t="s">
        <v>43701</v>
      </c>
      <c r="Q9866" t="s">
        <v>43702</v>
      </c>
      <c r="R9866">
        <v>64</v>
      </c>
      <c r="S9866">
        <v>64</v>
      </c>
    </row>
    <row r="9867" spans="1:19" x14ac:dyDescent="0.35">
      <c r="A9867">
        <v>9559</v>
      </c>
      <c r="B9867" t="s">
        <v>6301</v>
      </c>
      <c r="C9867" t="s">
        <v>42</v>
      </c>
      <c r="D9867" t="s">
        <v>43703</v>
      </c>
      <c r="E9867" t="s">
        <v>6303</v>
      </c>
      <c r="F9867" s="1">
        <v>106200</v>
      </c>
      <c r="G9867" t="s">
        <v>42759</v>
      </c>
      <c r="I9867" t="s">
        <v>43704</v>
      </c>
      <c r="J9867" t="s">
        <v>42761</v>
      </c>
      <c r="L9867" t="s">
        <v>42762</v>
      </c>
      <c r="M9867" t="s">
        <v>46</v>
      </c>
      <c r="N9867" t="s">
        <v>6304</v>
      </c>
      <c r="O9867" t="s">
        <v>43705</v>
      </c>
      <c r="P9867" t="s">
        <v>43706</v>
      </c>
      <c r="Q9867" t="s">
        <v>43707</v>
      </c>
      <c r="R9867">
        <v>64</v>
      </c>
      <c r="S9867">
        <v>64</v>
      </c>
    </row>
    <row r="9868" spans="1:19" x14ac:dyDescent="0.35">
      <c r="A9868">
        <v>9560</v>
      </c>
      <c r="B9868" t="s">
        <v>6301</v>
      </c>
      <c r="C9868" t="s">
        <v>42</v>
      </c>
      <c r="D9868" t="s">
        <v>43708</v>
      </c>
      <c r="E9868" t="s">
        <v>6303</v>
      </c>
      <c r="F9868" s="1">
        <v>106200</v>
      </c>
      <c r="G9868" t="s">
        <v>42759</v>
      </c>
      <c r="I9868" t="s">
        <v>43709</v>
      </c>
      <c r="J9868" t="s">
        <v>42761</v>
      </c>
      <c r="L9868" t="s">
        <v>42762</v>
      </c>
      <c r="M9868" t="s">
        <v>46</v>
      </c>
      <c r="N9868" t="s">
        <v>6304</v>
      </c>
      <c r="O9868" t="s">
        <v>43710</v>
      </c>
      <c r="P9868" t="s">
        <v>43711</v>
      </c>
      <c r="Q9868" t="s">
        <v>43712</v>
      </c>
      <c r="R9868">
        <v>64</v>
      </c>
      <c r="S9868">
        <v>64</v>
      </c>
    </row>
    <row r="9869" spans="1:19" x14ac:dyDescent="0.35">
      <c r="A9869">
        <v>9563</v>
      </c>
      <c r="B9869" t="s">
        <v>6301</v>
      </c>
      <c r="C9869" t="s">
        <v>42</v>
      </c>
      <c r="D9869" t="s">
        <v>43713</v>
      </c>
      <c r="E9869" t="s">
        <v>6303</v>
      </c>
      <c r="F9869" s="1">
        <v>106200</v>
      </c>
      <c r="G9869" t="s">
        <v>42759</v>
      </c>
      <c r="I9869" t="s">
        <v>43714</v>
      </c>
      <c r="J9869" t="s">
        <v>42761</v>
      </c>
      <c r="L9869" t="s">
        <v>42762</v>
      </c>
      <c r="M9869" t="s">
        <v>46</v>
      </c>
      <c r="N9869" t="s">
        <v>6304</v>
      </c>
      <c r="O9869" t="s">
        <v>43715</v>
      </c>
      <c r="P9869" t="s">
        <v>43716</v>
      </c>
      <c r="Q9869" t="s">
        <v>43717</v>
      </c>
      <c r="R9869">
        <v>64</v>
      </c>
      <c r="S9869">
        <v>64</v>
      </c>
    </row>
    <row r="9870" spans="1:19" x14ac:dyDescent="0.35">
      <c r="A9870">
        <v>9566</v>
      </c>
      <c r="B9870" t="s">
        <v>6301</v>
      </c>
      <c r="C9870" t="s">
        <v>42</v>
      </c>
      <c r="D9870" t="s">
        <v>43718</v>
      </c>
      <c r="E9870" t="s">
        <v>6303</v>
      </c>
      <c r="F9870" s="1">
        <v>106200</v>
      </c>
      <c r="G9870" t="s">
        <v>42759</v>
      </c>
      <c r="I9870" t="s">
        <v>43719</v>
      </c>
      <c r="J9870" t="s">
        <v>42761</v>
      </c>
      <c r="L9870" t="s">
        <v>42762</v>
      </c>
      <c r="M9870" t="s">
        <v>46</v>
      </c>
      <c r="N9870" t="s">
        <v>6304</v>
      </c>
      <c r="O9870" t="s">
        <v>43720</v>
      </c>
      <c r="P9870" t="s">
        <v>43721</v>
      </c>
      <c r="Q9870" t="s">
        <v>43722</v>
      </c>
      <c r="R9870">
        <v>64</v>
      </c>
      <c r="S9870">
        <v>64</v>
      </c>
    </row>
    <row r="9871" spans="1:19" x14ac:dyDescent="0.35">
      <c r="A9871">
        <v>9565</v>
      </c>
      <c r="B9871" t="s">
        <v>6301</v>
      </c>
      <c r="C9871" t="s">
        <v>42</v>
      </c>
      <c r="D9871" t="s">
        <v>43723</v>
      </c>
      <c r="E9871" t="s">
        <v>6303</v>
      </c>
      <c r="F9871" s="1">
        <v>106200</v>
      </c>
      <c r="G9871" t="s">
        <v>42759</v>
      </c>
      <c r="I9871" t="s">
        <v>43724</v>
      </c>
      <c r="J9871" t="s">
        <v>42761</v>
      </c>
      <c r="L9871" t="s">
        <v>42762</v>
      </c>
      <c r="M9871" t="s">
        <v>46</v>
      </c>
      <c r="N9871" t="s">
        <v>6304</v>
      </c>
      <c r="O9871" t="s">
        <v>43725</v>
      </c>
      <c r="P9871" t="s">
        <v>43726</v>
      </c>
      <c r="Q9871" t="s">
        <v>43727</v>
      </c>
      <c r="R9871">
        <v>64</v>
      </c>
      <c r="S9871">
        <v>64</v>
      </c>
    </row>
    <row r="9872" spans="1:19" x14ac:dyDescent="0.35">
      <c r="A9872">
        <v>9561</v>
      </c>
      <c r="B9872" t="s">
        <v>6301</v>
      </c>
      <c r="C9872" t="s">
        <v>42</v>
      </c>
      <c r="D9872" t="s">
        <v>43728</v>
      </c>
      <c r="E9872" t="s">
        <v>6303</v>
      </c>
      <c r="F9872" s="1">
        <v>106200</v>
      </c>
      <c r="G9872" t="s">
        <v>42759</v>
      </c>
      <c r="I9872" t="s">
        <v>43729</v>
      </c>
      <c r="J9872" t="s">
        <v>42761</v>
      </c>
      <c r="L9872" t="s">
        <v>42762</v>
      </c>
      <c r="M9872" t="s">
        <v>46</v>
      </c>
      <c r="N9872" t="s">
        <v>6304</v>
      </c>
      <c r="O9872" t="s">
        <v>43730</v>
      </c>
      <c r="P9872" t="s">
        <v>43731</v>
      </c>
      <c r="Q9872" t="s">
        <v>43732</v>
      </c>
      <c r="R9872">
        <v>64</v>
      </c>
      <c r="S9872">
        <v>64</v>
      </c>
    </row>
    <row r="9873" spans="1:19" x14ac:dyDescent="0.35">
      <c r="A9873">
        <v>9569</v>
      </c>
      <c r="B9873" t="s">
        <v>6301</v>
      </c>
      <c r="C9873" t="s">
        <v>42</v>
      </c>
      <c r="D9873" t="s">
        <v>43733</v>
      </c>
      <c r="E9873" t="s">
        <v>6303</v>
      </c>
      <c r="F9873" s="1">
        <v>106200</v>
      </c>
      <c r="G9873" t="s">
        <v>42759</v>
      </c>
      <c r="I9873" t="s">
        <v>43734</v>
      </c>
      <c r="J9873" t="s">
        <v>42761</v>
      </c>
      <c r="L9873" t="s">
        <v>42762</v>
      </c>
      <c r="M9873" t="s">
        <v>46</v>
      </c>
      <c r="N9873" t="s">
        <v>6304</v>
      </c>
      <c r="O9873" t="s">
        <v>43735</v>
      </c>
      <c r="P9873" t="s">
        <v>43736</v>
      </c>
      <c r="Q9873" t="s">
        <v>43737</v>
      </c>
      <c r="R9873">
        <v>64</v>
      </c>
      <c r="S9873">
        <v>64</v>
      </c>
    </row>
    <row r="9874" spans="1:19" x14ac:dyDescent="0.35">
      <c r="A9874">
        <v>9527</v>
      </c>
      <c r="B9874" t="s">
        <v>6301</v>
      </c>
      <c r="C9874" t="s">
        <v>42</v>
      </c>
      <c r="D9874" t="s">
        <v>43738</v>
      </c>
      <c r="E9874" t="s">
        <v>6303</v>
      </c>
      <c r="F9874" t="s">
        <v>43739</v>
      </c>
      <c r="G9874" t="s">
        <v>42759</v>
      </c>
      <c r="I9874" t="s">
        <v>43740</v>
      </c>
      <c r="J9874" t="s">
        <v>42761</v>
      </c>
      <c r="L9874" t="s">
        <v>42795</v>
      </c>
      <c r="M9874" t="s">
        <v>46</v>
      </c>
      <c r="N9874" t="s">
        <v>6304</v>
      </c>
      <c r="O9874" t="s">
        <v>43741</v>
      </c>
      <c r="P9874" t="s">
        <v>43742</v>
      </c>
      <c r="Q9874" t="s">
        <v>43743</v>
      </c>
      <c r="R9874">
        <v>65</v>
      </c>
      <c r="S9874">
        <v>128</v>
      </c>
    </row>
    <row r="9875" spans="1:19" x14ac:dyDescent="0.35">
      <c r="A9875">
        <v>9516</v>
      </c>
      <c r="B9875" t="s">
        <v>6301</v>
      </c>
      <c r="C9875" t="s">
        <v>42</v>
      </c>
      <c r="D9875" t="s">
        <v>43744</v>
      </c>
      <c r="E9875" t="s">
        <v>6303</v>
      </c>
      <c r="F9875" t="s">
        <v>43745</v>
      </c>
      <c r="G9875" t="s">
        <v>42759</v>
      </c>
      <c r="I9875" t="s">
        <v>43746</v>
      </c>
      <c r="J9875" t="s">
        <v>42761</v>
      </c>
      <c r="L9875" t="s">
        <v>42795</v>
      </c>
      <c r="M9875" t="s">
        <v>46</v>
      </c>
      <c r="N9875" t="s">
        <v>6304</v>
      </c>
      <c r="O9875" t="s">
        <v>43747</v>
      </c>
      <c r="P9875" t="s">
        <v>43748</v>
      </c>
      <c r="Q9875" t="s">
        <v>43749</v>
      </c>
      <c r="R9875">
        <v>65</v>
      </c>
      <c r="S9875">
        <v>128</v>
      </c>
    </row>
    <row r="9876" spans="1:19" x14ac:dyDescent="0.35">
      <c r="A9876">
        <v>9517</v>
      </c>
      <c r="B9876" t="s">
        <v>6301</v>
      </c>
      <c r="C9876" t="s">
        <v>42</v>
      </c>
      <c r="D9876" t="s">
        <v>43750</v>
      </c>
      <c r="E9876" t="s">
        <v>6303</v>
      </c>
      <c r="F9876" t="s">
        <v>43751</v>
      </c>
      <c r="G9876" t="s">
        <v>42759</v>
      </c>
      <c r="I9876" t="s">
        <v>43752</v>
      </c>
      <c r="J9876" t="s">
        <v>42761</v>
      </c>
      <c r="L9876" t="s">
        <v>42795</v>
      </c>
      <c r="M9876" t="s">
        <v>46</v>
      </c>
      <c r="N9876" t="s">
        <v>6304</v>
      </c>
      <c r="O9876" t="s">
        <v>43753</v>
      </c>
      <c r="P9876" t="s">
        <v>43754</v>
      </c>
      <c r="Q9876" t="s">
        <v>43755</v>
      </c>
      <c r="R9876">
        <v>65</v>
      </c>
      <c r="S9876">
        <v>128</v>
      </c>
    </row>
    <row r="9877" spans="1:19" x14ac:dyDescent="0.35">
      <c r="A9877">
        <v>9454</v>
      </c>
      <c r="B9877" t="s">
        <v>6301</v>
      </c>
      <c r="C9877" t="s">
        <v>42</v>
      </c>
      <c r="D9877" t="s">
        <v>43756</v>
      </c>
      <c r="E9877" t="s">
        <v>6303</v>
      </c>
      <c r="F9877" t="s">
        <v>43757</v>
      </c>
      <c r="G9877" t="s">
        <v>42759</v>
      </c>
      <c r="I9877" t="s">
        <v>43758</v>
      </c>
      <c r="J9877" t="s">
        <v>42761</v>
      </c>
      <c r="L9877" t="s">
        <v>42795</v>
      </c>
      <c r="M9877" t="s">
        <v>46</v>
      </c>
      <c r="N9877" t="s">
        <v>6304</v>
      </c>
      <c r="O9877" t="s">
        <v>43759</v>
      </c>
      <c r="P9877" t="s">
        <v>43760</v>
      </c>
      <c r="Q9877" t="s">
        <v>43761</v>
      </c>
      <c r="R9877">
        <v>65</v>
      </c>
      <c r="S9877">
        <v>128</v>
      </c>
    </row>
    <row r="9878" spans="1:19" x14ac:dyDescent="0.35">
      <c r="A9878">
        <v>9375</v>
      </c>
      <c r="B9878" t="s">
        <v>6301</v>
      </c>
      <c r="C9878" t="s">
        <v>42</v>
      </c>
      <c r="D9878" t="s">
        <v>43762</v>
      </c>
      <c r="E9878" t="s">
        <v>6303</v>
      </c>
      <c r="F9878" t="s">
        <v>42810</v>
      </c>
      <c r="G9878" t="s">
        <v>42759</v>
      </c>
      <c r="I9878" t="s">
        <v>43763</v>
      </c>
      <c r="J9878" t="s">
        <v>42761</v>
      </c>
      <c r="L9878" t="s">
        <v>42795</v>
      </c>
      <c r="M9878" t="s">
        <v>46</v>
      </c>
      <c r="N9878" t="s">
        <v>6304</v>
      </c>
      <c r="O9878" t="s">
        <v>43764</v>
      </c>
      <c r="P9878" t="s">
        <v>43765</v>
      </c>
      <c r="Q9878" t="s">
        <v>43766</v>
      </c>
      <c r="R9878">
        <v>65</v>
      </c>
      <c r="S9878">
        <v>128</v>
      </c>
    </row>
    <row r="9879" spans="1:19" x14ac:dyDescent="0.35">
      <c r="A9879">
        <v>9490</v>
      </c>
      <c r="B9879" t="s">
        <v>6301</v>
      </c>
      <c r="C9879" t="s">
        <v>42</v>
      </c>
      <c r="D9879" t="s">
        <v>43767</v>
      </c>
      <c r="E9879" t="s">
        <v>6303</v>
      </c>
      <c r="F9879" s="1">
        <v>84000</v>
      </c>
      <c r="G9879" t="s">
        <v>42759</v>
      </c>
      <c r="I9879" t="s">
        <v>43768</v>
      </c>
      <c r="J9879" t="s">
        <v>42761</v>
      </c>
      <c r="L9879" t="s">
        <v>42795</v>
      </c>
      <c r="M9879" t="s">
        <v>46</v>
      </c>
      <c r="N9879" t="s">
        <v>6304</v>
      </c>
      <c r="O9879" t="s">
        <v>43769</v>
      </c>
      <c r="P9879" t="s">
        <v>43770</v>
      </c>
      <c r="Q9879" t="s">
        <v>43771</v>
      </c>
      <c r="R9879">
        <v>65</v>
      </c>
      <c r="S9879">
        <v>128</v>
      </c>
    </row>
    <row r="9880" spans="1:19" x14ac:dyDescent="0.35">
      <c r="A9880">
        <v>9491</v>
      </c>
      <c r="B9880" t="s">
        <v>6301</v>
      </c>
      <c r="C9880" t="s">
        <v>42</v>
      </c>
      <c r="D9880" t="s">
        <v>43772</v>
      </c>
      <c r="E9880" t="s">
        <v>6303</v>
      </c>
      <c r="F9880" s="1">
        <v>0</v>
      </c>
      <c r="G9880" t="s">
        <v>42759</v>
      </c>
      <c r="I9880" t="s">
        <v>43773</v>
      </c>
      <c r="J9880" t="s">
        <v>42761</v>
      </c>
      <c r="L9880" t="s">
        <v>42795</v>
      </c>
      <c r="M9880" t="s">
        <v>46</v>
      </c>
      <c r="N9880" t="s">
        <v>6304</v>
      </c>
      <c r="O9880" t="s">
        <v>43774</v>
      </c>
      <c r="P9880" t="s">
        <v>43775</v>
      </c>
      <c r="Q9880" t="s">
        <v>43776</v>
      </c>
      <c r="R9880">
        <v>65</v>
      </c>
      <c r="S9880">
        <v>128</v>
      </c>
    </row>
    <row r="9881" spans="1:19" x14ac:dyDescent="0.35">
      <c r="A9881">
        <v>9593</v>
      </c>
      <c r="B9881" t="s">
        <v>6301</v>
      </c>
      <c r="C9881" t="s">
        <v>42</v>
      </c>
      <c r="D9881" t="s">
        <v>43777</v>
      </c>
      <c r="E9881" t="s">
        <v>6303</v>
      </c>
      <c r="F9881" s="1">
        <v>100000</v>
      </c>
      <c r="G9881" t="s">
        <v>42759</v>
      </c>
      <c r="I9881" t="s">
        <v>43778</v>
      </c>
      <c r="J9881" t="s">
        <v>42761</v>
      </c>
      <c r="L9881" t="s">
        <v>42762</v>
      </c>
      <c r="M9881" t="s">
        <v>46</v>
      </c>
      <c r="N9881" t="s">
        <v>6304</v>
      </c>
      <c r="O9881" t="s">
        <v>43779</v>
      </c>
      <c r="P9881" t="s">
        <v>43780</v>
      </c>
      <c r="Q9881" t="s">
        <v>43781</v>
      </c>
      <c r="R9881">
        <v>65</v>
      </c>
      <c r="S9881">
        <v>128</v>
      </c>
    </row>
    <row r="9882" spans="1:19" x14ac:dyDescent="0.35">
      <c r="A9882">
        <v>9248</v>
      </c>
      <c r="B9882" t="s">
        <v>43782</v>
      </c>
      <c r="C9882" t="s">
        <v>42</v>
      </c>
      <c r="D9882" t="s">
        <v>43783</v>
      </c>
      <c r="E9882" t="e" cm="1">
        <f t="array" ref="E9882">- AMLODIPINE</f>
        <v>#NAME?</v>
      </c>
      <c r="F9882" t="s">
        <v>43784</v>
      </c>
      <c r="G9882" t="s">
        <v>835</v>
      </c>
      <c r="H9882" t="s">
        <v>32274</v>
      </c>
      <c r="I9882" t="s">
        <v>43785</v>
      </c>
      <c r="J9882" t="s">
        <v>599</v>
      </c>
      <c r="K9882" t="s">
        <v>2726</v>
      </c>
      <c r="L9882" t="s">
        <v>32277</v>
      </c>
      <c r="M9882" t="s">
        <v>46</v>
      </c>
      <c r="N9882" t="s">
        <v>1014</v>
      </c>
      <c r="O9882" t="s">
        <v>43786</v>
      </c>
      <c r="P9882" t="s">
        <v>43787</v>
      </c>
      <c r="Q9882" t="s">
        <v>43788</v>
      </c>
      <c r="R9882">
        <v>66</v>
      </c>
      <c r="S9882">
        <v>128</v>
      </c>
    </row>
    <row r="9883" spans="1:19" x14ac:dyDescent="0.35">
      <c r="A9883">
        <v>9120</v>
      </c>
      <c r="B9883" t="s">
        <v>43789</v>
      </c>
      <c r="C9883" t="s">
        <v>42</v>
      </c>
      <c r="D9883" t="s">
        <v>43790</v>
      </c>
      <c r="E9883" t="e" cm="1">
        <f t="array" ref="E9883">- AMLODIPINE</f>
        <v>#NAME?</v>
      </c>
      <c r="F9883" t="s">
        <v>14589</v>
      </c>
      <c r="G9883" t="s">
        <v>60</v>
      </c>
      <c r="H9883" t="s">
        <v>32274</v>
      </c>
      <c r="I9883" t="s">
        <v>43785</v>
      </c>
      <c r="J9883" t="s">
        <v>2992</v>
      </c>
      <c r="K9883" t="s">
        <v>2726</v>
      </c>
      <c r="L9883" t="s">
        <v>32277</v>
      </c>
      <c r="M9883" t="s">
        <v>46</v>
      </c>
      <c r="N9883" t="s">
        <v>1014</v>
      </c>
      <c r="O9883" t="s">
        <v>43786</v>
      </c>
      <c r="P9883" t="s">
        <v>43791</v>
      </c>
      <c r="Q9883" t="s">
        <v>43792</v>
      </c>
      <c r="R9883">
        <v>66</v>
      </c>
      <c r="S9883">
        <v>128</v>
      </c>
    </row>
    <row r="9884" spans="1:19" x14ac:dyDescent="0.35">
      <c r="A9884">
        <v>9249</v>
      </c>
      <c r="B9884" t="s">
        <v>43793</v>
      </c>
      <c r="C9884" t="s">
        <v>42</v>
      </c>
      <c r="D9884" t="s">
        <v>43794</v>
      </c>
      <c r="E9884" t="e" cm="1">
        <f t="array" ref="E9884">- AMLODIPINE</f>
        <v>#NAME?</v>
      </c>
      <c r="F9884" t="s">
        <v>43795</v>
      </c>
      <c r="G9884" t="s">
        <v>835</v>
      </c>
      <c r="H9884" t="s">
        <v>32274</v>
      </c>
      <c r="I9884" t="s">
        <v>43785</v>
      </c>
      <c r="J9884" t="s">
        <v>599</v>
      </c>
      <c r="K9884" t="s">
        <v>2726</v>
      </c>
      <c r="L9884" t="s">
        <v>32277</v>
      </c>
      <c r="M9884" t="s">
        <v>46</v>
      </c>
      <c r="N9884" t="s">
        <v>1014</v>
      </c>
      <c r="O9884" t="s">
        <v>43786</v>
      </c>
      <c r="P9884" t="s">
        <v>43787</v>
      </c>
      <c r="Q9884" t="s">
        <v>43788</v>
      </c>
      <c r="R9884">
        <v>66</v>
      </c>
      <c r="S9884">
        <v>128</v>
      </c>
    </row>
    <row r="9885" spans="1:19" x14ac:dyDescent="0.35">
      <c r="A9885">
        <v>9537</v>
      </c>
      <c r="B9885" t="s">
        <v>6301</v>
      </c>
      <c r="C9885" t="s">
        <v>42</v>
      </c>
      <c r="D9885" t="s">
        <v>43796</v>
      </c>
      <c r="E9885" t="s">
        <v>6303</v>
      </c>
      <c r="F9885" s="1">
        <v>140000</v>
      </c>
      <c r="G9885" t="s">
        <v>42759</v>
      </c>
      <c r="I9885" t="s">
        <v>43797</v>
      </c>
      <c r="J9885" t="s">
        <v>42761</v>
      </c>
      <c r="L9885" t="s">
        <v>42762</v>
      </c>
      <c r="M9885" t="s">
        <v>46</v>
      </c>
      <c r="N9885" t="s">
        <v>6304</v>
      </c>
      <c r="O9885" t="s">
        <v>43798</v>
      </c>
      <c r="P9885" t="s">
        <v>43799</v>
      </c>
      <c r="Q9885" t="s">
        <v>43800</v>
      </c>
      <c r="R9885">
        <v>66</v>
      </c>
      <c r="S9885">
        <v>128</v>
      </c>
    </row>
    <row r="9886" spans="1:19" x14ac:dyDescent="0.35">
      <c r="A9886">
        <v>9119</v>
      </c>
      <c r="B9886" t="s">
        <v>43789</v>
      </c>
      <c r="C9886" t="s">
        <v>42</v>
      </c>
      <c r="D9886" t="s">
        <v>43790</v>
      </c>
      <c r="E9886" t="e" cm="1">
        <f t="array" ref="E9886">- AMLODIPINE</f>
        <v>#NAME?</v>
      </c>
      <c r="F9886" t="s">
        <v>14589</v>
      </c>
      <c r="G9886" t="s">
        <v>60</v>
      </c>
      <c r="H9886" t="s">
        <v>32274</v>
      </c>
      <c r="I9886" t="s">
        <v>43785</v>
      </c>
      <c r="J9886" t="s">
        <v>2992</v>
      </c>
      <c r="K9886" t="s">
        <v>2726</v>
      </c>
      <c r="L9886" t="s">
        <v>32277</v>
      </c>
      <c r="M9886" t="s">
        <v>46</v>
      </c>
      <c r="N9886" t="s">
        <v>1014</v>
      </c>
      <c r="O9886" t="s">
        <v>43786</v>
      </c>
      <c r="P9886" t="s">
        <v>43791</v>
      </c>
      <c r="Q9886" t="s">
        <v>43792</v>
      </c>
      <c r="R9886">
        <v>66</v>
      </c>
      <c r="S9886">
        <v>128</v>
      </c>
    </row>
    <row r="9887" spans="1:19" x14ac:dyDescent="0.35">
      <c r="A9887">
        <v>9218</v>
      </c>
      <c r="B9887" t="s">
        <v>43801</v>
      </c>
      <c r="C9887" t="s">
        <v>42</v>
      </c>
      <c r="D9887" t="s">
        <v>43802</v>
      </c>
      <c r="E9887" t="e" cm="1">
        <f t="array" ref="E9887">- AMLODIPINE</f>
        <v>#NAME?</v>
      </c>
      <c r="F9887" t="s">
        <v>17198</v>
      </c>
      <c r="G9887" t="s">
        <v>7219</v>
      </c>
      <c r="H9887" t="s">
        <v>32274</v>
      </c>
      <c r="I9887" t="s">
        <v>43785</v>
      </c>
      <c r="J9887" t="s">
        <v>2478</v>
      </c>
      <c r="K9887" t="s">
        <v>2726</v>
      </c>
      <c r="L9887" t="s">
        <v>32277</v>
      </c>
      <c r="M9887" t="s">
        <v>46</v>
      </c>
      <c r="N9887" t="s">
        <v>1014</v>
      </c>
      <c r="O9887" t="s">
        <v>43786</v>
      </c>
      <c r="P9887" t="s">
        <v>43803</v>
      </c>
      <c r="Q9887" t="s">
        <v>43804</v>
      </c>
      <c r="R9887">
        <v>66</v>
      </c>
      <c r="S9887">
        <v>128</v>
      </c>
    </row>
    <row r="9888" spans="1:19" x14ac:dyDescent="0.35">
      <c r="A9888">
        <v>9178</v>
      </c>
      <c r="B9888" t="s">
        <v>43805</v>
      </c>
      <c r="C9888" t="s">
        <v>42</v>
      </c>
      <c r="D9888" t="s">
        <v>43806</v>
      </c>
      <c r="E9888" t="e" cm="1">
        <f t="array" ref="E9888">- AMLODIPINE</f>
        <v>#NAME?</v>
      </c>
      <c r="F9888" t="s">
        <v>43807</v>
      </c>
      <c r="G9888" t="s">
        <v>7219</v>
      </c>
      <c r="H9888" t="s">
        <v>32274</v>
      </c>
      <c r="I9888" t="s">
        <v>43785</v>
      </c>
      <c r="J9888" t="s">
        <v>599</v>
      </c>
      <c r="K9888" t="s">
        <v>2726</v>
      </c>
      <c r="L9888" t="s">
        <v>32277</v>
      </c>
      <c r="M9888" t="s">
        <v>46</v>
      </c>
      <c r="N9888" t="s">
        <v>1014</v>
      </c>
      <c r="O9888" t="s">
        <v>43786</v>
      </c>
      <c r="P9888" t="s">
        <v>43808</v>
      </c>
      <c r="Q9888" t="s">
        <v>43809</v>
      </c>
      <c r="R9888">
        <v>66</v>
      </c>
      <c r="S9888">
        <v>128</v>
      </c>
    </row>
    <row r="9889" spans="1:19" x14ac:dyDescent="0.35">
      <c r="A9889">
        <v>9536</v>
      </c>
      <c r="B9889" t="s">
        <v>6301</v>
      </c>
      <c r="C9889" t="s">
        <v>42</v>
      </c>
      <c r="D9889" t="s">
        <v>43810</v>
      </c>
      <c r="E9889" t="s">
        <v>6303</v>
      </c>
      <c r="F9889" s="1">
        <v>140000</v>
      </c>
      <c r="G9889" t="s">
        <v>42759</v>
      </c>
      <c r="I9889" t="s">
        <v>43811</v>
      </c>
      <c r="J9889" t="s">
        <v>42761</v>
      </c>
      <c r="L9889" t="s">
        <v>42762</v>
      </c>
      <c r="M9889" t="s">
        <v>46</v>
      </c>
      <c r="N9889" t="s">
        <v>6304</v>
      </c>
      <c r="O9889" t="s">
        <v>43812</v>
      </c>
      <c r="P9889" t="s">
        <v>43813</v>
      </c>
      <c r="Q9889" t="s">
        <v>43814</v>
      </c>
      <c r="R9889">
        <v>66</v>
      </c>
      <c r="S9889">
        <v>128</v>
      </c>
    </row>
    <row r="9890" spans="1:19" x14ac:dyDescent="0.35">
      <c r="A9890">
        <v>9175</v>
      </c>
      <c r="B9890" t="s">
        <v>43815</v>
      </c>
      <c r="C9890" t="s">
        <v>42</v>
      </c>
      <c r="D9890" t="s">
        <v>43816</v>
      </c>
      <c r="E9890" t="e" cm="1">
        <f t="array" ref="E9890">- AMLODIPINE</f>
        <v>#NAME?</v>
      </c>
      <c r="F9890" t="s">
        <v>43817</v>
      </c>
      <c r="G9890" t="s">
        <v>7219</v>
      </c>
      <c r="H9890" t="s">
        <v>32274</v>
      </c>
      <c r="I9890" t="s">
        <v>43785</v>
      </c>
      <c r="J9890" t="s">
        <v>599</v>
      </c>
      <c r="K9890" t="s">
        <v>2726</v>
      </c>
      <c r="L9890" t="s">
        <v>32277</v>
      </c>
      <c r="M9890" t="s">
        <v>46</v>
      </c>
      <c r="N9890" t="s">
        <v>1014</v>
      </c>
      <c r="O9890" t="s">
        <v>43786</v>
      </c>
      <c r="P9890" t="s">
        <v>43808</v>
      </c>
      <c r="Q9890" t="s">
        <v>43809</v>
      </c>
      <c r="R9890">
        <v>66</v>
      </c>
      <c r="S9890">
        <v>128</v>
      </c>
    </row>
    <row r="9891" spans="1:19" x14ac:dyDescent="0.35">
      <c r="A9891">
        <v>9095</v>
      </c>
      <c r="B9891" t="s">
        <v>43818</v>
      </c>
      <c r="C9891" t="s">
        <v>42</v>
      </c>
      <c r="D9891" t="s">
        <v>43819</v>
      </c>
      <c r="E9891" t="e" cm="1">
        <f t="array" ref="E9891">- AMLODIPINE</f>
        <v>#NAME?</v>
      </c>
      <c r="F9891" t="s">
        <v>43820</v>
      </c>
      <c r="G9891" t="s">
        <v>7219</v>
      </c>
      <c r="H9891" t="s">
        <v>32274</v>
      </c>
      <c r="I9891" t="s">
        <v>43785</v>
      </c>
      <c r="J9891" t="s">
        <v>969</v>
      </c>
      <c r="K9891" t="s">
        <v>2726</v>
      </c>
      <c r="L9891" t="s">
        <v>32277</v>
      </c>
      <c r="M9891" t="s">
        <v>46</v>
      </c>
      <c r="N9891" t="s">
        <v>1014</v>
      </c>
      <c r="O9891" t="s">
        <v>43786</v>
      </c>
      <c r="P9891" t="s">
        <v>1015</v>
      </c>
      <c r="Q9891" t="s">
        <v>43821</v>
      </c>
      <c r="R9891">
        <v>66</v>
      </c>
      <c r="S9891">
        <v>128</v>
      </c>
    </row>
    <row r="9892" spans="1:19" x14ac:dyDescent="0.35">
      <c r="A9892">
        <v>8920</v>
      </c>
      <c r="B9892" t="s">
        <v>43822</v>
      </c>
      <c r="C9892" t="s">
        <v>42</v>
      </c>
      <c r="D9892" t="s">
        <v>43823</v>
      </c>
      <c r="E9892" t="e" cm="1">
        <f t="array" ref="E9892">- AMLODIPINE</f>
        <v>#NAME?</v>
      </c>
      <c r="F9892" t="s">
        <v>43824</v>
      </c>
      <c r="G9892" t="s">
        <v>7219</v>
      </c>
      <c r="H9892" t="s">
        <v>32274</v>
      </c>
      <c r="I9892" t="s">
        <v>43785</v>
      </c>
      <c r="J9892" t="s">
        <v>6487</v>
      </c>
      <c r="K9892" t="s">
        <v>2726</v>
      </c>
      <c r="L9892" t="s">
        <v>32277</v>
      </c>
      <c r="M9892" t="s">
        <v>46</v>
      </c>
      <c r="N9892" t="s">
        <v>1014</v>
      </c>
      <c r="O9892" t="s">
        <v>43786</v>
      </c>
      <c r="P9892" t="s">
        <v>43825</v>
      </c>
      <c r="Q9892" t="s">
        <v>43826</v>
      </c>
      <c r="R9892">
        <v>66</v>
      </c>
      <c r="S9892">
        <v>128</v>
      </c>
    </row>
    <row r="9893" spans="1:19" x14ac:dyDescent="0.35">
      <c r="A9893">
        <v>9118</v>
      </c>
      <c r="B9893" t="s">
        <v>43827</v>
      </c>
      <c r="C9893" t="s">
        <v>42</v>
      </c>
      <c r="D9893" t="s">
        <v>43828</v>
      </c>
      <c r="E9893" t="e" cm="1">
        <f t="array" ref="E9893">- AMLODIPINE</f>
        <v>#NAME?</v>
      </c>
      <c r="F9893" t="s">
        <v>43829</v>
      </c>
      <c r="G9893" t="s">
        <v>60</v>
      </c>
      <c r="H9893" t="s">
        <v>32274</v>
      </c>
      <c r="I9893" t="s">
        <v>43785</v>
      </c>
      <c r="J9893" t="s">
        <v>599</v>
      </c>
      <c r="K9893" t="s">
        <v>2726</v>
      </c>
      <c r="L9893" t="s">
        <v>32277</v>
      </c>
      <c r="M9893" t="s">
        <v>46</v>
      </c>
      <c r="N9893" t="s">
        <v>1014</v>
      </c>
      <c r="O9893" t="s">
        <v>43786</v>
      </c>
      <c r="P9893" t="s">
        <v>43791</v>
      </c>
      <c r="Q9893" t="s">
        <v>43792</v>
      </c>
      <c r="R9893">
        <v>66</v>
      </c>
      <c r="S9893">
        <v>128</v>
      </c>
    </row>
    <row r="9894" spans="1:19" x14ac:dyDescent="0.35">
      <c r="A9894">
        <v>9482</v>
      </c>
      <c r="B9894" t="s">
        <v>6301</v>
      </c>
      <c r="C9894" t="s">
        <v>42</v>
      </c>
      <c r="D9894" t="s">
        <v>43830</v>
      </c>
      <c r="E9894" t="s">
        <v>6303</v>
      </c>
      <c r="F9894" t="s">
        <v>43831</v>
      </c>
      <c r="G9894" t="s">
        <v>42759</v>
      </c>
      <c r="I9894" t="s">
        <v>43832</v>
      </c>
      <c r="J9894" t="s">
        <v>42761</v>
      </c>
      <c r="L9894" t="s">
        <v>42795</v>
      </c>
      <c r="M9894" t="s">
        <v>46</v>
      </c>
      <c r="N9894" t="s">
        <v>6304</v>
      </c>
      <c r="O9894" t="s">
        <v>43833</v>
      </c>
      <c r="P9894" t="s">
        <v>43834</v>
      </c>
      <c r="Q9894" t="s">
        <v>43835</v>
      </c>
      <c r="R9894">
        <v>66</v>
      </c>
      <c r="S9894">
        <v>128</v>
      </c>
    </row>
    <row r="9895" spans="1:19" x14ac:dyDescent="0.35">
      <c r="A9895">
        <v>8992</v>
      </c>
      <c r="B9895" t="s">
        <v>43836</v>
      </c>
      <c r="C9895" t="s">
        <v>42</v>
      </c>
      <c r="D9895" t="s">
        <v>43837</v>
      </c>
      <c r="E9895" t="e" cm="1">
        <f t="array" ref="E9895">- AMLODIPINE</f>
        <v>#NAME?</v>
      </c>
      <c r="F9895" t="s">
        <v>43838</v>
      </c>
      <c r="G9895" t="s">
        <v>7219</v>
      </c>
      <c r="H9895" t="s">
        <v>32274</v>
      </c>
      <c r="I9895" t="s">
        <v>43785</v>
      </c>
      <c r="J9895" t="s">
        <v>969</v>
      </c>
      <c r="K9895" t="s">
        <v>2726</v>
      </c>
      <c r="L9895" t="s">
        <v>32277</v>
      </c>
      <c r="M9895" t="s">
        <v>46</v>
      </c>
      <c r="N9895" t="s">
        <v>1014</v>
      </c>
      <c r="O9895" t="s">
        <v>43786</v>
      </c>
      <c r="P9895" t="s">
        <v>43825</v>
      </c>
      <c r="Q9895" t="s">
        <v>43826</v>
      </c>
      <c r="R9895">
        <v>66</v>
      </c>
      <c r="S9895">
        <v>128</v>
      </c>
    </row>
    <row r="9896" spans="1:19" x14ac:dyDescent="0.35">
      <c r="A9896">
        <v>9303</v>
      </c>
      <c r="B9896" t="s">
        <v>43839</v>
      </c>
      <c r="C9896" t="s">
        <v>42</v>
      </c>
      <c r="D9896" t="s">
        <v>43840</v>
      </c>
      <c r="E9896" t="e" cm="1">
        <f t="array" ref="E9896">- AMLODIPINE</f>
        <v>#NAME?</v>
      </c>
      <c r="F9896" t="s">
        <v>43841</v>
      </c>
      <c r="G9896" t="s">
        <v>7219</v>
      </c>
      <c r="H9896" t="s">
        <v>32274</v>
      </c>
      <c r="I9896" t="s">
        <v>43785</v>
      </c>
      <c r="J9896" t="s">
        <v>6487</v>
      </c>
      <c r="K9896" t="s">
        <v>2726</v>
      </c>
      <c r="L9896" t="s">
        <v>32277</v>
      </c>
      <c r="M9896" t="s">
        <v>46</v>
      </c>
      <c r="N9896" t="s">
        <v>1014</v>
      </c>
      <c r="O9896" t="s">
        <v>43786</v>
      </c>
      <c r="P9896" t="s">
        <v>43842</v>
      </c>
      <c r="Q9896" t="s">
        <v>43843</v>
      </c>
      <c r="R9896">
        <v>66</v>
      </c>
      <c r="S9896">
        <v>128</v>
      </c>
    </row>
    <row r="9897" spans="1:19" x14ac:dyDescent="0.35">
      <c r="A9897">
        <v>9058</v>
      </c>
      <c r="B9897" t="s">
        <v>43844</v>
      </c>
      <c r="C9897" t="s">
        <v>42</v>
      </c>
      <c r="D9897" t="s">
        <v>43845</v>
      </c>
      <c r="E9897" t="e" cm="1">
        <f t="array" ref="E9897">- AMLODIPINE</f>
        <v>#NAME?</v>
      </c>
      <c r="F9897" t="s">
        <v>43846</v>
      </c>
      <c r="G9897" t="s">
        <v>7219</v>
      </c>
      <c r="H9897" t="s">
        <v>32274</v>
      </c>
      <c r="I9897" t="s">
        <v>43785</v>
      </c>
      <c r="J9897" t="s">
        <v>532</v>
      </c>
      <c r="K9897" t="s">
        <v>2726</v>
      </c>
      <c r="L9897" t="s">
        <v>32277</v>
      </c>
      <c r="M9897" t="s">
        <v>46</v>
      </c>
      <c r="N9897" t="s">
        <v>1014</v>
      </c>
      <c r="O9897" t="s">
        <v>43786</v>
      </c>
      <c r="P9897" t="s">
        <v>43847</v>
      </c>
      <c r="Q9897" t="s">
        <v>43848</v>
      </c>
      <c r="R9897">
        <v>66</v>
      </c>
      <c r="S9897">
        <v>128</v>
      </c>
    </row>
    <row r="9898" spans="1:19" x14ac:dyDescent="0.35">
      <c r="A9898">
        <v>9408</v>
      </c>
      <c r="B9898" t="s">
        <v>6301</v>
      </c>
      <c r="C9898" t="s">
        <v>42</v>
      </c>
      <c r="D9898" t="s">
        <v>43849</v>
      </c>
      <c r="E9898" t="s">
        <v>6303</v>
      </c>
      <c r="F9898" s="1">
        <v>140000</v>
      </c>
      <c r="G9898" t="s">
        <v>42759</v>
      </c>
      <c r="I9898" t="s">
        <v>43850</v>
      </c>
      <c r="J9898" t="s">
        <v>42761</v>
      </c>
      <c r="L9898" t="s">
        <v>42847</v>
      </c>
      <c r="M9898" t="s">
        <v>46</v>
      </c>
      <c r="N9898" t="s">
        <v>6304</v>
      </c>
      <c r="O9898" t="s">
        <v>43851</v>
      </c>
      <c r="P9898" t="s">
        <v>43852</v>
      </c>
      <c r="Q9898" t="s">
        <v>43853</v>
      </c>
      <c r="R9898">
        <v>66</v>
      </c>
      <c r="S9898">
        <v>128</v>
      </c>
    </row>
    <row r="9899" spans="1:19" x14ac:dyDescent="0.35">
      <c r="A9899">
        <v>9407</v>
      </c>
      <c r="B9899" t="s">
        <v>6301</v>
      </c>
      <c r="C9899" t="s">
        <v>42</v>
      </c>
      <c r="D9899" t="s">
        <v>43854</v>
      </c>
      <c r="E9899" t="s">
        <v>6303</v>
      </c>
      <c r="F9899" s="1">
        <v>140000</v>
      </c>
      <c r="G9899" t="s">
        <v>42759</v>
      </c>
      <c r="I9899" t="s">
        <v>43855</v>
      </c>
      <c r="J9899" t="s">
        <v>42761</v>
      </c>
      <c r="L9899" t="s">
        <v>42847</v>
      </c>
      <c r="M9899" t="s">
        <v>46</v>
      </c>
      <c r="N9899" t="s">
        <v>6304</v>
      </c>
      <c r="O9899" t="s">
        <v>43856</v>
      </c>
      <c r="P9899" t="s">
        <v>43857</v>
      </c>
      <c r="Q9899" t="s">
        <v>43858</v>
      </c>
      <c r="R9899">
        <v>66</v>
      </c>
      <c r="S9899">
        <v>128</v>
      </c>
    </row>
    <row r="9900" spans="1:19" x14ac:dyDescent="0.35">
      <c r="A9900">
        <v>9075</v>
      </c>
      <c r="B9900" t="s">
        <v>43859</v>
      </c>
      <c r="C9900" t="s">
        <v>42</v>
      </c>
      <c r="D9900" t="s">
        <v>43860</v>
      </c>
      <c r="E9900" t="e" cm="1">
        <f t="array" ref="E9900">- AMLODIPINE</f>
        <v>#NAME?</v>
      </c>
      <c r="F9900" t="s">
        <v>43861</v>
      </c>
      <c r="G9900" t="s">
        <v>4469</v>
      </c>
      <c r="H9900" t="s">
        <v>32274</v>
      </c>
      <c r="I9900" t="s">
        <v>43785</v>
      </c>
      <c r="J9900" t="s">
        <v>1136</v>
      </c>
      <c r="K9900" t="s">
        <v>2726</v>
      </c>
      <c r="L9900" t="s">
        <v>32277</v>
      </c>
      <c r="M9900" t="s">
        <v>46</v>
      </c>
      <c r="N9900" t="s">
        <v>1014</v>
      </c>
      <c r="O9900" t="s">
        <v>43786</v>
      </c>
      <c r="P9900" t="s">
        <v>43862</v>
      </c>
      <c r="Q9900" t="s">
        <v>43863</v>
      </c>
      <c r="R9900">
        <v>66</v>
      </c>
      <c r="S9900">
        <v>128</v>
      </c>
    </row>
    <row r="9901" spans="1:19" x14ac:dyDescent="0.35">
      <c r="A9901">
        <v>9076</v>
      </c>
      <c r="B9901" t="s">
        <v>43864</v>
      </c>
      <c r="C9901" t="s">
        <v>42</v>
      </c>
      <c r="D9901" t="s">
        <v>43865</v>
      </c>
      <c r="E9901" t="e" cm="1">
        <f t="array" ref="E9901">- AMLODIPINE</f>
        <v>#NAME?</v>
      </c>
      <c r="F9901" t="s">
        <v>43866</v>
      </c>
      <c r="G9901" t="s">
        <v>7219</v>
      </c>
      <c r="H9901" t="s">
        <v>32274</v>
      </c>
      <c r="I9901" t="s">
        <v>43785</v>
      </c>
      <c r="J9901" t="s">
        <v>1136</v>
      </c>
      <c r="K9901" t="s">
        <v>2726</v>
      </c>
      <c r="L9901" t="s">
        <v>32277</v>
      </c>
      <c r="M9901" t="s">
        <v>46</v>
      </c>
      <c r="N9901" t="s">
        <v>1014</v>
      </c>
      <c r="O9901" t="s">
        <v>43786</v>
      </c>
      <c r="P9901" t="s">
        <v>43862</v>
      </c>
      <c r="Q9901" t="s">
        <v>43863</v>
      </c>
      <c r="R9901">
        <v>66</v>
      </c>
      <c r="S9901">
        <v>128</v>
      </c>
    </row>
    <row r="9902" spans="1:19" x14ac:dyDescent="0.35">
      <c r="A9902">
        <v>9049</v>
      </c>
      <c r="B9902" t="s">
        <v>43867</v>
      </c>
      <c r="C9902" t="s">
        <v>42</v>
      </c>
      <c r="D9902" t="s">
        <v>43868</v>
      </c>
      <c r="E9902" t="e" cm="1">
        <f t="array" ref="E9902">- AMLODIPINE BESILATE</f>
        <v>#NAME?</v>
      </c>
      <c r="F9902" t="s">
        <v>43869</v>
      </c>
      <c r="G9902" t="s">
        <v>3098</v>
      </c>
      <c r="H9902" t="s">
        <v>32274</v>
      </c>
      <c r="I9902" t="s">
        <v>43785</v>
      </c>
      <c r="J9902" t="s">
        <v>532</v>
      </c>
      <c r="K9902" t="s">
        <v>2726</v>
      </c>
      <c r="L9902" t="s">
        <v>32277</v>
      </c>
      <c r="M9902" t="s">
        <v>46</v>
      </c>
      <c r="N9902" t="s">
        <v>2484</v>
      </c>
      <c r="O9902" t="s">
        <v>43786</v>
      </c>
      <c r="P9902" t="s">
        <v>43870</v>
      </c>
      <c r="Q9902" t="s">
        <v>43871</v>
      </c>
      <c r="R9902">
        <v>67</v>
      </c>
      <c r="S9902">
        <v>128</v>
      </c>
    </row>
    <row r="9903" spans="1:19" x14ac:dyDescent="0.35">
      <c r="A9903">
        <v>9116</v>
      </c>
      <c r="B9903" t="s">
        <v>43872</v>
      </c>
      <c r="C9903" t="s">
        <v>42</v>
      </c>
      <c r="D9903" t="s">
        <v>43873</v>
      </c>
      <c r="E9903" t="e" cm="1">
        <f t="array" ref="E9903">- AMLODIPINE BESILATE</f>
        <v>#NAME?</v>
      </c>
      <c r="F9903" t="s">
        <v>43874</v>
      </c>
      <c r="G9903" t="s">
        <v>60</v>
      </c>
      <c r="H9903" t="s">
        <v>32274</v>
      </c>
      <c r="I9903" t="s">
        <v>43785</v>
      </c>
      <c r="J9903" t="s">
        <v>2478</v>
      </c>
      <c r="K9903" t="s">
        <v>2726</v>
      </c>
      <c r="L9903" t="s">
        <v>32277</v>
      </c>
      <c r="M9903" t="s">
        <v>291</v>
      </c>
      <c r="N9903" t="s">
        <v>2484</v>
      </c>
      <c r="O9903" t="s">
        <v>43786</v>
      </c>
      <c r="P9903" t="s">
        <v>43875</v>
      </c>
      <c r="Q9903" t="s">
        <v>43876</v>
      </c>
      <c r="R9903">
        <v>67</v>
      </c>
      <c r="S9903">
        <v>128</v>
      </c>
    </row>
    <row r="9904" spans="1:19" x14ac:dyDescent="0.35">
      <c r="A9904">
        <v>9150</v>
      </c>
      <c r="B9904" t="s">
        <v>43877</v>
      </c>
      <c r="C9904" t="s">
        <v>42</v>
      </c>
      <c r="D9904" t="s">
        <v>43878</v>
      </c>
      <c r="E9904" t="e" cm="1">
        <f t="array" ref="E9904">- AMLODIPINE BESILATE</f>
        <v>#NAME?</v>
      </c>
      <c r="F9904" t="s">
        <v>43879</v>
      </c>
      <c r="G9904" t="s">
        <v>7219</v>
      </c>
      <c r="H9904" t="s">
        <v>32274</v>
      </c>
      <c r="I9904" t="s">
        <v>43785</v>
      </c>
      <c r="J9904" t="s">
        <v>532</v>
      </c>
      <c r="K9904" t="s">
        <v>2726</v>
      </c>
      <c r="L9904" t="s">
        <v>32277</v>
      </c>
      <c r="M9904" t="s">
        <v>46</v>
      </c>
      <c r="N9904" t="s">
        <v>2484</v>
      </c>
      <c r="O9904" t="s">
        <v>43786</v>
      </c>
      <c r="P9904" t="s">
        <v>43880</v>
      </c>
      <c r="Q9904" t="s">
        <v>43881</v>
      </c>
      <c r="R9904">
        <v>67</v>
      </c>
      <c r="S9904">
        <v>128</v>
      </c>
    </row>
    <row r="9905" spans="1:19" x14ac:dyDescent="0.35">
      <c r="A9905">
        <v>9050</v>
      </c>
      <c r="B9905" t="s">
        <v>43867</v>
      </c>
      <c r="C9905" t="s">
        <v>42</v>
      </c>
      <c r="D9905" t="s">
        <v>43868</v>
      </c>
      <c r="E9905" t="e" cm="1">
        <f t="array" ref="E9905">- AMLODIPINE BESILATE</f>
        <v>#NAME?</v>
      </c>
      <c r="F9905" t="s">
        <v>43869</v>
      </c>
      <c r="G9905" t="s">
        <v>3098</v>
      </c>
      <c r="H9905" t="s">
        <v>32274</v>
      </c>
      <c r="I9905" t="s">
        <v>43785</v>
      </c>
      <c r="J9905" t="s">
        <v>532</v>
      </c>
      <c r="K9905" t="s">
        <v>2726</v>
      </c>
      <c r="L9905" t="s">
        <v>32277</v>
      </c>
      <c r="M9905" t="s">
        <v>46</v>
      </c>
      <c r="N9905" t="s">
        <v>2484</v>
      </c>
      <c r="O9905" t="s">
        <v>43786</v>
      </c>
      <c r="P9905" t="s">
        <v>43870</v>
      </c>
      <c r="Q9905" t="s">
        <v>43871</v>
      </c>
      <c r="R9905">
        <v>67</v>
      </c>
      <c r="S9905">
        <v>128</v>
      </c>
    </row>
    <row r="9906" spans="1:19" x14ac:dyDescent="0.35">
      <c r="A9906">
        <v>9041</v>
      </c>
      <c r="B9906" t="s">
        <v>43882</v>
      </c>
      <c r="C9906" t="s">
        <v>42</v>
      </c>
      <c r="D9906" t="s">
        <v>43883</v>
      </c>
      <c r="E9906" t="e" cm="1">
        <f t="array" ref="E9906">- AMLODIPINE BESILATE</f>
        <v>#NAME?</v>
      </c>
      <c r="F9906" t="s">
        <v>43884</v>
      </c>
      <c r="G9906" t="s">
        <v>7219</v>
      </c>
      <c r="H9906" t="s">
        <v>32274</v>
      </c>
      <c r="I9906" t="s">
        <v>43785</v>
      </c>
      <c r="J9906" t="s">
        <v>20754</v>
      </c>
      <c r="K9906" t="s">
        <v>2726</v>
      </c>
      <c r="L9906" t="s">
        <v>32277</v>
      </c>
      <c r="M9906" t="s">
        <v>46</v>
      </c>
      <c r="N9906" t="s">
        <v>2484</v>
      </c>
      <c r="O9906" t="s">
        <v>43786</v>
      </c>
      <c r="P9906" t="s">
        <v>43885</v>
      </c>
      <c r="Q9906" t="s">
        <v>43886</v>
      </c>
      <c r="R9906">
        <v>67</v>
      </c>
      <c r="S9906">
        <v>128</v>
      </c>
    </row>
    <row r="9907" spans="1:19" x14ac:dyDescent="0.35">
      <c r="A9907">
        <v>9040</v>
      </c>
      <c r="B9907" t="s">
        <v>43882</v>
      </c>
      <c r="C9907" t="s">
        <v>42</v>
      </c>
      <c r="D9907" t="s">
        <v>43883</v>
      </c>
      <c r="E9907" t="e" cm="1">
        <f t="array" ref="E9907">- AMLODIPINE BESILATE</f>
        <v>#NAME?</v>
      </c>
      <c r="F9907" t="s">
        <v>43884</v>
      </c>
      <c r="G9907" t="s">
        <v>7219</v>
      </c>
      <c r="H9907" t="s">
        <v>32274</v>
      </c>
      <c r="I9907" t="s">
        <v>43785</v>
      </c>
      <c r="J9907" t="s">
        <v>20754</v>
      </c>
      <c r="K9907" t="s">
        <v>2726</v>
      </c>
      <c r="L9907" t="s">
        <v>32277</v>
      </c>
      <c r="M9907" t="s">
        <v>46</v>
      </c>
      <c r="N9907" t="s">
        <v>2484</v>
      </c>
      <c r="O9907" t="s">
        <v>43786</v>
      </c>
      <c r="P9907" t="s">
        <v>43885</v>
      </c>
      <c r="Q9907" t="s">
        <v>43886</v>
      </c>
      <c r="R9907">
        <v>67</v>
      </c>
      <c r="S9907">
        <v>128</v>
      </c>
    </row>
    <row r="9908" spans="1:19" x14ac:dyDescent="0.35">
      <c r="A9908">
        <v>9039</v>
      </c>
      <c r="B9908" t="s">
        <v>43887</v>
      </c>
      <c r="C9908" t="s">
        <v>42</v>
      </c>
      <c r="D9908" t="s">
        <v>43888</v>
      </c>
      <c r="E9908" t="e" cm="1">
        <f t="array" ref="E9908">- AMLODIPINE BESILATE</f>
        <v>#NAME?</v>
      </c>
      <c r="F9908" t="s">
        <v>43889</v>
      </c>
      <c r="G9908" t="s">
        <v>3098</v>
      </c>
      <c r="H9908" t="s">
        <v>32274</v>
      </c>
      <c r="I9908" t="s">
        <v>43785</v>
      </c>
      <c r="J9908" t="s">
        <v>599</v>
      </c>
      <c r="K9908" t="s">
        <v>2726</v>
      </c>
      <c r="L9908" t="s">
        <v>32277</v>
      </c>
      <c r="M9908" t="s">
        <v>46</v>
      </c>
      <c r="N9908" t="s">
        <v>2484</v>
      </c>
      <c r="O9908" t="s">
        <v>43786</v>
      </c>
      <c r="P9908" t="s">
        <v>43885</v>
      </c>
      <c r="Q9908" t="s">
        <v>43886</v>
      </c>
      <c r="R9908">
        <v>67</v>
      </c>
      <c r="S9908">
        <v>128</v>
      </c>
    </row>
    <row r="9909" spans="1:19" x14ac:dyDescent="0.35">
      <c r="A9909">
        <v>9038</v>
      </c>
      <c r="B9909" t="s">
        <v>43887</v>
      </c>
      <c r="C9909" t="s">
        <v>42</v>
      </c>
      <c r="D9909" t="s">
        <v>43888</v>
      </c>
      <c r="E9909" t="e" cm="1">
        <f t="array" ref="E9909">- AMLODIPINE BESILATE</f>
        <v>#NAME?</v>
      </c>
      <c r="F9909" t="s">
        <v>43889</v>
      </c>
      <c r="G9909" t="s">
        <v>3098</v>
      </c>
      <c r="H9909" t="s">
        <v>32274</v>
      </c>
      <c r="I9909" t="s">
        <v>43785</v>
      </c>
      <c r="J9909" t="s">
        <v>599</v>
      </c>
      <c r="K9909" t="s">
        <v>2726</v>
      </c>
      <c r="L9909" t="s">
        <v>32277</v>
      </c>
      <c r="M9909" t="s">
        <v>46</v>
      </c>
      <c r="N9909" t="s">
        <v>2484</v>
      </c>
      <c r="O9909" t="s">
        <v>43786</v>
      </c>
      <c r="P9909" t="s">
        <v>43885</v>
      </c>
      <c r="Q9909" t="s">
        <v>43886</v>
      </c>
      <c r="R9909">
        <v>67</v>
      </c>
      <c r="S9909">
        <v>128</v>
      </c>
    </row>
    <row r="9910" spans="1:19" x14ac:dyDescent="0.35">
      <c r="A9910">
        <v>9567</v>
      </c>
      <c r="B9910" t="s">
        <v>6301</v>
      </c>
      <c r="C9910" t="s">
        <v>42</v>
      </c>
      <c r="D9910" t="s">
        <v>43890</v>
      </c>
      <c r="E9910" t="s">
        <v>6303</v>
      </c>
      <c r="F9910" s="1">
        <v>106200</v>
      </c>
      <c r="G9910" t="s">
        <v>42759</v>
      </c>
      <c r="I9910" t="s">
        <v>43891</v>
      </c>
      <c r="J9910" t="s">
        <v>42761</v>
      </c>
      <c r="L9910" t="s">
        <v>42762</v>
      </c>
      <c r="M9910" t="s">
        <v>46</v>
      </c>
      <c r="N9910" t="s">
        <v>6304</v>
      </c>
      <c r="O9910" t="s">
        <v>43892</v>
      </c>
      <c r="P9910" t="s">
        <v>43893</v>
      </c>
      <c r="Q9910" t="s">
        <v>43894</v>
      </c>
      <c r="R9910">
        <v>67</v>
      </c>
      <c r="S9910">
        <v>128</v>
      </c>
    </row>
    <row r="9911" spans="1:19" x14ac:dyDescent="0.35">
      <c r="A9911">
        <v>9149</v>
      </c>
      <c r="B9911" t="s">
        <v>43877</v>
      </c>
      <c r="C9911" t="s">
        <v>42</v>
      </c>
      <c r="D9911" t="s">
        <v>43878</v>
      </c>
      <c r="E9911" t="e" cm="1">
        <f t="array" ref="E9911">- AMLODIPINE BESILATE</f>
        <v>#NAME?</v>
      </c>
      <c r="F9911" t="s">
        <v>43879</v>
      </c>
      <c r="G9911" t="s">
        <v>7219</v>
      </c>
      <c r="H9911" t="s">
        <v>32274</v>
      </c>
      <c r="I9911" t="s">
        <v>43785</v>
      </c>
      <c r="J9911" t="s">
        <v>532</v>
      </c>
      <c r="K9911" t="s">
        <v>2726</v>
      </c>
      <c r="L9911" t="s">
        <v>32277</v>
      </c>
      <c r="M9911" t="s">
        <v>46</v>
      </c>
      <c r="N9911" t="s">
        <v>2484</v>
      </c>
      <c r="O9911" t="s">
        <v>43786</v>
      </c>
      <c r="P9911" t="s">
        <v>43880</v>
      </c>
      <c r="Q9911" t="s">
        <v>43881</v>
      </c>
      <c r="R9911">
        <v>67</v>
      </c>
      <c r="S9911">
        <v>128</v>
      </c>
    </row>
    <row r="9912" spans="1:19" x14ac:dyDescent="0.35">
      <c r="A9912">
        <v>9051</v>
      </c>
      <c r="B9912" t="s">
        <v>43895</v>
      </c>
      <c r="C9912" t="s">
        <v>42</v>
      </c>
      <c r="D9912" t="s">
        <v>43896</v>
      </c>
      <c r="E9912" t="e" cm="1">
        <f t="array" ref="E9912">- AMLODIPINE BESILATE</f>
        <v>#NAME?</v>
      </c>
      <c r="F9912" t="s">
        <v>43897</v>
      </c>
      <c r="G9912" t="s">
        <v>7219</v>
      </c>
      <c r="H9912" t="s">
        <v>32274</v>
      </c>
      <c r="I9912" t="s">
        <v>43785</v>
      </c>
      <c r="J9912" t="s">
        <v>532</v>
      </c>
      <c r="K9912" t="s">
        <v>2726</v>
      </c>
      <c r="L9912" t="s">
        <v>32277</v>
      </c>
      <c r="M9912" t="s">
        <v>46</v>
      </c>
      <c r="N9912" t="s">
        <v>2484</v>
      </c>
      <c r="O9912" t="s">
        <v>43786</v>
      </c>
      <c r="P9912" t="s">
        <v>43870</v>
      </c>
      <c r="Q9912" t="s">
        <v>43871</v>
      </c>
      <c r="R9912">
        <v>67</v>
      </c>
      <c r="S9912">
        <v>128</v>
      </c>
    </row>
    <row r="9913" spans="1:19" x14ac:dyDescent="0.35">
      <c r="A9913">
        <v>9129</v>
      </c>
      <c r="B9913" t="s">
        <v>43898</v>
      </c>
      <c r="C9913" t="s">
        <v>42</v>
      </c>
      <c r="D9913" t="s">
        <v>43899</v>
      </c>
      <c r="E9913" t="e" cm="1">
        <f t="array" ref="E9913">- AMLODIPINE BESILATE</f>
        <v>#NAME?</v>
      </c>
      <c r="F9913" t="s">
        <v>5102</v>
      </c>
      <c r="G9913" t="s">
        <v>60</v>
      </c>
      <c r="H9913" t="s">
        <v>32274</v>
      </c>
      <c r="I9913" t="s">
        <v>43785</v>
      </c>
      <c r="J9913" t="s">
        <v>599</v>
      </c>
      <c r="K9913" t="s">
        <v>2726</v>
      </c>
      <c r="L9913" t="s">
        <v>32277</v>
      </c>
      <c r="M9913" t="s">
        <v>46</v>
      </c>
      <c r="N9913" t="s">
        <v>2484</v>
      </c>
      <c r="O9913" t="s">
        <v>43786</v>
      </c>
      <c r="P9913" t="s">
        <v>43900</v>
      </c>
      <c r="Q9913" t="s">
        <v>43901</v>
      </c>
      <c r="R9913">
        <v>67</v>
      </c>
      <c r="S9913">
        <v>128</v>
      </c>
    </row>
    <row r="9914" spans="1:19" x14ac:dyDescent="0.35">
      <c r="A9914">
        <v>9130</v>
      </c>
      <c r="B9914" t="s">
        <v>43902</v>
      </c>
      <c r="C9914" t="s">
        <v>42</v>
      </c>
      <c r="D9914" t="s">
        <v>43903</v>
      </c>
      <c r="E9914" t="e" cm="1">
        <f t="array" ref="E9914">- AMLODIPINE BESILATE</f>
        <v>#NAME?</v>
      </c>
      <c r="F9914" t="s">
        <v>43904</v>
      </c>
      <c r="G9914" t="s">
        <v>7219</v>
      </c>
      <c r="H9914" t="s">
        <v>32274</v>
      </c>
      <c r="I9914" t="s">
        <v>43785</v>
      </c>
      <c r="J9914" t="s">
        <v>599</v>
      </c>
      <c r="K9914" t="s">
        <v>2726</v>
      </c>
      <c r="L9914" t="s">
        <v>32277</v>
      </c>
      <c r="M9914" t="s">
        <v>46</v>
      </c>
      <c r="N9914" t="s">
        <v>2484</v>
      </c>
      <c r="O9914" t="s">
        <v>43786</v>
      </c>
      <c r="P9914" t="s">
        <v>43900</v>
      </c>
      <c r="Q9914" t="s">
        <v>43901</v>
      </c>
      <c r="R9914">
        <v>67</v>
      </c>
      <c r="S9914">
        <v>128</v>
      </c>
    </row>
    <row r="9915" spans="1:19" x14ac:dyDescent="0.35">
      <c r="A9915">
        <v>9115</v>
      </c>
      <c r="B9915" t="s">
        <v>43905</v>
      </c>
      <c r="C9915" t="s">
        <v>42</v>
      </c>
      <c r="D9915" t="s">
        <v>43906</v>
      </c>
      <c r="E9915" t="e" cm="1">
        <f t="array" ref="E9915">- AMLODIPINE BESILATE</f>
        <v>#NAME?</v>
      </c>
      <c r="F9915" t="s">
        <v>43907</v>
      </c>
      <c r="G9915" t="s">
        <v>60</v>
      </c>
      <c r="H9915" t="s">
        <v>32274</v>
      </c>
      <c r="I9915" t="s">
        <v>43785</v>
      </c>
      <c r="J9915" t="s">
        <v>2478</v>
      </c>
      <c r="K9915" t="s">
        <v>2726</v>
      </c>
      <c r="L9915" t="s">
        <v>32277</v>
      </c>
      <c r="M9915" t="s">
        <v>291</v>
      </c>
      <c r="N9915" t="s">
        <v>2484</v>
      </c>
      <c r="O9915" t="s">
        <v>43786</v>
      </c>
      <c r="P9915" t="s">
        <v>43875</v>
      </c>
      <c r="Q9915" t="s">
        <v>43876</v>
      </c>
      <c r="R9915">
        <v>67</v>
      </c>
      <c r="S9915">
        <v>128</v>
      </c>
    </row>
    <row r="9916" spans="1:19" x14ac:dyDescent="0.35">
      <c r="A9916">
        <v>9125</v>
      </c>
      <c r="B9916" t="s">
        <v>43908</v>
      </c>
      <c r="C9916" t="s">
        <v>42</v>
      </c>
      <c r="D9916" t="s">
        <v>43909</v>
      </c>
      <c r="E9916" t="e" cm="1">
        <f t="array" ref="E9916">- AMLODIPINE BESILATE</f>
        <v>#NAME?</v>
      </c>
      <c r="F9916" t="s">
        <v>43910</v>
      </c>
      <c r="G9916" t="s">
        <v>60</v>
      </c>
      <c r="H9916" t="s">
        <v>32274</v>
      </c>
      <c r="I9916" t="s">
        <v>43785</v>
      </c>
      <c r="J9916" t="s">
        <v>2992</v>
      </c>
      <c r="K9916" t="s">
        <v>2726</v>
      </c>
      <c r="L9916" t="s">
        <v>32277</v>
      </c>
      <c r="M9916" t="s">
        <v>46</v>
      </c>
      <c r="N9916" t="s">
        <v>2484</v>
      </c>
      <c r="O9916" t="s">
        <v>43786</v>
      </c>
      <c r="P9916" t="s">
        <v>43911</v>
      </c>
      <c r="Q9916" t="s">
        <v>43912</v>
      </c>
      <c r="R9916">
        <v>67</v>
      </c>
      <c r="S9916">
        <v>128</v>
      </c>
    </row>
    <row r="9917" spans="1:19" x14ac:dyDescent="0.35">
      <c r="A9917">
        <v>9103</v>
      </c>
      <c r="B9917" t="s">
        <v>43913</v>
      </c>
      <c r="C9917" t="s">
        <v>42</v>
      </c>
      <c r="D9917" t="s">
        <v>43914</v>
      </c>
      <c r="E9917" t="e" cm="1">
        <f t="array" ref="E9917">- AMLODIPINE BESILATE</f>
        <v>#NAME?</v>
      </c>
      <c r="F9917" t="s">
        <v>43915</v>
      </c>
      <c r="G9917" t="s">
        <v>3098</v>
      </c>
      <c r="H9917" t="s">
        <v>32274</v>
      </c>
      <c r="I9917" t="s">
        <v>43785</v>
      </c>
      <c r="J9917" t="s">
        <v>14011</v>
      </c>
      <c r="K9917" t="s">
        <v>2726</v>
      </c>
      <c r="L9917" t="s">
        <v>32277</v>
      </c>
      <c r="M9917" t="s">
        <v>46</v>
      </c>
      <c r="N9917" t="s">
        <v>2484</v>
      </c>
      <c r="O9917" t="s">
        <v>43786</v>
      </c>
      <c r="P9917" t="s">
        <v>43916</v>
      </c>
      <c r="Q9917" t="s">
        <v>43917</v>
      </c>
      <c r="R9917">
        <v>67</v>
      </c>
      <c r="S9917">
        <v>128</v>
      </c>
    </row>
    <row r="9918" spans="1:19" x14ac:dyDescent="0.35">
      <c r="A9918">
        <v>9594</v>
      </c>
      <c r="B9918" t="s">
        <v>6301</v>
      </c>
      <c r="C9918" t="s">
        <v>42</v>
      </c>
      <c r="D9918" t="s">
        <v>43918</v>
      </c>
      <c r="E9918" t="s">
        <v>6303</v>
      </c>
      <c r="F9918" s="1">
        <v>100000</v>
      </c>
      <c r="G9918" t="s">
        <v>42759</v>
      </c>
      <c r="I9918" t="s">
        <v>43919</v>
      </c>
      <c r="J9918" t="s">
        <v>42761</v>
      </c>
      <c r="L9918" t="s">
        <v>42762</v>
      </c>
      <c r="M9918" t="s">
        <v>46</v>
      </c>
      <c r="N9918" t="s">
        <v>6304</v>
      </c>
      <c r="O9918" t="s">
        <v>43920</v>
      </c>
      <c r="P9918" t="s">
        <v>43921</v>
      </c>
      <c r="Q9918" t="s">
        <v>43922</v>
      </c>
      <c r="R9918">
        <v>67</v>
      </c>
      <c r="S9918">
        <v>128</v>
      </c>
    </row>
    <row r="9919" spans="1:19" x14ac:dyDescent="0.35">
      <c r="A9919">
        <v>9102</v>
      </c>
      <c r="B9919" t="s">
        <v>43923</v>
      </c>
      <c r="C9919" t="s">
        <v>42</v>
      </c>
      <c r="D9919" t="s">
        <v>43924</v>
      </c>
      <c r="E9919" t="e" cm="1">
        <f t="array" ref="E9919">- AMLODIPINE BESILATE</f>
        <v>#NAME?</v>
      </c>
      <c r="F9919" t="s">
        <v>43925</v>
      </c>
      <c r="G9919" t="s">
        <v>7219</v>
      </c>
      <c r="H9919" t="s">
        <v>32274</v>
      </c>
      <c r="I9919" t="s">
        <v>43785</v>
      </c>
      <c r="J9919" t="s">
        <v>599</v>
      </c>
      <c r="K9919" t="s">
        <v>2726</v>
      </c>
      <c r="L9919" t="s">
        <v>32277</v>
      </c>
      <c r="M9919" t="s">
        <v>46</v>
      </c>
      <c r="N9919" t="s">
        <v>2484</v>
      </c>
      <c r="O9919" t="s">
        <v>43786</v>
      </c>
      <c r="P9919" t="s">
        <v>43926</v>
      </c>
      <c r="Q9919" t="s">
        <v>43927</v>
      </c>
      <c r="R9919">
        <v>67</v>
      </c>
      <c r="S9919">
        <v>128</v>
      </c>
    </row>
    <row r="9920" spans="1:19" x14ac:dyDescent="0.35">
      <c r="A9920">
        <v>9101</v>
      </c>
      <c r="B9920" t="s">
        <v>43923</v>
      </c>
      <c r="C9920" t="s">
        <v>42</v>
      </c>
      <c r="D9920" t="s">
        <v>43924</v>
      </c>
      <c r="E9920" t="e" cm="1">
        <f t="array" ref="E9920">- AMLODIPINE BESILATE</f>
        <v>#NAME?</v>
      </c>
      <c r="F9920" t="s">
        <v>43925</v>
      </c>
      <c r="G9920" t="s">
        <v>7219</v>
      </c>
      <c r="H9920" t="s">
        <v>32274</v>
      </c>
      <c r="I9920" t="s">
        <v>43785</v>
      </c>
      <c r="J9920" t="s">
        <v>599</v>
      </c>
      <c r="K9920" t="s">
        <v>2726</v>
      </c>
      <c r="L9920" t="s">
        <v>32277</v>
      </c>
      <c r="M9920" t="s">
        <v>46</v>
      </c>
      <c r="N9920" t="s">
        <v>2484</v>
      </c>
      <c r="O9920" t="s">
        <v>43786</v>
      </c>
      <c r="P9920" t="s">
        <v>43926</v>
      </c>
      <c r="Q9920" t="s">
        <v>43927</v>
      </c>
      <c r="R9920">
        <v>67</v>
      </c>
      <c r="S9920">
        <v>128</v>
      </c>
    </row>
    <row r="9921" spans="1:19" x14ac:dyDescent="0.35">
      <c r="A9921">
        <v>9148</v>
      </c>
      <c r="B9921" t="s">
        <v>43877</v>
      </c>
      <c r="C9921" t="s">
        <v>42</v>
      </c>
      <c r="D9921" t="s">
        <v>43878</v>
      </c>
      <c r="E9921" t="e" cm="1">
        <f t="array" ref="E9921">- AMLODIPINE BESILATE</f>
        <v>#NAME?</v>
      </c>
      <c r="F9921" t="s">
        <v>43879</v>
      </c>
      <c r="G9921" t="s">
        <v>7219</v>
      </c>
      <c r="H9921" t="s">
        <v>32274</v>
      </c>
      <c r="I9921" t="s">
        <v>43785</v>
      </c>
      <c r="J9921" t="s">
        <v>532</v>
      </c>
      <c r="K9921" t="s">
        <v>2726</v>
      </c>
      <c r="L9921" t="s">
        <v>32277</v>
      </c>
      <c r="M9921" t="s">
        <v>46</v>
      </c>
      <c r="N9921" t="s">
        <v>2484</v>
      </c>
      <c r="O9921" t="s">
        <v>43786</v>
      </c>
      <c r="P9921" t="s">
        <v>43880</v>
      </c>
      <c r="Q9921" t="s">
        <v>43881</v>
      </c>
      <c r="R9921">
        <v>67</v>
      </c>
      <c r="S9921">
        <v>128</v>
      </c>
    </row>
    <row r="9922" spans="1:19" x14ac:dyDescent="0.35">
      <c r="A9922">
        <v>9100</v>
      </c>
      <c r="B9922" t="s">
        <v>43928</v>
      </c>
      <c r="C9922" t="s">
        <v>42</v>
      </c>
      <c r="D9922" t="s">
        <v>43929</v>
      </c>
      <c r="E9922" t="e" cm="1">
        <f t="array" ref="E9922">- AMLODIPINE BESILATE</f>
        <v>#NAME?</v>
      </c>
      <c r="F9922" t="s">
        <v>43930</v>
      </c>
      <c r="G9922" t="s">
        <v>7219</v>
      </c>
      <c r="H9922" t="s">
        <v>32274</v>
      </c>
      <c r="I9922" t="s">
        <v>43785</v>
      </c>
      <c r="J9922" t="s">
        <v>599</v>
      </c>
      <c r="K9922" t="s">
        <v>2726</v>
      </c>
      <c r="L9922" t="s">
        <v>32277</v>
      </c>
      <c r="M9922" t="s">
        <v>46</v>
      </c>
      <c r="N9922" t="s">
        <v>2484</v>
      </c>
      <c r="O9922" t="s">
        <v>43786</v>
      </c>
      <c r="P9922" t="s">
        <v>43926</v>
      </c>
      <c r="Q9922" t="s">
        <v>43927</v>
      </c>
      <c r="R9922">
        <v>67</v>
      </c>
      <c r="S9922">
        <v>128</v>
      </c>
    </row>
    <row r="9923" spans="1:19" x14ac:dyDescent="0.35">
      <c r="A9923">
        <v>9094</v>
      </c>
      <c r="B9923" t="s">
        <v>43818</v>
      </c>
      <c r="C9923" t="s">
        <v>42</v>
      </c>
      <c r="D9923" t="s">
        <v>43819</v>
      </c>
      <c r="E9923" t="e" cm="1">
        <f t="array" ref="E9923">- AMLODIPINE BESILATE</f>
        <v>#NAME?</v>
      </c>
      <c r="F9923" t="s">
        <v>43820</v>
      </c>
      <c r="G9923" t="s">
        <v>7219</v>
      </c>
      <c r="H9923" t="s">
        <v>32274</v>
      </c>
      <c r="I9923" t="s">
        <v>43785</v>
      </c>
      <c r="J9923" t="s">
        <v>969</v>
      </c>
      <c r="K9923" t="s">
        <v>2726</v>
      </c>
      <c r="L9923" t="s">
        <v>32277</v>
      </c>
      <c r="M9923" t="s">
        <v>46</v>
      </c>
      <c r="N9923" t="s">
        <v>2484</v>
      </c>
      <c r="O9923" t="s">
        <v>43786</v>
      </c>
      <c r="P9923" t="s">
        <v>1015</v>
      </c>
      <c r="Q9923" t="s">
        <v>43931</v>
      </c>
      <c r="R9923">
        <v>67</v>
      </c>
      <c r="S9923">
        <v>128</v>
      </c>
    </row>
    <row r="9924" spans="1:19" x14ac:dyDescent="0.35">
      <c r="A9924">
        <v>9126</v>
      </c>
      <c r="B9924" t="s">
        <v>43932</v>
      </c>
      <c r="C9924" t="s">
        <v>42</v>
      </c>
      <c r="D9924" t="s">
        <v>43933</v>
      </c>
      <c r="E9924" t="e" cm="1">
        <f t="array" ref="E9924">- AMLODIPINE BESILATE</f>
        <v>#NAME?</v>
      </c>
      <c r="F9924" t="s">
        <v>43934</v>
      </c>
      <c r="G9924" t="s">
        <v>60</v>
      </c>
      <c r="H9924" t="s">
        <v>32274</v>
      </c>
      <c r="I9924" t="s">
        <v>43785</v>
      </c>
      <c r="J9924" t="s">
        <v>2992</v>
      </c>
      <c r="K9924" t="s">
        <v>2726</v>
      </c>
      <c r="L9924" t="s">
        <v>32277</v>
      </c>
      <c r="M9924" t="s">
        <v>46</v>
      </c>
      <c r="N9924" t="s">
        <v>2484</v>
      </c>
      <c r="O9924" t="s">
        <v>43786</v>
      </c>
      <c r="P9924" t="s">
        <v>43911</v>
      </c>
      <c r="Q9924" t="s">
        <v>43912</v>
      </c>
      <c r="R9924">
        <v>67</v>
      </c>
      <c r="S9924">
        <v>128</v>
      </c>
    </row>
    <row r="9925" spans="1:19" x14ac:dyDescent="0.35">
      <c r="A9925">
        <v>9057</v>
      </c>
      <c r="B9925" t="s">
        <v>43844</v>
      </c>
      <c r="C9925" t="s">
        <v>42</v>
      </c>
      <c r="D9925" t="s">
        <v>43845</v>
      </c>
      <c r="E9925" t="e" cm="1">
        <f t="array" ref="E9925">- AMLODIPINE BESILATE</f>
        <v>#NAME?</v>
      </c>
      <c r="F9925" t="s">
        <v>43846</v>
      </c>
      <c r="G9925" t="s">
        <v>7219</v>
      </c>
      <c r="H9925" t="s">
        <v>32274</v>
      </c>
      <c r="I9925" t="s">
        <v>43785</v>
      </c>
      <c r="J9925" t="s">
        <v>532</v>
      </c>
      <c r="K9925" t="s">
        <v>2726</v>
      </c>
      <c r="L9925" t="s">
        <v>32277</v>
      </c>
      <c r="M9925" t="s">
        <v>46</v>
      </c>
      <c r="N9925" t="s">
        <v>2484</v>
      </c>
      <c r="O9925" t="s">
        <v>43786</v>
      </c>
      <c r="P9925" t="s">
        <v>43847</v>
      </c>
      <c r="Q9925" t="s">
        <v>43935</v>
      </c>
      <c r="R9925">
        <v>67</v>
      </c>
      <c r="S9925">
        <v>128</v>
      </c>
    </row>
    <row r="9926" spans="1:19" x14ac:dyDescent="0.35">
      <c r="A9926">
        <v>9174</v>
      </c>
      <c r="B9926" t="s">
        <v>43815</v>
      </c>
      <c r="C9926" t="s">
        <v>42</v>
      </c>
      <c r="D9926" t="s">
        <v>43816</v>
      </c>
      <c r="E9926" t="e" cm="1">
        <f t="array" ref="E9926">- AMLODIPINE BESILATE</f>
        <v>#NAME?</v>
      </c>
      <c r="F9926" t="s">
        <v>43817</v>
      </c>
      <c r="G9926" t="s">
        <v>7219</v>
      </c>
      <c r="H9926" t="s">
        <v>32274</v>
      </c>
      <c r="I9926" t="s">
        <v>43785</v>
      </c>
      <c r="J9926" t="s">
        <v>599</v>
      </c>
      <c r="K9926" t="s">
        <v>2726</v>
      </c>
      <c r="L9926" t="s">
        <v>32277</v>
      </c>
      <c r="M9926" t="s">
        <v>46</v>
      </c>
      <c r="N9926" t="s">
        <v>2484</v>
      </c>
      <c r="O9926" t="s">
        <v>43786</v>
      </c>
      <c r="P9926" t="s">
        <v>43808</v>
      </c>
      <c r="Q9926" t="s">
        <v>43936</v>
      </c>
      <c r="R9926">
        <v>67</v>
      </c>
      <c r="S9926">
        <v>128</v>
      </c>
    </row>
    <row r="9927" spans="1:19" x14ac:dyDescent="0.35">
      <c r="A9927">
        <v>9055</v>
      </c>
      <c r="B9927" t="s">
        <v>43937</v>
      </c>
      <c r="C9927" t="s">
        <v>42</v>
      </c>
      <c r="D9927" t="s">
        <v>43938</v>
      </c>
      <c r="E9927" t="e" cm="1">
        <f t="array" ref="E9927">- AMLODIPINE BESILATE</f>
        <v>#NAME?</v>
      </c>
      <c r="F9927" t="s">
        <v>43939</v>
      </c>
      <c r="G9927" t="s">
        <v>7219</v>
      </c>
      <c r="H9927" t="s">
        <v>32274</v>
      </c>
      <c r="I9927" t="s">
        <v>43785</v>
      </c>
      <c r="J9927" t="s">
        <v>532</v>
      </c>
      <c r="K9927" t="s">
        <v>2726</v>
      </c>
      <c r="L9927" t="s">
        <v>32277</v>
      </c>
      <c r="M9927" t="s">
        <v>46</v>
      </c>
      <c r="N9927" t="s">
        <v>2484</v>
      </c>
      <c r="O9927" t="s">
        <v>43786</v>
      </c>
      <c r="P9927" t="s">
        <v>43847</v>
      </c>
      <c r="Q9927" t="s">
        <v>43935</v>
      </c>
      <c r="R9927">
        <v>67</v>
      </c>
      <c r="S9927">
        <v>128</v>
      </c>
    </row>
    <row r="9928" spans="1:19" x14ac:dyDescent="0.35">
      <c r="A9928">
        <v>9052</v>
      </c>
      <c r="B9928" t="s">
        <v>43895</v>
      </c>
      <c r="C9928" t="s">
        <v>42</v>
      </c>
      <c r="D9928" t="s">
        <v>43896</v>
      </c>
      <c r="E9928" t="e" cm="1">
        <f t="array" ref="E9928">- AMLODIPINE BESILATE</f>
        <v>#NAME?</v>
      </c>
      <c r="F9928" t="s">
        <v>43897</v>
      </c>
      <c r="G9928" t="s">
        <v>7219</v>
      </c>
      <c r="H9928" t="s">
        <v>32274</v>
      </c>
      <c r="I9928" t="s">
        <v>43785</v>
      </c>
      <c r="J9928" t="s">
        <v>532</v>
      </c>
      <c r="K9928" t="s">
        <v>2726</v>
      </c>
      <c r="L9928" t="s">
        <v>32277</v>
      </c>
      <c r="M9928" t="s">
        <v>46</v>
      </c>
      <c r="N9928" t="s">
        <v>2484</v>
      </c>
      <c r="O9928" t="s">
        <v>43786</v>
      </c>
      <c r="P9928" t="s">
        <v>43870</v>
      </c>
      <c r="Q9928" t="s">
        <v>43871</v>
      </c>
      <c r="R9928">
        <v>67</v>
      </c>
      <c r="S9928">
        <v>128</v>
      </c>
    </row>
    <row r="9929" spans="1:19" x14ac:dyDescent="0.35">
      <c r="A9929">
        <v>9099</v>
      </c>
      <c r="B9929" t="s">
        <v>43928</v>
      </c>
      <c r="C9929" t="s">
        <v>42</v>
      </c>
      <c r="D9929" t="s">
        <v>43929</v>
      </c>
      <c r="E9929" t="e" cm="1">
        <f t="array" ref="E9929">- AMLODIPINE BESILATE</f>
        <v>#NAME?</v>
      </c>
      <c r="F9929" t="s">
        <v>43930</v>
      </c>
      <c r="G9929" t="s">
        <v>7219</v>
      </c>
      <c r="H9929" t="s">
        <v>32274</v>
      </c>
      <c r="I9929" t="s">
        <v>43785</v>
      </c>
      <c r="J9929" t="s">
        <v>599</v>
      </c>
      <c r="K9929" t="s">
        <v>2726</v>
      </c>
      <c r="L9929" t="s">
        <v>32277</v>
      </c>
      <c r="M9929" t="s">
        <v>46</v>
      </c>
      <c r="N9929" t="s">
        <v>2484</v>
      </c>
      <c r="O9929" t="s">
        <v>43786</v>
      </c>
      <c r="P9929" t="s">
        <v>43926</v>
      </c>
      <c r="Q9929" t="s">
        <v>43927</v>
      </c>
      <c r="R9929">
        <v>67</v>
      </c>
      <c r="S9929">
        <v>128</v>
      </c>
    </row>
    <row r="9930" spans="1:19" x14ac:dyDescent="0.35">
      <c r="A9930">
        <v>9056</v>
      </c>
      <c r="B9930" t="s">
        <v>43937</v>
      </c>
      <c r="C9930" t="s">
        <v>42</v>
      </c>
      <c r="D9930" t="s">
        <v>43938</v>
      </c>
      <c r="E9930" t="e" cm="1">
        <f t="array" ref="E9930">- AMLODIPINE BESILATE</f>
        <v>#NAME?</v>
      </c>
      <c r="F9930" t="s">
        <v>43939</v>
      </c>
      <c r="G9930" t="s">
        <v>7219</v>
      </c>
      <c r="H9930" t="s">
        <v>32274</v>
      </c>
      <c r="I9930" t="s">
        <v>43785</v>
      </c>
      <c r="J9930" t="s">
        <v>532</v>
      </c>
      <c r="K9930" t="s">
        <v>2726</v>
      </c>
      <c r="L9930" t="s">
        <v>32277</v>
      </c>
      <c r="M9930" t="s">
        <v>46</v>
      </c>
      <c r="N9930" t="s">
        <v>2484</v>
      </c>
      <c r="O9930" t="s">
        <v>43786</v>
      </c>
      <c r="P9930" t="s">
        <v>43847</v>
      </c>
      <c r="Q9930" t="s">
        <v>43935</v>
      </c>
      <c r="R9930">
        <v>67</v>
      </c>
      <c r="S9930">
        <v>128</v>
      </c>
    </row>
    <row r="9931" spans="1:19" x14ac:dyDescent="0.35">
      <c r="A9931">
        <v>8919</v>
      </c>
      <c r="B9931" t="s">
        <v>43822</v>
      </c>
      <c r="C9931" t="s">
        <v>42</v>
      </c>
      <c r="D9931" t="s">
        <v>43823</v>
      </c>
      <c r="E9931" t="e" cm="1">
        <f t="array" ref="E9931">- AMLODIPINE BESILATE</f>
        <v>#NAME?</v>
      </c>
      <c r="F9931" t="s">
        <v>43824</v>
      </c>
      <c r="G9931" t="s">
        <v>7219</v>
      </c>
      <c r="H9931" t="s">
        <v>32274</v>
      </c>
      <c r="I9931" t="s">
        <v>43785</v>
      </c>
      <c r="J9931" t="s">
        <v>6487</v>
      </c>
      <c r="K9931" t="s">
        <v>2726</v>
      </c>
      <c r="L9931" t="s">
        <v>32277</v>
      </c>
      <c r="M9931" t="s">
        <v>46</v>
      </c>
      <c r="N9931" t="s">
        <v>2484</v>
      </c>
      <c r="O9931" t="s">
        <v>43786</v>
      </c>
      <c r="P9931" t="s">
        <v>43825</v>
      </c>
      <c r="Q9931" t="s">
        <v>43940</v>
      </c>
      <c r="R9931">
        <v>67</v>
      </c>
      <c r="S9931">
        <v>128</v>
      </c>
    </row>
    <row r="9932" spans="1:19" x14ac:dyDescent="0.35">
      <c r="A9932">
        <v>9177</v>
      </c>
      <c r="B9932" t="s">
        <v>43805</v>
      </c>
      <c r="C9932" t="s">
        <v>42</v>
      </c>
      <c r="D9932" t="s">
        <v>43806</v>
      </c>
      <c r="E9932" t="e" cm="1">
        <f t="array" ref="E9932">- AMLODIPINE BESILATE</f>
        <v>#NAME?</v>
      </c>
      <c r="F9932" t="s">
        <v>43807</v>
      </c>
      <c r="G9932" t="s">
        <v>7219</v>
      </c>
      <c r="H9932" t="s">
        <v>32274</v>
      </c>
      <c r="I9932" t="s">
        <v>43785</v>
      </c>
      <c r="J9932" t="s">
        <v>599</v>
      </c>
      <c r="K9932" t="s">
        <v>2726</v>
      </c>
      <c r="L9932" t="s">
        <v>32277</v>
      </c>
      <c r="M9932" t="s">
        <v>46</v>
      </c>
      <c r="N9932" t="s">
        <v>2484</v>
      </c>
      <c r="O9932" t="s">
        <v>43786</v>
      </c>
      <c r="P9932" t="s">
        <v>43808</v>
      </c>
      <c r="Q9932" t="s">
        <v>43936</v>
      </c>
      <c r="R9932">
        <v>67</v>
      </c>
      <c r="S9932">
        <v>128</v>
      </c>
    </row>
    <row r="9933" spans="1:19" x14ac:dyDescent="0.35">
      <c r="A9933">
        <v>9302</v>
      </c>
      <c r="B9933" t="s">
        <v>43839</v>
      </c>
      <c r="C9933" t="s">
        <v>42</v>
      </c>
      <c r="D9933" t="s">
        <v>43840</v>
      </c>
      <c r="E9933" t="e" cm="1">
        <f t="array" ref="E9933">- AMLODIPINE BESILATE</f>
        <v>#NAME?</v>
      </c>
      <c r="F9933" t="s">
        <v>43841</v>
      </c>
      <c r="G9933" t="s">
        <v>7219</v>
      </c>
      <c r="H9933" t="s">
        <v>32274</v>
      </c>
      <c r="I9933" t="s">
        <v>43785</v>
      </c>
      <c r="J9933" t="s">
        <v>6487</v>
      </c>
      <c r="K9933" t="s">
        <v>2726</v>
      </c>
      <c r="L9933" t="s">
        <v>32277</v>
      </c>
      <c r="M9933" t="s">
        <v>46</v>
      </c>
      <c r="N9933" t="s">
        <v>2484</v>
      </c>
      <c r="O9933" t="s">
        <v>43786</v>
      </c>
      <c r="P9933" t="s">
        <v>43842</v>
      </c>
      <c r="Q9933" t="s">
        <v>43941</v>
      </c>
      <c r="R9933">
        <v>67</v>
      </c>
      <c r="S9933">
        <v>128</v>
      </c>
    </row>
    <row r="9934" spans="1:19" x14ac:dyDescent="0.35">
      <c r="A9934">
        <v>8961</v>
      </c>
      <c r="B9934" t="s">
        <v>43942</v>
      </c>
      <c r="C9934" t="s">
        <v>42</v>
      </c>
      <c r="D9934" t="s">
        <v>43943</v>
      </c>
      <c r="E9934" t="e" cm="1">
        <f t="array" ref="E9934">- AMLODIPINE BESILATE</f>
        <v>#NAME?</v>
      </c>
      <c r="F9934" t="s">
        <v>43944</v>
      </c>
      <c r="G9934" t="s">
        <v>7219</v>
      </c>
      <c r="H9934" t="s">
        <v>32274</v>
      </c>
      <c r="I9934" t="s">
        <v>43785</v>
      </c>
      <c r="J9934" t="s">
        <v>532</v>
      </c>
      <c r="K9934" t="s">
        <v>2726</v>
      </c>
      <c r="L9934" t="s">
        <v>32277</v>
      </c>
      <c r="M9934" t="s">
        <v>46</v>
      </c>
      <c r="N9934" t="s">
        <v>2484</v>
      </c>
      <c r="O9934" t="s">
        <v>43786</v>
      </c>
      <c r="P9934" t="s">
        <v>43880</v>
      </c>
      <c r="Q9934" t="s">
        <v>43881</v>
      </c>
      <c r="R9934">
        <v>67</v>
      </c>
      <c r="S9934">
        <v>128</v>
      </c>
    </row>
    <row r="9935" spans="1:19" x14ac:dyDescent="0.35">
      <c r="A9935">
        <v>9495</v>
      </c>
      <c r="B9935" t="s">
        <v>6301</v>
      </c>
      <c r="C9935" t="s">
        <v>42</v>
      </c>
      <c r="D9935" t="s">
        <v>43945</v>
      </c>
      <c r="E9935" t="s">
        <v>6303</v>
      </c>
      <c r="F9935" s="1">
        <v>95200</v>
      </c>
      <c r="G9935" t="s">
        <v>42759</v>
      </c>
      <c r="I9935" t="s">
        <v>43946</v>
      </c>
      <c r="J9935" t="s">
        <v>42761</v>
      </c>
      <c r="L9935" t="s">
        <v>43684</v>
      </c>
      <c r="M9935" t="s">
        <v>46</v>
      </c>
      <c r="N9935" t="s">
        <v>6304</v>
      </c>
      <c r="O9935" t="s">
        <v>43947</v>
      </c>
      <c r="P9935" t="s">
        <v>43948</v>
      </c>
      <c r="Q9935" t="s">
        <v>43949</v>
      </c>
      <c r="R9935">
        <v>67</v>
      </c>
      <c r="S9935">
        <v>128</v>
      </c>
    </row>
    <row r="9936" spans="1:19" x14ac:dyDescent="0.35">
      <c r="A9936">
        <v>8933</v>
      </c>
      <c r="B9936" t="s">
        <v>43950</v>
      </c>
      <c r="C9936" t="s">
        <v>42</v>
      </c>
      <c r="D9936" t="s">
        <v>43951</v>
      </c>
      <c r="E9936" t="e" cm="1">
        <f t="array" ref="E9936">- AMLODIPINE BESILATE</f>
        <v>#NAME?</v>
      </c>
      <c r="F9936" t="s">
        <v>43952</v>
      </c>
      <c r="G9936" t="s">
        <v>7219</v>
      </c>
      <c r="H9936" t="s">
        <v>32274</v>
      </c>
      <c r="I9936" t="s">
        <v>43785</v>
      </c>
      <c r="J9936" t="s">
        <v>2478</v>
      </c>
      <c r="K9936" t="s">
        <v>2726</v>
      </c>
      <c r="L9936" t="s">
        <v>32277</v>
      </c>
      <c r="M9936" t="s">
        <v>46</v>
      </c>
      <c r="N9936" t="s">
        <v>2484</v>
      </c>
      <c r="O9936" t="s">
        <v>43786</v>
      </c>
      <c r="P9936" t="s">
        <v>43953</v>
      </c>
      <c r="Q9936" t="s">
        <v>43954</v>
      </c>
      <c r="R9936">
        <v>67</v>
      </c>
      <c r="S9936">
        <v>128</v>
      </c>
    </row>
    <row r="9937" spans="1:19" x14ac:dyDescent="0.35">
      <c r="A9937">
        <v>9176</v>
      </c>
      <c r="B9937" t="s">
        <v>43805</v>
      </c>
      <c r="C9937" t="s">
        <v>42</v>
      </c>
      <c r="D9937" t="s">
        <v>43806</v>
      </c>
      <c r="E9937" t="e" cm="1">
        <f t="array" ref="E9937">- AMLODIPINE BESILATE</f>
        <v>#NAME?</v>
      </c>
      <c r="F9937" t="s">
        <v>43807</v>
      </c>
      <c r="G9937" t="s">
        <v>7219</v>
      </c>
      <c r="H9937" t="s">
        <v>32274</v>
      </c>
      <c r="I9937" t="s">
        <v>43785</v>
      </c>
      <c r="J9937" t="s">
        <v>599</v>
      </c>
      <c r="K9937" t="s">
        <v>2726</v>
      </c>
      <c r="L9937" t="s">
        <v>32277</v>
      </c>
      <c r="M9937" t="s">
        <v>46</v>
      </c>
      <c r="N9937" t="s">
        <v>2484</v>
      </c>
      <c r="O9937" t="s">
        <v>43786</v>
      </c>
      <c r="P9937" t="s">
        <v>43808</v>
      </c>
      <c r="Q9937" t="s">
        <v>43936</v>
      </c>
      <c r="R9937">
        <v>67</v>
      </c>
      <c r="S9937">
        <v>128</v>
      </c>
    </row>
    <row r="9938" spans="1:19" x14ac:dyDescent="0.35">
      <c r="A9938">
        <v>8993</v>
      </c>
      <c r="B9938" t="s">
        <v>43955</v>
      </c>
      <c r="C9938" t="s">
        <v>42</v>
      </c>
      <c r="D9938" t="s">
        <v>43956</v>
      </c>
      <c r="E9938" t="e" cm="1">
        <f t="array" ref="E9938">- AMLODIPINE BESILATE</f>
        <v>#NAME?</v>
      </c>
      <c r="F9938" t="s">
        <v>43957</v>
      </c>
      <c r="G9938" t="s">
        <v>60</v>
      </c>
      <c r="H9938" t="s">
        <v>32274</v>
      </c>
      <c r="I9938" t="s">
        <v>43785</v>
      </c>
      <c r="J9938" t="s">
        <v>2478</v>
      </c>
      <c r="K9938" t="s">
        <v>2726</v>
      </c>
      <c r="L9938" t="s">
        <v>32277</v>
      </c>
      <c r="M9938" t="s">
        <v>46</v>
      </c>
      <c r="N9938" t="s">
        <v>2484</v>
      </c>
      <c r="O9938" t="s">
        <v>43786</v>
      </c>
      <c r="P9938" t="s">
        <v>43958</v>
      </c>
      <c r="Q9938" t="s">
        <v>43959</v>
      </c>
      <c r="R9938">
        <v>67</v>
      </c>
      <c r="S9938">
        <v>128</v>
      </c>
    </row>
    <row r="9939" spans="1:19" x14ac:dyDescent="0.35">
      <c r="A9939">
        <v>9373</v>
      </c>
      <c r="B9939" t="s">
        <v>6301</v>
      </c>
      <c r="C9939" t="s">
        <v>42</v>
      </c>
      <c r="D9939" t="s">
        <v>43960</v>
      </c>
      <c r="E9939" t="s">
        <v>6303</v>
      </c>
      <c r="F9939" s="1">
        <v>53800</v>
      </c>
      <c r="G9939" t="s">
        <v>42759</v>
      </c>
      <c r="I9939" t="s">
        <v>43961</v>
      </c>
      <c r="J9939" t="s">
        <v>42761</v>
      </c>
      <c r="L9939" t="s">
        <v>42795</v>
      </c>
      <c r="M9939" t="s">
        <v>46</v>
      </c>
      <c r="N9939" t="s">
        <v>6304</v>
      </c>
      <c r="O9939" t="s">
        <v>43962</v>
      </c>
      <c r="P9939" t="s">
        <v>43963</v>
      </c>
      <c r="Q9939" t="s">
        <v>43964</v>
      </c>
      <c r="R9939">
        <v>67</v>
      </c>
      <c r="S9939">
        <v>128</v>
      </c>
    </row>
    <row r="9940" spans="1:19" x14ac:dyDescent="0.35">
      <c r="A9940">
        <v>9374</v>
      </c>
      <c r="B9940" t="s">
        <v>6301</v>
      </c>
      <c r="C9940" t="s">
        <v>42</v>
      </c>
      <c r="D9940" t="s">
        <v>43965</v>
      </c>
      <c r="E9940" t="s">
        <v>6303</v>
      </c>
      <c r="F9940" t="s">
        <v>43966</v>
      </c>
      <c r="G9940" t="s">
        <v>42759</v>
      </c>
      <c r="H9940" t="s">
        <v>1322</v>
      </c>
      <c r="I9940" t="s">
        <v>43967</v>
      </c>
      <c r="J9940" t="s">
        <v>42774</v>
      </c>
      <c r="L9940" t="s">
        <v>42795</v>
      </c>
      <c r="M9940" t="s">
        <v>46</v>
      </c>
      <c r="N9940" t="s">
        <v>6304</v>
      </c>
      <c r="O9940" t="s">
        <v>43968</v>
      </c>
      <c r="P9940" t="s">
        <v>43969</v>
      </c>
      <c r="Q9940" t="s">
        <v>43970</v>
      </c>
      <c r="R9940">
        <v>67</v>
      </c>
      <c r="S9940">
        <v>128</v>
      </c>
    </row>
    <row r="9941" spans="1:19" x14ac:dyDescent="0.35">
      <c r="A9941">
        <v>9301</v>
      </c>
      <c r="B9941" t="s">
        <v>43971</v>
      </c>
      <c r="C9941" t="s">
        <v>42</v>
      </c>
      <c r="D9941" t="s">
        <v>43972</v>
      </c>
      <c r="E9941" t="e" cm="1">
        <f t="array" ref="E9941">- AMLODIPINE BESILATE</f>
        <v>#NAME?</v>
      </c>
      <c r="F9941" t="s">
        <v>43973</v>
      </c>
      <c r="G9941" t="s">
        <v>7219</v>
      </c>
      <c r="H9941" t="s">
        <v>32274</v>
      </c>
      <c r="I9941" t="s">
        <v>43785</v>
      </c>
      <c r="J9941" t="s">
        <v>599</v>
      </c>
      <c r="K9941" t="s">
        <v>2726</v>
      </c>
      <c r="L9941" t="s">
        <v>32277</v>
      </c>
      <c r="M9941" t="s">
        <v>46</v>
      </c>
      <c r="N9941" t="s">
        <v>2484</v>
      </c>
      <c r="O9941" t="s">
        <v>43786</v>
      </c>
      <c r="P9941" t="s">
        <v>43842</v>
      </c>
      <c r="Q9941" t="s">
        <v>43941</v>
      </c>
      <c r="R9941">
        <v>67</v>
      </c>
      <c r="S9941">
        <v>128</v>
      </c>
    </row>
    <row r="9942" spans="1:19" x14ac:dyDescent="0.35">
      <c r="A9942">
        <v>8971</v>
      </c>
      <c r="B9942" t="s">
        <v>43974</v>
      </c>
      <c r="C9942" t="s">
        <v>42</v>
      </c>
      <c r="D9942" t="s">
        <v>43975</v>
      </c>
      <c r="E9942" t="e" cm="1">
        <f t="array" ref="E9942">- AMLODIPINE BESILATE</f>
        <v>#NAME?</v>
      </c>
      <c r="F9942" t="s">
        <v>43976</v>
      </c>
      <c r="G9942" t="s">
        <v>7219</v>
      </c>
      <c r="H9942" t="s">
        <v>32274</v>
      </c>
      <c r="I9942" t="s">
        <v>43785</v>
      </c>
      <c r="J9942" t="s">
        <v>969</v>
      </c>
      <c r="K9942" t="s">
        <v>2726</v>
      </c>
      <c r="L9942" t="s">
        <v>32277</v>
      </c>
      <c r="M9942" t="s">
        <v>46</v>
      </c>
      <c r="N9942" t="s">
        <v>2484</v>
      </c>
      <c r="O9942" t="s">
        <v>43786</v>
      </c>
      <c r="P9942" t="s">
        <v>43977</v>
      </c>
      <c r="Q9942" t="s">
        <v>43978</v>
      </c>
      <c r="R9942">
        <v>67</v>
      </c>
      <c r="S9942">
        <v>128</v>
      </c>
    </row>
    <row r="9943" spans="1:19" x14ac:dyDescent="0.35">
      <c r="A9943">
        <v>9452</v>
      </c>
      <c r="B9943" t="s">
        <v>6301</v>
      </c>
      <c r="C9943" t="s">
        <v>42</v>
      </c>
      <c r="D9943" t="s">
        <v>43979</v>
      </c>
      <c r="E9943" t="s">
        <v>6303</v>
      </c>
      <c r="F9943" t="s">
        <v>43980</v>
      </c>
      <c r="G9943" t="s">
        <v>42759</v>
      </c>
      <c r="I9943" t="s">
        <v>43981</v>
      </c>
      <c r="J9943" t="s">
        <v>43539</v>
      </c>
      <c r="L9943" t="s">
        <v>42795</v>
      </c>
      <c r="M9943" t="s">
        <v>46</v>
      </c>
      <c r="N9943" t="s">
        <v>6304</v>
      </c>
      <c r="O9943" t="s">
        <v>43982</v>
      </c>
      <c r="P9943" t="s">
        <v>43983</v>
      </c>
      <c r="Q9943" t="s">
        <v>43984</v>
      </c>
      <c r="R9943">
        <v>67</v>
      </c>
      <c r="S9943">
        <v>128</v>
      </c>
    </row>
    <row r="9944" spans="1:19" x14ac:dyDescent="0.35">
      <c r="A9944">
        <v>8972</v>
      </c>
      <c r="B9944" t="s">
        <v>43974</v>
      </c>
      <c r="C9944" t="s">
        <v>42</v>
      </c>
      <c r="D9944" t="s">
        <v>43975</v>
      </c>
      <c r="E9944" t="e" cm="1">
        <f t="array" ref="E9944">- AMLODIPINE BESILATE</f>
        <v>#NAME?</v>
      </c>
      <c r="F9944" t="s">
        <v>43976</v>
      </c>
      <c r="G9944" t="s">
        <v>7219</v>
      </c>
      <c r="H9944" t="s">
        <v>32274</v>
      </c>
      <c r="I9944" t="s">
        <v>43785</v>
      </c>
      <c r="J9944" t="s">
        <v>969</v>
      </c>
      <c r="K9944" t="s">
        <v>2726</v>
      </c>
      <c r="L9944" t="s">
        <v>32277</v>
      </c>
      <c r="M9944" t="s">
        <v>46</v>
      </c>
      <c r="N9944" t="s">
        <v>2484</v>
      </c>
      <c r="O9944" t="s">
        <v>43786</v>
      </c>
      <c r="P9944" t="s">
        <v>43977</v>
      </c>
      <c r="Q9944" t="s">
        <v>43978</v>
      </c>
      <c r="R9944">
        <v>67</v>
      </c>
      <c r="S9944">
        <v>128</v>
      </c>
    </row>
    <row r="9945" spans="1:19" x14ac:dyDescent="0.35">
      <c r="A9945">
        <v>8973</v>
      </c>
      <c r="B9945" t="s">
        <v>43985</v>
      </c>
      <c r="C9945" t="s">
        <v>42</v>
      </c>
      <c r="D9945" t="s">
        <v>43986</v>
      </c>
      <c r="E9945" t="e" cm="1">
        <f t="array" ref="E9945">- AMLODIPINE BESILATE</f>
        <v>#NAME?</v>
      </c>
      <c r="F9945" t="s">
        <v>43987</v>
      </c>
      <c r="G9945" t="s">
        <v>7219</v>
      </c>
      <c r="H9945" t="s">
        <v>32274</v>
      </c>
      <c r="I9945" t="s">
        <v>43785</v>
      </c>
      <c r="J9945" t="s">
        <v>969</v>
      </c>
      <c r="K9945" t="s">
        <v>2726</v>
      </c>
      <c r="L9945" t="s">
        <v>32277</v>
      </c>
      <c r="M9945" t="s">
        <v>46</v>
      </c>
      <c r="N9945" t="s">
        <v>2484</v>
      </c>
      <c r="O9945" t="s">
        <v>43786</v>
      </c>
      <c r="P9945" t="s">
        <v>43977</v>
      </c>
      <c r="Q9945" t="s">
        <v>43978</v>
      </c>
      <c r="R9945">
        <v>67</v>
      </c>
      <c r="S9945">
        <v>128</v>
      </c>
    </row>
    <row r="9946" spans="1:19" x14ac:dyDescent="0.35">
      <c r="A9946">
        <v>8915</v>
      </c>
      <c r="B9946" t="s">
        <v>43988</v>
      </c>
      <c r="C9946" t="s">
        <v>42</v>
      </c>
      <c r="D9946" t="s">
        <v>43989</v>
      </c>
      <c r="E9946" t="e" cm="1">
        <f t="array" ref="E9946">- AMLODIPINE BESILATE</f>
        <v>#NAME?</v>
      </c>
      <c r="F9946" t="s">
        <v>43990</v>
      </c>
      <c r="G9946" t="s">
        <v>7219</v>
      </c>
      <c r="H9946" t="s">
        <v>43991</v>
      </c>
      <c r="I9946" t="s">
        <v>43785</v>
      </c>
      <c r="J9946" t="s">
        <v>2478</v>
      </c>
      <c r="K9946" t="s">
        <v>2726</v>
      </c>
      <c r="L9946" t="s">
        <v>32277</v>
      </c>
      <c r="M9946" t="s">
        <v>46</v>
      </c>
      <c r="N9946" t="s">
        <v>2484</v>
      </c>
      <c r="O9946" t="s">
        <v>43786</v>
      </c>
      <c r="P9946" t="s">
        <v>43953</v>
      </c>
      <c r="Q9946" t="s">
        <v>43954</v>
      </c>
      <c r="R9946">
        <v>67</v>
      </c>
      <c r="S9946">
        <v>128</v>
      </c>
    </row>
    <row r="9947" spans="1:19" x14ac:dyDescent="0.35">
      <c r="A9947">
        <v>8916</v>
      </c>
      <c r="B9947" t="s">
        <v>43988</v>
      </c>
      <c r="C9947" t="s">
        <v>42</v>
      </c>
      <c r="D9947" t="s">
        <v>43989</v>
      </c>
      <c r="E9947" t="e" cm="1">
        <f t="array" ref="E9947">- AMLODIPINE BESILATE</f>
        <v>#NAME?</v>
      </c>
      <c r="F9947" t="s">
        <v>43990</v>
      </c>
      <c r="G9947" t="s">
        <v>7219</v>
      </c>
      <c r="H9947" t="s">
        <v>43991</v>
      </c>
      <c r="I9947" t="s">
        <v>43785</v>
      </c>
      <c r="J9947" t="s">
        <v>2478</v>
      </c>
      <c r="K9947" t="s">
        <v>2726</v>
      </c>
      <c r="L9947" t="s">
        <v>32277</v>
      </c>
      <c r="M9947" t="s">
        <v>46</v>
      </c>
      <c r="N9947" t="s">
        <v>2484</v>
      </c>
      <c r="O9947" t="s">
        <v>43786</v>
      </c>
      <c r="P9947" t="s">
        <v>43953</v>
      </c>
      <c r="Q9947" t="s">
        <v>43954</v>
      </c>
      <c r="R9947">
        <v>67</v>
      </c>
      <c r="S9947">
        <v>128</v>
      </c>
    </row>
    <row r="9948" spans="1:19" x14ac:dyDescent="0.35">
      <c r="A9948">
        <v>8974</v>
      </c>
      <c r="B9948" t="s">
        <v>43985</v>
      </c>
      <c r="C9948" t="s">
        <v>42</v>
      </c>
      <c r="D9948" t="s">
        <v>43986</v>
      </c>
      <c r="E9948" t="e" cm="1">
        <f t="array" ref="E9948">- AMLODIPINE BESILATE</f>
        <v>#NAME?</v>
      </c>
      <c r="F9948" t="s">
        <v>43987</v>
      </c>
      <c r="G9948" t="s">
        <v>7219</v>
      </c>
      <c r="H9948" t="s">
        <v>32274</v>
      </c>
      <c r="I9948" t="s">
        <v>43785</v>
      </c>
      <c r="J9948" t="s">
        <v>969</v>
      </c>
      <c r="K9948" t="s">
        <v>2726</v>
      </c>
      <c r="L9948" t="s">
        <v>32277</v>
      </c>
      <c r="M9948" t="s">
        <v>46</v>
      </c>
      <c r="N9948" t="s">
        <v>2484</v>
      </c>
      <c r="O9948" t="s">
        <v>43786</v>
      </c>
      <c r="P9948" t="s">
        <v>43977</v>
      </c>
      <c r="Q9948" t="s">
        <v>43978</v>
      </c>
      <c r="R9948">
        <v>67</v>
      </c>
      <c r="S9948">
        <v>128</v>
      </c>
    </row>
    <row r="9949" spans="1:19" x14ac:dyDescent="0.35">
      <c r="A9949">
        <v>8917</v>
      </c>
      <c r="B9949" t="s">
        <v>43988</v>
      </c>
      <c r="C9949" t="s">
        <v>42</v>
      </c>
      <c r="D9949" t="s">
        <v>43989</v>
      </c>
      <c r="E9949" t="e" cm="1">
        <f t="array" ref="E9949">- AMLODIPINE BESILATE</f>
        <v>#NAME?</v>
      </c>
      <c r="F9949" t="s">
        <v>43990</v>
      </c>
      <c r="G9949" t="s">
        <v>7219</v>
      </c>
      <c r="H9949" t="s">
        <v>43991</v>
      </c>
      <c r="I9949" t="s">
        <v>43785</v>
      </c>
      <c r="J9949" t="s">
        <v>2478</v>
      </c>
      <c r="K9949" t="s">
        <v>2726</v>
      </c>
      <c r="L9949" t="s">
        <v>32277</v>
      </c>
      <c r="M9949" t="s">
        <v>46</v>
      </c>
      <c r="N9949" t="s">
        <v>2484</v>
      </c>
      <c r="O9949" t="s">
        <v>43786</v>
      </c>
      <c r="P9949" t="s">
        <v>43953</v>
      </c>
      <c r="Q9949" t="s">
        <v>43954</v>
      </c>
      <c r="R9949">
        <v>67</v>
      </c>
      <c r="S9949">
        <v>128</v>
      </c>
    </row>
    <row r="9950" spans="1:19" x14ac:dyDescent="0.35">
      <c r="A9950">
        <v>8918</v>
      </c>
      <c r="B9950" t="s">
        <v>43988</v>
      </c>
      <c r="C9950" t="s">
        <v>42</v>
      </c>
      <c r="D9950" t="s">
        <v>43989</v>
      </c>
      <c r="E9950" t="e" cm="1">
        <f t="array" ref="E9950">- AMLODIPINE BESILATE</f>
        <v>#NAME?</v>
      </c>
      <c r="F9950" t="s">
        <v>43990</v>
      </c>
      <c r="G9950" t="s">
        <v>7219</v>
      </c>
      <c r="H9950" t="s">
        <v>43991</v>
      </c>
      <c r="I9950" t="s">
        <v>43785</v>
      </c>
      <c r="J9950" t="s">
        <v>2478</v>
      </c>
      <c r="K9950" t="s">
        <v>2726</v>
      </c>
      <c r="L9950" t="s">
        <v>32277</v>
      </c>
      <c r="M9950" t="s">
        <v>46</v>
      </c>
      <c r="N9950" t="s">
        <v>2484</v>
      </c>
      <c r="O9950" t="s">
        <v>43786</v>
      </c>
      <c r="P9950" t="s">
        <v>43953</v>
      </c>
      <c r="Q9950" t="s">
        <v>43954</v>
      </c>
      <c r="R9950">
        <v>67</v>
      </c>
      <c r="S9950">
        <v>128</v>
      </c>
    </row>
    <row r="9951" spans="1:19" x14ac:dyDescent="0.35">
      <c r="A9951">
        <v>8989</v>
      </c>
      <c r="B9951" t="s">
        <v>43992</v>
      </c>
      <c r="C9951" t="s">
        <v>42</v>
      </c>
      <c r="D9951" t="s">
        <v>43993</v>
      </c>
      <c r="E9951" t="e" cm="1">
        <f t="array" ref="E9951">- AMLODIPINE BESILATE</f>
        <v>#NAME?</v>
      </c>
      <c r="F9951" t="s">
        <v>43994</v>
      </c>
      <c r="G9951" t="s">
        <v>60</v>
      </c>
      <c r="H9951" t="s">
        <v>32274</v>
      </c>
      <c r="I9951" t="s">
        <v>43785</v>
      </c>
      <c r="J9951" t="s">
        <v>599</v>
      </c>
      <c r="K9951" t="s">
        <v>2726</v>
      </c>
      <c r="L9951" t="s">
        <v>32277</v>
      </c>
      <c r="M9951" t="s">
        <v>46</v>
      </c>
      <c r="N9951" t="s">
        <v>2484</v>
      </c>
      <c r="O9951" t="s">
        <v>43786</v>
      </c>
      <c r="P9951" t="s">
        <v>6795</v>
      </c>
      <c r="Q9951" t="s">
        <v>43995</v>
      </c>
      <c r="R9951">
        <v>67</v>
      </c>
      <c r="S9951">
        <v>128</v>
      </c>
    </row>
    <row r="9952" spans="1:19" x14ac:dyDescent="0.35">
      <c r="A9952">
        <v>9659</v>
      </c>
      <c r="B9952" t="s">
        <v>43996</v>
      </c>
      <c r="C9952" t="s">
        <v>42</v>
      </c>
      <c r="D9952" t="s">
        <v>43997</v>
      </c>
      <c r="E9952" t="e" cm="1">
        <f t="array" ref="E9952">- AMLODIPINE BESILATE</f>
        <v>#NAME?</v>
      </c>
      <c r="F9952" t="s">
        <v>43998</v>
      </c>
      <c r="G9952" t="s">
        <v>7219</v>
      </c>
      <c r="H9952" t="s">
        <v>32274</v>
      </c>
      <c r="I9952" t="s">
        <v>43785</v>
      </c>
      <c r="J9952" t="s">
        <v>2327</v>
      </c>
      <c r="K9952" t="s">
        <v>2726</v>
      </c>
      <c r="L9952" t="s">
        <v>32277</v>
      </c>
      <c r="M9952" t="s">
        <v>291</v>
      </c>
      <c r="N9952" t="s">
        <v>2484</v>
      </c>
      <c r="O9952" t="s">
        <v>43786</v>
      </c>
      <c r="P9952" t="s">
        <v>43999</v>
      </c>
      <c r="Q9952" t="s">
        <v>44000</v>
      </c>
      <c r="R9952">
        <v>67</v>
      </c>
      <c r="S9952">
        <v>128</v>
      </c>
    </row>
    <row r="9953" spans="1:19" x14ac:dyDescent="0.35">
      <c r="A9953">
        <v>8932</v>
      </c>
      <c r="B9953" t="s">
        <v>43950</v>
      </c>
      <c r="C9953" t="s">
        <v>42</v>
      </c>
      <c r="D9953" t="s">
        <v>43951</v>
      </c>
      <c r="E9953" t="e" cm="1">
        <f t="array" ref="E9953">- AMLODIPINE BESILATE</f>
        <v>#NAME?</v>
      </c>
      <c r="F9953" t="s">
        <v>43952</v>
      </c>
      <c r="G9953" t="s">
        <v>7219</v>
      </c>
      <c r="H9953" t="s">
        <v>32274</v>
      </c>
      <c r="I9953" t="s">
        <v>43785</v>
      </c>
      <c r="J9953" t="s">
        <v>2478</v>
      </c>
      <c r="K9953" t="s">
        <v>2726</v>
      </c>
      <c r="L9953" t="s">
        <v>32277</v>
      </c>
      <c r="M9953" t="s">
        <v>46</v>
      </c>
      <c r="N9953" t="s">
        <v>2484</v>
      </c>
      <c r="O9953" t="s">
        <v>43786</v>
      </c>
      <c r="P9953" t="s">
        <v>43953</v>
      </c>
      <c r="Q9953" t="s">
        <v>43954</v>
      </c>
      <c r="R9953">
        <v>67</v>
      </c>
      <c r="S9953">
        <v>128</v>
      </c>
    </row>
    <row r="9954" spans="1:19" x14ac:dyDescent="0.35">
      <c r="A9954">
        <v>9657</v>
      </c>
      <c r="B9954" t="s">
        <v>44001</v>
      </c>
      <c r="C9954" t="s">
        <v>42</v>
      </c>
      <c r="D9954" t="s">
        <v>44002</v>
      </c>
      <c r="E9954" t="e" cm="1">
        <f t="array" ref="E9954">- AMLODIPINE BESILATE</f>
        <v>#NAME?</v>
      </c>
      <c r="F9954" t="s">
        <v>44003</v>
      </c>
      <c r="G9954" t="s">
        <v>7219</v>
      </c>
      <c r="H9954" t="s">
        <v>32274</v>
      </c>
      <c r="I9954" t="s">
        <v>43785</v>
      </c>
      <c r="J9954" t="s">
        <v>28177</v>
      </c>
      <c r="K9954" t="s">
        <v>2726</v>
      </c>
      <c r="L9954" t="s">
        <v>32277</v>
      </c>
      <c r="M9954" t="s">
        <v>291</v>
      </c>
      <c r="N9954" t="s">
        <v>2484</v>
      </c>
      <c r="O9954" t="s">
        <v>43786</v>
      </c>
      <c r="P9954" t="s">
        <v>43999</v>
      </c>
      <c r="Q9954" t="s">
        <v>44000</v>
      </c>
      <c r="R9954">
        <v>67</v>
      </c>
      <c r="S9954">
        <v>128</v>
      </c>
    </row>
    <row r="9955" spans="1:19" x14ac:dyDescent="0.35">
      <c r="A9955">
        <v>9201</v>
      </c>
      <c r="B9955" t="s">
        <v>44004</v>
      </c>
      <c r="C9955" t="s">
        <v>42</v>
      </c>
      <c r="D9955" t="s">
        <v>44005</v>
      </c>
      <c r="E9955" t="e" cm="1">
        <f t="array" ref="E9955">- AMLODIPINE BESILATE</f>
        <v>#NAME?</v>
      </c>
      <c r="F9955" t="s">
        <v>44006</v>
      </c>
      <c r="G9955" t="s">
        <v>60</v>
      </c>
      <c r="H9955" t="s">
        <v>32274</v>
      </c>
      <c r="I9955" t="s">
        <v>43785</v>
      </c>
      <c r="J9955" t="s">
        <v>1136</v>
      </c>
      <c r="K9955" t="s">
        <v>2726</v>
      </c>
      <c r="L9955" t="s">
        <v>32277</v>
      </c>
      <c r="M9955" t="s">
        <v>46</v>
      </c>
      <c r="N9955" t="s">
        <v>2484</v>
      </c>
      <c r="O9955" t="s">
        <v>43786</v>
      </c>
      <c r="P9955" t="s">
        <v>44007</v>
      </c>
      <c r="Q9955" t="s">
        <v>44008</v>
      </c>
      <c r="R9955">
        <v>67</v>
      </c>
      <c r="S9955">
        <v>128</v>
      </c>
    </row>
    <row r="9956" spans="1:19" x14ac:dyDescent="0.35">
      <c r="A9956">
        <v>9202</v>
      </c>
      <c r="B9956" t="s">
        <v>44004</v>
      </c>
      <c r="C9956" t="s">
        <v>42</v>
      </c>
      <c r="D9956" t="s">
        <v>44005</v>
      </c>
      <c r="E9956" t="e" cm="1">
        <f t="array" ref="E9956">- AMLODIPINE BESILATE</f>
        <v>#NAME?</v>
      </c>
      <c r="F9956" t="s">
        <v>44006</v>
      </c>
      <c r="G9956" t="s">
        <v>60</v>
      </c>
      <c r="H9956" t="s">
        <v>32274</v>
      </c>
      <c r="I9956" t="s">
        <v>43785</v>
      </c>
      <c r="J9956" t="s">
        <v>1136</v>
      </c>
      <c r="K9956" t="s">
        <v>2726</v>
      </c>
      <c r="L9956" t="s">
        <v>32277</v>
      </c>
      <c r="M9956" t="s">
        <v>46</v>
      </c>
      <c r="N9956" t="s">
        <v>2484</v>
      </c>
      <c r="O9956" t="s">
        <v>43786</v>
      </c>
      <c r="P9956" t="s">
        <v>44007</v>
      </c>
      <c r="Q9956" t="s">
        <v>44008</v>
      </c>
      <c r="R9956">
        <v>67</v>
      </c>
      <c r="S9956">
        <v>128</v>
      </c>
    </row>
    <row r="9957" spans="1:19" x14ac:dyDescent="0.35">
      <c r="A9957">
        <v>9203</v>
      </c>
      <c r="B9957" t="s">
        <v>44009</v>
      </c>
      <c r="C9957" t="s">
        <v>42</v>
      </c>
      <c r="D9957" t="s">
        <v>44010</v>
      </c>
      <c r="E9957" t="e" cm="1">
        <f t="array" ref="E9957">- AMLODIPINE BESILATE</f>
        <v>#NAME?</v>
      </c>
      <c r="F9957" t="s">
        <v>44011</v>
      </c>
      <c r="G9957" t="s">
        <v>7219</v>
      </c>
      <c r="H9957" t="s">
        <v>32274</v>
      </c>
      <c r="I9957" t="s">
        <v>43785</v>
      </c>
      <c r="J9957" t="s">
        <v>1136</v>
      </c>
      <c r="K9957" t="s">
        <v>2726</v>
      </c>
      <c r="L9957" t="s">
        <v>32277</v>
      </c>
      <c r="M9957" t="s">
        <v>46</v>
      </c>
      <c r="N9957" t="s">
        <v>2484</v>
      </c>
      <c r="O9957" t="s">
        <v>43786</v>
      </c>
      <c r="P9957" t="s">
        <v>44007</v>
      </c>
      <c r="Q9957" t="s">
        <v>44008</v>
      </c>
      <c r="R9957">
        <v>67</v>
      </c>
      <c r="S9957">
        <v>128</v>
      </c>
    </row>
    <row r="9958" spans="1:19" x14ac:dyDescent="0.35">
      <c r="A9958">
        <v>9204</v>
      </c>
      <c r="B9958" t="s">
        <v>44009</v>
      </c>
      <c r="C9958" t="s">
        <v>42</v>
      </c>
      <c r="D9958" t="s">
        <v>44010</v>
      </c>
      <c r="E9958" t="e" cm="1">
        <f t="array" ref="E9958">- AMLODIPINE BESILATE</f>
        <v>#NAME?</v>
      </c>
      <c r="F9958" t="s">
        <v>44011</v>
      </c>
      <c r="G9958" t="s">
        <v>7219</v>
      </c>
      <c r="H9958" t="s">
        <v>32274</v>
      </c>
      <c r="I9958" t="s">
        <v>43785</v>
      </c>
      <c r="J9958" t="s">
        <v>1136</v>
      </c>
      <c r="K9958" t="s">
        <v>2726</v>
      </c>
      <c r="L9958" t="s">
        <v>32277</v>
      </c>
      <c r="M9958" t="s">
        <v>46</v>
      </c>
      <c r="N9958" t="s">
        <v>2484</v>
      </c>
      <c r="O9958" t="s">
        <v>43786</v>
      </c>
      <c r="P9958" t="s">
        <v>44007</v>
      </c>
      <c r="Q9958" t="s">
        <v>44008</v>
      </c>
      <c r="R9958">
        <v>67</v>
      </c>
      <c r="S9958">
        <v>128</v>
      </c>
    </row>
    <row r="9959" spans="1:19" x14ac:dyDescent="0.35">
      <c r="A9959">
        <v>9213</v>
      </c>
      <c r="B9959" t="s">
        <v>44012</v>
      </c>
      <c r="C9959" t="s">
        <v>42</v>
      </c>
      <c r="D9959" t="s">
        <v>44013</v>
      </c>
      <c r="E9959" t="e" cm="1">
        <f t="array" ref="E9959">- AMLODIPINE BESILATE</f>
        <v>#NAME?</v>
      </c>
      <c r="F9959" t="s">
        <v>33447</v>
      </c>
      <c r="G9959" t="s">
        <v>7219</v>
      </c>
      <c r="H9959" t="s">
        <v>32274</v>
      </c>
      <c r="I9959" t="s">
        <v>43785</v>
      </c>
      <c r="J9959" t="s">
        <v>3761</v>
      </c>
      <c r="K9959" t="s">
        <v>2726</v>
      </c>
      <c r="L9959" t="s">
        <v>32277</v>
      </c>
      <c r="M9959" t="s">
        <v>291</v>
      </c>
      <c r="N9959" t="s">
        <v>2484</v>
      </c>
      <c r="O9959" t="s">
        <v>43786</v>
      </c>
      <c r="P9959" t="s">
        <v>44014</v>
      </c>
      <c r="Q9959" t="s">
        <v>44015</v>
      </c>
      <c r="R9959">
        <v>67</v>
      </c>
      <c r="S9959">
        <v>128</v>
      </c>
    </row>
    <row r="9960" spans="1:19" x14ac:dyDescent="0.35">
      <c r="A9960">
        <v>9214</v>
      </c>
      <c r="B9960" t="s">
        <v>44016</v>
      </c>
      <c r="C9960" t="s">
        <v>42</v>
      </c>
      <c r="D9960" t="s">
        <v>44017</v>
      </c>
      <c r="E9960" t="e" cm="1">
        <f t="array" ref="E9960">- AMLODIPINE BESILATE</f>
        <v>#NAME?</v>
      </c>
      <c r="F9960" t="s">
        <v>44018</v>
      </c>
      <c r="G9960" t="s">
        <v>60</v>
      </c>
      <c r="H9960" t="s">
        <v>32274</v>
      </c>
      <c r="I9960" t="s">
        <v>43785</v>
      </c>
      <c r="J9960" t="s">
        <v>599</v>
      </c>
      <c r="K9960" t="s">
        <v>2726</v>
      </c>
      <c r="L9960" t="s">
        <v>32277</v>
      </c>
      <c r="M9960" t="s">
        <v>46</v>
      </c>
      <c r="N9960" t="s">
        <v>2484</v>
      </c>
      <c r="O9960" t="s">
        <v>43786</v>
      </c>
      <c r="P9960" t="s">
        <v>44014</v>
      </c>
      <c r="Q9960" t="s">
        <v>44019</v>
      </c>
      <c r="R9960">
        <v>67</v>
      </c>
      <c r="S9960">
        <v>128</v>
      </c>
    </row>
    <row r="9961" spans="1:19" x14ac:dyDescent="0.35">
      <c r="A9961">
        <v>9219</v>
      </c>
      <c r="B9961" t="s">
        <v>44020</v>
      </c>
      <c r="C9961" t="s">
        <v>42</v>
      </c>
      <c r="D9961" t="s">
        <v>44021</v>
      </c>
      <c r="E9961" t="e" cm="1">
        <f t="array" ref="E9961">- AMLODIPINE BESILATE</f>
        <v>#NAME?</v>
      </c>
      <c r="F9961" t="s">
        <v>44022</v>
      </c>
      <c r="G9961" t="s">
        <v>7219</v>
      </c>
      <c r="H9961" t="s">
        <v>32274</v>
      </c>
      <c r="I9961" t="s">
        <v>43785</v>
      </c>
      <c r="J9961" t="s">
        <v>2478</v>
      </c>
      <c r="K9961" t="s">
        <v>2726</v>
      </c>
      <c r="L9961" t="s">
        <v>32277</v>
      </c>
      <c r="M9961" t="s">
        <v>46</v>
      </c>
      <c r="N9961" t="s">
        <v>2484</v>
      </c>
      <c r="O9961" t="s">
        <v>43786</v>
      </c>
      <c r="P9961" t="s">
        <v>43803</v>
      </c>
      <c r="Q9961" t="s">
        <v>44023</v>
      </c>
      <c r="R9961">
        <v>67</v>
      </c>
      <c r="S9961">
        <v>128</v>
      </c>
    </row>
    <row r="9962" spans="1:19" x14ac:dyDescent="0.35">
      <c r="A9962">
        <v>9246</v>
      </c>
      <c r="B9962" t="s">
        <v>44024</v>
      </c>
      <c r="C9962" t="s">
        <v>42</v>
      </c>
      <c r="D9962" t="s">
        <v>44025</v>
      </c>
      <c r="E9962" t="e" cm="1">
        <f t="array" ref="E9962">- AMLODIPINE BESILATE</f>
        <v>#NAME?</v>
      </c>
      <c r="F9962" t="s">
        <v>44026</v>
      </c>
      <c r="G9962" t="s">
        <v>7219</v>
      </c>
      <c r="H9962" t="s">
        <v>32274</v>
      </c>
      <c r="I9962" t="s">
        <v>43785</v>
      </c>
      <c r="J9962" t="s">
        <v>599</v>
      </c>
      <c r="K9962" t="s">
        <v>2726</v>
      </c>
      <c r="L9962" t="s">
        <v>32277</v>
      </c>
      <c r="M9962" t="s">
        <v>46</v>
      </c>
      <c r="N9962" t="s">
        <v>2484</v>
      </c>
      <c r="O9962" t="s">
        <v>43786</v>
      </c>
      <c r="P9962" t="s">
        <v>44027</v>
      </c>
      <c r="Q9962" t="s">
        <v>44028</v>
      </c>
      <c r="R9962">
        <v>67</v>
      </c>
      <c r="S9962">
        <v>128</v>
      </c>
    </row>
    <row r="9963" spans="1:19" x14ac:dyDescent="0.35">
      <c r="A9963">
        <v>9658</v>
      </c>
      <c r="B9963" t="s">
        <v>44001</v>
      </c>
      <c r="C9963" t="s">
        <v>42</v>
      </c>
      <c r="D9963" t="s">
        <v>44002</v>
      </c>
      <c r="E9963" t="e" cm="1">
        <f t="array" ref="E9963">- AMLODIPINE BESILATE</f>
        <v>#NAME?</v>
      </c>
      <c r="F9963" t="s">
        <v>44003</v>
      </c>
      <c r="G9963" t="s">
        <v>7219</v>
      </c>
      <c r="H9963" t="s">
        <v>32274</v>
      </c>
      <c r="I9963" t="s">
        <v>43785</v>
      </c>
      <c r="J9963" t="s">
        <v>28177</v>
      </c>
      <c r="K9963" t="s">
        <v>2726</v>
      </c>
      <c r="L9963" t="s">
        <v>32277</v>
      </c>
      <c r="M9963" t="s">
        <v>291</v>
      </c>
      <c r="N9963" t="s">
        <v>2484</v>
      </c>
      <c r="O9963" t="s">
        <v>43786</v>
      </c>
      <c r="P9963" t="s">
        <v>43999</v>
      </c>
      <c r="Q9963" t="s">
        <v>44000</v>
      </c>
      <c r="R9963">
        <v>67</v>
      </c>
      <c r="S9963">
        <v>128</v>
      </c>
    </row>
    <row r="9964" spans="1:19" x14ac:dyDescent="0.35">
      <c r="A9964">
        <v>9247</v>
      </c>
      <c r="B9964" t="s">
        <v>44024</v>
      </c>
      <c r="C9964" t="s">
        <v>42</v>
      </c>
      <c r="D9964" t="s">
        <v>44025</v>
      </c>
      <c r="E9964" t="e" cm="1">
        <f t="array" ref="E9964">- AMLODIPINE BESILATE</f>
        <v>#NAME?</v>
      </c>
      <c r="F9964" t="s">
        <v>44026</v>
      </c>
      <c r="G9964" t="s">
        <v>7219</v>
      </c>
      <c r="H9964" t="s">
        <v>32274</v>
      </c>
      <c r="I9964" t="s">
        <v>43785</v>
      </c>
      <c r="J9964" t="s">
        <v>599</v>
      </c>
      <c r="K9964" t="s">
        <v>2726</v>
      </c>
      <c r="L9964" t="s">
        <v>32277</v>
      </c>
      <c r="M9964" t="s">
        <v>46</v>
      </c>
      <c r="N9964" t="s">
        <v>2484</v>
      </c>
      <c r="O9964" t="s">
        <v>43786</v>
      </c>
      <c r="P9964" t="s">
        <v>44027</v>
      </c>
      <c r="Q9964" t="s">
        <v>44028</v>
      </c>
      <c r="R9964">
        <v>67</v>
      </c>
      <c r="S9964">
        <v>128</v>
      </c>
    </row>
    <row r="9965" spans="1:19" x14ac:dyDescent="0.35">
      <c r="A9965">
        <v>9259</v>
      </c>
      <c r="B9965" t="s">
        <v>44029</v>
      </c>
      <c r="C9965" t="s">
        <v>42</v>
      </c>
      <c r="D9965" t="s">
        <v>44030</v>
      </c>
      <c r="E9965" t="e" cm="1">
        <f t="array" ref="E9965">- AMLODIPINE BESILATE</f>
        <v>#NAME?</v>
      </c>
      <c r="F9965" t="s">
        <v>44031</v>
      </c>
      <c r="G9965" t="s">
        <v>44032</v>
      </c>
      <c r="H9965" t="s">
        <v>32274</v>
      </c>
      <c r="I9965" t="s">
        <v>43785</v>
      </c>
      <c r="J9965" t="s">
        <v>3761</v>
      </c>
      <c r="K9965" t="s">
        <v>2726</v>
      </c>
      <c r="L9965" t="s">
        <v>32277</v>
      </c>
      <c r="M9965" t="s">
        <v>291</v>
      </c>
      <c r="N9965" t="s">
        <v>2484</v>
      </c>
      <c r="O9965" t="s">
        <v>43786</v>
      </c>
      <c r="P9965" t="s">
        <v>2485</v>
      </c>
      <c r="Q9965" t="s">
        <v>44033</v>
      </c>
      <c r="R9965">
        <v>67</v>
      </c>
      <c r="S9965">
        <v>128</v>
      </c>
    </row>
    <row r="9966" spans="1:19" x14ac:dyDescent="0.35">
      <c r="A9966">
        <v>9260</v>
      </c>
      <c r="B9966" t="s">
        <v>44029</v>
      </c>
      <c r="C9966" t="s">
        <v>42</v>
      </c>
      <c r="D9966" t="s">
        <v>44030</v>
      </c>
      <c r="E9966" t="e" cm="1">
        <f t="array" ref="E9966">- AMLODIPINE BESILATE</f>
        <v>#NAME?</v>
      </c>
      <c r="F9966" t="s">
        <v>44031</v>
      </c>
      <c r="G9966" t="s">
        <v>44032</v>
      </c>
      <c r="H9966" t="s">
        <v>32274</v>
      </c>
      <c r="I9966" t="s">
        <v>43785</v>
      </c>
      <c r="J9966" t="s">
        <v>3761</v>
      </c>
      <c r="K9966" t="s">
        <v>2726</v>
      </c>
      <c r="L9966" t="s">
        <v>32277</v>
      </c>
      <c r="M9966" t="s">
        <v>291</v>
      </c>
      <c r="N9966" t="s">
        <v>2484</v>
      </c>
      <c r="O9966" t="s">
        <v>43786</v>
      </c>
      <c r="P9966" t="s">
        <v>2485</v>
      </c>
      <c r="Q9966" t="s">
        <v>44033</v>
      </c>
      <c r="R9966">
        <v>67</v>
      </c>
      <c r="S9966">
        <v>128</v>
      </c>
    </row>
    <row r="9967" spans="1:19" x14ac:dyDescent="0.35">
      <c r="A9967">
        <v>9271</v>
      </c>
      <c r="B9967" t="s">
        <v>44034</v>
      </c>
      <c r="C9967" t="s">
        <v>42</v>
      </c>
      <c r="D9967" t="s">
        <v>44035</v>
      </c>
      <c r="E9967" t="e" cm="1">
        <f t="array" ref="E9967">- AMLODIPINE BESILATE</f>
        <v>#NAME?</v>
      </c>
      <c r="F9967" t="s">
        <v>44036</v>
      </c>
      <c r="G9967" t="s">
        <v>60</v>
      </c>
      <c r="H9967" t="s">
        <v>32274</v>
      </c>
      <c r="I9967" t="s">
        <v>43785</v>
      </c>
      <c r="J9967" t="s">
        <v>599</v>
      </c>
      <c r="K9967" t="s">
        <v>2726</v>
      </c>
      <c r="L9967" t="s">
        <v>32277</v>
      </c>
      <c r="M9967" t="s">
        <v>46</v>
      </c>
      <c r="N9967" t="s">
        <v>2484</v>
      </c>
      <c r="O9967" t="s">
        <v>43786</v>
      </c>
      <c r="P9967" t="s">
        <v>44037</v>
      </c>
      <c r="Q9967" t="s">
        <v>44038</v>
      </c>
      <c r="R9967">
        <v>67</v>
      </c>
      <c r="S9967">
        <v>128</v>
      </c>
    </row>
    <row r="9968" spans="1:19" x14ac:dyDescent="0.35">
      <c r="A9968">
        <v>8996</v>
      </c>
      <c r="B9968" t="s">
        <v>44039</v>
      </c>
      <c r="C9968" t="s">
        <v>42</v>
      </c>
      <c r="D9968" t="s">
        <v>44040</v>
      </c>
      <c r="E9968" t="e" cm="1">
        <f t="array" ref="E9968">- AMLODIPINE BESILATE</f>
        <v>#NAME?</v>
      </c>
      <c r="F9968" t="s">
        <v>44041</v>
      </c>
      <c r="G9968" t="s">
        <v>7219</v>
      </c>
      <c r="H9968" t="s">
        <v>32274</v>
      </c>
      <c r="I9968" t="s">
        <v>43785</v>
      </c>
      <c r="J9968" t="s">
        <v>2478</v>
      </c>
      <c r="K9968" t="s">
        <v>2726</v>
      </c>
      <c r="L9968" t="s">
        <v>32277</v>
      </c>
      <c r="M9968" t="s">
        <v>46</v>
      </c>
      <c r="N9968" t="s">
        <v>2484</v>
      </c>
      <c r="O9968" t="s">
        <v>43786</v>
      </c>
      <c r="P9968" t="s">
        <v>44042</v>
      </c>
      <c r="Q9968" t="s">
        <v>44043</v>
      </c>
      <c r="R9968">
        <v>67</v>
      </c>
      <c r="S9968">
        <v>128</v>
      </c>
    </row>
    <row r="9969" spans="1:19" x14ac:dyDescent="0.35">
      <c r="A9969">
        <v>9652</v>
      </c>
      <c r="B9969" t="s">
        <v>44044</v>
      </c>
      <c r="C9969" t="s">
        <v>42</v>
      </c>
      <c r="D9969" t="s">
        <v>44045</v>
      </c>
      <c r="E9969" t="e" cm="1">
        <f t="array" ref="E9969">- AMLODIPINE BESILATE</f>
        <v>#NAME?</v>
      </c>
      <c r="F9969" t="s">
        <v>44046</v>
      </c>
      <c r="G9969" t="s">
        <v>60</v>
      </c>
      <c r="H9969" t="s">
        <v>32274</v>
      </c>
      <c r="I9969" t="s">
        <v>43785</v>
      </c>
      <c r="J9969" t="s">
        <v>599</v>
      </c>
      <c r="K9969" t="s">
        <v>2726</v>
      </c>
      <c r="L9969" t="s">
        <v>32277</v>
      </c>
      <c r="M9969" t="s">
        <v>46</v>
      </c>
      <c r="N9969" t="s">
        <v>2484</v>
      </c>
      <c r="O9969" t="s">
        <v>43786</v>
      </c>
      <c r="P9969" t="s">
        <v>44047</v>
      </c>
      <c r="Q9969" t="s">
        <v>44048</v>
      </c>
      <c r="R9969">
        <v>67</v>
      </c>
      <c r="S9969">
        <v>128</v>
      </c>
    </row>
    <row r="9970" spans="1:19" x14ac:dyDescent="0.35">
      <c r="A9970">
        <v>9273</v>
      </c>
      <c r="B9970" t="s">
        <v>44049</v>
      </c>
      <c r="C9970" t="s">
        <v>42</v>
      </c>
      <c r="D9970" t="s">
        <v>44050</v>
      </c>
      <c r="E9970" t="e" cm="1">
        <f t="array" ref="E9970">- AMLODIPINE BESILATE</f>
        <v>#NAME?</v>
      </c>
      <c r="F9970" t="s">
        <v>44051</v>
      </c>
      <c r="G9970" t="s">
        <v>7219</v>
      </c>
      <c r="H9970" t="s">
        <v>32274</v>
      </c>
      <c r="I9970" t="s">
        <v>43785</v>
      </c>
      <c r="J9970" t="s">
        <v>599</v>
      </c>
      <c r="K9970" t="s">
        <v>2726</v>
      </c>
      <c r="L9970" t="s">
        <v>32277</v>
      </c>
      <c r="M9970" t="s">
        <v>46</v>
      </c>
      <c r="N9970" t="s">
        <v>2484</v>
      </c>
      <c r="O9970" t="s">
        <v>43786</v>
      </c>
      <c r="P9970" t="s">
        <v>44037</v>
      </c>
      <c r="Q9970" t="s">
        <v>44038</v>
      </c>
      <c r="R9970">
        <v>67</v>
      </c>
      <c r="S9970">
        <v>128</v>
      </c>
    </row>
    <row r="9971" spans="1:19" x14ac:dyDescent="0.35">
      <c r="A9971">
        <v>8995</v>
      </c>
      <c r="B9971" t="s">
        <v>44039</v>
      </c>
      <c r="C9971" t="s">
        <v>42</v>
      </c>
      <c r="D9971" t="s">
        <v>44040</v>
      </c>
      <c r="E9971" t="e" cm="1">
        <f t="array" ref="E9971">- AMLODIPINE BESILATE</f>
        <v>#NAME?</v>
      </c>
      <c r="F9971" t="s">
        <v>44041</v>
      </c>
      <c r="G9971" t="s">
        <v>7219</v>
      </c>
      <c r="H9971" t="s">
        <v>32274</v>
      </c>
      <c r="I9971" t="s">
        <v>43785</v>
      </c>
      <c r="J9971" t="s">
        <v>2478</v>
      </c>
      <c r="K9971" t="s">
        <v>2726</v>
      </c>
      <c r="L9971" t="s">
        <v>32277</v>
      </c>
      <c r="M9971" t="s">
        <v>46</v>
      </c>
      <c r="N9971" t="s">
        <v>2484</v>
      </c>
      <c r="O9971" t="s">
        <v>43786</v>
      </c>
      <c r="P9971" t="s">
        <v>44042</v>
      </c>
      <c r="Q9971" t="s">
        <v>44043</v>
      </c>
      <c r="R9971">
        <v>67</v>
      </c>
      <c r="S9971">
        <v>128</v>
      </c>
    </row>
    <row r="9972" spans="1:19" x14ac:dyDescent="0.35">
      <c r="A9972">
        <v>8994</v>
      </c>
      <c r="B9972" t="s">
        <v>44052</v>
      </c>
      <c r="C9972" t="s">
        <v>42</v>
      </c>
      <c r="D9972" t="s">
        <v>44053</v>
      </c>
      <c r="E9972" t="e" cm="1">
        <f t="array" ref="E9972">- AMLODIPINE BESILATE</f>
        <v>#NAME?</v>
      </c>
      <c r="F9972" t="s">
        <v>44054</v>
      </c>
      <c r="G9972" t="s">
        <v>60</v>
      </c>
      <c r="H9972" t="s">
        <v>32274</v>
      </c>
      <c r="I9972" t="s">
        <v>43785</v>
      </c>
      <c r="J9972" t="s">
        <v>2478</v>
      </c>
      <c r="K9972" t="s">
        <v>2726</v>
      </c>
      <c r="L9972" t="s">
        <v>32277</v>
      </c>
      <c r="M9972" t="s">
        <v>46</v>
      </c>
      <c r="N9972" t="s">
        <v>2484</v>
      </c>
      <c r="O9972" t="s">
        <v>43786</v>
      </c>
      <c r="P9972" t="s">
        <v>43958</v>
      </c>
      <c r="Q9972" t="s">
        <v>43959</v>
      </c>
      <c r="R9972">
        <v>67</v>
      </c>
      <c r="S9972">
        <v>128</v>
      </c>
    </row>
    <row r="9973" spans="1:19" x14ac:dyDescent="0.35">
      <c r="A9973">
        <v>9300</v>
      </c>
      <c r="B9973" t="s">
        <v>43971</v>
      </c>
      <c r="C9973" t="s">
        <v>42</v>
      </c>
      <c r="D9973" t="s">
        <v>43972</v>
      </c>
      <c r="E9973" t="e" cm="1">
        <f t="array" ref="E9973">- AMLODIPINE BESILATE</f>
        <v>#NAME?</v>
      </c>
      <c r="F9973" t="s">
        <v>43973</v>
      </c>
      <c r="G9973" t="s">
        <v>7219</v>
      </c>
      <c r="H9973" t="s">
        <v>32274</v>
      </c>
      <c r="I9973" t="s">
        <v>43785</v>
      </c>
      <c r="J9973" t="s">
        <v>599</v>
      </c>
      <c r="K9973" t="s">
        <v>2726</v>
      </c>
      <c r="L9973" t="s">
        <v>32277</v>
      </c>
      <c r="M9973" t="s">
        <v>46</v>
      </c>
      <c r="N9973" t="s">
        <v>2484</v>
      </c>
      <c r="O9973" t="s">
        <v>43786</v>
      </c>
      <c r="P9973" t="s">
        <v>43842</v>
      </c>
      <c r="Q9973" t="s">
        <v>43941</v>
      </c>
      <c r="R9973">
        <v>67</v>
      </c>
      <c r="S9973">
        <v>128</v>
      </c>
    </row>
    <row r="9974" spans="1:19" x14ac:dyDescent="0.35">
      <c r="A9974">
        <v>9272</v>
      </c>
      <c r="B9974" t="s">
        <v>44049</v>
      </c>
      <c r="C9974" t="s">
        <v>42</v>
      </c>
      <c r="D9974" t="s">
        <v>44050</v>
      </c>
      <c r="E9974" t="e" cm="1">
        <f t="array" ref="E9974">- AMLODIPINE BESILATE</f>
        <v>#NAME?</v>
      </c>
      <c r="F9974" t="s">
        <v>44051</v>
      </c>
      <c r="G9974" t="s">
        <v>7219</v>
      </c>
      <c r="H9974" t="s">
        <v>32274</v>
      </c>
      <c r="I9974" t="s">
        <v>43785</v>
      </c>
      <c r="J9974" t="s">
        <v>599</v>
      </c>
      <c r="K9974" t="s">
        <v>2726</v>
      </c>
      <c r="L9974" t="s">
        <v>32277</v>
      </c>
      <c r="M9974" t="s">
        <v>46</v>
      </c>
      <c r="N9974" t="s">
        <v>2484</v>
      </c>
      <c r="O9974" t="s">
        <v>43786</v>
      </c>
      <c r="P9974" t="s">
        <v>44037</v>
      </c>
      <c r="Q9974" t="s">
        <v>44038</v>
      </c>
      <c r="R9974">
        <v>67</v>
      </c>
      <c r="S9974">
        <v>128</v>
      </c>
    </row>
    <row r="9975" spans="1:19" x14ac:dyDescent="0.35">
      <c r="A9975">
        <v>8902</v>
      </c>
      <c r="B9975" t="s">
        <v>44055</v>
      </c>
      <c r="C9975" t="s">
        <v>42</v>
      </c>
      <c r="D9975" t="s">
        <v>44056</v>
      </c>
      <c r="E9975" t="e" cm="1">
        <f t="array" ref="E9975">- AMLODIPINE BESILATE</f>
        <v>#NAME?</v>
      </c>
      <c r="F9975" t="s">
        <v>44057</v>
      </c>
      <c r="G9975" t="s">
        <v>6869</v>
      </c>
      <c r="H9975" t="s">
        <v>32274</v>
      </c>
      <c r="I9975" t="s">
        <v>44058</v>
      </c>
      <c r="J9975" t="s">
        <v>532</v>
      </c>
      <c r="K9975" t="s">
        <v>2726</v>
      </c>
      <c r="L9975" t="s">
        <v>32277</v>
      </c>
      <c r="M9975" t="s">
        <v>46</v>
      </c>
      <c r="N9975" t="s">
        <v>2484</v>
      </c>
      <c r="O9975" t="s">
        <v>44059</v>
      </c>
      <c r="P9975" t="s">
        <v>1014</v>
      </c>
      <c r="Q9975" t="s">
        <v>44060</v>
      </c>
      <c r="R9975">
        <v>68</v>
      </c>
      <c r="S9975">
        <v>128</v>
      </c>
    </row>
    <row r="9976" spans="1:19" x14ac:dyDescent="0.35">
      <c r="A9976">
        <v>8984</v>
      </c>
      <c r="B9976" t="s">
        <v>44061</v>
      </c>
      <c r="C9976" t="s">
        <v>42</v>
      </c>
      <c r="D9976" t="s">
        <v>44062</v>
      </c>
      <c r="E9976" t="e" cm="1">
        <f t="array" ref="E9976">- AMLODIPINE BESILATE</f>
        <v>#NAME?</v>
      </c>
      <c r="F9976" t="s">
        <v>44063</v>
      </c>
      <c r="G9976" t="s">
        <v>7219</v>
      </c>
      <c r="H9976" t="s">
        <v>32274</v>
      </c>
      <c r="I9976" t="s">
        <v>43785</v>
      </c>
      <c r="J9976" t="s">
        <v>599</v>
      </c>
      <c r="K9976" t="s">
        <v>2726</v>
      </c>
      <c r="L9976" t="s">
        <v>32277</v>
      </c>
      <c r="M9976" t="s">
        <v>46</v>
      </c>
      <c r="N9976" t="s">
        <v>2484</v>
      </c>
      <c r="O9976" t="s">
        <v>43786</v>
      </c>
      <c r="P9976" t="s">
        <v>44064</v>
      </c>
      <c r="Q9976" t="s">
        <v>44065</v>
      </c>
      <c r="R9976">
        <v>68</v>
      </c>
      <c r="S9976">
        <v>128</v>
      </c>
    </row>
    <row r="9977" spans="1:19" x14ac:dyDescent="0.35">
      <c r="A9977">
        <v>8985</v>
      </c>
      <c r="B9977" t="s">
        <v>44061</v>
      </c>
      <c r="C9977" t="s">
        <v>42</v>
      </c>
      <c r="D9977" t="s">
        <v>44062</v>
      </c>
      <c r="E9977" t="e" cm="1">
        <f t="array" ref="E9977">- AMLODIPINE BESILATE</f>
        <v>#NAME?</v>
      </c>
      <c r="F9977" t="s">
        <v>44063</v>
      </c>
      <c r="G9977" t="s">
        <v>7219</v>
      </c>
      <c r="H9977" t="s">
        <v>32274</v>
      </c>
      <c r="I9977" t="s">
        <v>43785</v>
      </c>
      <c r="J9977" t="s">
        <v>599</v>
      </c>
      <c r="K9977" t="s">
        <v>2726</v>
      </c>
      <c r="L9977" t="s">
        <v>32277</v>
      </c>
      <c r="M9977" t="s">
        <v>46</v>
      </c>
      <c r="N9977" t="s">
        <v>2484</v>
      </c>
      <c r="O9977" t="s">
        <v>43786</v>
      </c>
      <c r="P9977" t="s">
        <v>44064</v>
      </c>
      <c r="Q9977" t="s">
        <v>44065</v>
      </c>
      <c r="R9977">
        <v>68</v>
      </c>
      <c r="S9977">
        <v>128</v>
      </c>
    </row>
    <row r="9978" spans="1:19" x14ac:dyDescent="0.35">
      <c r="A9978">
        <v>9506</v>
      </c>
      <c r="B9978" t="s">
        <v>6301</v>
      </c>
      <c r="C9978" t="s">
        <v>42</v>
      </c>
      <c r="D9978" t="s">
        <v>44066</v>
      </c>
      <c r="E9978" t="s">
        <v>6303</v>
      </c>
      <c r="F9978" t="s">
        <v>44067</v>
      </c>
      <c r="G9978" t="s">
        <v>42759</v>
      </c>
      <c r="I9978" t="s">
        <v>44068</v>
      </c>
      <c r="J9978" t="s">
        <v>42761</v>
      </c>
      <c r="L9978" t="s">
        <v>42795</v>
      </c>
      <c r="M9978" t="s">
        <v>46</v>
      </c>
      <c r="N9978" t="s">
        <v>6304</v>
      </c>
      <c r="O9978" t="s">
        <v>44069</v>
      </c>
      <c r="P9978" t="s">
        <v>44070</v>
      </c>
      <c r="Q9978" t="s">
        <v>44071</v>
      </c>
      <c r="R9978">
        <v>68</v>
      </c>
      <c r="S9978">
        <v>128</v>
      </c>
    </row>
    <row r="9979" spans="1:19" x14ac:dyDescent="0.35">
      <c r="A9979">
        <v>8986</v>
      </c>
      <c r="B9979" t="s">
        <v>44072</v>
      </c>
      <c r="C9979" t="s">
        <v>42</v>
      </c>
      <c r="D9979" t="s">
        <v>44073</v>
      </c>
      <c r="E9979" t="e" cm="1">
        <f t="array" ref="E9979">- AMLODIPINE BESILATE</f>
        <v>#NAME?</v>
      </c>
      <c r="F9979" t="s">
        <v>44074</v>
      </c>
      <c r="G9979" t="s">
        <v>7219</v>
      </c>
      <c r="H9979" t="s">
        <v>32274</v>
      </c>
      <c r="I9979" t="s">
        <v>43785</v>
      </c>
      <c r="J9979" t="s">
        <v>599</v>
      </c>
      <c r="K9979" t="s">
        <v>2726</v>
      </c>
      <c r="L9979" t="s">
        <v>32277</v>
      </c>
      <c r="M9979" t="s">
        <v>46</v>
      </c>
      <c r="N9979" t="s">
        <v>2484</v>
      </c>
      <c r="O9979" t="s">
        <v>43786</v>
      </c>
      <c r="P9979" t="s">
        <v>44064</v>
      </c>
      <c r="Q9979" t="s">
        <v>44065</v>
      </c>
      <c r="R9979">
        <v>68</v>
      </c>
      <c r="S9979">
        <v>128</v>
      </c>
    </row>
    <row r="9980" spans="1:19" x14ac:dyDescent="0.35">
      <c r="A9980">
        <v>8987</v>
      </c>
      <c r="B9980" t="s">
        <v>44072</v>
      </c>
      <c r="C9980" t="s">
        <v>42</v>
      </c>
      <c r="D9980" t="s">
        <v>44073</v>
      </c>
      <c r="E9980" t="e" cm="1">
        <f t="array" ref="E9980">- AMLODIPINE BESILATE</f>
        <v>#NAME?</v>
      </c>
      <c r="F9980" t="s">
        <v>44074</v>
      </c>
      <c r="G9980" t="s">
        <v>7219</v>
      </c>
      <c r="H9980" t="s">
        <v>32274</v>
      </c>
      <c r="I9980" t="s">
        <v>43785</v>
      </c>
      <c r="J9980" t="s">
        <v>599</v>
      </c>
      <c r="K9980" t="s">
        <v>2726</v>
      </c>
      <c r="L9980" t="s">
        <v>32277</v>
      </c>
      <c r="M9980" t="s">
        <v>46</v>
      </c>
      <c r="N9980" t="s">
        <v>2484</v>
      </c>
      <c r="O9980" t="s">
        <v>43786</v>
      </c>
      <c r="P9980" t="s">
        <v>44064</v>
      </c>
      <c r="Q9980" t="s">
        <v>44065</v>
      </c>
      <c r="R9980">
        <v>68</v>
      </c>
      <c r="S9980">
        <v>128</v>
      </c>
    </row>
    <row r="9981" spans="1:19" x14ac:dyDescent="0.35">
      <c r="A9981">
        <v>8898</v>
      </c>
      <c r="B9981" t="s">
        <v>44075</v>
      </c>
      <c r="C9981" t="s">
        <v>42</v>
      </c>
      <c r="D9981" t="s">
        <v>44076</v>
      </c>
      <c r="E9981" t="e" cm="1">
        <f t="array" ref="E9981">- AMLODIPINE BESILATE</f>
        <v>#NAME?</v>
      </c>
      <c r="F9981" t="s">
        <v>44077</v>
      </c>
      <c r="G9981" t="s">
        <v>7219</v>
      </c>
      <c r="H9981" t="s">
        <v>32274</v>
      </c>
      <c r="I9981" t="s">
        <v>44058</v>
      </c>
      <c r="J9981" t="s">
        <v>9200</v>
      </c>
      <c r="K9981" t="s">
        <v>2726</v>
      </c>
      <c r="L9981" t="s">
        <v>32277</v>
      </c>
      <c r="M9981" t="s">
        <v>46</v>
      </c>
      <c r="N9981" t="s">
        <v>2484</v>
      </c>
      <c r="O9981" t="s">
        <v>44059</v>
      </c>
      <c r="P9981" t="s">
        <v>1014</v>
      </c>
      <c r="Q9981" t="s">
        <v>44060</v>
      </c>
      <c r="R9981">
        <v>68</v>
      </c>
      <c r="S9981">
        <v>128</v>
      </c>
    </row>
    <row r="9982" spans="1:19" x14ac:dyDescent="0.35">
      <c r="A9982">
        <v>8901</v>
      </c>
      <c r="B9982" t="s">
        <v>44055</v>
      </c>
      <c r="C9982" t="s">
        <v>42</v>
      </c>
      <c r="D9982" t="s">
        <v>44056</v>
      </c>
      <c r="E9982" t="e" cm="1">
        <f t="array" ref="E9982">- AMLODIPINE BESILATE</f>
        <v>#NAME?</v>
      </c>
      <c r="F9982" t="s">
        <v>44057</v>
      </c>
      <c r="G9982" t="s">
        <v>6869</v>
      </c>
      <c r="H9982" t="s">
        <v>32274</v>
      </c>
      <c r="I9982" t="s">
        <v>44058</v>
      </c>
      <c r="J9982" t="s">
        <v>532</v>
      </c>
      <c r="K9982" t="s">
        <v>2726</v>
      </c>
      <c r="L9982" t="s">
        <v>32277</v>
      </c>
      <c r="M9982" t="s">
        <v>46</v>
      </c>
      <c r="N9982" t="s">
        <v>2484</v>
      </c>
      <c r="O9982" t="s">
        <v>44059</v>
      </c>
      <c r="P9982" t="s">
        <v>1014</v>
      </c>
      <c r="Q9982" t="s">
        <v>44060</v>
      </c>
      <c r="R9982">
        <v>68</v>
      </c>
      <c r="S9982">
        <v>128</v>
      </c>
    </row>
    <row r="9983" spans="1:19" x14ac:dyDescent="0.35">
      <c r="A9983">
        <v>9498</v>
      </c>
      <c r="B9983" t="s">
        <v>6301</v>
      </c>
      <c r="C9983" t="s">
        <v>42</v>
      </c>
      <c r="D9983" t="s">
        <v>44078</v>
      </c>
      <c r="E9983" t="s">
        <v>6303</v>
      </c>
      <c r="F9983" t="s">
        <v>44079</v>
      </c>
      <c r="G9983" t="s">
        <v>42759</v>
      </c>
      <c r="I9983" t="s">
        <v>44080</v>
      </c>
      <c r="J9983" t="s">
        <v>42941</v>
      </c>
      <c r="L9983" t="s">
        <v>42795</v>
      </c>
      <c r="M9983" t="s">
        <v>46</v>
      </c>
      <c r="N9983" t="s">
        <v>6304</v>
      </c>
      <c r="O9983" t="s">
        <v>44081</v>
      </c>
      <c r="P9983" t="s">
        <v>44082</v>
      </c>
      <c r="Q9983" t="s">
        <v>44083</v>
      </c>
      <c r="R9983">
        <v>68</v>
      </c>
      <c r="S9983">
        <v>128</v>
      </c>
    </row>
    <row r="9984" spans="1:19" x14ac:dyDescent="0.35">
      <c r="A9984">
        <v>8900</v>
      </c>
      <c r="B9984" t="s">
        <v>44055</v>
      </c>
      <c r="C9984" t="s">
        <v>42</v>
      </c>
      <c r="D9984" t="s">
        <v>44056</v>
      </c>
      <c r="E9984" t="e" cm="1">
        <f t="array" ref="E9984">- AMLODIPINE BESILATE</f>
        <v>#NAME?</v>
      </c>
      <c r="F9984" t="s">
        <v>44057</v>
      </c>
      <c r="G9984" t="s">
        <v>6869</v>
      </c>
      <c r="H9984" t="s">
        <v>32274</v>
      </c>
      <c r="I9984" t="s">
        <v>44058</v>
      </c>
      <c r="J9984" t="s">
        <v>532</v>
      </c>
      <c r="K9984" t="s">
        <v>2726</v>
      </c>
      <c r="L9984" t="s">
        <v>32277</v>
      </c>
      <c r="M9984" t="s">
        <v>46</v>
      </c>
      <c r="N9984" t="s">
        <v>2484</v>
      </c>
      <c r="O9984" t="s">
        <v>44059</v>
      </c>
      <c r="P9984" t="s">
        <v>1014</v>
      </c>
      <c r="Q9984" t="s">
        <v>44060</v>
      </c>
      <c r="R9984">
        <v>68</v>
      </c>
      <c r="S9984">
        <v>128</v>
      </c>
    </row>
    <row r="9985" spans="1:19" x14ac:dyDescent="0.35">
      <c r="A9985">
        <v>7493</v>
      </c>
      <c r="B9985" t="s">
        <v>44084</v>
      </c>
      <c r="C9985" t="s">
        <v>20</v>
      </c>
      <c r="D9985" t="s">
        <v>44085</v>
      </c>
      <c r="E9985" t="s">
        <v>44086</v>
      </c>
      <c r="F9985" t="s">
        <v>44087</v>
      </c>
      <c r="G9985" t="s">
        <v>737</v>
      </c>
      <c r="H9985" t="s">
        <v>44088</v>
      </c>
      <c r="I9985" t="s">
        <v>44089</v>
      </c>
      <c r="J9985" t="s">
        <v>70</v>
      </c>
      <c r="M9985" t="s">
        <v>38</v>
      </c>
      <c r="N9985" t="s">
        <v>44090</v>
      </c>
      <c r="O9985" t="s">
        <v>44091</v>
      </c>
      <c r="P9985" t="s">
        <v>44092</v>
      </c>
      <c r="Q9985" t="s">
        <v>44093</v>
      </c>
      <c r="R9985">
        <v>68</v>
      </c>
      <c r="S9985">
        <v>128</v>
      </c>
    </row>
    <row r="9986" spans="1:19" x14ac:dyDescent="0.35">
      <c r="A9986">
        <v>9486</v>
      </c>
      <c r="B9986" t="s">
        <v>6301</v>
      </c>
      <c r="C9986" t="s">
        <v>42</v>
      </c>
      <c r="D9986" t="s">
        <v>44094</v>
      </c>
      <c r="E9986" t="s">
        <v>6303</v>
      </c>
      <c r="F9986" s="1">
        <v>489400</v>
      </c>
      <c r="G9986" t="s">
        <v>42759</v>
      </c>
      <c r="I9986" t="s">
        <v>44095</v>
      </c>
      <c r="J9986" t="s">
        <v>44096</v>
      </c>
      <c r="L9986" t="s">
        <v>42762</v>
      </c>
      <c r="M9986" t="s">
        <v>46</v>
      </c>
      <c r="N9986" t="s">
        <v>6304</v>
      </c>
      <c r="O9986" t="s">
        <v>44097</v>
      </c>
      <c r="P9986" t="s">
        <v>44098</v>
      </c>
      <c r="Q9986" t="s">
        <v>44099</v>
      </c>
      <c r="R9986">
        <v>68</v>
      </c>
      <c r="S9986">
        <v>128</v>
      </c>
    </row>
    <row r="9987" spans="1:19" x14ac:dyDescent="0.35">
      <c r="A9987">
        <v>9487</v>
      </c>
      <c r="B9987" t="s">
        <v>6301</v>
      </c>
      <c r="C9987" t="s">
        <v>42</v>
      </c>
      <c r="D9987" t="s">
        <v>44100</v>
      </c>
      <c r="E9987" t="s">
        <v>6303</v>
      </c>
      <c r="F9987" s="1">
        <v>252800</v>
      </c>
      <c r="G9987" t="s">
        <v>42759</v>
      </c>
      <c r="I9987" t="s">
        <v>44101</v>
      </c>
      <c r="J9987" t="s">
        <v>42761</v>
      </c>
      <c r="L9987" t="s">
        <v>42762</v>
      </c>
      <c r="M9987" t="s">
        <v>46</v>
      </c>
      <c r="N9987" t="s">
        <v>6304</v>
      </c>
      <c r="O9987" t="s">
        <v>44102</v>
      </c>
      <c r="P9987" t="s">
        <v>44103</v>
      </c>
      <c r="Q9987" t="s">
        <v>44104</v>
      </c>
      <c r="R9987">
        <v>68</v>
      </c>
      <c r="S9987">
        <v>128</v>
      </c>
    </row>
    <row r="9988" spans="1:19" x14ac:dyDescent="0.35">
      <c r="A9988">
        <v>8899</v>
      </c>
      <c r="B9988" t="s">
        <v>44075</v>
      </c>
      <c r="C9988" t="s">
        <v>42</v>
      </c>
      <c r="D9988" t="s">
        <v>44076</v>
      </c>
      <c r="E9988" t="e" cm="1">
        <f t="array" ref="E9988">- AMLODIPINE BESILATE</f>
        <v>#NAME?</v>
      </c>
      <c r="F9988" t="s">
        <v>44077</v>
      </c>
      <c r="G9988" t="s">
        <v>7219</v>
      </c>
      <c r="H9988" t="s">
        <v>32274</v>
      </c>
      <c r="I9988" t="s">
        <v>44058</v>
      </c>
      <c r="J9988" t="s">
        <v>9200</v>
      </c>
      <c r="K9988" t="s">
        <v>2726</v>
      </c>
      <c r="L9988" t="s">
        <v>32277</v>
      </c>
      <c r="M9988" t="s">
        <v>46</v>
      </c>
      <c r="N9988" t="s">
        <v>2484</v>
      </c>
      <c r="O9988" t="s">
        <v>44059</v>
      </c>
      <c r="P9988" t="s">
        <v>1014</v>
      </c>
      <c r="Q9988" t="s">
        <v>44060</v>
      </c>
      <c r="R9988">
        <v>68</v>
      </c>
      <c r="S9988">
        <v>128</v>
      </c>
    </row>
    <row r="9989" spans="1:19" x14ac:dyDescent="0.35">
      <c r="A9989">
        <v>9372</v>
      </c>
      <c r="B9989" t="s">
        <v>6301</v>
      </c>
      <c r="C9989" t="s">
        <v>42</v>
      </c>
      <c r="D9989" t="s">
        <v>44105</v>
      </c>
      <c r="E9989" t="s">
        <v>6303</v>
      </c>
      <c r="F9989" t="s">
        <v>44106</v>
      </c>
      <c r="G9989" t="s">
        <v>42759</v>
      </c>
      <c r="I9989" t="s">
        <v>44107</v>
      </c>
      <c r="J9989" t="s">
        <v>42761</v>
      </c>
      <c r="L9989" t="s">
        <v>42795</v>
      </c>
      <c r="M9989" t="s">
        <v>46</v>
      </c>
      <c r="N9989" t="s">
        <v>6304</v>
      </c>
      <c r="O9989" t="s">
        <v>44108</v>
      </c>
      <c r="P9989" t="s">
        <v>44109</v>
      </c>
      <c r="Q9989" t="s">
        <v>44110</v>
      </c>
      <c r="R9989">
        <v>68</v>
      </c>
      <c r="S9989">
        <v>128</v>
      </c>
    </row>
    <row r="9990" spans="1:19" x14ac:dyDescent="0.35">
      <c r="A9990">
        <v>9371</v>
      </c>
      <c r="B9990" t="s">
        <v>6301</v>
      </c>
      <c r="C9990" t="s">
        <v>42</v>
      </c>
      <c r="D9990" t="s">
        <v>44111</v>
      </c>
      <c r="E9990" t="s">
        <v>6303</v>
      </c>
      <c r="F9990" t="s">
        <v>44112</v>
      </c>
      <c r="G9990" t="s">
        <v>42759</v>
      </c>
      <c r="I9990" t="s">
        <v>44113</v>
      </c>
      <c r="J9990" t="s">
        <v>43586</v>
      </c>
      <c r="L9990" t="s">
        <v>42795</v>
      </c>
      <c r="M9990" t="s">
        <v>46</v>
      </c>
      <c r="N9990" t="s">
        <v>6304</v>
      </c>
      <c r="O9990" t="s">
        <v>44114</v>
      </c>
      <c r="P9990" t="s">
        <v>44115</v>
      </c>
      <c r="Q9990" t="s">
        <v>44116</v>
      </c>
      <c r="R9990">
        <v>68</v>
      </c>
      <c r="S9990">
        <v>128</v>
      </c>
    </row>
    <row r="9991" spans="1:19" x14ac:dyDescent="0.35">
      <c r="A9991">
        <v>9507</v>
      </c>
      <c r="B9991" t="s">
        <v>6301</v>
      </c>
      <c r="C9991" t="s">
        <v>42</v>
      </c>
      <c r="D9991" t="s">
        <v>44117</v>
      </c>
      <c r="E9991" t="s">
        <v>6303</v>
      </c>
      <c r="F9991" t="s">
        <v>44067</v>
      </c>
      <c r="G9991" t="s">
        <v>42759</v>
      </c>
      <c r="I9991" t="s">
        <v>44118</v>
      </c>
      <c r="J9991" t="s">
        <v>42761</v>
      </c>
      <c r="L9991" t="s">
        <v>42795</v>
      </c>
      <c r="M9991" t="s">
        <v>46</v>
      </c>
      <c r="N9991" t="s">
        <v>6304</v>
      </c>
      <c r="O9991" t="s">
        <v>44119</v>
      </c>
      <c r="P9991" t="s">
        <v>44120</v>
      </c>
      <c r="Q9991" t="s">
        <v>44121</v>
      </c>
      <c r="R9991">
        <v>68</v>
      </c>
      <c r="S9991">
        <v>128</v>
      </c>
    </row>
    <row r="9992" spans="1:19" x14ac:dyDescent="0.35">
      <c r="A9992">
        <v>9456</v>
      </c>
      <c r="B9992" t="s">
        <v>6301</v>
      </c>
      <c r="C9992" t="s">
        <v>42</v>
      </c>
      <c r="D9992" t="s">
        <v>44122</v>
      </c>
      <c r="E9992" t="s">
        <v>6303</v>
      </c>
      <c r="F9992" t="s">
        <v>44123</v>
      </c>
      <c r="G9992" t="s">
        <v>42759</v>
      </c>
      <c r="I9992" t="s">
        <v>44124</v>
      </c>
      <c r="J9992" t="s">
        <v>42761</v>
      </c>
      <c r="L9992" t="s">
        <v>42795</v>
      </c>
      <c r="M9992" t="s">
        <v>46</v>
      </c>
      <c r="N9992" t="s">
        <v>6304</v>
      </c>
      <c r="O9992" t="s">
        <v>44125</v>
      </c>
      <c r="P9992" t="s">
        <v>44126</v>
      </c>
      <c r="Q9992" t="s">
        <v>44127</v>
      </c>
      <c r="R9992">
        <v>68</v>
      </c>
      <c r="S9992">
        <v>128</v>
      </c>
    </row>
    <row r="9993" spans="1:19" x14ac:dyDescent="0.35">
      <c r="A9993">
        <v>9406</v>
      </c>
      <c r="B9993" t="s">
        <v>6301</v>
      </c>
      <c r="C9993" t="s">
        <v>42</v>
      </c>
      <c r="D9993" t="s">
        <v>44128</v>
      </c>
      <c r="E9993" t="s">
        <v>6303</v>
      </c>
      <c r="F9993" s="1">
        <v>140000</v>
      </c>
      <c r="G9993" t="s">
        <v>42759</v>
      </c>
      <c r="I9993" t="s">
        <v>44129</v>
      </c>
      <c r="J9993" t="s">
        <v>42761</v>
      </c>
      <c r="L9993" t="s">
        <v>42847</v>
      </c>
      <c r="M9993" t="s">
        <v>46</v>
      </c>
      <c r="N9993" t="s">
        <v>6304</v>
      </c>
      <c r="O9993" t="s">
        <v>44130</v>
      </c>
      <c r="P9993" t="s">
        <v>44131</v>
      </c>
      <c r="Q9993" t="s">
        <v>44132</v>
      </c>
      <c r="R9993">
        <v>69</v>
      </c>
      <c r="S9993">
        <v>128</v>
      </c>
    </row>
    <row r="9994" spans="1:19" x14ac:dyDescent="0.35">
      <c r="A9994">
        <v>9405</v>
      </c>
      <c r="B9994" t="s">
        <v>6301</v>
      </c>
      <c r="C9994" t="s">
        <v>42</v>
      </c>
      <c r="D9994" t="s">
        <v>44133</v>
      </c>
      <c r="E9994" t="s">
        <v>6303</v>
      </c>
      <c r="F9994" s="1">
        <v>140000</v>
      </c>
      <c r="G9994" t="s">
        <v>42759</v>
      </c>
      <c r="I9994" t="s">
        <v>44134</v>
      </c>
      <c r="J9994" t="s">
        <v>42761</v>
      </c>
      <c r="L9994" t="s">
        <v>42847</v>
      </c>
      <c r="M9994" t="s">
        <v>46</v>
      </c>
      <c r="N9994" t="s">
        <v>6304</v>
      </c>
      <c r="O9994" t="s">
        <v>44135</v>
      </c>
      <c r="P9994" t="s">
        <v>44136</v>
      </c>
      <c r="Q9994" t="s">
        <v>44137</v>
      </c>
      <c r="R9994">
        <v>69</v>
      </c>
      <c r="S9994">
        <v>128</v>
      </c>
    </row>
    <row r="9995" spans="1:19" x14ac:dyDescent="0.35">
      <c r="A9995">
        <v>7713</v>
      </c>
      <c r="B9995" t="s">
        <v>44138</v>
      </c>
      <c r="C9995" t="s">
        <v>20</v>
      </c>
      <c r="D9995" t="s">
        <v>44139</v>
      </c>
      <c r="E9995" t="s">
        <v>44140</v>
      </c>
      <c r="F9995" t="s">
        <v>44141</v>
      </c>
      <c r="H9995" t="s">
        <v>9899</v>
      </c>
      <c r="I9995" t="s">
        <v>44142</v>
      </c>
      <c r="J9995" t="s">
        <v>15976</v>
      </c>
      <c r="L9995" t="s">
        <v>44143</v>
      </c>
      <c r="M9995" t="s">
        <v>46</v>
      </c>
      <c r="N9995" t="s">
        <v>44144</v>
      </c>
      <c r="O9995" t="s">
        <v>44145</v>
      </c>
      <c r="P9995" t="s">
        <v>44146</v>
      </c>
      <c r="Q9995" t="s">
        <v>44147</v>
      </c>
      <c r="R9995">
        <v>69</v>
      </c>
      <c r="S9995">
        <v>128</v>
      </c>
    </row>
    <row r="9996" spans="1:19" x14ac:dyDescent="0.35">
      <c r="A9996">
        <v>9404</v>
      </c>
      <c r="B9996" t="s">
        <v>6301</v>
      </c>
      <c r="C9996" t="s">
        <v>42</v>
      </c>
      <c r="D9996" t="s">
        <v>44148</v>
      </c>
      <c r="E9996" t="s">
        <v>6303</v>
      </c>
      <c r="F9996" s="1">
        <v>140000</v>
      </c>
      <c r="G9996" t="s">
        <v>42759</v>
      </c>
      <c r="I9996" t="s">
        <v>44149</v>
      </c>
      <c r="J9996" t="s">
        <v>42761</v>
      </c>
      <c r="L9996" t="s">
        <v>42847</v>
      </c>
      <c r="M9996" t="s">
        <v>46</v>
      </c>
      <c r="N9996" t="s">
        <v>6304</v>
      </c>
      <c r="O9996" t="s">
        <v>44150</v>
      </c>
      <c r="P9996" t="s">
        <v>44151</v>
      </c>
      <c r="Q9996" t="s">
        <v>44152</v>
      </c>
      <c r="R9996">
        <v>69</v>
      </c>
      <c r="S9996">
        <v>128</v>
      </c>
    </row>
    <row r="9997" spans="1:19" x14ac:dyDescent="0.35">
      <c r="A9997">
        <v>9496</v>
      </c>
      <c r="B9997" t="s">
        <v>6301</v>
      </c>
      <c r="C9997" t="s">
        <v>42</v>
      </c>
      <c r="D9997" t="s">
        <v>44153</v>
      </c>
      <c r="E9997" t="s">
        <v>6303</v>
      </c>
      <c r="F9997" t="s">
        <v>44154</v>
      </c>
      <c r="G9997" t="s">
        <v>42759</v>
      </c>
      <c r="I9997" t="s">
        <v>44155</v>
      </c>
      <c r="J9997" t="s">
        <v>44156</v>
      </c>
      <c r="L9997" t="s">
        <v>42795</v>
      </c>
      <c r="M9997" t="s">
        <v>46</v>
      </c>
      <c r="N9997" t="s">
        <v>6304</v>
      </c>
      <c r="O9997" t="s">
        <v>44157</v>
      </c>
      <c r="P9997" t="s">
        <v>44158</v>
      </c>
      <c r="Q9997" t="s">
        <v>44159</v>
      </c>
      <c r="R9997">
        <v>69</v>
      </c>
      <c r="S9997">
        <v>128</v>
      </c>
    </row>
    <row r="9998" spans="1:19" x14ac:dyDescent="0.35">
      <c r="A9998">
        <v>9366</v>
      </c>
      <c r="B9998" t="s">
        <v>6301</v>
      </c>
      <c r="C9998" t="s">
        <v>42</v>
      </c>
      <c r="D9998" t="s">
        <v>44160</v>
      </c>
      <c r="E9998" t="s">
        <v>6303</v>
      </c>
      <c r="F9998" t="s">
        <v>44161</v>
      </c>
      <c r="G9998" t="s">
        <v>42759</v>
      </c>
      <c r="I9998" t="s">
        <v>44162</v>
      </c>
      <c r="J9998" t="s">
        <v>43586</v>
      </c>
      <c r="L9998" t="s">
        <v>42795</v>
      </c>
      <c r="M9998" t="s">
        <v>46</v>
      </c>
      <c r="N9998" t="s">
        <v>6304</v>
      </c>
      <c r="O9998" t="s">
        <v>44163</v>
      </c>
      <c r="P9998" t="s">
        <v>44164</v>
      </c>
      <c r="Q9998" t="s">
        <v>44165</v>
      </c>
      <c r="R9998">
        <v>70</v>
      </c>
      <c r="S9998">
        <v>128</v>
      </c>
    </row>
    <row r="9999" spans="1:19" x14ac:dyDescent="0.35">
      <c r="A9999">
        <v>9500</v>
      </c>
      <c r="B9999" t="s">
        <v>6301</v>
      </c>
      <c r="C9999" t="s">
        <v>42</v>
      </c>
      <c r="D9999" t="s">
        <v>44166</v>
      </c>
      <c r="E9999" t="s">
        <v>6303</v>
      </c>
      <c r="F9999" s="1">
        <v>100000</v>
      </c>
      <c r="G9999" t="s">
        <v>42759</v>
      </c>
      <c r="I9999" t="s">
        <v>44167</v>
      </c>
      <c r="J9999" t="s">
        <v>42761</v>
      </c>
      <c r="L9999" t="s">
        <v>42795</v>
      </c>
      <c r="M9999" t="s">
        <v>46</v>
      </c>
      <c r="N9999" t="s">
        <v>6304</v>
      </c>
      <c r="O9999" t="s">
        <v>44168</v>
      </c>
      <c r="P9999" t="s">
        <v>44169</v>
      </c>
      <c r="Q9999" t="s">
        <v>44170</v>
      </c>
      <c r="R9999">
        <v>70</v>
      </c>
      <c r="S9999">
        <v>128</v>
      </c>
    </row>
    <row r="10000" spans="1:19" x14ac:dyDescent="0.35">
      <c r="A10000">
        <v>9421</v>
      </c>
      <c r="B10000" t="s">
        <v>6301</v>
      </c>
      <c r="C10000" t="s">
        <v>42</v>
      </c>
      <c r="D10000" t="s">
        <v>44171</v>
      </c>
      <c r="E10000" t="s">
        <v>6303</v>
      </c>
      <c r="F10000" s="1">
        <v>106200</v>
      </c>
      <c r="G10000" t="s">
        <v>42759</v>
      </c>
      <c r="I10000" t="s">
        <v>44172</v>
      </c>
      <c r="J10000" t="s">
        <v>42761</v>
      </c>
      <c r="L10000" t="s">
        <v>42847</v>
      </c>
      <c r="M10000" t="s">
        <v>46</v>
      </c>
      <c r="N10000" t="s">
        <v>6304</v>
      </c>
      <c r="O10000" t="s">
        <v>44173</v>
      </c>
      <c r="P10000" t="s">
        <v>44174</v>
      </c>
      <c r="Q10000" t="s">
        <v>44175</v>
      </c>
      <c r="R10000">
        <v>70</v>
      </c>
      <c r="S10000">
        <v>128</v>
      </c>
    </row>
    <row r="10001" spans="1:19" x14ac:dyDescent="0.35">
      <c r="A10001">
        <v>9497</v>
      </c>
      <c r="B10001" t="s">
        <v>6301</v>
      </c>
      <c r="C10001" t="s">
        <v>42</v>
      </c>
      <c r="D10001" t="s">
        <v>44176</v>
      </c>
      <c r="E10001" t="s">
        <v>6303</v>
      </c>
      <c r="F10001" t="s">
        <v>44177</v>
      </c>
      <c r="G10001" t="s">
        <v>42759</v>
      </c>
      <c r="I10001" t="s">
        <v>44178</v>
      </c>
      <c r="J10001" t="s">
        <v>44156</v>
      </c>
      <c r="L10001" t="s">
        <v>42795</v>
      </c>
      <c r="M10001" t="s">
        <v>46</v>
      </c>
      <c r="N10001" t="s">
        <v>6304</v>
      </c>
      <c r="O10001" t="s">
        <v>44179</v>
      </c>
      <c r="P10001" t="s">
        <v>44180</v>
      </c>
      <c r="Q10001" t="s">
        <v>44181</v>
      </c>
      <c r="R10001">
        <v>70</v>
      </c>
      <c r="S10001">
        <v>128</v>
      </c>
    </row>
    <row r="10002" spans="1:19" x14ac:dyDescent="0.35">
      <c r="A10002">
        <v>9494</v>
      </c>
      <c r="B10002" t="s">
        <v>6301</v>
      </c>
      <c r="C10002" t="s">
        <v>42</v>
      </c>
      <c r="D10002" t="s">
        <v>44182</v>
      </c>
      <c r="E10002" t="s">
        <v>6303</v>
      </c>
      <c r="F10002" t="s">
        <v>37530</v>
      </c>
      <c r="G10002" t="s">
        <v>42759</v>
      </c>
      <c r="I10002" t="s">
        <v>44183</v>
      </c>
      <c r="J10002" t="s">
        <v>42761</v>
      </c>
      <c r="L10002" t="s">
        <v>42795</v>
      </c>
      <c r="M10002" t="s">
        <v>46</v>
      </c>
      <c r="N10002" t="s">
        <v>6304</v>
      </c>
      <c r="O10002" t="s">
        <v>44184</v>
      </c>
      <c r="P10002" t="s">
        <v>44185</v>
      </c>
      <c r="Q10002" t="s">
        <v>44186</v>
      </c>
      <c r="R10002">
        <v>70</v>
      </c>
      <c r="S10002">
        <v>128</v>
      </c>
    </row>
    <row r="10003" spans="1:19" x14ac:dyDescent="0.35">
      <c r="A10003">
        <v>9509</v>
      </c>
      <c r="B10003" t="s">
        <v>6301</v>
      </c>
      <c r="C10003" t="s">
        <v>42</v>
      </c>
      <c r="D10003" t="s">
        <v>44187</v>
      </c>
      <c r="E10003" t="s">
        <v>6303</v>
      </c>
      <c r="F10003" t="s">
        <v>44188</v>
      </c>
      <c r="G10003" t="s">
        <v>42759</v>
      </c>
      <c r="I10003" t="s">
        <v>44189</v>
      </c>
      <c r="J10003" t="s">
        <v>44190</v>
      </c>
      <c r="L10003" t="s">
        <v>42795</v>
      </c>
      <c r="M10003" t="s">
        <v>46</v>
      </c>
      <c r="N10003" t="s">
        <v>6304</v>
      </c>
      <c r="O10003" t="s">
        <v>44191</v>
      </c>
      <c r="P10003" t="s">
        <v>44192</v>
      </c>
      <c r="Q10003" t="s">
        <v>44193</v>
      </c>
      <c r="R10003">
        <v>70</v>
      </c>
      <c r="S10003">
        <v>128</v>
      </c>
    </row>
    <row r="10004" spans="1:19" x14ac:dyDescent="0.35">
      <c r="A10004">
        <v>9420</v>
      </c>
      <c r="B10004" t="s">
        <v>6301</v>
      </c>
      <c r="C10004" t="s">
        <v>42</v>
      </c>
      <c r="D10004" t="s">
        <v>44194</v>
      </c>
      <c r="E10004" t="s">
        <v>6303</v>
      </c>
      <c r="F10004" s="1">
        <v>106200</v>
      </c>
      <c r="G10004" t="s">
        <v>42759</v>
      </c>
      <c r="I10004" t="s">
        <v>44195</v>
      </c>
      <c r="J10004" t="s">
        <v>42761</v>
      </c>
      <c r="L10004" t="s">
        <v>42847</v>
      </c>
      <c r="M10004" t="s">
        <v>46</v>
      </c>
      <c r="N10004" t="s">
        <v>6304</v>
      </c>
      <c r="O10004" t="s">
        <v>44196</v>
      </c>
      <c r="P10004" t="s">
        <v>44197</v>
      </c>
      <c r="Q10004" t="s">
        <v>44198</v>
      </c>
      <c r="R10004">
        <v>70</v>
      </c>
      <c r="S10004">
        <v>128</v>
      </c>
    </row>
    <row r="10005" spans="1:19" x14ac:dyDescent="0.35">
      <c r="A10005">
        <v>9505</v>
      </c>
      <c r="B10005" t="s">
        <v>6301</v>
      </c>
      <c r="C10005" t="s">
        <v>42</v>
      </c>
      <c r="D10005" t="s">
        <v>44199</v>
      </c>
      <c r="E10005" t="s">
        <v>6303</v>
      </c>
      <c r="F10005" s="1">
        <v>369600</v>
      </c>
      <c r="G10005" t="s">
        <v>42759</v>
      </c>
      <c r="H10005" t="s">
        <v>1322</v>
      </c>
      <c r="I10005" t="s">
        <v>44200</v>
      </c>
      <c r="J10005" t="s">
        <v>44201</v>
      </c>
      <c r="L10005" t="s">
        <v>42795</v>
      </c>
      <c r="M10005" t="s">
        <v>46</v>
      </c>
      <c r="N10005" t="s">
        <v>6304</v>
      </c>
      <c r="O10005" t="s">
        <v>44202</v>
      </c>
      <c r="P10005" t="s">
        <v>44203</v>
      </c>
      <c r="Q10005" t="s">
        <v>44204</v>
      </c>
      <c r="R10005">
        <v>71</v>
      </c>
      <c r="S10005">
        <v>128</v>
      </c>
    </row>
    <row r="10006" spans="1:19" x14ac:dyDescent="0.35">
      <c r="A10006">
        <v>9429</v>
      </c>
      <c r="B10006" t="s">
        <v>6301</v>
      </c>
      <c r="C10006" t="s">
        <v>42</v>
      </c>
      <c r="D10006" t="s">
        <v>44205</v>
      </c>
      <c r="E10006" t="s">
        <v>6303</v>
      </c>
      <c r="F10006" s="1">
        <v>106200</v>
      </c>
      <c r="G10006" t="s">
        <v>42759</v>
      </c>
      <c r="I10006" t="s">
        <v>44206</v>
      </c>
      <c r="J10006" t="s">
        <v>42761</v>
      </c>
      <c r="L10006" t="s">
        <v>42847</v>
      </c>
      <c r="M10006" t="s">
        <v>46</v>
      </c>
      <c r="N10006" t="s">
        <v>6304</v>
      </c>
      <c r="O10006" t="s">
        <v>44207</v>
      </c>
      <c r="P10006" t="s">
        <v>44208</v>
      </c>
      <c r="Q10006" t="s">
        <v>44209</v>
      </c>
      <c r="R10006">
        <v>71</v>
      </c>
      <c r="S10006">
        <v>128</v>
      </c>
    </row>
    <row r="10007" spans="1:19" x14ac:dyDescent="0.35">
      <c r="A10007">
        <v>9419</v>
      </c>
      <c r="B10007" t="s">
        <v>6301</v>
      </c>
      <c r="C10007" t="s">
        <v>42</v>
      </c>
      <c r="D10007" t="s">
        <v>44210</v>
      </c>
      <c r="E10007" t="s">
        <v>6303</v>
      </c>
      <c r="F10007" s="1">
        <v>109900</v>
      </c>
      <c r="G10007" t="s">
        <v>42759</v>
      </c>
      <c r="I10007" t="s">
        <v>44211</v>
      </c>
      <c r="J10007" t="s">
        <v>42761</v>
      </c>
      <c r="L10007" t="s">
        <v>42847</v>
      </c>
      <c r="M10007" t="s">
        <v>46</v>
      </c>
      <c r="N10007" t="s">
        <v>6304</v>
      </c>
      <c r="O10007" t="s">
        <v>44212</v>
      </c>
      <c r="P10007" t="s">
        <v>44213</v>
      </c>
      <c r="Q10007" t="s">
        <v>44214</v>
      </c>
      <c r="R10007">
        <v>71</v>
      </c>
      <c r="S10007">
        <v>128</v>
      </c>
    </row>
    <row r="10008" spans="1:19" x14ac:dyDescent="0.35">
      <c r="A10008">
        <v>9417</v>
      </c>
      <c r="B10008" t="s">
        <v>6301</v>
      </c>
      <c r="C10008" t="s">
        <v>42</v>
      </c>
      <c r="D10008" t="s">
        <v>44215</v>
      </c>
      <c r="E10008" t="s">
        <v>6303</v>
      </c>
      <c r="F10008" s="1">
        <v>110000</v>
      </c>
      <c r="G10008" t="s">
        <v>42759</v>
      </c>
      <c r="I10008" t="s">
        <v>44216</v>
      </c>
      <c r="J10008" t="s">
        <v>42761</v>
      </c>
      <c r="L10008" t="s">
        <v>42847</v>
      </c>
      <c r="M10008" t="s">
        <v>46</v>
      </c>
      <c r="N10008" t="s">
        <v>6304</v>
      </c>
      <c r="O10008" t="s">
        <v>44217</v>
      </c>
      <c r="P10008" t="s">
        <v>44218</v>
      </c>
      <c r="Q10008" t="s">
        <v>44219</v>
      </c>
      <c r="R10008">
        <v>71</v>
      </c>
      <c r="S10008">
        <v>128</v>
      </c>
    </row>
    <row r="10009" spans="1:19" x14ac:dyDescent="0.35">
      <c r="A10009">
        <v>9368</v>
      </c>
      <c r="B10009" t="s">
        <v>6301</v>
      </c>
      <c r="C10009" t="s">
        <v>42</v>
      </c>
      <c r="D10009" t="s">
        <v>44220</v>
      </c>
      <c r="E10009" t="s">
        <v>6303</v>
      </c>
      <c r="F10009" s="1">
        <v>408800</v>
      </c>
      <c r="G10009" t="s">
        <v>42759</v>
      </c>
      <c r="I10009" t="s">
        <v>44221</v>
      </c>
      <c r="J10009" t="s">
        <v>42941</v>
      </c>
      <c r="L10009" t="s">
        <v>42795</v>
      </c>
      <c r="M10009" t="s">
        <v>46</v>
      </c>
      <c r="N10009" t="s">
        <v>6304</v>
      </c>
      <c r="O10009" t="s">
        <v>44222</v>
      </c>
      <c r="P10009" t="s">
        <v>44223</v>
      </c>
      <c r="Q10009" t="s">
        <v>44224</v>
      </c>
      <c r="R10009">
        <v>71</v>
      </c>
      <c r="S10009">
        <v>128</v>
      </c>
    </row>
    <row r="10010" spans="1:19" x14ac:dyDescent="0.35">
      <c r="A10010">
        <v>9428</v>
      </c>
      <c r="B10010" t="s">
        <v>6301</v>
      </c>
      <c r="C10010" t="s">
        <v>42</v>
      </c>
      <c r="D10010" t="s">
        <v>44225</v>
      </c>
      <c r="E10010" t="s">
        <v>6303</v>
      </c>
      <c r="F10010" s="1">
        <v>106200</v>
      </c>
      <c r="G10010" t="s">
        <v>42759</v>
      </c>
      <c r="I10010" t="s">
        <v>44226</v>
      </c>
      <c r="J10010" t="s">
        <v>42761</v>
      </c>
      <c r="L10010" t="s">
        <v>42847</v>
      </c>
      <c r="M10010" t="s">
        <v>46</v>
      </c>
      <c r="N10010" t="s">
        <v>6304</v>
      </c>
      <c r="O10010" t="s">
        <v>44227</v>
      </c>
      <c r="P10010" t="s">
        <v>44228</v>
      </c>
      <c r="Q10010" t="s">
        <v>44229</v>
      </c>
      <c r="R10010">
        <v>72</v>
      </c>
      <c r="S10010">
        <v>128</v>
      </c>
    </row>
    <row r="10011" spans="1:19" x14ac:dyDescent="0.35">
      <c r="A10011">
        <v>9449</v>
      </c>
      <c r="B10011" t="s">
        <v>6301</v>
      </c>
      <c r="C10011" t="s">
        <v>42</v>
      </c>
      <c r="D10011" t="s">
        <v>44230</v>
      </c>
      <c r="E10011" t="s">
        <v>6303</v>
      </c>
      <c r="F10011" s="1">
        <v>119300</v>
      </c>
      <c r="G10011" t="s">
        <v>42759</v>
      </c>
      <c r="I10011" t="s">
        <v>44231</v>
      </c>
      <c r="J10011" t="s">
        <v>42761</v>
      </c>
      <c r="L10011" t="s">
        <v>42847</v>
      </c>
      <c r="M10011" t="s">
        <v>46</v>
      </c>
      <c r="N10011" t="s">
        <v>6304</v>
      </c>
      <c r="O10011" t="s">
        <v>44232</v>
      </c>
      <c r="P10011" t="s">
        <v>44233</v>
      </c>
      <c r="Q10011" t="s">
        <v>44234</v>
      </c>
      <c r="R10011">
        <v>72</v>
      </c>
      <c r="S10011">
        <v>128</v>
      </c>
    </row>
    <row r="10012" spans="1:19" x14ac:dyDescent="0.35">
      <c r="A10012">
        <v>9448</v>
      </c>
      <c r="B10012" t="s">
        <v>6301</v>
      </c>
      <c r="C10012" t="s">
        <v>42</v>
      </c>
      <c r="D10012" t="s">
        <v>44235</v>
      </c>
      <c r="E10012" t="s">
        <v>6303</v>
      </c>
      <c r="F10012" s="1">
        <v>119300</v>
      </c>
      <c r="G10012" t="s">
        <v>42759</v>
      </c>
      <c r="I10012" t="s">
        <v>44236</v>
      </c>
      <c r="J10012" t="s">
        <v>42761</v>
      </c>
      <c r="L10012" t="s">
        <v>42847</v>
      </c>
      <c r="M10012" t="s">
        <v>46</v>
      </c>
      <c r="N10012" t="s">
        <v>6304</v>
      </c>
      <c r="O10012" t="s">
        <v>44237</v>
      </c>
      <c r="P10012" t="s">
        <v>44238</v>
      </c>
      <c r="Q10012" t="s">
        <v>44239</v>
      </c>
      <c r="R10012">
        <v>72</v>
      </c>
      <c r="S10012">
        <v>128</v>
      </c>
    </row>
    <row r="10013" spans="1:19" x14ac:dyDescent="0.35">
      <c r="A10013">
        <v>9427</v>
      </c>
      <c r="B10013" t="s">
        <v>6301</v>
      </c>
      <c r="C10013" t="s">
        <v>42</v>
      </c>
      <c r="D10013" t="s">
        <v>44240</v>
      </c>
      <c r="E10013" t="s">
        <v>6303</v>
      </c>
      <c r="F10013" s="1">
        <v>106200</v>
      </c>
      <c r="G10013" t="s">
        <v>42759</v>
      </c>
      <c r="I10013" t="s">
        <v>44241</v>
      </c>
      <c r="J10013" t="s">
        <v>42761</v>
      </c>
      <c r="L10013" t="s">
        <v>42847</v>
      </c>
      <c r="M10013" t="s">
        <v>46</v>
      </c>
      <c r="N10013" t="s">
        <v>6304</v>
      </c>
      <c r="O10013" t="s">
        <v>44242</v>
      </c>
      <c r="P10013" t="s">
        <v>44243</v>
      </c>
      <c r="Q10013" t="s">
        <v>44244</v>
      </c>
      <c r="R10013">
        <v>72</v>
      </c>
      <c r="S10013">
        <v>128</v>
      </c>
    </row>
    <row r="10014" spans="1:19" x14ac:dyDescent="0.35">
      <c r="A10014">
        <v>9426</v>
      </c>
      <c r="B10014" t="s">
        <v>6301</v>
      </c>
      <c r="C10014" t="s">
        <v>42</v>
      </c>
      <c r="D10014" t="s">
        <v>44245</v>
      </c>
      <c r="E10014" t="s">
        <v>6303</v>
      </c>
      <c r="F10014" s="1">
        <v>103200</v>
      </c>
      <c r="G10014" t="s">
        <v>42759</v>
      </c>
      <c r="I10014" t="s">
        <v>44246</v>
      </c>
      <c r="J10014" t="s">
        <v>42761</v>
      </c>
      <c r="L10014" t="s">
        <v>42847</v>
      </c>
      <c r="M10014" t="s">
        <v>46</v>
      </c>
      <c r="N10014" t="s">
        <v>6304</v>
      </c>
      <c r="O10014" t="s">
        <v>44247</v>
      </c>
      <c r="P10014" t="s">
        <v>44248</v>
      </c>
      <c r="Q10014" t="s">
        <v>44249</v>
      </c>
      <c r="R10014">
        <v>72</v>
      </c>
      <c r="S10014">
        <v>128</v>
      </c>
    </row>
    <row r="10015" spans="1:19" x14ac:dyDescent="0.35">
      <c r="A10015">
        <v>9425</v>
      </c>
      <c r="B10015" t="s">
        <v>6301</v>
      </c>
      <c r="C10015" t="s">
        <v>42</v>
      </c>
      <c r="D10015" t="s">
        <v>44250</v>
      </c>
      <c r="E10015" t="s">
        <v>6303</v>
      </c>
      <c r="F10015" s="1">
        <v>103200</v>
      </c>
      <c r="G10015" t="s">
        <v>42759</v>
      </c>
      <c r="I10015" t="s">
        <v>44251</v>
      </c>
      <c r="J10015" t="s">
        <v>42761</v>
      </c>
      <c r="L10015" t="s">
        <v>42847</v>
      </c>
      <c r="M10015" t="s">
        <v>46</v>
      </c>
      <c r="N10015" t="s">
        <v>6304</v>
      </c>
      <c r="O10015" t="s">
        <v>44252</v>
      </c>
      <c r="P10015" t="s">
        <v>44253</v>
      </c>
      <c r="Q10015" t="s">
        <v>44254</v>
      </c>
      <c r="R10015">
        <v>72</v>
      </c>
      <c r="S10015">
        <v>128</v>
      </c>
    </row>
    <row r="10016" spans="1:19" x14ac:dyDescent="0.35">
      <c r="A10016">
        <v>9450</v>
      </c>
      <c r="B10016" t="s">
        <v>6301</v>
      </c>
      <c r="C10016" t="s">
        <v>42</v>
      </c>
      <c r="D10016" t="s">
        <v>44255</v>
      </c>
      <c r="E10016" t="s">
        <v>6303</v>
      </c>
      <c r="F10016" s="1">
        <v>119300</v>
      </c>
      <c r="G10016" t="s">
        <v>42759</v>
      </c>
      <c r="I10016" t="s">
        <v>44256</v>
      </c>
      <c r="J10016" t="s">
        <v>42761</v>
      </c>
      <c r="L10016" t="s">
        <v>42847</v>
      </c>
      <c r="M10016" t="s">
        <v>46</v>
      </c>
      <c r="N10016" t="s">
        <v>6304</v>
      </c>
      <c r="O10016" t="s">
        <v>44257</v>
      </c>
      <c r="P10016" t="s">
        <v>44258</v>
      </c>
      <c r="Q10016" t="s">
        <v>44259</v>
      </c>
      <c r="R10016">
        <v>72</v>
      </c>
      <c r="S10016">
        <v>128</v>
      </c>
    </row>
    <row r="10017" spans="1:19" x14ac:dyDescent="0.35">
      <c r="A10017">
        <v>9422</v>
      </c>
      <c r="B10017" t="s">
        <v>6301</v>
      </c>
      <c r="C10017" t="s">
        <v>42</v>
      </c>
      <c r="D10017" t="s">
        <v>44260</v>
      </c>
      <c r="E10017" t="s">
        <v>6303</v>
      </c>
      <c r="F10017" s="1">
        <v>106200</v>
      </c>
      <c r="G10017" t="s">
        <v>42759</v>
      </c>
      <c r="I10017" t="s">
        <v>44261</v>
      </c>
      <c r="J10017" t="s">
        <v>42761</v>
      </c>
      <c r="L10017" t="s">
        <v>42847</v>
      </c>
      <c r="M10017" t="s">
        <v>46</v>
      </c>
      <c r="N10017" t="s">
        <v>6304</v>
      </c>
      <c r="O10017" t="s">
        <v>44262</v>
      </c>
      <c r="P10017" t="s">
        <v>44263</v>
      </c>
      <c r="Q10017" t="s">
        <v>44264</v>
      </c>
      <c r="R10017">
        <v>72</v>
      </c>
      <c r="S10017">
        <v>128</v>
      </c>
    </row>
    <row r="10018" spans="1:19" x14ac:dyDescent="0.35">
      <c r="A10018">
        <v>9418</v>
      </c>
      <c r="B10018" t="s">
        <v>6301</v>
      </c>
      <c r="C10018" t="s">
        <v>42</v>
      </c>
      <c r="D10018" t="s">
        <v>44265</v>
      </c>
      <c r="E10018" t="s">
        <v>6303</v>
      </c>
      <c r="F10018" s="1">
        <v>106200</v>
      </c>
      <c r="G10018" t="s">
        <v>42759</v>
      </c>
      <c r="I10018" t="s">
        <v>44266</v>
      </c>
      <c r="J10018" t="s">
        <v>42761</v>
      </c>
      <c r="L10018" t="s">
        <v>42847</v>
      </c>
      <c r="M10018" t="s">
        <v>46</v>
      </c>
      <c r="N10018" t="s">
        <v>6304</v>
      </c>
      <c r="O10018" t="s">
        <v>44267</v>
      </c>
      <c r="P10018" t="s">
        <v>44268</v>
      </c>
      <c r="Q10018" t="s">
        <v>44269</v>
      </c>
      <c r="R10018">
        <v>72</v>
      </c>
      <c r="S10018">
        <v>128</v>
      </c>
    </row>
    <row r="10019" spans="1:19" x14ac:dyDescent="0.35">
      <c r="A10019">
        <v>9501</v>
      </c>
      <c r="B10019" t="s">
        <v>6301</v>
      </c>
      <c r="C10019" t="s">
        <v>42</v>
      </c>
      <c r="D10019" t="s">
        <v>44270</v>
      </c>
      <c r="E10019" t="s">
        <v>6303</v>
      </c>
      <c r="F10019" s="1">
        <v>100000</v>
      </c>
      <c r="G10019" t="s">
        <v>42759</v>
      </c>
      <c r="I10019" t="s">
        <v>44271</v>
      </c>
      <c r="J10019" t="s">
        <v>42761</v>
      </c>
      <c r="L10019" t="s">
        <v>42795</v>
      </c>
      <c r="M10019" t="s">
        <v>46</v>
      </c>
      <c r="N10019" t="s">
        <v>6304</v>
      </c>
      <c r="O10019" t="s">
        <v>44272</v>
      </c>
      <c r="P10019" t="s">
        <v>44273</v>
      </c>
      <c r="Q10019" t="s">
        <v>44274</v>
      </c>
      <c r="R10019">
        <v>72</v>
      </c>
      <c r="S10019">
        <v>128</v>
      </c>
    </row>
    <row r="10020" spans="1:19" x14ac:dyDescent="0.35">
      <c r="A10020">
        <v>9424</v>
      </c>
      <c r="B10020" t="s">
        <v>6301</v>
      </c>
      <c r="C10020" t="s">
        <v>42</v>
      </c>
      <c r="D10020" t="s">
        <v>44275</v>
      </c>
      <c r="E10020" t="s">
        <v>6303</v>
      </c>
      <c r="F10020" s="1">
        <v>103200</v>
      </c>
      <c r="G10020" t="s">
        <v>42759</v>
      </c>
      <c r="I10020" t="s">
        <v>44276</v>
      </c>
      <c r="J10020" t="s">
        <v>42761</v>
      </c>
      <c r="L10020" t="s">
        <v>42847</v>
      </c>
      <c r="M10020" t="s">
        <v>46</v>
      </c>
      <c r="N10020" t="s">
        <v>6304</v>
      </c>
      <c r="O10020" t="s">
        <v>44277</v>
      </c>
      <c r="P10020" t="s">
        <v>44278</v>
      </c>
      <c r="Q10020" t="s">
        <v>44279</v>
      </c>
      <c r="R10020">
        <v>72</v>
      </c>
      <c r="S10020">
        <v>128</v>
      </c>
    </row>
    <row r="10021" spans="1:19" x14ac:dyDescent="0.35">
      <c r="A10021">
        <v>9483</v>
      </c>
      <c r="B10021" t="s">
        <v>6301</v>
      </c>
      <c r="C10021" t="s">
        <v>42</v>
      </c>
      <c r="D10021" t="s">
        <v>44280</v>
      </c>
      <c r="E10021" t="s">
        <v>6303</v>
      </c>
      <c r="F10021" t="s">
        <v>44281</v>
      </c>
      <c r="G10021" t="s">
        <v>42759</v>
      </c>
      <c r="I10021" t="s">
        <v>44282</v>
      </c>
      <c r="J10021" t="s">
        <v>44190</v>
      </c>
      <c r="L10021" t="s">
        <v>42795</v>
      </c>
      <c r="M10021" t="s">
        <v>46</v>
      </c>
      <c r="N10021" t="s">
        <v>6304</v>
      </c>
      <c r="O10021" t="s">
        <v>44283</v>
      </c>
      <c r="P10021" t="s">
        <v>44284</v>
      </c>
      <c r="Q10021" t="s">
        <v>44285</v>
      </c>
      <c r="R10021">
        <v>72</v>
      </c>
      <c r="S10021">
        <v>128</v>
      </c>
    </row>
    <row r="10022" spans="1:19" x14ac:dyDescent="0.35">
      <c r="A10022">
        <v>2167</v>
      </c>
      <c r="B10022" t="s">
        <v>44286</v>
      </c>
      <c r="C10022" t="s">
        <v>42</v>
      </c>
      <c r="D10022" t="s">
        <v>44287</v>
      </c>
      <c r="E10022" t="e" cm="1">
        <f t="array" ref="E10022">- CINNARIZINE</f>
        <v>#NAME?</v>
      </c>
      <c r="F10022" t="s">
        <v>44288</v>
      </c>
      <c r="G10022" t="s">
        <v>2241</v>
      </c>
      <c r="H10022" t="s">
        <v>44289</v>
      </c>
      <c r="I10022" t="s">
        <v>44290</v>
      </c>
    </row>
    <row r="10023" spans="1:19" x14ac:dyDescent="0.35">
      <c r="A10023">
        <v>2168</v>
      </c>
      <c r="B10023" t="s">
        <v>44286</v>
      </c>
      <c r="C10023" t="s">
        <v>42</v>
      </c>
      <c r="D10023" t="s">
        <v>44287</v>
      </c>
      <c r="E10023" t="e" cm="1">
        <f t="array" ref="E10023">- CINNARIZINE</f>
        <v>#NAME?</v>
      </c>
      <c r="F10023" t="s">
        <v>44288</v>
      </c>
      <c r="G10023" t="s">
        <v>2241</v>
      </c>
      <c r="H10023" t="s">
        <v>44289</v>
      </c>
      <c r="I10023" t="s">
        <v>44290</v>
      </c>
    </row>
    <row r="10024" spans="1:19" x14ac:dyDescent="0.35">
      <c r="A10024">
        <v>4901</v>
      </c>
      <c r="B10024" t="s">
        <v>44291</v>
      </c>
      <c r="C10024" t="s">
        <v>42</v>
      </c>
      <c r="D10024" t="s">
        <v>44292</v>
      </c>
      <c r="E10024" t="e" cm="1">
        <f t="array" ref="E10024">- DEXAMETHASONE SODIUM PHOSPHATE</f>
        <v>#NAME?</v>
      </c>
      <c r="F10024" t="s">
        <v>44293</v>
      </c>
      <c r="G10024" t="s">
        <v>44294</v>
      </c>
      <c r="H10024" t="s">
        <v>44295</v>
      </c>
      <c r="I10024" t="s">
        <v>44296</v>
      </c>
      <c r="J10024" t="s">
        <v>11321</v>
      </c>
      <c r="K10024" t="s">
        <v>44297</v>
      </c>
      <c r="L10024" t="s">
        <v>44298</v>
      </c>
      <c r="M10024" t="s">
        <v>824</v>
      </c>
      <c r="N10024" t="s">
        <v>25402</v>
      </c>
      <c r="O10024" t="s">
        <v>44299</v>
      </c>
      <c r="P10024" t="s">
        <v>44300</v>
      </c>
      <c r="Q10024" t="s">
        <v>44301</v>
      </c>
      <c r="R10024">
        <v>74</v>
      </c>
      <c r="S10024">
        <v>128</v>
      </c>
    </row>
    <row r="10025" spans="1:19" x14ac:dyDescent="0.35">
      <c r="A10025">
        <v>9492</v>
      </c>
      <c r="B10025" t="s">
        <v>6301</v>
      </c>
      <c r="C10025" t="s">
        <v>42</v>
      </c>
      <c r="D10025" t="s">
        <v>44302</v>
      </c>
      <c r="E10025" t="s">
        <v>6303</v>
      </c>
      <c r="F10025" t="s">
        <v>44303</v>
      </c>
      <c r="G10025" t="s">
        <v>42759</v>
      </c>
      <c r="I10025" t="s">
        <v>44304</v>
      </c>
      <c r="J10025" t="s">
        <v>42761</v>
      </c>
      <c r="L10025" t="s">
        <v>42795</v>
      </c>
      <c r="M10025" t="s">
        <v>46</v>
      </c>
      <c r="N10025" t="s">
        <v>6304</v>
      </c>
      <c r="O10025" t="s">
        <v>44305</v>
      </c>
      <c r="P10025" t="s">
        <v>44306</v>
      </c>
      <c r="Q10025" t="s">
        <v>44307</v>
      </c>
      <c r="R10025">
        <v>74</v>
      </c>
      <c r="S10025">
        <v>128</v>
      </c>
    </row>
    <row r="10026" spans="1:19" x14ac:dyDescent="0.35">
      <c r="A10026">
        <v>8531</v>
      </c>
      <c r="B10026" t="s">
        <v>44308</v>
      </c>
      <c r="C10026" t="s">
        <v>42</v>
      </c>
      <c r="D10026" t="s">
        <v>44309</v>
      </c>
      <c r="E10026" t="e" cm="1">
        <f t="array" ref="E10026">- DAPAGLIFLOZIN PROPANEDIOL</f>
        <v>#NAME?</v>
      </c>
      <c r="F10026" t="s">
        <v>44310</v>
      </c>
      <c r="G10026" t="s">
        <v>18286</v>
      </c>
      <c r="H10026" t="s">
        <v>44311</v>
      </c>
    </row>
    <row r="10027" spans="1:19" x14ac:dyDescent="0.35">
      <c r="A10027">
        <v>8649</v>
      </c>
      <c r="B10027" t="s">
        <v>44312</v>
      </c>
      <c r="C10027" t="s">
        <v>42</v>
      </c>
      <c r="D10027" t="s">
        <v>44313</v>
      </c>
      <c r="E10027" t="e" cm="1">
        <f t="array" ref="E10027">- DAPAGLIFLOZIN PROPENADIOL</f>
        <v>#NAME?</v>
      </c>
      <c r="F10027" t="s">
        <v>44314</v>
      </c>
      <c r="G10027" t="s">
        <v>18286</v>
      </c>
      <c r="H10027" t="s">
        <v>44311</v>
      </c>
    </row>
    <row r="10028" spans="1:19" x14ac:dyDescent="0.35">
      <c r="A10028">
        <v>9493</v>
      </c>
      <c r="B10028" t="s">
        <v>6301</v>
      </c>
      <c r="C10028" t="s">
        <v>42</v>
      </c>
      <c r="D10028" t="s">
        <v>44315</v>
      </c>
      <c r="E10028" t="s">
        <v>6303</v>
      </c>
      <c r="F10028" t="s">
        <v>44316</v>
      </c>
      <c r="G10028" t="s">
        <v>42759</v>
      </c>
      <c r="I10028" t="s">
        <v>44317</v>
      </c>
      <c r="J10028" t="s">
        <v>42761</v>
      </c>
      <c r="L10028" t="s">
        <v>42795</v>
      </c>
      <c r="M10028" t="s">
        <v>46</v>
      </c>
      <c r="N10028" t="s">
        <v>6304</v>
      </c>
      <c r="O10028" t="s">
        <v>44318</v>
      </c>
      <c r="P10028" t="s">
        <v>44319</v>
      </c>
      <c r="Q10028" t="s">
        <v>44320</v>
      </c>
      <c r="R10028">
        <v>74</v>
      </c>
      <c r="S10028">
        <v>128</v>
      </c>
    </row>
    <row r="10029" spans="1:19" x14ac:dyDescent="0.35">
      <c r="A10029">
        <v>8648</v>
      </c>
      <c r="B10029" t="s">
        <v>44312</v>
      </c>
      <c r="C10029" t="s">
        <v>42</v>
      </c>
      <c r="D10029" t="s">
        <v>44313</v>
      </c>
      <c r="E10029" t="e" cm="1">
        <f t="array" ref="E10029">- DAPAGLIFLOZIN PROPANEDIOL</f>
        <v>#NAME?</v>
      </c>
      <c r="F10029" t="s">
        <v>44314</v>
      </c>
      <c r="G10029" t="s">
        <v>18286</v>
      </c>
      <c r="H10029" t="s">
        <v>44311</v>
      </c>
    </row>
    <row r="10030" spans="1:19" x14ac:dyDescent="0.35">
      <c r="A10030">
        <v>8532</v>
      </c>
      <c r="B10030" t="s">
        <v>44308</v>
      </c>
      <c r="C10030" t="s">
        <v>42</v>
      </c>
      <c r="D10030" t="s">
        <v>44309</v>
      </c>
      <c r="E10030" t="e" cm="1">
        <f t="array" ref="E10030">- DAPAGLIFLOZIN PROPANEDIOL</f>
        <v>#NAME?</v>
      </c>
      <c r="F10030" t="s">
        <v>44310</v>
      </c>
      <c r="G10030" t="s">
        <v>18286</v>
      </c>
      <c r="H10030" t="s">
        <v>44311</v>
      </c>
    </row>
    <row r="10031" spans="1:19" x14ac:dyDescent="0.35">
      <c r="A10031">
        <v>8646</v>
      </c>
      <c r="B10031" t="s">
        <v>44312</v>
      </c>
      <c r="C10031" t="s">
        <v>42</v>
      </c>
      <c r="D10031" t="s">
        <v>44321</v>
      </c>
      <c r="E10031" t="e" cm="1">
        <f t="array" ref="E10031">- DAPAGLIFLOZIN PROPENADIOL</f>
        <v>#NAME?</v>
      </c>
      <c r="F10031" t="s">
        <v>44322</v>
      </c>
      <c r="G10031" t="s">
        <v>18286</v>
      </c>
      <c r="H10031" t="s">
        <v>44311</v>
      </c>
    </row>
    <row r="10032" spans="1:19" x14ac:dyDescent="0.35">
      <c r="A10032">
        <v>8533</v>
      </c>
      <c r="B10032" t="s">
        <v>44308</v>
      </c>
      <c r="C10032" t="s">
        <v>42</v>
      </c>
      <c r="D10032" t="s">
        <v>44309</v>
      </c>
      <c r="E10032" t="e" cm="1">
        <f t="array" ref="E10032">- DAPAGLIFLOZIN PROPENADIOL</f>
        <v>#NAME?</v>
      </c>
      <c r="F10032" t="s">
        <v>44310</v>
      </c>
      <c r="G10032" t="s">
        <v>18286</v>
      </c>
      <c r="H10032" t="s">
        <v>44311</v>
      </c>
    </row>
    <row r="10033" spans="1:19" x14ac:dyDescent="0.35">
      <c r="A10033">
        <v>8534</v>
      </c>
      <c r="B10033" t="s">
        <v>44308</v>
      </c>
      <c r="C10033" t="s">
        <v>42</v>
      </c>
      <c r="D10033" t="s">
        <v>44323</v>
      </c>
      <c r="E10033" t="e" cm="1">
        <f t="array" ref="E10033">- DAPAGLIFLOZIN PROPANEDIOL</f>
        <v>#NAME?</v>
      </c>
      <c r="F10033" t="s">
        <v>44324</v>
      </c>
      <c r="G10033" t="s">
        <v>18286</v>
      </c>
      <c r="H10033" t="s">
        <v>44311</v>
      </c>
    </row>
    <row r="10034" spans="1:19" x14ac:dyDescent="0.35">
      <c r="A10034">
        <v>8647</v>
      </c>
      <c r="B10034" t="s">
        <v>44312</v>
      </c>
      <c r="C10034" t="s">
        <v>42</v>
      </c>
      <c r="D10034" t="s">
        <v>44313</v>
      </c>
      <c r="E10034" t="e" cm="1">
        <f t="array" ref="E10034">- DAPAGLIFLOZIN PROPANEDIOL</f>
        <v>#NAME?</v>
      </c>
      <c r="F10034" t="s">
        <v>44314</v>
      </c>
      <c r="G10034" t="s">
        <v>18286</v>
      </c>
      <c r="H10034" t="s">
        <v>44311</v>
      </c>
    </row>
    <row r="10035" spans="1:19" x14ac:dyDescent="0.35">
      <c r="A10035">
        <v>8536</v>
      </c>
      <c r="B10035" t="s">
        <v>44308</v>
      </c>
      <c r="C10035" t="s">
        <v>42</v>
      </c>
      <c r="D10035" t="s">
        <v>44323</v>
      </c>
      <c r="E10035" t="e" cm="1">
        <f t="array" ref="E10035">- DAPAGLIFLOZIN PROPENADIOL</f>
        <v>#NAME?</v>
      </c>
      <c r="F10035" t="s">
        <v>44324</v>
      </c>
      <c r="G10035" t="s">
        <v>18286</v>
      </c>
      <c r="H10035" t="s">
        <v>44311</v>
      </c>
    </row>
    <row r="10036" spans="1:19" x14ac:dyDescent="0.35">
      <c r="A10036">
        <v>8535</v>
      </c>
      <c r="B10036" t="s">
        <v>44308</v>
      </c>
      <c r="C10036" t="s">
        <v>42</v>
      </c>
      <c r="D10036" t="s">
        <v>44323</v>
      </c>
      <c r="E10036" t="e" cm="1">
        <f t="array" ref="E10036">- DAPAGLIFLOZIN PROPANEDIOL</f>
        <v>#NAME?</v>
      </c>
      <c r="F10036" t="s">
        <v>44324</v>
      </c>
      <c r="G10036" t="s">
        <v>18286</v>
      </c>
      <c r="H10036" t="s">
        <v>44311</v>
      </c>
    </row>
    <row r="10037" spans="1:19" x14ac:dyDescent="0.35">
      <c r="A10037">
        <v>8644</v>
      </c>
      <c r="B10037" t="s">
        <v>44312</v>
      </c>
      <c r="C10037" t="s">
        <v>42</v>
      </c>
      <c r="D10037" t="s">
        <v>44321</v>
      </c>
      <c r="E10037" t="e" cm="1">
        <f t="array" ref="E10037">- DAPAGLIFLOZIN PROPANEDIOL</f>
        <v>#NAME?</v>
      </c>
      <c r="F10037" t="s">
        <v>44322</v>
      </c>
      <c r="G10037" t="s">
        <v>18286</v>
      </c>
      <c r="H10037" t="s">
        <v>44311</v>
      </c>
    </row>
    <row r="10038" spans="1:19" x14ac:dyDescent="0.35">
      <c r="A10038">
        <v>8645</v>
      </c>
      <c r="B10038" t="s">
        <v>44312</v>
      </c>
      <c r="C10038" t="s">
        <v>42</v>
      </c>
      <c r="D10038" t="s">
        <v>44321</v>
      </c>
      <c r="E10038" t="e" cm="1">
        <f t="array" ref="E10038">- DAPAGLIFLOZIN PROPANEDIOL</f>
        <v>#NAME?</v>
      </c>
      <c r="F10038" t="s">
        <v>44322</v>
      </c>
      <c r="G10038" t="s">
        <v>18286</v>
      </c>
      <c r="H10038" t="s">
        <v>44311</v>
      </c>
    </row>
    <row r="10039" spans="1:19" x14ac:dyDescent="0.35">
      <c r="A10039">
        <v>7714</v>
      </c>
      <c r="B10039" t="s">
        <v>44138</v>
      </c>
      <c r="C10039" t="s">
        <v>20</v>
      </c>
      <c r="D10039" t="s">
        <v>44325</v>
      </c>
      <c r="E10039" t="s">
        <v>44140</v>
      </c>
      <c r="F10039" t="s">
        <v>44326</v>
      </c>
      <c r="G10039" t="s">
        <v>2241</v>
      </c>
      <c r="H10039" t="s">
        <v>9899</v>
      </c>
      <c r="I10039" t="s">
        <v>44327</v>
      </c>
      <c r="J10039" t="s">
        <v>15976</v>
      </c>
      <c r="K10039" t="s">
        <v>44328</v>
      </c>
      <c r="L10039" t="s">
        <v>44329</v>
      </c>
      <c r="M10039" t="s">
        <v>46</v>
      </c>
      <c r="N10039" t="s">
        <v>44144</v>
      </c>
      <c r="O10039" t="s">
        <v>44330</v>
      </c>
      <c r="P10039" t="s">
        <v>44144</v>
      </c>
      <c r="Q10039" t="s">
        <v>44331</v>
      </c>
      <c r="R10039">
        <v>75</v>
      </c>
      <c r="S10039">
        <v>128</v>
      </c>
    </row>
    <row r="10040" spans="1:19" x14ac:dyDescent="0.35">
      <c r="A10040">
        <v>9436</v>
      </c>
      <c r="B10040" t="s">
        <v>6301</v>
      </c>
      <c r="C10040" t="s">
        <v>42</v>
      </c>
      <c r="D10040" t="s">
        <v>44332</v>
      </c>
      <c r="E10040" t="s">
        <v>6303</v>
      </c>
      <c r="F10040" s="1">
        <v>106200</v>
      </c>
      <c r="G10040" t="s">
        <v>42759</v>
      </c>
      <c r="I10040" t="s">
        <v>44333</v>
      </c>
      <c r="J10040" t="s">
        <v>42761</v>
      </c>
      <c r="L10040" t="s">
        <v>42847</v>
      </c>
      <c r="M10040" t="s">
        <v>46</v>
      </c>
      <c r="N10040" t="s">
        <v>6304</v>
      </c>
      <c r="O10040" t="s">
        <v>44334</v>
      </c>
      <c r="P10040" t="s">
        <v>44335</v>
      </c>
      <c r="Q10040" t="s">
        <v>44336</v>
      </c>
      <c r="R10040">
        <v>76</v>
      </c>
      <c r="S10040">
        <v>128</v>
      </c>
    </row>
    <row r="10041" spans="1:19" x14ac:dyDescent="0.35">
      <c r="A10041">
        <v>9437</v>
      </c>
      <c r="B10041" t="s">
        <v>6301</v>
      </c>
      <c r="C10041" t="s">
        <v>42</v>
      </c>
      <c r="D10041" t="s">
        <v>44337</v>
      </c>
      <c r="E10041" t="s">
        <v>6303</v>
      </c>
      <c r="F10041" s="1">
        <v>106200</v>
      </c>
      <c r="G10041" t="s">
        <v>42759</v>
      </c>
      <c r="I10041" t="s">
        <v>44338</v>
      </c>
      <c r="J10041" t="s">
        <v>42761</v>
      </c>
      <c r="L10041" t="s">
        <v>42847</v>
      </c>
      <c r="M10041" t="s">
        <v>46</v>
      </c>
      <c r="N10041" t="s">
        <v>6304</v>
      </c>
      <c r="O10041" t="s">
        <v>44339</v>
      </c>
      <c r="P10041" t="s">
        <v>44340</v>
      </c>
      <c r="Q10041" t="s">
        <v>44341</v>
      </c>
      <c r="R10041">
        <v>76</v>
      </c>
      <c r="S10041">
        <v>128</v>
      </c>
    </row>
    <row r="10042" spans="1:19" x14ac:dyDescent="0.35">
      <c r="A10042">
        <v>9439</v>
      </c>
      <c r="B10042" t="s">
        <v>6301</v>
      </c>
      <c r="C10042" t="s">
        <v>42</v>
      </c>
      <c r="D10042" t="s">
        <v>44342</v>
      </c>
      <c r="E10042" t="s">
        <v>6303</v>
      </c>
      <c r="F10042" s="1">
        <v>106200</v>
      </c>
      <c r="G10042" t="s">
        <v>42759</v>
      </c>
      <c r="I10042" t="s">
        <v>44343</v>
      </c>
      <c r="J10042" t="s">
        <v>42761</v>
      </c>
      <c r="L10042" t="s">
        <v>42847</v>
      </c>
      <c r="M10042" t="s">
        <v>46</v>
      </c>
      <c r="N10042" t="s">
        <v>6304</v>
      </c>
      <c r="O10042" t="s">
        <v>44344</v>
      </c>
      <c r="P10042" t="s">
        <v>44345</v>
      </c>
      <c r="Q10042" t="s">
        <v>44346</v>
      </c>
      <c r="R10042">
        <v>76</v>
      </c>
      <c r="S10042">
        <v>128</v>
      </c>
    </row>
    <row r="10043" spans="1:19" x14ac:dyDescent="0.35">
      <c r="A10043">
        <v>9440</v>
      </c>
      <c r="B10043" t="s">
        <v>6301</v>
      </c>
      <c r="C10043" t="s">
        <v>42</v>
      </c>
      <c r="D10043" t="s">
        <v>44347</v>
      </c>
      <c r="E10043" t="s">
        <v>6303</v>
      </c>
      <c r="F10043" s="1">
        <v>106200</v>
      </c>
      <c r="G10043" t="s">
        <v>42759</v>
      </c>
      <c r="I10043" t="s">
        <v>44348</v>
      </c>
      <c r="J10043" t="s">
        <v>42761</v>
      </c>
      <c r="L10043" t="s">
        <v>42847</v>
      </c>
      <c r="M10043" t="s">
        <v>46</v>
      </c>
      <c r="N10043" t="s">
        <v>6304</v>
      </c>
      <c r="O10043" t="s">
        <v>44349</v>
      </c>
      <c r="P10043" t="s">
        <v>44350</v>
      </c>
      <c r="Q10043" t="s">
        <v>44351</v>
      </c>
      <c r="R10043">
        <v>76</v>
      </c>
      <c r="S10043">
        <v>128</v>
      </c>
    </row>
    <row r="10044" spans="1:19" x14ac:dyDescent="0.35">
      <c r="A10044">
        <v>9430</v>
      </c>
      <c r="B10044" t="s">
        <v>6301</v>
      </c>
      <c r="C10044" t="s">
        <v>42</v>
      </c>
      <c r="D10044" t="s">
        <v>44352</v>
      </c>
      <c r="E10044" t="s">
        <v>6303</v>
      </c>
      <c r="F10044" s="1">
        <v>106200</v>
      </c>
      <c r="G10044" t="s">
        <v>42759</v>
      </c>
      <c r="I10044" t="s">
        <v>44353</v>
      </c>
      <c r="J10044" t="s">
        <v>42761</v>
      </c>
      <c r="L10044" t="s">
        <v>42847</v>
      </c>
      <c r="M10044" t="s">
        <v>46</v>
      </c>
      <c r="N10044" t="s">
        <v>6304</v>
      </c>
      <c r="O10044" t="s">
        <v>44354</v>
      </c>
      <c r="P10044" t="s">
        <v>44355</v>
      </c>
      <c r="Q10044" t="s">
        <v>44356</v>
      </c>
      <c r="R10044">
        <v>76</v>
      </c>
      <c r="S10044">
        <v>128</v>
      </c>
    </row>
    <row r="10045" spans="1:19" x14ac:dyDescent="0.35">
      <c r="A10045">
        <v>7715</v>
      </c>
      <c r="B10045" t="s">
        <v>44357</v>
      </c>
      <c r="C10045" t="s">
        <v>20</v>
      </c>
      <c r="D10045" t="s">
        <v>44358</v>
      </c>
      <c r="E10045" t="s">
        <v>44359</v>
      </c>
      <c r="F10045" t="s">
        <v>44360</v>
      </c>
      <c r="G10045" t="s">
        <v>737</v>
      </c>
      <c r="H10045" t="s">
        <v>44361</v>
      </c>
      <c r="I10045" t="s">
        <v>44362</v>
      </c>
      <c r="J10045" t="s">
        <v>75</v>
      </c>
      <c r="L10045" t="s">
        <v>41036</v>
      </c>
      <c r="M10045" t="s">
        <v>38</v>
      </c>
      <c r="N10045" t="s">
        <v>44363</v>
      </c>
      <c r="O10045" t="s">
        <v>44364</v>
      </c>
      <c r="P10045" t="s">
        <v>44365</v>
      </c>
      <c r="Q10045" t="s">
        <v>44366</v>
      </c>
      <c r="R10045">
        <v>76</v>
      </c>
      <c r="S10045">
        <v>128</v>
      </c>
    </row>
    <row r="10046" spans="1:19" x14ac:dyDescent="0.35">
      <c r="A10046">
        <v>9442</v>
      </c>
      <c r="B10046" t="s">
        <v>6301</v>
      </c>
      <c r="C10046" t="s">
        <v>42</v>
      </c>
      <c r="D10046" t="s">
        <v>44367</v>
      </c>
      <c r="E10046" t="s">
        <v>6303</v>
      </c>
      <c r="F10046" s="1">
        <v>106200</v>
      </c>
      <c r="G10046" t="s">
        <v>42759</v>
      </c>
      <c r="I10046" t="s">
        <v>44368</v>
      </c>
      <c r="J10046" t="s">
        <v>42761</v>
      </c>
      <c r="L10046" t="s">
        <v>42847</v>
      </c>
      <c r="M10046" t="s">
        <v>46</v>
      </c>
      <c r="N10046" t="s">
        <v>6304</v>
      </c>
      <c r="O10046" t="s">
        <v>44369</v>
      </c>
      <c r="P10046" t="s">
        <v>44370</v>
      </c>
      <c r="Q10046" t="s">
        <v>44371</v>
      </c>
      <c r="R10046">
        <v>76</v>
      </c>
      <c r="S10046">
        <v>128</v>
      </c>
    </row>
    <row r="10047" spans="1:19" x14ac:dyDescent="0.35">
      <c r="A10047">
        <v>9443</v>
      </c>
      <c r="B10047" t="s">
        <v>6301</v>
      </c>
      <c r="C10047" t="s">
        <v>42</v>
      </c>
      <c r="D10047" t="s">
        <v>44372</v>
      </c>
      <c r="E10047" t="s">
        <v>6303</v>
      </c>
      <c r="F10047" s="1">
        <v>106200</v>
      </c>
      <c r="G10047" t="s">
        <v>42759</v>
      </c>
      <c r="I10047" t="s">
        <v>44373</v>
      </c>
      <c r="J10047" t="s">
        <v>42761</v>
      </c>
      <c r="L10047" t="s">
        <v>42847</v>
      </c>
      <c r="M10047" t="s">
        <v>46</v>
      </c>
      <c r="N10047" t="s">
        <v>6304</v>
      </c>
      <c r="O10047" t="s">
        <v>44374</v>
      </c>
      <c r="P10047" t="s">
        <v>44375</v>
      </c>
      <c r="Q10047" t="s">
        <v>44376</v>
      </c>
      <c r="R10047">
        <v>76</v>
      </c>
      <c r="S10047">
        <v>128</v>
      </c>
    </row>
    <row r="10048" spans="1:19" x14ac:dyDescent="0.35">
      <c r="A10048">
        <v>9445</v>
      </c>
      <c r="B10048" t="s">
        <v>6301</v>
      </c>
      <c r="C10048" t="s">
        <v>42</v>
      </c>
      <c r="D10048" t="s">
        <v>44377</v>
      </c>
      <c r="E10048" t="s">
        <v>6303</v>
      </c>
      <c r="F10048" s="1">
        <v>106200</v>
      </c>
      <c r="G10048" t="s">
        <v>42759</v>
      </c>
      <c r="I10048" t="s">
        <v>44378</v>
      </c>
      <c r="J10048" t="s">
        <v>42761</v>
      </c>
      <c r="L10048" t="s">
        <v>42847</v>
      </c>
      <c r="M10048" t="s">
        <v>46</v>
      </c>
      <c r="N10048" t="s">
        <v>6304</v>
      </c>
      <c r="O10048" t="s">
        <v>44379</v>
      </c>
      <c r="P10048" t="s">
        <v>44380</v>
      </c>
      <c r="Q10048" t="s">
        <v>44381</v>
      </c>
      <c r="R10048">
        <v>76</v>
      </c>
      <c r="S10048">
        <v>128</v>
      </c>
    </row>
    <row r="10049" spans="1:19" x14ac:dyDescent="0.35">
      <c r="A10049">
        <v>9447</v>
      </c>
      <c r="B10049" t="s">
        <v>6301</v>
      </c>
      <c r="C10049" t="s">
        <v>42</v>
      </c>
      <c r="D10049" t="s">
        <v>44382</v>
      </c>
      <c r="E10049" t="s">
        <v>6303</v>
      </c>
      <c r="F10049" s="1">
        <v>100100</v>
      </c>
      <c r="G10049" t="s">
        <v>42759</v>
      </c>
      <c r="I10049" t="s">
        <v>44383</v>
      </c>
      <c r="J10049" t="s">
        <v>42761</v>
      </c>
      <c r="L10049" t="s">
        <v>42847</v>
      </c>
      <c r="M10049" t="s">
        <v>46</v>
      </c>
      <c r="N10049" t="s">
        <v>6304</v>
      </c>
      <c r="O10049" t="s">
        <v>44384</v>
      </c>
      <c r="P10049" t="s">
        <v>44385</v>
      </c>
      <c r="Q10049" t="s">
        <v>44386</v>
      </c>
      <c r="R10049">
        <v>76</v>
      </c>
      <c r="S10049">
        <v>128</v>
      </c>
    </row>
    <row r="10050" spans="1:19" x14ac:dyDescent="0.35">
      <c r="A10050">
        <v>9432</v>
      </c>
      <c r="B10050" t="s">
        <v>6301</v>
      </c>
      <c r="C10050" t="s">
        <v>42</v>
      </c>
      <c r="D10050" t="s">
        <v>44387</v>
      </c>
      <c r="E10050" t="s">
        <v>6303</v>
      </c>
      <c r="F10050" s="1">
        <v>106200</v>
      </c>
      <c r="G10050" t="s">
        <v>42759</v>
      </c>
      <c r="I10050" t="s">
        <v>44388</v>
      </c>
      <c r="J10050" t="s">
        <v>42761</v>
      </c>
      <c r="L10050" t="s">
        <v>42847</v>
      </c>
      <c r="M10050" t="s">
        <v>46</v>
      </c>
      <c r="N10050" t="s">
        <v>6304</v>
      </c>
      <c r="O10050" t="s">
        <v>44389</v>
      </c>
      <c r="P10050" t="s">
        <v>44390</v>
      </c>
      <c r="Q10050" t="s">
        <v>44391</v>
      </c>
      <c r="R10050">
        <v>76</v>
      </c>
      <c r="S10050">
        <v>128</v>
      </c>
    </row>
    <row r="10051" spans="1:19" x14ac:dyDescent="0.35">
      <c r="A10051">
        <v>9435</v>
      </c>
      <c r="B10051" t="s">
        <v>6301</v>
      </c>
      <c r="C10051" t="s">
        <v>42</v>
      </c>
      <c r="D10051" t="s">
        <v>44392</v>
      </c>
      <c r="E10051" t="s">
        <v>6303</v>
      </c>
      <c r="F10051" s="1">
        <v>106200</v>
      </c>
      <c r="G10051" t="s">
        <v>42759</v>
      </c>
      <c r="I10051" t="s">
        <v>44393</v>
      </c>
      <c r="J10051" t="s">
        <v>42761</v>
      </c>
      <c r="L10051" t="s">
        <v>42847</v>
      </c>
      <c r="M10051" t="s">
        <v>46</v>
      </c>
      <c r="N10051" t="s">
        <v>6304</v>
      </c>
      <c r="O10051" t="s">
        <v>44394</v>
      </c>
      <c r="P10051" t="s">
        <v>44395</v>
      </c>
      <c r="Q10051" t="s">
        <v>44396</v>
      </c>
      <c r="R10051">
        <v>76</v>
      </c>
      <c r="S10051">
        <v>128</v>
      </c>
    </row>
    <row r="10052" spans="1:19" x14ac:dyDescent="0.35">
      <c r="A10052">
        <v>6214</v>
      </c>
      <c r="B10052" t="s">
        <v>44397</v>
      </c>
      <c r="C10052" t="s">
        <v>42</v>
      </c>
      <c r="D10052" t="s">
        <v>44398</v>
      </c>
      <c r="E10052" t="e" cm="1">
        <f t="array" ref="E10052">- CLINDAMYCIN HYDROCHLORIDE</f>
        <v>#NAME?</v>
      </c>
      <c r="F10052" t="s">
        <v>44399</v>
      </c>
      <c r="G10052" t="s">
        <v>539</v>
      </c>
      <c r="H10052" t="s">
        <v>44400</v>
      </c>
      <c r="I10052" t="s">
        <v>44401</v>
      </c>
      <c r="J10052" t="s">
        <v>6069</v>
      </c>
      <c r="K10052" t="s">
        <v>6097</v>
      </c>
      <c r="L10052" t="s">
        <v>44402</v>
      </c>
    </row>
    <row r="10053" spans="1:19" x14ac:dyDescent="0.35">
      <c r="A10053">
        <v>6213</v>
      </c>
      <c r="B10053" t="s">
        <v>44397</v>
      </c>
      <c r="C10053" t="s">
        <v>42</v>
      </c>
      <c r="D10053" t="s">
        <v>44398</v>
      </c>
      <c r="E10053" t="e" cm="1">
        <f t="array" ref="E10053">- CLINDAMYCIN HYDROCHLORIDE</f>
        <v>#NAME?</v>
      </c>
      <c r="F10053" t="s">
        <v>44399</v>
      </c>
      <c r="G10053" t="s">
        <v>539</v>
      </c>
      <c r="H10053" t="s">
        <v>44400</v>
      </c>
      <c r="I10053" t="s">
        <v>44401</v>
      </c>
      <c r="J10053" t="s">
        <v>6069</v>
      </c>
      <c r="K10053" t="s">
        <v>6097</v>
      </c>
      <c r="L10053" t="s">
        <v>44402</v>
      </c>
    </row>
    <row r="10054" spans="1:19" x14ac:dyDescent="0.35">
      <c r="A10054">
        <v>9508</v>
      </c>
      <c r="B10054" t="s">
        <v>6301</v>
      </c>
      <c r="C10054" t="s">
        <v>42</v>
      </c>
      <c r="D10054" t="s">
        <v>44403</v>
      </c>
      <c r="E10054" t="s">
        <v>6303</v>
      </c>
      <c r="F10054" s="1">
        <v>90000</v>
      </c>
      <c r="G10054" t="s">
        <v>42759</v>
      </c>
      <c r="I10054" t="s">
        <v>44404</v>
      </c>
      <c r="J10054" t="s">
        <v>42761</v>
      </c>
      <c r="L10054" t="s">
        <v>42847</v>
      </c>
      <c r="M10054" t="s">
        <v>46</v>
      </c>
      <c r="N10054" t="s">
        <v>6304</v>
      </c>
      <c r="O10054" t="s">
        <v>44405</v>
      </c>
      <c r="P10054" t="s">
        <v>44406</v>
      </c>
      <c r="Q10054" t="s">
        <v>44407</v>
      </c>
      <c r="R10054">
        <v>78</v>
      </c>
      <c r="S10054">
        <v>128</v>
      </c>
    </row>
    <row r="10055" spans="1:19" x14ac:dyDescent="0.35">
      <c r="A10055">
        <v>4900</v>
      </c>
      <c r="B10055" t="s">
        <v>44291</v>
      </c>
      <c r="C10055" t="s">
        <v>42</v>
      </c>
      <c r="D10055" t="s">
        <v>44292</v>
      </c>
      <c r="E10055" t="e" cm="1">
        <f t="array" ref="E10055">- NEOMYCIN SULFATE. DEXAMETHASONE SODIUM PHOSPHATE. POLYMYXIN B SULFATE</f>
        <v>#NAME?</v>
      </c>
      <c r="F10055" t="s">
        <v>44293</v>
      </c>
      <c r="G10055" t="s">
        <v>44294</v>
      </c>
      <c r="H10055" t="s">
        <v>44295</v>
      </c>
      <c r="I10055" t="s">
        <v>44296</v>
      </c>
      <c r="J10055" t="s">
        <v>11321</v>
      </c>
      <c r="K10055" t="s">
        <v>44297</v>
      </c>
      <c r="L10055" t="s">
        <v>44298</v>
      </c>
      <c r="M10055" t="s">
        <v>824</v>
      </c>
      <c r="N10055" t="s">
        <v>32610</v>
      </c>
      <c r="O10055" t="s">
        <v>44299</v>
      </c>
      <c r="P10055" t="s">
        <v>44300</v>
      </c>
      <c r="Q10055" t="s">
        <v>44408</v>
      </c>
      <c r="R10055">
        <v>79</v>
      </c>
      <c r="S10055">
        <v>128</v>
      </c>
    </row>
    <row r="10056" spans="1:19" x14ac:dyDescent="0.35">
      <c r="A10056">
        <v>7492</v>
      </c>
      <c r="B10056" t="s">
        <v>44409</v>
      </c>
      <c r="C10056" t="s">
        <v>20</v>
      </c>
      <c r="D10056" t="s">
        <v>44410</v>
      </c>
      <c r="E10056" t="s">
        <v>44411</v>
      </c>
      <c r="F10056" t="s">
        <v>44412</v>
      </c>
      <c r="G10056" t="s">
        <v>2241</v>
      </c>
      <c r="H10056" t="s">
        <v>44413</v>
      </c>
      <c r="I10056" t="s">
        <v>44414</v>
      </c>
      <c r="J10056" t="s">
        <v>75</v>
      </c>
      <c r="L10056" t="s">
        <v>44415</v>
      </c>
      <c r="M10056" t="s">
        <v>38</v>
      </c>
      <c r="N10056" t="s">
        <v>44416</v>
      </c>
      <c r="O10056" t="s">
        <v>44417</v>
      </c>
      <c r="P10056" t="s">
        <v>44416</v>
      </c>
      <c r="Q10056" t="s">
        <v>44418</v>
      </c>
      <c r="R10056">
        <v>81</v>
      </c>
      <c r="S10056">
        <v>128</v>
      </c>
    </row>
    <row r="10057" spans="1:19" x14ac:dyDescent="0.35">
      <c r="A10057">
        <v>9441</v>
      </c>
      <c r="B10057" t="s">
        <v>6301</v>
      </c>
      <c r="C10057" t="s">
        <v>42</v>
      </c>
      <c r="D10057" t="s">
        <v>44419</v>
      </c>
      <c r="E10057" t="s">
        <v>6303</v>
      </c>
      <c r="F10057" s="1">
        <v>106200</v>
      </c>
      <c r="G10057" t="s">
        <v>42759</v>
      </c>
      <c r="I10057" t="s">
        <v>44420</v>
      </c>
      <c r="J10057" t="s">
        <v>42761</v>
      </c>
      <c r="L10057" t="s">
        <v>42847</v>
      </c>
      <c r="M10057" t="s">
        <v>46</v>
      </c>
      <c r="N10057" t="s">
        <v>6304</v>
      </c>
      <c r="O10057" t="s">
        <v>44421</v>
      </c>
      <c r="P10057" t="s">
        <v>44422</v>
      </c>
      <c r="Q10057" t="s">
        <v>44423</v>
      </c>
      <c r="R10057">
        <v>81</v>
      </c>
      <c r="S10057">
        <v>128</v>
      </c>
    </row>
    <row r="10058" spans="1:19" x14ac:dyDescent="0.35">
      <c r="A10058">
        <v>7491</v>
      </c>
      <c r="B10058" t="s">
        <v>44409</v>
      </c>
      <c r="C10058" t="s">
        <v>20</v>
      </c>
      <c r="D10058" t="s">
        <v>44424</v>
      </c>
      <c r="E10058" t="s">
        <v>44411</v>
      </c>
      <c r="F10058" t="s">
        <v>44425</v>
      </c>
      <c r="H10058" t="s">
        <v>6087</v>
      </c>
      <c r="I10058" t="s">
        <v>44426</v>
      </c>
      <c r="J10058" t="s">
        <v>70</v>
      </c>
      <c r="M10058" t="s">
        <v>38</v>
      </c>
      <c r="N10058" t="s">
        <v>44416</v>
      </c>
      <c r="O10058" t="s">
        <v>44427</v>
      </c>
      <c r="P10058" t="s">
        <v>44416</v>
      </c>
      <c r="Q10058" t="s">
        <v>44428</v>
      </c>
      <c r="R10058">
        <v>81</v>
      </c>
      <c r="S10058">
        <v>128</v>
      </c>
    </row>
    <row r="10059" spans="1:19" x14ac:dyDescent="0.35">
      <c r="A10059">
        <v>6397</v>
      </c>
      <c r="B10059" t="s">
        <v>44429</v>
      </c>
      <c r="C10059" t="s">
        <v>42</v>
      </c>
      <c r="D10059" t="s">
        <v>44430</v>
      </c>
      <c r="E10059" t="e" cm="1">
        <f t="array" ref="E10059">- ROXITHROMYCIN</f>
        <v>#NAME?</v>
      </c>
      <c r="F10059" t="s">
        <v>44431</v>
      </c>
      <c r="G10059" t="s">
        <v>737</v>
      </c>
      <c r="H10059" t="s">
        <v>44432</v>
      </c>
      <c r="I10059" t="s">
        <v>44433</v>
      </c>
      <c r="J10059" t="s">
        <v>44434</v>
      </c>
      <c r="K10059" t="s">
        <v>2726</v>
      </c>
      <c r="L10059" t="s">
        <v>44435</v>
      </c>
      <c r="M10059" t="s">
        <v>46</v>
      </c>
      <c r="N10059" t="s">
        <v>18939</v>
      </c>
      <c r="O10059" t="s">
        <v>44436</v>
      </c>
      <c r="P10059" t="s">
        <v>44437</v>
      </c>
      <c r="Q10059" t="s">
        <v>44438</v>
      </c>
      <c r="R10059">
        <v>364</v>
      </c>
      <c r="S10059">
        <v>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data_obat_fix_ordered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Geraldus Wilsen</dc:creator>
  <cp:lastModifiedBy>Geraldus Wilsen</cp:lastModifiedBy>
  <dcterms:created xsi:type="dcterms:W3CDTF">2023-12-28T02:08:02Z</dcterms:created>
  <dcterms:modified xsi:type="dcterms:W3CDTF">2023-12-28T02:08:03Z</dcterms:modified>
</cp:coreProperties>
</file>